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updateLinks="never" codeName="ThisWorkbook"/>
  <bookViews>
    <workbookView xWindow="0" yWindow="0" windowWidth="7470" windowHeight="3495" tabRatio="877"/>
  </bookViews>
  <sheets>
    <sheet name="Cover sheet" sheetId="53" r:id="rId1"/>
    <sheet name="Instructions OR version" sheetId="98" r:id="rId2"/>
    <sheet name="Recreation Worksheet" sheetId="99" r:id="rId3"/>
    <sheet name="Outputs" sheetId="90" r:id="rId4"/>
    <sheet name="Recreation Calibration" sheetId="100" r:id="rId5"/>
    <sheet name="Inputs TO" sheetId="91" r:id="rId6"/>
    <sheet name="Health summary" sheetId="47" r:id="rId7"/>
    <sheet name="County Pops" sheetId="93" r:id="rId8"/>
    <sheet name="Counties" sheetId="92" r:id="rId9"/>
    <sheet name="user page" sheetId="49" r:id="rId10"/>
    <sheet name="user page 2" sheetId="52" r:id="rId11"/>
    <sheet name="Visions person" sheetId="54" r:id="rId12"/>
    <sheet name="Baseline" sheetId="7" r:id="rId13"/>
    <sheet name="Scenario" sheetId="51" r:id="rId14"/>
    <sheet name="Phy activity RRs" sheetId="75" r:id="rId15"/>
    <sheet name="Non travel METs" sheetId="38" r:id="rId16"/>
    <sheet name="t Total" sheetId="1" r:id="rId17"/>
    <sheet name="GBDUS" sheetId="83" r:id="rId18"/>
    <sheet name="US2010d" sheetId="84" r:id="rId19"/>
    <sheet name="All-cause mort" sheetId="78" r:id="rId20"/>
    <sheet name="Acute Resp Infect" sheetId="60" r:id="rId21"/>
    <sheet name="Breast cancer" sheetId="37" r:id="rId22"/>
    <sheet name="CVD_air" sheetId="58" r:id="rId23"/>
    <sheet name="Colon Cancer" sheetId="41" r:id="rId24"/>
    <sheet name="Dementia" sheetId="44" r:id="rId25"/>
    <sheet name="Depression" sheetId="45" r:id="rId26"/>
    <sheet name="Diabetes" sheetId="46" r:id="rId27"/>
    <sheet name="HHD_air" sheetId="85" r:id="rId28"/>
    <sheet name="Dist by road type" sheetId="63" r:id="rId29"/>
    <sheet name="Baseline injuries" sheetId="64" r:id="rId30"/>
    <sheet name="Scenario Injury Multiplier" sheetId="67" r:id="rId31"/>
    <sheet name="Scenario Injuries" sheetId="70" r:id="rId32"/>
    <sheet name="Injuries results" sheetId="68" r:id="rId33"/>
    <sheet name="Inflammatory HD" sheetId="61" r:id="rId34"/>
    <sheet name="Lung Cancer" sheetId="59" r:id="rId35"/>
    <sheet name="Resp diseases" sheetId="62" r:id="rId36"/>
    <sheet name="Stroke_air" sheetId="72" r:id="rId37"/>
    <sheet name="air pollution" sheetId="74" r:id="rId38"/>
    <sheet name="Costs" sheetId="89" r:id="rId39"/>
    <sheet name="Calibration Data" sheetId="88" r:id="rId40"/>
    <sheet name="RuralCalibration" sheetId="96" r:id="rId41"/>
  </sheets>
  <externalReferences>
    <externalReference r:id="rId42"/>
    <externalReference r:id="rId43"/>
    <externalReference r:id="rId44"/>
    <externalReference r:id="rId45"/>
    <externalReference r:id="rId46"/>
  </externalReferences>
  <definedNames>
    <definedName name="_xlnm._FilterDatabase" localSheetId="39" hidden="1">'Calibration Data'!$A$1:$U$894</definedName>
    <definedName name="_Parse_In" localSheetId="20" hidden="1">'[1]1997'!#REF!</definedName>
    <definedName name="_Parse_In" localSheetId="19" hidden="1">'[1]1997'!#REF!</definedName>
    <definedName name="_Parse_In" localSheetId="22" hidden="1">'[1]1997'!#REF!</definedName>
    <definedName name="_Parse_In" localSheetId="27" hidden="1">'[1]1997'!#REF!</definedName>
    <definedName name="_Parse_In" localSheetId="33" hidden="1">'[1]1997'!#REF!</definedName>
    <definedName name="_Parse_In" localSheetId="34" hidden="1">'[1]1997'!#REF!</definedName>
    <definedName name="_Parse_In" localSheetId="35" hidden="1">'[1]1997'!#REF!</definedName>
    <definedName name="_Parse_In" localSheetId="31" hidden="1">'[1]1997'!#REF!</definedName>
    <definedName name="_Parse_In" localSheetId="30" hidden="1">'[1]1997'!#REF!</definedName>
    <definedName name="_Parse_In" localSheetId="36" hidden="1">'[1]1997'!#REF!</definedName>
    <definedName name="_Parse_In" hidden="1">'[1]1997'!#REF!</definedName>
    <definedName name="a">[2]RAWDATA!$L$2</definedName>
    <definedName name="activeCell" localSheetId="20">#REF!</definedName>
    <definedName name="activeCell" localSheetId="19">#REF!</definedName>
    <definedName name="activeCell" localSheetId="22">#REF!</definedName>
    <definedName name="activeCell" localSheetId="27">#REF!</definedName>
    <definedName name="activeCell" localSheetId="33">#REF!</definedName>
    <definedName name="activeCell" localSheetId="34">#REF!</definedName>
    <definedName name="activeCell" localSheetId="35">#REF!</definedName>
    <definedName name="activeCell" localSheetId="31">#REF!</definedName>
    <definedName name="activeCell" localSheetId="30">#REF!</definedName>
    <definedName name="activeCell" localSheetId="36">#REF!</definedName>
    <definedName name="activeCell" localSheetId="11">#REF!</definedName>
    <definedName name="activeCell">#REF!</definedName>
    <definedName name="ayear">[2]RAWDATA!$J$2</definedName>
    <definedName name="byear">[2]RAWDATA!$L$2</definedName>
    <definedName name="CategoryTitle" localSheetId="20">#REF!</definedName>
    <definedName name="CategoryTitle" localSheetId="19">#REF!</definedName>
    <definedName name="CategoryTitle" localSheetId="22">#REF!</definedName>
    <definedName name="CategoryTitle" localSheetId="27">#REF!</definedName>
    <definedName name="CategoryTitle" localSheetId="33">#REF!</definedName>
    <definedName name="CategoryTitle" localSheetId="34">#REF!</definedName>
    <definedName name="CategoryTitle" localSheetId="35">#REF!</definedName>
    <definedName name="CategoryTitle" localSheetId="31">#REF!</definedName>
    <definedName name="CategoryTitle" localSheetId="30">#REF!</definedName>
    <definedName name="CategoryTitle" localSheetId="36">#REF!</definedName>
    <definedName name="CategoryTitle" localSheetId="11">#REF!</definedName>
    <definedName name="CategoryTitle">#REF!</definedName>
    <definedName name="chart" localSheetId="20">'[1]1997'!$A$7,'[1]1997'!$L$7,'[1]1997'!$M$7,'[1]1997'!#REF!,'[1]1997'!$A$10,'[1]1997'!$A$11,'[1]1997'!$L$10,'[1]1997'!$L$11,'[1]1997'!$M$10,'[1]1997'!$M$11,'[1]1997'!#REF!,'[1]1997'!#REF!,'[1]1997'!$Q$20,'[1]1997'!$L$19,'[1]1997'!$M$19,'[1]1997'!#REF!</definedName>
    <definedName name="chart" localSheetId="19">'[1]1997'!$A$7,'[1]1997'!$L$7,'[1]1997'!$M$7,'[1]1997'!#REF!,'[1]1997'!$A$10,'[1]1997'!$A$11,'[1]1997'!$L$10,'[1]1997'!$L$11,'[1]1997'!$M$10,'[1]1997'!$M$11,'[1]1997'!#REF!,'[1]1997'!#REF!,'[1]1997'!$Q$20,'[1]1997'!$L$19,'[1]1997'!$M$19,'[1]1997'!#REF!</definedName>
    <definedName name="chart" localSheetId="22">'[1]1997'!$A$7,'[1]1997'!$L$7,'[1]1997'!$M$7,'[1]1997'!#REF!,'[1]1997'!$A$10,'[1]1997'!$A$11,'[1]1997'!$L$10,'[1]1997'!$L$11,'[1]1997'!$M$10,'[1]1997'!$M$11,'[1]1997'!#REF!,'[1]1997'!#REF!,'[1]1997'!$Q$20,'[1]1997'!$L$19,'[1]1997'!$M$19,'[1]1997'!#REF!</definedName>
    <definedName name="chart" localSheetId="27">'[1]1997'!$A$7,'[1]1997'!$L$7,'[1]1997'!$M$7,'[1]1997'!#REF!,'[1]1997'!$A$10,'[1]1997'!$A$11,'[1]1997'!$L$10,'[1]1997'!$L$11,'[1]1997'!$M$10,'[1]1997'!$M$11,'[1]1997'!#REF!,'[1]1997'!#REF!,'[1]1997'!$Q$20,'[1]1997'!$L$19,'[1]1997'!$M$19,'[1]1997'!#REF!</definedName>
    <definedName name="chart" localSheetId="33">'[1]1997'!$A$7,'[1]1997'!$L$7,'[1]1997'!$M$7,'[1]1997'!#REF!,'[1]1997'!$A$10,'[1]1997'!$A$11,'[1]1997'!$L$10,'[1]1997'!$L$11,'[1]1997'!$M$10,'[1]1997'!$M$11,'[1]1997'!#REF!,'[1]1997'!#REF!,'[1]1997'!$Q$20,'[1]1997'!$L$19,'[1]1997'!$M$19,'[1]1997'!#REF!</definedName>
    <definedName name="chart" localSheetId="34">'[1]1997'!$A$7,'[1]1997'!$L$7,'[1]1997'!$M$7,'[1]1997'!#REF!,'[1]1997'!$A$10,'[1]1997'!$A$11,'[1]1997'!$L$10,'[1]1997'!$L$11,'[1]1997'!$M$10,'[1]1997'!$M$11,'[1]1997'!#REF!,'[1]1997'!#REF!,'[1]1997'!$Q$20,'[1]1997'!$L$19,'[1]1997'!$M$19,'[1]1997'!#REF!</definedName>
    <definedName name="chart" localSheetId="35">'[1]1997'!$A$7,'[1]1997'!$L$7,'[1]1997'!$M$7,'[1]1997'!#REF!,'[1]1997'!$A$10,'[1]1997'!$A$11,'[1]1997'!$L$10,'[1]1997'!$L$11,'[1]1997'!$M$10,'[1]1997'!$M$11,'[1]1997'!#REF!,'[1]1997'!#REF!,'[1]1997'!$Q$20,'[1]1997'!$L$19,'[1]1997'!$M$19,'[1]1997'!#REF!</definedName>
    <definedName name="chart" localSheetId="31">'[1]1997'!$A$7,'[1]1997'!$L$7,'[1]1997'!$M$7,'[1]1997'!#REF!,'[1]1997'!$A$10,'[1]1997'!$A$11,'[1]1997'!$L$10,'[1]1997'!$L$11,'[1]1997'!$M$10,'[1]1997'!$M$11,'[1]1997'!#REF!,'[1]1997'!#REF!,'[1]1997'!$Q$20,'[1]1997'!$L$19,'[1]1997'!$M$19,'[1]1997'!#REF!</definedName>
    <definedName name="chart" localSheetId="30">'[1]1997'!$A$7,'[1]1997'!$L$7,'[1]1997'!$M$7,'[1]1997'!#REF!,'[1]1997'!$A$10,'[1]1997'!$A$11,'[1]1997'!$L$10,'[1]1997'!$L$11,'[1]1997'!$M$10,'[1]1997'!$M$11,'[1]1997'!#REF!,'[1]1997'!#REF!,'[1]1997'!$Q$20,'[1]1997'!$L$19,'[1]1997'!$M$19,'[1]1997'!#REF!</definedName>
    <definedName name="chart" localSheetId="36">'[1]1997'!$A$7,'[1]1997'!$L$7,'[1]1997'!$M$7,'[1]1997'!#REF!,'[1]1997'!$A$10,'[1]1997'!$A$11,'[1]1997'!$L$10,'[1]1997'!$L$11,'[1]1997'!$M$10,'[1]1997'!$M$11,'[1]1997'!#REF!,'[1]1997'!#REF!,'[1]1997'!$Q$20,'[1]1997'!$L$19,'[1]1997'!$M$19,'[1]1997'!#REF!</definedName>
    <definedName name="chart" localSheetId="11">'[1]1997'!$A$7,'[1]1997'!$L$7,'[1]1997'!$M$7,'[1]1997'!#REF!,'[1]1997'!$A$10,'[1]1997'!$A$11,'[1]1997'!$L$10,'[1]1997'!$L$11,'[1]1997'!$M$10,'[1]1997'!$M$11,'[1]1997'!#REF!,'[1]1997'!#REF!,'[1]1997'!$Q$20,'[1]1997'!$L$19,'[1]1997'!$M$19,'[1]1997'!#REF!</definedName>
    <definedName name="chart">'[1]1997'!$A$7,'[1]1997'!$L$7,'[1]1997'!$M$7,'[1]1997'!#REF!,'[1]1997'!$A$10,'[1]1997'!$A$11,'[1]1997'!$L$10,'[1]1997'!$L$11,'[1]1997'!$M$10,'[1]1997'!$M$11,'[1]1997'!#REF!,'[1]1997'!#REF!,'[1]1997'!$Q$20,'[1]1997'!$L$19,'[1]1997'!$M$19,'[1]1997'!#REF!</definedName>
    <definedName name="Chart2">'[1]1997'!$R$3:$U$5,'[1]1997'!$R$8:$U$9,'[1]1997'!$R$17:$U$17,'[1]1997'!$R$27:$U$28</definedName>
    <definedName name="Counties">[3]Counties!$A$1:$A$36</definedName>
    <definedName name="cyear">[2]RAWDATA!$J$2</definedName>
    <definedName name="dgdsfyh" localSheetId="20">#REF!</definedName>
    <definedName name="dgdsfyh" localSheetId="19">#REF!</definedName>
    <definedName name="dgdsfyh" localSheetId="22">#REF!</definedName>
    <definedName name="dgdsfyh" localSheetId="27">#REF!</definedName>
    <definedName name="dgdsfyh" localSheetId="33">#REF!</definedName>
    <definedName name="dgdsfyh" localSheetId="34">#REF!</definedName>
    <definedName name="dgdsfyh" localSheetId="35">#REF!</definedName>
    <definedName name="dgdsfyh" localSheetId="31">#REF!</definedName>
    <definedName name="dgdsfyh" localSheetId="30">#REF!</definedName>
    <definedName name="dgdsfyh" localSheetId="36">#REF!</definedName>
    <definedName name="dgdsfyh" localSheetId="11">#REF!</definedName>
    <definedName name="dgdsfyh">#REF!</definedName>
    <definedName name="Dialog" localSheetId="20">[1]!Dialog</definedName>
    <definedName name="Dialog" localSheetId="19">[1]!Dialog</definedName>
    <definedName name="Dialog" localSheetId="22">[1]!Dialog</definedName>
    <definedName name="Dialog" localSheetId="27">[1]!Dialog</definedName>
    <definedName name="Dialog" localSheetId="33">[1]!Dialog</definedName>
    <definedName name="Dialog" localSheetId="34">[1]!Dialog</definedName>
    <definedName name="Dialog" localSheetId="35">[1]!Dialog</definedName>
    <definedName name="Dialog" localSheetId="31">[1]!Dialog</definedName>
    <definedName name="Dialog" localSheetId="30">[1]!Dialog</definedName>
    <definedName name="Dialog" localSheetId="36">[1]!Dialog</definedName>
    <definedName name="Dialog">[1]!Dialog</definedName>
    <definedName name="dialog2" localSheetId="20">[1]!dialog2</definedName>
    <definedName name="dialog2" localSheetId="19">[1]!dialog2</definedName>
    <definedName name="dialog2" localSheetId="22">[1]!dialog2</definedName>
    <definedName name="dialog2" localSheetId="27">[1]!dialog2</definedName>
    <definedName name="dialog2" localSheetId="33">[1]!dialog2</definedName>
    <definedName name="dialog2" localSheetId="34">[1]!dialog2</definedName>
    <definedName name="dialog2" localSheetId="35">[1]!dialog2</definedName>
    <definedName name="dialog2" localSheetId="31">[1]!dialog2</definedName>
    <definedName name="dialog2" localSheetId="30">[1]!dialog2</definedName>
    <definedName name="dialog2" localSheetId="36">[1]!dialog2</definedName>
    <definedName name="dialog2">[1]!dialog2</definedName>
    <definedName name="fayear" localSheetId="20">#REF!</definedName>
    <definedName name="fayear" localSheetId="19">#REF!</definedName>
    <definedName name="fayear" localSheetId="22">#REF!</definedName>
    <definedName name="fayear" localSheetId="27">#REF!</definedName>
    <definedName name="fayear" localSheetId="33">#REF!</definedName>
    <definedName name="fayear" localSheetId="34">#REF!</definedName>
    <definedName name="fayear" localSheetId="35">#REF!</definedName>
    <definedName name="fayear" localSheetId="31">#REF!</definedName>
    <definedName name="fayear" localSheetId="30">#REF!</definedName>
    <definedName name="fayear" localSheetId="36">#REF!</definedName>
    <definedName name="fayear" localSheetId="11">#REF!</definedName>
    <definedName name="fayear">#REF!</definedName>
    <definedName name="fdafda" localSheetId="20">#REF!</definedName>
    <definedName name="fdafda" localSheetId="19">#REF!</definedName>
    <definedName name="fdafda" localSheetId="22">#REF!</definedName>
    <definedName name="fdafda" localSheetId="27">#REF!</definedName>
    <definedName name="fdafda" localSheetId="33">#REF!</definedName>
    <definedName name="fdafda" localSheetId="34">#REF!</definedName>
    <definedName name="fdafda" localSheetId="35">#REF!</definedName>
    <definedName name="fdafda" localSheetId="31">#REF!</definedName>
    <definedName name="fdafda" localSheetId="30">#REF!</definedName>
    <definedName name="fdafda" localSheetId="36">#REF!</definedName>
    <definedName name="fdafda" localSheetId="11">#REF!</definedName>
    <definedName name="fdafda">#REF!</definedName>
    <definedName name="fendyear">[2]RAWDATA!$L$2</definedName>
    <definedName name="ffyear">[2]RAWDATA!$J$2</definedName>
    <definedName name="Footnotes" localSheetId="20">#REF!</definedName>
    <definedName name="Footnotes" localSheetId="19">#REF!</definedName>
    <definedName name="Footnotes" localSheetId="22">#REF!</definedName>
    <definedName name="Footnotes" localSheetId="27">#REF!</definedName>
    <definedName name="Footnotes" localSheetId="33">#REF!</definedName>
    <definedName name="Footnotes" localSheetId="34">#REF!</definedName>
    <definedName name="Footnotes" localSheetId="35">#REF!</definedName>
    <definedName name="Footnotes" localSheetId="31">#REF!</definedName>
    <definedName name="Footnotes" localSheetId="30">#REF!</definedName>
    <definedName name="Footnotes" localSheetId="36">#REF!</definedName>
    <definedName name="Footnotes" localSheetId="11">#REF!</definedName>
    <definedName name="Footnotes">#REF!</definedName>
    <definedName name="fyear">[2]RAWDATA!$J$2</definedName>
    <definedName name="fyear2" localSheetId="20">#REF!</definedName>
    <definedName name="fyear2" localSheetId="19">#REF!</definedName>
    <definedName name="fyear2" localSheetId="22">#REF!</definedName>
    <definedName name="fyear2" localSheetId="27">#REF!</definedName>
    <definedName name="fyear2" localSheetId="33">#REF!</definedName>
    <definedName name="fyear2" localSheetId="34">#REF!</definedName>
    <definedName name="fyear2" localSheetId="35">#REF!</definedName>
    <definedName name="fyear2" localSheetId="31">#REF!</definedName>
    <definedName name="fyear2" localSheetId="30">#REF!</definedName>
    <definedName name="fyear2" localSheetId="36">#REF!</definedName>
    <definedName name="fyear2" localSheetId="11">#REF!</definedName>
    <definedName name="fyear2">#REF!</definedName>
    <definedName name="GraphData">'[4]TIS-INDEX'!$B$13:$Q$44,'[4]TIS-INDEX'!$E$9:$R$9</definedName>
    <definedName name="GraphTitle" localSheetId="20">#REF!</definedName>
    <definedName name="GraphTitle" localSheetId="19">#REF!</definedName>
    <definedName name="GraphTitle" localSheetId="22">#REF!</definedName>
    <definedName name="GraphTitle" localSheetId="27">#REF!</definedName>
    <definedName name="GraphTitle" localSheetId="33">#REF!</definedName>
    <definedName name="GraphTitle" localSheetId="34">#REF!</definedName>
    <definedName name="GraphTitle" localSheetId="35">#REF!</definedName>
    <definedName name="GraphTitle" localSheetId="31">#REF!</definedName>
    <definedName name="GraphTitle" localSheetId="30">#REF!</definedName>
    <definedName name="GraphTitle" localSheetId="36">#REF!</definedName>
    <definedName name="GraphTitle" localSheetId="11">#REF!</definedName>
    <definedName name="GraphTitle">#REF!</definedName>
    <definedName name="j" localSheetId="27" hidden="1">{#N/A,#N/A,FALSE,"inopert";#N/A,#N/A,FALSE,"electrified";#N/A,#N/A,FALSE,"network"}</definedName>
    <definedName name="j" localSheetId="11" hidden="1">{#N/A,#N/A,FALSE,"inopert";#N/A,#N/A,FALSE,"electrified";#N/A,#N/A,FALSE,"network"}</definedName>
    <definedName name="j" hidden="1">{#N/A,#N/A,FALSE,"inopert";#N/A,#N/A,FALSE,"electrified";#N/A,#N/A,FALSE,"network"}</definedName>
    <definedName name="jj" localSheetId="27" hidden="1">{#N/A,#N/A,FALSE,"inopert";#N/A,#N/A,FALSE,"electrified";#N/A,#N/A,FALSE,"network"}</definedName>
    <definedName name="jj" localSheetId="11" hidden="1">{#N/A,#N/A,FALSE,"inopert";#N/A,#N/A,FALSE,"electrified";#N/A,#N/A,FALSE,"network"}</definedName>
    <definedName name="jj" hidden="1">{#N/A,#N/A,FALSE,"inopert";#N/A,#N/A,FALSE,"electrified";#N/A,#N/A,FALSE,"network"}</definedName>
    <definedName name="jk" localSheetId="27" hidden="1">{#N/A,#N/A,FALSE,"inopert";#N/A,#N/A,FALSE,"electrified";#N/A,#N/A,FALSE,"network"}</definedName>
    <definedName name="jk" localSheetId="11" hidden="1">{#N/A,#N/A,FALSE,"inopert";#N/A,#N/A,FALSE,"electrified";#N/A,#N/A,FALSE,"network"}</definedName>
    <definedName name="jk" hidden="1">{#N/A,#N/A,FALSE,"inopert";#N/A,#N/A,FALSE,"electrified";#N/A,#N/A,FALSE,"network"}</definedName>
    <definedName name="MACRO">#N/A</definedName>
    <definedName name="new_chart" localSheetId="20">'[5]1997'!$A$7,'[5]1997'!$L$7,'[5]1997'!$M$7,'[5]1997'!#REF!,'[5]1997'!$A$10,'[5]1997'!$A$11,'[5]1997'!$L$10,'[5]1997'!$L$11,'[5]1997'!$M$10,'[5]1997'!$M$11,'[5]1997'!#REF!,'[5]1997'!#REF!,'[5]1997'!$Q$20,'[5]1997'!$L$19,'[5]1997'!$M$19,'[5]1997'!#REF!</definedName>
    <definedName name="new_chart" localSheetId="19">'[5]1997'!$A$7,'[5]1997'!$L$7,'[5]1997'!$M$7,'[5]1997'!#REF!,'[5]1997'!$A$10,'[5]1997'!$A$11,'[5]1997'!$L$10,'[5]1997'!$L$11,'[5]1997'!$M$10,'[5]1997'!$M$11,'[5]1997'!#REF!,'[5]1997'!#REF!,'[5]1997'!$Q$20,'[5]1997'!$L$19,'[5]1997'!$M$19,'[5]1997'!#REF!</definedName>
    <definedName name="new_chart" localSheetId="22">'[5]1997'!$A$7,'[5]1997'!$L$7,'[5]1997'!$M$7,'[5]1997'!#REF!,'[5]1997'!$A$10,'[5]1997'!$A$11,'[5]1997'!$L$10,'[5]1997'!$L$11,'[5]1997'!$M$10,'[5]1997'!$M$11,'[5]1997'!#REF!,'[5]1997'!#REF!,'[5]1997'!$Q$20,'[5]1997'!$L$19,'[5]1997'!$M$19,'[5]1997'!#REF!</definedName>
    <definedName name="new_chart" localSheetId="27">'[5]1997'!$A$7,'[5]1997'!$L$7,'[5]1997'!$M$7,'[5]1997'!#REF!,'[5]1997'!$A$10,'[5]1997'!$A$11,'[5]1997'!$L$10,'[5]1997'!$L$11,'[5]1997'!$M$10,'[5]1997'!$M$11,'[5]1997'!#REF!,'[5]1997'!#REF!,'[5]1997'!$Q$20,'[5]1997'!$L$19,'[5]1997'!$M$19,'[5]1997'!#REF!</definedName>
    <definedName name="new_chart" localSheetId="33">'[5]1997'!$A$7,'[5]1997'!$L$7,'[5]1997'!$M$7,'[5]1997'!#REF!,'[5]1997'!$A$10,'[5]1997'!$A$11,'[5]1997'!$L$10,'[5]1997'!$L$11,'[5]1997'!$M$10,'[5]1997'!$M$11,'[5]1997'!#REF!,'[5]1997'!#REF!,'[5]1997'!$Q$20,'[5]1997'!$L$19,'[5]1997'!$M$19,'[5]1997'!#REF!</definedName>
    <definedName name="new_chart" localSheetId="34">'[5]1997'!$A$7,'[5]1997'!$L$7,'[5]1997'!$M$7,'[5]1997'!#REF!,'[5]1997'!$A$10,'[5]1997'!$A$11,'[5]1997'!$L$10,'[5]1997'!$L$11,'[5]1997'!$M$10,'[5]1997'!$M$11,'[5]1997'!#REF!,'[5]1997'!#REF!,'[5]1997'!$Q$20,'[5]1997'!$L$19,'[5]1997'!$M$19,'[5]1997'!#REF!</definedName>
    <definedName name="new_chart" localSheetId="35">'[5]1997'!$A$7,'[5]1997'!$L$7,'[5]1997'!$M$7,'[5]1997'!#REF!,'[5]1997'!$A$10,'[5]1997'!$A$11,'[5]1997'!$L$10,'[5]1997'!$L$11,'[5]1997'!$M$10,'[5]1997'!$M$11,'[5]1997'!#REF!,'[5]1997'!#REF!,'[5]1997'!$Q$20,'[5]1997'!$L$19,'[5]1997'!$M$19,'[5]1997'!#REF!</definedName>
    <definedName name="new_chart" localSheetId="31">'[5]1997'!$A$7,'[5]1997'!$L$7,'[5]1997'!$M$7,'[5]1997'!#REF!,'[5]1997'!$A$10,'[5]1997'!$A$11,'[5]1997'!$L$10,'[5]1997'!$L$11,'[5]1997'!$M$10,'[5]1997'!$M$11,'[5]1997'!#REF!,'[5]1997'!#REF!,'[5]1997'!$Q$20,'[5]1997'!$L$19,'[5]1997'!$M$19,'[5]1997'!#REF!</definedName>
    <definedName name="new_chart" localSheetId="30">'[5]1997'!$A$7,'[5]1997'!$L$7,'[5]1997'!$M$7,'[5]1997'!#REF!,'[5]1997'!$A$10,'[5]1997'!$A$11,'[5]1997'!$L$10,'[5]1997'!$L$11,'[5]1997'!$M$10,'[5]1997'!$M$11,'[5]1997'!#REF!,'[5]1997'!#REF!,'[5]1997'!$Q$20,'[5]1997'!$L$19,'[5]1997'!$M$19,'[5]1997'!#REF!</definedName>
    <definedName name="new_chart" localSheetId="36">'[5]1997'!$A$7,'[5]1997'!$L$7,'[5]1997'!$M$7,'[5]1997'!#REF!,'[5]1997'!$A$10,'[5]1997'!$A$11,'[5]1997'!$L$10,'[5]1997'!$L$11,'[5]1997'!$M$10,'[5]1997'!$M$11,'[5]1997'!#REF!,'[5]1997'!#REF!,'[5]1997'!$Q$20,'[5]1997'!$L$19,'[5]1997'!$M$19,'[5]1997'!#REF!</definedName>
    <definedName name="new_chart" localSheetId="11">'[5]1997'!$A$7,'[5]1997'!$L$7,'[5]1997'!$M$7,'[5]1997'!#REF!,'[5]1997'!$A$10,'[5]1997'!$A$11,'[5]1997'!$L$10,'[5]1997'!$L$11,'[5]1997'!$M$10,'[5]1997'!$M$11,'[5]1997'!#REF!,'[5]1997'!#REF!,'[5]1997'!$Q$20,'[5]1997'!$L$19,'[5]1997'!$M$19,'[5]1997'!#REF!</definedName>
    <definedName name="new_chart">'[5]1997'!$A$7,'[5]1997'!$L$7,'[5]1997'!$M$7,'[5]1997'!#REF!,'[5]1997'!$A$10,'[5]1997'!$A$11,'[5]1997'!$L$10,'[5]1997'!$L$11,'[5]1997'!$M$10,'[5]1997'!$M$11,'[5]1997'!#REF!,'[5]1997'!#REF!,'[5]1997'!$Q$20,'[5]1997'!$L$19,'[5]1997'!$M$19,'[5]1997'!#REF!</definedName>
    <definedName name="new_dialog" localSheetId="20">[5]!Dialog</definedName>
    <definedName name="new_dialog" localSheetId="19">[5]!Dialog</definedName>
    <definedName name="new_dialog" localSheetId="22">[5]!Dialog</definedName>
    <definedName name="new_dialog" localSheetId="27">[5]!Dialog</definedName>
    <definedName name="new_dialog" localSheetId="33">[5]!Dialog</definedName>
    <definedName name="new_dialog" localSheetId="34">[5]!Dialog</definedName>
    <definedName name="new_dialog" localSheetId="35">[5]!Dialog</definedName>
    <definedName name="new_dialog" localSheetId="31">[5]!Dialog</definedName>
    <definedName name="new_dialog" localSheetId="30">[5]!Dialog</definedName>
    <definedName name="new_dialog" localSheetId="36">[5]!Dialog</definedName>
    <definedName name="new_dialog">[5]!Dialog</definedName>
    <definedName name="new_table" localSheetId="20">#REF!</definedName>
    <definedName name="new_table" localSheetId="19">#REF!</definedName>
    <definedName name="new_table" localSheetId="22">#REF!</definedName>
    <definedName name="new_table" localSheetId="27">#REF!</definedName>
    <definedName name="new_table" localSheetId="33">#REF!</definedName>
    <definedName name="new_table" localSheetId="34">#REF!</definedName>
    <definedName name="new_table" localSheetId="35">#REF!</definedName>
    <definedName name="new_table" localSheetId="31">#REF!</definedName>
    <definedName name="new_table" localSheetId="30">#REF!</definedName>
    <definedName name="new_table" localSheetId="36">#REF!</definedName>
    <definedName name="new_table" localSheetId="11">#REF!</definedName>
    <definedName name="new_table">#REF!</definedName>
    <definedName name="OldData" localSheetId="20">#REF!</definedName>
    <definedName name="OldData" localSheetId="19">#REF!</definedName>
    <definedName name="OldData" localSheetId="22">#REF!</definedName>
    <definedName name="OldData" localSheetId="27">#REF!</definedName>
    <definedName name="OldData" localSheetId="33">#REF!</definedName>
    <definedName name="OldData" localSheetId="34">#REF!</definedName>
    <definedName name="OldData" localSheetId="35">#REF!</definedName>
    <definedName name="OldData" localSheetId="31">#REF!</definedName>
    <definedName name="OldData" localSheetId="30">#REF!</definedName>
    <definedName name="OldData" localSheetId="36">#REF!</definedName>
    <definedName name="OldData" localSheetId="11">#REF!</definedName>
    <definedName name="OldData">#REF!</definedName>
    <definedName name="_xlnm.Print_Area" localSheetId="20">#REF!</definedName>
    <definedName name="_xlnm.Print_Area" localSheetId="19">#REF!</definedName>
    <definedName name="_xlnm.Print_Area" localSheetId="22">#REF!</definedName>
    <definedName name="_xlnm.Print_Area" localSheetId="27">#REF!</definedName>
    <definedName name="_xlnm.Print_Area" localSheetId="33">#REF!</definedName>
    <definedName name="_xlnm.Print_Area" localSheetId="34">#REF!</definedName>
    <definedName name="_xlnm.Print_Area" localSheetId="35">#REF!</definedName>
    <definedName name="_xlnm.Print_Area" localSheetId="31">#REF!</definedName>
    <definedName name="_xlnm.Print_Area" localSheetId="30">#REF!</definedName>
    <definedName name="_xlnm.Print_Area" localSheetId="36">#REF!</definedName>
    <definedName name="_xlnm.Print_Area" localSheetId="11">#REF!</definedName>
    <definedName name="_xlnm.Print_Area">#REF!</definedName>
    <definedName name="printarea" localSheetId="20">#REF!</definedName>
    <definedName name="printarea" localSheetId="19">#REF!</definedName>
    <definedName name="printarea" localSheetId="22">#REF!</definedName>
    <definedName name="printarea" localSheetId="27">#REF!</definedName>
    <definedName name="printarea" localSheetId="33">#REF!</definedName>
    <definedName name="printarea" localSheetId="34">#REF!</definedName>
    <definedName name="printarea" localSheetId="35">#REF!</definedName>
    <definedName name="printarea" localSheetId="31">#REF!</definedName>
    <definedName name="printarea" localSheetId="30">#REF!</definedName>
    <definedName name="printarea" localSheetId="36">#REF!</definedName>
    <definedName name="printarea">#REF!</definedName>
    <definedName name="PUBLISH1998_Print_Area" localSheetId="20">#REF!</definedName>
    <definedName name="PUBLISH1998_Print_Area" localSheetId="19">#REF!</definedName>
    <definedName name="PUBLISH1998_Print_Area" localSheetId="22">#REF!</definedName>
    <definedName name="PUBLISH1998_Print_Area" localSheetId="27">#REF!</definedName>
    <definedName name="PUBLISH1998_Print_Area" localSheetId="33">#REF!</definedName>
    <definedName name="PUBLISH1998_Print_Area" localSheetId="34">#REF!</definedName>
    <definedName name="PUBLISH1998_Print_Area" localSheetId="35">#REF!</definedName>
    <definedName name="PUBLISH1998_Print_Area" localSheetId="31">#REF!</definedName>
    <definedName name="PUBLISH1998_Print_Area" localSheetId="30">#REF!</definedName>
    <definedName name="PUBLISH1998_Print_Area" localSheetId="36">#REF!</definedName>
    <definedName name="PUBLISH1998_Print_Area">#REF!</definedName>
    <definedName name="Suggested">'Inputs TO'!$A$41:$A$42</definedName>
    <definedName name="TABA1_2">#N/A</definedName>
    <definedName name="TABA3">#N/A</definedName>
    <definedName name="TABB1_2">#N/A</definedName>
    <definedName name="TableTitle" localSheetId="20">#REF!</definedName>
    <definedName name="TableTitle" localSheetId="19">#REF!</definedName>
    <definedName name="TableTitle" localSheetId="22">#REF!</definedName>
    <definedName name="TableTitle" localSheetId="27">#REF!</definedName>
    <definedName name="TableTitle" localSheetId="33">#REF!</definedName>
    <definedName name="TableTitle" localSheetId="34">#REF!</definedName>
    <definedName name="TableTitle" localSheetId="35">#REF!</definedName>
    <definedName name="TableTitle" localSheetId="31">#REF!</definedName>
    <definedName name="TableTitle" localSheetId="30">#REF!</definedName>
    <definedName name="TableTitle" localSheetId="36">#REF!</definedName>
    <definedName name="TableTitle" localSheetId="11">#REF!</definedName>
    <definedName name="TableTitle">#REF!</definedName>
    <definedName name="testing" localSheetId="20">#REF!</definedName>
    <definedName name="testing" localSheetId="19">#REF!</definedName>
    <definedName name="testing" localSheetId="22">#REF!</definedName>
    <definedName name="testing" localSheetId="27">#REF!</definedName>
    <definedName name="testing" localSheetId="33">#REF!</definedName>
    <definedName name="testing" localSheetId="34">#REF!</definedName>
    <definedName name="testing" localSheetId="35">#REF!</definedName>
    <definedName name="testing" localSheetId="31">#REF!</definedName>
    <definedName name="testing" localSheetId="30">#REF!</definedName>
    <definedName name="testing" localSheetId="36">#REF!</definedName>
    <definedName name="testing" localSheetId="11">#REF!</definedName>
    <definedName name="testing">#REF!</definedName>
    <definedName name="TransitWalks">#REF!</definedName>
    <definedName name="ValueTitle" localSheetId="20">#REF!</definedName>
    <definedName name="ValueTitle" localSheetId="19">#REF!</definedName>
    <definedName name="ValueTitle" localSheetId="22">#REF!</definedName>
    <definedName name="ValueTitle" localSheetId="27">#REF!</definedName>
    <definedName name="ValueTitle" localSheetId="33">#REF!</definedName>
    <definedName name="ValueTitle" localSheetId="34">#REF!</definedName>
    <definedName name="ValueTitle" localSheetId="35">#REF!</definedName>
    <definedName name="ValueTitle" localSheetId="31">#REF!</definedName>
    <definedName name="ValueTitle" localSheetId="30">#REF!</definedName>
    <definedName name="ValueTitle" localSheetId="36">#REF!</definedName>
    <definedName name="ValueTitle" localSheetId="11">#REF!</definedName>
    <definedName name="ValueTitle">#REF!</definedName>
    <definedName name="wrn.flifted." localSheetId="27" hidden="1">{#N/A,#N/A,FALSE,"Summary";#N/A,#N/A,FALSE,"road";#N/A,#N/A,FALSE,"raillifted";#N/A,#N/A,FALSE,"inlandwaterway";#N/A,#N/A,FALSE,"seagoing";#N/A,#N/A,FALSE,"pipeline"}</definedName>
    <definedName name="wrn.flifted." localSheetId="11"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27" hidden="1">{#N/A,#N/A,FALSE,"road";#N/A,#N/A,FALSE,"inlandwaterway";#N/A,#N/A,FALSE,"seagoing";#N/A,#N/A,FALSE,"pipeline"}</definedName>
    <definedName name="wrn.fmoved." localSheetId="11" hidden="1">{#N/A,#N/A,FALSE,"road";#N/A,#N/A,FALSE,"inlandwaterway";#N/A,#N/A,FALSE,"seagoing";#N/A,#N/A,FALSE,"pipeline"}</definedName>
    <definedName name="wrn.fmoved." hidden="1">{#N/A,#N/A,FALSE,"road";#N/A,#N/A,FALSE,"inlandwaterway";#N/A,#N/A,FALSE,"seagoing";#N/A,#N/A,FALSE,"pipeline"}</definedName>
    <definedName name="wrn.rail." localSheetId="27" hidden="1">{#N/A,#N/A,FALSE,"inopert";#N/A,#N/A,FALSE,"electrified";#N/A,#N/A,FALSE,"network"}</definedName>
    <definedName name="wrn.rail." localSheetId="11" hidden="1">{#N/A,#N/A,FALSE,"inopert";#N/A,#N/A,FALSE,"electrified";#N/A,#N/A,FALSE,"network"}</definedName>
    <definedName name="wrn.rail." hidden="1">{#N/A,#N/A,FALSE,"inopert";#N/A,#N/A,FALSE,"electrified";#N/A,#N/A,FALSE,"network"}</definedName>
    <definedName name="year" localSheetId="20">#REF!</definedName>
    <definedName name="year" localSheetId="19">#REF!</definedName>
    <definedName name="year" localSheetId="22">#REF!</definedName>
    <definedName name="year" localSheetId="27">#REF!</definedName>
    <definedName name="year" localSheetId="33">#REF!</definedName>
    <definedName name="year" localSheetId="34">#REF!</definedName>
    <definedName name="year" localSheetId="35">#REF!</definedName>
    <definedName name="year" localSheetId="31">#REF!</definedName>
    <definedName name="year" localSheetId="30">#REF!</definedName>
    <definedName name="year" localSheetId="36">#REF!</definedName>
    <definedName name="year" localSheetId="11">#REF!</definedName>
    <definedName name="year">#REF!</definedName>
    <definedName name="Years">[3]Counties!$C$19:$C$27</definedName>
  </definedNames>
  <calcPr calcId="145621"/>
</workbook>
</file>

<file path=xl/calcChain.xml><?xml version="1.0" encoding="utf-8"?>
<calcChain xmlns="http://schemas.openxmlformats.org/spreadsheetml/2006/main">
  <c r="H41" i="54" l="1"/>
  <c r="G47" i="54"/>
  <c r="H39" i="54" s="1"/>
  <c r="I47" i="54"/>
  <c r="J41" i="54" s="1"/>
  <c r="B4" i="99"/>
  <c r="B10" i="99" s="1"/>
  <c r="B6" i="99"/>
  <c r="C50" i="54"/>
  <c r="E50" i="54"/>
  <c r="B9" i="99"/>
  <c r="A10" i="99"/>
  <c r="AD4" i="7" l="1"/>
  <c r="AE3" i="7"/>
  <c r="AE3" i="51" s="1"/>
  <c r="AE11" i="51" s="1"/>
  <c r="AF4" i="7"/>
  <c r="AG3" i="7"/>
  <c r="AG3" i="51" s="1"/>
  <c r="C48" i="54"/>
  <c r="E49" i="54"/>
  <c r="C49" i="54"/>
  <c r="E48" i="54"/>
  <c r="J36" i="54"/>
  <c r="J35" i="54"/>
  <c r="J45" i="54"/>
  <c r="H42" i="54"/>
  <c r="J37" i="54"/>
  <c r="H36" i="54"/>
  <c r="H35" i="54"/>
  <c r="J42" i="54"/>
  <c r="H45" i="54"/>
  <c r="J40" i="54"/>
  <c r="J39" i="54"/>
  <c r="H37" i="54"/>
  <c r="H40" i="54"/>
  <c r="AF14" i="100"/>
  <c r="C14" i="100"/>
  <c r="D14" i="100"/>
  <c r="E14" i="100"/>
  <c r="F14" i="100"/>
  <c r="G14" i="100"/>
  <c r="H14" i="100"/>
  <c r="I14" i="100"/>
  <c r="J14" i="100"/>
  <c r="K14" i="100"/>
  <c r="L14" i="100"/>
  <c r="M14" i="100"/>
  <c r="N14" i="100"/>
  <c r="O14" i="100"/>
  <c r="P14" i="100"/>
  <c r="Q14" i="100"/>
  <c r="R14" i="100"/>
  <c r="S14" i="100"/>
  <c r="T14" i="100"/>
  <c r="U14" i="100"/>
  <c r="V14" i="100"/>
  <c r="W14" i="100"/>
  <c r="X14" i="100"/>
  <c r="Y14" i="100"/>
  <c r="Z14" i="100"/>
  <c r="AA14" i="100"/>
  <c r="AB14" i="100"/>
  <c r="AC14" i="100"/>
  <c r="AD14" i="100"/>
  <c r="AE14" i="100"/>
  <c r="B14" i="100"/>
  <c r="AF13" i="100"/>
  <c r="C13" i="100"/>
  <c r="D13" i="100"/>
  <c r="E13" i="100"/>
  <c r="F13" i="100"/>
  <c r="G13" i="100"/>
  <c r="H13" i="100"/>
  <c r="I13" i="100"/>
  <c r="J13" i="100"/>
  <c r="K13" i="100"/>
  <c r="L13" i="100"/>
  <c r="M13" i="100"/>
  <c r="N13" i="100"/>
  <c r="O13" i="100"/>
  <c r="P13" i="100"/>
  <c r="Q13" i="100"/>
  <c r="R13" i="100"/>
  <c r="S13" i="100"/>
  <c r="T13" i="100"/>
  <c r="U13" i="100"/>
  <c r="V13" i="100"/>
  <c r="W13" i="100"/>
  <c r="X13" i="100"/>
  <c r="Y13" i="100"/>
  <c r="Z13" i="100"/>
  <c r="AA13" i="100"/>
  <c r="AB13" i="100"/>
  <c r="AC13" i="100"/>
  <c r="AD13" i="100"/>
  <c r="AE13" i="100"/>
  <c r="B13" i="100"/>
  <c r="Z4" i="100"/>
  <c r="Y4" i="100"/>
  <c r="AD8" i="51" l="1"/>
  <c r="AE8" i="51"/>
  <c r="AE6" i="51"/>
  <c r="AD11" i="51"/>
  <c r="AD9" i="51"/>
  <c r="AD12" i="51"/>
  <c r="AE13" i="51"/>
  <c r="AE9" i="51"/>
  <c r="AD13" i="51"/>
  <c r="AD6" i="51"/>
  <c r="AE10" i="51"/>
  <c r="AE7" i="51"/>
  <c r="AD7" i="51"/>
  <c r="AE12" i="51"/>
  <c r="AD10" i="51"/>
  <c r="J47" i="54"/>
  <c r="H47" i="54"/>
  <c r="AF6" i="7"/>
  <c r="F35" i="93"/>
  <c r="F36" i="93"/>
  <c r="F37" i="93"/>
  <c r="F38" i="93"/>
  <c r="F39" i="93"/>
  <c r="F40" i="93"/>
  <c r="F41" i="93"/>
  <c r="F42" i="93"/>
  <c r="F43" i="93"/>
  <c r="F44" i="93"/>
  <c r="F45" i="93"/>
  <c r="F46" i="93"/>
  <c r="F47" i="93"/>
  <c r="F48" i="93"/>
  <c r="F49" i="93"/>
  <c r="F34" i="93"/>
  <c r="F19" i="93"/>
  <c r="F20" i="93"/>
  <c r="F21" i="93"/>
  <c r="F22" i="93"/>
  <c r="F23" i="93"/>
  <c r="F24" i="93"/>
  <c r="F25" i="93"/>
  <c r="F26" i="93"/>
  <c r="F27" i="93"/>
  <c r="F28" i="93"/>
  <c r="F29" i="93"/>
  <c r="F30" i="93"/>
  <c r="F31" i="93"/>
  <c r="F32" i="93"/>
  <c r="F33" i="93"/>
  <c r="F18" i="93"/>
  <c r="F3" i="93"/>
  <c r="F4" i="93"/>
  <c r="F5" i="93"/>
  <c r="F6" i="93"/>
  <c r="F7" i="93"/>
  <c r="F8" i="93"/>
  <c r="F9" i="93"/>
  <c r="F10" i="93"/>
  <c r="F11" i="93"/>
  <c r="F12" i="93"/>
  <c r="F13" i="93"/>
  <c r="F14" i="93"/>
  <c r="F15" i="93"/>
  <c r="F16" i="93"/>
  <c r="F17" i="93"/>
  <c r="F2" i="93"/>
  <c r="AD7" i="7" l="1"/>
  <c r="AD9" i="7"/>
  <c r="AD11" i="7"/>
  <c r="AD13" i="7"/>
  <c r="AE7" i="7"/>
  <c r="AE9" i="7"/>
  <c r="AE11" i="7"/>
  <c r="AE13" i="7"/>
  <c r="AD8" i="7"/>
  <c r="AD10" i="7"/>
  <c r="AD12" i="7"/>
  <c r="AD6" i="7"/>
  <c r="AE8" i="7"/>
  <c r="AE10" i="7"/>
  <c r="AE12" i="7"/>
  <c r="AE6" i="7"/>
  <c r="D5" i="91"/>
  <c r="I5" i="91" l="1"/>
  <c r="E5" i="91"/>
  <c r="B5" i="99" l="1"/>
  <c r="B7" i="99" s="1"/>
  <c r="I6" i="91" l="1"/>
  <c r="G10" i="91" s="1"/>
  <c r="E1" i="99" l="1"/>
  <c r="B3" i="90"/>
  <c r="T2" i="88"/>
  <c r="E14" i="91" l="1"/>
  <c r="D13" i="91"/>
  <c r="C36" i="54" s="1"/>
  <c r="E13" i="91"/>
  <c r="E36" i="54" s="1"/>
  <c r="D14" i="91"/>
  <c r="D12" i="91"/>
  <c r="E12" i="91" l="1"/>
  <c r="E35" i="54" s="1"/>
  <c r="E47" i="54" l="1"/>
  <c r="F35" i="54"/>
  <c r="F47" i="54" s="1"/>
  <c r="H163" i="83"/>
  <c r="M163" i="83"/>
  <c r="H164" i="83"/>
  <c r="M164" i="83"/>
  <c r="H165" i="83"/>
  <c r="M165" i="83"/>
  <c r="H166" i="83"/>
  <c r="M166" i="83"/>
  <c r="H88" i="83"/>
  <c r="M88" i="83"/>
  <c r="H89" i="83"/>
  <c r="M89" i="83"/>
  <c r="H90" i="83"/>
  <c r="M90" i="83"/>
  <c r="H91" i="83"/>
  <c r="M91" i="83"/>
  <c r="H92" i="83"/>
  <c r="H93" i="83"/>
  <c r="H94" i="83"/>
  <c r="H95" i="83"/>
  <c r="H96" i="83"/>
  <c r="H97" i="83"/>
  <c r="H98" i="83"/>
  <c r="H99" i="83"/>
  <c r="H100" i="83"/>
  <c r="H101" i="83"/>
  <c r="H102" i="83"/>
  <c r="H103" i="83"/>
  <c r="H37" i="83"/>
  <c r="M37" i="83"/>
  <c r="H38" i="83"/>
  <c r="M38" i="83"/>
  <c r="H39" i="83"/>
  <c r="M39" i="83"/>
  <c r="H40" i="83"/>
  <c r="M40" i="83"/>
  <c r="H41" i="83"/>
  <c r="H42" i="83"/>
  <c r="H43" i="83"/>
  <c r="H44" i="83"/>
  <c r="H45" i="83"/>
  <c r="H46" i="83"/>
  <c r="H47" i="83"/>
  <c r="H48" i="83"/>
  <c r="H49" i="83"/>
  <c r="H50" i="83"/>
  <c r="H51" i="83"/>
  <c r="H52" i="83"/>
  <c r="F37" i="54" l="1"/>
  <c r="F40" i="54"/>
  <c r="F42" i="54"/>
  <c r="F45" i="54"/>
  <c r="F41" i="54"/>
  <c r="F39" i="54"/>
  <c r="F36" i="54"/>
  <c r="L236" i="83"/>
  <c r="K236" i="83"/>
  <c r="J236" i="83"/>
  <c r="L214" i="83"/>
  <c r="K214" i="83"/>
  <c r="J214" i="83"/>
  <c r="L197" i="83"/>
  <c r="K197" i="83"/>
  <c r="J197" i="83"/>
  <c r="L179" i="83"/>
  <c r="K179" i="83"/>
  <c r="J179" i="83"/>
  <c r="L157" i="83"/>
  <c r="K157" i="83"/>
  <c r="J157" i="83"/>
  <c r="L138" i="83"/>
  <c r="K138" i="83"/>
  <c r="J138" i="83"/>
  <c r="L121" i="83"/>
  <c r="K121" i="83"/>
  <c r="J121" i="83"/>
  <c r="L104" i="83"/>
  <c r="K104" i="83"/>
  <c r="J104" i="83"/>
  <c r="L87" i="83"/>
  <c r="K87" i="83"/>
  <c r="J87" i="83"/>
  <c r="L70" i="83"/>
  <c r="K70" i="83"/>
  <c r="J70" i="83"/>
  <c r="L53" i="83"/>
  <c r="K53" i="83"/>
  <c r="J53" i="83"/>
  <c r="L36" i="83"/>
  <c r="K36" i="83"/>
  <c r="J36" i="83"/>
  <c r="L19" i="83"/>
  <c r="K19" i="83"/>
  <c r="J19" i="83"/>
  <c r="G157" i="83"/>
  <c r="M137" i="83"/>
  <c r="M136" i="83"/>
  <c r="M135" i="83"/>
  <c r="M134" i="83"/>
  <c r="M133" i="83"/>
  <c r="M132" i="83"/>
  <c r="M131" i="83"/>
  <c r="M130" i="83"/>
  <c r="M129" i="83"/>
  <c r="M128" i="83"/>
  <c r="M127" i="83"/>
  <c r="M126" i="83"/>
  <c r="M125" i="83"/>
  <c r="M124" i="83"/>
  <c r="M123" i="83"/>
  <c r="M122" i="83"/>
  <c r="I138" i="83"/>
  <c r="I121" i="83"/>
  <c r="M105" i="83"/>
  <c r="M106" i="83"/>
  <c r="M107" i="83"/>
  <c r="M108" i="83"/>
  <c r="M109" i="83"/>
  <c r="M110" i="83"/>
  <c r="M111" i="83"/>
  <c r="M112" i="83"/>
  <c r="M113" i="83"/>
  <c r="M114" i="83"/>
  <c r="M115" i="83"/>
  <c r="M116" i="83"/>
  <c r="M117" i="83"/>
  <c r="M118" i="83"/>
  <c r="M119" i="83"/>
  <c r="M120" i="83"/>
  <c r="M3" i="83"/>
  <c r="M4" i="83"/>
  <c r="M5" i="83"/>
  <c r="M6" i="83"/>
  <c r="M7" i="83"/>
  <c r="M8" i="83"/>
  <c r="M9" i="83"/>
  <c r="M10" i="83"/>
  <c r="M11" i="83"/>
  <c r="M12" i="83"/>
  <c r="M13" i="83"/>
  <c r="M14" i="83"/>
  <c r="M15" i="83"/>
  <c r="M16" i="83"/>
  <c r="M17" i="83"/>
  <c r="M18" i="83"/>
  <c r="I236" i="83"/>
  <c r="I214" i="83"/>
  <c r="I197" i="83"/>
  <c r="I179" i="83"/>
  <c r="I161" i="83"/>
  <c r="I157" i="83"/>
  <c r="I104" i="83"/>
  <c r="I87" i="83"/>
  <c r="I70" i="83"/>
  <c r="I53" i="83"/>
  <c r="I36" i="83"/>
  <c r="M138" i="83" l="1"/>
  <c r="M121" i="83"/>
  <c r="M19" i="83"/>
  <c r="R18" i="96" l="1" a="1"/>
  <c r="R18" i="96" s="1"/>
  <c r="R17" i="96" a="1"/>
  <c r="R17" i="96" s="1"/>
  <c r="R16" i="96" a="1"/>
  <c r="R16" i="96" s="1"/>
  <c r="R15" i="96" a="1"/>
  <c r="R15" i="96" s="1"/>
  <c r="R14" i="96" a="1"/>
  <c r="R14" i="96" s="1"/>
  <c r="R13" i="96" a="1"/>
  <c r="R13" i="96" s="1"/>
  <c r="R12" i="96" a="1"/>
  <c r="R12" i="96" s="1"/>
  <c r="R11" i="96" a="1"/>
  <c r="R11" i="96" s="1"/>
  <c r="R10" i="96" a="1"/>
  <c r="R10" i="96" s="1"/>
  <c r="R9" i="96" a="1"/>
  <c r="R9" i="96" s="1"/>
  <c r="R8" i="96" a="1"/>
  <c r="R8" i="96" s="1"/>
  <c r="R7" i="96" a="1"/>
  <c r="R7" i="96" s="1"/>
  <c r="R6" i="96" a="1"/>
  <c r="R6" i="96" s="1"/>
  <c r="R5" i="96" a="1"/>
  <c r="R5" i="96" s="1"/>
  <c r="R4" i="96" a="1"/>
  <c r="R4" i="96" s="1"/>
  <c r="R3" i="96" a="1"/>
  <c r="R3" i="96" s="1"/>
  <c r="T2" i="96"/>
  <c r="P229" i="96"/>
  <c r="R229" i="96" s="1"/>
  <c r="P228" i="96"/>
  <c r="R228" i="96" s="1"/>
  <c r="P227" i="96"/>
  <c r="R227" i="96" s="1"/>
  <c r="R226" i="96"/>
  <c r="P226" i="96"/>
  <c r="P225" i="96"/>
  <c r="R225" i="96" s="1"/>
  <c r="R224" i="96"/>
  <c r="P224" i="96"/>
  <c r="R223" i="96"/>
  <c r="P223" i="96"/>
  <c r="R222" i="96"/>
  <c r="P222" i="96"/>
  <c r="P221" i="96"/>
  <c r="R221" i="96" s="1"/>
  <c r="P220" i="96"/>
  <c r="R220" i="96" s="1"/>
  <c r="P219" i="96"/>
  <c r="R219" i="96" s="1"/>
  <c r="R218" i="96"/>
  <c r="P218" i="96"/>
  <c r="R217" i="96"/>
  <c r="P217" i="96"/>
  <c r="R216" i="96"/>
  <c r="P216" i="96"/>
  <c r="R215" i="96"/>
  <c r="P215" i="96"/>
  <c r="R214" i="96"/>
  <c r="P214" i="96"/>
  <c r="R213" i="96"/>
  <c r="P213" i="96"/>
  <c r="R212" i="96"/>
  <c r="P212" i="96"/>
  <c r="P211" i="96"/>
  <c r="R211" i="96" s="1"/>
  <c r="R210" i="96"/>
  <c r="P210" i="96"/>
  <c r="P209" i="96"/>
  <c r="R209" i="96" s="1"/>
  <c r="R208" i="96"/>
  <c r="P208" i="96"/>
  <c r="P207" i="96"/>
  <c r="R207" i="96" s="1"/>
  <c r="R206" i="96"/>
  <c r="P206" i="96"/>
  <c r="R205" i="96"/>
  <c r="P205" i="96"/>
  <c r="R204" i="96"/>
  <c r="P204" i="96"/>
  <c r="R203" i="96"/>
  <c r="P203" i="96"/>
  <c r="R202" i="96"/>
  <c r="P202" i="96"/>
  <c r="R201" i="96"/>
  <c r="P201" i="96"/>
  <c r="R200" i="96"/>
  <c r="P200" i="96"/>
  <c r="R199" i="96"/>
  <c r="P199" i="96"/>
  <c r="R198" i="96"/>
  <c r="P198" i="96"/>
  <c r="P197" i="96"/>
  <c r="R197" i="96" s="1"/>
  <c r="P196" i="96"/>
  <c r="R196" i="96" s="1"/>
  <c r="P195" i="96"/>
  <c r="R195" i="96" s="1"/>
  <c r="R194" i="96"/>
  <c r="P194" i="96"/>
  <c r="P193" i="96"/>
  <c r="R193" i="96" s="1"/>
  <c r="R192" i="96"/>
  <c r="P192" i="96"/>
  <c r="R191" i="96"/>
  <c r="P191" i="96"/>
  <c r="R190" i="96"/>
  <c r="P190" i="96"/>
  <c r="P189" i="96"/>
  <c r="R189" i="96" s="1"/>
  <c r="P188" i="96"/>
  <c r="R188" i="96" s="1"/>
  <c r="P187" i="96"/>
  <c r="R187" i="96" s="1"/>
  <c r="R186" i="96"/>
  <c r="P186" i="96"/>
  <c r="P185" i="96"/>
  <c r="R185" i="96" s="1"/>
  <c r="R184" i="96"/>
  <c r="P184" i="96"/>
  <c r="R183" i="96"/>
  <c r="P183" i="96"/>
  <c r="R182" i="96"/>
  <c r="P182" i="96"/>
  <c r="P181" i="96"/>
  <c r="R181" i="96" s="1"/>
  <c r="P180" i="96"/>
  <c r="R180" i="96" s="1"/>
  <c r="P179" i="96"/>
  <c r="R179" i="96" s="1"/>
  <c r="R178" i="96"/>
  <c r="P178" i="96"/>
  <c r="P177" i="96"/>
  <c r="R177" i="96" s="1"/>
  <c r="R176" i="96"/>
  <c r="P176" i="96"/>
  <c r="R175" i="96"/>
  <c r="P175" i="96"/>
  <c r="R174" i="96"/>
  <c r="P174" i="96"/>
  <c r="P173" i="96"/>
  <c r="R173" i="96" s="1"/>
  <c r="P172" i="96"/>
  <c r="R172" i="96" s="1"/>
  <c r="P171" i="96"/>
  <c r="R171" i="96" s="1"/>
  <c r="R170" i="96"/>
  <c r="P170" i="96"/>
  <c r="R169" i="96"/>
  <c r="P169" i="96"/>
  <c r="R168" i="96"/>
  <c r="P168" i="96"/>
  <c r="R167" i="96"/>
  <c r="P167" i="96"/>
  <c r="R166" i="96"/>
  <c r="P166" i="96"/>
  <c r="P165" i="96"/>
  <c r="R165" i="96" s="1"/>
  <c r="P164" i="96"/>
  <c r="R164" i="96" s="1"/>
  <c r="R163" i="96"/>
  <c r="P163" i="96"/>
  <c r="R162" i="96"/>
  <c r="P162" i="96"/>
  <c r="R161" i="96"/>
  <c r="P161" i="96"/>
  <c r="R160" i="96"/>
  <c r="P160" i="96"/>
  <c r="R159" i="96"/>
  <c r="P159" i="96"/>
  <c r="R158" i="96"/>
  <c r="P158" i="96"/>
  <c r="P157" i="96"/>
  <c r="R157" i="96" s="1"/>
  <c r="R156" i="96"/>
  <c r="P156" i="96"/>
  <c r="R155" i="96"/>
  <c r="P155" i="96"/>
  <c r="R154" i="96"/>
  <c r="P154" i="96"/>
  <c r="R153" i="96"/>
  <c r="P153" i="96"/>
  <c r="R152" i="96"/>
  <c r="P152" i="96"/>
  <c r="R151" i="96"/>
  <c r="P151" i="96"/>
  <c r="R150" i="96"/>
  <c r="P150" i="96"/>
  <c r="P149" i="96"/>
  <c r="R149" i="96" s="1"/>
  <c r="P148" i="96"/>
  <c r="R148" i="96" s="1"/>
  <c r="P147" i="96"/>
  <c r="R147" i="96" s="1"/>
  <c r="R146" i="96"/>
  <c r="P146" i="96"/>
  <c r="P145" i="96"/>
  <c r="R145" i="96" s="1"/>
  <c r="P144" i="96"/>
  <c r="R144" i="96" s="1"/>
  <c r="R143" i="96"/>
  <c r="P143" i="96"/>
  <c r="R142" i="96"/>
  <c r="P142" i="96"/>
  <c r="P141" i="96"/>
  <c r="R141" i="96" s="1"/>
  <c r="P140" i="96"/>
  <c r="R140" i="96" s="1"/>
  <c r="P139" i="96"/>
  <c r="R139" i="96" s="1"/>
  <c r="P138" i="96"/>
  <c r="R138" i="96" s="1"/>
  <c r="P137" i="96"/>
  <c r="R137" i="96" s="1"/>
  <c r="P136" i="96"/>
  <c r="R136" i="96" s="1"/>
  <c r="R135" i="96"/>
  <c r="P135" i="96"/>
  <c r="R134" i="96"/>
  <c r="P134" i="96"/>
  <c r="P133" i="96"/>
  <c r="R133" i="96" s="1"/>
  <c r="R132" i="96"/>
  <c r="P132" i="96"/>
  <c r="P131" i="96"/>
  <c r="R131" i="96" s="1"/>
  <c r="R130" i="96"/>
  <c r="P130" i="96"/>
  <c r="R129" i="96"/>
  <c r="P129" i="96"/>
  <c r="R128" i="96"/>
  <c r="P128" i="96"/>
  <c r="R127" i="96"/>
  <c r="P127" i="96"/>
  <c r="R126" i="96"/>
  <c r="P126" i="96"/>
  <c r="P125" i="96"/>
  <c r="R125" i="96" s="1"/>
  <c r="R124" i="96"/>
  <c r="P124" i="96"/>
  <c r="R123" i="96"/>
  <c r="P123" i="96"/>
  <c r="R122" i="96"/>
  <c r="P122" i="96"/>
  <c r="R121" i="96"/>
  <c r="P121" i="96"/>
  <c r="R120" i="96"/>
  <c r="P120" i="96"/>
  <c r="R119" i="96"/>
  <c r="P119" i="96"/>
  <c r="R118" i="96"/>
  <c r="P118" i="96"/>
  <c r="P117" i="96"/>
  <c r="R117" i="96" s="1"/>
  <c r="P116" i="96"/>
  <c r="R116" i="96" s="1"/>
  <c r="P115" i="96"/>
  <c r="R115" i="96" s="1"/>
  <c r="R114" i="96"/>
  <c r="P114" i="96"/>
  <c r="R113" i="96"/>
  <c r="P113" i="96"/>
  <c r="R112" i="96"/>
  <c r="P112" i="96"/>
  <c r="R111" i="96"/>
  <c r="P111" i="96"/>
  <c r="R110" i="96"/>
  <c r="P110" i="96"/>
  <c r="P109" i="96"/>
  <c r="R109" i="96" s="1"/>
  <c r="P108" i="96"/>
  <c r="R108" i="96" s="1"/>
  <c r="P107" i="96"/>
  <c r="R107" i="96" s="1"/>
  <c r="R106" i="96"/>
  <c r="P106" i="96"/>
  <c r="P105" i="96"/>
  <c r="R105" i="96" s="1"/>
  <c r="R104" i="96"/>
  <c r="P104" i="96"/>
  <c r="R103" i="96"/>
  <c r="P103" i="96"/>
  <c r="R102" i="96"/>
  <c r="P102" i="96"/>
  <c r="R101" i="96"/>
  <c r="P101" i="96"/>
  <c r="R100" i="96"/>
  <c r="P100" i="96"/>
  <c r="R99" i="96"/>
  <c r="P99" i="96"/>
  <c r="R98" i="96"/>
  <c r="P98" i="96"/>
  <c r="R97" i="96"/>
  <c r="P97" i="96"/>
  <c r="R96" i="96"/>
  <c r="P96" i="96"/>
  <c r="R95" i="96"/>
  <c r="P95" i="96"/>
  <c r="R94" i="96"/>
  <c r="P94" i="96"/>
  <c r="R93" i="96"/>
  <c r="P93" i="96"/>
  <c r="R92" i="96"/>
  <c r="P92" i="96"/>
  <c r="R91" i="96"/>
  <c r="P91" i="96"/>
  <c r="R90" i="96"/>
  <c r="P90" i="96"/>
  <c r="R89" i="96"/>
  <c r="P89" i="96"/>
  <c r="R88" i="96"/>
  <c r="P88" i="96"/>
  <c r="R87" i="96"/>
  <c r="P87" i="96"/>
  <c r="R86" i="96"/>
  <c r="P86" i="96"/>
  <c r="P85" i="96"/>
  <c r="R85" i="96" s="1"/>
  <c r="P84" i="96"/>
  <c r="R84" i="96" s="1"/>
  <c r="P83" i="96"/>
  <c r="R83" i="96" s="1"/>
  <c r="R82" i="96"/>
  <c r="P82" i="96"/>
  <c r="R81" i="96"/>
  <c r="P81" i="96"/>
  <c r="R80" i="96"/>
  <c r="P80" i="96"/>
  <c r="R79" i="96"/>
  <c r="P79" i="96"/>
  <c r="R78" i="96"/>
  <c r="P78" i="96"/>
  <c r="P77" i="96"/>
  <c r="R77" i="96" s="1"/>
  <c r="P76" i="96"/>
  <c r="R76" i="96" s="1"/>
  <c r="P75" i="96"/>
  <c r="R75" i="96" s="1"/>
  <c r="R74" i="96"/>
  <c r="P74" i="96"/>
  <c r="R73" i="96"/>
  <c r="P73" i="96"/>
  <c r="R72" i="96"/>
  <c r="P72" i="96"/>
  <c r="R71" i="96"/>
  <c r="P71" i="96"/>
  <c r="R70" i="96"/>
  <c r="P70" i="96"/>
  <c r="P69" i="96"/>
  <c r="R69" i="96" s="1"/>
  <c r="P68" i="96"/>
  <c r="R68" i="96" s="1"/>
  <c r="P67" i="96"/>
  <c r="R67" i="96" s="1"/>
  <c r="R66" i="96"/>
  <c r="P66" i="96"/>
  <c r="P65" i="96"/>
  <c r="R65" i="96" s="1"/>
  <c r="R64" i="96"/>
  <c r="P64" i="96"/>
  <c r="R63" i="96"/>
  <c r="P63" i="96"/>
  <c r="R62" i="96"/>
  <c r="P62" i="96"/>
  <c r="P61" i="96"/>
  <c r="R61" i="96" s="1"/>
  <c r="P60" i="96"/>
  <c r="R60" i="96" s="1"/>
  <c r="P59" i="96"/>
  <c r="R59" i="96" s="1"/>
  <c r="R58" i="96"/>
  <c r="P58" i="96"/>
  <c r="R57" i="96"/>
  <c r="P57" i="96"/>
  <c r="R56" i="96"/>
  <c r="P56" i="96"/>
  <c r="R55" i="96"/>
  <c r="P55" i="96"/>
  <c r="R54" i="96"/>
  <c r="P54" i="96"/>
  <c r="R53" i="96"/>
  <c r="P53" i="96"/>
  <c r="R52" i="96"/>
  <c r="P52" i="96"/>
  <c r="R51" i="96"/>
  <c r="P51" i="96"/>
  <c r="R50" i="96"/>
  <c r="P50" i="96"/>
  <c r="R49" i="96"/>
  <c r="P49" i="96"/>
  <c r="R48" i="96"/>
  <c r="P48" i="96"/>
  <c r="R47" i="96"/>
  <c r="P47" i="96"/>
  <c r="R46" i="96"/>
  <c r="P46" i="96"/>
  <c r="P45" i="96"/>
  <c r="R45" i="96" s="1"/>
  <c r="P44" i="96"/>
  <c r="R44" i="96" s="1"/>
  <c r="P43" i="96"/>
  <c r="R43" i="96" s="1"/>
  <c r="R42" i="96"/>
  <c r="P42" i="96"/>
  <c r="R41" i="96"/>
  <c r="P41" i="96"/>
  <c r="R40" i="96"/>
  <c r="P40" i="96"/>
  <c r="R39" i="96"/>
  <c r="P39" i="96"/>
  <c r="R38" i="96"/>
  <c r="P38" i="96"/>
  <c r="P37" i="96"/>
  <c r="R37" i="96" s="1"/>
  <c r="P36" i="96"/>
  <c r="R36" i="96" s="1"/>
  <c r="P35" i="96"/>
  <c r="R35" i="96" s="1"/>
  <c r="P34" i="96"/>
  <c r="R34" i="96" s="1"/>
  <c r="P33" i="96"/>
  <c r="R33" i="96" s="1"/>
  <c r="P32" i="96"/>
  <c r="R32" i="96" s="1"/>
  <c r="R31" i="96"/>
  <c r="P31" i="96"/>
  <c r="P30" i="96"/>
  <c r="R30" i="96" s="1"/>
  <c r="P29" i="96"/>
  <c r="R29" i="96" s="1"/>
  <c r="P28" i="96"/>
  <c r="R28" i="96" s="1"/>
  <c r="P27" i="96"/>
  <c r="R27" i="96" s="1"/>
  <c r="P26" i="96"/>
  <c r="R26" i="96" s="1"/>
  <c r="P25" i="96"/>
  <c r="R25" i="96" s="1"/>
  <c r="R24" i="96"/>
  <c r="P24" i="96"/>
  <c r="R23" i="96"/>
  <c r="P23" i="96"/>
  <c r="R22" i="96"/>
  <c r="P22" i="96"/>
  <c r="R21" i="96"/>
  <c r="P21" i="96"/>
  <c r="R20" i="96"/>
  <c r="P20" i="96"/>
  <c r="Q8" i="96"/>
  <c r="Q4" i="96"/>
  <c r="P2" i="96"/>
  <c r="Q12" i="96" s="1"/>
  <c r="R18" i="88" a="1"/>
  <c r="R18" i="88" s="1"/>
  <c r="R17" i="88" a="1"/>
  <c r="R17" i="88" s="1"/>
  <c r="R16" i="88" a="1"/>
  <c r="R16" i="88" s="1"/>
  <c r="R15" i="88" a="1"/>
  <c r="R15" i="88" s="1"/>
  <c r="R14" i="88" a="1"/>
  <c r="R14" i="88" s="1"/>
  <c r="R13" i="88" a="1"/>
  <c r="R13" i="88" s="1"/>
  <c r="R12" i="88" a="1"/>
  <c r="R12" i="88" s="1"/>
  <c r="R11" i="88" a="1"/>
  <c r="R11" i="88" s="1"/>
  <c r="R10" i="88" a="1"/>
  <c r="R10" i="88" s="1"/>
  <c r="R9" i="88" a="1"/>
  <c r="R9" i="88" s="1"/>
  <c r="R8" i="88" a="1"/>
  <c r="R8" i="88" s="1"/>
  <c r="R7" i="88" a="1"/>
  <c r="R7" i="88" s="1"/>
  <c r="R6" i="88" a="1"/>
  <c r="R6" i="88" s="1"/>
  <c r="R5" i="88" a="1"/>
  <c r="R5" i="88" s="1"/>
  <c r="R4" i="88" a="1"/>
  <c r="R4" i="88" s="1"/>
  <c r="R3" i="88" a="1"/>
  <c r="R3" i="88" s="1"/>
  <c r="R222" i="88"/>
  <c r="R215" i="88"/>
  <c r="R214" i="88"/>
  <c r="R205" i="88"/>
  <c r="R175" i="88"/>
  <c r="R174" i="88"/>
  <c r="R167" i="88"/>
  <c r="R166" i="88"/>
  <c r="R159" i="88"/>
  <c r="R158" i="88"/>
  <c r="R151" i="88"/>
  <c r="R150" i="88"/>
  <c r="R142" i="88"/>
  <c r="R135" i="88"/>
  <c r="R134" i="88"/>
  <c r="R129" i="88"/>
  <c r="R126" i="88"/>
  <c r="R121" i="88"/>
  <c r="R119" i="88"/>
  <c r="R118" i="88"/>
  <c r="R110" i="88"/>
  <c r="R102" i="88"/>
  <c r="R101" i="88"/>
  <c r="R97" i="88"/>
  <c r="R94" i="88"/>
  <c r="R93" i="88"/>
  <c r="R89" i="88"/>
  <c r="R86" i="88"/>
  <c r="R81" i="88"/>
  <c r="R80" i="88"/>
  <c r="R79" i="88"/>
  <c r="R78" i="88"/>
  <c r="R73" i="88"/>
  <c r="R72" i="88"/>
  <c r="R71" i="88"/>
  <c r="R70" i="88"/>
  <c r="R63" i="88"/>
  <c r="R62" i="88"/>
  <c r="R55" i="88"/>
  <c r="R54" i="88"/>
  <c r="R53" i="88"/>
  <c r="R49" i="88"/>
  <c r="R47" i="88"/>
  <c r="R38" i="88"/>
  <c r="R21" i="88"/>
  <c r="R20" i="88"/>
  <c r="V23" i="83"/>
  <c r="U23" i="83"/>
  <c r="V22" i="83"/>
  <c r="U22" i="83"/>
  <c r="T1" i="83"/>
  <c r="G236" i="83"/>
  <c r="F236" i="83"/>
  <c r="E236" i="83"/>
  <c r="D236" i="83"/>
  <c r="M235" i="83"/>
  <c r="H235" i="83"/>
  <c r="M234" i="83"/>
  <c r="H234" i="83"/>
  <c r="M233" i="83"/>
  <c r="H233" i="83"/>
  <c r="M232" i="83"/>
  <c r="H232" i="83"/>
  <c r="M231" i="83"/>
  <c r="H231" i="83"/>
  <c r="M230" i="83"/>
  <c r="H230" i="83"/>
  <c r="M229" i="83"/>
  <c r="H229" i="83"/>
  <c r="M228" i="83"/>
  <c r="H228" i="83"/>
  <c r="M227" i="83"/>
  <c r="H227" i="83"/>
  <c r="M226" i="83"/>
  <c r="H226" i="83"/>
  <c r="M225" i="83"/>
  <c r="H225" i="83"/>
  <c r="M224" i="83"/>
  <c r="H224" i="83"/>
  <c r="M223" i="83"/>
  <c r="H223" i="83"/>
  <c r="M222" i="83"/>
  <c r="H222" i="83"/>
  <c r="M221" i="83"/>
  <c r="H221" i="83"/>
  <c r="M220" i="83"/>
  <c r="M236" i="83" s="1"/>
  <c r="H220" i="83"/>
  <c r="H216" i="83"/>
  <c r="G216" i="83"/>
  <c r="F216" i="83"/>
  <c r="E216" i="83"/>
  <c r="D216" i="83"/>
  <c r="G214" i="83"/>
  <c r="F214" i="83"/>
  <c r="E214" i="83"/>
  <c r="E215" i="83" s="1"/>
  <c r="M213" i="83"/>
  <c r="H213" i="83"/>
  <c r="M212" i="83"/>
  <c r="H212" i="83"/>
  <c r="M211" i="83"/>
  <c r="H211" i="83"/>
  <c r="M210" i="83"/>
  <c r="H210" i="83"/>
  <c r="M209" i="83"/>
  <c r="H209" i="83"/>
  <c r="M208" i="83"/>
  <c r="H208" i="83"/>
  <c r="M207" i="83"/>
  <c r="H207" i="83"/>
  <c r="M206" i="83"/>
  <c r="H206" i="83"/>
  <c r="M205" i="83"/>
  <c r="H205" i="83"/>
  <c r="M204" i="83"/>
  <c r="H204" i="83"/>
  <c r="M203" i="83"/>
  <c r="H203" i="83"/>
  <c r="M202" i="83"/>
  <c r="H202" i="83"/>
  <c r="M201" i="83"/>
  <c r="H201" i="83"/>
  <c r="M200" i="83"/>
  <c r="H200" i="83"/>
  <c r="M199" i="83"/>
  <c r="H199" i="83"/>
  <c r="M198" i="83"/>
  <c r="M214" i="83" s="1"/>
  <c r="H198" i="83"/>
  <c r="G197" i="83"/>
  <c r="F197" i="83"/>
  <c r="E197" i="83"/>
  <c r="M196" i="83"/>
  <c r="H196" i="83"/>
  <c r="M195" i="83"/>
  <c r="H195" i="83"/>
  <c r="M194" i="83"/>
  <c r="H194" i="83"/>
  <c r="M193" i="83"/>
  <c r="H193" i="83"/>
  <c r="M192" i="83"/>
  <c r="H192" i="83"/>
  <c r="M191" i="83"/>
  <c r="H191" i="83"/>
  <c r="M190" i="83"/>
  <c r="H190" i="83"/>
  <c r="M189" i="83"/>
  <c r="H189" i="83"/>
  <c r="M188" i="83"/>
  <c r="H188" i="83"/>
  <c r="M187" i="83"/>
  <c r="H187" i="83"/>
  <c r="M186" i="83"/>
  <c r="H186" i="83"/>
  <c r="M185" i="83"/>
  <c r="H185" i="83"/>
  <c r="M184" i="83"/>
  <c r="H184" i="83"/>
  <c r="M183" i="83"/>
  <c r="H183" i="83"/>
  <c r="M182" i="83"/>
  <c r="H182" i="83"/>
  <c r="M181" i="83"/>
  <c r="M197" i="83" s="1"/>
  <c r="H181" i="83"/>
  <c r="G179" i="83"/>
  <c r="F179" i="83"/>
  <c r="E179" i="83"/>
  <c r="M178" i="83"/>
  <c r="H178" i="83"/>
  <c r="M177" i="83"/>
  <c r="H177" i="83"/>
  <c r="M176" i="83"/>
  <c r="H176" i="83"/>
  <c r="M175" i="83"/>
  <c r="H175" i="83"/>
  <c r="M174" i="83"/>
  <c r="H174" i="83"/>
  <c r="M173" i="83"/>
  <c r="H173" i="83"/>
  <c r="M172" i="83"/>
  <c r="H172" i="83"/>
  <c r="M171" i="83"/>
  <c r="H171" i="83"/>
  <c r="M170" i="83"/>
  <c r="H170" i="83"/>
  <c r="M169" i="83"/>
  <c r="H169" i="83"/>
  <c r="M168" i="83"/>
  <c r="H168" i="83"/>
  <c r="M167" i="83"/>
  <c r="H167" i="83"/>
  <c r="F161" i="83"/>
  <c r="E161" i="83"/>
  <c r="M160" i="83"/>
  <c r="M159" i="83"/>
  <c r="F157" i="83"/>
  <c r="E157" i="83"/>
  <c r="M156" i="83"/>
  <c r="H156" i="83"/>
  <c r="M155" i="83"/>
  <c r="H155" i="83"/>
  <c r="M154" i="83"/>
  <c r="H154" i="83"/>
  <c r="M153" i="83"/>
  <c r="H153" i="83"/>
  <c r="M152" i="83"/>
  <c r="H152" i="83"/>
  <c r="M151" i="83"/>
  <c r="H151" i="83"/>
  <c r="M150" i="83"/>
  <c r="H150" i="83"/>
  <c r="M149" i="83"/>
  <c r="H149" i="83"/>
  <c r="M148" i="83"/>
  <c r="H148" i="83"/>
  <c r="M147" i="83"/>
  <c r="H147" i="83"/>
  <c r="M146" i="83"/>
  <c r="H146" i="83"/>
  <c r="M145" i="83"/>
  <c r="H145" i="83"/>
  <c r="M144" i="83"/>
  <c r="H144" i="83"/>
  <c r="M143" i="83"/>
  <c r="H143" i="83"/>
  <c r="M142" i="83"/>
  <c r="H142" i="83"/>
  <c r="M141" i="83"/>
  <c r="M157" i="83" s="1"/>
  <c r="H141" i="83"/>
  <c r="G138" i="83"/>
  <c r="F138" i="83"/>
  <c r="E138" i="83"/>
  <c r="H137" i="83"/>
  <c r="H136" i="83"/>
  <c r="H135" i="83"/>
  <c r="H134" i="83"/>
  <c r="H133" i="83"/>
  <c r="H132" i="83"/>
  <c r="H131" i="83"/>
  <c r="H130" i="83"/>
  <c r="H129" i="83"/>
  <c r="H128" i="83"/>
  <c r="H127" i="83"/>
  <c r="H126" i="83"/>
  <c r="H125" i="83"/>
  <c r="H124" i="83"/>
  <c r="H123" i="83"/>
  <c r="H122" i="83"/>
  <c r="G121" i="83"/>
  <c r="F121" i="83"/>
  <c r="E121" i="83"/>
  <c r="H120" i="83"/>
  <c r="H119" i="83"/>
  <c r="H118" i="83"/>
  <c r="H117" i="83"/>
  <c r="H116" i="83"/>
  <c r="H115" i="83"/>
  <c r="H114" i="83"/>
  <c r="H113" i="83"/>
  <c r="H112" i="83"/>
  <c r="H111" i="83"/>
  <c r="H110" i="83"/>
  <c r="H109" i="83"/>
  <c r="H108" i="83"/>
  <c r="H107" i="83"/>
  <c r="H106" i="83"/>
  <c r="H105" i="83"/>
  <c r="G104" i="83"/>
  <c r="F104" i="83"/>
  <c r="E104" i="83"/>
  <c r="M103" i="83"/>
  <c r="M102" i="83"/>
  <c r="M101" i="83"/>
  <c r="M100" i="83"/>
  <c r="M99" i="83"/>
  <c r="M98" i="83"/>
  <c r="M97" i="83"/>
  <c r="M96" i="83"/>
  <c r="M95" i="83"/>
  <c r="M94" i="83"/>
  <c r="M93" i="83"/>
  <c r="M92" i="83"/>
  <c r="G87" i="83"/>
  <c r="F87" i="83"/>
  <c r="E87" i="83"/>
  <c r="M86" i="83"/>
  <c r="H86" i="83"/>
  <c r="M85" i="83"/>
  <c r="H85" i="83"/>
  <c r="M84" i="83"/>
  <c r="H84" i="83"/>
  <c r="M83" i="83"/>
  <c r="H83" i="83"/>
  <c r="M82" i="83"/>
  <c r="H82" i="83"/>
  <c r="M81" i="83"/>
  <c r="H81" i="83"/>
  <c r="M80" i="83"/>
  <c r="H80" i="83"/>
  <c r="M79" i="83"/>
  <c r="H79" i="83"/>
  <c r="M78" i="83"/>
  <c r="H78" i="83"/>
  <c r="M77" i="83"/>
  <c r="H77" i="83"/>
  <c r="M76" i="83"/>
  <c r="H76" i="83"/>
  <c r="M75" i="83"/>
  <c r="H75" i="83"/>
  <c r="M74" i="83"/>
  <c r="H74" i="83"/>
  <c r="M73" i="83"/>
  <c r="H73" i="83"/>
  <c r="M72" i="83"/>
  <c r="H72" i="83"/>
  <c r="M71" i="83"/>
  <c r="M87" i="83" s="1"/>
  <c r="H71" i="83"/>
  <c r="G70" i="83"/>
  <c r="F70" i="83"/>
  <c r="E70" i="83"/>
  <c r="M69" i="83"/>
  <c r="H69" i="83"/>
  <c r="M68" i="83"/>
  <c r="H68" i="83"/>
  <c r="M67" i="83"/>
  <c r="H67" i="83"/>
  <c r="M66" i="83"/>
  <c r="H66" i="83"/>
  <c r="M65" i="83"/>
  <c r="H65" i="83"/>
  <c r="M64" i="83"/>
  <c r="H64" i="83"/>
  <c r="M63" i="83"/>
  <c r="H63" i="83"/>
  <c r="M62" i="83"/>
  <c r="H62" i="83"/>
  <c r="M61" i="83"/>
  <c r="H61" i="83"/>
  <c r="M60" i="83"/>
  <c r="H60" i="83"/>
  <c r="M59" i="83"/>
  <c r="H59" i="83"/>
  <c r="M58" i="83"/>
  <c r="H58" i="83"/>
  <c r="M57" i="83"/>
  <c r="H57" i="83"/>
  <c r="M56" i="83"/>
  <c r="H56" i="83"/>
  <c r="M55" i="83"/>
  <c r="H55" i="83"/>
  <c r="M54" i="83"/>
  <c r="M70" i="83" s="1"/>
  <c r="H54" i="83"/>
  <c r="G53" i="83"/>
  <c r="F53" i="83"/>
  <c r="E53" i="83"/>
  <c r="M52" i="83"/>
  <c r="D52" i="83"/>
  <c r="D86" i="83" s="1"/>
  <c r="M51" i="83"/>
  <c r="D51" i="83"/>
  <c r="D85" i="83" s="1"/>
  <c r="M50" i="83"/>
  <c r="D50" i="83"/>
  <c r="D84" i="83" s="1"/>
  <c r="M49" i="83"/>
  <c r="D49" i="83"/>
  <c r="D83" i="83" s="1"/>
  <c r="M48" i="83"/>
  <c r="D48" i="83"/>
  <c r="D82" i="83" s="1"/>
  <c r="M47" i="83"/>
  <c r="D47" i="83"/>
  <c r="D81" i="83" s="1"/>
  <c r="M46" i="83"/>
  <c r="D46" i="83"/>
  <c r="D80" i="83" s="1"/>
  <c r="M45" i="83"/>
  <c r="D45" i="83"/>
  <c r="D79" i="83" s="1"/>
  <c r="M44" i="83"/>
  <c r="D44" i="83"/>
  <c r="D78" i="83" s="1"/>
  <c r="M43" i="83"/>
  <c r="D43" i="83"/>
  <c r="D77" i="83" s="1"/>
  <c r="M42" i="83"/>
  <c r="D42" i="83"/>
  <c r="D76" i="83" s="1"/>
  <c r="M41" i="83"/>
  <c r="D41" i="83"/>
  <c r="D75" i="83" s="1"/>
  <c r="D40" i="83"/>
  <c r="D74" i="83" s="1"/>
  <c r="D39" i="83"/>
  <c r="D73" i="83" s="1"/>
  <c r="D38" i="83"/>
  <c r="D72" i="83" s="1"/>
  <c r="D37" i="83"/>
  <c r="G36" i="83"/>
  <c r="F36" i="83"/>
  <c r="E36" i="83"/>
  <c r="M35" i="83"/>
  <c r="H35" i="83"/>
  <c r="D35" i="83"/>
  <c r="D69" i="83" s="1"/>
  <c r="D103" i="83" s="1"/>
  <c r="D120" i="83" s="1"/>
  <c r="D137" i="83" s="1"/>
  <c r="D156" i="83" s="1"/>
  <c r="D178" i="83" s="1"/>
  <c r="D196" i="83" s="1"/>
  <c r="D213" i="83" s="1"/>
  <c r="M34" i="83"/>
  <c r="H34" i="83"/>
  <c r="D34" i="83"/>
  <c r="D68" i="83" s="1"/>
  <c r="D102" i="83" s="1"/>
  <c r="D119" i="83" s="1"/>
  <c r="D136" i="83" s="1"/>
  <c r="D155" i="83" s="1"/>
  <c r="D177" i="83" s="1"/>
  <c r="D195" i="83" s="1"/>
  <c r="D212" i="83" s="1"/>
  <c r="M33" i="83"/>
  <c r="H33" i="83"/>
  <c r="D33" i="83"/>
  <c r="D67" i="83" s="1"/>
  <c r="D101" i="83" s="1"/>
  <c r="D118" i="83" s="1"/>
  <c r="D135" i="83" s="1"/>
  <c r="D154" i="83" s="1"/>
  <c r="D176" i="83" s="1"/>
  <c r="D194" i="83" s="1"/>
  <c r="D211" i="83" s="1"/>
  <c r="M32" i="83"/>
  <c r="H32" i="83"/>
  <c r="D32" i="83"/>
  <c r="D66" i="83" s="1"/>
  <c r="D100" i="83" s="1"/>
  <c r="D117" i="83" s="1"/>
  <c r="D134" i="83" s="1"/>
  <c r="D153" i="83" s="1"/>
  <c r="D175" i="83" s="1"/>
  <c r="D193" i="83" s="1"/>
  <c r="D210" i="83" s="1"/>
  <c r="M31" i="83"/>
  <c r="H31" i="83"/>
  <c r="D31" i="83"/>
  <c r="D65" i="83" s="1"/>
  <c r="D99" i="83" s="1"/>
  <c r="D116" i="83" s="1"/>
  <c r="D133" i="83" s="1"/>
  <c r="D152" i="83" s="1"/>
  <c r="D174" i="83" s="1"/>
  <c r="D192" i="83" s="1"/>
  <c r="D209" i="83" s="1"/>
  <c r="M30" i="83"/>
  <c r="H30" i="83"/>
  <c r="D30" i="83"/>
  <c r="D64" i="83" s="1"/>
  <c r="D98" i="83" s="1"/>
  <c r="D115" i="83" s="1"/>
  <c r="D132" i="83" s="1"/>
  <c r="D151" i="83" s="1"/>
  <c r="D173" i="83" s="1"/>
  <c r="D191" i="83" s="1"/>
  <c r="D208" i="83" s="1"/>
  <c r="M29" i="83"/>
  <c r="H29" i="83"/>
  <c r="D29" i="83"/>
  <c r="D63" i="83" s="1"/>
  <c r="D97" i="83" s="1"/>
  <c r="D114" i="83" s="1"/>
  <c r="D131" i="83" s="1"/>
  <c r="D150" i="83" s="1"/>
  <c r="D172" i="83" s="1"/>
  <c r="D190" i="83" s="1"/>
  <c r="D207" i="83" s="1"/>
  <c r="M28" i="83"/>
  <c r="H28" i="83"/>
  <c r="D28" i="83"/>
  <c r="D62" i="83" s="1"/>
  <c r="D96" i="83" s="1"/>
  <c r="D113" i="83" s="1"/>
  <c r="D130" i="83" s="1"/>
  <c r="D149" i="83" s="1"/>
  <c r="M27" i="83"/>
  <c r="H27" i="83"/>
  <c r="D27" i="83"/>
  <c r="D61" i="83" s="1"/>
  <c r="D95" i="83" s="1"/>
  <c r="D112" i="83" s="1"/>
  <c r="D129" i="83" s="1"/>
  <c r="D148" i="83" s="1"/>
  <c r="D170" i="83" s="1"/>
  <c r="D188" i="83" s="1"/>
  <c r="D205" i="83" s="1"/>
  <c r="M26" i="83"/>
  <c r="H26" i="83"/>
  <c r="D26" i="83"/>
  <c r="D60" i="83" s="1"/>
  <c r="D94" i="83" s="1"/>
  <c r="D111" i="83" s="1"/>
  <c r="D128" i="83" s="1"/>
  <c r="D147" i="83" s="1"/>
  <c r="D169" i="83" s="1"/>
  <c r="D187" i="83" s="1"/>
  <c r="D204" i="83" s="1"/>
  <c r="M25" i="83"/>
  <c r="H25" i="83"/>
  <c r="D25" i="83"/>
  <c r="D59" i="83" s="1"/>
  <c r="D93" i="83" s="1"/>
  <c r="D110" i="83" s="1"/>
  <c r="D127" i="83" s="1"/>
  <c r="D146" i="83" s="1"/>
  <c r="D168" i="83" s="1"/>
  <c r="D186" i="83" s="1"/>
  <c r="D203" i="83" s="1"/>
  <c r="M24" i="83"/>
  <c r="H24" i="83"/>
  <c r="D24" i="83"/>
  <c r="D58" i="83" s="1"/>
  <c r="D92" i="83" s="1"/>
  <c r="D109" i="83" s="1"/>
  <c r="D126" i="83" s="1"/>
  <c r="D145" i="83" s="1"/>
  <c r="D167" i="83" s="1"/>
  <c r="D185" i="83" s="1"/>
  <c r="D202" i="83" s="1"/>
  <c r="M23" i="83"/>
  <c r="H23" i="83"/>
  <c r="D23" i="83"/>
  <c r="D57" i="83" s="1"/>
  <c r="D91" i="83" s="1"/>
  <c r="D108" i="83" s="1"/>
  <c r="D125" i="83" s="1"/>
  <c r="D144" i="83" s="1"/>
  <c r="D166" i="83" s="1"/>
  <c r="D184" i="83" s="1"/>
  <c r="D201" i="83" s="1"/>
  <c r="M22" i="83"/>
  <c r="H22" i="83"/>
  <c r="D22" i="83"/>
  <c r="D56" i="83" s="1"/>
  <c r="D90" i="83" s="1"/>
  <c r="D107" i="83" s="1"/>
  <c r="D124" i="83" s="1"/>
  <c r="D143" i="83" s="1"/>
  <c r="D165" i="83" s="1"/>
  <c r="D183" i="83" s="1"/>
  <c r="D200" i="83" s="1"/>
  <c r="M21" i="83"/>
  <c r="H21" i="83"/>
  <c r="D21" i="83"/>
  <c r="D55" i="83" s="1"/>
  <c r="D89" i="83" s="1"/>
  <c r="D106" i="83" s="1"/>
  <c r="D123" i="83" s="1"/>
  <c r="D142" i="83" s="1"/>
  <c r="D164" i="83" s="1"/>
  <c r="D182" i="83" s="1"/>
  <c r="D199" i="83" s="1"/>
  <c r="M20" i="83"/>
  <c r="H20" i="83"/>
  <c r="D20" i="83"/>
  <c r="D54" i="83" s="1"/>
  <c r="I19" i="83"/>
  <c r="G19" i="83"/>
  <c r="F19" i="83"/>
  <c r="E19" i="83"/>
  <c r="D19" i="83"/>
  <c r="H18" i="83"/>
  <c r="H17" i="83"/>
  <c r="H16" i="83"/>
  <c r="H15" i="83"/>
  <c r="H14" i="83"/>
  <c r="H13" i="83"/>
  <c r="H12" i="83"/>
  <c r="H11" i="83"/>
  <c r="H10" i="83"/>
  <c r="H9" i="83"/>
  <c r="H8" i="83"/>
  <c r="H7" i="83"/>
  <c r="H6" i="83"/>
  <c r="H5" i="83"/>
  <c r="H4" i="83"/>
  <c r="H3" i="83"/>
  <c r="R2" i="83"/>
  <c r="Q2" i="83"/>
  <c r="P2" i="83"/>
  <c r="O2" i="83"/>
  <c r="N2" i="83"/>
  <c r="G40" i="92"/>
  <c r="G39" i="92"/>
  <c r="G38" i="92"/>
  <c r="G37" i="92"/>
  <c r="G36" i="92"/>
  <c r="G35" i="92"/>
  <c r="G34" i="92"/>
  <c r="G33" i="92"/>
  <c r="G31" i="92"/>
  <c r="G30" i="92"/>
  <c r="G29" i="92"/>
  <c r="G28" i="92"/>
  <c r="G26" i="92"/>
  <c r="G25" i="92"/>
  <c r="G24" i="92"/>
  <c r="G23" i="92"/>
  <c r="G21" i="92"/>
  <c r="G20" i="92"/>
  <c r="G19" i="92"/>
  <c r="G18" i="92"/>
  <c r="G17" i="92"/>
  <c r="G16" i="92"/>
  <c r="G15" i="92"/>
  <c r="G14" i="92"/>
  <c r="G13" i="92"/>
  <c r="G12" i="92"/>
  <c r="G11" i="92"/>
  <c r="G10" i="92"/>
  <c r="G9" i="92"/>
  <c r="G8" i="92"/>
  <c r="G7" i="92"/>
  <c r="G6" i="92"/>
  <c r="G5" i="92"/>
  <c r="G4" i="92"/>
  <c r="G3" i="92"/>
  <c r="G2" i="92"/>
  <c r="D673" i="93"/>
  <c r="D672" i="93"/>
  <c r="D671" i="93"/>
  <c r="D670" i="93"/>
  <c r="D669" i="93"/>
  <c r="D668" i="93"/>
  <c r="D667" i="93"/>
  <c r="D666" i="93"/>
  <c r="D665" i="93"/>
  <c r="D664" i="93"/>
  <c r="D663" i="93"/>
  <c r="D662" i="93"/>
  <c r="D661" i="93"/>
  <c r="D660" i="93"/>
  <c r="D659" i="93"/>
  <c r="D658" i="93"/>
  <c r="D657" i="93"/>
  <c r="P10" i="88" s="1"/>
  <c r="P93" i="88" s="1"/>
  <c r="D656" i="93"/>
  <c r="P9" i="88" s="1"/>
  <c r="D655" i="93"/>
  <c r="P8" i="88" s="1"/>
  <c r="D654" i="93"/>
  <c r="P7" i="88" s="1"/>
  <c r="D653" i="93"/>
  <c r="P6" i="88" s="1"/>
  <c r="D652" i="93"/>
  <c r="P5" i="88" s="1"/>
  <c r="D651" i="93"/>
  <c r="P4" i="88" s="1"/>
  <c r="D650" i="93"/>
  <c r="P3" i="88" s="1"/>
  <c r="D649" i="93"/>
  <c r="P18" i="88" s="1"/>
  <c r="D648" i="93"/>
  <c r="P17" i="88" s="1"/>
  <c r="D647" i="93"/>
  <c r="P16" i="88" s="1"/>
  <c r="P67" i="88" s="1"/>
  <c r="R67" i="88" s="1"/>
  <c r="D646" i="93"/>
  <c r="P15" i="88" s="1"/>
  <c r="D645" i="93"/>
  <c r="P14" i="88" s="1"/>
  <c r="D644" i="93"/>
  <c r="P13" i="88" s="1"/>
  <c r="D643" i="93"/>
  <c r="P12" i="88" s="1"/>
  <c r="D642" i="93"/>
  <c r="P11" i="88" s="1"/>
  <c r="P21" i="88" s="1"/>
  <c r="P187" i="88" l="1"/>
  <c r="R187" i="88" s="1"/>
  <c r="P155" i="88"/>
  <c r="R155" i="88" s="1"/>
  <c r="P139" i="88"/>
  <c r="R139" i="88" s="1"/>
  <c r="M53" i="83"/>
  <c r="H157" i="83"/>
  <c r="Q10" i="96"/>
  <c r="M179" i="83"/>
  <c r="M36" i="83"/>
  <c r="M104" i="83"/>
  <c r="H36" i="83"/>
  <c r="H87" i="83"/>
  <c r="H19" i="83"/>
  <c r="H121" i="83"/>
  <c r="P223" i="88"/>
  <c r="R223" i="88" s="1"/>
  <c r="P79" i="88"/>
  <c r="P95" i="88"/>
  <c r="R95" i="88" s="1"/>
  <c r="P85" i="88"/>
  <c r="R85" i="88" s="1"/>
  <c r="P117" i="88"/>
  <c r="R117" i="88" s="1"/>
  <c r="P165" i="88"/>
  <c r="R165" i="88" s="1"/>
  <c r="P107" i="88"/>
  <c r="R107" i="88" s="1"/>
  <c r="P171" i="88"/>
  <c r="R171" i="88" s="1"/>
  <c r="P219" i="88"/>
  <c r="R219" i="88" s="1"/>
  <c r="P123" i="88"/>
  <c r="R123" i="88" s="1"/>
  <c r="R2" i="96"/>
  <c r="S4" i="96" s="1"/>
  <c r="T4" i="96" s="1"/>
  <c r="U4" i="96" s="1"/>
  <c r="Q14" i="96"/>
  <c r="Q17" i="96"/>
  <c r="Q15" i="96"/>
  <c r="Q13" i="96"/>
  <c r="Q11" i="96"/>
  <c r="Q9" i="96"/>
  <c r="Q7" i="96"/>
  <c r="Q5" i="96"/>
  <c r="Q3" i="96"/>
  <c r="Q18" i="96"/>
  <c r="Q16" i="96"/>
  <c r="Q6" i="96"/>
  <c r="R2" i="88"/>
  <c r="S7" i="88" s="1"/>
  <c r="U7" i="88" s="1"/>
  <c r="P185" i="88"/>
  <c r="R185" i="88" s="1"/>
  <c r="P169" i="88"/>
  <c r="R169" i="88" s="1"/>
  <c r="P153" i="88"/>
  <c r="R153" i="88" s="1"/>
  <c r="P137" i="88"/>
  <c r="R137" i="88" s="1"/>
  <c r="P121" i="88"/>
  <c r="P105" i="88"/>
  <c r="R105" i="88" s="1"/>
  <c r="P89" i="88"/>
  <c r="P217" i="88"/>
  <c r="R217" i="88" s="1"/>
  <c r="P201" i="88"/>
  <c r="R201" i="88" s="1"/>
  <c r="P57" i="88"/>
  <c r="R57" i="88" s="1"/>
  <c r="P41" i="88"/>
  <c r="R41" i="88" s="1"/>
  <c r="P25" i="88"/>
  <c r="R25" i="88" s="1"/>
  <c r="P225" i="88"/>
  <c r="R225" i="88" s="1"/>
  <c r="P209" i="88"/>
  <c r="R209" i="88" s="1"/>
  <c r="P81" i="88"/>
  <c r="P97" i="88"/>
  <c r="P65" i="88"/>
  <c r="R65" i="88" s="1"/>
  <c r="P49" i="88"/>
  <c r="P33" i="88"/>
  <c r="R33" i="88" s="1"/>
  <c r="P145" i="88"/>
  <c r="R145" i="88" s="1"/>
  <c r="P193" i="88"/>
  <c r="R193" i="88" s="1"/>
  <c r="P205" i="88"/>
  <c r="P189" i="88"/>
  <c r="R189" i="88" s="1"/>
  <c r="P173" i="88"/>
  <c r="R173" i="88" s="1"/>
  <c r="P157" i="88"/>
  <c r="R157" i="88" s="1"/>
  <c r="P141" i="88"/>
  <c r="R141" i="88" s="1"/>
  <c r="P125" i="88"/>
  <c r="R125" i="88" s="1"/>
  <c r="P109" i="88"/>
  <c r="R109" i="88" s="1"/>
  <c r="P221" i="88"/>
  <c r="R221" i="88" s="1"/>
  <c r="P77" i="88"/>
  <c r="R77" i="88" s="1"/>
  <c r="P45" i="88"/>
  <c r="R45" i="88" s="1"/>
  <c r="P29" i="88"/>
  <c r="R29" i="88" s="1"/>
  <c r="P229" i="88"/>
  <c r="R229" i="88" s="1"/>
  <c r="P213" i="88"/>
  <c r="R213" i="88" s="1"/>
  <c r="P69" i="88"/>
  <c r="R69" i="88" s="1"/>
  <c r="P53" i="88"/>
  <c r="P37" i="88"/>
  <c r="R37" i="88" s="1"/>
  <c r="P73" i="88"/>
  <c r="P161" i="88"/>
  <c r="R161" i="88" s="1"/>
  <c r="P197" i="88"/>
  <c r="R197" i="88" s="1"/>
  <c r="P2" i="88"/>
  <c r="Q16" i="88" s="1"/>
  <c r="P199" i="88"/>
  <c r="R199" i="88" s="1"/>
  <c r="P183" i="88"/>
  <c r="R183" i="88" s="1"/>
  <c r="P167" i="88"/>
  <c r="P151" i="88"/>
  <c r="P135" i="88"/>
  <c r="P119" i="88"/>
  <c r="P103" i="88"/>
  <c r="R103" i="88" s="1"/>
  <c r="P87" i="88"/>
  <c r="R87" i="88" s="1"/>
  <c r="P215" i="88"/>
  <c r="P71" i="88"/>
  <c r="P55" i="88"/>
  <c r="P39" i="88"/>
  <c r="R39" i="88" s="1"/>
  <c r="P23" i="88"/>
  <c r="R23" i="88" s="1"/>
  <c r="P113" i="88"/>
  <c r="R113" i="88" s="1"/>
  <c r="P133" i="88"/>
  <c r="R133" i="88" s="1"/>
  <c r="P181" i="88"/>
  <c r="R181" i="88" s="1"/>
  <c r="P61" i="88"/>
  <c r="R61" i="88" s="1"/>
  <c r="P101" i="88"/>
  <c r="P129" i="88"/>
  <c r="P149" i="88"/>
  <c r="R149" i="88" s="1"/>
  <c r="P177" i="88"/>
  <c r="R177" i="88" s="1"/>
  <c r="P216" i="88"/>
  <c r="R216" i="88" s="1"/>
  <c r="P200" i="88"/>
  <c r="R200" i="88" s="1"/>
  <c r="P184" i="88"/>
  <c r="R184" i="88" s="1"/>
  <c r="P168" i="88"/>
  <c r="R168" i="88" s="1"/>
  <c r="P152" i="88"/>
  <c r="R152" i="88" s="1"/>
  <c r="P136" i="88"/>
  <c r="R136" i="88" s="1"/>
  <c r="P120" i="88"/>
  <c r="R120" i="88" s="1"/>
  <c r="P104" i="88"/>
  <c r="R104" i="88" s="1"/>
  <c r="P88" i="88"/>
  <c r="R88" i="88" s="1"/>
  <c r="P72" i="88"/>
  <c r="P220" i="88"/>
  <c r="R220" i="88" s="1"/>
  <c r="P204" i="88"/>
  <c r="R204" i="88" s="1"/>
  <c r="P188" i="88"/>
  <c r="R188" i="88" s="1"/>
  <c r="P172" i="88"/>
  <c r="R172" i="88" s="1"/>
  <c r="P156" i="88"/>
  <c r="R156" i="88" s="1"/>
  <c r="P140" i="88"/>
  <c r="R140" i="88" s="1"/>
  <c r="P124" i="88"/>
  <c r="R124" i="88" s="1"/>
  <c r="P108" i="88"/>
  <c r="R108" i="88" s="1"/>
  <c r="P92" i="88"/>
  <c r="R92" i="88" s="1"/>
  <c r="P76" i="88"/>
  <c r="R76" i="88" s="1"/>
  <c r="P60" i="88"/>
  <c r="R60" i="88" s="1"/>
  <c r="P224" i="88"/>
  <c r="R224" i="88" s="1"/>
  <c r="P208" i="88"/>
  <c r="R208" i="88" s="1"/>
  <c r="P192" i="88"/>
  <c r="R192" i="88" s="1"/>
  <c r="P176" i="88"/>
  <c r="R176" i="88" s="1"/>
  <c r="P160" i="88"/>
  <c r="R160" i="88" s="1"/>
  <c r="P144" i="88"/>
  <c r="R144" i="88" s="1"/>
  <c r="P128" i="88"/>
  <c r="R128" i="88" s="1"/>
  <c r="P112" i="88"/>
  <c r="R112" i="88" s="1"/>
  <c r="P96" i="88"/>
  <c r="R96" i="88" s="1"/>
  <c r="P80" i="88"/>
  <c r="P64" i="88"/>
  <c r="R64" i="88" s="1"/>
  <c r="P228" i="88"/>
  <c r="R228" i="88" s="1"/>
  <c r="P212" i="88"/>
  <c r="R212" i="88" s="1"/>
  <c r="P196" i="88"/>
  <c r="R196" i="88" s="1"/>
  <c r="P180" i="88"/>
  <c r="R180" i="88" s="1"/>
  <c r="P164" i="88"/>
  <c r="R164" i="88" s="1"/>
  <c r="P148" i="88"/>
  <c r="R148" i="88" s="1"/>
  <c r="P132" i="88"/>
  <c r="R132" i="88" s="1"/>
  <c r="P116" i="88"/>
  <c r="R116" i="88" s="1"/>
  <c r="P100" i="88"/>
  <c r="R100" i="88" s="1"/>
  <c r="P84" i="88"/>
  <c r="R84" i="88" s="1"/>
  <c r="P68" i="88"/>
  <c r="R68" i="88" s="1"/>
  <c r="P27" i="88"/>
  <c r="R27" i="88" s="1"/>
  <c r="P31" i="88"/>
  <c r="R31" i="88" s="1"/>
  <c r="P35" i="88"/>
  <c r="R35" i="88" s="1"/>
  <c r="P43" i="88"/>
  <c r="R43" i="88" s="1"/>
  <c r="P47" i="88"/>
  <c r="P51" i="88"/>
  <c r="R51" i="88" s="1"/>
  <c r="P59" i="88"/>
  <c r="R59" i="88" s="1"/>
  <c r="P91" i="88"/>
  <c r="R91" i="88" s="1"/>
  <c r="P99" i="88"/>
  <c r="R99" i="88" s="1"/>
  <c r="P111" i="88"/>
  <c r="R111" i="88" s="1"/>
  <c r="P127" i="88"/>
  <c r="R127" i="88" s="1"/>
  <c r="P143" i="88"/>
  <c r="R143" i="88" s="1"/>
  <c r="P159" i="88"/>
  <c r="P175" i="88"/>
  <c r="P191" i="88"/>
  <c r="R191" i="88" s="1"/>
  <c r="P207" i="88"/>
  <c r="R207" i="88" s="1"/>
  <c r="P211" i="88"/>
  <c r="R211" i="88" s="1"/>
  <c r="P227" i="88"/>
  <c r="R227" i="88" s="1"/>
  <c r="P83" i="88"/>
  <c r="R83" i="88" s="1"/>
  <c r="P115" i="88"/>
  <c r="R115" i="88" s="1"/>
  <c r="P131" i="88"/>
  <c r="R131" i="88" s="1"/>
  <c r="P147" i="88"/>
  <c r="R147" i="88" s="1"/>
  <c r="P163" i="88"/>
  <c r="R163" i="88" s="1"/>
  <c r="P179" i="88"/>
  <c r="R179" i="88" s="1"/>
  <c r="P195" i="88"/>
  <c r="R195" i="88" s="1"/>
  <c r="P214" i="88"/>
  <c r="P198" i="88"/>
  <c r="R198" i="88" s="1"/>
  <c r="P182" i="88"/>
  <c r="R182" i="88" s="1"/>
  <c r="P166" i="88"/>
  <c r="P150" i="88"/>
  <c r="P134" i="88"/>
  <c r="P118" i="88"/>
  <c r="P102" i="88"/>
  <c r="P86" i="88"/>
  <c r="P70" i="88"/>
  <c r="P218" i="88"/>
  <c r="R218" i="88" s="1"/>
  <c r="P202" i="88"/>
  <c r="R202" i="88" s="1"/>
  <c r="P186" i="88"/>
  <c r="R186" i="88" s="1"/>
  <c r="P170" i="88"/>
  <c r="R170" i="88" s="1"/>
  <c r="P154" i="88"/>
  <c r="R154" i="88" s="1"/>
  <c r="P138" i="88"/>
  <c r="R138" i="88" s="1"/>
  <c r="P122" i="88"/>
  <c r="R122" i="88" s="1"/>
  <c r="P106" i="88"/>
  <c r="R106" i="88" s="1"/>
  <c r="P90" i="88"/>
  <c r="R90" i="88" s="1"/>
  <c r="P74" i="88"/>
  <c r="R74" i="88" s="1"/>
  <c r="Q8" i="88"/>
  <c r="P222" i="88"/>
  <c r="P206" i="88"/>
  <c r="R206" i="88" s="1"/>
  <c r="P190" i="88"/>
  <c r="R190" i="88" s="1"/>
  <c r="P174" i="88"/>
  <c r="P158" i="88"/>
  <c r="P142" i="88"/>
  <c r="P126" i="88"/>
  <c r="P110" i="88"/>
  <c r="P94" i="88"/>
  <c r="P78" i="88"/>
  <c r="P62" i="88"/>
  <c r="Q12" i="88"/>
  <c r="P226" i="88"/>
  <c r="R226" i="88" s="1"/>
  <c r="P210" i="88"/>
  <c r="R210" i="88" s="1"/>
  <c r="P194" i="88"/>
  <c r="R194" i="88" s="1"/>
  <c r="P178" i="88"/>
  <c r="R178" i="88" s="1"/>
  <c r="P162" i="88"/>
  <c r="R162" i="88" s="1"/>
  <c r="P146" i="88"/>
  <c r="R146" i="88" s="1"/>
  <c r="P130" i="88"/>
  <c r="R130" i="88" s="1"/>
  <c r="P114" i="88"/>
  <c r="R114" i="88" s="1"/>
  <c r="P98" i="88"/>
  <c r="R98" i="88" s="1"/>
  <c r="P82" i="88"/>
  <c r="R82" i="88" s="1"/>
  <c r="P66" i="88"/>
  <c r="R66" i="88" s="1"/>
  <c r="P20" i="88"/>
  <c r="P22" i="88"/>
  <c r="R22" i="88" s="1"/>
  <c r="P24" i="88"/>
  <c r="R24" i="88" s="1"/>
  <c r="P26" i="88"/>
  <c r="R26" i="88" s="1"/>
  <c r="P28" i="88"/>
  <c r="R28" i="88" s="1"/>
  <c r="P30" i="88"/>
  <c r="R30" i="88" s="1"/>
  <c r="P32" i="88"/>
  <c r="R32" i="88" s="1"/>
  <c r="P34" i="88"/>
  <c r="R34" i="88" s="1"/>
  <c r="P36" i="88"/>
  <c r="R36" i="88" s="1"/>
  <c r="P38" i="88"/>
  <c r="P40" i="88"/>
  <c r="R40" i="88" s="1"/>
  <c r="P42" i="88"/>
  <c r="R42" i="88" s="1"/>
  <c r="P44" i="88"/>
  <c r="R44" i="88" s="1"/>
  <c r="P46" i="88"/>
  <c r="R46" i="88" s="1"/>
  <c r="P48" i="88"/>
  <c r="R48" i="88" s="1"/>
  <c r="P50" i="88"/>
  <c r="R50" i="88" s="1"/>
  <c r="P52" i="88"/>
  <c r="R52" i="88" s="1"/>
  <c r="P54" i="88"/>
  <c r="P56" i="88"/>
  <c r="R56" i="88" s="1"/>
  <c r="P58" i="88"/>
  <c r="R58" i="88" s="1"/>
  <c r="P63" i="88"/>
  <c r="P75" i="88"/>
  <c r="R75" i="88" s="1"/>
  <c r="P203" i="88"/>
  <c r="R203" i="88" s="1"/>
  <c r="D53" i="83"/>
  <c r="H70" i="83"/>
  <c r="D71" i="83"/>
  <c r="D87" i="83" s="1"/>
  <c r="D70" i="83"/>
  <c r="D88" i="83"/>
  <c r="D171" i="83"/>
  <c r="D189" i="83" s="1"/>
  <c r="D206" i="83" s="1"/>
  <c r="D160" i="83"/>
  <c r="D36" i="83"/>
  <c r="H53" i="83"/>
  <c r="H104" i="83"/>
  <c r="H138" i="83"/>
  <c r="H179" i="83"/>
  <c r="H236" i="83"/>
  <c r="H197" i="83"/>
  <c r="H214" i="83"/>
  <c r="H215" i="83" s="1"/>
  <c r="C10" i="7" l="1"/>
  <c r="T7" i="88"/>
  <c r="N7" i="83" s="1"/>
  <c r="S10" i="88"/>
  <c r="U10" i="88" s="1"/>
  <c r="S12" i="88"/>
  <c r="U12" i="88" s="1"/>
  <c r="S18" i="96"/>
  <c r="T18" i="96" s="1"/>
  <c r="U18" i="96" s="1"/>
  <c r="S11" i="88"/>
  <c r="U11" i="88" s="1"/>
  <c r="S13" i="88"/>
  <c r="U13" i="88" s="1"/>
  <c r="S16" i="88"/>
  <c r="U16" i="88" s="1"/>
  <c r="S17" i="88"/>
  <c r="U17" i="88" s="1"/>
  <c r="S14" i="96"/>
  <c r="T14" i="96" s="1"/>
  <c r="U14" i="96" s="1"/>
  <c r="S18" i="88"/>
  <c r="U18" i="88" s="1"/>
  <c r="S6" i="88"/>
  <c r="U6" i="88" s="1"/>
  <c r="S11" i="96"/>
  <c r="T11" i="96" s="1"/>
  <c r="U11" i="96" s="1"/>
  <c r="S5" i="88"/>
  <c r="U5" i="88" s="1"/>
  <c r="S15" i="88"/>
  <c r="U15" i="88" s="1"/>
  <c r="S14" i="88"/>
  <c r="U14" i="88" s="1"/>
  <c r="S3" i="88"/>
  <c r="U3" i="88" s="1"/>
  <c r="S4" i="88"/>
  <c r="U4" i="88" s="1"/>
  <c r="S9" i="88"/>
  <c r="U9" i="88" s="1"/>
  <c r="S8" i="88"/>
  <c r="U8" i="88" s="1"/>
  <c r="S16" i="96"/>
  <c r="T16" i="96" s="1"/>
  <c r="U16" i="96" s="1"/>
  <c r="S15" i="96"/>
  <c r="T15" i="96" s="1"/>
  <c r="U15" i="96" s="1"/>
  <c r="S12" i="96"/>
  <c r="T12" i="96" s="1"/>
  <c r="U12" i="96" s="1"/>
  <c r="S9" i="96"/>
  <c r="T9" i="96" s="1"/>
  <c r="U9" i="96" s="1"/>
  <c r="S13" i="96"/>
  <c r="T13" i="96" s="1"/>
  <c r="U13" i="96" s="1"/>
  <c r="Q4" i="88"/>
  <c r="Q6" i="88"/>
  <c r="S8" i="96"/>
  <c r="T8" i="96" s="1"/>
  <c r="U8" i="96" s="1"/>
  <c r="S7" i="96"/>
  <c r="T7" i="96" s="1"/>
  <c r="U7" i="96" s="1"/>
  <c r="S3" i="96"/>
  <c r="T3" i="96" s="1"/>
  <c r="U3" i="96" s="1"/>
  <c r="S6" i="96"/>
  <c r="T6" i="96" s="1"/>
  <c r="U6" i="96" s="1"/>
  <c r="S5" i="96"/>
  <c r="T5" i="96" s="1"/>
  <c r="U5" i="96" s="1"/>
  <c r="S17" i="96"/>
  <c r="T17" i="96" s="1"/>
  <c r="U17" i="96" s="1"/>
  <c r="S10" i="96"/>
  <c r="T10" i="96" s="1"/>
  <c r="U10" i="96" s="1"/>
  <c r="Q10" i="88"/>
  <c r="T2" i="83"/>
  <c r="Q17" i="88"/>
  <c r="Q13" i="88"/>
  <c r="Q9" i="88"/>
  <c r="Q3" i="88"/>
  <c r="Q11" i="88"/>
  <c r="Q15" i="88"/>
  <c r="Q7" i="88"/>
  <c r="Q5" i="88"/>
  <c r="Q18" i="88"/>
  <c r="Q14" i="88"/>
  <c r="D104" i="83"/>
  <c r="D105" i="83"/>
  <c r="C11" i="7" l="1"/>
  <c r="T8" i="88"/>
  <c r="N8" i="83" s="1"/>
  <c r="N25" i="83" s="1"/>
  <c r="B9" i="7"/>
  <c r="T14" i="88"/>
  <c r="N14" i="83" s="1"/>
  <c r="N31" i="83" s="1"/>
  <c r="C9" i="7"/>
  <c r="T6" i="88"/>
  <c r="N6" i="83" s="1"/>
  <c r="B11" i="7"/>
  <c r="T16" i="88"/>
  <c r="N16" i="83" s="1"/>
  <c r="N33" i="83" s="1"/>
  <c r="B7" i="7"/>
  <c r="T12" i="88"/>
  <c r="N12" i="83" s="1"/>
  <c r="N29" i="83" s="1"/>
  <c r="C12" i="7"/>
  <c r="T9" i="88"/>
  <c r="N9" i="83" s="1"/>
  <c r="N26" i="83" s="1"/>
  <c r="B10" i="7"/>
  <c r="T15" i="88"/>
  <c r="N15" i="83" s="1"/>
  <c r="N32" i="83" s="1"/>
  <c r="B13" i="7"/>
  <c r="T18" i="88"/>
  <c r="N18" i="83" s="1"/>
  <c r="N35" i="83" s="1"/>
  <c r="B8" i="7"/>
  <c r="T13" i="88"/>
  <c r="N13" i="83" s="1"/>
  <c r="N30" i="83" s="1"/>
  <c r="C13" i="7"/>
  <c r="T10" i="88"/>
  <c r="N10" i="83" s="1"/>
  <c r="N27" i="83" s="1"/>
  <c r="C7" i="7"/>
  <c r="T4" i="88"/>
  <c r="N4" i="83" s="1"/>
  <c r="N21" i="83" s="1"/>
  <c r="N38" i="83" s="1"/>
  <c r="C8" i="7"/>
  <c r="T5" i="88"/>
  <c r="N5" i="83" s="1"/>
  <c r="N22" i="83" s="1"/>
  <c r="N39" i="83" s="1"/>
  <c r="B6" i="7"/>
  <c r="T11" i="88"/>
  <c r="N11" i="83" s="1"/>
  <c r="N28" i="83" s="1"/>
  <c r="C6" i="7"/>
  <c r="T3" i="88"/>
  <c r="N3" i="83" s="1"/>
  <c r="N20" i="83" s="1"/>
  <c r="N37" i="83" s="1"/>
  <c r="B12" i="7"/>
  <c r="T17" i="88"/>
  <c r="N17" i="83" s="1"/>
  <c r="N34" i="83" s="1"/>
  <c r="N51" i="83" s="1"/>
  <c r="N24" i="83"/>
  <c r="D122" i="83"/>
  <c r="D121" i="83"/>
  <c r="N19" i="83" l="1"/>
  <c r="N48" i="83"/>
  <c r="N23" i="83"/>
  <c r="N47" i="83"/>
  <c r="N50" i="83"/>
  <c r="N68" i="83"/>
  <c r="N41" i="83"/>
  <c r="N44" i="83"/>
  <c r="N52" i="83"/>
  <c r="N49" i="83"/>
  <c r="N46" i="83"/>
  <c r="N45" i="83"/>
  <c r="N42" i="83"/>
  <c r="N43" i="83"/>
  <c r="D141" i="83"/>
  <c r="D138" i="83"/>
  <c r="N36" i="83" l="1"/>
  <c r="N40" i="83"/>
  <c r="N53" i="83" s="1"/>
  <c r="N65" i="83"/>
  <c r="N60" i="83"/>
  <c r="N69" i="83"/>
  <c r="N64" i="83"/>
  <c r="N59" i="83"/>
  <c r="N56" i="83"/>
  <c r="N63" i="83"/>
  <c r="N55" i="83"/>
  <c r="N54" i="83"/>
  <c r="N85" i="83"/>
  <c r="N58" i="83"/>
  <c r="N62" i="83"/>
  <c r="N66" i="83"/>
  <c r="N61" i="83"/>
  <c r="N67" i="83"/>
  <c r="D163" i="83"/>
  <c r="D159" i="83"/>
  <c r="D157" i="83"/>
  <c r="N82" i="83" l="1"/>
  <c r="N57" i="83"/>
  <c r="N70" i="83" s="1"/>
  <c r="N83" i="83"/>
  <c r="N80" i="83"/>
  <c r="N78" i="83"/>
  <c r="N102" i="83"/>
  <c r="N72" i="83"/>
  <c r="N89" i="83" s="1"/>
  <c r="N76" i="83"/>
  <c r="N81" i="83"/>
  <c r="N84" i="83"/>
  <c r="N79" i="83"/>
  <c r="N71" i="83"/>
  <c r="N88" i="83" s="1"/>
  <c r="N86" i="83"/>
  <c r="N75" i="83"/>
  <c r="N73" i="83"/>
  <c r="N90" i="83" s="1"/>
  <c r="N77" i="83"/>
  <c r="D181" i="83"/>
  <c r="D179" i="83"/>
  <c r="D161" i="83"/>
  <c r="N74" i="83" l="1"/>
  <c r="N91" i="83" s="1"/>
  <c r="N99" i="83"/>
  <c r="N94" i="83"/>
  <c r="N93" i="83"/>
  <c r="N95" i="83"/>
  <c r="N92" i="83"/>
  <c r="N119" i="83"/>
  <c r="N101" i="83"/>
  <c r="N97" i="83"/>
  <c r="N103" i="83"/>
  <c r="N96" i="83"/>
  <c r="N98" i="83"/>
  <c r="N100" i="83"/>
  <c r="D198" i="83"/>
  <c r="D197" i="83"/>
  <c r="N87" i="83" l="1"/>
  <c r="N116" i="83"/>
  <c r="N104" i="83"/>
  <c r="N114" i="83"/>
  <c r="N111" i="83"/>
  <c r="N106" i="83"/>
  <c r="N109" i="83"/>
  <c r="N117" i="83"/>
  <c r="N113" i="83"/>
  <c r="N118" i="83"/>
  <c r="N107" i="83"/>
  <c r="N112" i="83"/>
  <c r="N136" i="83"/>
  <c r="N115" i="83"/>
  <c r="N120" i="83"/>
  <c r="N105" i="83"/>
  <c r="N110" i="83"/>
  <c r="D214" i="83"/>
  <c r="N108" i="83" l="1"/>
  <c r="N121" i="83" s="1"/>
  <c r="N133" i="83"/>
  <c r="N131" i="83"/>
  <c r="N122" i="83"/>
  <c r="N135" i="83"/>
  <c r="N126" i="83"/>
  <c r="N137" i="83"/>
  <c r="N129" i="83"/>
  <c r="N130" i="83"/>
  <c r="N123" i="83"/>
  <c r="N155" i="83"/>
  <c r="N127" i="83"/>
  <c r="N132" i="83"/>
  <c r="N124" i="83"/>
  <c r="N134" i="83"/>
  <c r="N128" i="83"/>
  <c r="N152" i="83" l="1"/>
  <c r="N125" i="83"/>
  <c r="N138" i="83" s="1"/>
  <c r="N153" i="83"/>
  <c r="N160" i="83"/>
  <c r="N149" i="83"/>
  <c r="N145" i="83"/>
  <c r="N150" i="83"/>
  <c r="N143" i="83"/>
  <c r="N165" i="83" s="1"/>
  <c r="N146" i="83"/>
  <c r="N148" i="83"/>
  <c r="N154" i="83"/>
  <c r="N151" i="83"/>
  <c r="N177" i="83"/>
  <c r="N156" i="83"/>
  <c r="N141" i="83"/>
  <c r="N163" i="83" s="1"/>
  <c r="N147" i="83"/>
  <c r="N142" i="83"/>
  <c r="N164" i="83" s="1"/>
  <c r="N144" i="83" l="1"/>
  <c r="N174" i="83"/>
  <c r="N169" i="83"/>
  <c r="N178" i="83"/>
  <c r="N175" i="83"/>
  <c r="N195" i="83"/>
  <c r="N170" i="83"/>
  <c r="N167" i="83"/>
  <c r="N172" i="83"/>
  <c r="N159" i="83"/>
  <c r="N173" i="83"/>
  <c r="N168" i="83"/>
  <c r="N171" i="83"/>
  <c r="N176" i="83"/>
  <c r="N157" i="83" l="1"/>
  <c r="N166" i="83"/>
  <c r="N179" i="83" s="1"/>
  <c r="N192" i="83"/>
  <c r="N191" i="83"/>
  <c r="N187" i="83"/>
  <c r="N183" i="83"/>
  <c r="N194" i="83"/>
  <c r="N190" i="83"/>
  <c r="N182" i="83"/>
  <c r="N189" i="83"/>
  <c r="N181" i="83"/>
  <c r="N185" i="83"/>
  <c r="N193" i="83"/>
  <c r="N161" i="83"/>
  <c r="N212" i="83"/>
  <c r="N186" i="83"/>
  <c r="N188" i="83"/>
  <c r="N196" i="83"/>
  <c r="N184" i="83" l="1"/>
  <c r="N197" i="83" s="1"/>
  <c r="N209" i="83"/>
  <c r="N213" i="83"/>
  <c r="N203" i="83"/>
  <c r="N202" i="83"/>
  <c r="N206" i="83"/>
  <c r="N211" i="83"/>
  <c r="N205" i="83"/>
  <c r="N233" i="83"/>
  <c r="N199" i="83"/>
  <c r="N200" i="83"/>
  <c r="N210" i="83"/>
  <c r="N208" i="83"/>
  <c r="N198" i="83"/>
  <c r="N207" i="83"/>
  <c r="N204" i="83"/>
  <c r="N227" i="83" l="1"/>
  <c r="N201" i="83"/>
  <c r="N224" i="83"/>
  <c r="N232" i="83"/>
  <c r="N225" i="83"/>
  <c r="N223" i="83"/>
  <c r="N231" i="83"/>
  <c r="N230" i="83"/>
  <c r="N222" i="83"/>
  <c r="N234" i="83"/>
  <c r="N228" i="83"/>
  <c r="N220" i="83"/>
  <c r="N229" i="83"/>
  <c r="N221" i="83"/>
  <c r="N235" i="83"/>
  <c r="N226" i="83" l="1"/>
  <c r="N236" i="83" s="1"/>
  <c r="N214" i="83"/>
  <c r="N216" i="83" s="1"/>
  <c r="R216" i="83" s="1"/>
  <c r="P216" i="83" l="1"/>
  <c r="Q216" i="83"/>
  <c r="O216" i="83"/>
  <c r="Q888" i="96" l="1"/>
  <c r="T886" i="96"/>
  <c r="Q886" i="96"/>
  <c r="T885" i="96"/>
  <c r="T884" i="96"/>
  <c r="Q884" i="96"/>
  <c r="Q882" i="96"/>
  <c r="Q881" i="96"/>
  <c r="Q880" i="96"/>
  <c r="Q887" i="96" l="1"/>
  <c r="Q889" i="96"/>
  <c r="Q890" i="96" s="1"/>
  <c r="Q872" i="96" l="1"/>
  <c r="A1" i="83" l="1"/>
  <c r="S163" i="83" l="1"/>
  <c r="S88" i="83"/>
  <c r="S37" i="83"/>
  <c r="S166" i="83"/>
  <c r="S91" i="83"/>
  <c r="S40" i="83"/>
  <c r="S165" i="83"/>
  <c r="S90" i="83"/>
  <c r="S39" i="83"/>
  <c r="S164" i="83"/>
  <c r="S89" i="83"/>
  <c r="S38" i="83"/>
  <c r="S198" i="83"/>
  <c r="S143" i="83"/>
  <c r="S82" i="83"/>
  <c r="S8" i="83"/>
  <c r="P8" i="83" s="1"/>
  <c r="S190" i="83"/>
  <c r="S129" i="83"/>
  <c r="S81" i="83"/>
  <c r="S172" i="83"/>
  <c r="S116" i="83"/>
  <c r="S65" i="83"/>
  <c r="S171" i="83"/>
  <c r="S99" i="83"/>
  <c r="S64" i="83"/>
  <c r="S6" i="83"/>
  <c r="O6" i="83" s="1"/>
  <c r="S47" i="83"/>
  <c r="S207" i="83"/>
  <c r="S136" i="83"/>
  <c r="S107" i="83"/>
  <c r="S151" i="83"/>
  <c r="S4" i="83"/>
  <c r="R4" i="83" s="1"/>
  <c r="S176" i="83"/>
  <c r="S12" i="83"/>
  <c r="R12" i="83" s="1"/>
  <c r="S20" i="83"/>
  <c r="O20" i="83" s="1"/>
  <c r="S54" i="83"/>
  <c r="S79" i="83"/>
  <c r="S100" i="83"/>
  <c r="S122" i="83"/>
  <c r="S141" i="83"/>
  <c r="S204" i="83"/>
  <c r="S230" i="83"/>
  <c r="S9" i="83"/>
  <c r="R9" i="83" s="1"/>
  <c r="S21" i="83"/>
  <c r="R21" i="83" s="1"/>
  <c r="S33" i="83"/>
  <c r="O33" i="83" s="1"/>
  <c r="S55" i="83"/>
  <c r="S80" i="83"/>
  <c r="S97" i="83"/>
  <c r="S123" i="83"/>
  <c r="S142" i="83"/>
  <c r="S192" i="83"/>
  <c r="S213" i="83"/>
  <c r="S10" i="83"/>
  <c r="Q10" i="83" s="1"/>
  <c r="S124" i="83"/>
  <c r="S48" i="83"/>
  <c r="S211" i="83"/>
  <c r="S133" i="83"/>
  <c r="S30" i="83"/>
  <c r="R30" i="83" s="1"/>
  <c r="S189" i="83"/>
  <c r="S24" i="83"/>
  <c r="O24" i="83" s="1"/>
  <c r="S149" i="83"/>
  <c r="S3" i="83"/>
  <c r="O3" i="83" s="1"/>
  <c r="S106" i="83"/>
  <c r="S170" i="83"/>
  <c r="S31" i="83"/>
  <c r="O31" i="83" s="1"/>
  <c r="S128" i="83"/>
  <c r="S199" i="83"/>
  <c r="S137" i="83"/>
  <c r="S144" i="83"/>
  <c r="S22" i="83"/>
  <c r="O22" i="83" s="1"/>
  <c r="S181" i="83"/>
  <c r="S28" i="83"/>
  <c r="R28" i="83" s="1"/>
  <c r="S45" i="83"/>
  <c r="S66" i="83"/>
  <c r="S92" i="83"/>
  <c r="S113" i="83"/>
  <c r="S130" i="83"/>
  <c r="S153" i="83"/>
  <c r="S183" i="83"/>
  <c r="S212" i="83"/>
  <c r="S5" i="83"/>
  <c r="Q5" i="83" s="1"/>
  <c r="S13" i="83"/>
  <c r="O13" i="83" s="1"/>
  <c r="S25" i="83"/>
  <c r="R25" i="83" s="1"/>
  <c r="S42" i="83"/>
  <c r="S67" i="83"/>
  <c r="S114" i="83"/>
  <c r="S131" i="83"/>
  <c r="S154" i="83"/>
  <c r="S174" i="83"/>
  <c r="S205" i="83"/>
  <c r="S231" i="83"/>
  <c r="S93" i="83"/>
  <c r="S135" i="83"/>
  <c r="S160" i="83"/>
  <c r="S209" i="83"/>
  <c r="S194" i="83"/>
  <c r="S41" i="83"/>
  <c r="S105" i="83"/>
  <c r="S173" i="83"/>
  <c r="S11" i="83"/>
  <c r="Q11" i="83" s="1"/>
  <c r="S63" i="83"/>
  <c r="S150" i="83"/>
  <c r="S227" i="83"/>
  <c r="S182" i="83"/>
  <c r="S132" i="83"/>
  <c r="S115" i="83"/>
  <c r="S56" i="83"/>
  <c r="S73" i="83"/>
  <c r="S125" i="83"/>
  <c r="S74" i="83"/>
  <c r="S98" i="83"/>
  <c r="S206" i="83"/>
  <c r="S32" i="83"/>
  <c r="Q32" i="83" s="1"/>
  <c r="S49" i="83"/>
  <c r="S71" i="83"/>
  <c r="S96" i="83"/>
  <c r="S117" i="83"/>
  <c r="S134" i="83"/>
  <c r="S159" i="83"/>
  <c r="S191" i="83"/>
  <c r="S222" i="83"/>
  <c r="S7" i="83"/>
  <c r="Q7" i="83" s="1"/>
  <c r="S15" i="83"/>
  <c r="Q15" i="83" s="1"/>
  <c r="S29" i="83"/>
  <c r="P29" i="83" s="1"/>
  <c r="S46" i="83"/>
  <c r="S72" i="83"/>
  <c r="S118" i="83"/>
  <c r="S184" i="83"/>
  <c r="S152" i="83"/>
  <c r="S62" i="83"/>
  <c r="S126" i="83"/>
  <c r="S208" i="83"/>
  <c r="S23" i="83"/>
  <c r="O23" i="83" s="1"/>
  <c r="S84" i="83"/>
  <c r="S127" i="83"/>
  <c r="S201" i="83"/>
  <c r="S17" i="83"/>
  <c r="O17" i="83" s="1"/>
  <c r="S51" i="83"/>
  <c r="S225" i="83"/>
  <c r="S83" i="83"/>
  <c r="S26" i="83"/>
  <c r="Q26" i="83" s="1"/>
  <c r="S177" i="83"/>
  <c r="S103" i="83"/>
  <c r="S232" i="83"/>
  <c r="S220" i="83"/>
  <c r="S168" i="83"/>
  <c r="S155" i="83"/>
  <c r="S86" i="83"/>
  <c r="S76" i="83"/>
  <c r="S235" i="83"/>
  <c r="S229" i="83"/>
  <c r="S203" i="83"/>
  <c r="S68" i="83"/>
  <c r="S18" i="83"/>
  <c r="O18" i="83" s="1"/>
  <c r="S233" i="83"/>
  <c r="S188" i="83"/>
  <c r="S58" i="83"/>
  <c r="S146" i="83"/>
  <c r="S43" i="83"/>
  <c r="S85" i="83"/>
  <c r="S69" i="83"/>
  <c r="S145" i="83"/>
  <c r="S221" i="83"/>
  <c r="S94" i="83"/>
  <c r="S148" i="83"/>
  <c r="S178" i="83"/>
  <c r="S50" i="83"/>
  <c r="S77" i="83"/>
  <c r="S156" i="83"/>
  <c r="S185" i="83"/>
  <c r="S111" i="83"/>
  <c r="S35" i="83"/>
  <c r="R35" i="83" s="1"/>
  <c r="S52" i="83"/>
  <c r="S59" i="83"/>
  <c r="S120" i="83"/>
  <c r="S202" i="83"/>
  <c r="S110" i="83"/>
  <c r="S187" i="83"/>
  <c r="S61" i="83"/>
  <c r="S226" i="83"/>
  <c r="S34" i="83"/>
  <c r="O34" i="83" s="1"/>
  <c r="S167" i="83"/>
  <c r="S60" i="83"/>
  <c r="S234" i="83"/>
  <c r="S109" i="83"/>
  <c r="S195" i="83"/>
  <c r="S112" i="83"/>
  <c r="S210" i="83"/>
  <c r="S147" i="83"/>
  <c r="S108" i="83"/>
  <c r="S196" i="83"/>
  <c r="S95" i="83"/>
  <c r="S169" i="83"/>
  <c r="S224" i="83"/>
  <c r="S175" i="83"/>
  <c r="S16" i="83"/>
  <c r="Q16" i="83" s="1"/>
  <c r="S200" i="83"/>
  <c r="S223" i="83"/>
  <c r="S14" i="83"/>
  <c r="P14" i="83" s="1"/>
  <c r="S101" i="83"/>
  <c r="S75" i="83"/>
  <c r="S119" i="83"/>
  <c r="S78" i="83"/>
  <c r="S193" i="83"/>
  <c r="S44" i="83"/>
  <c r="S228" i="83"/>
  <c r="S186" i="83"/>
  <c r="S102" i="83"/>
  <c r="S27" i="83"/>
  <c r="Q27" i="83" s="1"/>
  <c r="S57" i="83"/>
  <c r="R10" i="83"/>
  <c r="P26" i="83" l="1"/>
  <c r="O10" i="83"/>
  <c r="P34" i="83"/>
  <c r="R13" i="83"/>
  <c r="P7" i="83"/>
  <c r="P38" i="83"/>
  <c r="R38" i="83"/>
  <c r="O38" i="83"/>
  <c r="Q38" i="83"/>
  <c r="O166" i="83"/>
  <c r="Q166" i="83"/>
  <c r="P166" i="83"/>
  <c r="R166" i="83"/>
  <c r="R165" i="83"/>
  <c r="O165" i="83"/>
  <c r="Q165" i="83"/>
  <c r="P165" i="83"/>
  <c r="R164" i="83"/>
  <c r="P164" i="83"/>
  <c r="Q164" i="83"/>
  <c r="O164" i="83"/>
  <c r="P40" i="83"/>
  <c r="R40" i="83"/>
  <c r="O40" i="83"/>
  <c r="Q40" i="83"/>
  <c r="Q88" i="83"/>
  <c r="P88" i="83"/>
  <c r="R88" i="83"/>
  <c r="O88" i="83"/>
  <c r="Q90" i="83"/>
  <c r="P90" i="83"/>
  <c r="O90" i="83"/>
  <c r="R90" i="83"/>
  <c r="P89" i="83"/>
  <c r="Q89" i="83"/>
  <c r="R89" i="83"/>
  <c r="O89" i="83"/>
  <c r="R37" i="83"/>
  <c r="O37" i="83"/>
  <c r="Q37" i="83"/>
  <c r="P37" i="83"/>
  <c r="P39" i="83"/>
  <c r="Q39" i="83"/>
  <c r="R39" i="83"/>
  <c r="O39" i="83"/>
  <c r="Q91" i="83"/>
  <c r="O91" i="83"/>
  <c r="R91" i="83"/>
  <c r="P91" i="83"/>
  <c r="O163" i="83"/>
  <c r="R163" i="83"/>
  <c r="P163" i="83"/>
  <c r="Q163" i="83"/>
  <c r="P13" i="83"/>
  <c r="Q34" i="83"/>
  <c r="P20" i="83"/>
  <c r="Q13" i="83"/>
  <c r="O25" i="83"/>
  <c r="R22" i="83"/>
  <c r="O26" i="83"/>
  <c r="O7" i="83"/>
  <c r="Q23" i="83"/>
  <c r="R23" i="83"/>
  <c r="P28" i="83"/>
  <c r="Q21" i="83"/>
  <c r="P22" i="83"/>
  <c r="P27" i="83"/>
  <c r="R27" i="83"/>
  <c r="O27" i="83"/>
  <c r="P31" i="83"/>
  <c r="Q29" i="83"/>
  <c r="O29" i="83"/>
  <c r="P32" i="83"/>
  <c r="R29" i="83"/>
  <c r="Q31" i="83"/>
  <c r="Q3" i="83"/>
  <c r="R7" i="83"/>
  <c r="P5" i="83"/>
  <c r="P23" i="83"/>
  <c r="Q28" i="83"/>
  <c r="R26" i="83"/>
  <c r="P10" i="83"/>
  <c r="R17" i="83"/>
  <c r="P17" i="83"/>
  <c r="R32" i="83"/>
  <c r="O28" i="83"/>
  <c r="Q8" i="83"/>
  <c r="Q17" i="83"/>
  <c r="P35" i="83"/>
  <c r="R8" i="83"/>
  <c r="Q33" i="83"/>
  <c r="Q22" i="83"/>
  <c r="P33" i="83"/>
  <c r="R24" i="83"/>
  <c r="O21" i="83"/>
  <c r="R31" i="83"/>
  <c r="O8" i="83"/>
  <c r="Q4" i="83"/>
  <c r="P21" i="83"/>
  <c r="P25" i="83"/>
  <c r="P6" i="83"/>
  <c r="O35" i="83"/>
  <c r="P3" i="83"/>
  <c r="R3" i="83"/>
  <c r="P4" i="83"/>
  <c r="Q25" i="83"/>
  <c r="Q24" i="83"/>
  <c r="Q20" i="83"/>
  <c r="O32" i="83"/>
  <c r="R33" i="83"/>
  <c r="R34" i="83"/>
  <c r="R11" i="83"/>
  <c r="Q35" i="83"/>
  <c r="O16" i="83"/>
  <c r="O5" i="83"/>
  <c r="P12" i="83"/>
  <c r="R20" i="83"/>
  <c r="Q30" i="83"/>
  <c r="P24" i="83"/>
  <c r="O4" i="83"/>
  <c r="P11" i="83"/>
  <c r="R15" i="83"/>
  <c r="P16" i="83"/>
  <c r="P9" i="83"/>
  <c r="O9" i="83"/>
  <c r="R78" i="83"/>
  <c r="Q78" i="83"/>
  <c r="O78" i="83"/>
  <c r="P78" i="83"/>
  <c r="P195" i="83"/>
  <c r="R195" i="83"/>
  <c r="Q195" i="83"/>
  <c r="O195" i="83"/>
  <c r="O185" i="83"/>
  <c r="P185" i="83"/>
  <c r="Q185" i="83"/>
  <c r="R185" i="83"/>
  <c r="P145" i="83"/>
  <c r="Q145" i="83"/>
  <c r="O145" i="83"/>
  <c r="R145" i="83"/>
  <c r="Q235" i="83"/>
  <c r="R235" i="83"/>
  <c r="O235" i="83"/>
  <c r="P235" i="83"/>
  <c r="O51" i="83"/>
  <c r="R51" i="83"/>
  <c r="P51" i="83"/>
  <c r="Q51" i="83"/>
  <c r="P118" i="83"/>
  <c r="Q118" i="83"/>
  <c r="R118" i="83"/>
  <c r="O118" i="83"/>
  <c r="Q71" i="83"/>
  <c r="R71" i="83"/>
  <c r="P71" i="83"/>
  <c r="O71" i="83"/>
  <c r="O194" i="83"/>
  <c r="R194" i="83"/>
  <c r="P194" i="83"/>
  <c r="Q194" i="83"/>
  <c r="Q67" i="83"/>
  <c r="R67" i="83"/>
  <c r="O67" i="83"/>
  <c r="P67" i="83"/>
  <c r="R130" i="83"/>
  <c r="P130" i="83"/>
  <c r="Q130" i="83"/>
  <c r="O130" i="83"/>
  <c r="R128" i="83"/>
  <c r="O128" i="83"/>
  <c r="P128" i="83"/>
  <c r="Q128" i="83"/>
  <c r="O170" i="83"/>
  <c r="Q170" i="83"/>
  <c r="P170" i="83"/>
  <c r="R170" i="83"/>
  <c r="O80" i="83"/>
  <c r="P80" i="83"/>
  <c r="R80" i="83"/>
  <c r="Q80" i="83"/>
  <c r="R141" i="83"/>
  <c r="O141" i="83"/>
  <c r="Q141" i="83"/>
  <c r="P141" i="83"/>
  <c r="R129" i="83"/>
  <c r="Q129" i="83"/>
  <c r="O129" i="83"/>
  <c r="P129" i="83"/>
  <c r="O30" i="83"/>
  <c r="R6" i="83"/>
  <c r="Q9" i="83"/>
  <c r="P15" i="83"/>
  <c r="O11" i="83"/>
  <c r="R5" i="83"/>
  <c r="R14" i="83"/>
  <c r="O14" i="83"/>
  <c r="R44" i="83"/>
  <c r="P44" i="83"/>
  <c r="O44" i="83"/>
  <c r="Q44" i="83"/>
  <c r="Q75" i="83"/>
  <c r="R75" i="83"/>
  <c r="O75" i="83"/>
  <c r="P75" i="83"/>
  <c r="Q200" i="83"/>
  <c r="O200" i="83"/>
  <c r="P200" i="83"/>
  <c r="R200" i="83"/>
  <c r="P169" i="83"/>
  <c r="Q169" i="83"/>
  <c r="R169" i="83"/>
  <c r="O169" i="83"/>
  <c r="P95" i="83"/>
  <c r="O95" i="83"/>
  <c r="R95" i="83"/>
  <c r="Q95" i="83"/>
  <c r="R210" i="83"/>
  <c r="O210" i="83"/>
  <c r="P210" i="83"/>
  <c r="Q210" i="83"/>
  <c r="R234" i="83"/>
  <c r="O234" i="83"/>
  <c r="Q234" i="83"/>
  <c r="P234" i="83"/>
  <c r="P226" i="83"/>
  <c r="O226" i="83"/>
  <c r="R226" i="83"/>
  <c r="Q226" i="83"/>
  <c r="Q202" i="83"/>
  <c r="P202" i="83"/>
  <c r="O202" i="83"/>
  <c r="R202" i="83"/>
  <c r="O77" i="83"/>
  <c r="Q77" i="83"/>
  <c r="P77" i="83"/>
  <c r="R77" i="83"/>
  <c r="O94" i="83"/>
  <c r="P94" i="83"/>
  <c r="R94" i="83"/>
  <c r="Q94" i="83"/>
  <c r="Q85" i="83"/>
  <c r="R85" i="83"/>
  <c r="O85" i="83"/>
  <c r="P85" i="83"/>
  <c r="P188" i="83"/>
  <c r="R188" i="83"/>
  <c r="Q188" i="83"/>
  <c r="O188" i="83"/>
  <c r="R203" i="83"/>
  <c r="P203" i="83"/>
  <c r="Q203" i="83"/>
  <c r="O203" i="83"/>
  <c r="Q86" i="83"/>
  <c r="R86" i="83"/>
  <c r="P86" i="83"/>
  <c r="O86" i="83"/>
  <c r="P232" i="83"/>
  <c r="Q232" i="83"/>
  <c r="O232" i="83"/>
  <c r="R232" i="83"/>
  <c r="O83" i="83"/>
  <c r="Q83" i="83"/>
  <c r="R83" i="83"/>
  <c r="P83" i="83"/>
  <c r="P201" i="83"/>
  <c r="O201" i="83"/>
  <c r="R201" i="83"/>
  <c r="Q201" i="83"/>
  <c r="O208" i="83"/>
  <c r="P208" i="83"/>
  <c r="Q208" i="83"/>
  <c r="R208" i="83"/>
  <c r="R46" i="83"/>
  <c r="Q46" i="83"/>
  <c r="P46" i="83"/>
  <c r="O46" i="83"/>
  <c r="Q222" i="83"/>
  <c r="R222" i="83"/>
  <c r="O222" i="83"/>
  <c r="P222" i="83"/>
  <c r="R117" i="83"/>
  <c r="O117" i="83"/>
  <c r="P117" i="83"/>
  <c r="Q117" i="83"/>
  <c r="R125" i="83"/>
  <c r="Q125" i="83"/>
  <c r="P125" i="83"/>
  <c r="O125" i="83"/>
  <c r="O132" i="83"/>
  <c r="R132" i="83"/>
  <c r="P132" i="83"/>
  <c r="Q132" i="83"/>
  <c r="P150" i="83"/>
  <c r="R150" i="83"/>
  <c r="O150" i="83"/>
  <c r="Q150" i="83"/>
  <c r="R105" i="83"/>
  <c r="P105" i="83"/>
  <c r="O105" i="83"/>
  <c r="Q105" i="83"/>
  <c r="O160" i="83"/>
  <c r="P160" i="83"/>
  <c r="O205" i="83"/>
  <c r="Q205" i="83"/>
  <c r="P205" i="83"/>
  <c r="R205" i="83"/>
  <c r="R114" i="83"/>
  <c r="P114" i="83"/>
  <c r="O114" i="83"/>
  <c r="Q114" i="83"/>
  <c r="P183" i="83"/>
  <c r="O183" i="83"/>
  <c r="Q183" i="83"/>
  <c r="R183" i="83"/>
  <c r="P92" i="83"/>
  <c r="R92" i="83"/>
  <c r="O92" i="83"/>
  <c r="Q92" i="83"/>
  <c r="R181" i="83"/>
  <c r="P181" i="83"/>
  <c r="Q181" i="83"/>
  <c r="O181" i="83"/>
  <c r="P199" i="83"/>
  <c r="Q199" i="83"/>
  <c r="R199" i="83"/>
  <c r="O199" i="83"/>
  <c r="P211" i="83"/>
  <c r="O211" i="83"/>
  <c r="Q211" i="83"/>
  <c r="R211" i="83"/>
  <c r="R213" i="83"/>
  <c r="P213" i="83"/>
  <c r="Q213" i="83"/>
  <c r="O213" i="83"/>
  <c r="Q123" i="83"/>
  <c r="P123" i="83"/>
  <c r="R123" i="83"/>
  <c r="O123" i="83"/>
  <c r="O204" i="83"/>
  <c r="P204" i="83"/>
  <c r="R204" i="83"/>
  <c r="Q204" i="83"/>
  <c r="O100" i="83"/>
  <c r="Q100" i="83"/>
  <c r="P100" i="83"/>
  <c r="R100" i="83"/>
  <c r="P207" i="83"/>
  <c r="O207" i="83"/>
  <c r="R207" i="83"/>
  <c r="Q207" i="83"/>
  <c r="Q99" i="83"/>
  <c r="P99" i="83"/>
  <c r="R99" i="83"/>
  <c r="O99" i="83"/>
  <c r="Q172" i="83"/>
  <c r="O172" i="83"/>
  <c r="P172" i="83"/>
  <c r="R172" i="83"/>
  <c r="O186" i="83"/>
  <c r="P186" i="83"/>
  <c r="R186" i="83"/>
  <c r="Q186" i="83"/>
  <c r="R175" i="83"/>
  <c r="P175" i="83"/>
  <c r="Q175" i="83"/>
  <c r="O175" i="83"/>
  <c r="O167" i="83"/>
  <c r="Q167" i="83"/>
  <c r="P167" i="83"/>
  <c r="R167" i="83"/>
  <c r="R178" i="83"/>
  <c r="O178" i="83"/>
  <c r="Q178" i="83"/>
  <c r="P178" i="83"/>
  <c r="Q168" i="83"/>
  <c r="R168" i="83"/>
  <c r="O168" i="83"/>
  <c r="P168" i="83"/>
  <c r="Q84" i="83"/>
  <c r="O84" i="83"/>
  <c r="P84" i="83"/>
  <c r="R84" i="83"/>
  <c r="O98" i="83"/>
  <c r="Q98" i="83"/>
  <c r="R98" i="83"/>
  <c r="P98" i="83"/>
  <c r="Q154" i="83"/>
  <c r="P154" i="83"/>
  <c r="R154" i="83"/>
  <c r="O154" i="83"/>
  <c r="Q6" i="83"/>
  <c r="P30" i="83"/>
  <c r="Q18" i="83"/>
  <c r="P18" i="83"/>
  <c r="Q12" i="83"/>
  <c r="R18" i="83"/>
  <c r="P102" i="83"/>
  <c r="R102" i="83"/>
  <c r="O102" i="83"/>
  <c r="Q102" i="83"/>
  <c r="O193" i="83"/>
  <c r="R193" i="83"/>
  <c r="P193" i="83"/>
  <c r="Q193" i="83"/>
  <c r="R101" i="83"/>
  <c r="P101" i="83"/>
  <c r="O101" i="83"/>
  <c r="Q101" i="83"/>
  <c r="P196" i="83"/>
  <c r="Q196" i="83"/>
  <c r="O196" i="83"/>
  <c r="R196" i="83"/>
  <c r="O112" i="83"/>
  <c r="P112" i="83"/>
  <c r="R112" i="83"/>
  <c r="Q112" i="83"/>
  <c r="O60" i="83"/>
  <c r="R60" i="83"/>
  <c r="P60" i="83"/>
  <c r="Q60" i="83"/>
  <c r="O61" i="83"/>
  <c r="P61" i="83"/>
  <c r="R61" i="83"/>
  <c r="Q61" i="83"/>
  <c r="Q120" i="83"/>
  <c r="R120" i="83"/>
  <c r="P120" i="83"/>
  <c r="O120" i="83"/>
  <c r="P111" i="83"/>
  <c r="Q111" i="83"/>
  <c r="O111" i="83"/>
  <c r="R111" i="83"/>
  <c r="R50" i="83"/>
  <c r="P50" i="83"/>
  <c r="O50" i="83"/>
  <c r="Q50" i="83"/>
  <c r="Q221" i="83"/>
  <c r="P221" i="83"/>
  <c r="R221" i="83"/>
  <c r="O221" i="83"/>
  <c r="O43" i="83"/>
  <c r="P43" i="83"/>
  <c r="Q43" i="83"/>
  <c r="R43" i="83"/>
  <c r="Q233" i="83"/>
  <c r="R233" i="83"/>
  <c r="P233" i="83"/>
  <c r="O233" i="83"/>
  <c r="Q229" i="83"/>
  <c r="P229" i="83"/>
  <c r="R229" i="83"/>
  <c r="O229" i="83"/>
  <c r="P155" i="83"/>
  <c r="O155" i="83"/>
  <c r="Q155" i="83"/>
  <c r="R155" i="83"/>
  <c r="R103" i="83"/>
  <c r="Q103" i="83"/>
  <c r="O103" i="83"/>
  <c r="P103" i="83"/>
  <c r="Q225" i="83"/>
  <c r="O225" i="83"/>
  <c r="P225" i="83"/>
  <c r="R225" i="83"/>
  <c r="O127" i="83"/>
  <c r="R127" i="83"/>
  <c r="P127" i="83"/>
  <c r="Q127" i="83"/>
  <c r="P126" i="83"/>
  <c r="Q126" i="83"/>
  <c r="O126" i="83"/>
  <c r="R126" i="83"/>
  <c r="O184" i="83"/>
  <c r="P184" i="83"/>
  <c r="Q184" i="83"/>
  <c r="R184" i="83"/>
  <c r="O191" i="83"/>
  <c r="Q191" i="83"/>
  <c r="R191" i="83"/>
  <c r="P191" i="83"/>
  <c r="R96" i="83"/>
  <c r="O96" i="83"/>
  <c r="P96" i="83"/>
  <c r="Q96" i="83"/>
  <c r="P206" i="83"/>
  <c r="R206" i="83"/>
  <c r="O206" i="83"/>
  <c r="Q206" i="83"/>
  <c r="Q73" i="83"/>
  <c r="P73" i="83"/>
  <c r="R73" i="83"/>
  <c r="O73" i="83"/>
  <c r="Q182" i="83"/>
  <c r="R182" i="83"/>
  <c r="O182" i="83"/>
  <c r="P182" i="83"/>
  <c r="O63" i="83"/>
  <c r="R63" i="83"/>
  <c r="Q63" i="83"/>
  <c r="P63" i="83"/>
  <c r="Q41" i="83"/>
  <c r="O41" i="83"/>
  <c r="P41" i="83"/>
  <c r="R41" i="83"/>
  <c r="R135" i="83"/>
  <c r="P135" i="83"/>
  <c r="Q135" i="83"/>
  <c r="O135" i="83"/>
  <c r="P174" i="83"/>
  <c r="R174" i="83"/>
  <c r="Q174" i="83"/>
  <c r="O174" i="83"/>
  <c r="R153" i="83"/>
  <c r="Q153" i="83"/>
  <c r="P153" i="83"/>
  <c r="O153" i="83"/>
  <c r="R66" i="83"/>
  <c r="Q66" i="83"/>
  <c r="O66" i="83"/>
  <c r="P66" i="83"/>
  <c r="O189" i="83"/>
  <c r="Q189" i="83"/>
  <c r="R189" i="83"/>
  <c r="P189" i="83"/>
  <c r="O48" i="83"/>
  <c r="Q48" i="83"/>
  <c r="R48" i="83"/>
  <c r="P48" i="83"/>
  <c r="Q192" i="83"/>
  <c r="P192" i="83"/>
  <c r="R192" i="83"/>
  <c r="O192" i="83"/>
  <c r="O97" i="83"/>
  <c r="Q97" i="83"/>
  <c r="P97" i="83"/>
  <c r="R97" i="83"/>
  <c r="O79" i="83"/>
  <c r="Q79" i="83"/>
  <c r="P79" i="83"/>
  <c r="R79" i="83"/>
  <c r="R151" i="83"/>
  <c r="Q151" i="83"/>
  <c r="O151" i="83"/>
  <c r="P151" i="83"/>
  <c r="P47" i="83"/>
  <c r="O47" i="83"/>
  <c r="Q47" i="83"/>
  <c r="R47" i="83"/>
  <c r="R171" i="83"/>
  <c r="P171" i="83"/>
  <c r="Q171" i="83"/>
  <c r="O171" i="83"/>
  <c r="R81" i="83"/>
  <c r="Q81" i="83"/>
  <c r="P81" i="83"/>
  <c r="O81" i="83"/>
  <c r="O82" i="83"/>
  <c r="R82" i="83"/>
  <c r="Q82" i="83"/>
  <c r="P82" i="83"/>
  <c r="R108" i="83"/>
  <c r="O108" i="83"/>
  <c r="Q108" i="83"/>
  <c r="P108" i="83"/>
  <c r="R187" i="83"/>
  <c r="O187" i="83"/>
  <c r="P187" i="83"/>
  <c r="Q187" i="83"/>
  <c r="P59" i="83"/>
  <c r="Q59" i="83"/>
  <c r="O59" i="83"/>
  <c r="R59" i="83"/>
  <c r="P146" i="83"/>
  <c r="O146" i="83"/>
  <c r="Q146" i="83"/>
  <c r="R146" i="83"/>
  <c r="O177" i="83"/>
  <c r="Q177" i="83"/>
  <c r="R177" i="83"/>
  <c r="P177" i="83"/>
  <c r="Q62" i="83"/>
  <c r="P62" i="83"/>
  <c r="O62" i="83"/>
  <c r="R62" i="83"/>
  <c r="O159" i="83"/>
  <c r="O161" i="83" s="1"/>
  <c r="P159" i="83"/>
  <c r="O56" i="83"/>
  <c r="Q56" i="83"/>
  <c r="R56" i="83"/>
  <c r="P56" i="83"/>
  <c r="R93" i="83"/>
  <c r="P93" i="83"/>
  <c r="Q93" i="83"/>
  <c r="O93" i="83"/>
  <c r="P45" i="83"/>
  <c r="O45" i="83"/>
  <c r="R45" i="83"/>
  <c r="Q45" i="83"/>
  <c r="O144" i="83"/>
  <c r="P144" i="83"/>
  <c r="R144" i="83"/>
  <c r="Q144" i="83"/>
  <c r="O149" i="83"/>
  <c r="P149" i="83"/>
  <c r="R149" i="83"/>
  <c r="Q149" i="83"/>
  <c r="R124" i="83"/>
  <c r="P124" i="83"/>
  <c r="O124" i="83"/>
  <c r="Q124" i="83"/>
  <c r="O54" i="83"/>
  <c r="P54" i="83"/>
  <c r="R54" i="83"/>
  <c r="Q54" i="83"/>
  <c r="P107" i="83"/>
  <c r="O107" i="83"/>
  <c r="Q107" i="83"/>
  <c r="R107" i="83"/>
  <c r="P65" i="83"/>
  <c r="R65" i="83"/>
  <c r="O65" i="83"/>
  <c r="Q65" i="83"/>
  <c r="O143" i="83"/>
  <c r="R143" i="83"/>
  <c r="P143" i="83"/>
  <c r="Q143" i="83"/>
  <c r="O12" i="83"/>
  <c r="R16" i="83"/>
  <c r="O15" i="83"/>
  <c r="Q14" i="83"/>
  <c r="Q57" i="83"/>
  <c r="O57" i="83"/>
  <c r="R57" i="83"/>
  <c r="P57" i="83"/>
  <c r="P228" i="83"/>
  <c r="Q228" i="83"/>
  <c r="O228" i="83"/>
  <c r="R228" i="83"/>
  <c r="O119" i="83"/>
  <c r="Q119" i="83"/>
  <c r="P119" i="83"/>
  <c r="R119" i="83"/>
  <c r="P223" i="83"/>
  <c r="Q223" i="83"/>
  <c r="O223" i="83"/>
  <c r="R223" i="83"/>
  <c r="P224" i="83"/>
  <c r="R224" i="83"/>
  <c r="Q224" i="83"/>
  <c r="O224" i="83"/>
  <c r="O147" i="83"/>
  <c r="P147" i="83"/>
  <c r="R147" i="83"/>
  <c r="Q147" i="83"/>
  <c r="P109" i="83"/>
  <c r="R109" i="83"/>
  <c r="Q109" i="83"/>
  <c r="O109" i="83"/>
  <c r="P110" i="83"/>
  <c r="R110" i="83"/>
  <c r="Q110" i="83"/>
  <c r="O110" i="83"/>
  <c r="R52" i="83"/>
  <c r="Q52" i="83"/>
  <c r="P52" i="83"/>
  <c r="O52" i="83"/>
  <c r="Q156" i="83"/>
  <c r="P156" i="83"/>
  <c r="O156" i="83"/>
  <c r="R156" i="83"/>
  <c r="Q148" i="83"/>
  <c r="R148" i="83"/>
  <c r="P148" i="83"/>
  <c r="O148" i="83"/>
  <c r="R69" i="83"/>
  <c r="Q69" i="83"/>
  <c r="P69" i="83"/>
  <c r="O69" i="83"/>
  <c r="Q58" i="83"/>
  <c r="R58" i="83"/>
  <c r="O58" i="83"/>
  <c r="P58" i="83"/>
  <c r="Q68" i="83"/>
  <c r="R68" i="83"/>
  <c r="P68" i="83"/>
  <c r="O68" i="83"/>
  <c r="R76" i="83"/>
  <c r="Q76" i="83"/>
  <c r="O76" i="83"/>
  <c r="P76" i="83"/>
  <c r="R220" i="83"/>
  <c r="O220" i="83"/>
  <c r="Q220" i="83"/>
  <c r="P220" i="83"/>
  <c r="O152" i="83"/>
  <c r="R152" i="83"/>
  <c r="Q152" i="83"/>
  <c r="P152" i="83"/>
  <c r="R72" i="83"/>
  <c r="P72" i="83"/>
  <c r="Q72" i="83"/>
  <c r="O72" i="83"/>
  <c r="R134" i="83"/>
  <c r="Q134" i="83"/>
  <c r="P134" i="83"/>
  <c r="O134" i="83"/>
  <c r="P49" i="83"/>
  <c r="O49" i="83"/>
  <c r="R49" i="83"/>
  <c r="Q49" i="83"/>
  <c r="P74" i="83"/>
  <c r="Q74" i="83"/>
  <c r="O74" i="83"/>
  <c r="R74" i="83"/>
  <c r="Q115" i="83"/>
  <c r="O115" i="83"/>
  <c r="R115" i="83"/>
  <c r="P115" i="83"/>
  <c r="Q227" i="83"/>
  <c r="R227" i="83"/>
  <c r="P227" i="83"/>
  <c r="O227" i="83"/>
  <c r="R173" i="83"/>
  <c r="O173" i="83"/>
  <c r="Q173" i="83"/>
  <c r="P173" i="83"/>
  <c r="R209" i="83"/>
  <c r="P209" i="83"/>
  <c r="Q209" i="83"/>
  <c r="O209" i="83"/>
  <c r="P231" i="83"/>
  <c r="O231" i="83"/>
  <c r="Q231" i="83"/>
  <c r="R231" i="83"/>
  <c r="P131" i="83"/>
  <c r="O131" i="83"/>
  <c r="R131" i="83"/>
  <c r="Q131" i="83"/>
  <c r="R42" i="83"/>
  <c r="O42" i="83"/>
  <c r="P42" i="83"/>
  <c r="Q42" i="83"/>
  <c r="R212" i="83"/>
  <c r="Q212" i="83"/>
  <c r="O212" i="83"/>
  <c r="P212" i="83"/>
  <c r="P113" i="83"/>
  <c r="O113" i="83"/>
  <c r="R113" i="83"/>
  <c r="Q113" i="83"/>
  <c r="R137" i="83"/>
  <c r="Q137" i="83"/>
  <c r="O137" i="83"/>
  <c r="P137" i="83"/>
  <c r="P106" i="83"/>
  <c r="R106" i="83"/>
  <c r="O106" i="83"/>
  <c r="Q106" i="83"/>
  <c r="O133" i="83"/>
  <c r="Q133" i="83"/>
  <c r="P133" i="83"/>
  <c r="R133" i="83"/>
  <c r="Q142" i="83"/>
  <c r="R142" i="83"/>
  <c r="O142" i="83"/>
  <c r="P142" i="83"/>
  <c r="Q55" i="83"/>
  <c r="R55" i="83"/>
  <c r="O55" i="83"/>
  <c r="P55" i="83"/>
  <c r="P230" i="83"/>
  <c r="O230" i="83"/>
  <c r="R230" i="83"/>
  <c r="Q230" i="83"/>
  <c r="R122" i="83"/>
  <c r="P122" i="83"/>
  <c r="Q122" i="83"/>
  <c r="O122" i="83"/>
  <c r="P176" i="83"/>
  <c r="R176" i="83"/>
  <c r="O176" i="83"/>
  <c r="Q176" i="83"/>
  <c r="O136" i="83"/>
  <c r="R136" i="83"/>
  <c r="P136" i="83"/>
  <c r="Q136" i="83"/>
  <c r="Q64" i="83"/>
  <c r="P64" i="83"/>
  <c r="O64" i="83"/>
  <c r="R64" i="83"/>
  <c r="O116" i="83"/>
  <c r="Q116" i="83"/>
  <c r="R116" i="83"/>
  <c r="P116" i="83"/>
  <c r="O190" i="83"/>
  <c r="R190" i="83"/>
  <c r="Q190" i="83"/>
  <c r="P190" i="83"/>
  <c r="P198" i="83"/>
  <c r="R198" i="83"/>
  <c r="Q198" i="83"/>
  <c r="O198" i="83"/>
  <c r="C8" i="49"/>
  <c r="C19" i="7" s="1"/>
  <c r="C35" i="54"/>
  <c r="C7" i="49" s="1"/>
  <c r="D21" i="91"/>
  <c r="C40" i="54"/>
  <c r="Q888" i="88"/>
  <c r="T886" i="88"/>
  <c r="Q886" i="88"/>
  <c r="T885" i="88"/>
  <c r="T884" i="88"/>
  <c r="Q884" i="88"/>
  <c r="Q882" i="88"/>
  <c r="Q881" i="88"/>
  <c r="Q880" i="88"/>
  <c r="U1" i="63"/>
  <c r="P14" i="63"/>
  <c r="AG3" i="47"/>
  <c r="AG4" i="47"/>
  <c r="M8" i="52"/>
  <c r="D8" i="51" s="1"/>
  <c r="M6" i="52"/>
  <c r="D6" i="51" s="1"/>
  <c r="M7" i="52"/>
  <c r="D7" i="51" s="1"/>
  <c r="M9" i="52"/>
  <c r="D9" i="51" s="1"/>
  <c r="M10" i="52"/>
  <c r="D10" i="51" s="1"/>
  <c r="M11" i="52"/>
  <c r="D11" i="51" s="1"/>
  <c r="M12" i="52"/>
  <c r="D12" i="51" s="1"/>
  <c r="M13" i="52"/>
  <c r="D13" i="51" s="1"/>
  <c r="N6" i="52"/>
  <c r="E6" i="51" s="1"/>
  <c r="N7" i="52"/>
  <c r="E7" i="51" s="1"/>
  <c r="N8" i="52"/>
  <c r="E8" i="51" s="1"/>
  <c r="N9" i="52"/>
  <c r="E9" i="51" s="1"/>
  <c r="N10" i="52"/>
  <c r="E10" i="51" s="1"/>
  <c r="N11" i="52"/>
  <c r="E11" i="51" s="1"/>
  <c r="N12" i="52"/>
  <c r="E12" i="51" s="1"/>
  <c r="N13" i="52"/>
  <c r="E13" i="51" s="1"/>
  <c r="M17" i="52"/>
  <c r="J8" i="51" s="1"/>
  <c r="M15" i="52"/>
  <c r="J6" i="51" s="1"/>
  <c r="M16" i="52"/>
  <c r="J7" i="51" s="1"/>
  <c r="M18" i="52"/>
  <c r="J9" i="51" s="1"/>
  <c r="M19" i="52"/>
  <c r="J10" i="51" s="1"/>
  <c r="M20" i="52"/>
  <c r="J11" i="51" s="1"/>
  <c r="M21" i="52"/>
  <c r="J12" i="51" s="1"/>
  <c r="M22" i="52"/>
  <c r="J13" i="51" s="1"/>
  <c r="N15" i="52"/>
  <c r="K6" i="51" s="1"/>
  <c r="N16" i="52"/>
  <c r="K7" i="51" s="1"/>
  <c r="N17" i="52"/>
  <c r="K8" i="51" s="1"/>
  <c r="N18" i="52"/>
  <c r="K9" i="51" s="1"/>
  <c r="N19" i="52"/>
  <c r="K10" i="51" s="1"/>
  <c r="N20" i="52"/>
  <c r="K11" i="51" s="1"/>
  <c r="N21" i="52"/>
  <c r="K12" i="51" s="1"/>
  <c r="N22" i="52"/>
  <c r="K13" i="51" s="1"/>
  <c r="C24" i="7"/>
  <c r="C37" i="49" s="1"/>
  <c r="C20" i="7" s="1"/>
  <c r="E17" i="49"/>
  <c r="V15" i="51" s="1"/>
  <c r="C5" i="38"/>
  <c r="C22" i="38" s="1"/>
  <c r="D5" i="38"/>
  <c r="D22" i="38" s="1"/>
  <c r="E5" i="38"/>
  <c r="E22" i="38" s="1"/>
  <c r="F5" i="38"/>
  <c r="F22" i="38" s="1"/>
  <c r="G5" i="38"/>
  <c r="G22" i="38" s="1"/>
  <c r="D8" i="7"/>
  <c r="D6" i="7"/>
  <c r="D7" i="7"/>
  <c r="D9" i="7"/>
  <c r="D10" i="7"/>
  <c r="D11" i="7"/>
  <c r="D12" i="7"/>
  <c r="D13" i="7"/>
  <c r="E6" i="7"/>
  <c r="E7" i="7"/>
  <c r="E8" i="7"/>
  <c r="E9" i="7"/>
  <c r="E10" i="7"/>
  <c r="E11" i="7"/>
  <c r="E12" i="7"/>
  <c r="E13" i="7"/>
  <c r="J8" i="7"/>
  <c r="J6" i="7"/>
  <c r="J7" i="7"/>
  <c r="J9" i="7"/>
  <c r="J10" i="7"/>
  <c r="J11" i="7"/>
  <c r="J12" i="7"/>
  <c r="J13" i="7"/>
  <c r="K6" i="7"/>
  <c r="K7" i="7"/>
  <c r="K8" i="7"/>
  <c r="K14" i="7" s="1"/>
  <c r="K9" i="7"/>
  <c r="K10" i="7"/>
  <c r="K11" i="7"/>
  <c r="K12" i="7"/>
  <c r="K13" i="7"/>
  <c r="C17" i="49"/>
  <c r="V15" i="7" s="1"/>
  <c r="C6" i="38"/>
  <c r="C23" i="38" s="1"/>
  <c r="D6" i="38"/>
  <c r="D23" i="38" s="1"/>
  <c r="E6" i="38"/>
  <c r="E23" i="38" s="1"/>
  <c r="F6" i="38"/>
  <c r="F23" i="38" s="1"/>
  <c r="G6" i="38"/>
  <c r="N23" i="78"/>
  <c r="G23" i="38"/>
  <c r="U1" i="61"/>
  <c r="C7" i="38"/>
  <c r="C24" i="38" s="1"/>
  <c r="D7" i="38"/>
  <c r="D24" i="38" s="1"/>
  <c r="E7" i="38"/>
  <c r="F7" i="38"/>
  <c r="G7" i="38"/>
  <c r="G24" i="38" s="1"/>
  <c r="E24" i="38"/>
  <c r="F24" i="38"/>
  <c r="C8" i="38"/>
  <c r="C25" i="38" s="1"/>
  <c r="D8" i="38"/>
  <c r="D25" i="38" s="1"/>
  <c r="E8" i="38"/>
  <c r="E25" i="38" s="1"/>
  <c r="F8" i="38"/>
  <c r="F25" i="38" s="1"/>
  <c r="G8" i="38"/>
  <c r="G25" i="38" s="1"/>
  <c r="C9" i="38"/>
  <c r="C26" i="38" s="1"/>
  <c r="D9" i="38"/>
  <c r="D26" i="38" s="1"/>
  <c r="E9" i="38"/>
  <c r="E26" i="38" s="1"/>
  <c r="F9" i="38"/>
  <c r="F26" i="38" s="1"/>
  <c r="G9" i="38"/>
  <c r="G26" i="38" s="1"/>
  <c r="C10" i="38"/>
  <c r="C27" i="38" s="1"/>
  <c r="D10" i="38"/>
  <c r="D27" i="38" s="1"/>
  <c r="E10" i="38"/>
  <c r="E27" i="38" s="1"/>
  <c r="F10" i="38"/>
  <c r="F27" i="38" s="1"/>
  <c r="G10" i="38"/>
  <c r="G27" i="38" s="1"/>
  <c r="AH3" i="47"/>
  <c r="AH4" i="47"/>
  <c r="C13" i="38"/>
  <c r="C30" i="38" s="1"/>
  <c r="D13" i="38"/>
  <c r="D30" i="38" s="1"/>
  <c r="E13" i="38"/>
  <c r="E30" i="38" s="1"/>
  <c r="F13" i="38"/>
  <c r="F30" i="38" s="1"/>
  <c r="G13" i="38"/>
  <c r="G30" i="38" s="1"/>
  <c r="AA13" i="78"/>
  <c r="C14" i="38"/>
  <c r="C31" i="38" s="1"/>
  <c r="D14" i="38"/>
  <c r="D31" i="38" s="1"/>
  <c r="E14" i="38"/>
  <c r="F14" i="38"/>
  <c r="G14" i="38"/>
  <c r="G31" i="38" s="1"/>
  <c r="E31" i="38"/>
  <c r="F31" i="38"/>
  <c r="C15" i="38"/>
  <c r="C32" i="38" s="1"/>
  <c r="D15" i="38"/>
  <c r="D32" i="38" s="1"/>
  <c r="E15" i="38"/>
  <c r="E32" i="38" s="1"/>
  <c r="F15" i="38"/>
  <c r="F32" i="38" s="1"/>
  <c r="G15" i="38"/>
  <c r="G32" i="38" s="1"/>
  <c r="C16" i="38"/>
  <c r="C33" i="38" s="1"/>
  <c r="D16" i="38"/>
  <c r="D33" i="38" s="1"/>
  <c r="E16" i="38"/>
  <c r="E33" i="38" s="1"/>
  <c r="F16" i="38"/>
  <c r="F33" i="38" s="1"/>
  <c r="G16" i="38"/>
  <c r="G33" i="38" s="1"/>
  <c r="C17" i="38"/>
  <c r="C34" i="38" s="1"/>
  <c r="D17" i="38"/>
  <c r="D34" i="38" s="1"/>
  <c r="E17" i="38"/>
  <c r="E34" i="38" s="1"/>
  <c r="F17" i="38"/>
  <c r="G17" i="38"/>
  <c r="F34" i="38"/>
  <c r="G34" i="38"/>
  <c r="C18" i="38"/>
  <c r="C35" i="38" s="1"/>
  <c r="D18" i="38"/>
  <c r="D35" i="38" s="1"/>
  <c r="E18" i="38"/>
  <c r="F18" i="38"/>
  <c r="F35" i="38" s="1"/>
  <c r="G18" i="38"/>
  <c r="G35" i="38" s="1"/>
  <c r="E35" i="38"/>
  <c r="C3" i="47"/>
  <c r="E3" i="47"/>
  <c r="I3" i="47"/>
  <c r="K3" i="47"/>
  <c r="M3" i="47"/>
  <c r="O3" i="47"/>
  <c r="C4" i="75"/>
  <c r="N13" i="37" s="1"/>
  <c r="N30" i="37" s="1"/>
  <c r="E4" i="75"/>
  <c r="N22" i="41" s="1"/>
  <c r="F4" i="75"/>
  <c r="N32" i="41" s="1"/>
  <c r="D13" i="59"/>
  <c r="D13" i="62" s="1"/>
  <c r="D13" i="60" s="1"/>
  <c r="D30" i="59"/>
  <c r="D30" i="62" s="1"/>
  <c r="D30" i="60" s="1"/>
  <c r="D5" i="59"/>
  <c r="D5" i="62" s="1"/>
  <c r="D5" i="60" s="1"/>
  <c r="D22" i="59"/>
  <c r="G4" i="75"/>
  <c r="N7" i="72" s="1"/>
  <c r="AA13" i="72"/>
  <c r="AA13" i="58"/>
  <c r="N16" i="58"/>
  <c r="N18" i="58"/>
  <c r="I4" i="75"/>
  <c r="N6" i="44" s="1"/>
  <c r="N23" i="44" s="1"/>
  <c r="L4" i="75"/>
  <c r="N5" i="45" s="1"/>
  <c r="N22" i="45" s="1"/>
  <c r="K4" i="75"/>
  <c r="N8" i="45" s="1"/>
  <c r="N25" i="45" s="1"/>
  <c r="M4" i="75"/>
  <c r="N7" i="46" s="1"/>
  <c r="N24" i="46" s="1"/>
  <c r="L4" i="74"/>
  <c r="L3" i="74"/>
  <c r="AA4" i="72"/>
  <c r="AA3" i="72"/>
  <c r="E35" i="62"/>
  <c r="E34" i="62"/>
  <c r="E33" i="62"/>
  <c r="E32" i="62"/>
  <c r="E31" i="62"/>
  <c r="E30" i="62"/>
  <c r="D29" i="59"/>
  <c r="D29" i="62" s="1"/>
  <c r="D29" i="60" s="1"/>
  <c r="E27" i="62"/>
  <c r="E26" i="62"/>
  <c r="E25" i="62"/>
  <c r="E24" i="62"/>
  <c r="E23" i="62"/>
  <c r="E22" i="62"/>
  <c r="D22" i="62"/>
  <c r="D22" i="60" s="1"/>
  <c r="N19" i="62"/>
  <c r="D19" i="59"/>
  <c r="D19" i="62" s="1"/>
  <c r="D19" i="60" s="1"/>
  <c r="K12" i="62"/>
  <c r="D12" i="59"/>
  <c r="D12" i="62" s="1"/>
  <c r="D12" i="60" s="1"/>
  <c r="N11" i="62"/>
  <c r="D4" i="59"/>
  <c r="D4" i="62" s="1"/>
  <c r="D4" i="60" s="1"/>
  <c r="E35" i="59"/>
  <c r="E34" i="59"/>
  <c r="E33" i="59"/>
  <c r="E32" i="59"/>
  <c r="E31" i="59"/>
  <c r="E30" i="59"/>
  <c r="E27" i="59"/>
  <c r="E26" i="59"/>
  <c r="E25" i="59"/>
  <c r="E24" i="59"/>
  <c r="E23" i="59"/>
  <c r="E22" i="59"/>
  <c r="N19" i="59"/>
  <c r="N20" i="59" s="1"/>
  <c r="K12" i="59"/>
  <c r="N11" i="59"/>
  <c r="E35" i="61"/>
  <c r="E34" i="61"/>
  <c r="E33" i="61"/>
  <c r="E32" i="61"/>
  <c r="E31" i="61"/>
  <c r="E30" i="61"/>
  <c r="E27" i="61"/>
  <c r="E26" i="61"/>
  <c r="E25" i="61"/>
  <c r="E24" i="61"/>
  <c r="E23" i="61"/>
  <c r="E22" i="61"/>
  <c r="N19" i="61"/>
  <c r="K12" i="61"/>
  <c r="N11" i="61"/>
  <c r="N20" i="61" s="1"/>
  <c r="C17" i="68"/>
  <c r="D17" i="68"/>
  <c r="E17" i="68"/>
  <c r="F17" i="68"/>
  <c r="G17" i="68"/>
  <c r="H17" i="68"/>
  <c r="I17" i="68"/>
  <c r="J17" i="68"/>
  <c r="K17" i="68"/>
  <c r="C18" i="68"/>
  <c r="D18" i="68"/>
  <c r="E18" i="68"/>
  <c r="F18" i="68"/>
  <c r="G18" i="68"/>
  <c r="H18" i="68"/>
  <c r="I18" i="68"/>
  <c r="J18" i="68"/>
  <c r="K18" i="68"/>
  <c r="C19" i="68"/>
  <c r="D19" i="68"/>
  <c r="E19" i="68"/>
  <c r="F19" i="68"/>
  <c r="G19" i="68"/>
  <c r="H19" i="68"/>
  <c r="I19" i="68"/>
  <c r="J19" i="68"/>
  <c r="K19" i="68"/>
  <c r="C20" i="68"/>
  <c r="D20" i="68"/>
  <c r="E20" i="68"/>
  <c r="F20" i="68"/>
  <c r="G20" i="68"/>
  <c r="H20" i="68"/>
  <c r="I20" i="68"/>
  <c r="J20" i="68"/>
  <c r="K20" i="68"/>
  <c r="C21" i="68"/>
  <c r="D21" i="68"/>
  <c r="E21" i="68"/>
  <c r="F21" i="68"/>
  <c r="G21" i="68"/>
  <c r="H21" i="68"/>
  <c r="I21" i="68"/>
  <c r="J21" i="68"/>
  <c r="K21" i="68"/>
  <c r="C22" i="68"/>
  <c r="D22" i="68"/>
  <c r="E22" i="68"/>
  <c r="F22" i="68"/>
  <c r="G22" i="68"/>
  <c r="H22" i="68"/>
  <c r="I22" i="68"/>
  <c r="J22" i="68"/>
  <c r="K22" i="68"/>
  <c r="C23" i="68"/>
  <c r="D23" i="68"/>
  <c r="E23" i="68"/>
  <c r="F23" i="68"/>
  <c r="G23" i="68"/>
  <c r="H23" i="68"/>
  <c r="I23" i="68"/>
  <c r="J23" i="68"/>
  <c r="K23" i="68"/>
  <c r="C24" i="68"/>
  <c r="D24" i="68"/>
  <c r="E24" i="68"/>
  <c r="F24" i="68"/>
  <c r="G24" i="68"/>
  <c r="H24" i="68"/>
  <c r="I24" i="68"/>
  <c r="J24" i="68"/>
  <c r="K24" i="68"/>
  <c r="C5" i="68"/>
  <c r="D5" i="68"/>
  <c r="E5" i="68"/>
  <c r="F5" i="68"/>
  <c r="G5" i="68"/>
  <c r="H5" i="68"/>
  <c r="I5" i="68"/>
  <c r="J5" i="68"/>
  <c r="K5" i="68"/>
  <c r="C6" i="68"/>
  <c r="D6" i="68"/>
  <c r="E6" i="68"/>
  <c r="F6" i="68"/>
  <c r="G6" i="68"/>
  <c r="H6" i="68"/>
  <c r="I6" i="68"/>
  <c r="J6" i="68"/>
  <c r="K6" i="68"/>
  <c r="C7" i="68"/>
  <c r="D7" i="68"/>
  <c r="E7" i="68"/>
  <c r="F7" i="68"/>
  <c r="G7" i="68"/>
  <c r="H7" i="68"/>
  <c r="I7" i="68"/>
  <c r="J7" i="68"/>
  <c r="K7" i="68"/>
  <c r="C8" i="68"/>
  <c r="D8" i="68"/>
  <c r="E8" i="68"/>
  <c r="F8" i="68"/>
  <c r="G8" i="68"/>
  <c r="H8" i="68"/>
  <c r="I8" i="68"/>
  <c r="J8" i="68"/>
  <c r="K8" i="68"/>
  <c r="C9" i="68"/>
  <c r="D9" i="68"/>
  <c r="E9" i="68"/>
  <c r="F9" i="68"/>
  <c r="G9" i="68"/>
  <c r="H9" i="68"/>
  <c r="I9" i="68"/>
  <c r="J9" i="68"/>
  <c r="K9" i="68"/>
  <c r="C10" i="68"/>
  <c r="D10" i="68"/>
  <c r="E10" i="68"/>
  <c r="F10" i="68"/>
  <c r="G10" i="68"/>
  <c r="H10" i="68"/>
  <c r="I10" i="68"/>
  <c r="J10" i="68"/>
  <c r="K10" i="68"/>
  <c r="C11" i="68"/>
  <c r="D11" i="68"/>
  <c r="E11" i="68"/>
  <c r="F11" i="68"/>
  <c r="G11" i="68"/>
  <c r="H11" i="68"/>
  <c r="I11" i="68"/>
  <c r="J11" i="68"/>
  <c r="K11" i="68"/>
  <c r="C12" i="68"/>
  <c r="D12" i="68"/>
  <c r="E12" i="68"/>
  <c r="F12" i="68"/>
  <c r="G12" i="68"/>
  <c r="H12" i="68"/>
  <c r="I12" i="68"/>
  <c r="J12" i="68"/>
  <c r="K12" i="68"/>
  <c r="F11" i="63"/>
  <c r="D11" i="63"/>
  <c r="N11" i="63" s="1"/>
  <c r="P21" i="63"/>
  <c r="F9" i="63"/>
  <c r="D9" i="63"/>
  <c r="D28" i="63" s="1"/>
  <c r="D64" i="63" s="1"/>
  <c r="P19" i="63"/>
  <c r="E32" i="49"/>
  <c r="M32" i="49" s="1"/>
  <c r="C32" i="49"/>
  <c r="P17" i="63"/>
  <c r="P16" i="63"/>
  <c r="P15" i="63"/>
  <c r="P23" i="63"/>
  <c r="P32" i="63"/>
  <c r="P24" i="63"/>
  <c r="P25" i="63"/>
  <c r="P34" i="63"/>
  <c r="P26" i="63"/>
  <c r="P35" i="63"/>
  <c r="P18" i="63"/>
  <c r="P27" i="63"/>
  <c r="P36" i="63"/>
  <c r="X22" i="68"/>
  <c r="P20" i="63"/>
  <c r="P29" i="63"/>
  <c r="P38" i="63"/>
  <c r="X24" i="68"/>
  <c r="W17" i="68"/>
  <c r="W18" i="68"/>
  <c r="W19" i="68"/>
  <c r="W20" i="68"/>
  <c r="W21" i="68"/>
  <c r="W22" i="68"/>
  <c r="W23" i="68"/>
  <c r="W24" i="68"/>
  <c r="U17" i="68"/>
  <c r="U18" i="68"/>
  <c r="U19" i="68"/>
  <c r="U20" i="68"/>
  <c r="U21" i="68"/>
  <c r="U22" i="68"/>
  <c r="U23" i="68"/>
  <c r="U24" i="68"/>
  <c r="P24" i="68"/>
  <c r="Q24" i="68"/>
  <c r="R24" i="68"/>
  <c r="S24" i="68"/>
  <c r="T24" i="68"/>
  <c r="V24" i="68"/>
  <c r="P22" i="68"/>
  <c r="Q22" i="68"/>
  <c r="R22" i="68"/>
  <c r="S22" i="68"/>
  <c r="T22" i="68"/>
  <c r="V22" i="68"/>
  <c r="X10" i="68"/>
  <c r="X12" i="68"/>
  <c r="W5" i="68"/>
  <c r="W6" i="68"/>
  <c r="W7" i="68"/>
  <c r="W8" i="68"/>
  <c r="W9" i="68"/>
  <c r="W10" i="68"/>
  <c r="W11" i="68"/>
  <c r="W12" i="68"/>
  <c r="U5" i="68"/>
  <c r="U6" i="68"/>
  <c r="U7" i="68"/>
  <c r="U8" i="68"/>
  <c r="U9" i="68"/>
  <c r="U10" i="68"/>
  <c r="U11" i="68"/>
  <c r="U12" i="68"/>
  <c r="P12" i="68"/>
  <c r="Q12" i="68"/>
  <c r="R12" i="68"/>
  <c r="S12" i="68"/>
  <c r="T12" i="68"/>
  <c r="V12" i="68"/>
  <c r="P10" i="68"/>
  <c r="Q10" i="68"/>
  <c r="R10" i="68"/>
  <c r="S10" i="68"/>
  <c r="T10" i="68"/>
  <c r="V10" i="68"/>
  <c r="T55" i="70"/>
  <c r="R55" i="70"/>
  <c r="K55" i="70"/>
  <c r="I55" i="70"/>
  <c r="AE54" i="70"/>
  <c r="P39" i="63"/>
  <c r="AE52" i="70"/>
  <c r="P37" i="63"/>
  <c r="AE46" i="70"/>
  <c r="P30" i="63"/>
  <c r="AE44" i="70"/>
  <c r="P28" i="63"/>
  <c r="AE38" i="70"/>
  <c r="AE36" i="70"/>
  <c r="T28" i="70"/>
  <c r="R28" i="70"/>
  <c r="K28" i="70"/>
  <c r="I28" i="70"/>
  <c r="AE27" i="70"/>
  <c r="AE25" i="70"/>
  <c r="AE19" i="70"/>
  <c r="AE17" i="70"/>
  <c r="AE11" i="70"/>
  <c r="AE9" i="70"/>
  <c r="AD113" i="64"/>
  <c r="AC113" i="64"/>
  <c r="AB113" i="64"/>
  <c r="AA113" i="64"/>
  <c r="Z113" i="64"/>
  <c r="Y113" i="64"/>
  <c r="X113" i="64"/>
  <c r="W113" i="64"/>
  <c r="V113" i="64"/>
  <c r="AD86" i="64"/>
  <c r="AC86" i="64"/>
  <c r="AB86" i="64"/>
  <c r="AA86" i="64"/>
  <c r="Z86" i="64"/>
  <c r="Y86" i="64"/>
  <c r="X86" i="64"/>
  <c r="W86" i="64"/>
  <c r="V86" i="64"/>
  <c r="AD56" i="64"/>
  <c r="AC56" i="64"/>
  <c r="AB56" i="64"/>
  <c r="AA56" i="64"/>
  <c r="Z56" i="64"/>
  <c r="Y56" i="64"/>
  <c r="X56" i="64"/>
  <c r="W56" i="64"/>
  <c r="V56" i="64"/>
  <c r="U56" i="64"/>
  <c r="T56" i="64"/>
  <c r="S56" i="64"/>
  <c r="R56" i="64"/>
  <c r="Q56" i="64"/>
  <c r="P56" i="64"/>
  <c r="O56" i="64"/>
  <c r="N56" i="64"/>
  <c r="M56" i="64"/>
  <c r="L56" i="64"/>
  <c r="K56" i="64"/>
  <c r="J56" i="64"/>
  <c r="I56" i="64"/>
  <c r="H56" i="64"/>
  <c r="G56" i="64"/>
  <c r="F56" i="64"/>
  <c r="E56" i="64"/>
  <c r="D56" i="64"/>
  <c r="AG55" i="64"/>
  <c r="AE55" i="64"/>
  <c r="AE54" i="64"/>
  <c r="AG54" i="64" s="1"/>
  <c r="AG53" i="64"/>
  <c r="AE52" i="64"/>
  <c r="AG52" i="64" s="1"/>
  <c r="AE51" i="64"/>
  <c r="AG51" i="64" s="1"/>
  <c r="AE50" i="64"/>
  <c r="AG50" i="64" s="1"/>
  <c r="AE49" i="64"/>
  <c r="AG49" i="64" s="1"/>
  <c r="AE48" i="64"/>
  <c r="AG48" i="64" s="1"/>
  <c r="AE47" i="64"/>
  <c r="AG47" i="64" s="1"/>
  <c r="AE46" i="64"/>
  <c r="AG46" i="64" s="1"/>
  <c r="AG45" i="64"/>
  <c r="AE44" i="64"/>
  <c r="AG44" i="64" s="1"/>
  <c r="AG43" i="64"/>
  <c r="AE43" i="64"/>
  <c r="AE42" i="64"/>
  <c r="AG42" i="64" s="1"/>
  <c r="AG41" i="64"/>
  <c r="AE41" i="64"/>
  <c r="AE40" i="64"/>
  <c r="AG40" i="64" s="1"/>
  <c r="AG39" i="64"/>
  <c r="AE39" i="64"/>
  <c r="AE38" i="64"/>
  <c r="AG38" i="64" s="1"/>
  <c r="AG37" i="64"/>
  <c r="AE36" i="64"/>
  <c r="AG36" i="64" s="1"/>
  <c r="AE35" i="64"/>
  <c r="AG35" i="64" s="1"/>
  <c r="AE34" i="64"/>
  <c r="AG34" i="64" s="1"/>
  <c r="AE33" i="64"/>
  <c r="AG33" i="64" s="1"/>
  <c r="AE32" i="64"/>
  <c r="AG32" i="64" s="1"/>
  <c r="AD29" i="64"/>
  <c r="AC29" i="64"/>
  <c r="AB29" i="64"/>
  <c r="AA29" i="64"/>
  <c r="Z29" i="64"/>
  <c r="Y29" i="64"/>
  <c r="X29" i="64"/>
  <c r="W29" i="64"/>
  <c r="V29" i="64"/>
  <c r="U29" i="64"/>
  <c r="T29" i="64"/>
  <c r="S29" i="64"/>
  <c r="R29" i="64"/>
  <c r="Q29" i="64"/>
  <c r="P29" i="64"/>
  <c r="O29" i="64"/>
  <c r="N29" i="64"/>
  <c r="M29" i="64"/>
  <c r="L29" i="64"/>
  <c r="K29" i="64"/>
  <c r="J29" i="64"/>
  <c r="I29" i="64"/>
  <c r="H29" i="64"/>
  <c r="G29" i="64"/>
  <c r="F29" i="64"/>
  <c r="E29" i="64"/>
  <c r="D29" i="64"/>
  <c r="AG28" i="64"/>
  <c r="AE28" i="64"/>
  <c r="AE27" i="64"/>
  <c r="AG27" i="64" s="1"/>
  <c r="AG26" i="64"/>
  <c r="AE25" i="64"/>
  <c r="AG25" i="64" s="1"/>
  <c r="AE24" i="64"/>
  <c r="AG24" i="64" s="1"/>
  <c r="AE23" i="64"/>
  <c r="AG23" i="64" s="1"/>
  <c r="AE22" i="64"/>
  <c r="AG22" i="64" s="1"/>
  <c r="AE21" i="64"/>
  <c r="AG21" i="64" s="1"/>
  <c r="AE20" i="64"/>
  <c r="AG20" i="64" s="1"/>
  <c r="AE19" i="64"/>
  <c r="AG19" i="64" s="1"/>
  <c r="AG18" i="64"/>
  <c r="AE17" i="64"/>
  <c r="AG17" i="64" s="1"/>
  <c r="AG16" i="64"/>
  <c r="AE16" i="64"/>
  <c r="AE15" i="64"/>
  <c r="AG15" i="64" s="1"/>
  <c r="AG14" i="64"/>
  <c r="AE14" i="64"/>
  <c r="AE13" i="64"/>
  <c r="AG13" i="64" s="1"/>
  <c r="AG12" i="64"/>
  <c r="AE12" i="64"/>
  <c r="AE11" i="64"/>
  <c r="AG11" i="64" s="1"/>
  <c r="AG10" i="64"/>
  <c r="AE9" i="64"/>
  <c r="AG9" i="64" s="1"/>
  <c r="AE8" i="64"/>
  <c r="AG8" i="64" s="1"/>
  <c r="AI6" i="64"/>
  <c r="AI5" i="64"/>
  <c r="AE7" i="64"/>
  <c r="AG7" i="64" s="1"/>
  <c r="AE6" i="64"/>
  <c r="AG6" i="64" s="1"/>
  <c r="AE5" i="64"/>
  <c r="AG5" i="64" s="1"/>
  <c r="J11" i="63"/>
  <c r="H11" i="63"/>
  <c r="J9" i="63"/>
  <c r="H9" i="63"/>
  <c r="I31" i="49"/>
  <c r="I32" i="49"/>
  <c r="G31" i="49"/>
  <c r="G32" i="49"/>
  <c r="I27" i="49"/>
  <c r="J5" i="63" s="1"/>
  <c r="G27" i="49"/>
  <c r="H5" i="63" s="1"/>
  <c r="I26" i="49"/>
  <c r="J4" i="63" s="1"/>
  <c r="G26" i="49"/>
  <c r="H4" i="63" s="1"/>
  <c r="N48" i="63"/>
  <c r="J48" i="63"/>
  <c r="H48" i="63"/>
  <c r="F48" i="63"/>
  <c r="N46" i="63"/>
  <c r="J46" i="63"/>
  <c r="H46" i="63"/>
  <c r="F46" i="63"/>
  <c r="N45" i="63"/>
  <c r="F45" i="63"/>
  <c r="J42" i="63"/>
  <c r="H42" i="63"/>
  <c r="F42" i="63"/>
  <c r="J41" i="63"/>
  <c r="H41" i="63"/>
  <c r="F41" i="63"/>
  <c r="P40" i="63"/>
  <c r="K39" i="63"/>
  <c r="I39" i="63"/>
  <c r="G39" i="63"/>
  <c r="K37" i="63"/>
  <c r="I37" i="63"/>
  <c r="G37" i="63"/>
  <c r="O37" i="63" s="1"/>
  <c r="K35" i="63"/>
  <c r="I35" i="63"/>
  <c r="G35" i="63"/>
  <c r="K34" i="63"/>
  <c r="I34" i="63"/>
  <c r="G34" i="63"/>
  <c r="P33" i="63"/>
  <c r="K33" i="63"/>
  <c r="I33" i="63"/>
  <c r="G33" i="63"/>
  <c r="O33" i="63" s="1"/>
  <c r="K32" i="63"/>
  <c r="I32" i="63"/>
  <c r="G32" i="63"/>
  <c r="O32" i="63" s="1"/>
  <c r="P31" i="63"/>
  <c r="K30" i="63"/>
  <c r="I30" i="63"/>
  <c r="G30" i="63"/>
  <c r="K28" i="63"/>
  <c r="I28" i="63"/>
  <c r="G28" i="63"/>
  <c r="K26" i="63"/>
  <c r="I26" i="63"/>
  <c r="G26" i="63"/>
  <c r="K25" i="63"/>
  <c r="I25" i="63"/>
  <c r="G25" i="63"/>
  <c r="K24" i="63"/>
  <c r="I24" i="63"/>
  <c r="G24" i="63"/>
  <c r="K23" i="63"/>
  <c r="I23" i="63"/>
  <c r="G23" i="63"/>
  <c r="P22" i="63"/>
  <c r="K21" i="63"/>
  <c r="I21" i="63"/>
  <c r="G21" i="63"/>
  <c r="K19" i="63"/>
  <c r="I19" i="63"/>
  <c r="G19" i="63"/>
  <c r="K17" i="63"/>
  <c r="I17" i="63"/>
  <c r="G17" i="63"/>
  <c r="O17" i="63" s="1"/>
  <c r="K16" i="63"/>
  <c r="I16" i="63"/>
  <c r="G16" i="63"/>
  <c r="O16" i="63" s="1"/>
  <c r="K15" i="63"/>
  <c r="I15" i="63"/>
  <c r="G15" i="63"/>
  <c r="K14" i="63"/>
  <c r="I14" i="63"/>
  <c r="G14" i="63"/>
  <c r="E28" i="49"/>
  <c r="F6" i="63" s="1"/>
  <c r="I28" i="49"/>
  <c r="J6" i="63" s="1"/>
  <c r="G28" i="49"/>
  <c r="H6" i="63" s="1"/>
  <c r="C28" i="49"/>
  <c r="D6" i="63" s="1"/>
  <c r="N35" i="85"/>
  <c r="N34" i="85"/>
  <c r="N33" i="85"/>
  <c r="N32" i="85"/>
  <c r="N31" i="85"/>
  <c r="N30" i="85"/>
  <c r="N27" i="85"/>
  <c r="N26" i="85"/>
  <c r="N25" i="85"/>
  <c r="N24" i="85"/>
  <c r="N23" i="85"/>
  <c r="N22" i="85"/>
  <c r="N5" i="85"/>
  <c r="N6" i="85"/>
  <c r="N7" i="85"/>
  <c r="N8" i="85"/>
  <c r="N9" i="85"/>
  <c r="N10" i="85"/>
  <c r="N13" i="85"/>
  <c r="AA13" i="85"/>
  <c r="N14" i="85"/>
  <c r="N15" i="85"/>
  <c r="N16" i="85"/>
  <c r="N17" i="85"/>
  <c r="N18" i="85"/>
  <c r="AA4" i="85"/>
  <c r="AA3" i="85"/>
  <c r="G12" i="38"/>
  <c r="G29" i="38" s="1"/>
  <c r="M29" i="45" s="1"/>
  <c r="F12" i="38"/>
  <c r="F29" i="38" s="1"/>
  <c r="L29" i="45" s="1"/>
  <c r="E12" i="38"/>
  <c r="E29" i="38" s="1"/>
  <c r="K29" i="45" s="1"/>
  <c r="D12" i="38"/>
  <c r="D29" i="38" s="1"/>
  <c r="J29" i="45" s="1"/>
  <c r="C12" i="38"/>
  <c r="C29" i="38" s="1"/>
  <c r="I29" i="45" s="1"/>
  <c r="G11" i="38"/>
  <c r="G28" i="38" s="1"/>
  <c r="M28" i="45" s="1"/>
  <c r="F11" i="38"/>
  <c r="F28" i="38" s="1"/>
  <c r="L28" i="45" s="1"/>
  <c r="E11" i="38"/>
  <c r="E28" i="38" s="1"/>
  <c r="K28" i="45" s="1"/>
  <c r="D11" i="38"/>
  <c r="D28" i="38" s="1"/>
  <c r="J28" i="45" s="1"/>
  <c r="C11" i="38"/>
  <c r="C28" i="38" s="1"/>
  <c r="I28" i="45" s="1"/>
  <c r="G4" i="38"/>
  <c r="G21" i="38" s="1"/>
  <c r="M21" i="45" s="1"/>
  <c r="F4" i="38"/>
  <c r="F21" i="38" s="1"/>
  <c r="L21" i="45" s="1"/>
  <c r="E4" i="38"/>
  <c r="E21" i="38" s="1"/>
  <c r="K21" i="45" s="1"/>
  <c r="D4" i="38"/>
  <c r="D21" i="38" s="1"/>
  <c r="J21" i="45" s="1"/>
  <c r="C4" i="38"/>
  <c r="C21" i="38" s="1"/>
  <c r="I21" i="45" s="1"/>
  <c r="G3" i="38"/>
  <c r="G20" i="38" s="1"/>
  <c r="M20" i="45" s="1"/>
  <c r="F3" i="38"/>
  <c r="F20" i="38" s="1"/>
  <c r="L20" i="45" s="1"/>
  <c r="E3" i="38"/>
  <c r="E20" i="38" s="1"/>
  <c r="K20" i="45" s="1"/>
  <c r="D3" i="38"/>
  <c r="D20" i="38" s="1"/>
  <c r="J20" i="45" s="1"/>
  <c r="C3" i="38"/>
  <c r="C20" i="38" s="1"/>
  <c r="I20" i="45" s="1"/>
  <c r="M19" i="45"/>
  <c r="L19" i="45"/>
  <c r="K19" i="45"/>
  <c r="J19" i="45"/>
  <c r="I19" i="45"/>
  <c r="K12" i="45"/>
  <c r="AA4" i="58"/>
  <c r="AA3" i="58"/>
  <c r="AJ29" i="37"/>
  <c r="AI29" i="37"/>
  <c r="AH29" i="37"/>
  <c r="AG29" i="37"/>
  <c r="AJ28" i="37"/>
  <c r="AI28" i="37"/>
  <c r="AH28" i="37"/>
  <c r="AG28" i="37"/>
  <c r="N27" i="37"/>
  <c r="N26" i="37"/>
  <c r="N25" i="37"/>
  <c r="N24" i="37"/>
  <c r="N23" i="37"/>
  <c r="N22" i="37"/>
  <c r="E11" i="60"/>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D6" i="1"/>
  <c r="B35" i="38"/>
  <c r="B34" i="38"/>
  <c r="B33" i="38"/>
  <c r="B32" i="38"/>
  <c r="B31" i="38"/>
  <c r="B30" i="38"/>
  <c r="B29" i="38"/>
  <c r="B28" i="38"/>
  <c r="A28" i="38"/>
  <c r="B27" i="38"/>
  <c r="B26" i="38"/>
  <c r="B25" i="38"/>
  <c r="B24" i="38"/>
  <c r="B23" i="38"/>
  <c r="B22" i="38"/>
  <c r="B21" i="38"/>
  <c r="B20" i="38"/>
  <c r="A20" i="38"/>
  <c r="S6" i="75"/>
  <c r="S4" i="75" s="1"/>
  <c r="Q6" i="75"/>
  <c r="Q4" i="75" s="1"/>
  <c r="AA4" i="75"/>
  <c r="Y4" i="75"/>
  <c r="W4" i="75"/>
  <c r="U4" i="75"/>
  <c r="O4" i="75"/>
  <c r="N24" i="78" s="1"/>
  <c r="C24" i="51"/>
  <c r="E18" i="49"/>
  <c r="AB15" i="51" s="1"/>
  <c r="AG11" i="51"/>
  <c r="AF11" i="51"/>
  <c r="AG10" i="51"/>
  <c r="AF10" i="51"/>
  <c r="AG9" i="51"/>
  <c r="AF9" i="51"/>
  <c r="AG8" i="51"/>
  <c r="AF8" i="51"/>
  <c r="AG7" i="51"/>
  <c r="AF7" i="51"/>
  <c r="AG6" i="51"/>
  <c r="AF6" i="51"/>
  <c r="C18" i="49"/>
  <c r="AB15" i="7" s="1"/>
  <c r="AG13" i="7"/>
  <c r="AF13" i="7"/>
  <c r="AG12" i="7"/>
  <c r="AF12" i="7"/>
  <c r="AG11" i="7"/>
  <c r="AF11" i="7"/>
  <c r="AG10" i="7"/>
  <c r="AF10" i="7"/>
  <c r="AG9" i="7"/>
  <c r="AF9" i="7"/>
  <c r="AG8" i="7"/>
  <c r="AF8" i="7"/>
  <c r="AG7" i="7"/>
  <c r="AF7" i="7"/>
  <c r="AG6" i="7"/>
  <c r="I54" i="54"/>
  <c r="I13" i="49" s="1"/>
  <c r="G54" i="54"/>
  <c r="G13" i="49" s="1"/>
  <c r="E54" i="54"/>
  <c r="E13" i="49" s="1"/>
  <c r="M13" i="49" s="1"/>
  <c r="C54" i="54"/>
  <c r="I53" i="54"/>
  <c r="G53" i="54"/>
  <c r="G12" i="49" s="1"/>
  <c r="I52" i="54"/>
  <c r="I11" i="49" s="1"/>
  <c r="G52" i="54"/>
  <c r="E52" i="54"/>
  <c r="E11" i="49" s="1"/>
  <c r="M11" i="49" s="1"/>
  <c r="C52" i="54"/>
  <c r="C11" i="49" s="1"/>
  <c r="I50" i="54"/>
  <c r="I9" i="49" s="1"/>
  <c r="G50" i="54"/>
  <c r="I49" i="54"/>
  <c r="G49" i="54"/>
  <c r="G8" i="49" s="1"/>
  <c r="I48" i="54"/>
  <c r="G48" i="54"/>
  <c r="G7" i="49" s="1"/>
  <c r="J16" i="54"/>
  <c r="I16" i="54"/>
  <c r="H16" i="54"/>
  <c r="G16" i="54"/>
  <c r="F16" i="54"/>
  <c r="E16" i="54"/>
  <c r="D16" i="54"/>
  <c r="C16" i="54"/>
  <c r="C3" i="54"/>
  <c r="S22" i="52"/>
  <c r="Q22" i="52"/>
  <c r="L22" i="52"/>
  <c r="K22" i="52"/>
  <c r="S21" i="52"/>
  <c r="Q21" i="52"/>
  <c r="L21" i="52"/>
  <c r="K21" i="52"/>
  <c r="S20" i="52"/>
  <c r="Q20" i="52"/>
  <c r="L20" i="52"/>
  <c r="K20" i="52"/>
  <c r="S19" i="52"/>
  <c r="Q19" i="52"/>
  <c r="L19" i="52"/>
  <c r="K19" i="52"/>
  <c r="S18" i="52"/>
  <c r="Q18" i="52"/>
  <c r="L18" i="52"/>
  <c r="K18" i="52"/>
  <c r="S17" i="52"/>
  <c r="Q17" i="52"/>
  <c r="L17" i="52"/>
  <c r="K17" i="52"/>
  <c r="S16" i="52"/>
  <c r="Q16" i="52"/>
  <c r="L16" i="52"/>
  <c r="K16" i="52"/>
  <c r="L15" i="52"/>
  <c r="K15" i="52"/>
  <c r="V13" i="52"/>
  <c r="S13" i="52"/>
  <c r="Q13" i="52"/>
  <c r="L13" i="52"/>
  <c r="K13" i="52"/>
  <c r="V12" i="52"/>
  <c r="S12" i="52"/>
  <c r="Q12" i="52"/>
  <c r="L12" i="52"/>
  <c r="K12" i="52"/>
  <c r="V11" i="52"/>
  <c r="S11" i="52"/>
  <c r="Q11" i="52"/>
  <c r="L11" i="52"/>
  <c r="K11" i="52"/>
  <c r="V10" i="52"/>
  <c r="S10" i="52"/>
  <c r="Q10" i="52"/>
  <c r="L10" i="52"/>
  <c r="K10" i="52"/>
  <c r="V9" i="52"/>
  <c r="S9" i="52"/>
  <c r="Q9" i="52"/>
  <c r="L9" i="52"/>
  <c r="K9" i="52"/>
  <c r="V8" i="52"/>
  <c r="S8" i="52"/>
  <c r="Q8" i="52"/>
  <c r="L8" i="52"/>
  <c r="K8" i="52"/>
  <c r="V7" i="52"/>
  <c r="S7" i="52"/>
  <c r="Q7" i="52"/>
  <c r="L7" i="52"/>
  <c r="K7" i="52"/>
  <c r="AL6" i="52"/>
  <c r="AK6" i="52"/>
  <c r="AJ6" i="52"/>
  <c r="AI6" i="52"/>
  <c r="AH6" i="52"/>
  <c r="AG6" i="52"/>
  <c r="AF6" i="52"/>
  <c r="AE6" i="52"/>
  <c r="AD6" i="52"/>
  <c r="AC6" i="52"/>
  <c r="AB6" i="52"/>
  <c r="AA6" i="52"/>
  <c r="Z6" i="52"/>
  <c r="Y6" i="52"/>
  <c r="X6" i="52"/>
  <c r="W6" i="52"/>
  <c r="L6" i="52"/>
  <c r="K6" i="52"/>
  <c r="K43" i="49"/>
  <c r="I43" i="49"/>
  <c r="G43" i="49"/>
  <c r="N37" i="49"/>
  <c r="E30" i="49"/>
  <c r="M30" i="49" s="1"/>
  <c r="E33" i="49"/>
  <c r="M33" i="49" s="1"/>
  <c r="I30" i="49"/>
  <c r="I33" i="49"/>
  <c r="G30" i="49"/>
  <c r="G33" i="49"/>
  <c r="C30" i="49"/>
  <c r="C33" i="49"/>
  <c r="M34" i="49"/>
  <c r="M25" i="49"/>
  <c r="E24" i="49"/>
  <c r="M24" i="49" s="1"/>
  <c r="I24" i="49"/>
  <c r="G24" i="49"/>
  <c r="C24" i="49"/>
  <c r="M23" i="49"/>
  <c r="M22" i="49"/>
  <c r="E21" i="49"/>
  <c r="M21" i="49" s="1"/>
  <c r="I21" i="49"/>
  <c r="G21" i="49"/>
  <c r="C21" i="49"/>
  <c r="M19" i="49"/>
  <c r="M18" i="49"/>
  <c r="M17" i="49"/>
  <c r="C13" i="47"/>
  <c r="C23" i="47"/>
  <c r="E13" i="47"/>
  <c r="E23" i="47"/>
  <c r="I13" i="47"/>
  <c r="I23" i="47"/>
  <c r="K13" i="47"/>
  <c r="K23" i="47"/>
  <c r="M13" i="47"/>
  <c r="M23" i="47"/>
  <c r="O13" i="47"/>
  <c r="O23" i="47"/>
  <c r="S23" i="47"/>
  <c r="S33" i="47" s="1"/>
  <c r="U23" i="47"/>
  <c r="U31" i="47" s="1"/>
  <c r="E9" i="49"/>
  <c r="M9" i="49" s="1"/>
  <c r="E14" i="49"/>
  <c r="M14" i="49" s="1"/>
  <c r="I7" i="49"/>
  <c r="I8" i="49"/>
  <c r="I12" i="49"/>
  <c r="I14" i="49"/>
  <c r="G9" i="49"/>
  <c r="G11" i="49"/>
  <c r="G14" i="49"/>
  <c r="C13" i="49"/>
  <c r="C14" i="49"/>
  <c r="M15" i="49"/>
  <c r="A1" i="49"/>
  <c r="W5" i="47"/>
  <c r="X5" i="47"/>
  <c r="Y5" i="47"/>
  <c r="S25" i="47"/>
  <c r="S26" i="47"/>
  <c r="S27" i="47"/>
  <c r="S28" i="47"/>
  <c r="S29" i="47"/>
  <c r="S30" i="47"/>
  <c r="T25" i="47"/>
  <c r="T26" i="47"/>
  <c r="T27" i="47"/>
  <c r="T28" i="47"/>
  <c r="T29" i="47"/>
  <c r="T30" i="47"/>
  <c r="W15" i="47"/>
  <c r="W25" i="47"/>
  <c r="W26" i="47"/>
  <c r="W27" i="47"/>
  <c r="W28" i="47"/>
  <c r="W29" i="47"/>
  <c r="W30" i="47"/>
  <c r="X15" i="47"/>
  <c r="X25" i="47"/>
  <c r="X26" i="47"/>
  <c r="X27" i="47"/>
  <c r="X28" i="47"/>
  <c r="X29" i="47"/>
  <c r="X30" i="47"/>
  <c r="Y15" i="47"/>
  <c r="Y25" i="47"/>
  <c r="Y26" i="47"/>
  <c r="Y27" i="47"/>
  <c r="Y28" i="47"/>
  <c r="Y29" i="47"/>
  <c r="Y30" i="47"/>
  <c r="Z25" i="47"/>
  <c r="Z26" i="47"/>
  <c r="Z27" i="47"/>
  <c r="Z28" i="47"/>
  <c r="Z29" i="47"/>
  <c r="Z30" i="47"/>
  <c r="G3" i="47"/>
  <c r="G4" i="47"/>
  <c r="H3" i="47"/>
  <c r="H4" i="47"/>
  <c r="G23" i="47"/>
  <c r="G24" i="47"/>
  <c r="H23" i="47"/>
  <c r="H24" i="47"/>
  <c r="G13" i="47"/>
  <c r="G14" i="47"/>
  <c r="H13" i="47"/>
  <c r="H33" i="47" s="1"/>
  <c r="H14" i="47"/>
  <c r="H34" i="47" s="1"/>
  <c r="AG13" i="47"/>
  <c r="AG23" i="47"/>
  <c r="AG14" i="47"/>
  <c r="AG24" i="47"/>
  <c r="AH13" i="47"/>
  <c r="AH14" i="47"/>
  <c r="D13" i="47"/>
  <c r="D23" i="47"/>
  <c r="F13" i="47"/>
  <c r="F23" i="47"/>
  <c r="J13" i="47"/>
  <c r="J23" i="47"/>
  <c r="L13" i="47"/>
  <c r="L23" i="47"/>
  <c r="N13" i="47"/>
  <c r="N23" i="47"/>
  <c r="P13" i="47"/>
  <c r="P23" i="47"/>
  <c r="T23" i="47"/>
  <c r="T33" i="47" s="1"/>
  <c r="D14" i="47"/>
  <c r="D24" i="47"/>
  <c r="F14" i="47"/>
  <c r="F24" i="47"/>
  <c r="J14" i="47"/>
  <c r="J24" i="47"/>
  <c r="L14" i="47"/>
  <c r="L24" i="47"/>
  <c r="N14" i="47"/>
  <c r="N24" i="47"/>
  <c r="P14" i="47"/>
  <c r="P24" i="47"/>
  <c r="T24" i="47"/>
  <c r="T34" i="47" s="1"/>
  <c r="C14" i="47"/>
  <c r="C24" i="47"/>
  <c r="E14" i="47"/>
  <c r="E24" i="47"/>
  <c r="I14" i="47"/>
  <c r="I24" i="47"/>
  <c r="K14" i="47"/>
  <c r="K24" i="47"/>
  <c r="M14" i="47"/>
  <c r="M24" i="47"/>
  <c r="O14" i="47"/>
  <c r="O24" i="47"/>
  <c r="S24" i="47"/>
  <c r="S34" i="47" s="1"/>
  <c r="Z34" i="47"/>
  <c r="Y34" i="47"/>
  <c r="X34" i="47"/>
  <c r="W34" i="47"/>
  <c r="R14" i="47"/>
  <c r="R24" i="47"/>
  <c r="Q14" i="47"/>
  <c r="Q24" i="47"/>
  <c r="G34" i="47"/>
  <c r="Z33" i="47"/>
  <c r="Y33" i="47"/>
  <c r="X33" i="47"/>
  <c r="W33" i="47"/>
  <c r="R13" i="47"/>
  <c r="R23" i="47"/>
  <c r="Q13" i="47"/>
  <c r="Q23" i="47"/>
  <c r="G33" i="47"/>
  <c r="D3" i="47"/>
  <c r="F3" i="47"/>
  <c r="J3" i="47"/>
  <c r="L3" i="47"/>
  <c r="N3" i="47"/>
  <c r="P3" i="47"/>
  <c r="D4" i="47"/>
  <c r="F4" i="47"/>
  <c r="J4" i="47"/>
  <c r="L4" i="47"/>
  <c r="N4" i="47"/>
  <c r="P4" i="47"/>
  <c r="C4" i="47"/>
  <c r="E4" i="47"/>
  <c r="I4" i="47"/>
  <c r="K4" i="47"/>
  <c r="M4" i="47"/>
  <c r="O4" i="47"/>
  <c r="R4" i="47"/>
  <c r="Q4" i="47"/>
  <c r="R3" i="47"/>
  <c r="Q3" i="47"/>
  <c r="E6" i="91"/>
  <c r="I57" i="54" l="1"/>
  <c r="J7" i="63"/>
  <c r="AE56" i="64"/>
  <c r="AG56" i="64" s="1"/>
  <c r="O35" i="63"/>
  <c r="H21" i="63"/>
  <c r="H57" i="63" s="1"/>
  <c r="D30" i="63"/>
  <c r="D66" i="63" s="1"/>
  <c r="N18" i="78"/>
  <c r="N34" i="78"/>
  <c r="N15" i="78"/>
  <c r="N27" i="78"/>
  <c r="N8" i="78"/>
  <c r="J14" i="7"/>
  <c r="E14" i="7"/>
  <c r="D14" i="7"/>
  <c r="Q887" i="88"/>
  <c r="T31" i="47"/>
  <c r="J50" i="54"/>
  <c r="M28" i="49"/>
  <c r="N6" i="63" s="1"/>
  <c r="J39" i="63"/>
  <c r="J75" i="63" s="1"/>
  <c r="AE29" i="64"/>
  <c r="AG29" i="64" s="1"/>
  <c r="C13" i="68"/>
  <c r="E25" i="68"/>
  <c r="N20" i="62"/>
  <c r="O15" i="63"/>
  <c r="N20" i="63"/>
  <c r="O23" i="63"/>
  <c r="O24" i="63"/>
  <c r="O25" i="63"/>
  <c r="O26" i="63"/>
  <c r="O28" i="63"/>
  <c r="O30" i="63"/>
  <c r="N41" i="63"/>
  <c r="N42" i="63"/>
  <c r="O21" i="63"/>
  <c r="N31" i="63"/>
  <c r="O14" i="63"/>
  <c r="O18" i="63"/>
  <c r="O19" i="63"/>
  <c r="O34" i="63"/>
  <c r="O39" i="63"/>
  <c r="P36" i="83"/>
  <c r="O36" i="83"/>
  <c r="R36" i="83"/>
  <c r="P161" i="83"/>
  <c r="R179" i="83"/>
  <c r="P19" i="83"/>
  <c r="Q36" i="83"/>
  <c r="O19" i="83"/>
  <c r="R19" i="83"/>
  <c r="Q214" i="83"/>
  <c r="P104" i="83"/>
  <c r="O104" i="83"/>
  <c r="R70" i="83"/>
  <c r="P157" i="83"/>
  <c r="P197" i="83"/>
  <c r="Q138" i="83"/>
  <c r="O214" i="83"/>
  <c r="P53" i="83"/>
  <c r="R138" i="83"/>
  <c r="R104" i="83"/>
  <c r="P87" i="83"/>
  <c r="Q70" i="83"/>
  <c r="Q179" i="83"/>
  <c r="R53" i="83"/>
  <c r="O197" i="83"/>
  <c r="O87" i="83"/>
  <c r="Q236" i="83"/>
  <c r="Q53" i="83"/>
  <c r="O138" i="83"/>
  <c r="Q104" i="83"/>
  <c r="R157" i="83"/>
  <c r="Q121" i="83"/>
  <c r="P179" i="83"/>
  <c r="Q19" i="83"/>
  <c r="Q197" i="83"/>
  <c r="P138" i="83"/>
  <c r="R214" i="83"/>
  <c r="R236" i="83"/>
  <c r="Q157" i="83"/>
  <c r="P70" i="83"/>
  <c r="O121" i="83"/>
  <c r="P121" i="83"/>
  <c r="O157" i="83"/>
  <c r="R87" i="83"/>
  <c r="O53" i="83"/>
  <c r="O236" i="83"/>
  <c r="O70" i="83"/>
  <c r="O179" i="83"/>
  <c r="R197" i="83"/>
  <c r="R121" i="83"/>
  <c r="P214" i="83"/>
  <c r="P236" i="83"/>
  <c r="Q87" i="83"/>
  <c r="J48" i="54"/>
  <c r="J53" i="54"/>
  <c r="J52" i="54"/>
  <c r="J49" i="54"/>
  <c r="J55" i="54"/>
  <c r="J54" i="54"/>
  <c r="G57" i="54"/>
  <c r="H52" i="54" s="1"/>
  <c r="H19" i="63"/>
  <c r="H55" i="63" s="1"/>
  <c r="J21" i="63"/>
  <c r="J57" i="63" s="1"/>
  <c r="D37" i="63"/>
  <c r="D73" i="63" s="1"/>
  <c r="N32" i="58"/>
  <c r="N16" i="78"/>
  <c r="N14" i="78"/>
  <c r="N13" i="78"/>
  <c r="N9" i="78"/>
  <c r="N7" i="78"/>
  <c r="N22" i="78"/>
  <c r="N5" i="78"/>
  <c r="Q889" i="88"/>
  <c r="Q890" i="88" s="1"/>
  <c r="D43" i="63" s="1"/>
  <c r="C34" i="47"/>
  <c r="AG33" i="47"/>
  <c r="W31" i="47"/>
  <c r="J28" i="63"/>
  <c r="J64" i="63" s="1"/>
  <c r="F39" i="63"/>
  <c r="N13" i="45"/>
  <c r="N30" i="45" s="1"/>
  <c r="N35" i="78"/>
  <c r="N17" i="78"/>
  <c r="N32" i="78"/>
  <c r="N10" i="78"/>
  <c r="N25" i="78"/>
  <c r="N6" i="78"/>
  <c r="H30" i="63"/>
  <c r="H66" i="63" s="1"/>
  <c r="J33" i="47"/>
  <c r="G35" i="49"/>
  <c r="H39" i="63"/>
  <c r="H75" i="63" s="1"/>
  <c r="F37" i="63"/>
  <c r="F73" i="63" s="1"/>
  <c r="N73" i="63" s="1"/>
  <c r="N34" i="58"/>
  <c r="N33" i="78"/>
  <c r="N31" i="78"/>
  <c r="N30" i="78"/>
  <c r="N26" i="78"/>
  <c r="AG34" i="47"/>
  <c r="K13" i="68"/>
  <c r="J12" i="45"/>
  <c r="N9" i="63"/>
  <c r="I13" i="68"/>
  <c r="G13" i="68"/>
  <c r="I25" i="68"/>
  <c r="K25" i="68"/>
  <c r="C25" i="68"/>
  <c r="N15" i="58"/>
  <c r="N14" i="58"/>
  <c r="E13" i="68"/>
  <c r="G25" i="68"/>
  <c r="C27" i="49"/>
  <c r="D5" i="63" s="1"/>
  <c r="D33" i="63" s="1"/>
  <c r="N35" i="58"/>
  <c r="N33" i="72"/>
  <c r="N18" i="44"/>
  <c r="N35" i="44" s="1"/>
  <c r="N31" i="72"/>
  <c r="N13" i="58"/>
  <c r="N27" i="58"/>
  <c r="N9" i="58"/>
  <c r="N25" i="58"/>
  <c r="N7" i="58"/>
  <c r="N23" i="58"/>
  <c r="N5" i="58"/>
  <c r="N35" i="72"/>
  <c r="N14" i="44"/>
  <c r="N31" i="44" s="1"/>
  <c r="N17" i="72"/>
  <c r="N30" i="72"/>
  <c r="N10" i="72"/>
  <c r="N26" i="72"/>
  <c r="N18" i="46"/>
  <c r="N35" i="46" s="1"/>
  <c r="N15" i="72"/>
  <c r="AF4" i="47"/>
  <c r="AF14" i="47"/>
  <c r="F13" i="62"/>
  <c r="G13" i="62" s="1"/>
  <c r="AF24" i="47"/>
  <c r="X31" i="47"/>
  <c r="S31" i="47"/>
  <c r="S45" i="47" s="1"/>
  <c r="G16" i="49"/>
  <c r="H7" i="49" s="1"/>
  <c r="I12" i="45"/>
  <c r="D19" i="63"/>
  <c r="D55" i="63" s="1"/>
  <c r="D21" i="63"/>
  <c r="D57" i="63" s="1"/>
  <c r="H13" i="68"/>
  <c r="D13" i="68"/>
  <c r="H25" i="68"/>
  <c r="D25" i="68"/>
  <c r="F5" i="59"/>
  <c r="G5" i="59" s="1"/>
  <c r="N15" i="41"/>
  <c r="AE4" i="47"/>
  <c r="AE24" i="47"/>
  <c r="I16" i="49"/>
  <c r="J7" i="49" s="1"/>
  <c r="H7" i="63"/>
  <c r="U25" i="68"/>
  <c r="D39" i="63"/>
  <c r="D75" i="63" s="1"/>
  <c r="J13" i="68"/>
  <c r="F13" i="68"/>
  <c r="J25" i="68"/>
  <c r="F25" i="68"/>
  <c r="N18" i="45"/>
  <c r="N35" i="45" s="1"/>
  <c r="N17" i="45"/>
  <c r="N34" i="45" s="1"/>
  <c r="N16" i="45"/>
  <c r="N33" i="45" s="1"/>
  <c r="N24" i="72"/>
  <c r="O34" i="47"/>
  <c r="K34" i="47"/>
  <c r="F34" i="47"/>
  <c r="AE23" i="47"/>
  <c r="Y24" i="68"/>
  <c r="K33" i="47"/>
  <c r="L11" i="45"/>
  <c r="M12" i="45"/>
  <c r="H37" i="63"/>
  <c r="H73" i="63" s="1"/>
  <c r="Y22" i="68"/>
  <c r="F28" i="63"/>
  <c r="F13" i="59"/>
  <c r="G13" i="59" s="1"/>
  <c r="AE14" i="47"/>
  <c r="I35" i="49"/>
  <c r="J11" i="45"/>
  <c r="H28" i="63"/>
  <c r="H64" i="63" s="1"/>
  <c r="J30" i="63"/>
  <c r="J66" i="63" s="1"/>
  <c r="J34" i="47"/>
  <c r="M33" i="47"/>
  <c r="C33" i="47"/>
  <c r="R34" i="47"/>
  <c r="P34" i="47"/>
  <c r="P33" i="47"/>
  <c r="N33" i="47"/>
  <c r="W45" i="47"/>
  <c r="F12" i="90" s="1"/>
  <c r="L34" i="47"/>
  <c r="Q34" i="47"/>
  <c r="W35" i="47"/>
  <c r="D34" i="47"/>
  <c r="E33" i="47"/>
  <c r="E34" i="47"/>
  <c r="N34" i="47"/>
  <c r="D33" i="47"/>
  <c r="K11" i="45"/>
  <c r="J19" i="63"/>
  <c r="J55" i="63" s="1"/>
  <c r="J37" i="63"/>
  <c r="J73" i="63" s="1"/>
  <c r="Y10" i="68"/>
  <c r="L12" i="68"/>
  <c r="L8" i="68"/>
  <c r="C33" i="68" s="1"/>
  <c r="L22" i="68"/>
  <c r="L18" i="68"/>
  <c r="F31" i="68" s="1"/>
  <c r="N10" i="45"/>
  <c r="N27" i="45" s="1"/>
  <c r="N8" i="44"/>
  <c r="N25" i="44" s="1"/>
  <c r="Z31" i="47"/>
  <c r="Y31" i="47"/>
  <c r="W25" i="68"/>
  <c r="L11" i="68"/>
  <c r="C36" i="68" s="1"/>
  <c r="L7" i="68"/>
  <c r="C32" i="68" s="1"/>
  <c r="E32" i="68" s="1"/>
  <c r="L21" i="68"/>
  <c r="F34" i="68" s="1"/>
  <c r="L17" i="68"/>
  <c r="F30" i="68" s="1"/>
  <c r="N10" i="41"/>
  <c r="K14" i="51"/>
  <c r="J14" i="51"/>
  <c r="E14" i="51"/>
  <c r="D14" i="51"/>
  <c r="Q33" i="47"/>
  <c r="Y35" i="47"/>
  <c r="AI7" i="64"/>
  <c r="Y12" i="68"/>
  <c r="U13" i="68"/>
  <c r="L10" i="68"/>
  <c r="L6" i="68"/>
  <c r="C31" i="68" s="1"/>
  <c r="L24" i="68"/>
  <c r="L20" i="68"/>
  <c r="F33" i="68" s="1"/>
  <c r="N22" i="72"/>
  <c r="R33" i="47"/>
  <c r="M34" i="47"/>
  <c r="I34" i="47"/>
  <c r="L33" i="47"/>
  <c r="F33" i="47"/>
  <c r="X35" i="47"/>
  <c r="O33" i="47"/>
  <c r="I33" i="47"/>
  <c r="W13" i="68"/>
  <c r="L9" i="68"/>
  <c r="C34" i="68" s="1"/>
  <c r="L5" i="68"/>
  <c r="C30" i="68" s="1"/>
  <c r="L23" i="68"/>
  <c r="F36" i="68" s="1"/>
  <c r="L19" i="68"/>
  <c r="F32" i="68" s="1"/>
  <c r="H32" i="68" s="1"/>
  <c r="N6" i="45"/>
  <c r="N23" i="45" s="1"/>
  <c r="C3" i="74"/>
  <c r="C43" i="49" s="1"/>
  <c r="D24" i="61" s="1"/>
  <c r="D24" i="59" s="1"/>
  <c r="D24" i="62" s="1"/>
  <c r="D24" i="60" s="1"/>
  <c r="F21" i="91"/>
  <c r="D3" i="74" s="1"/>
  <c r="E43" i="49" s="1"/>
  <c r="D6" i="61" s="1"/>
  <c r="C31" i="49"/>
  <c r="D7" i="63" s="1"/>
  <c r="D44" i="63"/>
  <c r="F44" i="63" s="1"/>
  <c r="N44" i="63" s="1"/>
  <c r="C53" i="54"/>
  <c r="C12" i="49" s="1"/>
  <c r="C16" i="49" s="1"/>
  <c r="D9" i="49" s="1"/>
  <c r="J33" i="63"/>
  <c r="J69" i="63" s="1"/>
  <c r="J24" i="63"/>
  <c r="J60" i="63" s="1"/>
  <c r="J15" i="63"/>
  <c r="J51" i="63" s="1"/>
  <c r="H33" i="63"/>
  <c r="H69" i="63" s="1"/>
  <c r="H15" i="63"/>
  <c r="H51" i="63" s="1"/>
  <c r="H24" i="63"/>
  <c r="H60" i="63" s="1"/>
  <c r="N37" i="63"/>
  <c r="AD26" i="67" s="1"/>
  <c r="N39" i="63"/>
  <c r="AD28" i="67" s="1"/>
  <c r="F75" i="63"/>
  <c r="N75" i="63" s="1"/>
  <c r="J32" i="63"/>
  <c r="J68" i="63" s="1"/>
  <c r="J23" i="63"/>
  <c r="J59" i="63" s="1"/>
  <c r="J13" i="63"/>
  <c r="J14" i="63"/>
  <c r="J50" i="63" s="1"/>
  <c r="H32" i="63"/>
  <c r="H68" i="63" s="1"/>
  <c r="H14" i="63"/>
  <c r="H50" i="63" s="1"/>
  <c r="H23" i="63"/>
  <c r="H59" i="63" s="1"/>
  <c r="H13" i="63"/>
  <c r="I11" i="45"/>
  <c r="M11" i="45"/>
  <c r="L12" i="45"/>
  <c r="F30" i="63"/>
  <c r="F19" i="63"/>
  <c r="F21" i="63"/>
  <c r="N15" i="45"/>
  <c r="N32" i="45" s="1"/>
  <c r="N9" i="45"/>
  <c r="N26" i="45" s="1"/>
  <c r="N8" i="72"/>
  <c r="N6" i="72"/>
  <c r="N16" i="41"/>
  <c r="N30" i="41"/>
  <c r="N6" i="41"/>
  <c r="N8" i="46"/>
  <c r="N25" i="46" s="1"/>
  <c r="N17" i="41"/>
  <c r="N8" i="41"/>
  <c r="J12" i="49"/>
  <c r="N17" i="46"/>
  <c r="N34" i="46" s="1"/>
  <c r="N16" i="46"/>
  <c r="N33" i="46" s="1"/>
  <c r="N15" i="46"/>
  <c r="N32" i="46" s="1"/>
  <c r="N14" i="46"/>
  <c r="N31" i="46" s="1"/>
  <c r="N18" i="41"/>
  <c r="N14" i="41"/>
  <c r="N17" i="44"/>
  <c r="N34" i="44" s="1"/>
  <c r="N13" i="44"/>
  <c r="N30" i="44" s="1"/>
  <c r="N7" i="44"/>
  <c r="N24" i="44" s="1"/>
  <c r="N17" i="58"/>
  <c r="N33" i="58"/>
  <c r="N30" i="58"/>
  <c r="N8" i="58"/>
  <c r="N24" i="58"/>
  <c r="N34" i="72"/>
  <c r="N16" i="72"/>
  <c r="N27" i="72"/>
  <c r="N9" i="72"/>
  <c r="N23" i="72"/>
  <c r="N5" i="72"/>
  <c r="N35" i="41"/>
  <c r="N33" i="41"/>
  <c r="N31" i="41"/>
  <c r="N13" i="41"/>
  <c r="N26" i="41"/>
  <c r="N24" i="41"/>
  <c r="N18" i="37"/>
  <c r="N35" i="37" s="1"/>
  <c r="N16" i="37"/>
  <c r="N33" i="37" s="1"/>
  <c r="N14" i="37"/>
  <c r="N31" i="37" s="1"/>
  <c r="N9" i="46"/>
  <c r="N26" i="46" s="1"/>
  <c r="N5" i="46"/>
  <c r="N22" i="46" s="1"/>
  <c r="N10" i="46"/>
  <c r="N27" i="46" s="1"/>
  <c r="N6" i="46"/>
  <c r="N23" i="46" s="1"/>
  <c r="N7" i="45"/>
  <c r="N24" i="45" s="1"/>
  <c r="N15" i="44"/>
  <c r="N32" i="44" s="1"/>
  <c r="N9" i="44"/>
  <c r="N26" i="44" s="1"/>
  <c r="N5" i="44"/>
  <c r="N22" i="44" s="1"/>
  <c r="N31" i="58"/>
  <c r="N10" i="58"/>
  <c r="N26" i="58"/>
  <c r="N6" i="58"/>
  <c r="N22" i="58"/>
  <c r="N18" i="72"/>
  <c r="N32" i="72"/>
  <c r="N14" i="72"/>
  <c r="N13" i="72"/>
  <c r="N25" i="72"/>
  <c r="N34" i="41"/>
  <c r="N27" i="41"/>
  <c r="N25" i="41"/>
  <c r="N23" i="41"/>
  <c r="N5" i="41"/>
  <c r="N17" i="37"/>
  <c r="N34" i="37" s="1"/>
  <c r="N15" i="37"/>
  <c r="N32" i="37" s="1"/>
  <c r="N13" i="46"/>
  <c r="N30" i="46" s="1"/>
  <c r="N14" i="45"/>
  <c r="N31" i="45" s="1"/>
  <c r="N16" i="44"/>
  <c r="N33" i="44" s="1"/>
  <c r="N10" i="44"/>
  <c r="N27" i="44" s="1"/>
  <c r="N9" i="41"/>
  <c r="N7" i="41"/>
  <c r="C47" i="54"/>
  <c r="D36" i="54" s="1"/>
  <c r="C26" i="49"/>
  <c r="C25" i="7"/>
  <c r="C18" i="7"/>
  <c r="C17" i="7" s="1"/>
  <c r="C16" i="7" s="1"/>
  <c r="J9" i="49" l="1"/>
  <c r="H14" i="49"/>
  <c r="J14" i="49"/>
  <c r="J8" i="49"/>
  <c r="J16" i="49" s="1"/>
  <c r="J11" i="49"/>
  <c r="J13" i="49"/>
  <c r="H49" i="54"/>
  <c r="O215" i="83"/>
  <c r="O217" i="83" s="1"/>
  <c r="P215" i="83"/>
  <c r="P217" i="83" s="1"/>
  <c r="D15" i="63"/>
  <c r="D51" i="63" s="1"/>
  <c r="F43" i="63"/>
  <c r="N43" i="63" s="1"/>
  <c r="H43" i="63"/>
  <c r="J43" i="63"/>
  <c r="H8" i="49"/>
  <c r="H9" i="49"/>
  <c r="H13" i="49"/>
  <c r="H12" i="49"/>
  <c r="H11" i="49"/>
  <c r="H55" i="54"/>
  <c r="H54" i="54"/>
  <c r="H50" i="54"/>
  <c r="J57" i="54"/>
  <c r="H53" i="54"/>
  <c r="H48" i="54"/>
  <c r="D24" i="63"/>
  <c r="D60" i="63" s="1"/>
  <c r="AE34" i="47"/>
  <c r="N28" i="63"/>
  <c r="U17" i="67" s="1"/>
  <c r="F64" i="63"/>
  <c r="N64" i="63" s="1"/>
  <c r="L25" i="68"/>
  <c r="F38" i="68" s="1"/>
  <c r="AF34" i="47"/>
  <c r="D27" i="61"/>
  <c r="D27" i="59" s="1"/>
  <c r="D27" i="62" s="1"/>
  <c r="D27" i="60" s="1"/>
  <c r="D25" i="61"/>
  <c r="D25" i="59" s="1"/>
  <c r="D25" i="62" s="1"/>
  <c r="D25" i="60" s="1"/>
  <c r="J44" i="63"/>
  <c r="J35" i="63" s="1"/>
  <c r="J71" i="63" s="1"/>
  <c r="D33" i="61"/>
  <c r="D33" i="59" s="1"/>
  <c r="D33" i="62" s="1"/>
  <c r="D33" i="60" s="1"/>
  <c r="C57" i="54"/>
  <c r="D49" i="54" s="1"/>
  <c r="D28" i="61"/>
  <c r="D28" i="59" s="1"/>
  <c r="D28" i="62" s="1"/>
  <c r="D28" i="60" s="1"/>
  <c r="D35" i="61"/>
  <c r="D35" i="59" s="1"/>
  <c r="D35" i="62" s="1"/>
  <c r="D35" i="60" s="1"/>
  <c r="D23" i="61"/>
  <c r="D23" i="59" s="1"/>
  <c r="D23" i="62" s="1"/>
  <c r="D23" i="60" s="1"/>
  <c r="D34" i="61"/>
  <c r="D34" i="59" s="1"/>
  <c r="D34" i="62" s="1"/>
  <c r="D34" i="60" s="1"/>
  <c r="D21" i="61"/>
  <c r="D21" i="59" s="1"/>
  <c r="D21" i="62" s="1"/>
  <c r="D21" i="60" s="1"/>
  <c r="D40" i="54"/>
  <c r="D26" i="61"/>
  <c r="D26" i="59" s="1"/>
  <c r="D26" i="62" s="1"/>
  <c r="D26" i="60" s="1"/>
  <c r="D32" i="61"/>
  <c r="D32" i="59" s="1"/>
  <c r="D32" i="62" s="1"/>
  <c r="D32" i="60" s="1"/>
  <c r="D20" i="61"/>
  <c r="D20" i="59" s="1"/>
  <c r="D20" i="62" s="1"/>
  <c r="D20" i="60" s="1"/>
  <c r="Y45" i="47"/>
  <c r="D35" i="63"/>
  <c r="D71" i="63" s="1"/>
  <c r="D17" i="63"/>
  <c r="D53" i="63" s="1"/>
  <c r="L13" i="68"/>
  <c r="C38" i="68" s="1"/>
  <c r="D31" i="61"/>
  <c r="D31" i="59" s="1"/>
  <c r="D31" i="62" s="1"/>
  <c r="D31" i="60" s="1"/>
  <c r="D42" i="54"/>
  <c r="H16" i="49"/>
  <c r="D26" i="63"/>
  <c r="D62" i="63" s="1"/>
  <c r="H44" i="63"/>
  <c r="H26" i="63" s="1"/>
  <c r="H62" i="63" s="1"/>
  <c r="D11" i="49"/>
  <c r="D3" i="61"/>
  <c r="D3" i="59" s="1"/>
  <c r="D3" i="62" s="1"/>
  <c r="D3" i="60" s="1"/>
  <c r="F8" i="7"/>
  <c r="N30" i="63"/>
  <c r="U19" i="67" s="1"/>
  <c r="F66" i="63"/>
  <c r="N66" i="63" s="1"/>
  <c r="N19" i="63"/>
  <c r="L8" i="67" s="1"/>
  <c r="F55" i="63"/>
  <c r="N55" i="63" s="1"/>
  <c r="AD26" i="70"/>
  <c r="AD53" i="70"/>
  <c r="N21" i="63"/>
  <c r="L10" i="67" s="1"/>
  <c r="F57" i="63"/>
  <c r="N57" i="63" s="1"/>
  <c r="AD51" i="70"/>
  <c r="AD24" i="70"/>
  <c r="D8" i="49"/>
  <c r="D8" i="61"/>
  <c r="D8" i="59" s="1"/>
  <c r="D18" i="61"/>
  <c r="D13" i="49"/>
  <c r="D35" i="54"/>
  <c r="D45" i="54"/>
  <c r="D37" i="54"/>
  <c r="D41" i="54"/>
  <c r="D39" i="54"/>
  <c r="D7" i="61"/>
  <c r="D7" i="59" s="1"/>
  <c r="D10" i="61"/>
  <c r="D9" i="61"/>
  <c r="D14" i="61"/>
  <c r="D14" i="59" s="1"/>
  <c r="D15" i="61"/>
  <c r="D16" i="61"/>
  <c r="D16" i="59" s="1"/>
  <c r="D17" i="61"/>
  <c r="D11" i="61"/>
  <c r="D11" i="59" s="1"/>
  <c r="D11" i="62" s="1"/>
  <c r="D11" i="60" s="1"/>
  <c r="M43" i="49"/>
  <c r="D14" i="49"/>
  <c r="D7" i="49"/>
  <c r="D12" i="49"/>
  <c r="D4" i="63"/>
  <c r="C35" i="49"/>
  <c r="Q872" i="88"/>
  <c r="C36" i="49" s="1"/>
  <c r="F18" i="7"/>
  <c r="C23" i="7"/>
  <c r="D6" i="59"/>
  <c r="AD23" i="67"/>
  <c r="D69" i="63"/>
  <c r="H57" i="54" l="1"/>
  <c r="E7" i="49"/>
  <c r="F9" i="61"/>
  <c r="AA9" i="72" s="1"/>
  <c r="F11" i="60"/>
  <c r="G11" i="60" s="1"/>
  <c r="U43" i="70"/>
  <c r="U16" i="70"/>
  <c r="F10" i="61"/>
  <c r="AA10" i="72" s="1"/>
  <c r="D48" i="54"/>
  <c r="D54" i="54"/>
  <c r="H17" i="63"/>
  <c r="H53" i="63" s="1"/>
  <c r="L8" i="7"/>
  <c r="J26" i="63"/>
  <c r="J62" i="63" s="1"/>
  <c r="F16" i="61"/>
  <c r="AA16" i="58" s="1"/>
  <c r="J17" i="63"/>
  <c r="J53" i="63" s="1"/>
  <c r="F6" i="61"/>
  <c r="G6" i="61" s="1"/>
  <c r="D50" i="54"/>
  <c r="F18" i="61"/>
  <c r="AA18" i="78" s="1"/>
  <c r="D52" i="54"/>
  <c r="D55" i="54"/>
  <c r="D53" i="54"/>
  <c r="F17" i="61"/>
  <c r="G17" i="61" s="1"/>
  <c r="F15" i="61"/>
  <c r="G15" i="61" s="1"/>
  <c r="F3" i="60"/>
  <c r="G3" i="60" s="1"/>
  <c r="T8" i="7"/>
  <c r="H35" i="63"/>
  <c r="H71" i="63" s="1"/>
  <c r="D18" i="59"/>
  <c r="D18" i="62" s="1"/>
  <c r="F8" i="61"/>
  <c r="G8" i="61" s="1"/>
  <c r="Z8" i="7"/>
  <c r="F14" i="61"/>
  <c r="AA14" i="78" s="1"/>
  <c r="D47" i="54"/>
  <c r="Z12" i="7"/>
  <c r="U6" i="7"/>
  <c r="G8" i="7"/>
  <c r="AA12" i="7"/>
  <c r="M13" i="7"/>
  <c r="G7" i="7"/>
  <c r="F11" i="7"/>
  <c r="U11" i="7"/>
  <c r="Z6" i="7"/>
  <c r="Z9" i="7"/>
  <c r="T10" i="7"/>
  <c r="Z13" i="7"/>
  <c r="L7" i="7"/>
  <c r="M10" i="7"/>
  <c r="M9" i="7"/>
  <c r="U45" i="70"/>
  <c r="U18" i="70"/>
  <c r="L10" i="70"/>
  <c r="L37" i="70"/>
  <c r="L35" i="70"/>
  <c r="L8" i="70"/>
  <c r="D17" i="59"/>
  <c r="F17" i="59" s="1"/>
  <c r="G17" i="59" s="1"/>
  <c r="F7" i="61"/>
  <c r="AA7" i="58" s="1"/>
  <c r="D10" i="59"/>
  <c r="F10" i="59" s="1"/>
  <c r="G10" i="59" s="1"/>
  <c r="D15" i="59"/>
  <c r="F15" i="59" s="1"/>
  <c r="G15" i="59" s="1"/>
  <c r="D16" i="49"/>
  <c r="D9" i="59"/>
  <c r="F9" i="59" s="1"/>
  <c r="G9" i="59" s="1"/>
  <c r="E8" i="49"/>
  <c r="M8" i="49" s="1"/>
  <c r="C19" i="51" s="1"/>
  <c r="E27" i="49"/>
  <c r="B8" i="51"/>
  <c r="L8" i="51" s="1"/>
  <c r="D14" i="63"/>
  <c r="D50" i="63" s="1"/>
  <c r="D13" i="63"/>
  <c r="D32" i="63"/>
  <c r="D68" i="63" s="1"/>
  <c r="D23" i="63"/>
  <c r="D59" i="63" s="1"/>
  <c r="D35" i="49"/>
  <c r="D27" i="49"/>
  <c r="D28" i="49"/>
  <c r="D32" i="49"/>
  <c r="D31" i="49"/>
  <c r="D30" i="49"/>
  <c r="D33" i="49"/>
  <c r="D26" i="49"/>
  <c r="D8" i="62"/>
  <c r="F8" i="59"/>
  <c r="G8" i="59" s="1"/>
  <c r="D52" i="63"/>
  <c r="D61" i="63"/>
  <c r="D70" i="63"/>
  <c r="E3" i="1"/>
  <c r="F7" i="59"/>
  <c r="G7" i="59" s="1"/>
  <c r="D7" i="62"/>
  <c r="AD48" i="70"/>
  <c r="AD21" i="70"/>
  <c r="D6" i="62"/>
  <c r="F6" i="59"/>
  <c r="G6" i="59" s="1"/>
  <c r="D16" i="62"/>
  <c r="F16" i="59"/>
  <c r="G16" i="59" s="1"/>
  <c r="D14" i="62"/>
  <c r="F14" i="59"/>
  <c r="G14" i="59" s="1"/>
  <c r="AA9" i="58" l="1"/>
  <c r="G9" i="61"/>
  <c r="AA9" i="85"/>
  <c r="E26" i="49"/>
  <c r="F4" i="63" s="1"/>
  <c r="F23" i="63" s="1"/>
  <c r="N23" i="63" s="1"/>
  <c r="U13" i="67" s="1"/>
  <c r="E53" i="54"/>
  <c r="E12" i="49" s="1"/>
  <c r="M12" i="49" s="1"/>
  <c r="E31" i="49"/>
  <c r="F7" i="63" s="1"/>
  <c r="F17" i="63" s="1"/>
  <c r="D4" i="74"/>
  <c r="AA9" i="78"/>
  <c r="F12" i="7"/>
  <c r="X21" i="68"/>
  <c r="G10" i="61"/>
  <c r="AA13" i="7"/>
  <c r="AA10" i="58"/>
  <c r="AA10" i="85"/>
  <c r="AA10" i="78"/>
  <c r="X9" i="68"/>
  <c r="AA8" i="85"/>
  <c r="G18" i="61"/>
  <c r="AA15" i="78"/>
  <c r="AA15" i="72"/>
  <c r="AA8" i="78"/>
  <c r="AA6" i="72"/>
  <c r="U8" i="7"/>
  <c r="AA8" i="72"/>
  <c r="F9" i="7"/>
  <c r="G16" i="61"/>
  <c r="F18" i="59"/>
  <c r="G18" i="59" s="1"/>
  <c r="AA17" i="85"/>
  <c r="AA17" i="72"/>
  <c r="AA18" i="72"/>
  <c r="L10" i="7"/>
  <c r="D9" i="62"/>
  <c r="F9" i="62" s="1"/>
  <c r="G9" i="62" s="1"/>
  <c r="AA14" i="58"/>
  <c r="AA15" i="85"/>
  <c r="L12" i="7"/>
  <c r="G11" i="7"/>
  <c r="AA16" i="72"/>
  <c r="AA6" i="85"/>
  <c r="D17" i="62"/>
  <c r="F17" i="62" s="1"/>
  <c r="G17" i="62" s="1"/>
  <c r="D57" i="54"/>
  <c r="AA16" i="78"/>
  <c r="AA6" i="58"/>
  <c r="AA6" i="78"/>
  <c r="AA6" i="7"/>
  <c r="AA16" i="85"/>
  <c r="AA18" i="58"/>
  <c r="B10" i="51"/>
  <c r="L10" i="51" s="1"/>
  <c r="M11" i="7"/>
  <c r="U7" i="7"/>
  <c r="L13" i="7"/>
  <c r="AA15" i="58"/>
  <c r="AA17" i="78"/>
  <c r="U13" i="7"/>
  <c r="AA8" i="58"/>
  <c r="AA18" i="85"/>
  <c r="AA17" i="58"/>
  <c r="AA8" i="7"/>
  <c r="U10" i="7"/>
  <c r="AA7" i="7"/>
  <c r="M6" i="7"/>
  <c r="M12" i="7"/>
  <c r="G13" i="7"/>
  <c r="AA7" i="85"/>
  <c r="T7" i="7"/>
  <c r="T11" i="7"/>
  <c r="M8" i="7"/>
  <c r="D10" i="62"/>
  <c r="F10" i="62" s="1"/>
  <c r="G10" i="62" s="1"/>
  <c r="Z7" i="7"/>
  <c r="Z10" i="7"/>
  <c r="G14" i="61"/>
  <c r="C8" i="51"/>
  <c r="M8" i="51" s="1"/>
  <c r="G9" i="7"/>
  <c r="B14" i="7"/>
  <c r="AA11" i="7"/>
  <c r="AA14" i="72"/>
  <c r="M7" i="7"/>
  <c r="G6" i="7"/>
  <c r="F7" i="7"/>
  <c r="F10" i="7"/>
  <c r="G12" i="7"/>
  <c r="AA9" i="7"/>
  <c r="X23" i="68"/>
  <c r="B12" i="51"/>
  <c r="Z12" i="51" s="1"/>
  <c r="C7" i="51"/>
  <c r="U7" i="51" s="1"/>
  <c r="C6" i="51"/>
  <c r="M6" i="51" s="1"/>
  <c r="B13" i="51"/>
  <c r="T13" i="51" s="1"/>
  <c r="C11" i="51"/>
  <c r="G11" i="51" s="1"/>
  <c r="C13" i="51"/>
  <c r="AA13" i="51" s="1"/>
  <c r="B11" i="51"/>
  <c r="T11" i="51" s="1"/>
  <c r="C10" i="51"/>
  <c r="M10" i="51" s="1"/>
  <c r="AA7" i="78"/>
  <c r="B9" i="51"/>
  <c r="Z9" i="51" s="1"/>
  <c r="F13" i="7"/>
  <c r="T12" i="7"/>
  <c r="T6" i="7"/>
  <c r="Z11" i="7"/>
  <c r="L6" i="7"/>
  <c r="T9" i="7"/>
  <c r="C14" i="7"/>
  <c r="T13" i="7"/>
  <c r="AA10" i="7"/>
  <c r="L9" i="7"/>
  <c r="B7" i="51"/>
  <c r="F7" i="51" s="1"/>
  <c r="AA7" i="72"/>
  <c r="AA14" i="85"/>
  <c r="D15" i="62"/>
  <c r="F15" i="62" s="1"/>
  <c r="G15" i="62" s="1"/>
  <c r="C9" i="51"/>
  <c r="G9" i="51" s="1"/>
  <c r="L11" i="7"/>
  <c r="U12" i="7"/>
  <c r="C12" i="51"/>
  <c r="U12" i="51" s="1"/>
  <c r="G10" i="7"/>
  <c r="U9" i="7"/>
  <c r="F6" i="7"/>
  <c r="B6" i="51"/>
  <c r="X11" i="68"/>
  <c r="G7" i="61"/>
  <c r="F5" i="63"/>
  <c r="M27" i="49"/>
  <c r="N5" i="63" s="1"/>
  <c r="M7" i="49"/>
  <c r="C25" i="51"/>
  <c r="Z8" i="51"/>
  <c r="T8" i="51"/>
  <c r="C80" i="63" a="1"/>
  <c r="E81" i="63" s="1"/>
  <c r="F8" i="51"/>
  <c r="F18" i="62"/>
  <c r="G18" i="62" s="1"/>
  <c r="D18" i="60"/>
  <c r="D34" i="63"/>
  <c r="H70" i="63"/>
  <c r="J70" i="63"/>
  <c r="F70" i="63"/>
  <c r="N70" i="63" s="1"/>
  <c r="F6" i="62"/>
  <c r="G6" i="62" s="1"/>
  <c r="D6" i="60"/>
  <c r="F7" i="62"/>
  <c r="G7" i="62" s="1"/>
  <c r="D7" i="60"/>
  <c r="F14" i="62"/>
  <c r="G14" i="62" s="1"/>
  <c r="D14" i="60"/>
  <c r="D16" i="63"/>
  <c r="F52" i="63"/>
  <c r="N52" i="63" s="1"/>
  <c r="H52" i="63"/>
  <c r="J52" i="63"/>
  <c r="F16" i="62"/>
  <c r="G16" i="62" s="1"/>
  <c r="D16" i="60"/>
  <c r="D25" i="63"/>
  <c r="F25" i="63" s="1"/>
  <c r="H61" i="63"/>
  <c r="J61" i="63"/>
  <c r="F61" i="63"/>
  <c r="N61" i="63" s="1"/>
  <c r="F8" i="62"/>
  <c r="G8" i="62" s="1"/>
  <c r="D8" i="60"/>
  <c r="M26" i="49" l="1"/>
  <c r="F32" i="63"/>
  <c r="N32" i="63" s="1"/>
  <c r="AD22" i="67" s="1"/>
  <c r="AD47" i="70" s="1"/>
  <c r="F14" i="63"/>
  <c r="N14" i="63" s="1"/>
  <c r="L4" i="67" s="1"/>
  <c r="L31" i="70" s="1"/>
  <c r="F59" i="63"/>
  <c r="N59" i="63" s="1"/>
  <c r="N4" i="63"/>
  <c r="F35" i="63"/>
  <c r="F71" i="63" s="1"/>
  <c r="N71" i="63" s="1"/>
  <c r="E16" i="49"/>
  <c r="F12" i="49" s="1"/>
  <c r="E35" i="49"/>
  <c r="F26" i="49" s="1"/>
  <c r="M31" i="49"/>
  <c r="N7" i="63" s="1"/>
  <c r="F26" i="63"/>
  <c r="F62" i="63" s="1"/>
  <c r="N62" i="63" s="1"/>
  <c r="F13" i="63"/>
  <c r="E57" i="54"/>
  <c r="F48" i="54" s="1"/>
  <c r="T10" i="51"/>
  <c r="AA9" i="51"/>
  <c r="D9" i="60"/>
  <c r="D17" i="60"/>
  <c r="U11" i="51"/>
  <c r="T7" i="51"/>
  <c r="T12" i="51"/>
  <c r="Z10" i="51"/>
  <c r="U6" i="51"/>
  <c r="F10" i="51"/>
  <c r="D10" i="60"/>
  <c r="L12" i="51"/>
  <c r="G12" i="51"/>
  <c r="Z14" i="7"/>
  <c r="AA11" i="51"/>
  <c r="Z7" i="51"/>
  <c r="F12" i="51"/>
  <c r="F14" i="7"/>
  <c r="U9" i="51"/>
  <c r="L7" i="51"/>
  <c r="AA8" i="51"/>
  <c r="M9" i="51"/>
  <c r="M11" i="51"/>
  <c r="D15" i="60"/>
  <c r="G8" i="51"/>
  <c r="U14" i="7"/>
  <c r="M14" i="7"/>
  <c r="U8" i="51"/>
  <c r="T14" i="7"/>
  <c r="L14" i="7"/>
  <c r="AA14" i="7"/>
  <c r="G14" i="7"/>
  <c r="G13" i="51"/>
  <c r="F9" i="51"/>
  <c r="AA7" i="51"/>
  <c r="B14" i="51"/>
  <c r="F13" i="51"/>
  <c r="Z11" i="51"/>
  <c r="M13" i="51"/>
  <c r="L9" i="51"/>
  <c r="M7" i="51"/>
  <c r="U10" i="51"/>
  <c r="T9" i="51"/>
  <c r="U13" i="51"/>
  <c r="G7" i="51"/>
  <c r="Z13" i="51"/>
  <c r="AA10" i="51"/>
  <c r="AA6" i="51"/>
  <c r="F11" i="51"/>
  <c r="L13" i="51"/>
  <c r="C14" i="51"/>
  <c r="G6" i="51"/>
  <c r="G10" i="51"/>
  <c r="L11" i="51"/>
  <c r="M12" i="51"/>
  <c r="AA12" i="51"/>
  <c r="F6" i="51"/>
  <c r="Z6" i="51"/>
  <c r="T6" i="51"/>
  <c r="L6" i="51"/>
  <c r="F33" i="63"/>
  <c r="F24" i="63"/>
  <c r="F15" i="63"/>
  <c r="G37" i="49"/>
  <c r="E37" i="49"/>
  <c r="I37" i="49"/>
  <c r="C18" i="51"/>
  <c r="C17" i="51" s="1"/>
  <c r="M16" i="49"/>
  <c r="F53" i="63"/>
  <c r="N53" i="63" s="1"/>
  <c r="N17" i="63"/>
  <c r="L7" i="67" s="1"/>
  <c r="O80" i="63"/>
  <c r="K80" i="63"/>
  <c r="R80" i="63"/>
  <c r="D80" i="63"/>
  <c r="G80" i="63"/>
  <c r="N80" i="63"/>
  <c r="E80" i="63"/>
  <c r="Q80" i="63"/>
  <c r="F80" i="63"/>
  <c r="L80" i="63"/>
  <c r="M80" i="63"/>
  <c r="M81" i="63"/>
  <c r="H80" i="63"/>
  <c r="U81" i="63"/>
  <c r="V23" i="67" s="1"/>
  <c r="T80" i="63"/>
  <c r="P80" i="63"/>
  <c r="D81" i="63"/>
  <c r="I80" i="63"/>
  <c r="Y80" i="63"/>
  <c r="C80" i="63"/>
  <c r="S80" i="63"/>
  <c r="P81" i="63"/>
  <c r="J80" i="63"/>
  <c r="Z80" i="63"/>
  <c r="L81" i="63"/>
  <c r="H81" i="63"/>
  <c r="X81" i="63"/>
  <c r="C81" i="63"/>
  <c r="AB80" i="63"/>
  <c r="U80" i="63"/>
  <c r="T81" i="63"/>
  <c r="G81" i="63"/>
  <c r="V80" i="63"/>
  <c r="Y81" i="63"/>
  <c r="O81" i="63"/>
  <c r="Q81" i="63"/>
  <c r="AC81" i="63"/>
  <c r="AB81" i="63"/>
  <c r="AB23" i="67" s="1"/>
  <c r="J81" i="63"/>
  <c r="F81" i="63"/>
  <c r="K81" i="63"/>
  <c r="AA80" i="63"/>
  <c r="W81" i="63"/>
  <c r="X23" i="67" s="1"/>
  <c r="X21" i="70" s="1"/>
  <c r="N81" i="63"/>
  <c r="S81" i="63"/>
  <c r="X80" i="63"/>
  <c r="V81" i="63"/>
  <c r="W22" i="67" s="1"/>
  <c r="R81" i="63"/>
  <c r="I81" i="63"/>
  <c r="Z81" i="63"/>
  <c r="Z23" i="67" s="1"/>
  <c r="Z48" i="70" s="1"/>
  <c r="AC80" i="63"/>
  <c r="W80" i="63"/>
  <c r="AA81" i="63"/>
  <c r="U39" i="70"/>
  <c r="U12" i="70"/>
  <c r="N25" i="63"/>
  <c r="H25" i="63"/>
  <c r="J25" i="63" s="1"/>
  <c r="F16" i="63"/>
  <c r="N16" i="63" s="1"/>
  <c r="H16" i="63"/>
  <c r="J16" i="63"/>
  <c r="F34" i="63"/>
  <c r="N34" i="63" s="1"/>
  <c r="J34" i="63"/>
  <c r="H34" i="63"/>
  <c r="AD20" i="70" l="1"/>
  <c r="F68" i="63"/>
  <c r="N68" i="63" s="1"/>
  <c r="F50" i="63"/>
  <c r="N50" i="63" s="1"/>
  <c r="N13" i="63"/>
  <c r="J26" i="49"/>
  <c r="N35" i="63"/>
  <c r="AD25" i="67" s="1"/>
  <c r="AD23" i="70" s="1"/>
  <c r="J33" i="49"/>
  <c r="J30" i="49"/>
  <c r="H33" i="49"/>
  <c r="H30" i="49"/>
  <c r="F27" i="49"/>
  <c r="H26" i="49"/>
  <c r="F30" i="49"/>
  <c r="F32" i="49"/>
  <c r="F33" i="49"/>
  <c r="J27" i="49"/>
  <c r="J32" i="49"/>
  <c r="F9" i="49"/>
  <c r="H32" i="49"/>
  <c r="F35" i="49"/>
  <c r="F31" i="49"/>
  <c r="J35" i="49"/>
  <c r="H28" i="49"/>
  <c r="F8" i="49"/>
  <c r="M35" i="49"/>
  <c r="N31" i="49" s="1"/>
  <c r="F11" i="49"/>
  <c r="F7" i="49"/>
  <c r="F14" i="49"/>
  <c r="N26" i="63"/>
  <c r="U16" i="67" s="1"/>
  <c r="U42" i="70" s="1"/>
  <c r="F13" i="49"/>
  <c r="F52" i="54"/>
  <c r="F53" i="54"/>
  <c r="F54" i="54"/>
  <c r="F50" i="54"/>
  <c r="H35" i="49"/>
  <c r="F55" i="54"/>
  <c r="J28" i="49"/>
  <c r="J31" i="49"/>
  <c r="H31" i="49"/>
  <c r="F28" i="49"/>
  <c r="H27" i="49"/>
  <c r="F49" i="54"/>
  <c r="AC13" i="7"/>
  <c r="O6" i="7"/>
  <c r="AK6" i="7" s="1"/>
  <c r="V6" i="7"/>
  <c r="I10" i="7"/>
  <c r="AI10" i="7" s="1"/>
  <c r="AB13" i="7"/>
  <c r="H11" i="7"/>
  <c r="AH11" i="7" s="1"/>
  <c r="O7" i="7"/>
  <c r="AK7" i="7" s="1"/>
  <c r="I9" i="7"/>
  <c r="AI9" i="7" s="1"/>
  <c r="V13" i="7"/>
  <c r="V11" i="7"/>
  <c r="W11" i="7"/>
  <c r="O10" i="7"/>
  <c r="AK10" i="7" s="1"/>
  <c r="H13" i="7"/>
  <c r="AH13" i="7" s="1"/>
  <c r="AC10" i="7"/>
  <c r="AB8" i="7"/>
  <c r="I6" i="7"/>
  <c r="AI6" i="7" s="1"/>
  <c r="N7" i="7"/>
  <c r="AJ7" i="7" s="1"/>
  <c r="AC9" i="7"/>
  <c r="O12" i="7"/>
  <c r="AK12" i="7" s="1"/>
  <c r="H12" i="7"/>
  <c r="AH12" i="7" s="1"/>
  <c r="I13" i="7"/>
  <c r="AI13" i="7" s="1"/>
  <c r="I11" i="7"/>
  <c r="AI11" i="7" s="1"/>
  <c r="AC12" i="7"/>
  <c r="V12" i="7"/>
  <c r="AB10" i="7"/>
  <c r="V10" i="7"/>
  <c r="AB12" i="7"/>
  <c r="N10" i="7"/>
  <c r="AJ10" i="7" s="1"/>
  <c r="V8" i="7"/>
  <c r="W9" i="7"/>
  <c r="H10" i="7"/>
  <c r="AH10" i="7" s="1"/>
  <c r="W6" i="7"/>
  <c r="M14" i="51"/>
  <c r="T14" i="51"/>
  <c r="W13" i="7"/>
  <c r="AB6" i="7"/>
  <c r="W10" i="7"/>
  <c r="O8" i="7"/>
  <c r="AK8" i="7" s="1"/>
  <c r="H8" i="7"/>
  <c r="AH8" i="7" s="1"/>
  <c r="N13" i="7"/>
  <c r="W7" i="7"/>
  <c r="H6" i="7"/>
  <c r="AH6" i="7" s="1"/>
  <c r="AC11" i="7"/>
  <c r="I8" i="7"/>
  <c r="AI8" i="7" s="1"/>
  <c r="AB7" i="7"/>
  <c r="AB11" i="7"/>
  <c r="H9" i="7"/>
  <c r="AH9" i="7" s="1"/>
  <c r="N8" i="7"/>
  <c r="AJ8" i="7" s="1"/>
  <c r="AC7" i="7"/>
  <c r="I12" i="7"/>
  <c r="AI12" i="7" s="1"/>
  <c r="W8" i="7"/>
  <c r="I7" i="7"/>
  <c r="AI7" i="7" s="1"/>
  <c r="H7" i="7"/>
  <c r="AH7" i="7" s="1"/>
  <c r="O13" i="7"/>
  <c r="AK13" i="7" s="1"/>
  <c r="N12" i="7"/>
  <c r="AJ12" i="7" s="1"/>
  <c r="U14" i="51"/>
  <c r="N9" i="7"/>
  <c r="AJ9" i="7" s="1"/>
  <c r="V7" i="7"/>
  <c r="AB9" i="7"/>
  <c r="AC8" i="7"/>
  <c r="N11" i="7"/>
  <c r="O9" i="7"/>
  <c r="AK9" i="7" s="1"/>
  <c r="AC6" i="7"/>
  <c r="O11" i="7"/>
  <c r="W12" i="7"/>
  <c r="V9" i="7"/>
  <c r="N6" i="7"/>
  <c r="AJ6" i="7" s="1"/>
  <c r="G14" i="51"/>
  <c r="L14" i="51"/>
  <c r="N12" i="51" s="1"/>
  <c r="AJ12" i="51" s="1"/>
  <c r="F14" i="51"/>
  <c r="AA14" i="51"/>
  <c r="Z14" i="51"/>
  <c r="N33" i="63"/>
  <c r="F69" i="63"/>
  <c r="N69" i="63" s="1"/>
  <c r="N24" i="63"/>
  <c r="U14" i="67" s="1"/>
  <c r="F60" i="63"/>
  <c r="N60" i="63" s="1"/>
  <c r="F51" i="63"/>
  <c r="N51" i="63" s="1"/>
  <c r="N15" i="63"/>
  <c r="L5" i="67" s="1"/>
  <c r="L4" i="70"/>
  <c r="L34" i="70"/>
  <c r="L7" i="70"/>
  <c r="F18" i="51"/>
  <c r="D3" i="1"/>
  <c r="M37" i="49"/>
  <c r="C20" i="51"/>
  <c r="C16" i="51" s="1"/>
  <c r="N7" i="49"/>
  <c r="N12" i="49"/>
  <c r="N14" i="49"/>
  <c r="N16" i="49"/>
  <c r="N8" i="49"/>
  <c r="N11" i="49"/>
  <c r="N9" i="49"/>
  <c r="N13" i="49"/>
  <c r="W25" i="67"/>
  <c r="W23" i="70" s="1"/>
  <c r="Z21" i="70"/>
  <c r="Y23" i="67"/>
  <c r="Y48" i="70" s="1"/>
  <c r="W26" i="67"/>
  <c r="W24" i="70" s="1"/>
  <c r="W23" i="67"/>
  <c r="W48" i="70" s="1"/>
  <c r="W24" i="67"/>
  <c r="W22" i="70" s="1"/>
  <c r="W28" i="67"/>
  <c r="W26" i="70" s="1"/>
  <c r="X48" i="70"/>
  <c r="X17" i="68"/>
  <c r="AD24" i="67"/>
  <c r="V48" i="70"/>
  <c r="V21" i="70"/>
  <c r="L6" i="67"/>
  <c r="W20" i="70"/>
  <c r="W47" i="70"/>
  <c r="AB21" i="70"/>
  <c r="AB48" i="70"/>
  <c r="U15" i="67"/>
  <c r="X5" i="68" l="1"/>
  <c r="AD50" i="70"/>
  <c r="X20" i="68" s="1"/>
  <c r="N27" i="49"/>
  <c r="N33" i="49"/>
  <c r="N35" i="49"/>
  <c r="N28" i="49"/>
  <c r="F16" i="49"/>
  <c r="N30" i="49"/>
  <c r="N26" i="49"/>
  <c r="N32" i="49"/>
  <c r="U15" i="70"/>
  <c r="X8" i="68" s="1"/>
  <c r="F57" i="54"/>
  <c r="V8" i="51"/>
  <c r="P10" i="7"/>
  <c r="Q10" i="7"/>
  <c r="Q12" i="7"/>
  <c r="F31" i="7"/>
  <c r="G31" i="7" s="1"/>
  <c r="I31" i="7" s="1"/>
  <c r="N11" i="51"/>
  <c r="AJ11" i="51" s="1"/>
  <c r="F32" i="7"/>
  <c r="G32" i="7" s="1"/>
  <c r="I32" i="7" s="1"/>
  <c r="F30" i="7"/>
  <c r="G30" i="7" s="1"/>
  <c r="I30" i="7" s="1"/>
  <c r="F25" i="7"/>
  <c r="G25" i="7" s="1"/>
  <c r="I25" i="7" s="1"/>
  <c r="F24" i="7"/>
  <c r="G24" i="7" s="1"/>
  <c r="I24" i="7" s="1"/>
  <c r="Q9" i="7"/>
  <c r="W6" i="51"/>
  <c r="F33" i="7"/>
  <c r="G33" i="7" s="1"/>
  <c r="I33" i="7" s="1"/>
  <c r="O9" i="51"/>
  <c r="AK9" i="51" s="1"/>
  <c r="Q6" i="7"/>
  <c r="F20" i="7"/>
  <c r="G20" i="7" s="1"/>
  <c r="I20" i="7" s="1"/>
  <c r="F34" i="7"/>
  <c r="G34" i="7" s="1"/>
  <c r="I34" i="7" s="1"/>
  <c r="P8" i="7"/>
  <c r="F27" i="7"/>
  <c r="G27" i="7" s="1"/>
  <c r="I27" i="7" s="1"/>
  <c r="F23" i="7"/>
  <c r="G23" i="7" s="1"/>
  <c r="I23" i="7" s="1"/>
  <c r="P6" i="7"/>
  <c r="F21" i="7"/>
  <c r="G21" i="7" s="1"/>
  <c r="I21" i="7" s="1"/>
  <c r="F26" i="7"/>
  <c r="G26" i="7" s="1"/>
  <c r="I26" i="7" s="1"/>
  <c r="AC10" i="51"/>
  <c r="O14" i="7"/>
  <c r="V9" i="51"/>
  <c r="Q8" i="7"/>
  <c r="P13" i="7"/>
  <c r="P12" i="7"/>
  <c r="Q13" i="7"/>
  <c r="AJ13" i="7"/>
  <c r="O11" i="51"/>
  <c r="AK11" i="51" s="1"/>
  <c r="O6" i="51"/>
  <c r="AK6" i="51" s="1"/>
  <c r="V13" i="51"/>
  <c r="N6" i="51"/>
  <c r="AJ6" i="51" s="1"/>
  <c r="P11" i="7"/>
  <c r="W12" i="51"/>
  <c r="V11" i="51"/>
  <c r="O13" i="51"/>
  <c r="AK13" i="51" s="1"/>
  <c r="Q7" i="7"/>
  <c r="V6" i="51"/>
  <c r="F22" i="7"/>
  <c r="G22" i="7" s="1"/>
  <c r="I22" i="7" s="1"/>
  <c r="F29" i="7"/>
  <c r="G29" i="7" s="1"/>
  <c r="I29" i="7" s="1"/>
  <c r="Q11" i="7"/>
  <c r="AJ11" i="7"/>
  <c r="N14" i="7"/>
  <c r="W13" i="51"/>
  <c r="V12" i="51"/>
  <c r="O12" i="51"/>
  <c r="AK12" i="51" s="1"/>
  <c r="W7" i="51"/>
  <c r="N9" i="51"/>
  <c r="AJ9" i="51" s="1"/>
  <c r="V7" i="51"/>
  <c r="W11" i="51"/>
  <c r="W9" i="51"/>
  <c r="O8" i="51"/>
  <c r="W8" i="51"/>
  <c r="AK11" i="7"/>
  <c r="V10" i="51"/>
  <c r="W10" i="51"/>
  <c r="F28" i="7"/>
  <c r="G28" i="7" s="1"/>
  <c r="I28" i="7" s="1"/>
  <c r="P7" i="7"/>
  <c r="P9" i="7"/>
  <c r="AC11" i="51"/>
  <c r="F19" i="7"/>
  <c r="G19" i="7" s="1"/>
  <c r="N13" i="51"/>
  <c r="AJ13" i="51" s="1"/>
  <c r="O10" i="51"/>
  <c r="AK10" i="51" s="1"/>
  <c r="N7" i="51"/>
  <c r="AJ7" i="51" s="1"/>
  <c r="O7" i="51"/>
  <c r="AK7" i="51" s="1"/>
  <c r="N10" i="51"/>
  <c r="AJ10" i="51" s="1"/>
  <c r="N8" i="51"/>
  <c r="AJ8" i="51" s="1"/>
  <c r="AC9" i="51"/>
  <c r="AB7" i="51"/>
  <c r="I6" i="51"/>
  <c r="AI6" i="51" s="1"/>
  <c r="AC7" i="51"/>
  <c r="H6" i="51"/>
  <c r="H12" i="51"/>
  <c r="F25" i="51" s="1"/>
  <c r="AB12" i="51"/>
  <c r="AB9" i="51"/>
  <c r="I7" i="51"/>
  <c r="AI7" i="51" s="1"/>
  <c r="H10" i="51"/>
  <c r="H13" i="51"/>
  <c r="P13" i="51" s="1"/>
  <c r="AB6" i="51"/>
  <c r="I13" i="51"/>
  <c r="Q13" i="51" s="1"/>
  <c r="AB10" i="51"/>
  <c r="H11" i="51"/>
  <c r="AH11" i="51" s="1"/>
  <c r="I12" i="51"/>
  <c r="I11" i="51"/>
  <c r="AI11" i="51" s="1"/>
  <c r="AB11" i="51"/>
  <c r="I9" i="51"/>
  <c r="I10" i="51"/>
  <c r="AI10" i="51" s="1"/>
  <c r="H9" i="51"/>
  <c r="P9" i="51" s="1"/>
  <c r="H8" i="51"/>
  <c r="AC8" i="51"/>
  <c r="AC13" i="51"/>
  <c r="H7" i="51"/>
  <c r="AH7" i="51" s="1"/>
  <c r="AC6" i="51"/>
  <c r="AB8" i="51"/>
  <c r="I8" i="51"/>
  <c r="AI8" i="51" s="1"/>
  <c r="AC12" i="51"/>
  <c r="AB13" i="51"/>
  <c r="C82" i="63" a="1"/>
  <c r="U82" i="63" s="1"/>
  <c r="C3" i="1"/>
  <c r="A3" i="1" s="1"/>
  <c r="L5" i="70"/>
  <c r="L32" i="70"/>
  <c r="U40" i="70"/>
  <c r="U13" i="70"/>
  <c r="W51" i="70"/>
  <c r="C23" i="51"/>
  <c r="G18" i="7"/>
  <c r="G18" i="51"/>
  <c r="W50" i="70"/>
  <c r="W49" i="70"/>
  <c r="Y21" i="70"/>
  <c r="W53" i="70"/>
  <c r="W21" i="70"/>
  <c r="W28" i="70" s="1"/>
  <c r="AD49" i="70"/>
  <c r="AD22" i="70"/>
  <c r="AD28" i="70" s="1"/>
  <c r="U41" i="70"/>
  <c r="U14" i="70"/>
  <c r="L6" i="70"/>
  <c r="L33" i="70"/>
  <c r="AE48" i="70"/>
  <c r="F19" i="51" l="1"/>
  <c r="AD55" i="70"/>
  <c r="F30" i="51"/>
  <c r="G30" i="51" s="1"/>
  <c r="I30" i="51" s="1"/>
  <c r="F22" i="51"/>
  <c r="G22" i="51" s="1"/>
  <c r="I22" i="51" s="1"/>
  <c r="AH6" i="51"/>
  <c r="Q11" i="51"/>
  <c r="AH9" i="51"/>
  <c r="AI13" i="51"/>
  <c r="F28" i="51"/>
  <c r="G28" i="51" s="1"/>
  <c r="I28" i="51" s="1"/>
  <c r="P6" i="51"/>
  <c r="F34" i="51"/>
  <c r="G34" i="51" s="1"/>
  <c r="I34" i="51" s="1"/>
  <c r="F32" i="51"/>
  <c r="G32" i="51" s="1"/>
  <c r="I32" i="51" s="1"/>
  <c r="Q10" i="51"/>
  <c r="Q12" i="51"/>
  <c r="F27" i="51"/>
  <c r="G27" i="51" s="1"/>
  <c r="I27" i="51" s="1"/>
  <c r="F29" i="51"/>
  <c r="G29" i="51" s="1"/>
  <c r="I29" i="51" s="1"/>
  <c r="AK8" i="51"/>
  <c r="Q7" i="51"/>
  <c r="F33" i="51"/>
  <c r="G33" i="51" s="1"/>
  <c r="I33" i="51" s="1"/>
  <c r="O14" i="51"/>
  <c r="F21" i="51"/>
  <c r="G21" i="51" s="1"/>
  <c r="I21" i="51" s="1"/>
  <c r="F24" i="51"/>
  <c r="G24" i="51" s="1"/>
  <c r="I24" i="51" s="1"/>
  <c r="F23" i="51"/>
  <c r="G23" i="51" s="1"/>
  <c r="I23" i="51" s="1"/>
  <c r="N14" i="51"/>
  <c r="Q6" i="51"/>
  <c r="F31" i="51"/>
  <c r="G31" i="51" s="1"/>
  <c r="I31" i="51" s="1"/>
  <c r="AI12" i="51"/>
  <c r="U28" i="70"/>
  <c r="P8" i="51"/>
  <c r="AH10" i="51"/>
  <c r="P12" i="51"/>
  <c r="AH12" i="51"/>
  <c r="AH13" i="51"/>
  <c r="AH8" i="51"/>
  <c r="Q8" i="51"/>
  <c r="F26" i="51"/>
  <c r="G26" i="51" s="1"/>
  <c r="I26" i="51" s="1"/>
  <c r="P10" i="51"/>
  <c r="Q9" i="51"/>
  <c r="AI9" i="51"/>
  <c r="P11" i="51"/>
  <c r="F20" i="51"/>
  <c r="G20" i="51" s="1"/>
  <c r="I20" i="51" s="1"/>
  <c r="P7" i="51"/>
  <c r="B3" i="1"/>
  <c r="B223" i="1" s="1"/>
  <c r="C223" i="1" s="1"/>
  <c r="H28" i="7"/>
  <c r="J28" i="7" s="1"/>
  <c r="O28" i="7" s="1"/>
  <c r="T28" i="7" s="1"/>
  <c r="AD28" i="7" s="1"/>
  <c r="H20" i="7"/>
  <c r="J20" i="7" s="1"/>
  <c r="O20" i="7" s="1"/>
  <c r="T20" i="7" s="1"/>
  <c r="AD20" i="7" s="1"/>
  <c r="H34" i="7"/>
  <c r="K34" i="7" s="1"/>
  <c r="P34" i="7" s="1"/>
  <c r="U34" i="7" s="1"/>
  <c r="AE34" i="7" s="1"/>
  <c r="H32" i="7"/>
  <c r="J32" i="7" s="1"/>
  <c r="O32" i="7" s="1"/>
  <c r="T32" i="7" s="1"/>
  <c r="AD32" i="7" s="1"/>
  <c r="H23" i="7"/>
  <c r="K23" i="7" s="1"/>
  <c r="P23" i="7" s="1"/>
  <c r="U23" i="7" s="1"/>
  <c r="AE23" i="7" s="1"/>
  <c r="K82" i="63"/>
  <c r="U55" i="70"/>
  <c r="W55" i="70"/>
  <c r="Y82" i="63"/>
  <c r="O82" i="63"/>
  <c r="L82" i="63"/>
  <c r="M17" i="67" s="1"/>
  <c r="X18" i="68"/>
  <c r="T82" i="63"/>
  <c r="N82" i="63"/>
  <c r="F82" i="63"/>
  <c r="I82" i="63"/>
  <c r="V25" i="67"/>
  <c r="V50" i="70" s="1"/>
  <c r="V26" i="67"/>
  <c r="V51" i="70" s="1"/>
  <c r="V22" i="67"/>
  <c r="V20" i="70" s="1"/>
  <c r="V24" i="67"/>
  <c r="V49" i="70" s="1"/>
  <c r="V28" i="67"/>
  <c r="V26" i="70" s="1"/>
  <c r="P82" i="63"/>
  <c r="Z82" i="63"/>
  <c r="G82" i="63"/>
  <c r="V82" i="63"/>
  <c r="W82" i="63"/>
  <c r="Q82" i="63"/>
  <c r="AB82" i="63"/>
  <c r="M82" i="63"/>
  <c r="H82" i="63"/>
  <c r="J82" i="63"/>
  <c r="AA82" i="63"/>
  <c r="S82" i="63"/>
  <c r="C82" i="63"/>
  <c r="D8" i="67" s="1"/>
  <c r="X82" i="63"/>
  <c r="R82" i="63"/>
  <c r="D82" i="63"/>
  <c r="E4" i="67" s="1"/>
  <c r="E82" i="63"/>
  <c r="F4" i="67" s="1"/>
  <c r="AC82" i="63"/>
  <c r="I19" i="7"/>
  <c r="H19" i="7"/>
  <c r="X6" i="68"/>
  <c r="I18" i="51"/>
  <c r="H18" i="51"/>
  <c r="I18" i="7"/>
  <c r="H18" i="7"/>
  <c r="AE21" i="70"/>
  <c r="H24" i="7"/>
  <c r="J24" i="7" s="1"/>
  <c r="O24" i="7" s="1"/>
  <c r="H27" i="7"/>
  <c r="J27" i="7" s="1"/>
  <c r="O27" i="7" s="1"/>
  <c r="H33" i="7"/>
  <c r="J33" i="7" s="1"/>
  <c r="O33" i="7" s="1"/>
  <c r="T33" i="7" s="1"/>
  <c r="AD33" i="7" s="1"/>
  <c r="H22" i="7"/>
  <c r="J22" i="7" s="1"/>
  <c r="O22" i="7" s="1"/>
  <c r="H21" i="7"/>
  <c r="K21" i="7" s="1"/>
  <c r="P21" i="7" s="1"/>
  <c r="H31" i="7"/>
  <c r="K31" i="7" s="1"/>
  <c r="P31" i="7" s="1"/>
  <c r="H26" i="7"/>
  <c r="M26" i="7" s="1"/>
  <c r="R26" i="7" s="1"/>
  <c r="X7" i="68"/>
  <c r="L28" i="70"/>
  <c r="H29" i="7"/>
  <c r="H30" i="7"/>
  <c r="G19" i="51"/>
  <c r="I19" i="51" s="1"/>
  <c r="X19" i="68"/>
  <c r="X25" i="68" s="1"/>
  <c r="L55" i="70"/>
  <c r="G25" i="51"/>
  <c r="I25" i="51" s="1"/>
  <c r="H25" i="7"/>
  <c r="X13" i="68" l="1"/>
  <c r="B2207" i="1"/>
  <c r="C2207" i="1" s="1"/>
  <c r="L34" i="7"/>
  <c r="Q34" i="7" s="1"/>
  <c r="V34" i="7" s="1"/>
  <c r="AF34" i="7" s="1"/>
  <c r="B2599" i="1"/>
  <c r="C2599" i="1" s="1"/>
  <c r="B95" i="1"/>
  <c r="C95" i="1" s="1"/>
  <c r="B1927" i="1"/>
  <c r="C1927" i="1" s="1"/>
  <c r="B2775" i="1"/>
  <c r="C2775" i="1" s="1"/>
  <c r="B2699" i="1"/>
  <c r="C2699" i="1" s="1"/>
  <c r="Y28" i="7"/>
  <c r="AI28" i="7" s="1"/>
  <c r="AN28" i="7" s="1"/>
  <c r="D29" i="37" s="1"/>
  <c r="B2863" i="1"/>
  <c r="C2863" i="1" s="1"/>
  <c r="B2237" i="1"/>
  <c r="C2237" i="1" s="1"/>
  <c r="B2239" i="1"/>
  <c r="C2239" i="1" s="1"/>
  <c r="B2427" i="1"/>
  <c r="C2427" i="1" s="1"/>
  <c r="B2291" i="1"/>
  <c r="C2291" i="1" s="1"/>
  <c r="N34" i="7"/>
  <c r="S34" i="7" s="1"/>
  <c r="B2735" i="1"/>
  <c r="C2735" i="1" s="1"/>
  <c r="B2761" i="1"/>
  <c r="C2761" i="1" s="1"/>
  <c r="B2973" i="1"/>
  <c r="C2973" i="1" s="1"/>
  <c r="B1989" i="1"/>
  <c r="C1989" i="1" s="1"/>
  <c r="B2101" i="1"/>
  <c r="C2101" i="1" s="1"/>
  <c r="B2849" i="1"/>
  <c r="C2849" i="1" s="1"/>
  <c r="B2870" i="1"/>
  <c r="C2870" i="1" s="1"/>
  <c r="B2804" i="1"/>
  <c r="C2804" i="1" s="1"/>
  <c r="B2691" i="1"/>
  <c r="C2691" i="1" s="1"/>
  <c r="B2578" i="1"/>
  <c r="C2578" i="1" s="1"/>
  <c r="B1951" i="1"/>
  <c r="C1951" i="1" s="1"/>
  <c r="B2607" i="1"/>
  <c r="C2607" i="1" s="1"/>
  <c r="B2311" i="1"/>
  <c r="C2311" i="1" s="1"/>
  <c r="B2589" i="1"/>
  <c r="C2589" i="1" s="1"/>
  <c r="B2947" i="1"/>
  <c r="C2947" i="1" s="1"/>
  <c r="B2837" i="1"/>
  <c r="C2837" i="1" s="1"/>
  <c r="B2106" i="1"/>
  <c r="C2106" i="1" s="1"/>
  <c r="V22" i="70"/>
  <c r="N32" i="7"/>
  <c r="S32" i="7" s="1"/>
  <c r="B2591" i="1"/>
  <c r="C2591" i="1" s="1"/>
  <c r="B2903" i="1"/>
  <c r="C2903" i="1" s="1"/>
  <c r="B2647" i="1"/>
  <c r="C2647" i="1" s="1"/>
  <c r="B2083" i="1"/>
  <c r="C2083" i="1" s="1"/>
  <c r="B2889" i="1"/>
  <c r="C2889" i="1" s="1"/>
  <c r="B2365" i="1"/>
  <c r="C2365" i="1" s="1"/>
  <c r="B2319" i="1"/>
  <c r="C2319" i="1" s="1"/>
  <c r="B2890" i="1"/>
  <c r="C2890" i="1" s="1"/>
  <c r="B2990" i="1"/>
  <c r="C2990" i="1" s="1"/>
  <c r="B1386" i="1"/>
  <c r="C1386" i="1" s="1"/>
  <c r="B2335" i="1"/>
  <c r="C2335" i="1" s="1"/>
  <c r="B2959" i="1"/>
  <c r="C2959" i="1" s="1"/>
  <c r="B2767" i="1"/>
  <c r="C2767" i="1" s="1"/>
  <c r="B2453" i="1"/>
  <c r="C2453" i="1" s="1"/>
  <c r="B2834" i="1"/>
  <c r="C2834" i="1" s="1"/>
  <c r="B2977" i="1"/>
  <c r="C2977" i="1" s="1"/>
  <c r="B2721" i="1"/>
  <c r="C2721" i="1" s="1"/>
  <c r="B2523" i="1"/>
  <c r="C2523" i="1" s="1"/>
  <c r="B1999" i="1"/>
  <c r="C1999" i="1" s="1"/>
  <c r="B2277" i="1"/>
  <c r="C2277" i="1" s="1"/>
  <c r="B2029" i="1"/>
  <c r="C2029" i="1" s="1"/>
  <c r="B2628" i="1"/>
  <c r="C2628" i="1" s="1"/>
  <c r="B2545" i="1"/>
  <c r="C2545" i="1" s="1"/>
  <c r="M23" i="7"/>
  <c r="R23" i="7" s="1"/>
  <c r="W23" i="7" s="1"/>
  <c r="AG23" i="7" s="1"/>
  <c r="B2991" i="1"/>
  <c r="C2991" i="1" s="1"/>
  <c r="B2839" i="1"/>
  <c r="C2839" i="1" s="1"/>
  <c r="B2671" i="1"/>
  <c r="C2671" i="1" s="1"/>
  <c r="B2165" i="1"/>
  <c r="C2165" i="1" s="1"/>
  <c r="B2994" i="1"/>
  <c r="C2994" i="1" s="1"/>
  <c r="B2087" i="1"/>
  <c r="C2087" i="1" s="1"/>
  <c r="B2857" i="1"/>
  <c r="C2857" i="1" s="1"/>
  <c r="B2673" i="1"/>
  <c r="C2673" i="1" s="1"/>
  <c r="B1885" i="1"/>
  <c r="C1885" i="1" s="1"/>
  <c r="B2854" i="1"/>
  <c r="C2854" i="1" s="1"/>
  <c r="B2779" i="1"/>
  <c r="C2779" i="1" s="1"/>
  <c r="B2403" i="1"/>
  <c r="C2403" i="1" s="1"/>
  <c r="B2717" i="1"/>
  <c r="C2717" i="1" s="1"/>
  <c r="B2964" i="1"/>
  <c r="C2964" i="1" s="1"/>
  <c r="B2114" i="1"/>
  <c r="C2114" i="1" s="1"/>
  <c r="B2204" i="1"/>
  <c r="C2204" i="1" s="1"/>
  <c r="B2875" i="1"/>
  <c r="C2875" i="1" s="1"/>
  <c r="B2309" i="1"/>
  <c r="C2309" i="1" s="1"/>
  <c r="B2231" i="1"/>
  <c r="C2231" i="1" s="1"/>
  <c r="B2709" i="1"/>
  <c r="C2709" i="1" s="1"/>
  <c r="B2411" i="1"/>
  <c r="C2411" i="1" s="1"/>
  <c r="B2594" i="1"/>
  <c r="C2594" i="1" s="1"/>
  <c r="B1786" i="1"/>
  <c r="C1786" i="1" s="1"/>
  <c r="B2768" i="1"/>
  <c r="C2768" i="1" s="1"/>
  <c r="V24" i="70"/>
  <c r="N20" i="7"/>
  <c r="S20" i="7" s="1"/>
  <c r="X20" i="7" s="1"/>
  <c r="AH20" i="7" s="1"/>
  <c r="L20" i="7"/>
  <c r="Q20" i="7" s="1"/>
  <c r="V20" i="7" s="1"/>
  <c r="AF20" i="7" s="1"/>
  <c r="K20" i="7"/>
  <c r="P20" i="7" s="1"/>
  <c r="B41" i="1"/>
  <c r="C41" i="1" s="1"/>
  <c r="B2495" i="1"/>
  <c r="C2495" i="1" s="1"/>
  <c r="B1983" i="1"/>
  <c r="C1983" i="1" s="1"/>
  <c r="B2927" i="1"/>
  <c r="C2927" i="1" s="1"/>
  <c r="B2831" i="1"/>
  <c r="C2831" i="1" s="1"/>
  <c r="B2703" i="1"/>
  <c r="C2703" i="1" s="1"/>
  <c r="B2485" i="1"/>
  <c r="C2485" i="1" s="1"/>
  <c r="B1917" i="1"/>
  <c r="C1917" i="1" s="1"/>
  <c r="B2898" i="1"/>
  <c r="C2898" i="1" s="1"/>
  <c r="B2279" i="1"/>
  <c r="C2279" i="1" s="1"/>
  <c r="B2945" i="1"/>
  <c r="C2945" i="1" s="1"/>
  <c r="B2769" i="1"/>
  <c r="C2769" i="1" s="1"/>
  <c r="D2769" i="1" s="1"/>
  <c r="B2633" i="1"/>
  <c r="C2633" i="1" s="1"/>
  <c r="B2205" i="1"/>
  <c r="C2205" i="1" s="1"/>
  <c r="B1971" i="1"/>
  <c r="C1971" i="1" s="1"/>
  <c r="B2031" i="1"/>
  <c r="C2031" i="1" s="1"/>
  <c r="B2859" i="1"/>
  <c r="C2859" i="1" s="1"/>
  <c r="B2597" i="1"/>
  <c r="C2597" i="1" s="1"/>
  <c r="B2906" i="1"/>
  <c r="C2906" i="1" s="1"/>
  <c r="B2965" i="1"/>
  <c r="C2965" i="1" s="1"/>
  <c r="B2509" i="1"/>
  <c r="C2509" i="1" s="1"/>
  <c r="B2443" i="1"/>
  <c r="C2443" i="1" s="1"/>
  <c r="B2796" i="1"/>
  <c r="C2796" i="1" s="1"/>
  <c r="B2354" i="1"/>
  <c r="C2354" i="1" s="1"/>
  <c r="B1398" i="1"/>
  <c r="C1398" i="1" s="1"/>
  <c r="B2156" i="1"/>
  <c r="C2156" i="1" s="1"/>
  <c r="M20" i="7"/>
  <c r="R20" i="7" s="1"/>
  <c r="W20" i="7" s="1"/>
  <c r="AG20" i="7" s="1"/>
  <c r="H27" i="51"/>
  <c r="M27" i="51" s="1"/>
  <c r="R27" i="51" s="1"/>
  <c r="W27" i="51" s="1"/>
  <c r="AG27" i="51" s="1"/>
  <c r="J34" i="7"/>
  <c r="O34" i="7" s="1"/>
  <c r="M34" i="7"/>
  <c r="R34" i="7" s="1"/>
  <c r="W34" i="7" s="1"/>
  <c r="AG34" i="7" s="1"/>
  <c r="V23" i="70"/>
  <c r="N23" i="7"/>
  <c r="S23" i="7" s="1"/>
  <c r="B2463" i="1"/>
  <c r="C2463" i="1" s="1"/>
  <c r="B2079" i="1"/>
  <c r="C2079" i="1" s="1"/>
  <c r="B2967" i="1"/>
  <c r="C2967" i="1" s="1"/>
  <c r="B2895" i="1"/>
  <c r="C2895" i="1" s="1"/>
  <c r="B2799" i="1"/>
  <c r="C2799" i="1" s="1"/>
  <c r="B2711" i="1"/>
  <c r="C2711" i="1" s="1"/>
  <c r="B2639" i="1"/>
  <c r="C2639" i="1" s="1"/>
  <c r="B2293" i="1"/>
  <c r="C2293" i="1" s="1"/>
  <c r="B2467" i="1"/>
  <c r="C2467" i="1" s="1"/>
  <c r="B2978" i="1"/>
  <c r="C2978" i="1" s="1"/>
  <c r="B2439" i="1"/>
  <c r="C2439" i="1" s="1"/>
  <c r="B1959" i="1"/>
  <c r="C1959" i="1" s="1"/>
  <c r="B2929" i="1"/>
  <c r="C2929" i="1" s="1"/>
  <c r="B2801" i="1"/>
  <c r="C2801" i="1" s="1"/>
  <c r="B2689" i="1"/>
  <c r="C2689" i="1" s="1"/>
  <c r="B2557" i="1"/>
  <c r="C2557" i="1" s="1"/>
  <c r="B2045" i="1"/>
  <c r="C2045" i="1" s="1"/>
  <c r="B2035" i="1"/>
  <c r="C2035" i="1" s="1"/>
  <c r="B2383" i="1"/>
  <c r="C2383" i="1" s="1"/>
  <c r="B2955" i="1"/>
  <c r="C2955" i="1" s="1"/>
  <c r="B2787" i="1"/>
  <c r="C2787" i="1" s="1"/>
  <c r="B2619" i="1"/>
  <c r="C2619" i="1" s="1"/>
  <c r="B2451" i="1"/>
  <c r="C2451" i="1" s="1"/>
  <c r="B2263" i="1"/>
  <c r="C2263" i="1" s="1"/>
  <c r="B2845" i="1"/>
  <c r="C2845" i="1" s="1"/>
  <c r="B2541" i="1"/>
  <c r="C2541" i="1" s="1"/>
  <c r="B3006" i="1"/>
  <c r="C3006" i="1" s="1"/>
  <c r="B2980" i="1"/>
  <c r="C2980" i="1" s="1"/>
  <c r="B2636" i="1"/>
  <c r="C2636" i="1" s="1"/>
  <c r="B2362" i="1"/>
  <c r="C2362" i="1" s="1"/>
  <c r="B1818" i="1"/>
  <c r="C1818" i="1" s="1"/>
  <c r="B2614" i="1"/>
  <c r="C2614" i="1" s="1"/>
  <c r="B2808" i="1"/>
  <c r="C2808" i="1" s="1"/>
  <c r="L32" i="7"/>
  <c r="Q32" i="7" s="1"/>
  <c r="V32" i="7" s="1"/>
  <c r="AF32" i="7" s="1"/>
  <c r="B17" i="1"/>
  <c r="C17" i="1" s="1"/>
  <c r="B2367" i="1"/>
  <c r="C2367" i="1" s="1"/>
  <c r="B2111" i="1"/>
  <c r="C2111" i="1" s="1"/>
  <c r="B2999" i="1"/>
  <c r="C2999" i="1" s="1"/>
  <c r="B2935" i="1"/>
  <c r="C2935" i="1" s="1"/>
  <c r="B2871" i="1"/>
  <c r="C2871" i="1" s="1"/>
  <c r="D2871" i="1" s="1"/>
  <c r="B2807" i="1"/>
  <c r="C2807" i="1" s="1"/>
  <c r="B2743" i="1"/>
  <c r="C2743" i="1" s="1"/>
  <c r="B2679" i="1"/>
  <c r="C2679" i="1" s="1"/>
  <c r="B2615" i="1"/>
  <c r="C2615" i="1" s="1"/>
  <c r="B2325" i="1"/>
  <c r="C2325" i="1" s="1"/>
  <c r="B1957" i="1"/>
  <c r="C1957" i="1" s="1"/>
  <c r="B2211" i="1"/>
  <c r="C2211" i="1" s="1"/>
  <c r="B2914" i="1"/>
  <c r="C2914" i="1" s="1"/>
  <c r="B2471" i="1"/>
  <c r="C2471" i="1" s="1"/>
  <c r="B2151" i="1"/>
  <c r="C2151" i="1" s="1"/>
  <c r="B2985" i="1"/>
  <c r="C2985" i="1" s="1"/>
  <c r="B2897" i="1"/>
  <c r="C2897" i="1" s="1"/>
  <c r="B2817" i="1"/>
  <c r="C2817" i="1" s="1"/>
  <c r="B2729" i="1"/>
  <c r="C2729" i="1" s="1"/>
  <c r="B2641" i="1"/>
  <c r="C2641" i="1" s="1"/>
  <c r="B2429" i="1"/>
  <c r="C2429" i="1" s="1"/>
  <c r="B2077" i="1"/>
  <c r="C2077" i="1" s="1"/>
  <c r="B2355" i="1"/>
  <c r="C2355" i="1" s="1"/>
  <c r="B2966" i="1"/>
  <c r="C2966" i="1" s="1"/>
  <c r="B2543" i="1"/>
  <c r="C2543" i="1" s="1"/>
  <c r="B2191" i="1"/>
  <c r="C2191" i="1" s="1"/>
  <c r="B3003" i="1"/>
  <c r="C3003" i="1" s="1"/>
  <c r="B2915" i="1"/>
  <c r="C2915" i="1" s="1"/>
  <c r="B2827" i="1"/>
  <c r="C2827" i="1" s="1"/>
  <c r="B2747" i="1"/>
  <c r="C2747" i="1" s="1"/>
  <c r="B2659" i="1"/>
  <c r="C2659" i="1" s="1"/>
  <c r="B2469" i="1"/>
  <c r="C2469" i="1" s="1"/>
  <c r="B2053" i="1"/>
  <c r="C2053" i="1" s="1"/>
  <c r="B1987" i="1"/>
  <c r="C1987" i="1" s="1"/>
  <c r="B2519" i="1"/>
  <c r="C2519" i="1" s="1"/>
  <c r="B2007" i="1"/>
  <c r="C2007" i="1" s="1"/>
  <c r="B2909" i="1"/>
  <c r="C2909" i="1" s="1"/>
  <c r="B2781" i="1"/>
  <c r="C2781" i="1" s="1"/>
  <c r="B2653" i="1"/>
  <c r="C2653" i="1" s="1"/>
  <c r="B2285" i="1"/>
  <c r="C2285" i="1" s="1"/>
  <c r="B2419" i="1"/>
  <c r="C2419" i="1" s="1"/>
  <c r="B2846" i="1"/>
  <c r="C2846" i="1" s="1"/>
  <c r="D2846" i="1" s="1"/>
  <c r="B2091" i="1"/>
  <c r="C2091" i="1" s="1"/>
  <c r="B2892" i="1"/>
  <c r="C2892" i="1" s="1"/>
  <c r="B2724" i="1"/>
  <c r="C2724" i="1" s="1"/>
  <c r="B2281" i="1"/>
  <c r="C2281" i="1" s="1"/>
  <c r="B2482" i="1"/>
  <c r="C2482" i="1" s="1"/>
  <c r="B2258" i="1"/>
  <c r="C2258" i="1" s="1"/>
  <c r="B1954" i="1"/>
  <c r="C1954" i="1" s="1"/>
  <c r="B1650" i="1"/>
  <c r="C1650" i="1" s="1"/>
  <c r="B2822" i="1"/>
  <c r="C2822" i="1" s="1"/>
  <c r="B2540" i="1"/>
  <c r="C2540" i="1" s="1"/>
  <c r="B1780" i="1"/>
  <c r="C1780" i="1" s="1"/>
  <c r="B2014" i="1"/>
  <c r="C2014" i="1" s="1"/>
  <c r="B2934" i="1"/>
  <c r="C2934" i="1" s="1"/>
  <c r="B2511" i="1"/>
  <c r="C2511" i="1" s="1"/>
  <c r="B2159" i="1"/>
  <c r="C2159" i="1" s="1"/>
  <c r="B2987" i="1"/>
  <c r="C2987" i="1" s="1"/>
  <c r="B2907" i="1"/>
  <c r="C2907" i="1" s="1"/>
  <c r="B2819" i="1"/>
  <c r="C2819" i="1" s="1"/>
  <c r="B2731" i="1"/>
  <c r="C2731" i="1" s="1"/>
  <c r="B2651" i="1"/>
  <c r="C2651" i="1" s="1"/>
  <c r="B2437" i="1"/>
  <c r="C2437" i="1" s="1"/>
  <c r="B2021" i="1"/>
  <c r="C2021" i="1" s="1"/>
  <c r="B1923" i="1"/>
  <c r="C1923" i="1" s="1"/>
  <c r="B2487" i="1"/>
  <c r="C2487" i="1" s="1"/>
  <c r="B1975" i="1"/>
  <c r="C1975" i="1" s="1"/>
  <c r="B2901" i="1"/>
  <c r="C2901" i="1" s="1"/>
  <c r="B2773" i="1"/>
  <c r="C2773" i="1" s="1"/>
  <c r="B2645" i="1"/>
  <c r="C2645" i="1" s="1"/>
  <c r="B2253" i="1"/>
  <c r="C2253" i="1" s="1"/>
  <c r="B2371" i="1"/>
  <c r="C2371" i="1" s="1"/>
  <c r="B2005" i="1"/>
  <c r="C2005" i="1" s="1"/>
  <c r="B2059" i="1"/>
  <c r="C2059" i="1" s="1"/>
  <c r="B2884" i="1"/>
  <c r="C2884" i="1" s="1"/>
  <c r="B2708" i="1"/>
  <c r="C2708" i="1" s="1"/>
  <c r="B2217" i="1"/>
  <c r="C2217" i="1" s="1"/>
  <c r="B2466" i="1"/>
  <c r="C2466" i="1" s="1"/>
  <c r="B2234" i="1"/>
  <c r="C2234" i="1" s="1"/>
  <c r="B1946" i="1"/>
  <c r="C1946" i="1" s="1"/>
  <c r="B1634" i="1"/>
  <c r="C1634" i="1" s="1"/>
  <c r="B2782" i="1"/>
  <c r="C2782" i="1" s="1"/>
  <c r="D2782" i="1" s="1"/>
  <c r="B2492" i="1"/>
  <c r="C2492" i="1" s="1"/>
  <c r="B1700" i="1"/>
  <c r="C1700" i="1" s="1"/>
  <c r="B1710" i="1"/>
  <c r="C1710" i="1" s="1"/>
  <c r="M32" i="7"/>
  <c r="R32" i="7" s="1"/>
  <c r="K32" i="7"/>
  <c r="P32" i="7" s="1"/>
  <c r="U32" i="7" s="1"/>
  <c r="AE32" i="7" s="1"/>
  <c r="L23" i="7"/>
  <c r="Q23" i="7" s="1"/>
  <c r="B2559" i="1"/>
  <c r="C2559" i="1" s="1"/>
  <c r="B2431" i="1"/>
  <c r="C2431" i="1" s="1"/>
  <c r="B2303" i="1"/>
  <c r="C2303" i="1" s="1"/>
  <c r="B2175" i="1"/>
  <c r="C2175" i="1" s="1"/>
  <c r="B2047" i="1"/>
  <c r="C2047" i="1" s="1"/>
  <c r="B1919" i="1"/>
  <c r="C1919" i="1" s="1"/>
  <c r="B2983" i="1"/>
  <c r="C2983" i="1" s="1"/>
  <c r="B2951" i="1"/>
  <c r="C2951" i="1" s="1"/>
  <c r="B2919" i="1"/>
  <c r="C2919" i="1" s="1"/>
  <c r="B2887" i="1"/>
  <c r="C2887" i="1" s="1"/>
  <c r="B2855" i="1"/>
  <c r="C2855" i="1" s="1"/>
  <c r="B2823" i="1"/>
  <c r="C2823" i="1" s="1"/>
  <c r="B2791" i="1"/>
  <c r="C2791" i="1" s="1"/>
  <c r="B2759" i="1"/>
  <c r="C2759" i="1" s="1"/>
  <c r="B2727" i="1"/>
  <c r="C2727" i="1" s="1"/>
  <c r="B2695" i="1"/>
  <c r="C2695" i="1" s="1"/>
  <c r="B2663" i="1"/>
  <c r="C2663" i="1" s="1"/>
  <c r="B2631" i="1"/>
  <c r="C2631" i="1" s="1"/>
  <c r="B2581" i="1"/>
  <c r="C2581" i="1" s="1"/>
  <c r="B2421" i="1"/>
  <c r="C2421" i="1" s="1"/>
  <c r="B2229" i="1"/>
  <c r="C2229" i="1" s="1"/>
  <c r="B2069" i="1"/>
  <c r="C2069" i="1" s="1"/>
  <c r="B2595" i="1"/>
  <c r="C2595" i="1" s="1"/>
  <c r="B2339" i="1"/>
  <c r="C2339" i="1" s="1"/>
  <c r="B2019" i="1"/>
  <c r="C2019" i="1" s="1"/>
  <c r="B2962" i="1"/>
  <c r="C2962" i="1" s="1"/>
  <c r="B2866" i="1"/>
  <c r="C2866" i="1" s="1"/>
  <c r="B2567" i="1"/>
  <c r="C2567" i="1" s="1"/>
  <c r="B2407" i="1"/>
  <c r="C2407" i="1" s="1"/>
  <c r="B2215" i="1"/>
  <c r="C2215" i="1" s="1"/>
  <c r="B2055" i="1"/>
  <c r="C2055" i="1" s="1"/>
  <c r="B1895" i="1"/>
  <c r="C1895" i="1" s="1"/>
  <c r="B2961" i="1"/>
  <c r="C2961" i="1" s="1"/>
  <c r="B2921" i="1"/>
  <c r="C2921" i="1" s="1"/>
  <c r="B2881" i="1"/>
  <c r="C2881" i="1" s="1"/>
  <c r="B2833" i="1"/>
  <c r="C2833" i="1" s="1"/>
  <c r="B2793" i="1"/>
  <c r="C2793" i="1" s="1"/>
  <c r="B2753" i="1"/>
  <c r="C2753" i="1" s="1"/>
  <c r="B2705" i="1"/>
  <c r="C2705" i="1" s="1"/>
  <c r="B2665" i="1"/>
  <c r="C2665" i="1" s="1"/>
  <c r="B2625" i="1"/>
  <c r="C2625" i="1" s="1"/>
  <c r="B2493" i="1"/>
  <c r="C2493" i="1" s="1"/>
  <c r="B2333" i="1"/>
  <c r="C2333" i="1" s="1"/>
  <c r="B2173" i="1"/>
  <c r="C2173" i="1" s="1"/>
  <c r="B1965" i="1"/>
  <c r="C1965" i="1" s="1"/>
  <c r="B2483" i="1"/>
  <c r="C2483" i="1" s="1"/>
  <c r="B2227" i="1"/>
  <c r="C2227" i="1" s="1"/>
  <c r="B2998" i="1"/>
  <c r="C2998" i="1" s="1"/>
  <c r="B2918" i="1"/>
  <c r="C2918" i="1" s="1"/>
  <c r="B2838" i="1"/>
  <c r="C2838" i="1" s="1"/>
  <c r="D2838" i="1" s="1"/>
  <c r="B2447" i="1"/>
  <c r="C2447" i="1" s="1"/>
  <c r="B2287" i="1"/>
  <c r="C2287" i="1" s="1"/>
  <c r="B2127" i="1"/>
  <c r="C2127" i="1" s="1"/>
  <c r="B1935" i="1"/>
  <c r="C1935" i="1" s="1"/>
  <c r="B2979" i="1"/>
  <c r="C2979" i="1" s="1"/>
  <c r="D2979" i="1" s="1"/>
  <c r="B2939" i="1"/>
  <c r="C2939" i="1" s="1"/>
  <c r="B2891" i="1"/>
  <c r="C2891" i="1" s="1"/>
  <c r="D2891" i="1" s="1"/>
  <c r="B2851" i="1"/>
  <c r="C2851" i="1" s="1"/>
  <c r="B2811" i="1"/>
  <c r="C2811" i="1" s="1"/>
  <c r="B2763" i="1"/>
  <c r="C2763" i="1" s="1"/>
  <c r="B2723" i="1"/>
  <c r="C2723" i="1" s="1"/>
  <c r="B2683" i="1"/>
  <c r="C2683" i="1" s="1"/>
  <c r="B2635" i="1"/>
  <c r="C2635" i="1" s="1"/>
  <c r="B2565" i="1"/>
  <c r="C2565" i="1" s="1"/>
  <c r="B2405" i="1"/>
  <c r="C2405" i="1" s="1"/>
  <c r="B2181" i="1"/>
  <c r="C2181" i="1" s="1"/>
  <c r="B1893" i="1"/>
  <c r="C1893" i="1" s="1"/>
  <c r="B2243" i="1"/>
  <c r="C2243" i="1" s="1"/>
  <c r="B2970" i="1"/>
  <c r="C2970" i="1" s="1"/>
  <c r="B2842" i="1"/>
  <c r="C2842" i="1" s="1"/>
  <c r="B2391" i="1"/>
  <c r="C2391" i="1" s="1"/>
  <c r="B2135" i="1"/>
  <c r="C2135" i="1" s="1"/>
  <c r="B3005" i="1"/>
  <c r="C3005" i="1" s="1"/>
  <c r="B2941" i="1"/>
  <c r="C2941" i="1" s="1"/>
  <c r="B2877" i="1"/>
  <c r="C2877" i="1" s="1"/>
  <c r="B2813" i="1"/>
  <c r="C2813" i="1" s="1"/>
  <c r="B2749" i="1"/>
  <c r="C2749" i="1" s="1"/>
  <c r="B2685" i="1"/>
  <c r="C2685" i="1" s="1"/>
  <c r="B2621" i="1"/>
  <c r="C2621" i="1" s="1"/>
  <c r="B2413" i="1"/>
  <c r="C2413" i="1" s="1"/>
  <c r="B2157" i="1"/>
  <c r="C2157" i="1" s="1"/>
  <c r="B2587" i="1"/>
  <c r="C2587" i="1" s="1"/>
  <c r="B2195" i="1"/>
  <c r="C2195" i="1" s="1"/>
  <c r="B2926" i="1"/>
  <c r="C2926" i="1" s="1"/>
  <c r="B2603" i="1"/>
  <c r="C2603" i="1" s="1"/>
  <c r="B2283" i="1"/>
  <c r="C2283" i="1" s="1"/>
  <c r="B1931" i="1"/>
  <c r="C1931" i="1" s="1"/>
  <c r="B2932" i="1"/>
  <c r="C2932" i="1" s="1"/>
  <c r="B2852" i="1"/>
  <c r="C2852" i="1" s="1"/>
  <c r="B2764" i="1"/>
  <c r="C2764" i="1" s="1"/>
  <c r="B2676" i="1"/>
  <c r="C2676" i="1" s="1"/>
  <c r="B2537" i="1"/>
  <c r="C2537" i="1" s="1"/>
  <c r="B2057" i="1"/>
  <c r="C2057" i="1" s="1"/>
  <c r="B2530" i="1"/>
  <c r="C2530" i="1" s="1"/>
  <c r="B2426" i="1"/>
  <c r="C2426" i="1" s="1"/>
  <c r="B2306" i="1"/>
  <c r="C2306" i="1" s="1"/>
  <c r="B2194" i="1"/>
  <c r="C2194" i="1" s="1"/>
  <c r="B2042" i="1"/>
  <c r="C2042" i="1" s="1"/>
  <c r="B1890" i="1"/>
  <c r="C1890" i="1" s="1"/>
  <c r="B1730" i="1"/>
  <c r="C1730" i="1" s="1"/>
  <c r="B1554" i="1"/>
  <c r="C1554" i="1" s="1"/>
  <c r="B1106" i="1"/>
  <c r="C1106" i="1" s="1"/>
  <c r="B2710" i="1"/>
  <c r="C2710" i="1" s="1"/>
  <c r="D2711" i="1" s="1"/>
  <c r="B2289" i="1"/>
  <c r="C2289" i="1" s="1"/>
  <c r="B2380" i="1"/>
  <c r="C2380" i="1" s="1"/>
  <c r="B1980" i="1"/>
  <c r="C1980" i="1" s="1"/>
  <c r="B1410" i="1"/>
  <c r="C1410" i="1" s="1"/>
  <c r="B2534" i="1"/>
  <c r="C2534" i="1" s="1"/>
  <c r="B2666" i="1"/>
  <c r="C2666" i="1" s="1"/>
  <c r="J23" i="7"/>
  <c r="O23" i="7" s="1"/>
  <c r="B49" i="1"/>
  <c r="C49" i="1" s="1"/>
  <c r="B2527" i="1"/>
  <c r="C2527" i="1" s="1"/>
  <c r="B2399" i="1"/>
  <c r="C2399" i="1" s="1"/>
  <c r="B2271" i="1"/>
  <c r="C2271" i="1" s="1"/>
  <c r="B2143" i="1"/>
  <c r="C2143" i="1" s="1"/>
  <c r="B2015" i="1"/>
  <c r="C2015" i="1" s="1"/>
  <c r="B1887" i="1"/>
  <c r="C1887" i="1" s="1"/>
  <c r="B2975" i="1"/>
  <c r="C2975" i="1" s="1"/>
  <c r="B2943" i="1"/>
  <c r="C2943" i="1" s="1"/>
  <c r="B2911" i="1"/>
  <c r="C2911" i="1" s="1"/>
  <c r="B2879" i="1"/>
  <c r="C2879" i="1" s="1"/>
  <c r="B2847" i="1"/>
  <c r="C2847" i="1" s="1"/>
  <c r="D2847" i="1" s="1"/>
  <c r="B2815" i="1"/>
  <c r="C2815" i="1" s="1"/>
  <c r="B2783" i="1"/>
  <c r="C2783" i="1" s="1"/>
  <c r="B2751" i="1"/>
  <c r="C2751" i="1" s="1"/>
  <c r="B2719" i="1"/>
  <c r="C2719" i="1" s="1"/>
  <c r="B2687" i="1"/>
  <c r="C2687" i="1" s="1"/>
  <c r="B2655" i="1"/>
  <c r="C2655" i="1" s="1"/>
  <c r="B2623" i="1"/>
  <c r="C2623" i="1" s="1"/>
  <c r="B2549" i="1"/>
  <c r="C2549" i="1" s="1"/>
  <c r="B2357" i="1"/>
  <c r="C2357" i="1" s="1"/>
  <c r="B2197" i="1"/>
  <c r="C2197" i="1" s="1"/>
  <c r="B2037" i="1"/>
  <c r="C2037" i="1" s="1"/>
  <c r="B2515" i="1"/>
  <c r="C2515" i="1" s="1"/>
  <c r="B2275" i="1"/>
  <c r="C2275" i="1" s="1"/>
  <c r="B1955" i="1"/>
  <c r="C1955" i="1" s="1"/>
  <c r="B2930" i="1"/>
  <c r="C2930" i="1" s="1"/>
  <c r="B2850" i="1"/>
  <c r="C2850" i="1" s="1"/>
  <c r="B2535" i="1"/>
  <c r="C2535" i="1" s="1"/>
  <c r="B2343" i="1"/>
  <c r="C2343" i="1" s="1"/>
  <c r="B2183" i="1"/>
  <c r="C2183" i="1" s="1"/>
  <c r="B2023" i="1"/>
  <c r="C2023" i="1" s="1"/>
  <c r="B2993" i="1"/>
  <c r="C2993" i="1" s="1"/>
  <c r="B2953" i="1"/>
  <c r="C2953" i="1" s="1"/>
  <c r="B2913" i="1"/>
  <c r="C2913" i="1" s="1"/>
  <c r="B2865" i="1"/>
  <c r="C2865" i="1" s="1"/>
  <c r="B2825" i="1"/>
  <c r="C2825" i="1" s="1"/>
  <c r="B2785" i="1"/>
  <c r="C2785" i="1" s="1"/>
  <c r="B2737" i="1"/>
  <c r="C2737" i="1" s="1"/>
  <c r="B2697" i="1"/>
  <c r="C2697" i="1" s="1"/>
  <c r="B2657" i="1"/>
  <c r="C2657" i="1" s="1"/>
  <c r="B2609" i="1"/>
  <c r="C2609" i="1" s="1"/>
  <c r="B2461" i="1"/>
  <c r="C2461" i="1" s="1"/>
  <c r="B2301" i="1"/>
  <c r="C2301" i="1" s="1"/>
  <c r="B2109" i="1"/>
  <c r="C2109" i="1" s="1"/>
  <c r="B1925" i="1"/>
  <c r="C1925" i="1" s="1"/>
  <c r="B2435" i="1"/>
  <c r="C2435" i="1" s="1"/>
  <c r="B2099" i="1"/>
  <c r="C2099" i="1" s="1"/>
  <c r="B2982" i="1"/>
  <c r="C2982" i="1" s="1"/>
  <c r="B2902" i="1"/>
  <c r="C2902" i="1" s="1"/>
  <c r="B2575" i="1"/>
  <c r="C2575" i="1" s="1"/>
  <c r="B2415" i="1"/>
  <c r="C2415" i="1" s="1"/>
  <c r="B2255" i="1"/>
  <c r="C2255" i="1" s="1"/>
  <c r="B2063" i="1"/>
  <c r="C2063" i="1" s="1"/>
  <c r="B1903" i="1"/>
  <c r="C1903" i="1" s="1"/>
  <c r="B2971" i="1"/>
  <c r="C2971" i="1" s="1"/>
  <c r="B2923" i="1"/>
  <c r="C2923" i="1" s="1"/>
  <c r="B2883" i="1"/>
  <c r="C2883" i="1" s="1"/>
  <c r="B2843" i="1"/>
  <c r="C2843" i="1" s="1"/>
  <c r="B2795" i="1"/>
  <c r="C2795" i="1" s="1"/>
  <c r="B2755" i="1"/>
  <c r="C2755" i="1" s="1"/>
  <c r="B2715" i="1"/>
  <c r="C2715" i="1" s="1"/>
  <c r="B2667" i="1"/>
  <c r="C2667" i="1" s="1"/>
  <c r="D2667" i="1" s="1"/>
  <c r="B2627" i="1"/>
  <c r="C2627" i="1" s="1"/>
  <c r="B2533" i="1"/>
  <c r="C2533" i="1" s="1"/>
  <c r="B2341" i="1"/>
  <c r="C2341" i="1" s="1"/>
  <c r="B2149" i="1"/>
  <c r="C2149" i="1" s="1"/>
  <c r="B2579" i="1"/>
  <c r="C2579" i="1" s="1"/>
  <c r="B2179" i="1"/>
  <c r="C2179" i="1" s="1"/>
  <c r="B2954" i="1"/>
  <c r="C2954" i="1" s="1"/>
  <c r="D2954" i="1" s="1"/>
  <c r="B2826" i="1"/>
  <c r="C2826" i="1" s="1"/>
  <c r="B2359" i="1"/>
  <c r="C2359" i="1" s="1"/>
  <c r="B2103" i="1"/>
  <c r="C2103" i="1" s="1"/>
  <c r="B2997" i="1"/>
  <c r="C2997" i="1" s="1"/>
  <c r="B2933" i="1"/>
  <c r="C2933" i="1" s="1"/>
  <c r="B2869" i="1"/>
  <c r="C2869" i="1" s="1"/>
  <c r="B2805" i="1"/>
  <c r="C2805" i="1" s="1"/>
  <c r="B2741" i="1"/>
  <c r="C2741" i="1" s="1"/>
  <c r="B2677" i="1"/>
  <c r="C2677" i="1" s="1"/>
  <c r="B2613" i="1"/>
  <c r="C2613" i="1" s="1"/>
  <c r="B2381" i="1"/>
  <c r="C2381" i="1" s="1"/>
  <c r="B2125" i="1"/>
  <c r="C2125" i="1" s="1"/>
  <c r="B2547" i="1"/>
  <c r="C2547" i="1" s="1"/>
  <c r="B2131" i="1"/>
  <c r="C2131" i="1" s="1"/>
  <c r="B2910" i="1"/>
  <c r="C2910" i="1" s="1"/>
  <c r="B2571" i="1"/>
  <c r="C2571" i="1" s="1"/>
  <c r="B2219" i="1"/>
  <c r="C2219" i="1" s="1"/>
  <c r="B1899" i="1"/>
  <c r="C1899" i="1" s="1"/>
  <c r="B2924" i="1"/>
  <c r="C2924" i="1" s="1"/>
  <c r="D2924" i="1" s="1"/>
  <c r="B2836" i="1"/>
  <c r="C2836" i="1" s="1"/>
  <c r="B2756" i="1"/>
  <c r="C2756" i="1" s="1"/>
  <c r="B2668" i="1"/>
  <c r="C2668" i="1" s="1"/>
  <c r="B2441" i="1"/>
  <c r="C2441" i="1" s="1"/>
  <c r="B2025" i="1"/>
  <c r="C2025" i="1" s="1"/>
  <c r="B2522" i="1"/>
  <c r="C2522" i="1" s="1"/>
  <c r="B2402" i="1"/>
  <c r="C2402" i="1" s="1"/>
  <c r="B2298" i="1"/>
  <c r="C2298" i="1" s="1"/>
  <c r="B2170" i="1"/>
  <c r="C2170" i="1" s="1"/>
  <c r="B2018" i="1"/>
  <c r="C2018" i="1" s="1"/>
  <c r="B1874" i="1"/>
  <c r="C1874" i="1" s="1"/>
  <c r="B1722" i="1"/>
  <c r="C1722" i="1" s="1"/>
  <c r="B1514" i="1"/>
  <c r="C1514" i="1" s="1"/>
  <c r="B978" i="1"/>
  <c r="C978" i="1" s="1"/>
  <c r="B2694" i="1"/>
  <c r="C2694" i="1" s="1"/>
  <c r="B2001" i="1"/>
  <c r="C2001" i="1" s="1"/>
  <c r="B2364" i="1"/>
  <c r="C2364" i="1" s="1"/>
  <c r="B1940" i="1"/>
  <c r="C1940" i="1" s="1"/>
  <c r="B890" i="1"/>
  <c r="C890" i="1" s="1"/>
  <c r="B2406" i="1"/>
  <c r="C2406" i="1" s="1"/>
  <c r="B2544" i="1"/>
  <c r="C2544" i="1" s="1"/>
  <c r="B2517" i="1"/>
  <c r="C2517" i="1" s="1"/>
  <c r="B2389" i="1"/>
  <c r="C2389" i="1" s="1"/>
  <c r="B2261" i="1"/>
  <c r="C2261" i="1" s="1"/>
  <c r="B2133" i="1"/>
  <c r="C2133" i="1" s="1"/>
  <c r="B1997" i="1"/>
  <c r="C1997" i="1" s="1"/>
  <c r="B2555" i="1"/>
  <c r="C2555" i="1" s="1"/>
  <c r="B2387" i="1"/>
  <c r="C2387" i="1" s="1"/>
  <c r="B2147" i="1"/>
  <c r="C2147" i="1" s="1"/>
  <c r="B1891" i="1"/>
  <c r="C1891" i="1" s="1"/>
  <c r="B2946" i="1"/>
  <c r="C2946" i="1" s="1"/>
  <c r="B2882" i="1"/>
  <c r="C2882" i="1" s="1"/>
  <c r="D2882" i="1" s="1"/>
  <c r="B2810" i="1"/>
  <c r="C2810" i="1" s="1"/>
  <c r="B2503" i="1"/>
  <c r="C2503" i="1" s="1"/>
  <c r="B2375" i="1"/>
  <c r="C2375" i="1" s="1"/>
  <c r="B2247" i="1"/>
  <c r="C2247" i="1" s="1"/>
  <c r="B2119" i="1"/>
  <c r="C2119" i="1" s="1"/>
  <c r="B1991" i="1"/>
  <c r="C1991" i="1" s="1"/>
  <c r="B3001" i="1"/>
  <c r="C3001" i="1" s="1"/>
  <c r="B2969" i="1"/>
  <c r="C2969" i="1" s="1"/>
  <c r="B2937" i="1"/>
  <c r="C2937" i="1" s="1"/>
  <c r="B2905" i="1"/>
  <c r="C2905" i="1" s="1"/>
  <c r="B2873" i="1"/>
  <c r="C2873" i="1" s="1"/>
  <c r="B2841" i="1"/>
  <c r="C2841" i="1" s="1"/>
  <c r="B2809" i="1"/>
  <c r="C2809" i="1" s="1"/>
  <c r="B2777" i="1"/>
  <c r="C2777" i="1" s="1"/>
  <c r="B2745" i="1"/>
  <c r="C2745" i="1" s="1"/>
  <c r="B2713" i="1"/>
  <c r="C2713" i="1" s="1"/>
  <c r="B2681" i="1"/>
  <c r="C2681" i="1" s="1"/>
  <c r="B2649" i="1"/>
  <c r="C2649" i="1" s="1"/>
  <c r="B2617" i="1"/>
  <c r="C2617" i="1" s="1"/>
  <c r="B2525" i="1"/>
  <c r="C2525" i="1" s="1"/>
  <c r="B2397" i="1"/>
  <c r="C2397" i="1" s="1"/>
  <c r="B2269" i="1"/>
  <c r="C2269" i="1" s="1"/>
  <c r="B2141" i="1"/>
  <c r="C2141" i="1" s="1"/>
  <c r="B2013" i="1"/>
  <c r="C2013" i="1" s="1"/>
  <c r="B2563" i="1"/>
  <c r="C2563" i="1" s="1"/>
  <c r="B2395" i="1"/>
  <c r="C2395" i="1" s="1"/>
  <c r="B2163" i="1"/>
  <c r="C2163" i="1" s="1"/>
  <c r="B1907" i="1"/>
  <c r="C1907" i="1" s="1"/>
  <c r="B2950" i="1"/>
  <c r="C2950" i="1" s="1"/>
  <c r="B2886" i="1"/>
  <c r="C2886" i="1" s="1"/>
  <c r="B2818" i="1"/>
  <c r="C2818" i="1" s="1"/>
  <c r="D2818" i="1" s="1"/>
  <c r="B2479" i="1"/>
  <c r="C2479" i="1" s="1"/>
  <c r="B2351" i="1"/>
  <c r="C2351" i="1" s="1"/>
  <c r="B2223" i="1"/>
  <c r="C2223" i="1" s="1"/>
  <c r="B2095" i="1"/>
  <c r="C2095" i="1" s="1"/>
  <c r="B1967" i="1"/>
  <c r="C1967" i="1" s="1"/>
  <c r="B2995" i="1"/>
  <c r="C2995" i="1" s="1"/>
  <c r="B2963" i="1"/>
  <c r="C2963" i="1" s="1"/>
  <c r="B2931" i="1"/>
  <c r="C2931" i="1" s="1"/>
  <c r="B2899" i="1"/>
  <c r="C2899" i="1" s="1"/>
  <c r="B2867" i="1"/>
  <c r="C2867" i="1" s="1"/>
  <c r="B2835" i="1"/>
  <c r="C2835" i="1" s="1"/>
  <c r="B2803" i="1"/>
  <c r="C2803" i="1" s="1"/>
  <c r="B2771" i="1"/>
  <c r="C2771" i="1" s="1"/>
  <c r="B2739" i="1"/>
  <c r="C2739" i="1" s="1"/>
  <c r="B2707" i="1"/>
  <c r="C2707" i="1" s="1"/>
  <c r="B2675" i="1"/>
  <c r="C2675" i="1" s="1"/>
  <c r="B2643" i="1"/>
  <c r="C2643" i="1" s="1"/>
  <c r="B2611" i="1"/>
  <c r="C2611" i="1" s="1"/>
  <c r="B2501" i="1"/>
  <c r="C2501" i="1" s="1"/>
  <c r="B2373" i="1"/>
  <c r="C2373" i="1" s="1"/>
  <c r="B2245" i="1"/>
  <c r="C2245" i="1" s="1"/>
  <c r="B2117" i="1"/>
  <c r="C2117" i="1" s="1"/>
  <c r="B1981" i="1"/>
  <c r="C1981" i="1" s="1"/>
  <c r="B2531" i="1"/>
  <c r="C2531" i="1" s="1"/>
  <c r="D2531" i="1" s="1"/>
  <c r="B2363" i="1"/>
  <c r="C2363" i="1" s="1"/>
  <c r="D2363" i="1" s="1"/>
  <c r="B2115" i="1"/>
  <c r="C2115" i="1" s="1"/>
  <c r="D2115" i="1" s="1"/>
  <c r="B3002" i="1"/>
  <c r="C3002" i="1" s="1"/>
  <c r="B2938" i="1"/>
  <c r="C2938" i="1" s="1"/>
  <c r="B2874" i="1"/>
  <c r="C2874" i="1" s="1"/>
  <c r="B2583" i="1"/>
  <c r="C2583" i="1" s="1"/>
  <c r="B2455" i="1"/>
  <c r="C2455" i="1" s="1"/>
  <c r="B2327" i="1"/>
  <c r="C2327" i="1" s="1"/>
  <c r="B2199" i="1"/>
  <c r="C2199" i="1" s="1"/>
  <c r="B2071" i="1"/>
  <c r="C2071" i="1" s="1"/>
  <c r="B1943" i="1"/>
  <c r="C1943" i="1" s="1"/>
  <c r="B2989" i="1"/>
  <c r="C2989" i="1" s="1"/>
  <c r="B2957" i="1"/>
  <c r="C2957" i="1" s="1"/>
  <c r="B2925" i="1"/>
  <c r="C2925" i="1" s="1"/>
  <c r="B2893" i="1"/>
  <c r="C2893" i="1" s="1"/>
  <c r="B2861" i="1"/>
  <c r="C2861" i="1" s="1"/>
  <c r="B2829" i="1"/>
  <c r="C2829" i="1" s="1"/>
  <c r="B2797" i="1"/>
  <c r="C2797" i="1" s="1"/>
  <c r="D2797" i="1" s="1"/>
  <c r="B2765" i="1"/>
  <c r="C2765" i="1" s="1"/>
  <c r="B2733" i="1"/>
  <c r="C2733" i="1" s="1"/>
  <c r="B2701" i="1"/>
  <c r="C2701" i="1" s="1"/>
  <c r="B2669" i="1"/>
  <c r="C2669" i="1" s="1"/>
  <c r="B2637" i="1"/>
  <c r="C2637" i="1" s="1"/>
  <c r="B2605" i="1"/>
  <c r="C2605" i="1" s="1"/>
  <c r="B2477" i="1"/>
  <c r="C2477" i="1" s="1"/>
  <c r="B2349" i="1"/>
  <c r="C2349" i="1" s="1"/>
  <c r="B2221" i="1"/>
  <c r="C2221" i="1" s="1"/>
  <c r="B2093" i="1"/>
  <c r="C2093" i="1" s="1"/>
  <c r="B1949" i="1"/>
  <c r="C1949" i="1" s="1"/>
  <c r="B2499" i="1"/>
  <c r="C2499" i="1" s="1"/>
  <c r="B2323" i="1"/>
  <c r="C2323" i="1" s="1"/>
  <c r="B2067" i="1"/>
  <c r="C2067" i="1" s="1"/>
  <c r="B2974" i="1"/>
  <c r="C2974" i="1" s="1"/>
  <c r="B2878" i="1"/>
  <c r="C2878" i="1" s="1"/>
  <c r="B1973" i="1"/>
  <c r="C1973" i="1" s="1"/>
  <c r="B2539" i="1"/>
  <c r="C2539" i="1" s="1"/>
  <c r="B2347" i="1"/>
  <c r="C2347" i="1" s="1"/>
  <c r="B2187" i="1"/>
  <c r="C2187" i="1" s="1"/>
  <c r="B2027" i="1"/>
  <c r="C2027" i="1" s="1"/>
  <c r="B2996" i="1"/>
  <c r="C2996" i="1" s="1"/>
  <c r="B2956" i="1"/>
  <c r="C2956" i="1" s="1"/>
  <c r="B2916" i="1"/>
  <c r="C2916" i="1" s="1"/>
  <c r="B2868" i="1"/>
  <c r="C2868" i="1" s="1"/>
  <c r="B2828" i="1"/>
  <c r="C2828" i="1" s="1"/>
  <c r="B2788" i="1"/>
  <c r="C2788" i="1" s="1"/>
  <c r="B2740" i="1"/>
  <c r="C2740" i="1" s="1"/>
  <c r="D2740" i="1" s="1"/>
  <c r="B2700" i="1"/>
  <c r="C2700" i="1" s="1"/>
  <c r="B2660" i="1"/>
  <c r="C2660" i="1" s="1"/>
  <c r="B2601" i="1"/>
  <c r="C2601" i="1" s="1"/>
  <c r="B2409" i="1"/>
  <c r="C2409" i="1" s="1"/>
  <c r="B2185" i="1"/>
  <c r="C2185" i="1" s="1"/>
  <c r="B1929" i="1"/>
  <c r="C1929" i="1" s="1"/>
  <c r="B2562" i="1"/>
  <c r="C2562" i="1" s="1"/>
  <c r="B2514" i="1"/>
  <c r="C2514" i="1" s="1"/>
  <c r="B2450" i="1"/>
  <c r="C2450" i="1" s="1"/>
  <c r="B2394" i="1"/>
  <c r="C2394" i="1" s="1"/>
  <c r="B2338" i="1"/>
  <c r="C2338" i="1" s="1"/>
  <c r="B2274" i="1"/>
  <c r="C2274" i="1" s="1"/>
  <c r="B2226" i="1"/>
  <c r="C2226" i="1" s="1"/>
  <c r="B2162" i="1"/>
  <c r="C2162" i="1" s="1"/>
  <c r="B2074" i="1"/>
  <c r="C2074" i="1" s="1"/>
  <c r="B2002" i="1"/>
  <c r="C2002" i="1" s="1"/>
  <c r="B1938" i="1"/>
  <c r="C1938" i="1" s="1"/>
  <c r="B1850" i="1"/>
  <c r="C1850" i="1" s="1"/>
  <c r="B1778" i="1"/>
  <c r="C1778" i="1" s="1"/>
  <c r="B1698" i="1"/>
  <c r="C1698" i="1" s="1"/>
  <c r="B1594" i="1"/>
  <c r="C1594" i="1" s="1"/>
  <c r="B1472" i="1"/>
  <c r="C1472" i="1" s="1"/>
  <c r="B1330" i="1"/>
  <c r="C1330" i="1" s="1"/>
  <c r="B914" i="1"/>
  <c r="C914" i="1" s="1"/>
  <c r="B2758" i="1"/>
  <c r="C2758" i="1" s="1"/>
  <c r="B2662" i="1"/>
  <c r="C2662" i="1" s="1"/>
  <c r="B2385" i="1"/>
  <c r="C2385" i="1" s="1"/>
  <c r="B1937" i="1"/>
  <c r="C1937" i="1" s="1"/>
  <c r="B2460" i="1"/>
  <c r="C2460" i="1" s="1"/>
  <c r="D2461" i="1" s="1"/>
  <c r="B2284" i="1"/>
  <c r="C2284" i="1" s="1"/>
  <c r="D2284" i="1" s="1"/>
  <c r="B2100" i="1"/>
  <c r="C2100" i="1" s="1"/>
  <c r="B1932" i="1"/>
  <c r="C1932" i="1" s="1"/>
  <c r="B1612" i="1"/>
  <c r="C1612" i="1" s="1"/>
  <c r="B2107" i="1"/>
  <c r="C2107" i="1" s="1"/>
  <c r="B2640" i="1"/>
  <c r="C2640" i="1" s="1"/>
  <c r="B2190" i="1"/>
  <c r="C2190" i="1" s="1"/>
  <c r="B1670" i="1"/>
  <c r="C1670" i="1" s="1"/>
  <c r="B2104" i="1"/>
  <c r="C2104" i="1" s="1"/>
  <c r="B2213" i="1"/>
  <c r="C2213" i="1" s="1"/>
  <c r="B2085" i="1"/>
  <c r="C2085" i="1" s="1"/>
  <c r="B1933" i="1"/>
  <c r="C1933" i="1" s="1"/>
  <c r="B2491" i="1"/>
  <c r="C2491" i="1" s="1"/>
  <c r="B2307" i="1"/>
  <c r="C2307" i="1" s="1"/>
  <c r="B2051" i="1"/>
  <c r="C2051" i="1" s="1"/>
  <c r="B2986" i="1"/>
  <c r="C2986" i="1" s="1"/>
  <c r="B2922" i="1"/>
  <c r="C2922" i="1" s="1"/>
  <c r="B2858" i="1"/>
  <c r="C2858" i="1" s="1"/>
  <c r="B2551" i="1"/>
  <c r="C2551" i="1" s="1"/>
  <c r="B2423" i="1"/>
  <c r="C2423" i="1" s="1"/>
  <c r="B2295" i="1"/>
  <c r="C2295" i="1" s="1"/>
  <c r="B2167" i="1"/>
  <c r="C2167" i="1" s="1"/>
  <c r="B2039" i="1"/>
  <c r="C2039" i="1" s="1"/>
  <c r="B1911" i="1"/>
  <c r="C1911" i="1" s="1"/>
  <c r="B2981" i="1"/>
  <c r="C2981" i="1" s="1"/>
  <c r="B2949" i="1"/>
  <c r="C2949" i="1" s="1"/>
  <c r="B2917" i="1"/>
  <c r="C2917" i="1" s="1"/>
  <c r="B2885" i="1"/>
  <c r="C2885" i="1" s="1"/>
  <c r="B2853" i="1"/>
  <c r="C2853" i="1" s="1"/>
  <c r="B2821" i="1"/>
  <c r="C2821" i="1" s="1"/>
  <c r="D2822" i="1" s="1"/>
  <c r="B2789" i="1"/>
  <c r="C2789" i="1" s="1"/>
  <c r="B2757" i="1"/>
  <c r="C2757" i="1" s="1"/>
  <c r="B2725" i="1"/>
  <c r="C2725" i="1" s="1"/>
  <c r="B2693" i="1"/>
  <c r="C2693" i="1" s="1"/>
  <c r="B2661" i="1"/>
  <c r="C2661" i="1" s="1"/>
  <c r="B2629" i="1"/>
  <c r="C2629" i="1" s="1"/>
  <c r="B2573" i="1"/>
  <c r="C2573" i="1" s="1"/>
  <c r="B2445" i="1"/>
  <c r="C2445" i="1" s="1"/>
  <c r="B2317" i="1"/>
  <c r="C2317" i="1" s="1"/>
  <c r="B2189" i="1"/>
  <c r="C2189" i="1" s="1"/>
  <c r="B2061" i="1"/>
  <c r="C2061" i="1" s="1"/>
  <c r="B1901" i="1"/>
  <c r="C1901" i="1" s="1"/>
  <c r="B2459" i="1"/>
  <c r="C2459" i="1" s="1"/>
  <c r="B2259" i="1"/>
  <c r="C2259" i="1" s="1"/>
  <c r="B2003" i="1"/>
  <c r="C2003" i="1" s="1"/>
  <c r="B2942" i="1"/>
  <c r="C2942" i="1" s="1"/>
  <c r="B2862" i="1"/>
  <c r="C2862" i="1" s="1"/>
  <c r="B1941" i="1"/>
  <c r="C1941" i="1" s="1"/>
  <c r="B2475" i="1"/>
  <c r="C2475" i="1" s="1"/>
  <c r="B2315" i="1"/>
  <c r="C2315" i="1" s="1"/>
  <c r="B2155" i="1"/>
  <c r="C2155" i="1" s="1"/>
  <c r="B1963" i="1"/>
  <c r="C1963" i="1" s="1"/>
  <c r="B2988" i="1"/>
  <c r="C2988" i="1" s="1"/>
  <c r="B2948" i="1"/>
  <c r="C2948" i="1" s="1"/>
  <c r="B2900" i="1"/>
  <c r="C2900" i="1" s="1"/>
  <c r="B2860" i="1"/>
  <c r="C2860" i="1" s="1"/>
  <c r="B2820" i="1"/>
  <c r="C2820" i="1" s="1"/>
  <c r="B2772" i="1"/>
  <c r="C2772" i="1" s="1"/>
  <c r="D2772" i="1" s="1"/>
  <c r="B2732" i="1"/>
  <c r="C2732" i="1" s="1"/>
  <c r="B2692" i="1"/>
  <c r="C2692" i="1" s="1"/>
  <c r="B2644" i="1"/>
  <c r="C2644" i="1" s="1"/>
  <c r="B2569" i="1"/>
  <c r="C2569" i="1" s="1"/>
  <c r="B2345" i="1"/>
  <c r="C2345" i="1" s="1"/>
  <c r="B2089" i="1"/>
  <c r="C2089" i="1" s="1"/>
  <c r="B1897" i="1"/>
  <c r="C1897" i="1" s="1"/>
  <c r="B2554" i="1"/>
  <c r="C2554" i="1" s="1"/>
  <c r="B2490" i="1"/>
  <c r="C2490" i="1" s="1"/>
  <c r="B2434" i="1"/>
  <c r="C2434" i="1" s="1"/>
  <c r="B2386" i="1"/>
  <c r="C2386" i="1" s="1"/>
  <c r="B2322" i="1"/>
  <c r="C2322" i="1" s="1"/>
  <c r="B2266" i="1"/>
  <c r="C2266" i="1" s="1"/>
  <c r="B2210" i="1"/>
  <c r="C2210" i="1" s="1"/>
  <c r="B2130" i="1"/>
  <c r="C2130" i="1" s="1"/>
  <c r="B2066" i="1"/>
  <c r="C2066" i="1" s="1"/>
  <c r="B1986" i="1"/>
  <c r="C1986" i="1" s="1"/>
  <c r="B1906" i="1"/>
  <c r="C1906" i="1" s="1"/>
  <c r="B1826" i="1"/>
  <c r="C1826" i="1" s="1"/>
  <c r="B1762" i="1"/>
  <c r="C1762" i="1" s="1"/>
  <c r="B1658" i="1"/>
  <c r="C1658" i="1" s="1"/>
  <c r="B1570" i="1"/>
  <c r="C1570" i="1" s="1"/>
  <c r="B1450" i="1"/>
  <c r="C1450" i="1" s="1"/>
  <c r="B1170" i="1"/>
  <c r="C1170" i="1" s="1"/>
  <c r="B709" i="1"/>
  <c r="C709" i="1" s="1"/>
  <c r="B2750" i="1"/>
  <c r="C2750" i="1" s="1"/>
  <c r="B2630" i="1"/>
  <c r="C2630" i="1" s="1"/>
  <c r="B2321" i="1"/>
  <c r="C2321" i="1" s="1"/>
  <c r="B2580" i="1"/>
  <c r="C2580" i="1" s="1"/>
  <c r="B2412" i="1"/>
  <c r="C2412" i="1" s="1"/>
  <c r="B2268" i="1"/>
  <c r="C2268" i="1" s="1"/>
  <c r="B2060" i="1"/>
  <c r="C2060" i="1" s="1"/>
  <c r="B1788" i="1"/>
  <c r="C1788" i="1" s="1"/>
  <c r="B1528" i="1"/>
  <c r="C1528" i="1" s="1"/>
  <c r="B1979" i="1"/>
  <c r="C1979" i="1" s="1"/>
  <c r="B2201" i="1"/>
  <c r="C2201" i="1" s="1"/>
  <c r="B2086" i="1"/>
  <c r="C2086" i="1" s="1"/>
  <c r="D2086" i="1" s="1"/>
  <c r="B1392" i="1"/>
  <c r="C1392" i="1" s="1"/>
  <c r="B1252" i="1"/>
  <c r="C1252" i="1" s="1"/>
  <c r="B1939" i="1"/>
  <c r="C1939" i="1" s="1"/>
  <c r="B2958" i="1"/>
  <c r="C2958" i="1" s="1"/>
  <c r="B2894" i="1"/>
  <c r="C2894" i="1" s="1"/>
  <c r="B2830" i="1"/>
  <c r="C2830" i="1" s="1"/>
  <c r="B1909" i="1"/>
  <c r="C1909" i="1" s="1"/>
  <c r="B2507" i="1"/>
  <c r="C2507" i="1" s="1"/>
  <c r="B2379" i="1"/>
  <c r="C2379" i="1" s="1"/>
  <c r="B2251" i="1"/>
  <c r="C2251" i="1" s="1"/>
  <c r="B2123" i="1"/>
  <c r="C2123" i="1" s="1"/>
  <c r="B1995" i="1"/>
  <c r="C1995" i="1" s="1"/>
  <c r="B3004" i="1"/>
  <c r="C3004" i="1" s="1"/>
  <c r="B2972" i="1"/>
  <c r="C2972" i="1" s="1"/>
  <c r="B2940" i="1"/>
  <c r="C2940" i="1" s="1"/>
  <c r="B2908" i="1"/>
  <c r="C2908" i="1" s="1"/>
  <c r="B2876" i="1"/>
  <c r="C2876" i="1" s="1"/>
  <c r="B2844" i="1"/>
  <c r="C2844" i="1" s="1"/>
  <c r="B2812" i="1"/>
  <c r="C2812" i="1" s="1"/>
  <c r="D2812" i="1" s="1"/>
  <c r="B2780" i="1"/>
  <c r="C2780" i="1" s="1"/>
  <c r="D2780" i="1" s="1"/>
  <c r="B2748" i="1"/>
  <c r="C2748" i="1" s="1"/>
  <c r="B2716" i="1"/>
  <c r="C2716" i="1" s="1"/>
  <c r="B2684" i="1"/>
  <c r="C2684" i="1" s="1"/>
  <c r="B2652" i="1"/>
  <c r="C2652" i="1" s="1"/>
  <c r="B2620" i="1"/>
  <c r="C2620" i="1" s="1"/>
  <c r="B2473" i="1"/>
  <c r="C2473" i="1" s="1"/>
  <c r="B2313" i="1"/>
  <c r="C2313" i="1" s="1"/>
  <c r="B2153" i="1"/>
  <c r="C2153" i="1" s="1"/>
  <c r="B1961" i="1"/>
  <c r="C1961" i="1" s="1"/>
  <c r="B2586" i="1"/>
  <c r="C2586" i="1" s="1"/>
  <c r="B2546" i="1"/>
  <c r="C2546" i="1" s="1"/>
  <c r="B2498" i="1"/>
  <c r="C2498" i="1" s="1"/>
  <c r="B2458" i="1"/>
  <c r="C2458" i="1" s="1"/>
  <c r="B2418" i="1"/>
  <c r="C2418" i="1" s="1"/>
  <c r="B2370" i="1"/>
  <c r="C2370" i="1" s="1"/>
  <c r="B2330" i="1"/>
  <c r="C2330" i="1" s="1"/>
  <c r="B2290" i="1"/>
  <c r="C2290" i="1" s="1"/>
  <c r="B2242" i="1"/>
  <c r="C2242" i="1" s="1"/>
  <c r="B2202" i="1"/>
  <c r="C2202" i="1" s="1"/>
  <c r="B2146" i="1"/>
  <c r="C2146" i="1" s="1"/>
  <c r="B2082" i="1"/>
  <c r="C2082" i="1" s="1"/>
  <c r="B2034" i="1"/>
  <c r="C2034" i="1" s="1"/>
  <c r="B1978" i="1"/>
  <c r="C1978" i="1" s="1"/>
  <c r="B1914" i="1"/>
  <c r="C1914" i="1" s="1"/>
  <c r="B1858" i="1"/>
  <c r="C1858" i="1" s="1"/>
  <c r="B1810" i="1"/>
  <c r="C1810" i="1" s="1"/>
  <c r="B1746" i="1"/>
  <c r="C1746" i="1" s="1"/>
  <c r="B1690" i="1"/>
  <c r="C1690" i="1" s="1"/>
  <c r="B1602" i="1"/>
  <c r="C1602" i="1" s="1"/>
  <c r="B1526" i="1"/>
  <c r="C1526" i="1" s="1"/>
  <c r="B1440" i="1"/>
  <c r="C1440" i="1" s="1"/>
  <c r="B1234" i="1"/>
  <c r="C1234" i="1" s="1"/>
  <c r="B946" i="1"/>
  <c r="C946" i="1" s="1"/>
  <c r="B2806" i="1"/>
  <c r="C2806" i="1" s="1"/>
  <c r="B2718" i="1"/>
  <c r="C2718" i="1" s="1"/>
  <c r="B2654" i="1"/>
  <c r="C2654" i="1" s="1"/>
  <c r="B2513" i="1"/>
  <c r="C2513" i="1" s="1"/>
  <c r="B2129" i="1"/>
  <c r="C2129" i="1" s="1"/>
  <c r="B2548" i="1"/>
  <c r="C2548" i="1" s="1"/>
  <c r="B2452" i="1"/>
  <c r="C2452" i="1" s="1"/>
  <c r="B2324" i="1"/>
  <c r="C2324" i="1" s="1"/>
  <c r="B2164" i="1"/>
  <c r="C2164" i="1" s="1"/>
  <c r="B2036" i="1"/>
  <c r="C2036" i="1" s="1"/>
  <c r="D2036" i="1" s="1"/>
  <c r="B1852" i="1"/>
  <c r="C1852" i="1" s="1"/>
  <c r="B1652" i="1"/>
  <c r="C1652" i="1" s="1"/>
  <c r="B1378" i="1"/>
  <c r="C1378" i="1" s="1"/>
  <c r="B2928" i="1"/>
  <c r="C2928" i="1" s="1"/>
  <c r="B2361" i="1"/>
  <c r="C2361" i="1" s="1"/>
  <c r="B2398" i="1"/>
  <c r="C2398" i="1" s="1"/>
  <c r="B1830" i="1"/>
  <c r="C1830" i="1" s="1"/>
  <c r="B2738" i="1"/>
  <c r="C2738" i="1" s="1"/>
  <c r="B1840" i="1"/>
  <c r="C1840" i="1" s="1"/>
  <c r="B1682" i="1"/>
  <c r="C1682" i="1" s="1"/>
  <c r="B1618" i="1"/>
  <c r="C1618" i="1" s="1"/>
  <c r="B1562" i="1"/>
  <c r="C1562" i="1" s="1"/>
  <c r="B1494" i="1"/>
  <c r="C1494" i="1" s="1"/>
  <c r="B1408" i="1"/>
  <c r="C1408" i="1" s="1"/>
  <c r="B1298" i="1"/>
  <c r="C1298" i="1" s="1"/>
  <c r="B1074" i="1"/>
  <c r="C1074" i="1" s="1"/>
  <c r="B773" i="1"/>
  <c r="C773" i="1" s="1"/>
  <c r="B2790" i="1"/>
  <c r="C2790" i="1" s="1"/>
  <c r="B2742" i="1"/>
  <c r="C2742" i="1" s="1"/>
  <c r="B2678" i="1"/>
  <c r="C2678" i="1" s="1"/>
  <c r="B2622" i="1"/>
  <c r="C2622" i="1" s="1"/>
  <c r="B2449" i="1"/>
  <c r="C2449" i="1" s="1"/>
  <c r="B2161" i="1"/>
  <c r="C2161" i="1" s="1"/>
  <c r="B2588" i="1"/>
  <c r="C2588" i="1" s="1"/>
  <c r="B2508" i="1"/>
  <c r="C2508" i="1" s="1"/>
  <c r="B2420" i="1"/>
  <c r="C2420" i="1" s="1"/>
  <c r="B2332" i="1"/>
  <c r="C2332" i="1" s="1"/>
  <c r="B2228" i="1"/>
  <c r="C2228" i="1" s="1"/>
  <c r="D2228" i="1" s="1"/>
  <c r="B2108" i="1"/>
  <c r="C2108" i="1" s="1"/>
  <c r="B1996" i="1"/>
  <c r="C1996" i="1" s="1"/>
  <c r="B1876" i="1"/>
  <c r="C1876" i="1" s="1"/>
  <c r="B1724" i="1"/>
  <c r="C1724" i="1" s="1"/>
  <c r="B1538" i="1"/>
  <c r="C1538" i="1" s="1"/>
  <c r="B1146" i="1"/>
  <c r="C1146" i="1" s="1"/>
  <c r="B2936" i="1"/>
  <c r="C2936" i="1" s="1"/>
  <c r="B2648" i="1"/>
  <c r="C2648" i="1" s="1"/>
  <c r="B2598" i="1"/>
  <c r="C2598" i="1" s="1"/>
  <c r="B2238" i="1"/>
  <c r="C2238" i="1" s="1"/>
  <c r="B1886" i="1"/>
  <c r="C1886" i="1" s="1"/>
  <c r="B1434" i="1"/>
  <c r="C1434" i="1" s="1"/>
  <c r="B1985" i="1"/>
  <c r="C1985" i="1" s="1"/>
  <c r="B1819" i="1"/>
  <c r="C1819" i="1" s="1"/>
  <c r="B2178" i="1"/>
  <c r="C2178" i="1" s="1"/>
  <c r="B2138" i="1"/>
  <c r="C2138" i="1" s="1"/>
  <c r="B2098" i="1"/>
  <c r="C2098" i="1" s="1"/>
  <c r="B2050" i="1"/>
  <c r="C2050" i="1" s="1"/>
  <c r="B2010" i="1"/>
  <c r="C2010" i="1" s="1"/>
  <c r="B1970" i="1"/>
  <c r="C1970" i="1" s="1"/>
  <c r="B1922" i="1"/>
  <c r="C1922" i="1" s="1"/>
  <c r="B1882" i="1"/>
  <c r="C1882" i="1" s="1"/>
  <c r="B1842" i="1"/>
  <c r="C1842" i="1" s="1"/>
  <c r="B1794" i="1"/>
  <c r="C1794" i="1" s="1"/>
  <c r="B1754" i="1"/>
  <c r="C1754" i="1" s="1"/>
  <c r="B1714" i="1"/>
  <c r="C1714" i="1" s="1"/>
  <c r="B1666" i="1"/>
  <c r="C1666" i="1" s="1"/>
  <c r="B1626" i="1"/>
  <c r="C1626" i="1" s="1"/>
  <c r="B1586" i="1"/>
  <c r="C1586" i="1" s="1"/>
  <c r="B1536" i="1"/>
  <c r="C1536" i="1" s="1"/>
  <c r="B1482" i="1"/>
  <c r="C1482" i="1" s="1"/>
  <c r="B1430" i="1"/>
  <c r="C1430" i="1" s="1"/>
  <c r="B1362" i="1"/>
  <c r="C1362" i="1" s="1"/>
  <c r="B1202" i="1"/>
  <c r="C1202" i="1" s="1"/>
  <c r="B1042" i="1"/>
  <c r="C1042" i="1" s="1"/>
  <c r="B837" i="1"/>
  <c r="C837" i="1" s="1"/>
  <c r="B2814" i="1"/>
  <c r="C2814" i="1" s="1"/>
  <c r="B2774" i="1"/>
  <c r="C2774" i="1" s="1"/>
  <c r="B2726" i="1"/>
  <c r="C2726" i="1" s="1"/>
  <c r="B2686" i="1"/>
  <c r="C2686" i="1" s="1"/>
  <c r="B2646" i="1"/>
  <c r="C2646" i="1" s="1"/>
  <c r="B2577" i="1"/>
  <c r="C2577" i="1" s="1"/>
  <c r="B2417" i="1"/>
  <c r="C2417" i="1" s="1"/>
  <c r="B2257" i="1"/>
  <c r="C2257" i="1" s="1"/>
  <c r="B2065" i="1"/>
  <c r="C2065" i="1" s="1"/>
  <c r="B1905" i="1"/>
  <c r="C1905" i="1" s="1"/>
  <c r="B2572" i="1"/>
  <c r="C2572" i="1" s="1"/>
  <c r="B2524" i="1"/>
  <c r="C2524" i="1" s="1"/>
  <c r="D2524" i="1" s="1"/>
  <c r="B2484" i="1"/>
  <c r="C2484" i="1" s="1"/>
  <c r="B2444" i="1"/>
  <c r="C2444" i="1" s="1"/>
  <c r="B2396" i="1"/>
  <c r="C2396" i="1" s="1"/>
  <c r="B2356" i="1"/>
  <c r="C2356" i="1" s="1"/>
  <c r="D2357" i="1" s="1"/>
  <c r="B2316" i="1"/>
  <c r="C2316" i="1" s="1"/>
  <c r="B2252" i="1"/>
  <c r="C2252" i="1" s="1"/>
  <c r="B2196" i="1"/>
  <c r="C2196" i="1" s="1"/>
  <c r="B2140" i="1"/>
  <c r="C2140" i="1" s="1"/>
  <c r="B2076" i="1"/>
  <c r="C2076" i="1" s="1"/>
  <c r="B2028" i="1"/>
  <c r="C2028" i="1" s="1"/>
  <c r="B1972" i="1"/>
  <c r="C1972" i="1" s="1"/>
  <c r="B1908" i="1"/>
  <c r="C1908" i="1" s="1"/>
  <c r="B1828" i="1"/>
  <c r="C1828" i="1" s="1"/>
  <c r="B1764" i="1"/>
  <c r="C1764" i="1" s="1"/>
  <c r="B1684" i="1"/>
  <c r="C1684" i="1" s="1"/>
  <c r="B1596" i="1"/>
  <c r="C1596" i="1" s="1"/>
  <c r="B1486" i="1"/>
  <c r="C1486" i="1" s="1"/>
  <c r="B1242" i="1"/>
  <c r="C1242" i="1" s="1"/>
  <c r="B853" i="1"/>
  <c r="C853" i="1" s="1"/>
  <c r="B1915" i="1"/>
  <c r="C1915" i="1" s="1"/>
  <c r="B2864" i="1"/>
  <c r="C2864" i="1" s="1"/>
  <c r="B2728" i="1"/>
  <c r="C2728" i="1" s="1"/>
  <c r="B2608" i="1"/>
  <c r="C2608" i="1" s="1"/>
  <c r="B2073" i="1"/>
  <c r="C2073" i="1" s="1"/>
  <c r="B2510" i="1"/>
  <c r="C2510" i="1" s="1"/>
  <c r="B2342" i="1"/>
  <c r="C2342" i="1" s="1"/>
  <c r="B2126" i="1"/>
  <c r="C2126" i="1" s="1"/>
  <c r="B1966" i="1"/>
  <c r="C1966" i="1" s="1"/>
  <c r="B1798" i="1"/>
  <c r="C1798" i="1" s="1"/>
  <c r="B1582" i="1"/>
  <c r="C1582" i="1" s="1"/>
  <c r="B1122" i="1"/>
  <c r="C1122" i="1" s="1"/>
  <c r="B2650" i="1"/>
  <c r="C2650" i="1" s="1"/>
  <c r="B2384" i="1"/>
  <c r="C2384" i="1" s="1"/>
  <c r="D2384" i="1" s="1"/>
  <c r="B1680" i="1"/>
  <c r="C1680" i="1" s="1"/>
  <c r="B1221" i="1"/>
  <c r="C1221" i="1" s="1"/>
  <c r="B2193" i="1"/>
  <c r="C2193" i="1" s="1"/>
  <c r="B2033" i="1"/>
  <c r="C2033" i="1" s="1"/>
  <c r="B2604" i="1"/>
  <c r="C2604" i="1" s="1"/>
  <c r="B2556" i="1"/>
  <c r="C2556" i="1" s="1"/>
  <c r="B2516" i="1"/>
  <c r="C2516" i="1" s="1"/>
  <c r="B2476" i="1"/>
  <c r="C2476" i="1" s="1"/>
  <c r="B2428" i="1"/>
  <c r="C2428" i="1" s="1"/>
  <c r="B2388" i="1"/>
  <c r="C2388" i="1" s="1"/>
  <c r="B2348" i="1"/>
  <c r="C2348" i="1" s="1"/>
  <c r="B2292" i="1"/>
  <c r="C2292" i="1" s="1"/>
  <c r="B2236" i="1"/>
  <c r="C2236" i="1" s="1"/>
  <c r="B2188" i="1"/>
  <c r="C2188" i="1" s="1"/>
  <c r="B2124" i="1"/>
  <c r="C2124" i="1" s="1"/>
  <c r="D2124" i="1" s="1"/>
  <c r="B2068" i="1"/>
  <c r="C2068" i="1" s="1"/>
  <c r="B2012" i="1"/>
  <c r="C2012" i="1" s="1"/>
  <c r="B1948" i="1"/>
  <c r="C1948" i="1" s="1"/>
  <c r="B1892" i="1"/>
  <c r="C1892" i="1" s="1"/>
  <c r="B1820" i="1"/>
  <c r="C1820" i="1" s="1"/>
  <c r="B1732" i="1"/>
  <c r="C1732" i="1" s="1"/>
  <c r="B1660" i="1"/>
  <c r="C1660" i="1" s="1"/>
  <c r="B1580" i="1"/>
  <c r="C1580" i="1" s="1"/>
  <c r="B1442" i="1"/>
  <c r="C1442" i="1" s="1"/>
  <c r="B1210" i="1"/>
  <c r="C1210" i="1" s="1"/>
  <c r="B2299" i="1"/>
  <c r="C2299" i="1" s="1"/>
  <c r="B2952" i="1"/>
  <c r="C2952" i="1" s="1"/>
  <c r="B2840" i="1"/>
  <c r="C2840" i="1" s="1"/>
  <c r="B2712" i="1"/>
  <c r="C2712" i="1" s="1"/>
  <c r="B2393" i="1"/>
  <c r="C2393" i="1" s="1"/>
  <c r="B1881" i="1"/>
  <c r="C1881" i="1" s="1"/>
  <c r="B2478" i="1"/>
  <c r="C2478" i="1" s="1"/>
  <c r="B2278" i="1"/>
  <c r="C2278" i="1" s="1"/>
  <c r="B2110" i="1"/>
  <c r="C2110" i="1" s="1"/>
  <c r="B1934" i="1"/>
  <c r="C1934" i="1" s="1"/>
  <c r="B1726" i="1"/>
  <c r="C1726" i="1" s="1"/>
  <c r="B1550" i="1"/>
  <c r="C1550" i="1" s="1"/>
  <c r="B1026" i="1"/>
  <c r="C1026" i="1" s="1"/>
  <c r="B2209" i="1"/>
  <c r="C2209" i="1" s="1"/>
  <c r="B2272" i="1"/>
  <c r="C2272" i="1" s="1"/>
  <c r="B1632" i="1"/>
  <c r="C1632" i="1" s="1"/>
  <c r="B192" i="1"/>
  <c r="C192" i="1" s="1"/>
  <c r="B2612" i="1"/>
  <c r="C2612" i="1" s="1"/>
  <c r="B2505" i="1"/>
  <c r="C2505" i="1" s="1"/>
  <c r="B2377" i="1"/>
  <c r="C2377" i="1" s="1"/>
  <c r="B2249" i="1"/>
  <c r="C2249" i="1" s="1"/>
  <c r="B2121" i="1"/>
  <c r="C2121" i="1" s="1"/>
  <c r="B1993" i="1"/>
  <c r="C1993" i="1" s="1"/>
  <c r="B2602" i="1"/>
  <c r="C2602" i="1" s="1"/>
  <c r="B2570" i="1"/>
  <c r="C2570" i="1" s="1"/>
  <c r="B2538" i="1"/>
  <c r="C2538" i="1" s="1"/>
  <c r="B2506" i="1"/>
  <c r="C2506" i="1" s="1"/>
  <c r="B2474" i="1"/>
  <c r="C2474" i="1" s="1"/>
  <c r="B2442" i="1"/>
  <c r="C2442" i="1" s="1"/>
  <c r="B2410" i="1"/>
  <c r="C2410" i="1" s="1"/>
  <c r="B2378" i="1"/>
  <c r="C2378" i="1" s="1"/>
  <c r="B2346" i="1"/>
  <c r="C2346" i="1" s="1"/>
  <c r="B2314" i="1"/>
  <c r="C2314" i="1" s="1"/>
  <c r="B2282" i="1"/>
  <c r="C2282" i="1" s="1"/>
  <c r="B2250" i="1"/>
  <c r="C2250" i="1" s="1"/>
  <c r="B2218" i="1"/>
  <c r="C2218" i="1" s="1"/>
  <c r="B2186" i="1"/>
  <c r="C2186" i="1" s="1"/>
  <c r="B2154" i="1"/>
  <c r="C2154" i="1" s="1"/>
  <c r="B2122" i="1"/>
  <c r="C2122" i="1" s="1"/>
  <c r="B2090" i="1"/>
  <c r="C2090" i="1" s="1"/>
  <c r="B2058" i="1"/>
  <c r="C2058" i="1" s="1"/>
  <c r="B2026" i="1"/>
  <c r="C2026" i="1" s="1"/>
  <c r="B1994" i="1"/>
  <c r="C1994" i="1" s="1"/>
  <c r="D1994" i="1" s="1"/>
  <c r="B1962" i="1"/>
  <c r="C1962" i="1" s="1"/>
  <c r="D1962" i="1" s="1"/>
  <c r="B1930" i="1"/>
  <c r="C1930" i="1" s="1"/>
  <c r="B1898" i="1"/>
  <c r="C1898" i="1" s="1"/>
  <c r="B1866" i="1"/>
  <c r="C1866" i="1" s="1"/>
  <c r="B1834" i="1"/>
  <c r="C1834" i="1" s="1"/>
  <c r="B1802" i="1"/>
  <c r="C1802" i="1" s="1"/>
  <c r="B1770" i="1"/>
  <c r="C1770" i="1" s="1"/>
  <c r="B1738" i="1"/>
  <c r="C1738" i="1" s="1"/>
  <c r="B1706" i="1"/>
  <c r="C1706" i="1" s="1"/>
  <c r="B1674" i="1"/>
  <c r="C1674" i="1" s="1"/>
  <c r="B1642" i="1"/>
  <c r="C1642" i="1" s="1"/>
  <c r="B1610" i="1"/>
  <c r="C1610" i="1" s="1"/>
  <c r="B1578" i="1"/>
  <c r="C1578" i="1" s="1"/>
  <c r="B1546" i="1"/>
  <c r="C1546" i="1" s="1"/>
  <c r="B1504" i="1"/>
  <c r="C1504" i="1" s="1"/>
  <c r="B1462" i="1"/>
  <c r="C1462" i="1" s="1"/>
  <c r="B1418" i="1"/>
  <c r="C1418" i="1" s="1"/>
  <c r="B1376" i="1"/>
  <c r="C1376" i="1" s="1"/>
  <c r="B1266" i="1"/>
  <c r="C1266" i="1" s="1"/>
  <c r="B1138" i="1"/>
  <c r="C1138" i="1" s="1"/>
  <c r="B1010" i="1"/>
  <c r="C1010" i="1" s="1"/>
  <c r="B882" i="1"/>
  <c r="C882" i="1" s="1"/>
  <c r="B645" i="1"/>
  <c r="C645" i="1" s="1"/>
  <c r="B2798" i="1"/>
  <c r="C2798" i="1" s="1"/>
  <c r="B2766" i="1"/>
  <c r="C2766" i="1" s="1"/>
  <c r="D2766" i="1" s="1"/>
  <c r="B2734" i="1"/>
  <c r="C2734" i="1" s="1"/>
  <c r="B2702" i="1"/>
  <c r="C2702" i="1" s="1"/>
  <c r="B2670" i="1"/>
  <c r="C2670" i="1" s="1"/>
  <c r="B2638" i="1"/>
  <c r="C2638" i="1" s="1"/>
  <c r="D2638" i="1" s="1"/>
  <c r="B2606" i="1"/>
  <c r="C2606" i="1" s="1"/>
  <c r="B2481" i="1"/>
  <c r="C2481" i="1" s="1"/>
  <c r="B2353" i="1"/>
  <c r="C2353" i="1" s="1"/>
  <c r="B2225" i="1"/>
  <c r="C2225" i="1" s="1"/>
  <c r="B2097" i="1"/>
  <c r="C2097" i="1" s="1"/>
  <c r="B1969" i="1"/>
  <c r="C1969" i="1" s="1"/>
  <c r="B2596" i="1"/>
  <c r="C2596" i="1" s="1"/>
  <c r="B2564" i="1"/>
  <c r="C2564" i="1" s="1"/>
  <c r="B2532" i="1"/>
  <c r="C2532" i="1" s="1"/>
  <c r="B2500" i="1"/>
  <c r="C2500" i="1" s="1"/>
  <c r="B2468" i="1"/>
  <c r="C2468" i="1" s="1"/>
  <c r="B2436" i="1"/>
  <c r="C2436" i="1" s="1"/>
  <c r="B2404" i="1"/>
  <c r="C2404" i="1" s="1"/>
  <c r="B2372" i="1"/>
  <c r="C2372" i="1" s="1"/>
  <c r="B2340" i="1"/>
  <c r="C2340" i="1" s="1"/>
  <c r="B2300" i="1"/>
  <c r="C2300" i="1" s="1"/>
  <c r="B2260" i="1"/>
  <c r="C2260" i="1" s="1"/>
  <c r="B2220" i="1"/>
  <c r="C2220" i="1" s="1"/>
  <c r="B2172" i="1"/>
  <c r="C2172" i="1" s="1"/>
  <c r="B2132" i="1"/>
  <c r="C2132" i="1" s="1"/>
  <c r="B2092" i="1"/>
  <c r="C2092" i="1" s="1"/>
  <c r="B2044" i="1"/>
  <c r="C2044" i="1" s="1"/>
  <c r="B2004" i="1"/>
  <c r="C2004" i="1" s="1"/>
  <c r="B1964" i="1"/>
  <c r="C1964" i="1" s="1"/>
  <c r="B1916" i="1"/>
  <c r="C1916" i="1" s="1"/>
  <c r="B1860" i="1"/>
  <c r="C1860" i="1" s="1"/>
  <c r="B1812" i="1"/>
  <c r="C1812" i="1" s="1"/>
  <c r="B1748" i="1"/>
  <c r="C1748" i="1" s="1"/>
  <c r="B1692" i="1"/>
  <c r="C1692" i="1" s="1"/>
  <c r="B1636" i="1"/>
  <c r="C1636" i="1" s="1"/>
  <c r="B1548" i="1"/>
  <c r="C1548" i="1" s="1"/>
  <c r="B1464" i="1"/>
  <c r="C1464" i="1" s="1"/>
  <c r="B1368" i="1"/>
  <c r="C1368" i="1" s="1"/>
  <c r="B986" i="1"/>
  <c r="C986" i="1" s="1"/>
  <c r="B2235" i="1"/>
  <c r="C2235" i="1" s="1"/>
  <c r="B2992" i="1"/>
  <c r="C2992" i="1" s="1"/>
  <c r="B2888" i="1"/>
  <c r="C2888" i="1" s="1"/>
  <c r="B2776" i="1"/>
  <c r="C2776" i="1" s="1"/>
  <c r="B2696" i="1"/>
  <c r="C2696" i="1" s="1"/>
  <c r="B2521" i="1"/>
  <c r="C2521" i="1" s="1"/>
  <c r="B2105" i="1"/>
  <c r="C2105" i="1" s="1"/>
  <c r="B2566" i="1"/>
  <c r="C2566" i="1" s="1"/>
  <c r="B2430" i="1"/>
  <c r="C2430" i="1" s="1"/>
  <c r="B2310" i="1"/>
  <c r="C2310" i="1" s="1"/>
  <c r="B2182" i="1"/>
  <c r="C2182" i="1" s="1"/>
  <c r="B2022" i="1"/>
  <c r="C2022" i="1" s="1"/>
  <c r="B1894" i="1"/>
  <c r="C1894" i="1" s="1"/>
  <c r="B1790" i="1"/>
  <c r="C1790" i="1" s="1"/>
  <c r="B1622" i="1"/>
  <c r="C1622" i="1" s="1"/>
  <c r="B1424" i="1"/>
  <c r="C1424" i="1" s="1"/>
  <c r="B805" i="1"/>
  <c r="C805" i="1" s="1"/>
  <c r="B2337" i="1"/>
  <c r="C2337" i="1" s="1"/>
  <c r="B2512" i="1"/>
  <c r="C2512" i="1" s="1"/>
  <c r="B2064" i="1"/>
  <c r="C2064" i="1" s="1"/>
  <c r="B518" i="1"/>
  <c r="C518" i="1" s="1"/>
  <c r="B717" i="1"/>
  <c r="C717" i="1" s="1"/>
  <c r="B2308" i="1"/>
  <c r="C2308" i="1" s="1"/>
  <c r="B2276" i="1"/>
  <c r="C2276" i="1" s="1"/>
  <c r="D2276" i="1" s="1"/>
  <c r="B2244" i="1"/>
  <c r="C2244" i="1" s="1"/>
  <c r="B2212" i="1"/>
  <c r="C2212" i="1" s="1"/>
  <c r="B2180" i="1"/>
  <c r="C2180" i="1" s="1"/>
  <c r="B2148" i="1"/>
  <c r="C2148" i="1" s="1"/>
  <c r="B2116" i="1"/>
  <c r="C2116" i="1" s="1"/>
  <c r="B2084" i="1"/>
  <c r="C2084" i="1" s="1"/>
  <c r="B2052" i="1"/>
  <c r="C2052" i="1" s="1"/>
  <c r="B2020" i="1"/>
  <c r="C2020" i="1" s="1"/>
  <c r="B1988" i="1"/>
  <c r="C1988" i="1" s="1"/>
  <c r="B1956" i="1"/>
  <c r="C1956" i="1" s="1"/>
  <c r="B1924" i="1"/>
  <c r="C1924" i="1" s="1"/>
  <c r="B1884" i="1"/>
  <c r="C1884" i="1" s="1"/>
  <c r="B1844" i="1"/>
  <c r="C1844" i="1" s="1"/>
  <c r="B1796" i="1"/>
  <c r="C1796" i="1" s="1"/>
  <c r="B1756" i="1"/>
  <c r="C1756" i="1" s="1"/>
  <c r="B1716" i="1"/>
  <c r="C1716" i="1" s="1"/>
  <c r="B1668" i="1"/>
  <c r="C1668" i="1" s="1"/>
  <c r="B1628" i="1"/>
  <c r="C1628" i="1" s="1"/>
  <c r="B1572" i="1"/>
  <c r="C1572" i="1" s="1"/>
  <c r="B1496" i="1"/>
  <c r="C1496" i="1" s="1"/>
  <c r="B1422" i="1"/>
  <c r="C1422" i="1" s="1"/>
  <c r="B1338" i="1"/>
  <c r="C1338" i="1" s="1"/>
  <c r="B1082" i="1"/>
  <c r="C1082" i="1" s="1"/>
  <c r="B2331" i="1"/>
  <c r="C2331" i="1" s="1"/>
  <c r="B2075" i="1"/>
  <c r="C2075" i="1" s="1"/>
  <c r="B2984" i="1"/>
  <c r="C2984" i="1" s="1"/>
  <c r="B2896" i="1"/>
  <c r="C2896" i="1" s="1"/>
  <c r="B2824" i="1"/>
  <c r="C2824" i="1" s="1"/>
  <c r="D2825" i="1" s="1"/>
  <c r="B2760" i="1"/>
  <c r="C2760" i="1" s="1"/>
  <c r="B2672" i="1"/>
  <c r="C2672" i="1" s="1"/>
  <c r="B2585" i="1"/>
  <c r="C2585" i="1" s="1"/>
  <c r="B2265" i="1"/>
  <c r="C2265" i="1" s="1"/>
  <c r="B1945" i="1"/>
  <c r="C1945" i="1" s="1"/>
  <c r="B2558" i="1"/>
  <c r="C2558" i="1" s="1"/>
  <c r="B2470" i="1"/>
  <c r="C2470" i="1" s="1"/>
  <c r="B2350" i="1"/>
  <c r="C2350" i="1" s="1"/>
  <c r="B2254" i="1"/>
  <c r="C2254" i="1" s="1"/>
  <c r="B2174" i="1"/>
  <c r="C2174" i="1" s="1"/>
  <c r="B2054" i="1"/>
  <c r="C2054" i="1" s="1"/>
  <c r="B1958" i="1"/>
  <c r="C1958" i="1" s="1"/>
  <c r="D1958" i="1" s="1"/>
  <c r="B1854" i="1"/>
  <c r="C1854" i="1" s="1"/>
  <c r="B1742" i="1"/>
  <c r="C1742" i="1" s="1"/>
  <c r="B1662" i="1"/>
  <c r="C1662" i="1" s="1"/>
  <c r="B1510" i="1"/>
  <c r="C1510" i="1" s="1"/>
  <c r="B1250" i="1"/>
  <c r="C1250" i="1" s="1"/>
  <c r="B2762" i="1"/>
  <c r="C2762" i="1" s="1"/>
  <c r="B2610" i="1"/>
  <c r="C2610" i="1" s="1"/>
  <c r="B2600" i="1"/>
  <c r="C2600" i="1" s="1"/>
  <c r="D2601" i="1" s="1"/>
  <c r="B2368" i="1"/>
  <c r="C2368" i="1" s="1"/>
  <c r="B1952" i="1"/>
  <c r="C1952" i="1" s="1"/>
  <c r="B970" i="1"/>
  <c r="C970" i="1" s="1"/>
  <c r="B1156" i="1"/>
  <c r="C1156" i="1" s="1"/>
  <c r="B1609" i="1"/>
  <c r="C1609" i="1" s="1"/>
  <c r="B1018" i="1"/>
  <c r="C1018" i="1" s="1"/>
  <c r="B789" i="1"/>
  <c r="C789" i="1" s="1"/>
  <c r="B2171" i="1"/>
  <c r="C2171" i="1" s="1"/>
  <c r="B1947" i="1"/>
  <c r="C1947" i="1" s="1"/>
  <c r="B2968" i="1"/>
  <c r="C2968" i="1" s="1"/>
  <c r="B2904" i="1"/>
  <c r="C2904" i="1" s="1"/>
  <c r="B2856" i="1"/>
  <c r="C2856" i="1" s="1"/>
  <c r="B2800" i="1"/>
  <c r="C2800" i="1" s="1"/>
  <c r="B2736" i="1"/>
  <c r="C2736" i="1" s="1"/>
  <c r="B2680" i="1"/>
  <c r="C2680" i="1" s="1"/>
  <c r="B2632" i="1"/>
  <c r="C2632" i="1" s="1"/>
  <c r="B2457" i="1"/>
  <c r="C2457" i="1" s="1"/>
  <c r="B2233" i="1"/>
  <c r="C2233" i="1" s="1"/>
  <c r="B2009" i="1"/>
  <c r="C2009" i="1" s="1"/>
  <c r="B2574" i="1"/>
  <c r="C2574" i="1" s="1"/>
  <c r="B2526" i="1"/>
  <c r="C2526" i="1" s="1"/>
  <c r="B2446" i="1"/>
  <c r="C2446" i="1" s="1"/>
  <c r="B2366" i="1"/>
  <c r="C2366" i="1" s="1"/>
  <c r="B2302" i="1"/>
  <c r="C2302" i="1" s="1"/>
  <c r="B2222" i="1"/>
  <c r="C2222" i="1" s="1"/>
  <c r="B2142" i="1"/>
  <c r="C2142" i="1" s="1"/>
  <c r="B2062" i="1"/>
  <c r="C2062" i="1" s="1"/>
  <c r="D2062" i="1" s="1"/>
  <c r="B1998" i="1"/>
  <c r="C1998" i="1" s="1"/>
  <c r="B1918" i="1"/>
  <c r="C1918" i="1" s="1"/>
  <c r="B1838" i="1"/>
  <c r="C1838" i="1" s="1"/>
  <c r="B1766" i="1"/>
  <c r="C1766" i="1" s="1"/>
  <c r="B1678" i="1"/>
  <c r="C1678" i="1" s="1"/>
  <c r="B1606" i="1"/>
  <c r="C1606" i="1" s="1"/>
  <c r="B1498" i="1"/>
  <c r="C1498" i="1" s="1"/>
  <c r="B1282" i="1"/>
  <c r="C1282" i="1" s="1"/>
  <c r="B866" i="1"/>
  <c r="C866" i="1" s="1"/>
  <c r="B2714" i="1"/>
  <c r="C2714" i="1" s="1"/>
  <c r="B2465" i="1"/>
  <c r="C2465" i="1" s="1"/>
  <c r="B1953" i="1"/>
  <c r="C1953" i="1" s="1"/>
  <c r="B2496" i="1"/>
  <c r="C2496" i="1" s="1"/>
  <c r="B2208" i="1"/>
  <c r="C2208" i="1" s="1"/>
  <c r="B1880" i="1"/>
  <c r="C1880" i="1" s="1"/>
  <c r="B1512" i="1"/>
  <c r="C1512" i="1" s="1"/>
  <c r="B1508" i="1"/>
  <c r="C1508" i="1" s="1"/>
  <c r="B1366" i="1"/>
  <c r="C1366" i="1" s="1"/>
  <c r="B1545" i="1"/>
  <c r="C1545" i="1" s="1"/>
  <c r="B2448" i="1"/>
  <c r="C2448" i="1" s="1"/>
  <c r="B2264" i="1"/>
  <c r="C2264" i="1" s="1"/>
  <c r="B2000" i="1"/>
  <c r="C2000" i="1" s="1"/>
  <c r="B1752" i="1"/>
  <c r="C1752" i="1" s="1"/>
  <c r="B1426" i="1"/>
  <c r="C1426" i="1" s="1"/>
  <c r="B1343" i="1"/>
  <c r="C1343" i="1" s="1"/>
  <c r="B1757" i="1"/>
  <c r="C1757" i="1" s="1"/>
  <c r="B1287" i="1"/>
  <c r="C1287" i="1" s="1"/>
  <c r="B356" i="1"/>
  <c r="C356" i="1" s="1"/>
  <c r="B1900" i="1"/>
  <c r="C1900" i="1" s="1"/>
  <c r="B1868" i="1"/>
  <c r="C1868" i="1" s="1"/>
  <c r="B1836" i="1"/>
  <c r="C1836" i="1" s="1"/>
  <c r="B1804" i="1"/>
  <c r="C1804" i="1" s="1"/>
  <c r="B1772" i="1"/>
  <c r="C1772" i="1" s="1"/>
  <c r="B1740" i="1"/>
  <c r="C1740" i="1" s="1"/>
  <c r="B1708" i="1"/>
  <c r="C1708" i="1" s="1"/>
  <c r="B1676" i="1"/>
  <c r="C1676" i="1" s="1"/>
  <c r="B1644" i="1"/>
  <c r="C1644" i="1" s="1"/>
  <c r="B1604" i="1"/>
  <c r="C1604" i="1" s="1"/>
  <c r="B1564" i="1"/>
  <c r="C1564" i="1" s="1"/>
  <c r="B1506" i="1"/>
  <c r="C1506" i="1" s="1"/>
  <c r="B1454" i="1"/>
  <c r="C1454" i="1" s="1"/>
  <c r="B1400" i="1"/>
  <c r="C1400" i="1" s="1"/>
  <c r="B1274" i="1"/>
  <c r="C1274" i="1" s="1"/>
  <c r="B1114" i="1"/>
  <c r="C1114" i="1" s="1"/>
  <c r="B954" i="1"/>
  <c r="C954" i="1" s="1"/>
  <c r="B661" i="1"/>
  <c r="C661" i="1" s="1"/>
  <c r="B2203" i="1"/>
  <c r="C2203" i="1" s="1"/>
  <c r="B2043" i="1"/>
  <c r="C2043" i="1" s="1"/>
  <c r="B3000" i="1"/>
  <c r="C3000" i="1" s="1"/>
  <c r="B2960" i="1"/>
  <c r="C2960" i="1" s="1"/>
  <c r="B2920" i="1"/>
  <c r="C2920" i="1" s="1"/>
  <c r="B2872" i="1"/>
  <c r="C2872" i="1" s="1"/>
  <c r="B2832" i="1"/>
  <c r="C2832" i="1" s="1"/>
  <c r="B2792" i="1"/>
  <c r="C2792" i="1" s="1"/>
  <c r="B2744" i="1"/>
  <c r="C2744" i="1" s="1"/>
  <c r="B2704" i="1"/>
  <c r="C2704" i="1" s="1"/>
  <c r="B2664" i="1"/>
  <c r="C2664" i="1" s="1"/>
  <c r="B2616" i="1"/>
  <c r="C2616" i="1" s="1"/>
  <c r="B2489" i="1"/>
  <c r="C2489" i="1" s="1"/>
  <c r="B2329" i="1"/>
  <c r="C2329" i="1" s="1"/>
  <c r="B2137" i="1"/>
  <c r="C2137" i="1" s="1"/>
  <c r="B1977" i="1"/>
  <c r="C1977" i="1" s="1"/>
  <c r="B2590" i="1"/>
  <c r="C2590" i="1" s="1"/>
  <c r="B2542" i="1"/>
  <c r="C2542" i="1" s="1"/>
  <c r="B2494" i="1"/>
  <c r="C2494" i="1" s="1"/>
  <c r="B2438" i="1"/>
  <c r="C2438" i="1" s="1"/>
  <c r="B2382" i="1"/>
  <c r="C2382" i="1" s="1"/>
  <c r="B2318" i="1"/>
  <c r="C2318" i="1" s="1"/>
  <c r="B2270" i="1"/>
  <c r="C2270" i="1" s="1"/>
  <c r="B2214" i="1"/>
  <c r="C2214" i="1" s="1"/>
  <c r="B2150" i="1"/>
  <c r="C2150" i="1" s="1"/>
  <c r="B2094" i="1"/>
  <c r="C2094" i="1" s="1"/>
  <c r="B2046" i="1"/>
  <c r="C2046" i="1" s="1"/>
  <c r="B1982" i="1"/>
  <c r="C1982" i="1" s="1"/>
  <c r="D1983" i="1" s="1"/>
  <c r="B1926" i="1"/>
  <c r="C1926" i="1" s="1"/>
  <c r="B1870" i="1"/>
  <c r="C1870" i="1" s="1"/>
  <c r="B1806" i="1"/>
  <c r="C1806" i="1" s="1"/>
  <c r="B1758" i="1"/>
  <c r="C1758" i="1" s="1"/>
  <c r="D1758" i="1" s="1"/>
  <c r="B1702" i="1"/>
  <c r="C1702" i="1" s="1"/>
  <c r="B1638" i="1"/>
  <c r="C1638" i="1" s="1"/>
  <c r="B1558" i="1"/>
  <c r="C1558" i="1" s="1"/>
  <c r="B1478" i="1"/>
  <c r="C1478" i="1" s="1"/>
  <c r="B1370" i="1"/>
  <c r="C1370" i="1" s="1"/>
  <c r="B1058" i="1"/>
  <c r="C1058" i="1" s="1"/>
  <c r="B2794" i="1"/>
  <c r="C2794" i="1" s="1"/>
  <c r="B2674" i="1"/>
  <c r="C2674" i="1" s="1"/>
  <c r="B2529" i="1"/>
  <c r="C2529" i="1" s="1"/>
  <c r="B2145" i="1"/>
  <c r="C2145" i="1" s="1"/>
  <c r="B2560" i="1"/>
  <c r="C2560" i="1" s="1"/>
  <c r="B2464" i="1"/>
  <c r="C2464" i="1" s="1"/>
  <c r="B2344" i="1"/>
  <c r="C2344" i="1" s="1"/>
  <c r="B2144" i="1"/>
  <c r="C2144" i="1" s="1"/>
  <c r="B1976" i="1"/>
  <c r="C1976" i="1" s="1"/>
  <c r="B1808" i="1"/>
  <c r="C1808" i="1" s="1"/>
  <c r="B1534" i="1"/>
  <c r="C1534" i="1" s="1"/>
  <c r="B613" i="1"/>
  <c r="C613" i="1" s="1"/>
  <c r="B1077" i="1"/>
  <c r="C1077" i="1" s="1"/>
  <c r="B843" i="1"/>
  <c r="C843" i="1" s="1"/>
  <c r="B1142" i="1"/>
  <c r="C1142" i="1" s="1"/>
  <c r="B1200" i="1"/>
  <c r="C1200" i="1" s="1"/>
  <c r="B166" i="1"/>
  <c r="C166" i="1" s="1"/>
  <c r="B2502" i="1"/>
  <c r="C2502" i="1" s="1"/>
  <c r="B2462" i="1"/>
  <c r="C2462" i="1" s="1"/>
  <c r="D2462" i="1" s="1"/>
  <c r="B2414" i="1"/>
  <c r="C2414" i="1" s="1"/>
  <c r="B2374" i="1"/>
  <c r="C2374" i="1" s="1"/>
  <c r="B2334" i="1"/>
  <c r="C2334" i="1" s="1"/>
  <c r="B2286" i="1"/>
  <c r="C2286" i="1" s="1"/>
  <c r="B2246" i="1"/>
  <c r="C2246" i="1" s="1"/>
  <c r="B2206" i="1"/>
  <c r="C2206" i="1" s="1"/>
  <c r="B2158" i="1"/>
  <c r="C2158" i="1" s="1"/>
  <c r="B2118" i="1"/>
  <c r="C2118" i="1" s="1"/>
  <c r="B2078" i="1"/>
  <c r="C2078" i="1" s="1"/>
  <c r="B2030" i="1"/>
  <c r="C2030" i="1" s="1"/>
  <c r="B1990" i="1"/>
  <c r="C1990" i="1" s="1"/>
  <c r="B1950" i="1"/>
  <c r="C1950" i="1" s="1"/>
  <c r="B1902" i="1"/>
  <c r="C1902" i="1" s="1"/>
  <c r="B1862" i="1"/>
  <c r="C1862" i="1" s="1"/>
  <c r="B1822" i="1"/>
  <c r="C1822" i="1" s="1"/>
  <c r="B1774" i="1"/>
  <c r="C1774" i="1" s="1"/>
  <c r="B1734" i="1"/>
  <c r="C1734" i="1" s="1"/>
  <c r="B1694" i="1"/>
  <c r="C1694" i="1" s="1"/>
  <c r="B1646" i="1"/>
  <c r="C1646" i="1" s="1"/>
  <c r="B1590" i="1"/>
  <c r="C1590" i="1" s="1"/>
  <c r="B1542" i="1"/>
  <c r="C1542" i="1" s="1"/>
  <c r="B1456" i="1"/>
  <c r="C1456" i="1" s="1"/>
  <c r="B1382" i="1"/>
  <c r="C1382" i="1" s="1"/>
  <c r="B1186" i="1"/>
  <c r="C1186" i="1" s="1"/>
  <c r="B898" i="1"/>
  <c r="C898" i="1" s="1"/>
  <c r="B2778" i="1"/>
  <c r="C2778" i="1" s="1"/>
  <c r="B2706" i="1"/>
  <c r="C2706" i="1" s="1"/>
  <c r="B2618" i="1"/>
  <c r="C2618" i="1" s="1"/>
  <c r="B2369" i="1"/>
  <c r="C2369" i="1" s="1"/>
  <c r="B2113" i="1"/>
  <c r="C2113" i="1" s="1"/>
  <c r="B2576" i="1"/>
  <c r="C2576" i="1" s="1"/>
  <c r="B2504" i="1"/>
  <c r="C2504" i="1" s="1"/>
  <c r="B2416" i="1"/>
  <c r="C2416" i="1" s="1"/>
  <c r="B2296" i="1"/>
  <c r="C2296" i="1" s="1"/>
  <c r="B2176" i="1"/>
  <c r="C2176" i="1" s="1"/>
  <c r="B2048" i="1"/>
  <c r="C2048" i="1" s="1"/>
  <c r="D2048" i="1" s="1"/>
  <c r="B1888" i="1"/>
  <c r="C1888" i="1" s="1"/>
  <c r="B1760" i="1"/>
  <c r="C1760" i="1" s="1"/>
  <c r="B1624" i="1"/>
  <c r="C1624" i="1" s="1"/>
  <c r="B1226" i="1"/>
  <c r="C1226" i="1" s="1"/>
  <c r="B455" i="1"/>
  <c r="C455" i="1" s="1"/>
  <c r="B432" i="1"/>
  <c r="C432" i="1" s="1"/>
  <c r="B488" i="1"/>
  <c r="C488" i="1" s="1"/>
  <c r="B793" i="1"/>
  <c r="C793" i="1" s="1"/>
  <c r="B462" i="1"/>
  <c r="C462" i="1" s="1"/>
  <c r="B1865" i="1"/>
  <c r="C1865" i="1" s="1"/>
  <c r="B1451" i="1"/>
  <c r="C1451" i="1" s="1"/>
  <c r="B1620" i="1"/>
  <c r="C1620" i="1" s="1"/>
  <c r="B1588" i="1"/>
  <c r="C1588" i="1" s="1"/>
  <c r="B1556" i="1"/>
  <c r="C1556" i="1" s="1"/>
  <c r="B1518" i="1"/>
  <c r="C1518" i="1" s="1"/>
  <c r="B1474" i="1"/>
  <c r="C1474" i="1" s="1"/>
  <c r="B1432" i="1"/>
  <c r="C1432" i="1" s="1"/>
  <c r="B1390" i="1"/>
  <c r="C1390" i="1" s="1"/>
  <c r="B1306" i="1"/>
  <c r="C1306" i="1" s="1"/>
  <c r="B1178" i="1"/>
  <c r="C1178" i="1" s="1"/>
  <c r="B1050" i="1"/>
  <c r="C1050" i="1" s="1"/>
  <c r="B922" i="1"/>
  <c r="C922" i="1" s="1"/>
  <c r="B725" i="1"/>
  <c r="C725" i="1" s="1"/>
  <c r="B2267" i="1"/>
  <c r="C2267" i="1" s="1"/>
  <c r="B2139" i="1"/>
  <c r="C2139" i="1" s="1"/>
  <c r="B2011" i="1"/>
  <c r="C2011" i="1" s="1"/>
  <c r="B1883" i="1"/>
  <c r="C1883" i="1" s="1"/>
  <c r="B2976" i="1"/>
  <c r="C2976" i="1" s="1"/>
  <c r="B2944" i="1"/>
  <c r="C2944" i="1" s="1"/>
  <c r="B2912" i="1"/>
  <c r="C2912" i="1" s="1"/>
  <c r="B2880" i="1"/>
  <c r="C2880" i="1" s="1"/>
  <c r="B2848" i="1"/>
  <c r="C2848" i="1" s="1"/>
  <c r="B2816" i="1"/>
  <c r="C2816" i="1" s="1"/>
  <c r="B2784" i="1"/>
  <c r="C2784" i="1" s="1"/>
  <c r="B2752" i="1"/>
  <c r="C2752" i="1" s="1"/>
  <c r="B2720" i="1"/>
  <c r="C2720" i="1" s="1"/>
  <c r="B2688" i="1"/>
  <c r="C2688" i="1" s="1"/>
  <c r="B2656" i="1"/>
  <c r="C2656" i="1" s="1"/>
  <c r="D2657" i="1" s="1"/>
  <c r="B2624" i="1"/>
  <c r="C2624" i="1" s="1"/>
  <c r="B2553" i="1"/>
  <c r="C2553" i="1" s="1"/>
  <c r="B2425" i="1"/>
  <c r="C2425" i="1" s="1"/>
  <c r="B2297" i="1"/>
  <c r="C2297" i="1" s="1"/>
  <c r="D2298" i="1" s="1"/>
  <c r="B2169" i="1"/>
  <c r="C2169" i="1" s="1"/>
  <c r="B2041" i="1"/>
  <c r="C2041" i="1" s="1"/>
  <c r="B1913" i="1"/>
  <c r="C1913" i="1" s="1"/>
  <c r="B2582" i="1"/>
  <c r="C2582" i="1" s="1"/>
  <c r="D2582" i="1" s="1"/>
  <c r="B2550" i="1"/>
  <c r="C2550" i="1" s="1"/>
  <c r="B2518" i="1"/>
  <c r="C2518" i="1" s="1"/>
  <c r="D2518" i="1" s="1"/>
  <c r="B2486" i="1"/>
  <c r="C2486" i="1" s="1"/>
  <c r="B2454" i="1"/>
  <c r="C2454" i="1" s="1"/>
  <c r="D2454" i="1" s="1"/>
  <c r="B2422" i="1"/>
  <c r="C2422" i="1" s="1"/>
  <c r="B2390" i="1"/>
  <c r="C2390" i="1" s="1"/>
  <c r="B2358" i="1"/>
  <c r="C2358" i="1" s="1"/>
  <c r="B2326" i="1"/>
  <c r="C2326" i="1" s="1"/>
  <c r="B2294" i="1"/>
  <c r="C2294" i="1" s="1"/>
  <c r="B2262" i="1"/>
  <c r="C2262" i="1" s="1"/>
  <c r="B2230" i="1"/>
  <c r="C2230" i="1" s="1"/>
  <c r="B2198" i="1"/>
  <c r="C2198" i="1" s="1"/>
  <c r="B2166" i="1"/>
  <c r="C2166" i="1" s="1"/>
  <c r="B2134" i="1"/>
  <c r="C2134" i="1" s="1"/>
  <c r="B2102" i="1"/>
  <c r="C2102" i="1" s="1"/>
  <c r="B2070" i="1"/>
  <c r="C2070" i="1" s="1"/>
  <c r="B2038" i="1"/>
  <c r="C2038" i="1" s="1"/>
  <c r="B2006" i="1"/>
  <c r="C2006" i="1" s="1"/>
  <c r="D2006" i="1" s="1"/>
  <c r="B1974" i="1"/>
  <c r="C1974" i="1" s="1"/>
  <c r="B1942" i="1"/>
  <c r="C1942" i="1" s="1"/>
  <c r="B1910" i="1"/>
  <c r="C1910" i="1" s="1"/>
  <c r="B1878" i="1"/>
  <c r="C1878" i="1" s="1"/>
  <c r="B1846" i="1"/>
  <c r="C1846" i="1" s="1"/>
  <c r="B1814" i="1"/>
  <c r="C1814" i="1" s="1"/>
  <c r="B1782" i="1"/>
  <c r="C1782" i="1" s="1"/>
  <c r="B1750" i="1"/>
  <c r="C1750" i="1" s="1"/>
  <c r="B1718" i="1"/>
  <c r="C1718" i="1" s="1"/>
  <c r="B1686" i="1"/>
  <c r="C1686" i="1" s="1"/>
  <c r="B1654" i="1"/>
  <c r="C1654" i="1" s="1"/>
  <c r="B1614" i="1"/>
  <c r="C1614" i="1" s="1"/>
  <c r="B1574" i="1"/>
  <c r="C1574" i="1" s="1"/>
  <c r="B1520" i="1"/>
  <c r="C1520" i="1" s="1"/>
  <c r="B1466" i="1"/>
  <c r="C1466" i="1" s="1"/>
  <c r="B1414" i="1"/>
  <c r="C1414" i="1" s="1"/>
  <c r="B1314" i="1"/>
  <c r="C1314" i="1" s="1"/>
  <c r="B1154" i="1"/>
  <c r="C1154" i="1" s="1"/>
  <c r="B994" i="1"/>
  <c r="C994" i="1" s="1"/>
  <c r="B2802" i="1"/>
  <c r="C2802" i="1" s="1"/>
  <c r="B2746" i="1"/>
  <c r="C2746" i="1" s="1"/>
  <c r="B2698" i="1"/>
  <c r="C2698" i="1" s="1"/>
  <c r="D2699" i="1" s="1"/>
  <c r="B2634" i="1"/>
  <c r="C2634" i="1" s="1"/>
  <c r="B2497" i="1"/>
  <c r="C2497" i="1" s="1"/>
  <c r="B2273" i="1"/>
  <c r="C2273" i="1" s="1"/>
  <c r="B2017" i="1"/>
  <c r="C2017" i="1" s="1"/>
  <c r="B2592" i="1"/>
  <c r="C2592" i="1" s="1"/>
  <c r="B2536" i="1"/>
  <c r="C2536" i="1" s="1"/>
  <c r="B2472" i="1"/>
  <c r="C2472" i="1" s="1"/>
  <c r="B2408" i="1"/>
  <c r="C2408" i="1" s="1"/>
  <c r="B2336" i="1"/>
  <c r="C2336" i="1" s="1"/>
  <c r="B2224" i="1"/>
  <c r="C2224" i="1" s="1"/>
  <c r="B2128" i="1"/>
  <c r="C2128" i="1" s="1"/>
  <c r="B2040" i="1"/>
  <c r="C2040" i="1" s="1"/>
  <c r="B1920" i="1"/>
  <c r="C1920" i="1" s="1"/>
  <c r="B1824" i="1"/>
  <c r="C1824" i="1" s="1"/>
  <c r="B1712" i="1"/>
  <c r="C1712" i="1" s="1"/>
  <c r="B1560" i="1"/>
  <c r="C1560" i="1" s="1"/>
  <c r="B1406" i="1"/>
  <c r="C1406" i="1" s="1"/>
  <c r="B838" i="1"/>
  <c r="C838" i="1" s="1"/>
  <c r="B1559" i="1"/>
  <c r="C1559" i="1" s="1"/>
  <c r="B1540" i="1"/>
  <c r="C1540" i="1" s="1"/>
  <c r="B1028" i="1"/>
  <c r="C1028" i="1" s="1"/>
  <c r="B1597" i="1"/>
  <c r="C1597" i="1" s="1"/>
  <c r="B1174" i="1"/>
  <c r="C1174" i="1" s="1"/>
  <c r="B494" i="1"/>
  <c r="C494" i="1" s="1"/>
  <c r="B547" i="1"/>
  <c r="C547" i="1" s="1"/>
  <c r="B1129" i="1"/>
  <c r="C1129" i="1" s="1"/>
  <c r="B38" i="1"/>
  <c r="C38" i="1" s="1"/>
  <c r="B2432" i="1"/>
  <c r="C2432" i="1" s="1"/>
  <c r="B2376" i="1"/>
  <c r="C2376" i="1" s="1"/>
  <c r="B2320" i="1"/>
  <c r="C2320" i="1" s="1"/>
  <c r="B2232" i="1"/>
  <c r="C2232" i="1" s="1"/>
  <c r="B2168" i="1"/>
  <c r="C2168" i="1" s="1"/>
  <c r="B2096" i="1"/>
  <c r="C2096" i="1" s="1"/>
  <c r="B2008" i="1"/>
  <c r="C2008" i="1" s="1"/>
  <c r="B1936" i="1"/>
  <c r="C1936" i="1" s="1"/>
  <c r="B1872" i="1"/>
  <c r="C1872" i="1" s="1"/>
  <c r="B1784" i="1"/>
  <c r="C1784" i="1" s="1"/>
  <c r="B1688" i="1"/>
  <c r="C1688" i="1" s="1"/>
  <c r="B1592" i="1"/>
  <c r="C1592" i="1" s="1"/>
  <c r="B1448" i="1"/>
  <c r="C1448" i="1" s="1"/>
  <c r="B1098" i="1"/>
  <c r="C1098" i="1" s="1"/>
  <c r="B774" i="1"/>
  <c r="C774" i="1" s="1"/>
  <c r="B1659" i="1"/>
  <c r="C1659" i="1" s="1"/>
  <c r="B682" i="1"/>
  <c r="C682" i="1" s="1"/>
  <c r="B1412" i="1"/>
  <c r="C1412" i="1" s="1"/>
  <c r="B808" i="1"/>
  <c r="C808" i="1" s="1"/>
  <c r="B1725" i="1"/>
  <c r="C1725" i="1" s="1"/>
  <c r="B184" i="1"/>
  <c r="C184" i="1" s="1"/>
  <c r="B845" i="1"/>
  <c r="C845" i="1" s="1"/>
  <c r="B1767" i="1"/>
  <c r="C1767" i="1" s="1"/>
  <c r="B1072" i="1"/>
  <c r="C1072" i="1" s="1"/>
  <c r="B538" i="1"/>
  <c r="C538" i="1" s="1"/>
  <c r="B161" i="1"/>
  <c r="C161" i="1" s="1"/>
  <c r="B1063" i="1"/>
  <c r="C1063" i="1" s="1"/>
  <c r="B1630" i="1"/>
  <c r="C1630" i="1" s="1"/>
  <c r="B1598" i="1"/>
  <c r="C1598" i="1" s="1"/>
  <c r="B1566" i="1"/>
  <c r="C1566" i="1" s="1"/>
  <c r="B1530" i="1"/>
  <c r="C1530" i="1" s="1"/>
  <c r="B1488" i="1"/>
  <c r="C1488" i="1" s="1"/>
  <c r="B1446" i="1"/>
  <c r="C1446" i="1" s="1"/>
  <c r="B1402" i="1"/>
  <c r="C1402" i="1" s="1"/>
  <c r="B1346" i="1"/>
  <c r="C1346" i="1" s="1"/>
  <c r="B1218" i="1"/>
  <c r="C1218" i="1" s="1"/>
  <c r="B1090" i="1"/>
  <c r="C1090" i="1" s="1"/>
  <c r="B962" i="1"/>
  <c r="C962" i="1" s="1"/>
  <c r="B677" i="1"/>
  <c r="C677" i="1" s="1"/>
  <c r="B2770" i="1"/>
  <c r="C2770" i="1" s="1"/>
  <c r="B2730" i="1"/>
  <c r="C2730" i="1" s="1"/>
  <c r="B2682" i="1"/>
  <c r="C2682" i="1" s="1"/>
  <c r="B2642" i="1"/>
  <c r="C2642" i="1" s="1"/>
  <c r="B2593" i="1"/>
  <c r="C2593" i="1" s="1"/>
  <c r="B2401" i="1"/>
  <c r="C2401" i="1" s="1"/>
  <c r="B2241" i="1"/>
  <c r="C2241" i="1" s="1"/>
  <c r="B2081" i="1"/>
  <c r="C2081" i="1" s="1"/>
  <c r="B1889" i="1"/>
  <c r="C1889" i="1" s="1"/>
  <c r="B2568" i="1"/>
  <c r="C2568" i="1" s="1"/>
  <c r="B2528" i="1"/>
  <c r="C2528" i="1" s="1"/>
  <c r="B2480" i="1"/>
  <c r="C2480" i="1" s="1"/>
  <c r="B2440" i="1"/>
  <c r="C2440" i="1" s="1"/>
  <c r="B2400" i="1"/>
  <c r="C2400" i="1" s="1"/>
  <c r="B2352" i="1"/>
  <c r="C2352" i="1" s="1"/>
  <c r="B2304" i="1"/>
  <c r="C2304" i="1" s="1"/>
  <c r="B2256" i="1"/>
  <c r="C2256" i="1" s="1"/>
  <c r="B2192" i="1"/>
  <c r="C2192" i="1" s="1"/>
  <c r="B2136" i="1"/>
  <c r="C2136" i="1" s="1"/>
  <c r="B2080" i="1"/>
  <c r="C2080" i="1" s="1"/>
  <c r="B2016" i="1"/>
  <c r="C2016" i="1" s="1"/>
  <c r="B1968" i="1"/>
  <c r="C1968" i="1" s="1"/>
  <c r="B1912" i="1"/>
  <c r="C1912" i="1" s="1"/>
  <c r="B1848" i="1"/>
  <c r="C1848" i="1" s="1"/>
  <c r="B1792" i="1"/>
  <c r="C1792" i="1" s="1"/>
  <c r="B1728" i="1"/>
  <c r="C1728" i="1" s="1"/>
  <c r="B1648" i="1"/>
  <c r="C1648" i="1" s="1"/>
  <c r="B1584" i="1"/>
  <c r="C1584" i="1" s="1"/>
  <c r="B1490" i="1"/>
  <c r="C1490" i="1" s="1"/>
  <c r="B1290" i="1"/>
  <c r="C1290" i="1" s="1"/>
  <c r="B821" i="1"/>
  <c r="C821" i="1" s="1"/>
  <c r="B710" i="1"/>
  <c r="C710" i="1" s="1"/>
  <c r="B1691" i="1"/>
  <c r="C1691" i="1" s="1"/>
  <c r="B1279" i="1"/>
  <c r="C1279" i="1" s="1"/>
  <c r="B48" i="1"/>
  <c r="C48" i="1" s="1"/>
  <c r="B1284" i="1"/>
  <c r="C1284" i="1" s="1"/>
  <c r="B964" i="1"/>
  <c r="C964" i="1" s="1"/>
  <c r="B587" i="1"/>
  <c r="C587" i="1" s="1"/>
  <c r="B1349" i="1"/>
  <c r="C1349" i="1" s="1"/>
  <c r="B56" i="1"/>
  <c r="C56" i="1" s="1"/>
  <c r="B1014" i="1"/>
  <c r="C1014" i="1" s="1"/>
  <c r="B558" i="1"/>
  <c r="C558" i="1" s="1"/>
  <c r="B1159" i="1"/>
  <c r="C1159" i="1" s="1"/>
  <c r="B768" i="1"/>
  <c r="C768" i="1" s="1"/>
  <c r="B633" i="1"/>
  <c r="C633" i="1" s="1"/>
  <c r="B873" i="1"/>
  <c r="C873" i="1" s="1"/>
  <c r="B939" i="1"/>
  <c r="C939" i="1" s="1"/>
  <c r="B162" i="1"/>
  <c r="C162" i="1" s="1"/>
  <c r="B930" i="1"/>
  <c r="C930" i="1" s="1"/>
  <c r="B741" i="1"/>
  <c r="C741" i="1" s="1"/>
  <c r="B2786" i="1"/>
  <c r="C2786" i="1" s="1"/>
  <c r="B2754" i="1"/>
  <c r="C2754" i="1" s="1"/>
  <c r="B2722" i="1"/>
  <c r="C2722" i="1" s="1"/>
  <c r="B2690" i="1"/>
  <c r="C2690" i="1" s="1"/>
  <c r="B2658" i="1"/>
  <c r="C2658" i="1" s="1"/>
  <c r="B2626" i="1"/>
  <c r="C2626" i="1" s="1"/>
  <c r="B2561" i="1"/>
  <c r="C2561" i="1" s="1"/>
  <c r="B2433" i="1"/>
  <c r="C2433" i="1" s="1"/>
  <c r="D2433" i="1" s="1"/>
  <c r="B2305" i="1"/>
  <c r="C2305" i="1" s="1"/>
  <c r="B2177" i="1"/>
  <c r="C2177" i="1" s="1"/>
  <c r="B2049" i="1"/>
  <c r="C2049" i="1" s="1"/>
  <c r="B1921" i="1"/>
  <c r="C1921" i="1" s="1"/>
  <c r="B2584" i="1"/>
  <c r="C2584" i="1" s="1"/>
  <c r="B2552" i="1"/>
  <c r="C2552" i="1" s="1"/>
  <c r="B2520" i="1"/>
  <c r="C2520" i="1" s="1"/>
  <c r="B2488" i="1"/>
  <c r="C2488" i="1" s="1"/>
  <c r="B2456" i="1"/>
  <c r="C2456" i="1" s="1"/>
  <c r="B2424" i="1"/>
  <c r="C2424" i="1" s="1"/>
  <c r="B2392" i="1"/>
  <c r="C2392" i="1" s="1"/>
  <c r="B2360" i="1"/>
  <c r="C2360" i="1" s="1"/>
  <c r="B2328" i="1"/>
  <c r="C2328" i="1" s="1"/>
  <c r="B2288" i="1"/>
  <c r="C2288" i="1" s="1"/>
  <c r="B2240" i="1"/>
  <c r="C2240" i="1" s="1"/>
  <c r="B2200" i="1"/>
  <c r="C2200" i="1" s="1"/>
  <c r="B2160" i="1"/>
  <c r="C2160" i="1" s="1"/>
  <c r="B2112" i="1"/>
  <c r="C2112" i="1" s="1"/>
  <c r="B2072" i="1"/>
  <c r="C2072" i="1" s="1"/>
  <c r="B2032" i="1"/>
  <c r="C2032" i="1" s="1"/>
  <c r="B1984" i="1"/>
  <c r="C1984" i="1" s="1"/>
  <c r="B1944" i="1"/>
  <c r="C1944" i="1" s="1"/>
  <c r="B1904" i="1"/>
  <c r="C1904" i="1" s="1"/>
  <c r="B1856" i="1"/>
  <c r="C1856" i="1" s="1"/>
  <c r="B1816" i="1"/>
  <c r="C1816" i="1" s="1"/>
  <c r="B1776" i="1"/>
  <c r="C1776" i="1" s="1"/>
  <c r="B1720" i="1"/>
  <c r="C1720" i="1" s="1"/>
  <c r="B1664" i="1"/>
  <c r="C1664" i="1" s="1"/>
  <c r="B1600" i="1"/>
  <c r="C1600" i="1" s="1"/>
  <c r="B1552" i="1"/>
  <c r="C1552" i="1" s="1"/>
  <c r="B1480" i="1"/>
  <c r="C1480" i="1" s="1"/>
  <c r="B1354" i="1"/>
  <c r="C1354" i="1" s="1"/>
  <c r="B1034" i="1"/>
  <c r="C1034" i="1" s="1"/>
  <c r="B549" i="1"/>
  <c r="C549" i="1" s="1"/>
  <c r="B582" i="1"/>
  <c r="C582" i="1" s="1"/>
  <c r="B1787" i="1"/>
  <c r="C1787" i="1" s="1"/>
  <c r="B1517" i="1"/>
  <c r="C1517" i="1" s="1"/>
  <c r="B949" i="1"/>
  <c r="C949" i="1" s="1"/>
  <c r="B365" i="1"/>
  <c r="C365" i="1" s="1"/>
  <c r="B1380" i="1"/>
  <c r="C1380" i="1" s="1"/>
  <c r="B1124" i="1"/>
  <c r="C1124" i="1" s="1"/>
  <c r="B744" i="1"/>
  <c r="C744" i="1" s="1"/>
  <c r="B459" i="1"/>
  <c r="C459" i="1" s="1"/>
  <c r="B1563" i="1"/>
  <c r="C1563" i="1" s="1"/>
  <c r="B537" i="1"/>
  <c r="C537" i="1" s="1"/>
  <c r="B1302" i="1"/>
  <c r="C1302" i="1" s="1"/>
  <c r="B982" i="1"/>
  <c r="C982" i="1" s="1"/>
  <c r="B814" i="1"/>
  <c r="C814" i="1" s="1"/>
  <c r="B1663" i="1"/>
  <c r="C1663" i="1" s="1"/>
  <c r="B381" i="1"/>
  <c r="C381" i="1" s="1"/>
  <c r="B640" i="1"/>
  <c r="C640" i="1" s="1"/>
  <c r="B1437" i="1"/>
  <c r="C1437" i="1" s="1"/>
  <c r="B1481" i="1"/>
  <c r="C1481" i="1" s="1"/>
  <c r="B228" i="1"/>
  <c r="C228" i="1" s="1"/>
  <c r="B500" i="1"/>
  <c r="C500" i="1" s="1"/>
  <c r="B935" i="1"/>
  <c r="C935" i="1" s="1"/>
  <c r="B418" i="1"/>
  <c r="C418" i="1" s="1"/>
  <c r="B1744" i="1"/>
  <c r="C1744" i="1" s="1"/>
  <c r="B1696" i="1"/>
  <c r="C1696" i="1" s="1"/>
  <c r="B1656" i="1"/>
  <c r="C1656" i="1" s="1"/>
  <c r="B1616" i="1"/>
  <c r="C1616" i="1" s="1"/>
  <c r="B1568" i="1"/>
  <c r="C1568" i="1" s="1"/>
  <c r="B1522" i="1"/>
  <c r="C1522" i="1" s="1"/>
  <c r="B1470" i="1"/>
  <c r="C1470" i="1" s="1"/>
  <c r="B1384" i="1"/>
  <c r="C1384" i="1" s="1"/>
  <c r="B1162" i="1"/>
  <c r="C1162" i="1" s="1"/>
  <c r="B906" i="1"/>
  <c r="C906" i="1" s="1"/>
  <c r="B485" i="1"/>
  <c r="C485" i="1" s="1"/>
  <c r="B646" i="1"/>
  <c r="C646" i="1" s="1"/>
  <c r="B1851" i="1"/>
  <c r="C1851" i="1" s="1"/>
  <c r="B1723" i="1"/>
  <c r="C1723" i="1" s="1"/>
  <c r="B1595" i="1"/>
  <c r="C1595" i="1" s="1"/>
  <c r="B1407" i="1"/>
  <c r="C1407" i="1" s="1"/>
  <c r="B1151" i="1"/>
  <c r="C1151" i="1" s="1"/>
  <c r="B521" i="1"/>
  <c r="C521" i="1" s="1"/>
  <c r="B176" i="1"/>
  <c r="C176" i="1" s="1"/>
  <c r="B109" i="1"/>
  <c r="C109" i="1" s="1"/>
  <c r="B1444" i="1"/>
  <c r="C1444" i="1" s="1"/>
  <c r="B1316" i="1"/>
  <c r="C1316" i="1" s="1"/>
  <c r="B1188" i="1"/>
  <c r="C1188" i="1" s="1"/>
  <c r="B1060" i="1"/>
  <c r="C1060" i="1" s="1"/>
  <c r="B900" i="1"/>
  <c r="C900" i="1" s="1"/>
  <c r="B552" i="1"/>
  <c r="C552" i="1" s="1"/>
  <c r="B651" i="1"/>
  <c r="C651" i="1" s="1"/>
  <c r="B1821" i="1"/>
  <c r="C1821" i="1" s="1"/>
  <c r="D1822" i="1" s="1"/>
  <c r="B1629" i="1"/>
  <c r="C1629" i="1" s="1"/>
  <c r="B1413" i="1"/>
  <c r="C1413" i="1" s="1"/>
  <c r="B1085" i="1"/>
  <c r="C1085" i="1" s="1"/>
  <c r="B312" i="1"/>
  <c r="C312" i="1" s="1"/>
  <c r="B117" i="1"/>
  <c r="C117" i="1" s="1"/>
  <c r="B1238" i="1"/>
  <c r="C1238" i="1" s="1"/>
  <c r="B1046" i="1"/>
  <c r="C1046" i="1" s="1"/>
  <c r="B886" i="1"/>
  <c r="C886" i="1" s="1"/>
  <c r="B589" i="1"/>
  <c r="C589" i="1" s="1"/>
  <c r="B622" i="1"/>
  <c r="C622" i="1" s="1"/>
  <c r="B1807" i="1"/>
  <c r="C1807" i="1" s="1"/>
  <c r="B1523" i="1"/>
  <c r="C1523" i="1" s="1"/>
  <c r="B457" i="1"/>
  <c r="C457" i="1" s="1"/>
  <c r="B1264" i="1"/>
  <c r="C1264" i="1" s="1"/>
  <c r="B944" i="1"/>
  <c r="C944" i="1" s="1"/>
  <c r="B675" i="1"/>
  <c r="C675" i="1" s="1"/>
  <c r="B1673" i="1"/>
  <c r="C1673" i="1" s="1"/>
  <c r="B1181" i="1"/>
  <c r="C1181" i="1" s="1"/>
  <c r="B165" i="1"/>
  <c r="C165" i="1" s="1"/>
  <c r="B1257" i="1"/>
  <c r="C1257" i="1" s="1"/>
  <c r="B786" i="1"/>
  <c r="C786" i="1" s="1"/>
  <c r="B289" i="1"/>
  <c r="C289" i="1" s="1"/>
  <c r="B1067" i="1"/>
  <c r="C1067" i="1" s="1"/>
  <c r="B422" i="1"/>
  <c r="C422" i="1" s="1"/>
  <c r="B99" i="1"/>
  <c r="C99" i="1" s="1"/>
  <c r="B655" i="1"/>
  <c r="C655" i="1" s="1"/>
  <c r="B351" i="1"/>
  <c r="C351" i="1" s="1"/>
  <c r="B1755" i="1"/>
  <c r="C1755" i="1" s="1"/>
  <c r="B1627" i="1"/>
  <c r="C1627" i="1" s="1"/>
  <c r="B1471" i="1"/>
  <c r="C1471" i="1" s="1"/>
  <c r="B1215" i="1"/>
  <c r="C1215" i="1" s="1"/>
  <c r="B777" i="1"/>
  <c r="C777" i="1" s="1"/>
  <c r="B304" i="1"/>
  <c r="C304" i="1" s="1"/>
  <c r="B237" i="1"/>
  <c r="C237" i="1" s="1"/>
  <c r="B1476" i="1"/>
  <c r="C1476" i="1" s="1"/>
  <c r="B1348" i="1"/>
  <c r="C1348" i="1" s="1"/>
  <c r="B1220" i="1"/>
  <c r="C1220" i="1" s="1"/>
  <c r="B1092" i="1"/>
  <c r="C1092" i="1" s="1"/>
  <c r="B932" i="1"/>
  <c r="C932" i="1" s="1"/>
  <c r="B680" i="1"/>
  <c r="C680" i="1" s="1"/>
  <c r="B715" i="1"/>
  <c r="C715" i="1" s="1"/>
  <c r="B1853" i="1"/>
  <c r="C1853" i="1" s="1"/>
  <c r="B1693" i="1"/>
  <c r="C1693" i="1" s="1"/>
  <c r="B1477" i="1"/>
  <c r="C1477" i="1" s="1"/>
  <c r="B1157" i="1"/>
  <c r="C1157" i="1" s="1"/>
  <c r="B698" i="1"/>
  <c r="C698" i="1" s="1"/>
  <c r="B245" i="1"/>
  <c r="C245" i="1" s="1"/>
  <c r="B1270" i="1"/>
  <c r="C1270" i="1" s="1"/>
  <c r="B1110" i="1"/>
  <c r="C1110" i="1" s="1"/>
  <c r="B918" i="1"/>
  <c r="C918" i="1" s="1"/>
  <c r="B653" i="1"/>
  <c r="C653" i="1" s="1"/>
  <c r="B750" i="1"/>
  <c r="C750" i="1" s="1"/>
  <c r="B1839" i="1"/>
  <c r="C1839" i="1" s="1"/>
  <c r="B1599" i="1"/>
  <c r="C1599" i="1" s="1"/>
  <c r="B965" i="1"/>
  <c r="C965" i="1" s="1"/>
  <c r="B1328" i="1"/>
  <c r="C1328" i="1" s="1"/>
  <c r="B1008" i="1"/>
  <c r="C1008" i="1" s="1"/>
  <c r="B512" i="1"/>
  <c r="C512" i="1" s="1"/>
  <c r="B1737" i="1"/>
  <c r="C1737" i="1" s="1"/>
  <c r="B1309" i="1"/>
  <c r="C1309" i="1" s="1"/>
  <c r="B232" i="1"/>
  <c r="C232" i="1" s="1"/>
  <c r="B1353" i="1"/>
  <c r="C1353" i="1" s="1"/>
  <c r="B625" i="1"/>
  <c r="C625" i="1" s="1"/>
  <c r="B100" i="1"/>
  <c r="C100" i="1" s="1"/>
  <c r="B1195" i="1"/>
  <c r="C1195" i="1" s="1"/>
  <c r="B663" i="1"/>
  <c r="C663" i="1" s="1"/>
  <c r="B355" i="1"/>
  <c r="C355" i="1" s="1"/>
  <c r="B492" i="1"/>
  <c r="C492" i="1" s="1"/>
  <c r="B34" i="1"/>
  <c r="C34" i="1" s="1"/>
  <c r="B996" i="1"/>
  <c r="C996" i="1" s="1"/>
  <c r="B868" i="1"/>
  <c r="C868" i="1" s="1"/>
  <c r="B616" i="1"/>
  <c r="C616" i="1" s="1"/>
  <c r="B779" i="1"/>
  <c r="C779" i="1" s="1"/>
  <c r="B523" i="1"/>
  <c r="C523" i="1" s="1"/>
  <c r="B1789" i="1"/>
  <c r="C1789" i="1" s="1"/>
  <c r="B1661" i="1"/>
  <c r="C1661" i="1" s="1"/>
  <c r="B1519" i="1"/>
  <c r="C1519" i="1" s="1"/>
  <c r="B1285" i="1"/>
  <c r="C1285" i="1" s="1"/>
  <c r="B957" i="1"/>
  <c r="C957" i="1" s="1"/>
  <c r="B440" i="1"/>
  <c r="C440" i="1" s="1"/>
  <c r="B373" i="1"/>
  <c r="C373" i="1" s="1"/>
  <c r="B1334" i="1"/>
  <c r="C1334" i="1" s="1"/>
  <c r="B1206" i="1"/>
  <c r="C1206" i="1" s="1"/>
  <c r="B1078" i="1"/>
  <c r="C1078" i="1" s="1"/>
  <c r="B950" i="1"/>
  <c r="C950" i="1" s="1"/>
  <c r="D950" i="1" s="1"/>
  <c r="B781" i="1"/>
  <c r="C781" i="1" s="1"/>
  <c r="B525" i="1"/>
  <c r="C525" i="1" s="1"/>
  <c r="B686" i="1"/>
  <c r="C686" i="1" s="1"/>
  <c r="B1871" i="1"/>
  <c r="C1871" i="1" s="1"/>
  <c r="B1727" i="1"/>
  <c r="C1727" i="1" s="1"/>
  <c r="B1415" i="1"/>
  <c r="C1415" i="1" s="1"/>
  <c r="B553" i="1"/>
  <c r="C553" i="1" s="1"/>
  <c r="B125" i="1"/>
  <c r="C125" i="1" s="1"/>
  <c r="B1136" i="1"/>
  <c r="C1136" i="1" s="1"/>
  <c r="B880" i="1"/>
  <c r="C880" i="1" s="1"/>
  <c r="B803" i="1"/>
  <c r="C803" i="1" s="1"/>
  <c r="B1801" i="1"/>
  <c r="C1801" i="1" s="1"/>
  <c r="B1535" i="1"/>
  <c r="C1535" i="1" s="1"/>
  <c r="B1005" i="1"/>
  <c r="C1005" i="1" s="1"/>
  <c r="B421" i="1"/>
  <c r="C421" i="1" s="1"/>
  <c r="B1417" i="1"/>
  <c r="C1417" i="1" s="1"/>
  <c r="B1001" i="1"/>
  <c r="C1001" i="1" s="1"/>
  <c r="B530" i="1"/>
  <c r="C530" i="1" s="1"/>
  <c r="B417" i="1"/>
  <c r="C417" i="1" s="1"/>
  <c r="B1323" i="1"/>
  <c r="C1323" i="1" s="1"/>
  <c r="B756" i="1"/>
  <c r="C756" i="1" s="1"/>
  <c r="B294" i="1"/>
  <c r="C294" i="1" s="1"/>
  <c r="B227" i="1"/>
  <c r="C227" i="1" s="1"/>
  <c r="B748" i="1"/>
  <c r="C748" i="1" s="1"/>
  <c r="B290" i="1"/>
  <c r="C290" i="1" s="1"/>
  <c r="K18" i="51"/>
  <c r="P18" i="51" s="1"/>
  <c r="U18" i="51" s="1"/>
  <c r="Z18" i="51" s="1"/>
  <c r="V53" i="70"/>
  <c r="V47" i="70"/>
  <c r="B9" i="1"/>
  <c r="C9" i="1" s="1"/>
  <c r="B23" i="1"/>
  <c r="C23" i="1" s="1"/>
  <c r="B55" i="1"/>
  <c r="C55" i="1" s="1"/>
  <c r="B87" i="1"/>
  <c r="C87" i="1" s="1"/>
  <c r="B119" i="1"/>
  <c r="C119" i="1" s="1"/>
  <c r="B151" i="1"/>
  <c r="C151" i="1" s="1"/>
  <c r="B183" i="1"/>
  <c r="C183" i="1" s="1"/>
  <c r="B215" i="1"/>
  <c r="C215" i="1" s="1"/>
  <c r="B247" i="1"/>
  <c r="C247" i="1" s="1"/>
  <c r="B279" i="1"/>
  <c r="C279" i="1" s="1"/>
  <c r="B311" i="1"/>
  <c r="C311" i="1" s="1"/>
  <c r="B343" i="1"/>
  <c r="C343" i="1" s="1"/>
  <c r="B375" i="1"/>
  <c r="C375" i="1" s="1"/>
  <c r="B407" i="1"/>
  <c r="C407" i="1" s="1"/>
  <c r="B439" i="1"/>
  <c r="C439" i="1" s="1"/>
  <c r="B26" i="1"/>
  <c r="C26" i="1" s="1"/>
  <c r="B58" i="1"/>
  <c r="C58" i="1" s="1"/>
  <c r="B90" i="1"/>
  <c r="C90" i="1" s="1"/>
  <c r="B122" i="1"/>
  <c r="C122" i="1" s="1"/>
  <c r="B154" i="1"/>
  <c r="C154" i="1" s="1"/>
  <c r="B186" i="1"/>
  <c r="C186" i="1" s="1"/>
  <c r="B218" i="1"/>
  <c r="C218" i="1" s="1"/>
  <c r="B250" i="1"/>
  <c r="C250" i="1" s="1"/>
  <c r="B282" i="1"/>
  <c r="C282" i="1" s="1"/>
  <c r="B314" i="1"/>
  <c r="C314" i="1" s="1"/>
  <c r="B346" i="1"/>
  <c r="C346" i="1" s="1"/>
  <c r="B378" i="1"/>
  <c r="C378" i="1" s="1"/>
  <c r="B410" i="1"/>
  <c r="C410" i="1" s="1"/>
  <c r="B442" i="1"/>
  <c r="C442" i="1" s="1"/>
  <c r="B511" i="1"/>
  <c r="C511" i="1" s="1"/>
  <c r="B575" i="1"/>
  <c r="C575" i="1" s="1"/>
  <c r="B639" i="1"/>
  <c r="C639" i="1" s="1"/>
  <c r="B703" i="1"/>
  <c r="C703" i="1" s="1"/>
  <c r="B767" i="1"/>
  <c r="C767" i="1" s="1"/>
  <c r="B831" i="1"/>
  <c r="C831" i="1" s="1"/>
  <c r="B476" i="1"/>
  <c r="C476" i="1" s="1"/>
  <c r="B540" i="1"/>
  <c r="C540" i="1" s="1"/>
  <c r="B604" i="1"/>
  <c r="C604" i="1" s="1"/>
  <c r="B668" i="1"/>
  <c r="C668" i="1" s="1"/>
  <c r="B732" i="1"/>
  <c r="C732" i="1" s="1"/>
  <c r="B796" i="1"/>
  <c r="C796" i="1" s="1"/>
  <c r="B860" i="1"/>
  <c r="C860" i="1" s="1"/>
  <c r="B895" i="1"/>
  <c r="C895" i="1" s="1"/>
  <c r="B927" i="1"/>
  <c r="C927" i="1" s="1"/>
  <c r="B959" i="1"/>
  <c r="C959" i="1" s="1"/>
  <c r="B991" i="1"/>
  <c r="C991" i="1" s="1"/>
  <c r="B1023" i="1"/>
  <c r="C1023" i="1" s="1"/>
  <c r="B1055" i="1"/>
  <c r="C1055" i="1" s="1"/>
  <c r="B1087" i="1"/>
  <c r="C1087" i="1" s="1"/>
  <c r="B27" i="1"/>
  <c r="C27" i="1" s="1"/>
  <c r="B59" i="1"/>
  <c r="C59" i="1" s="1"/>
  <c r="B91" i="1"/>
  <c r="C91" i="1" s="1"/>
  <c r="B123" i="1"/>
  <c r="C123" i="1" s="1"/>
  <c r="B155" i="1"/>
  <c r="C155" i="1" s="1"/>
  <c r="B187" i="1"/>
  <c r="C187" i="1" s="1"/>
  <c r="B219" i="1"/>
  <c r="C219" i="1" s="1"/>
  <c r="B251" i="1"/>
  <c r="C251" i="1" s="1"/>
  <c r="B283" i="1"/>
  <c r="C283" i="1" s="1"/>
  <c r="B315" i="1"/>
  <c r="C315" i="1" s="1"/>
  <c r="B347" i="1"/>
  <c r="C347" i="1" s="1"/>
  <c r="B379" i="1"/>
  <c r="C379" i="1" s="1"/>
  <c r="B411" i="1"/>
  <c r="C411" i="1" s="1"/>
  <c r="B443" i="1"/>
  <c r="C443" i="1" s="1"/>
  <c r="B30" i="1"/>
  <c r="C30" i="1" s="1"/>
  <c r="B62" i="1"/>
  <c r="C62" i="1" s="1"/>
  <c r="B94" i="1"/>
  <c r="C94" i="1" s="1"/>
  <c r="B126" i="1"/>
  <c r="C126" i="1" s="1"/>
  <c r="B158" i="1"/>
  <c r="C158" i="1" s="1"/>
  <c r="B190" i="1"/>
  <c r="C190" i="1" s="1"/>
  <c r="B222" i="1"/>
  <c r="C222" i="1" s="1"/>
  <c r="B254" i="1"/>
  <c r="C254" i="1" s="1"/>
  <c r="B286" i="1"/>
  <c r="C286" i="1" s="1"/>
  <c r="B318" i="1"/>
  <c r="C318" i="1" s="1"/>
  <c r="B350" i="1"/>
  <c r="C350" i="1" s="1"/>
  <c r="B382" i="1"/>
  <c r="C382" i="1" s="1"/>
  <c r="B414" i="1"/>
  <c r="C414" i="1" s="1"/>
  <c r="B453" i="1"/>
  <c r="C453" i="1" s="1"/>
  <c r="B519" i="1"/>
  <c r="C519" i="1" s="1"/>
  <c r="B583" i="1"/>
  <c r="C583" i="1" s="1"/>
  <c r="B647" i="1"/>
  <c r="C647" i="1" s="1"/>
  <c r="B711" i="1"/>
  <c r="C711" i="1" s="1"/>
  <c r="B775" i="1"/>
  <c r="C775" i="1" s="1"/>
  <c r="B839" i="1"/>
  <c r="C839" i="1" s="1"/>
  <c r="B484" i="1"/>
  <c r="C484" i="1" s="1"/>
  <c r="B548" i="1"/>
  <c r="C548" i="1" s="1"/>
  <c r="B612" i="1"/>
  <c r="C612" i="1" s="1"/>
  <c r="B676" i="1"/>
  <c r="C676" i="1" s="1"/>
  <c r="B740" i="1"/>
  <c r="C740" i="1" s="1"/>
  <c r="B804" i="1"/>
  <c r="C804" i="1" s="1"/>
  <c r="B867" i="1"/>
  <c r="C867" i="1" s="1"/>
  <c r="B899" i="1"/>
  <c r="C899" i="1" s="1"/>
  <c r="B931" i="1"/>
  <c r="C931" i="1" s="1"/>
  <c r="B963" i="1"/>
  <c r="C963" i="1" s="1"/>
  <c r="B995" i="1"/>
  <c r="C995" i="1" s="1"/>
  <c r="B1027" i="1"/>
  <c r="C1027" i="1" s="1"/>
  <c r="B1059" i="1"/>
  <c r="C1059" i="1" s="1"/>
  <c r="B1091" i="1"/>
  <c r="C1091" i="1" s="1"/>
  <c r="B1123" i="1"/>
  <c r="C1123" i="1" s="1"/>
  <c r="B1155" i="1"/>
  <c r="C1155" i="1" s="1"/>
  <c r="B1187" i="1"/>
  <c r="C1187" i="1" s="1"/>
  <c r="B1219" i="1"/>
  <c r="C1219" i="1" s="1"/>
  <c r="B1251" i="1"/>
  <c r="C1251" i="1" s="1"/>
  <c r="B1283" i="1"/>
  <c r="C1283" i="1" s="1"/>
  <c r="B1315" i="1"/>
  <c r="C1315" i="1" s="1"/>
  <c r="B1347" i="1"/>
  <c r="C1347" i="1" s="1"/>
  <c r="B1379" i="1"/>
  <c r="C1379" i="1" s="1"/>
  <c r="B1411" i="1"/>
  <c r="C1411" i="1" s="1"/>
  <c r="B1443" i="1"/>
  <c r="C1443" i="1" s="1"/>
  <c r="B1475" i="1"/>
  <c r="C1475" i="1" s="1"/>
  <c r="B89" i="1"/>
  <c r="C89" i="1" s="1"/>
  <c r="B121" i="1"/>
  <c r="C121" i="1" s="1"/>
  <c r="B153" i="1"/>
  <c r="C153" i="1" s="1"/>
  <c r="B185" i="1"/>
  <c r="C185" i="1" s="1"/>
  <c r="D186" i="1" s="1"/>
  <c r="B217" i="1"/>
  <c r="C217" i="1" s="1"/>
  <c r="B249" i="1"/>
  <c r="C249" i="1" s="1"/>
  <c r="B281" i="1"/>
  <c r="C281" i="1" s="1"/>
  <c r="B313" i="1"/>
  <c r="C313" i="1" s="1"/>
  <c r="B345" i="1"/>
  <c r="C345" i="1" s="1"/>
  <c r="B377" i="1"/>
  <c r="C377" i="1" s="1"/>
  <c r="B409" i="1"/>
  <c r="C409" i="1" s="1"/>
  <c r="B441" i="1"/>
  <c r="C441" i="1" s="1"/>
  <c r="B28" i="1"/>
  <c r="C28" i="1" s="1"/>
  <c r="D28" i="1" s="1"/>
  <c r="B60" i="1"/>
  <c r="C60" i="1" s="1"/>
  <c r="D60" i="1" s="1"/>
  <c r="B92" i="1"/>
  <c r="C92" i="1" s="1"/>
  <c r="D92" i="1" s="1"/>
  <c r="B124" i="1"/>
  <c r="C124" i="1" s="1"/>
  <c r="B156" i="1"/>
  <c r="C156" i="1" s="1"/>
  <c r="D156" i="1" s="1"/>
  <c r="B188" i="1"/>
  <c r="C188" i="1" s="1"/>
  <c r="D188" i="1" s="1"/>
  <c r="B220" i="1"/>
  <c r="C220" i="1" s="1"/>
  <c r="D220" i="1" s="1"/>
  <c r="B252" i="1"/>
  <c r="C252" i="1" s="1"/>
  <c r="D252" i="1" s="1"/>
  <c r="B284" i="1"/>
  <c r="C284" i="1" s="1"/>
  <c r="B316" i="1"/>
  <c r="C316" i="1" s="1"/>
  <c r="B348" i="1"/>
  <c r="C348" i="1" s="1"/>
  <c r="D348" i="1" s="1"/>
  <c r="B380" i="1"/>
  <c r="C380" i="1" s="1"/>
  <c r="B412" i="1"/>
  <c r="C412" i="1" s="1"/>
  <c r="D412" i="1" s="1"/>
  <c r="B446" i="1"/>
  <c r="C446" i="1" s="1"/>
  <c r="B514" i="1"/>
  <c r="C514" i="1" s="1"/>
  <c r="B578" i="1"/>
  <c r="C578" i="1" s="1"/>
  <c r="B642" i="1"/>
  <c r="C642" i="1" s="1"/>
  <c r="B706" i="1"/>
  <c r="C706" i="1" s="1"/>
  <c r="B770" i="1"/>
  <c r="C770" i="1" s="1"/>
  <c r="B834" i="1"/>
  <c r="C834" i="1" s="1"/>
  <c r="B481" i="1"/>
  <c r="C481" i="1" s="1"/>
  <c r="B545" i="1"/>
  <c r="C545" i="1" s="1"/>
  <c r="B609" i="1"/>
  <c r="C609" i="1" s="1"/>
  <c r="B673" i="1"/>
  <c r="C673" i="1" s="1"/>
  <c r="B737" i="1"/>
  <c r="C737" i="1" s="1"/>
  <c r="B801" i="1"/>
  <c r="C801" i="1" s="1"/>
  <c r="B865" i="1"/>
  <c r="C865" i="1" s="1"/>
  <c r="B897" i="1"/>
  <c r="C897" i="1" s="1"/>
  <c r="B929" i="1"/>
  <c r="C929" i="1" s="1"/>
  <c r="B961" i="1"/>
  <c r="C961" i="1" s="1"/>
  <c r="B993" i="1"/>
  <c r="C993" i="1" s="1"/>
  <c r="B1025" i="1"/>
  <c r="C1025" i="1" s="1"/>
  <c r="B1057" i="1"/>
  <c r="C1057" i="1" s="1"/>
  <c r="B1089" i="1"/>
  <c r="C1089" i="1" s="1"/>
  <c r="B1121" i="1"/>
  <c r="C1121" i="1" s="1"/>
  <c r="B1153" i="1"/>
  <c r="C1153" i="1" s="1"/>
  <c r="B1185" i="1"/>
  <c r="C1185" i="1" s="1"/>
  <c r="B1217" i="1"/>
  <c r="C1217" i="1" s="1"/>
  <c r="B1249" i="1"/>
  <c r="C1249" i="1" s="1"/>
  <c r="B1281" i="1"/>
  <c r="C1281" i="1" s="1"/>
  <c r="B1313" i="1"/>
  <c r="C1313" i="1" s="1"/>
  <c r="B1345" i="1"/>
  <c r="C1345" i="1" s="1"/>
  <c r="B1377" i="1"/>
  <c r="C1377" i="1" s="1"/>
  <c r="B1409" i="1"/>
  <c r="C1409" i="1" s="1"/>
  <c r="B1441" i="1"/>
  <c r="C1441" i="1" s="1"/>
  <c r="B1473" i="1"/>
  <c r="C1473" i="1" s="1"/>
  <c r="B1505" i="1"/>
  <c r="C1505" i="1" s="1"/>
  <c r="B1537" i="1"/>
  <c r="C1537" i="1" s="1"/>
  <c r="B1569" i="1"/>
  <c r="C1569" i="1" s="1"/>
  <c r="B133" i="1"/>
  <c r="C133" i="1" s="1"/>
  <c r="B261" i="1"/>
  <c r="C261" i="1" s="1"/>
  <c r="B389" i="1"/>
  <c r="C389" i="1" s="1"/>
  <c r="B72" i="1"/>
  <c r="C72" i="1" s="1"/>
  <c r="B200" i="1"/>
  <c r="C200" i="1" s="1"/>
  <c r="B328" i="1"/>
  <c r="C328" i="1" s="1"/>
  <c r="B474" i="1"/>
  <c r="C474" i="1" s="1"/>
  <c r="B730" i="1"/>
  <c r="C730" i="1" s="1"/>
  <c r="B569" i="1"/>
  <c r="C569" i="1" s="1"/>
  <c r="B825" i="1"/>
  <c r="C825" i="1" s="1"/>
  <c r="B973" i="1"/>
  <c r="C973" i="1" s="1"/>
  <c r="B1101" i="1"/>
  <c r="C1101" i="1" s="1"/>
  <c r="B1165" i="1"/>
  <c r="C1165" i="1" s="1"/>
  <c r="B1229" i="1"/>
  <c r="C1229" i="1" s="1"/>
  <c r="B1293" i="1"/>
  <c r="C1293" i="1" s="1"/>
  <c r="B1357" i="1"/>
  <c r="C1357" i="1" s="1"/>
  <c r="B1421" i="1"/>
  <c r="C1421" i="1" s="1"/>
  <c r="B1483" i="1"/>
  <c r="C1483" i="1" s="1"/>
  <c r="B1525" i="1"/>
  <c r="C1525" i="1" s="1"/>
  <c r="B1567" i="1"/>
  <c r="C1567" i="1" s="1"/>
  <c r="B1601" i="1"/>
  <c r="C1601" i="1" s="1"/>
  <c r="B1633" i="1"/>
  <c r="C1633" i="1" s="1"/>
  <c r="B1665" i="1"/>
  <c r="C1665" i="1" s="1"/>
  <c r="B1697" i="1"/>
  <c r="C1697" i="1" s="1"/>
  <c r="B1729" i="1"/>
  <c r="C1729" i="1" s="1"/>
  <c r="B1761" i="1"/>
  <c r="C1761" i="1" s="1"/>
  <c r="B1793" i="1"/>
  <c r="C1793" i="1" s="1"/>
  <c r="B1825" i="1"/>
  <c r="C1825" i="1" s="1"/>
  <c r="B1857" i="1"/>
  <c r="C1857" i="1" s="1"/>
  <c r="B467" i="1"/>
  <c r="C467" i="1" s="1"/>
  <c r="B531" i="1"/>
  <c r="C531" i="1" s="1"/>
  <c r="B595" i="1"/>
  <c r="C595" i="1" s="1"/>
  <c r="B659" i="1"/>
  <c r="C659" i="1" s="1"/>
  <c r="B723" i="1"/>
  <c r="C723" i="1" s="1"/>
  <c r="B787" i="1"/>
  <c r="C787" i="1" s="1"/>
  <c r="B851" i="1"/>
  <c r="C851" i="1" s="1"/>
  <c r="B496" i="1"/>
  <c r="C496" i="1" s="1"/>
  <c r="B560" i="1"/>
  <c r="C560" i="1" s="1"/>
  <c r="B624" i="1"/>
  <c r="C624" i="1" s="1"/>
  <c r="B688" i="1"/>
  <c r="C688" i="1" s="1"/>
  <c r="B752" i="1"/>
  <c r="C752" i="1" s="1"/>
  <c r="B816" i="1"/>
  <c r="C816" i="1" s="1"/>
  <c r="B872" i="1"/>
  <c r="C872" i="1" s="1"/>
  <c r="B904" i="1"/>
  <c r="C904" i="1" s="1"/>
  <c r="B936" i="1"/>
  <c r="C936" i="1" s="1"/>
  <c r="B968" i="1"/>
  <c r="C968" i="1" s="1"/>
  <c r="B1000" i="1"/>
  <c r="C1000" i="1" s="1"/>
  <c r="B1032" i="1"/>
  <c r="C1032" i="1" s="1"/>
  <c r="B1064" i="1"/>
  <c r="C1064" i="1" s="1"/>
  <c r="B1096" i="1"/>
  <c r="C1096" i="1" s="1"/>
  <c r="B1128" i="1"/>
  <c r="C1128" i="1" s="1"/>
  <c r="B1160" i="1"/>
  <c r="C1160" i="1" s="1"/>
  <c r="B1192" i="1"/>
  <c r="C1192" i="1" s="1"/>
  <c r="B1224" i="1"/>
  <c r="C1224" i="1" s="1"/>
  <c r="B1256" i="1"/>
  <c r="C1256" i="1" s="1"/>
  <c r="B1288" i="1"/>
  <c r="C1288" i="1" s="1"/>
  <c r="B1320" i="1"/>
  <c r="C1320" i="1" s="1"/>
  <c r="B1352" i="1"/>
  <c r="C1352" i="1" s="1"/>
  <c r="B93" i="1"/>
  <c r="C93" i="1" s="1"/>
  <c r="B221" i="1"/>
  <c r="C221" i="1" s="1"/>
  <c r="B349" i="1"/>
  <c r="C349" i="1" s="1"/>
  <c r="B32" i="1"/>
  <c r="C32" i="1" s="1"/>
  <c r="B160" i="1"/>
  <c r="C160" i="1" s="1"/>
  <c r="B288" i="1"/>
  <c r="C288" i="1" s="1"/>
  <c r="B416" i="1"/>
  <c r="C416" i="1" s="1"/>
  <c r="B650" i="1"/>
  <c r="C650" i="1" s="1"/>
  <c r="B489" i="1"/>
  <c r="C489" i="1" s="1"/>
  <c r="B745" i="1"/>
  <c r="C745" i="1" s="1"/>
  <c r="B933" i="1"/>
  <c r="C933" i="1" s="1"/>
  <c r="B1061" i="1"/>
  <c r="C1061" i="1" s="1"/>
  <c r="B1143" i="1"/>
  <c r="C1143" i="1" s="1"/>
  <c r="B1207" i="1"/>
  <c r="C1207" i="1" s="1"/>
  <c r="B1271" i="1"/>
  <c r="C1271" i="1" s="1"/>
  <c r="B1335" i="1"/>
  <c r="C1335" i="1" s="1"/>
  <c r="B1399" i="1"/>
  <c r="C1399" i="1" s="1"/>
  <c r="B1463" i="1"/>
  <c r="C1463" i="1" s="1"/>
  <c r="B1511" i="1"/>
  <c r="C1511" i="1" s="1"/>
  <c r="B1555" i="1"/>
  <c r="C1555" i="1" s="1"/>
  <c r="B1591" i="1"/>
  <c r="C1591" i="1" s="1"/>
  <c r="B1623" i="1"/>
  <c r="C1623" i="1" s="1"/>
  <c r="B1655" i="1"/>
  <c r="C1655" i="1" s="1"/>
  <c r="B1687" i="1"/>
  <c r="C1687" i="1" s="1"/>
  <c r="B1719" i="1"/>
  <c r="C1719" i="1" s="1"/>
  <c r="B57" i="1"/>
  <c r="C57" i="1" s="1"/>
  <c r="B33" i="1"/>
  <c r="C33" i="1" s="1"/>
  <c r="B15" i="1"/>
  <c r="C15" i="1" s="1"/>
  <c r="B47" i="1"/>
  <c r="C47" i="1" s="1"/>
  <c r="B79" i="1"/>
  <c r="C79" i="1" s="1"/>
  <c r="B111" i="1"/>
  <c r="C111" i="1" s="1"/>
  <c r="B143" i="1"/>
  <c r="C143" i="1" s="1"/>
  <c r="B175" i="1"/>
  <c r="C175" i="1" s="1"/>
  <c r="B207" i="1"/>
  <c r="C207" i="1" s="1"/>
  <c r="B239" i="1"/>
  <c r="C239" i="1" s="1"/>
  <c r="B271" i="1"/>
  <c r="C271" i="1" s="1"/>
  <c r="B303" i="1"/>
  <c r="C303" i="1" s="1"/>
  <c r="B335" i="1"/>
  <c r="C335" i="1" s="1"/>
  <c r="B367" i="1"/>
  <c r="C367" i="1" s="1"/>
  <c r="B399" i="1"/>
  <c r="C399" i="1" s="1"/>
  <c r="B431" i="1"/>
  <c r="C431" i="1" s="1"/>
  <c r="B18" i="1"/>
  <c r="C18" i="1" s="1"/>
  <c r="B50" i="1"/>
  <c r="C50" i="1" s="1"/>
  <c r="B82" i="1"/>
  <c r="C82" i="1" s="1"/>
  <c r="B114" i="1"/>
  <c r="C114" i="1" s="1"/>
  <c r="B146" i="1"/>
  <c r="C146" i="1" s="1"/>
  <c r="B178" i="1"/>
  <c r="C178" i="1" s="1"/>
  <c r="B210" i="1"/>
  <c r="C210" i="1" s="1"/>
  <c r="B242" i="1"/>
  <c r="C242" i="1" s="1"/>
  <c r="B274" i="1"/>
  <c r="C274" i="1" s="1"/>
  <c r="B306" i="1"/>
  <c r="C306" i="1" s="1"/>
  <c r="B338" i="1"/>
  <c r="C338" i="1" s="1"/>
  <c r="B370" i="1"/>
  <c r="C370" i="1" s="1"/>
  <c r="B402" i="1"/>
  <c r="C402" i="1" s="1"/>
  <c r="B434" i="1"/>
  <c r="C434" i="1" s="1"/>
  <c r="B495" i="1"/>
  <c r="C495" i="1" s="1"/>
  <c r="B559" i="1"/>
  <c r="C559" i="1" s="1"/>
  <c r="B623" i="1"/>
  <c r="C623" i="1" s="1"/>
  <c r="B687" i="1"/>
  <c r="C687" i="1" s="1"/>
  <c r="B751" i="1"/>
  <c r="C751" i="1" s="1"/>
  <c r="B815" i="1"/>
  <c r="C815" i="1" s="1"/>
  <c r="B460" i="1"/>
  <c r="C460" i="1" s="1"/>
  <c r="B524" i="1"/>
  <c r="C524" i="1" s="1"/>
  <c r="B588" i="1"/>
  <c r="C588" i="1" s="1"/>
  <c r="B652" i="1"/>
  <c r="C652" i="1" s="1"/>
  <c r="B716" i="1"/>
  <c r="C716" i="1" s="1"/>
  <c r="B780" i="1"/>
  <c r="C780" i="1" s="1"/>
  <c r="B844" i="1"/>
  <c r="C844" i="1" s="1"/>
  <c r="B887" i="1"/>
  <c r="C887" i="1" s="1"/>
  <c r="B919" i="1"/>
  <c r="C919" i="1" s="1"/>
  <c r="B951" i="1"/>
  <c r="C951" i="1" s="1"/>
  <c r="B983" i="1"/>
  <c r="C983" i="1" s="1"/>
  <c r="B1015" i="1"/>
  <c r="C1015" i="1" s="1"/>
  <c r="B1047" i="1"/>
  <c r="C1047" i="1" s="1"/>
  <c r="B1079" i="1"/>
  <c r="C1079" i="1" s="1"/>
  <c r="B19" i="1"/>
  <c r="C19" i="1" s="1"/>
  <c r="B51" i="1"/>
  <c r="C51" i="1" s="1"/>
  <c r="B83" i="1"/>
  <c r="C83" i="1" s="1"/>
  <c r="B115" i="1"/>
  <c r="C115" i="1" s="1"/>
  <c r="B147" i="1"/>
  <c r="C147" i="1" s="1"/>
  <c r="B179" i="1"/>
  <c r="C179" i="1" s="1"/>
  <c r="B211" i="1"/>
  <c r="C211" i="1" s="1"/>
  <c r="B243" i="1"/>
  <c r="C243" i="1" s="1"/>
  <c r="B275" i="1"/>
  <c r="C275" i="1" s="1"/>
  <c r="B307" i="1"/>
  <c r="C307" i="1" s="1"/>
  <c r="B339" i="1"/>
  <c r="C339" i="1" s="1"/>
  <c r="B371" i="1"/>
  <c r="C371" i="1" s="1"/>
  <c r="B403" i="1"/>
  <c r="C403" i="1" s="1"/>
  <c r="B435" i="1"/>
  <c r="C435" i="1" s="1"/>
  <c r="B22" i="1"/>
  <c r="C22" i="1" s="1"/>
  <c r="B54" i="1"/>
  <c r="C54" i="1" s="1"/>
  <c r="B86" i="1"/>
  <c r="C86" i="1" s="1"/>
  <c r="B118" i="1"/>
  <c r="C118" i="1" s="1"/>
  <c r="B150" i="1"/>
  <c r="C150" i="1" s="1"/>
  <c r="B182" i="1"/>
  <c r="C182" i="1" s="1"/>
  <c r="B214" i="1"/>
  <c r="C214" i="1" s="1"/>
  <c r="B246" i="1"/>
  <c r="C246" i="1" s="1"/>
  <c r="D247" i="1" s="1"/>
  <c r="B278" i="1"/>
  <c r="C278" i="1" s="1"/>
  <c r="B310" i="1"/>
  <c r="C310" i="1" s="1"/>
  <c r="B342" i="1"/>
  <c r="C342" i="1" s="1"/>
  <c r="B374" i="1"/>
  <c r="C374" i="1" s="1"/>
  <c r="B406" i="1"/>
  <c r="C406" i="1" s="1"/>
  <c r="B438" i="1"/>
  <c r="C438" i="1" s="1"/>
  <c r="B503" i="1"/>
  <c r="C503" i="1" s="1"/>
  <c r="B567" i="1"/>
  <c r="C567" i="1" s="1"/>
  <c r="B631" i="1"/>
  <c r="C631" i="1" s="1"/>
  <c r="B695" i="1"/>
  <c r="C695" i="1" s="1"/>
  <c r="B759" i="1"/>
  <c r="C759" i="1" s="1"/>
  <c r="B823" i="1"/>
  <c r="C823" i="1" s="1"/>
  <c r="B468" i="1"/>
  <c r="C468" i="1" s="1"/>
  <c r="B532" i="1"/>
  <c r="C532" i="1" s="1"/>
  <c r="B596" i="1"/>
  <c r="C596" i="1" s="1"/>
  <c r="B660" i="1"/>
  <c r="C660" i="1" s="1"/>
  <c r="B724" i="1"/>
  <c r="C724" i="1" s="1"/>
  <c r="B788" i="1"/>
  <c r="C788" i="1" s="1"/>
  <c r="B852" i="1"/>
  <c r="C852" i="1" s="1"/>
  <c r="B891" i="1"/>
  <c r="C891" i="1" s="1"/>
  <c r="B923" i="1"/>
  <c r="C923" i="1" s="1"/>
  <c r="B955" i="1"/>
  <c r="C955" i="1" s="1"/>
  <c r="B987" i="1"/>
  <c r="C987" i="1" s="1"/>
  <c r="B1019" i="1"/>
  <c r="C1019" i="1" s="1"/>
  <c r="B1051" i="1"/>
  <c r="C1051" i="1" s="1"/>
  <c r="B1083" i="1"/>
  <c r="C1083" i="1" s="1"/>
  <c r="B1115" i="1"/>
  <c r="C1115" i="1" s="1"/>
  <c r="B1147" i="1"/>
  <c r="C1147" i="1" s="1"/>
  <c r="B1179" i="1"/>
  <c r="C1179" i="1" s="1"/>
  <c r="B1211" i="1"/>
  <c r="C1211" i="1" s="1"/>
  <c r="B1243" i="1"/>
  <c r="C1243" i="1" s="1"/>
  <c r="B1275" i="1"/>
  <c r="C1275" i="1" s="1"/>
  <c r="B1307" i="1"/>
  <c r="C1307" i="1" s="1"/>
  <c r="B1339" i="1"/>
  <c r="C1339" i="1" s="1"/>
  <c r="B1371" i="1"/>
  <c r="C1371" i="1" s="1"/>
  <c r="B1403" i="1"/>
  <c r="C1403" i="1" s="1"/>
  <c r="B1435" i="1"/>
  <c r="C1435" i="1" s="1"/>
  <c r="B1467" i="1"/>
  <c r="C1467" i="1" s="1"/>
  <c r="B81" i="1"/>
  <c r="C81" i="1" s="1"/>
  <c r="B113" i="1"/>
  <c r="C113" i="1" s="1"/>
  <c r="B145" i="1"/>
  <c r="C145" i="1" s="1"/>
  <c r="B177" i="1"/>
  <c r="C177" i="1" s="1"/>
  <c r="B209" i="1"/>
  <c r="C209" i="1" s="1"/>
  <c r="B241" i="1"/>
  <c r="C241" i="1" s="1"/>
  <c r="B273" i="1"/>
  <c r="C273" i="1" s="1"/>
  <c r="B305" i="1"/>
  <c r="C305" i="1" s="1"/>
  <c r="B337" i="1"/>
  <c r="C337" i="1" s="1"/>
  <c r="B369" i="1"/>
  <c r="C369" i="1" s="1"/>
  <c r="B401" i="1"/>
  <c r="C401" i="1" s="1"/>
  <c r="B433" i="1"/>
  <c r="C433" i="1" s="1"/>
  <c r="B20" i="1"/>
  <c r="C20" i="1" s="1"/>
  <c r="D20" i="1" s="1"/>
  <c r="B52" i="1"/>
  <c r="C52" i="1" s="1"/>
  <c r="D52" i="1" s="1"/>
  <c r="B84" i="1"/>
  <c r="C84" i="1" s="1"/>
  <c r="D84" i="1" s="1"/>
  <c r="B116" i="1"/>
  <c r="C116" i="1" s="1"/>
  <c r="D116" i="1" s="1"/>
  <c r="B148" i="1"/>
  <c r="C148" i="1" s="1"/>
  <c r="B180" i="1"/>
  <c r="C180" i="1" s="1"/>
  <c r="D180" i="1" s="1"/>
  <c r="B212" i="1"/>
  <c r="C212" i="1" s="1"/>
  <c r="D212" i="1" s="1"/>
  <c r="B244" i="1"/>
  <c r="C244" i="1" s="1"/>
  <c r="D244" i="1" s="1"/>
  <c r="B276" i="1"/>
  <c r="C276" i="1" s="1"/>
  <c r="D276" i="1" s="1"/>
  <c r="B308" i="1"/>
  <c r="C308" i="1" s="1"/>
  <c r="B340" i="1"/>
  <c r="C340" i="1" s="1"/>
  <c r="D340" i="1" s="1"/>
  <c r="B372" i="1"/>
  <c r="C372" i="1" s="1"/>
  <c r="D372" i="1" s="1"/>
  <c r="B404" i="1"/>
  <c r="C404" i="1" s="1"/>
  <c r="D404" i="1" s="1"/>
  <c r="B436" i="1"/>
  <c r="C436" i="1" s="1"/>
  <c r="D436" i="1" s="1"/>
  <c r="B498" i="1"/>
  <c r="C498" i="1" s="1"/>
  <c r="B562" i="1"/>
  <c r="C562" i="1" s="1"/>
  <c r="B626" i="1"/>
  <c r="C626" i="1" s="1"/>
  <c r="B690" i="1"/>
  <c r="C690" i="1" s="1"/>
  <c r="B754" i="1"/>
  <c r="C754" i="1" s="1"/>
  <c r="B818" i="1"/>
  <c r="C818" i="1" s="1"/>
  <c r="B464" i="1"/>
  <c r="C464" i="1" s="1"/>
  <c r="B529" i="1"/>
  <c r="C529" i="1" s="1"/>
  <c r="B593" i="1"/>
  <c r="C593" i="1" s="1"/>
  <c r="B657" i="1"/>
  <c r="C657" i="1" s="1"/>
  <c r="B721" i="1"/>
  <c r="C721" i="1" s="1"/>
  <c r="B785" i="1"/>
  <c r="C785" i="1" s="1"/>
  <c r="B849" i="1"/>
  <c r="C849" i="1" s="1"/>
  <c r="B889" i="1"/>
  <c r="C889" i="1" s="1"/>
  <c r="B921" i="1"/>
  <c r="C921" i="1" s="1"/>
  <c r="B953" i="1"/>
  <c r="C953" i="1" s="1"/>
  <c r="B985" i="1"/>
  <c r="C985" i="1" s="1"/>
  <c r="B1017" i="1"/>
  <c r="C1017" i="1" s="1"/>
  <c r="B1049" i="1"/>
  <c r="C1049" i="1" s="1"/>
  <c r="B1081" i="1"/>
  <c r="C1081" i="1" s="1"/>
  <c r="B1113" i="1"/>
  <c r="C1113" i="1" s="1"/>
  <c r="B1145" i="1"/>
  <c r="C1145" i="1" s="1"/>
  <c r="B1177" i="1"/>
  <c r="C1177" i="1" s="1"/>
  <c r="B1209" i="1"/>
  <c r="C1209" i="1" s="1"/>
  <c r="B1241" i="1"/>
  <c r="C1241" i="1" s="1"/>
  <c r="B1273" i="1"/>
  <c r="C1273" i="1" s="1"/>
  <c r="B1305" i="1"/>
  <c r="C1305" i="1" s="1"/>
  <c r="B1337" i="1"/>
  <c r="C1337" i="1" s="1"/>
  <c r="B1369" i="1"/>
  <c r="C1369" i="1" s="1"/>
  <c r="B1401" i="1"/>
  <c r="C1401" i="1" s="1"/>
  <c r="B1433" i="1"/>
  <c r="C1433" i="1" s="1"/>
  <c r="B1465" i="1"/>
  <c r="C1465" i="1" s="1"/>
  <c r="B1497" i="1"/>
  <c r="C1497" i="1" s="1"/>
  <c r="B1529" i="1"/>
  <c r="C1529" i="1" s="1"/>
  <c r="B1561" i="1"/>
  <c r="C1561" i="1" s="1"/>
  <c r="B101" i="1"/>
  <c r="C101" i="1" s="1"/>
  <c r="B229" i="1"/>
  <c r="C229" i="1" s="1"/>
  <c r="B357" i="1"/>
  <c r="C357" i="1" s="1"/>
  <c r="B40" i="1"/>
  <c r="C40" i="1" s="1"/>
  <c r="B168" i="1"/>
  <c r="C168" i="1" s="1"/>
  <c r="B296" i="1"/>
  <c r="C296" i="1" s="1"/>
  <c r="B424" i="1"/>
  <c r="C424" i="1" s="1"/>
  <c r="B666" i="1"/>
  <c r="C666" i="1" s="1"/>
  <c r="B505" i="1"/>
  <c r="C505" i="1" s="1"/>
  <c r="B761" i="1"/>
  <c r="C761" i="1" s="1"/>
  <c r="B941" i="1"/>
  <c r="C941" i="1" s="1"/>
  <c r="B1069" i="1"/>
  <c r="C1069" i="1" s="1"/>
  <c r="B1149" i="1"/>
  <c r="C1149" i="1" s="1"/>
  <c r="B1213" i="1"/>
  <c r="C1213" i="1" s="1"/>
  <c r="B1277" i="1"/>
  <c r="C1277" i="1" s="1"/>
  <c r="B1341" i="1"/>
  <c r="C1341" i="1" s="1"/>
  <c r="B1405" i="1"/>
  <c r="C1405" i="1" s="1"/>
  <c r="B1469" i="1"/>
  <c r="C1469" i="1" s="1"/>
  <c r="B1515" i="1"/>
  <c r="C1515" i="1" s="1"/>
  <c r="B1557" i="1"/>
  <c r="C1557" i="1" s="1"/>
  <c r="B1593" i="1"/>
  <c r="C1593" i="1" s="1"/>
  <c r="B1625" i="1"/>
  <c r="C1625" i="1" s="1"/>
  <c r="B1657" i="1"/>
  <c r="C1657" i="1" s="1"/>
  <c r="B1689" i="1"/>
  <c r="C1689" i="1" s="1"/>
  <c r="B1721" i="1"/>
  <c r="C1721" i="1" s="1"/>
  <c r="B1753" i="1"/>
  <c r="C1753" i="1" s="1"/>
  <c r="B1785" i="1"/>
  <c r="C1785" i="1" s="1"/>
  <c r="B1817" i="1"/>
  <c r="C1817" i="1" s="1"/>
  <c r="B1849" i="1"/>
  <c r="C1849" i="1" s="1"/>
  <c r="B450" i="1"/>
  <c r="C450" i="1" s="1"/>
  <c r="B515" i="1"/>
  <c r="C515" i="1" s="1"/>
  <c r="B579" i="1"/>
  <c r="C579" i="1" s="1"/>
  <c r="B643" i="1"/>
  <c r="C643" i="1" s="1"/>
  <c r="B707" i="1"/>
  <c r="C707" i="1" s="1"/>
  <c r="B771" i="1"/>
  <c r="C771" i="1" s="1"/>
  <c r="B835" i="1"/>
  <c r="C835" i="1" s="1"/>
  <c r="B480" i="1"/>
  <c r="C480" i="1" s="1"/>
  <c r="B544" i="1"/>
  <c r="C544" i="1" s="1"/>
  <c r="B608" i="1"/>
  <c r="C608" i="1" s="1"/>
  <c r="B672" i="1"/>
  <c r="C672" i="1" s="1"/>
  <c r="B736" i="1"/>
  <c r="C736" i="1" s="1"/>
  <c r="B800" i="1"/>
  <c r="C800" i="1" s="1"/>
  <c r="B864" i="1"/>
  <c r="C864" i="1" s="1"/>
  <c r="B896" i="1"/>
  <c r="C896" i="1" s="1"/>
  <c r="B928" i="1"/>
  <c r="C928" i="1" s="1"/>
  <c r="B960" i="1"/>
  <c r="C960" i="1" s="1"/>
  <c r="B992" i="1"/>
  <c r="C992" i="1" s="1"/>
  <c r="B1024" i="1"/>
  <c r="C1024" i="1" s="1"/>
  <c r="B1056" i="1"/>
  <c r="C1056" i="1" s="1"/>
  <c r="B1088" i="1"/>
  <c r="C1088" i="1" s="1"/>
  <c r="B1120" i="1"/>
  <c r="C1120" i="1" s="1"/>
  <c r="B1152" i="1"/>
  <c r="C1152" i="1" s="1"/>
  <c r="B1184" i="1"/>
  <c r="C1184" i="1" s="1"/>
  <c r="B1216" i="1"/>
  <c r="C1216" i="1" s="1"/>
  <c r="B1248" i="1"/>
  <c r="C1248" i="1" s="1"/>
  <c r="B1280" i="1"/>
  <c r="C1280" i="1" s="1"/>
  <c r="B1312" i="1"/>
  <c r="C1312" i="1" s="1"/>
  <c r="B1344" i="1"/>
  <c r="C1344" i="1" s="1"/>
  <c r="B61" i="1"/>
  <c r="C61" i="1" s="1"/>
  <c r="D61" i="1" s="1"/>
  <c r="B189" i="1"/>
  <c r="C189" i="1" s="1"/>
  <c r="B317" i="1"/>
  <c r="C317" i="1" s="1"/>
  <c r="B445" i="1"/>
  <c r="C445" i="1" s="1"/>
  <c r="B128" i="1"/>
  <c r="C128" i="1" s="1"/>
  <c r="B256" i="1"/>
  <c r="C256" i="1" s="1"/>
  <c r="B384" i="1"/>
  <c r="C384" i="1" s="1"/>
  <c r="B586" i="1"/>
  <c r="C586" i="1" s="1"/>
  <c r="B842" i="1"/>
  <c r="C842" i="1" s="1"/>
  <c r="B681" i="1"/>
  <c r="C681" i="1" s="1"/>
  <c r="B901" i="1"/>
  <c r="C901" i="1" s="1"/>
  <c r="B1029" i="1"/>
  <c r="C1029" i="1" s="1"/>
  <c r="B1127" i="1"/>
  <c r="C1127" i="1" s="1"/>
  <c r="B1191" i="1"/>
  <c r="C1191" i="1" s="1"/>
  <c r="B1255" i="1"/>
  <c r="C1255" i="1" s="1"/>
  <c r="B1319" i="1"/>
  <c r="C1319" i="1" s="1"/>
  <c r="B1383" i="1"/>
  <c r="C1383" i="1" s="1"/>
  <c r="B1447" i="1"/>
  <c r="C1447" i="1" s="1"/>
  <c r="B1501" i="1"/>
  <c r="C1501" i="1" s="1"/>
  <c r="B1543" i="1"/>
  <c r="C1543" i="1" s="1"/>
  <c r="B1583" i="1"/>
  <c r="C1583" i="1" s="1"/>
  <c r="B1615" i="1"/>
  <c r="C1615" i="1" s="1"/>
  <c r="B1647" i="1"/>
  <c r="C1647" i="1" s="1"/>
  <c r="B1679" i="1"/>
  <c r="C1679" i="1" s="1"/>
  <c r="B1711" i="1"/>
  <c r="C1711" i="1" s="1"/>
  <c r="B1743" i="1"/>
  <c r="C1743" i="1" s="1"/>
  <c r="B1775" i="1"/>
  <c r="C1775" i="1" s="1"/>
  <c r="B7" i="1"/>
  <c r="C7" i="1" s="1"/>
  <c r="B39" i="1"/>
  <c r="C39" i="1" s="1"/>
  <c r="B71" i="1"/>
  <c r="C71" i="1" s="1"/>
  <c r="B103" i="1"/>
  <c r="C103" i="1" s="1"/>
  <c r="B135" i="1"/>
  <c r="C135" i="1" s="1"/>
  <c r="B167" i="1"/>
  <c r="C167" i="1" s="1"/>
  <c r="B199" i="1"/>
  <c r="C199" i="1" s="1"/>
  <c r="B231" i="1"/>
  <c r="C231" i="1" s="1"/>
  <c r="B263" i="1"/>
  <c r="C263" i="1" s="1"/>
  <c r="B295" i="1"/>
  <c r="C295" i="1" s="1"/>
  <c r="B327" i="1"/>
  <c r="C327" i="1" s="1"/>
  <c r="B359" i="1"/>
  <c r="C359" i="1" s="1"/>
  <c r="B391" i="1"/>
  <c r="C391" i="1" s="1"/>
  <c r="B423" i="1"/>
  <c r="C423" i="1" s="1"/>
  <c r="B10" i="1"/>
  <c r="C10" i="1" s="1"/>
  <c r="B42" i="1"/>
  <c r="C42" i="1" s="1"/>
  <c r="B74" i="1"/>
  <c r="C74" i="1" s="1"/>
  <c r="B106" i="1"/>
  <c r="C106" i="1" s="1"/>
  <c r="B138" i="1"/>
  <c r="C138" i="1" s="1"/>
  <c r="B170" i="1"/>
  <c r="C170" i="1" s="1"/>
  <c r="B202" i="1"/>
  <c r="C202" i="1" s="1"/>
  <c r="B234" i="1"/>
  <c r="C234" i="1" s="1"/>
  <c r="B266" i="1"/>
  <c r="C266" i="1" s="1"/>
  <c r="B298" i="1"/>
  <c r="C298" i="1" s="1"/>
  <c r="B330" i="1"/>
  <c r="C330" i="1" s="1"/>
  <c r="B362" i="1"/>
  <c r="C362" i="1" s="1"/>
  <c r="B394" i="1"/>
  <c r="C394" i="1" s="1"/>
  <c r="B426" i="1"/>
  <c r="C426" i="1" s="1"/>
  <c r="B479" i="1"/>
  <c r="C479" i="1" s="1"/>
  <c r="B543" i="1"/>
  <c r="C543" i="1" s="1"/>
  <c r="B607" i="1"/>
  <c r="C607" i="1" s="1"/>
  <c r="B671" i="1"/>
  <c r="C671" i="1" s="1"/>
  <c r="B735" i="1"/>
  <c r="C735" i="1" s="1"/>
  <c r="B799" i="1"/>
  <c r="C799" i="1" s="1"/>
  <c r="B863" i="1"/>
  <c r="C863" i="1" s="1"/>
  <c r="B508" i="1"/>
  <c r="C508" i="1" s="1"/>
  <c r="B572" i="1"/>
  <c r="C572" i="1" s="1"/>
  <c r="B636" i="1"/>
  <c r="C636" i="1" s="1"/>
  <c r="B700" i="1"/>
  <c r="C700" i="1" s="1"/>
  <c r="B764" i="1"/>
  <c r="C764" i="1" s="1"/>
  <c r="B828" i="1"/>
  <c r="C828" i="1" s="1"/>
  <c r="B879" i="1"/>
  <c r="C879" i="1" s="1"/>
  <c r="B911" i="1"/>
  <c r="C911" i="1" s="1"/>
  <c r="B943" i="1"/>
  <c r="C943" i="1" s="1"/>
  <c r="B975" i="1"/>
  <c r="C975" i="1" s="1"/>
  <c r="B1007" i="1"/>
  <c r="C1007" i="1" s="1"/>
  <c r="B1039" i="1"/>
  <c r="C1039" i="1" s="1"/>
  <c r="B1071" i="1"/>
  <c r="C1071" i="1" s="1"/>
  <c r="B11" i="1"/>
  <c r="C11" i="1" s="1"/>
  <c r="B43" i="1"/>
  <c r="C43" i="1" s="1"/>
  <c r="B75" i="1"/>
  <c r="C75" i="1" s="1"/>
  <c r="B107" i="1"/>
  <c r="C107" i="1" s="1"/>
  <c r="B139" i="1"/>
  <c r="C139" i="1" s="1"/>
  <c r="B171" i="1"/>
  <c r="C171" i="1" s="1"/>
  <c r="B203" i="1"/>
  <c r="C203" i="1" s="1"/>
  <c r="B235" i="1"/>
  <c r="C235" i="1" s="1"/>
  <c r="B267" i="1"/>
  <c r="C267" i="1" s="1"/>
  <c r="B299" i="1"/>
  <c r="C299" i="1" s="1"/>
  <c r="B331" i="1"/>
  <c r="C331" i="1" s="1"/>
  <c r="B363" i="1"/>
  <c r="C363" i="1" s="1"/>
  <c r="B395" i="1"/>
  <c r="C395" i="1" s="1"/>
  <c r="B427" i="1"/>
  <c r="C427" i="1" s="1"/>
  <c r="B14" i="1"/>
  <c r="C14" i="1" s="1"/>
  <c r="B46" i="1"/>
  <c r="C46" i="1" s="1"/>
  <c r="B78" i="1"/>
  <c r="C78" i="1" s="1"/>
  <c r="B110" i="1"/>
  <c r="C110" i="1" s="1"/>
  <c r="B142" i="1"/>
  <c r="C142" i="1" s="1"/>
  <c r="B174" i="1"/>
  <c r="C174" i="1" s="1"/>
  <c r="B206" i="1"/>
  <c r="C206" i="1" s="1"/>
  <c r="B238" i="1"/>
  <c r="C238" i="1" s="1"/>
  <c r="B270" i="1"/>
  <c r="C270" i="1" s="1"/>
  <c r="D271" i="1" s="1"/>
  <c r="B302" i="1"/>
  <c r="C302" i="1" s="1"/>
  <c r="B334" i="1"/>
  <c r="C334" i="1" s="1"/>
  <c r="B366" i="1"/>
  <c r="C366" i="1" s="1"/>
  <c r="B398" i="1"/>
  <c r="C398" i="1" s="1"/>
  <c r="B430" i="1"/>
  <c r="C430" i="1" s="1"/>
  <c r="B487" i="1"/>
  <c r="C487" i="1" s="1"/>
  <c r="B551" i="1"/>
  <c r="C551" i="1" s="1"/>
  <c r="B615" i="1"/>
  <c r="C615" i="1" s="1"/>
  <c r="B679" i="1"/>
  <c r="C679" i="1" s="1"/>
  <c r="B743" i="1"/>
  <c r="C743" i="1" s="1"/>
  <c r="B807" i="1"/>
  <c r="C807" i="1" s="1"/>
  <c r="B452" i="1"/>
  <c r="C452" i="1" s="1"/>
  <c r="B516" i="1"/>
  <c r="C516" i="1" s="1"/>
  <c r="B580" i="1"/>
  <c r="C580" i="1" s="1"/>
  <c r="B644" i="1"/>
  <c r="C644" i="1" s="1"/>
  <c r="B708" i="1"/>
  <c r="C708" i="1" s="1"/>
  <c r="B772" i="1"/>
  <c r="C772" i="1" s="1"/>
  <c r="B836" i="1"/>
  <c r="C836" i="1" s="1"/>
  <c r="B883" i="1"/>
  <c r="C883" i="1" s="1"/>
  <c r="B915" i="1"/>
  <c r="C915" i="1" s="1"/>
  <c r="B947" i="1"/>
  <c r="C947" i="1" s="1"/>
  <c r="B979" i="1"/>
  <c r="C979" i="1" s="1"/>
  <c r="B1011" i="1"/>
  <c r="C1011" i="1" s="1"/>
  <c r="B1043" i="1"/>
  <c r="C1043" i="1" s="1"/>
  <c r="B1075" i="1"/>
  <c r="C1075" i="1" s="1"/>
  <c r="B1107" i="1"/>
  <c r="C1107" i="1" s="1"/>
  <c r="B1139" i="1"/>
  <c r="C1139" i="1" s="1"/>
  <c r="B1171" i="1"/>
  <c r="C1171" i="1" s="1"/>
  <c r="B1203" i="1"/>
  <c r="C1203" i="1" s="1"/>
  <c r="B1235" i="1"/>
  <c r="C1235" i="1" s="1"/>
  <c r="B1267" i="1"/>
  <c r="C1267" i="1" s="1"/>
  <c r="B1299" i="1"/>
  <c r="C1299" i="1" s="1"/>
  <c r="B1331" i="1"/>
  <c r="C1331" i="1" s="1"/>
  <c r="B1363" i="1"/>
  <c r="C1363" i="1" s="1"/>
  <c r="B1395" i="1"/>
  <c r="C1395" i="1" s="1"/>
  <c r="B1427" i="1"/>
  <c r="C1427" i="1" s="1"/>
  <c r="B1459" i="1"/>
  <c r="C1459" i="1" s="1"/>
  <c r="B73" i="1"/>
  <c r="C73" i="1" s="1"/>
  <c r="D73" i="1" s="1"/>
  <c r="B105" i="1"/>
  <c r="C105" i="1" s="1"/>
  <c r="B137" i="1"/>
  <c r="C137" i="1" s="1"/>
  <c r="B169" i="1"/>
  <c r="C169" i="1" s="1"/>
  <c r="D169" i="1" s="1"/>
  <c r="B201" i="1"/>
  <c r="C201" i="1" s="1"/>
  <c r="B233" i="1"/>
  <c r="C233" i="1" s="1"/>
  <c r="B265" i="1"/>
  <c r="C265" i="1" s="1"/>
  <c r="B297" i="1"/>
  <c r="C297" i="1" s="1"/>
  <c r="B329" i="1"/>
  <c r="C329" i="1" s="1"/>
  <c r="B361" i="1"/>
  <c r="C361" i="1" s="1"/>
  <c r="B393" i="1"/>
  <c r="C393" i="1" s="1"/>
  <c r="B425" i="1"/>
  <c r="C425" i="1" s="1"/>
  <c r="B12" i="1"/>
  <c r="C12" i="1" s="1"/>
  <c r="D12" i="1" s="1"/>
  <c r="B44" i="1"/>
  <c r="C44" i="1" s="1"/>
  <c r="D44" i="1" s="1"/>
  <c r="B76" i="1"/>
  <c r="C76" i="1" s="1"/>
  <c r="D76" i="1" s="1"/>
  <c r="B108" i="1"/>
  <c r="C108" i="1" s="1"/>
  <c r="D108" i="1" s="1"/>
  <c r="B140" i="1"/>
  <c r="C140" i="1" s="1"/>
  <c r="D140" i="1" s="1"/>
  <c r="B172" i="1"/>
  <c r="C172" i="1" s="1"/>
  <c r="D172" i="1" s="1"/>
  <c r="B204" i="1"/>
  <c r="C204" i="1" s="1"/>
  <c r="D204" i="1" s="1"/>
  <c r="B236" i="1"/>
  <c r="C236" i="1" s="1"/>
  <c r="D236" i="1" s="1"/>
  <c r="B268" i="1"/>
  <c r="C268" i="1" s="1"/>
  <c r="D268" i="1" s="1"/>
  <c r="B300" i="1"/>
  <c r="C300" i="1" s="1"/>
  <c r="B332" i="1"/>
  <c r="C332" i="1" s="1"/>
  <c r="D332" i="1" s="1"/>
  <c r="B364" i="1"/>
  <c r="C364" i="1" s="1"/>
  <c r="D364" i="1" s="1"/>
  <c r="B396" i="1"/>
  <c r="C396" i="1" s="1"/>
  <c r="D396" i="1" s="1"/>
  <c r="B428" i="1"/>
  <c r="C428" i="1" s="1"/>
  <c r="D428" i="1" s="1"/>
  <c r="B482" i="1"/>
  <c r="C482" i="1" s="1"/>
  <c r="B546" i="1"/>
  <c r="C546" i="1" s="1"/>
  <c r="B610" i="1"/>
  <c r="C610" i="1" s="1"/>
  <c r="B674" i="1"/>
  <c r="C674" i="1" s="1"/>
  <c r="B738" i="1"/>
  <c r="C738" i="1" s="1"/>
  <c r="B802" i="1"/>
  <c r="C802" i="1" s="1"/>
  <c r="B444" i="1"/>
  <c r="C444" i="1" s="1"/>
  <c r="B513" i="1"/>
  <c r="C513" i="1" s="1"/>
  <c r="B577" i="1"/>
  <c r="C577" i="1" s="1"/>
  <c r="B641" i="1"/>
  <c r="C641" i="1" s="1"/>
  <c r="B705" i="1"/>
  <c r="C705" i="1" s="1"/>
  <c r="B769" i="1"/>
  <c r="C769" i="1" s="1"/>
  <c r="B833" i="1"/>
  <c r="C833" i="1" s="1"/>
  <c r="B881" i="1"/>
  <c r="C881" i="1" s="1"/>
  <c r="B913" i="1"/>
  <c r="C913" i="1" s="1"/>
  <c r="B945" i="1"/>
  <c r="C945" i="1" s="1"/>
  <c r="B977" i="1"/>
  <c r="C977" i="1" s="1"/>
  <c r="B1009" i="1"/>
  <c r="C1009" i="1" s="1"/>
  <c r="B1041" i="1"/>
  <c r="C1041" i="1" s="1"/>
  <c r="B1073" i="1"/>
  <c r="C1073" i="1" s="1"/>
  <c r="B1105" i="1"/>
  <c r="C1105" i="1" s="1"/>
  <c r="B1137" i="1"/>
  <c r="C1137" i="1" s="1"/>
  <c r="B1169" i="1"/>
  <c r="C1169" i="1" s="1"/>
  <c r="B1201" i="1"/>
  <c r="C1201" i="1" s="1"/>
  <c r="B1233" i="1"/>
  <c r="C1233" i="1" s="1"/>
  <c r="B1265" i="1"/>
  <c r="C1265" i="1" s="1"/>
  <c r="B1297" i="1"/>
  <c r="C1297" i="1" s="1"/>
  <c r="B63" i="1"/>
  <c r="C63" i="1" s="1"/>
  <c r="B191" i="1"/>
  <c r="C191" i="1" s="1"/>
  <c r="B319" i="1"/>
  <c r="C319" i="1" s="1"/>
  <c r="D319" i="1" s="1"/>
  <c r="B447" i="1"/>
  <c r="C447" i="1" s="1"/>
  <c r="B130" i="1"/>
  <c r="C130" i="1" s="1"/>
  <c r="B258" i="1"/>
  <c r="C258" i="1" s="1"/>
  <c r="B386" i="1"/>
  <c r="C386" i="1" s="1"/>
  <c r="B591" i="1"/>
  <c r="C591" i="1" s="1"/>
  <c r="B847" i="1"/>
  <c r="C847" i="1" s="1"/>
  <c r="B684" i="1"/>
  <c r="C684" i="1" s="1"/>
  <c r="B903" i="1"/>
  <c r="C903" i="1" s="1"/>
  <c r="B1031" i="1"/>
  <c r="C1031" i="1" s="1"/>
  <c r="B67" i="1"/>
  <c r="C67" i="1" s="1"/>
  <c r="B195" i="1"/>
  <c r="C195" i="1" s="1"/>
  <c r="B323" i="1"/>
  <c r="C323" i="1" s="1"/>
  <c r="B451" i="1"/>
  <c r="C451" i="1" s="1"/>
  <c r="D451" i="1" s="1"/>
  <c r="B134" i="1"/>
  <c r="C134" i="1" s="1"/>
  <c r="D134" i="1" s="1"/>
  <c r="B262" i="1"/>
  <c r="C262" i="1" s="1"/>
  <c r="D262" i="1" s="1"/>
  <c r="B390" i="1"/>
  <c r="C390" i="1" s="1"/>
  <c r="D390" i="1" s="1"/>
  <c r="B599" i="1"/>
  <c r="C599" i="1" s="1"/>
  <c r="B855" i="1"/>
  <c r="C855" i="1" s="1"/>
  <c r="B692" i="1"/>
  <c r="C692" i="1" s="1"/>
  <c r="B907" i="1"/>
  <c r="C907" i="1" s="1"/>
  <c r="B1035" i="1"/>
  <c r="C1035" i="1" s="1"/>
  <c r="B1163" i="1"/>
  <c r="C1163" i="1" s="1"/>
  <c r="B1291" i="1"/>
  <c r="C1291" i="1" s="1"/>
  <c r="B1419" i="1"/>
  <c r="C1419" i="1" s="1"/>
  <c r="B129" i="1"/>
  <c r="C129" i="1" s="1"/>
  <c r="B257" i="1"/>
  <c r="C257" i="1" s="1"/>
  <c r="B385" i="1"/>
  <c r="C385" i="1" s="1"/>
  <c r="B68" i="1"/>
  <c r="C68" i="1" s="1"/>
  <c r="B196" i="1"/>
  <c r="C196" i="1" s="1"/>
  <c r="B324" i="1"/>
  <c r="C324" i="1" s="1"/>
  <c r="B465" i="1"/>
  <c r="C465" i="1" s="1"/>
  <c r="D465" i="1" s="1"/>
  <c r="B722" i="1"/>
  <c r="C722" i="1" s="1"/>
  <c r="B561" i="1"/>
  <c r="C561" i="1" s="1"/>
  <c r="B817" i="1"/>
  <c r="C817" i="1" s="1"/>
  <c r="B969" i="1"/>
  <c r="C969" i="1" s="1"/>
  <c r="B1097" i="1"/>
  <c r="C1097" i="1" s="1"/>
  <c r="B1225" i="1"/>
  <c r="C1225" i="1" s="1"/>
  <c r="B1329" i="1"/>
  <c r="C1329" i="1" s="1"/>
  <c r="B1393" i="1"/>
  <c r="C1393" i="1" s="1"/>
  <c r="B1457" i="1"/>
  <c r="C1457" i="1" s="1"/>
  <c r="B1521" i="1"/>
  <c r="C1521" i="1" s="1"/>
  <c r="B69" i="1"/>
  <c r="C69" i="1" s="1"/>
  <c r="B325" i="1"/>
  <c r="C325" i="1" s="1"/>
  <c r="B136" i="1"/>
  <c r="C136" i="1" s="1"/>
  <c r="B392" i="1"/>
  <c r="C392" i="1" s="1"/>
  <c r="B858" i="1"/>
  <c r="C858" i="1" s="1"/>
  <c r="B909" i="1"/>
  <c r="C909" i="1" s="1"/>
  <c r="B1133" i="1"/>
  <c r="C1133" i="1" s="1"/>
  <c r="B1261" i="1"/>
  <c r="C1261" i="1" s="1"/>
  <c r="B1389" i="1"/>
  <c r="C1389" i="1" s="1"/>
  <c r="B1503" i="1"/>
  <c r="C1503" i="1" s="1"/>
  <c r="B1585" i="1"/>
  <c r="C1585" i="1" s="1"/>
  <c r="B1649" i="1"/>
  <c r="C1649" i="1" s="1"/>
  <c r="B1713" i="1"/>
  <c r="C1713" i="1" s="1"/>
  <c r="B1777" i="1"/>
  <c r="C1777" i="1" s="1"/>
  <c r="B1841" i="1"/>
  <c r="C1841" i="1" s="1"/>
  <c r="B499" i="1"/>
  <c r="C499" i="1" s="1"/>
  <c r="D499" i="1" s="1"/>
  <c r="B627" i="1"/>
  <c r="C627" i="1" s="1"/>
  <c r="B755" i="1"/>
  <c r="C755" i="1" s="1"/>
  <c r="B466" i="1"/>
  <c r="C466" i="1" s="1"/>
  <c r="B592" i="1"/>
  <c r="C592" i="1" s="1"/>
  <c r="B720" i="1"/>
  <c r="C720" i="1" s="1"/>
  <c r="B848" i="1"/>
  <c r="C848" i="1" s="1"/>
  <c r="B920" i="1"/>
  <c r="C920" i="1" s="1"/>
  <c r="B984" i="1"/>
  <c r="C984" i="1" s="1"/>
  <c r="B1048" i="1"/>
  <c r="C1048" i="1" s="1"/>
  <c r="B1112" i="1"/>
  <c r="C1112" i="1" s="1"/>
  <c r="B1176" i="1"/>
  <c r="C1176" i="1" s="1"/>
  <c r="B1240" i="1"/>
  <c r="C1240" i="1" s="1"/>
  <c r="B1304" i="1"/>
  <c r="C1304" i="1" s="1"/>
  <c r="B29" i="1"/>
  <c r="C29" i="1" s="1"/>
  <c r="B285" i="1"/>
  <c r="C285" i="1" s="1"/>
  <c r="B96" i="1"/>
  <c r="C96" i="1" s="1"/>
  <c r="B352" i="1"/>
  <c r="C352" i="1" s="1"/>
  <c r="B778" i="1"/>
  <c r="C778" i="1" s="1"/>
  <c r="B869" i="1"/>
  <c r="C869" i="1" s="1"/>
  <c r="B1111" i="1"/>
  <c r="C1111" i="1" s="1"/>
  <c r="B1239" i="1"/>
  <c r="C1239" i="1" s="1"/>
  <c r="B1367" i="1"/>
  <c r="C1367" i="1" s="1"/>
  <c r="B1491" i="1"/>
  <c r="C1491" i="1" s="1"/>
  <c r="B1575" i="1"/>
  <c r="C1575" i="1" s="1"/>
  <c r="B1639" i="1"/>
  <c r="C1639" i="1" s="1"/>
  <c r="B1703" i="1"/>
  <c r="C1703" i="1" s="1"/>
  <c r="B1759" i="1"/>
  <c r="C1759" i="1" s="1"/>
  <c r="B1799" i="1"/>
  <c r="C1799" i="1" s="1"/>
  <c r="B1831" i="1"/>
  <c r="C1831" i="1" s="1"/>
  <c r="B1863" i="1"/>
  <c r="C1863" i="1" s="1"/>
  <c r="B478" i="1"/>
  <c r="C478" i="1" s="1"/>
  <c r="B542" i="1"/>
  <c r="C542" i="1" s="1"/>
  <c r="B606" i="1"/>
  <c r="C606" i="1" s="1"/>
  <c r="B670" i="1"/>
  <c r="C670" i="1" s="1"/>
  <c r="B734" i="1"/>
  <c r="C734" i="1" s="1"/>
  <c r="B798" i="1"/>
  <c r="C798" i="1" s="1"/>
  <c r="B862" i="1"/>
  <c r="C862" i="1" s="1"/>
  <c r="B509" i="1"/>
  <c r="C509" i="1" s="1"/>
  <c r="B573" i="1"/>
  <c r="C573" i="1" s="1"/>
  <c r="B637" i="1"/>
  <c r="C637" i="1" s="1"/>
  <c r="B701" i="1"/>
  <c r="C701" i="1" s="1"/>
  <c r="B765" i="1"/>
  <c r="C765" i="1" s="1"/>
  <c r="B829" i="1"/>
  <c r="C829" i="1" s="1"/>
  <c r="B878" i="1"/>
  <c r="C878" i="1" s="1"/>
  <c r="B910" i="1"/>
  <c r="C910" i="1" s="1"/>
  <c r="B942" i="1"/>
  <c r="C942" i="1" s="1"/>
  <c r="B974" i="1"/>
  <c r="C974" i="1" s="1"/>
  <c r="D974" i="1" s="1"/>
  <c r="B1006" i="1"/>
  <c r="C1006" i="1" s="1"/>
  <c r="B1038" i="1"/>
  <c r="C1038" i="1" s="1"/>
  <c r="B1070" i="1"/>
  <c r="C1070" i="1" s="1"/>
  <c r="D1070" i="1" s="1"/>
  <c r="B1102" i="1"/>
  <c r="C1102" i="1" s="1"/>
  <c r="B1134" i="1"/>
  <c r="C1134" i="1" s="1"/>
  <c r="B1166" i="1"/>
  <c r="C1166" i="1" s="1"/>
  <c r="D1166" i="1" s="1"/>
  <c r="B1198" i="1"/>
  <c r="C1198" i="1" s="1"/>
  <c r="B1230" i="1"/>
  <c r="C1230" i="1" s="1"/>
  <c r="B1262" i="1"/>
  <c r="C1262" i="1" s="1"/>
  <c r="D1262" i="1" s="1"/>
  <c r="B1294" i="1"/>
  <c r="C1294" i="1" s="1"/>
  <c r="B1326" i="1"/>
  <c r="C1326" i="1" s="1"/>
  <c r="B1358" i="1"/>
  <c r="C1358" i="1" s="1"/>
  <c r="B85" i="1"/>
  <c r="C85" i="1" s="1"/>
  <c r="B213" i="1"/>
  <c r="C213" i="1" s="1"/>
  <c r="B341" i="1"/>
  <c r="C341" i="1" s="1"/>
  <c r="B24" i="1"/>
  <c r="C24" i="1" s="1"/>
  <c r="B152" i="1"/>
  <c r="C152" i="1" s="1"/>
  <c r="D152" i="1" s="1"/>
  <c r="B280" i="1"/>
  <c r="C280" i="1" s="1"/>
  <c r="B408" i="1"/>
  <c r="C408" i="1" s="1"/>
  <c r="B634" i="1"/>
  <c r="C634" i="1" s="1"/>
  <c r="B473" i="1"/>
  <c r="C473" i="1" s="1"/>
  <c r="B729" i="1"/>
  <c r="C729" i="1" s="1"/>
  <c r="B925" i="1"/>
  <c r="C925" i="1" s="1"/>
  <c r="B1053" i="1"/>
  <c r="C1053" i="1" s="1"/>
  <c r="B1141" i="1"/>
  <c r="C1141" i="1" s="1"/>
  <c r="B1205" i="1"/>
  <c r="C1205" i="1" s="1"/>
  <c r="B1269" i="1"/>
  <c r="C1269" i="1" s="1"/>
  <c r="B1333" i="1"/>
  <c r="C1333" i="1" s="1"/>
  <c r="B1397" i="1"/>
  <c r="C1397" i="1" s="1"/>
  <c r="B1461" i="1"/>
  <c r="C1461" i="1" s="1"/>
  <c r="B1509" i="1"/>
  <c r="C1509" i="1" s="1"/>
  <c r="B1551" i="1"/>
  <c r="C1551" i="1" s="1"/>
  <c r="B1589" i="1"/>
  <c r="C1589" i="1" s="1"/>
  <c r="B1621" i="1"/>
  <c r="C1621" i="1" s="1"/>
  <c r="B1653" i="1"/>
  <c r="C1653" i="1" s="1"/>
  <c r="B1685" i="1"/>
  <c r="C1685" i="1" s="1"/>
  <c r="B1717" i="1"/>
  <c r="C1717" i="1" s="1"/>
  <c r="B1749" i="1"/>
  <c r="C1749" i="1" s="1"/>
  <c r="B1781" i="1"/>
  <c r="C1781" i="1" s="1"/>
  <c r="B1813" i="1"/>
  <c r="C1813" i="1" s="1"/>
  <c r="B1845" i="1"/>
  <c r="C1845" i="1" s="1"/>
  <c r="B1877" i="1"/>
  <c r="C1877" i="1" s="1"/>
  <c r="B507" i="1"/>
  <c r="C507" i="1" s="1"/>
  <c r="B571" i="1"/>
  <c r="C571" i="1" s="1"/>
  <c r="B635" i="1"/>
  <c r="C635" i="1" s="1"/>
  <c r="B699" i="1"/>
  <c r="C699" i="1" s="1"/>
  <c r="B763" i="1"/>
  <c r="C763" i="1" s="1"/>
  <c r="B827" i="1"/>
  <c r="C827" i="1" s="1"/>
  <c r="B472" i="1"/>
  <c r="C472" i="1" s="1"/>
  <c r="B536" i="1"/>
  <c r="C536" i="1" s="1"/>
  <c r="B600" i="1"/>
  <c r="C600" i="1" s="1"/>
  <c r="B664" i="1"/>
  <c r="C664" i="1" s="1"/>
  <c r="B728" i="1"/>
  <c r="C728" i="1" s="1"/>
  <c r="B792" i="1"/>
  <c r="C792" i="1" s="1"/>
  <c r="B856" i="1"/>
  <c r="C856" i="1" s="1"/>
  <c r="B892" i="1"/>
  <c r="C892" i="1" s="1"/>
  <c r="D892" i="1" s="1"/>
  <c r="B924" i="1"/>
  <c r="C924" i="1" s="1"/>
  <c r="B956" i="1"/>
  <c r="C956" i="1" s="1"/>
  <c r="D956" i="1" s="1"/>
  <c r="B988" i="1"/>
  <c r="C988" i="1" s="1"/>
  <c r="D988" i="1" s="1"/>
  <c r="B1020" i="1"/>
  <c r="C1020" i="1" s="1"/>
  <c r="D1020" i="1" s="1"/>
  <c r="B1052" i="1"/>
  <c r="C1052" i="1" s="1"/>
  <c r="B1084" i="1"/>
  <c r="C1084" i="1" s="1"/>
  <c r="D1084" i="1" s="1"/>
  <c r="B1116" i="1"/>
  <c r="C1116" i="1" s="1"/>
  <c r="D1116" i="1" s="1"/>
  <c r="B1148" i="1"/>
  <c r="C1148" i="1" s="1"/>
  <c r="D1148" i="1" s="1"/>
  <c r="B1180" i="1"/>
  <c r="C1180" i="1" s="1"/>
  <c r="D1180" i="1" s="1"/>
  <c r="B1212" i="1"/>
  <c r="C1212" i="1" s="1"/>
  <c r="D1212" i="1" s="1"/>
  <c r="B1244" i="1"/>
  <c r="C1244" i="1" s="1"/>
  <c r="D1244" i="1" s="1"/>
  <c r="B1276" i="1"/>
  <c r="C1276" i="1" s="1"/>
  <c r="D1276" i="1" s="1"/>
  <c r="B1308" i="1"/>
  <c r="C1308" i="1" s="1"/>
  <c r="D1308" i="1" s="1"/>
  <c r="B1340" i="1"/>
  <c r="C1340" i="1" s="1"/>
  <c r="D1340" i="1" s="1"/>
  <c r="B1372" i="1"/>
  <c r="C1372" i="1" s="1"/>
  <c r="D1372" i="1" s="1"/>
  <c r="B1404" i="1"/>
  <c r="C1404" i="1" s="1"/>
  <c r="D1404" i="1" s="1"/>
  <c r="B1436" i="1"/>
  <c r="C1436" i="1" s="1"/>
  <c r="B1468" i="1"/>
  <c r="C1468" i="1" s="1"/>
  <c r="D1468" i="1" s="1"/>
  <c r="B1500" i="1"/>
  <c r="C1500" i="1" s="1"/>
  <c r="B1532" i="1"/>
  <c r="C1532" i="1" s="1"/>
  <c r="B77" i="1"/>
  <c r="C77" i="1" s="1"/>
  <c r="B205" i="1"/>
  <c r="C205" i="1" s="1"/>
  <c r="B333" i="1"/>
  <c r="C333" i="1" s="1"/>
  <c r="D333" i="1" s="1"/>
  <c r="B16" i="1"/>
  <c r="C16" i="1" s="1"/>
  <c r="B144" i="1"/>
  <c r="C144" i="1" s="1"/>
  <c r="B272" i="1"/>
  <c r="C272" i="1" s="1"/>
  <c r="B400" i="1"/>
  <c r="C400" i="1" s="1"/>
  <c r="B618" i="1"/>
  <c r="C618" i="1" s="1"/>
  <c r="B456" i="1"/>
  <c r="C456" i="1" s="1"/>
  <c r="B713" i="1"/>
  <c r="C713" i="1" s="1"/>
  <c r="B917" i="1"/>
  <c r="C917" i="1" s="1"/>
  <c r="B1045" i="1"/>
  <c r="C1045" i="1" s="1"/>
  <c r="B1135" i="1"/>
  <c r="C1135" i="1" s="1"/>
  <c r="D1135" i="1" s="1"/>
  <c r="B1199" i="1"/>
  <c r="C1199" i="1" s="1"/>
  <c r="B1263" i="1"/>
  <c r="C1263" i="1" s="1"/>
  <c r="B1327" i="1"/>
  <c r="C1327" i="1" s="1"/>
  <c r="B1391" i="1"/>
  <c r="C1391" i="1" s="1"/>
  <c r="B1455" i="1"/>
  <c r="C1455" i="1" s="1"/>
  <c r="B1507" i="1"/>
  <c r="C1507" i="1" s="1"/>
  <c r="B1549" i="1"/>
  <c r="C1549" i="1" s="1"/>
  <c r="B1587" i="1"/>
  <c r="C1587" i="1" s="1"/>
  <c r="B1619" i="1"/>
  <c r="C1619" i="1" s="1"/>
  <c r="B1651" i="1"/>
  <c r="C1651" i="1" s="1"/>
  <c r="B1683" i="1"/>
  <c r="C1683" i="1" s="1"/>
  <c r="B1715" i="1"/>
  <c r="C1715" i="1" s="1"/>
  <c r="B1747" i="1"/>
  <c r="C1747" i="1" s="1"/>
  <c r="B1779" i="1"/>
  <c r="C1779" i="1" s="1"/>
  <c r="B1811" i="1"/>
  <c r="C1811" i="1" s="1"/>
  <c r="B1843" i="1"/>
  <c r="C1843" i="1" s="1"/>
  <c r="B1875" i="1"/>
  <c r="C1875" i="1" s="1"/>
  <c r="B502" i="1"/>
  <c r="C502" i="1" s="1"/>
  <c r="B566" i="1"/>
  <c r="C566" i="1" s="1"/>
  <c r="B630" i="1"/>
  <c r="C630" i="1" s="1"/>
  <c r="B694" i="1"/>
  <c r="C694" i="1" s="1"/>
  <c r="B758" i="1"/>
  <c r="C758" i="1" s="1"/>
  <c r="D759" i="1" s="1"/>
  <c r="B822" i="1"/>
  <c r="C822" i="1" s="1"/>
  <c r="D823" i="1" s="1"/>
  <c r="B469" i="1"/>
  <c r="C469" i="1" s="1"/>
  <c r="D469" i="1" s="1"/>
  <c r="B533" i="1"/>
  <c r="C533" i="1" s="1"/>
  <c r="D533" i="1" s="1"/>
  <c r="B597" i="1"/>
  <c r="C597" i="1" s="1"/>
  <c r="D597" i="1" s="1"/>
  <c r="B757" i="1"/>
  <c r="C757" i="1" s="1"/>
  <c r="B938" i="1"/>
  <c r="C938" i="1" s="1"/>
  <c r="B1066" i="1"/>
  <c r="C1066" i="1" s="1"/>
  <c r="B1194" i="1"/>
  <c r="C1194" i="1" s="1"/>
  <c r="B1322" i="1"/>
  <c r="C1322" i="1" s="1"/>
  <c r="B1394" i="1"/>
  <c r="C1394" i="1" s="1"/>
  <c r="B1438" i="1"/>
  <c r="C1438" i="1" s="1"/>
  <c r="B31" i="1"/>
  <c r="C31" i="1" s="1"/>
  <c r="D31" i="1" s="1"/>
  <c r="B159" i="1"/>
  <c r="C159" i="1" s="1"/>
  <c r="B287" i="1"/>
  <c r="C287" i="1" s="1"/>
  <c r="B415" i="1"/>
  <c r="C415" i="1" s="1"/>
  <c r="B98" i="1"/>
  <c r="C98" i="1" s="1"/>
  <c r="B226" i="1"/>
  <c r="C226" i="1" s="1"/>
  <c r="B354" i="1"/>
  <c r="C354" i="1" s="1"/>
  <c r="B527" i="1"/>
  <c r="C527" i="1" s="1"/>
  <c r="B783" i="1"/>
  <c r="C783" i="1" s="1"/>
  <c r="B620" i="1"/>
  <c r="C620" i="1" s="1"/>
  <c r="B871" i="1"/>
  <c r="C871" i="1" s="1"/>
  <c r="B999" i="1"/>
  <c r="C999" i="1" s="1"/>
  <c r="B35" i="1"/>
  <c r="C35" i="1" s="1"/>
  <c r="B163" i="1"/>
  <c r="C163" i="1" s="1"/>
  <c r="B291" i="1"/>
  <c r="C291" i="1" s="1"/>
  <c r="B419" i="1"/>
  <c r="C419" i="1" s="1"/>
  <c r="B102" i="1"/>
  <c r="C102" i="1" s="1"/>
  <c r="B230" i="1"/>
  <c r="C230" i="1" s="1"/>
  <c r="B358" i="1"/>
  <c r="C358" i="1" s="1"/>
  <c r="B535" i="1"/>
  <c r="C535" i="1" s="1"/>
  <c r="B791" i="1"/>
  <c r="C791" i="1" s="1"/>
  <c r="B628" i="1"/>
  <c r="C628" i="1" s="1"/>
  <c r="B875" i="1"/>
  <c r="C875" i="1" s="1"/>
  <c r="B1003" i="1"/>
  <c r="C1003" i="1" s="1"/>
  <c r="B1131" i="1"/>
  <c r="C1131" i="1" s="1"/>
  <c r="B1259" i="1"/>
  <c r="C1259" i="1" s="1"/>
  <c r="B1387" i="1"/>
  <c r="C1387" i="1" s="1"/>
  <c r="B97" i="1"/>
  <c r="C97" i="1" s="1"/>
  <c r="B225" i="1"/>
  <c r="C225" i="1" s="1"/>
  <c r="B353" i="1"/>
  <c r="C353" i="1" s="1"/>
  <c r="B36" i="1"/>
  <c r="C36" i="1" s="1"/>
  <c r="B164" i="1"/>
  <c r="C164" i="1" s="1"/>
  <c r="B292" i="1"/>
  <c r="C292" i="1" s="1"/>
  <c r="B420" i="1"/>
  <c r="C420" i="1" s="1"/>
  <c r="B658" i="1"/>
  <c r="C658" i="1" s="1"/>
  <c r="B497" i="1"/>
  <c r="C497" i="1" s="1"/>
  <c r="D497" i="1" s="1"/>
  <c r="B753" i="1"/>
  <c r="C753" i="1" s="1"/>
  <c r="B937" i="1"/>
  <c r="C937" i="1" s="1"/>
  <c r="B1065" i="1"/>
  <c r="C1065" i="1" s="1"/>
  <c r="B1193" i="1"/>
  <c r="C1193" i="1" s="1"/>
  <c r="D1193" i="1" s="1"/>
  <c r="B1321" i="1"/>
  <c r="C1321" i="1" s="1"/>
  <c r="B1385" i="1"/>
  <c r="C1385" i="1" s="1"/>
  <c r="B1449" i="1"/>
  <c r="C1449" i="1" s="1"/>
  <c r="B1513" i="1"/>
  <c r="C1513" i="1" s="1"/>
  <c r="B37" i="1"/>
  <c r="C37" i="1" s="1"/>
  <c r="B293" i="1"/>
  <c r="C293" i="1" s="1"/>
  <c r="B104" i="1"/>
  <c r="C104" i="1" s="1"/>
  <c r="B360" i="1"/>
  <c r="C360" i="1" s="1"/>
  <c r="B794" i="1"/>
  <c r="C794" i="1" s="1"/>
  <c r="B877" i="1"/>
  <c r="C877" i="1" s="1"/>
  <c r="B1117" i="1"/>
  <c r="C1117" i="1" s="1"/>
  <c r="B1245" i="1"/>
  <c r="C1245" i="1" s="1"/>
  <c r="B1373" i="1"/>
  <c r="C1373" i="1" s="1"/>
  <c r="D1373" i="1" s="1"/>
  <c r="B1493" i="1"/>
  <c r="C1493" i="1" s="1"/>
  <c r="B1577" i="1"/>
  <c r="C1577" i="1" s="1"/>
  <c r="B1641" i="1"/>
  <c r="C1641" i="1" s="1"/>
  <c r="B1705" i="1"/>
  <c r="C1705" i="1" s="1"/>
  <c r="B1769" i="1"/>
  <c r="C1769" i="1" s="1"/>
  <c r="B1833" i="1"/>
  <c r="C1833" i="1" s="1"/>
  <c r="B483" i="1"/>
  <c r="C483" i="1" s="1"/>
  <c r="B611" i="1"/>
  <c r="C611" i="1" s="1"/>
  <c r="B739" i="1"/>
  <c r="C739" i="1" s="1"/>
  <c r="B448" i="1"/>
  <c r="C448" i="1" s="1"/>
  <c r="D448" i="1" s="1"/>
  <c r="B576" i="1"/>
  <c r="C576" i="1" s="1"/>
  <c r="D576" i="1" s="1"/>
  <c r="B704" i="1"/>
  <c r="C704" i="1" s="1"/>
  <c r="B832" i="1"/>
  <c r="C832" i="1" s="1"/>
  <c r="B912" i="1"/>
  <c r="C912" i="1" s="1"/>
  <c r="B976" i="1"/>
  <c r="C976" i="1" s="1"/>
  <c r="B1040" i="1"/>
  <c r="C1040" i="1" s="1"/>
  <c r="D1040" i="1" s="1"/>
  <c r="B1104" i="1"/>
  <c r="C1104" i="1" s="1"/>
  <c r="B1168" i="1"/>
  <c r="C1168" i="1" s="1"/>
  <c r="B1232" i="1"/>
  <c r="C1232" i="1" s="1"/>
  <c r="B1296" i="1"/>
  <c r="C1296" i="1" s="1"/>
  <c r="B1360" i="1"/>
  <c r="C1360" i="1" s="1"/>
  <c r="B253" i="1"/>
  <c r="C253" i="1" s="1"/>
  <c r="B64" i="1"/>
  <c r="C64" i="1" s="1"/>
  <c r="D64" i="1" s="1"/>
  <c r="B320" i="1"/>
  <c r="C320" i="1" s="1"/>
  <c r="B714" i="1"/>
  <c r="C714" i="1" s="1"/>
  <c r="B809" i="1"/>
  <c r="C809" i="1" s="1"/>
  <c r="B1093" i="1"/>
  <c r="C1093" i="1" s="1"/>
  <c r="B1223" i="1"/>
  <c r="C1223" i="1" s="1"/>
  <c r="D1224" i="1" s="1"/>
  <c r="B1351" i="1"/>
  <c r="C1351" i="1" s="1"/>
  <c r="B1479" i="1"/>
  <c r="C1479" i="1" s="1"/>
  <c r="B1565" i="1"/>
  <c r="C1565" i="1" s="1"/>
  <c r="B1631" i="1"/>
  <c r="C1631" i="1" s="1"/>
  <c r="B1695" i="1"/>
  <c r="C1695" i="1" s="1"/>
  <c r="B1751" i="1"/>
  <c r="C1751" i="1" s="1"/>
  <c r="B1791" i="1"/>
  <c r="C1791" i="1" s="1"/>
  <c r="B1823" i="1"/>
  <c r="C1823" i="1" s="1"/>
  <c r="B1855" i="1"/>
  <c r="C1855" i="1" s="1"/>
  <c r="B463" i="1"/>
  <c r="C463" i="1" s="1"/>
  <c r="B526" i="1"/>
  <c r="C526" i="1" s="1"/>
  <c r="B590" i="1"/>
  <c r="C590" i="1" s="1"/>
  <c r="B654" i="1"/>
  <c r="C654" i="1" s="1"/>
  <c r="B718" i="1"/>
  <c r="C718" i="1" s="1"/>
  <c r="B782" i="1"/>
  <c r="C782" i="1" s="1"/>
  <c r="B846" i="1"/>
  <c r="C846" i="1" s="1"/>
  <c r="B493" i="1"/>
  <c r="C493" i="1" s="1"/>
  <c r="B557" i="1"/>
  <c r="C557" i="1" s="1"/>
  <c r="B621" i="1"/>
  <c r="C621" i="1" s="1"/>
  <c r="B685" i="1"/>
  <c r="C685" i="1" s="1"/>
  <c r="D685" i="1" s="1"/>
  <c r="B749" i="1"/>
  <c r="C749" i="1" s="1"/>
  <c r="B813" i="1"/>
  <c r="C813" i="1" s="1"/>
  <c r="B870" i="1"/>
  <c r="C870" i="1" s="1"/>
  <c r="B902" i="1"/>
  <c r="C902" i="1" s="1"/>
  <c r="B934" i="1"/>
  <c r="C934" i="1" s="1"/>
  <c r="B966" i="1"/>
  <c r="C966" i="1" s="1"/>
  <c r="B998" i="1"/>
  <c r="C998" i="1" s="1"/>
  <c r="B1030" i="1"/>
  <c r="C1030" i="1" s="1"/>
  <c r="B1062" i="1"/>
  <c r="C1062" i="1" s="1"/>
  <c r="B1094" i="1"/>
  <c r="C1094" i="1" s="1"/>
  <c r="B1126" i="1"/>
  <c r="C1126" i="1" s="1"/>
  <c r="B1158" i="1"/>
  <c r="C1158" i="1" s="1"/>
  <c r="B1190" i="1"/>
  <c r="C1190" i="1" s="1"/>
  <c r="B1222" i="1"/>
  <c r="C1222" i="1" s="1"/>
  <c r="B1254" i="1"/>
  <c r="C1254" i="1" s="1"/>
  <c r="B1286" i="1"/>
  <c r="C1286" i="1" s="1"/>
  <c r="B1318" i="1"/>
  <c r="C1318" i="1" s="1"/>
  <c r="B1350" i="1"/>
  <c r="C1350" i="1" s="1"/>
  <c r="B53" i="1"/>
  <c r="C53" i="1" s="1"/>
  <c r="B181" i="1"/>
  <c r="C181" i="1" s="1"/>
  <c r="B309" i="1"/>
  <c r="C309" i="1" s="1"/>
  <c r="D309" i="1" s="1"/>
  <c r="B437" i="1"/>
  <c r="C437" i="1" s="1"/>
  <c r="B120" i="1"/>
  <c r="C120" i="1" s="1"/>
  <c r="B248" i="1"/>
  <c r="C248" i="1" s="1"/>
  <c r="B376" i="1"/>
  <c r="C376" i="1" s="1"/>
  <c r="D376" i="1" s="1"/>
  <c r="B570" i="1"/>
  <c r="C570" i="1" s="1"/>
  <c r="B826" i="1"/>
  <c r="C826" i="1" s="1"/>
  <c r="B665" i="1"/>
  <c r="C665" i="1" s="1"/>
  <c r="B893" i="1"/>
  <c r="C893" i="1" s="1"/>
  <c r="D893" i="1" s="1"/>
  <c r="B1021" i="1"/>
  <c r="C1021" i="1" s="1"/>
  <c r="B1125" i="1"/>
  <c r="C1125" i="1" s="1"/>
  <c r="B1189" i="1"/>
  <c r="C1189" i="1" s="1"/>
  <c r="B1253" i="1"/>
  <c r="C1253" i="1" s="1"/>
  <c r="B1317" i="1"/>
  <c r="C1317" i="1" s="1"/>
  <c r="B1381" i="1"/>
  <c r="C1381" i="1" s="1"/>
  <c r="B1445" i="1"/>
  <c r="C1445" i="1" s="1"/>
  <c r="B1499" i="1"/>
  <c r="C1499" i="1" s="1"/>
  <c r="B1541" i="1"/>
  <c r="C1541" i="1" s="1"/>
  <c r="B1581" i="1"/>
  <c r="C1581" i="1" s="1"/>
  <c r="B1613" i="1"/>
  <c r="C1613" i="1" s="1"/>
  <c r="B1645" i="1"/>
  <c r="C1645" i="1" s="1"/>
  <c r="B1677" i="1"/>
  <c r="C1677" i="1" s="1"/>
  <c r="B1709" i="1"/>
  <c r="C1709" i="1" s="1"/>
  <c r="B1741" i="1"/>
  <c r="C1741" i="1" s="1"/>
  <c r="B1773" i="1"/>
  <c r="C1773" i="1" s="1"/>
  <c r="B1805" i="1"/>
  <c r="C1805" i="1" s="1"/>
  <c r="B1837" i="1"/>
  <c r="C1837" i="1" s="1"/>
  <c r="B1869" i="1"/>
  <c r="C1869" i="1" s="1"/>
  <c r="B491" i="1"/>
  <c r="C491" i="1" s="1"/>
  <c r="B555" i="1"/>
  <c r="C555" i="1" s="1"/>
  <c r="B619" i="1"/>
  <c r="C619" i="1" s="1"/>
  <c r="B683" i="1"/>
  <c r="C683" i="1" s="1"/>
  <c r="B747" i="1"/>
  <c r="C747" i="1" s="1"/>
  <c r="B811" i="1"/>
  <c r="C811" i="1" s="1"/>
  <c r="B458" i="1"/>
  <c r="C458" i="1" s="1"/>
  <c r="B520" i="1"/>
  <c r="C520" i="1" s="1"/>
  <c r="B584" i="1"/>
  <c r="C584" i="1" s="1"/>
  <c r="B648" i="1"/>
  <c r="C648" i="1" s="1"/>
  <c r="B712" i="1"/>
  <c r="C712" i="1" s="1"/>
  <c r="B776" i="1"/>
  <c r="C776" i="1" s="1"/>
  <c r="B840" i="1"/>
  <c r="C840" i="1" s="1"/>
  <c r="B884" i="1"/>
  <c r="C884" i="1" s="1"/>
  <c r="B916" i="1"/>
  <c r="C916" i="1" s="1"/>
  <c r="B948" i="1"/>
  <c r="C948" i="1" s="1"/>
  <c r="B980" i="1"/>
  <c r="C980" i="1" s="1"/>
  <c r="B1012" i="1"/>
  <c r="C1012" i="1" s="1"/>
  <c r="B1044" i="1"/>
  <c r="C1044" i="1" s="1"/>
  <c r="B1076" i="1"/>
  <c r="C1076" i="1" s="1"/>
  <c r="B1108" i="1"/>
  <c r="C1108" i="1" s="1"/>
  <c r="B1140" i="1"/>
  <c r="C1140" i="1" s="1"/>
  <c r="B1172" i="1"/>
  <c r="C1172" i="1" s="1"/>
  <c r="B1204" i="1"/>
  <c r="C1204" i="1" s="1"/>
  <c r="B1236" i="1"/>
  <c r="C1236" i="1" s="1"/>
  <c r="B1268" i="1"/>
  <c r="C1268" i="1" s="1"/>
  <c r="B1300" i="1"/>
  <c r="C1300" i="1" s="1"/>
  <c r="B1332" i="1"/>
  <c r="C1332" i="1" s="1"/>
  <c r="B1364" i="1"/>
  <c r="C1364" i="1" s="1"/>
  <c r="B1396" i="1"/>
  <c r="C1396" i="1" s="1"/>
  <c r="B1428" i="1"/>
  <c r="C1428" i="1" s="1"/>
  <c r="B1460" i="1"/>
  <c r="C1460" i="1" s="1"/>
  <c r="B1492" i="1"/>
  <c r="C1492" i="1" s="1"/>
  <c r="D1492" i="1" s="1"/>
  <c r="B1524" i="1"/>
  <c r="C1524" i="1" s="1"/>
  <c r="B45" i="1"/>
  <c r="C45" i="1" s="1"/>
  <c r="B173" i="1"/>
  <c r="C173" i="1" s="1"/>
  <c r="B301" i="1"/>
  <c r="C301" i="1" s="1"/>
  <c r="D302" i="1" s="1"/>
  <c r="B429" i="1"/>
  <c r="C429" i="1" s="1"/>
  <c r="B112" i="1"/>
  <c r="C112" i="1" s="1"/>
  <c r="B240" i="1"/>
  <c r="C240" i="1" s="1"/>
  <c r="B368" i="1"/>
  <c r="C368" i="1" s="1"/>
  <c r="B554" i="1"/>
  <c r="C554" i="1" s="1"/>
  <c r="B810" i="1"/>
  <c r="C810" i="1" s="1"/>
  <c r="B649" i="1"/>
  <c r="C649" i="1" s="1"/>
  <c r="B885" i="1"/>
  <c r="C885" i="1" s="1"/>
  <c r="B1013" i="1"/>
  <c r="C1013" i="1" s="1"/>
  <c r="D1013" i="1" s="1"/>
  <c r="B1119" i="1"/>
  <c r="C1119" i="1" s="1"/>
  <c r="B1183" i="1"/>
  <c r="C1183" i="1" s="1"/>
  <c r="B1247" i="1"/>
  <c r="C1247" i="1" s="1"/>
  <c r="B1311" i="1"/>
  <c r="C1311" i="1" s="1"/>
  <c r="B1375" i="1"/>
  <c r="C1375" i="1" s="1"/>
  <c r="B1439" i="1"/>
  <c r="C1439" i="1" s="1"/>
  <c r="B1495" i="1"/>
  <c r="C1495" i="1" s="1"/>
  <c r="B1539" i="1"/>
  <c r="C1539" i="1" s="1"/>
  <c r="B1579" i="1"/>
  <c r="C1579" i="1" s="1"/>
  <c r="B1611" i="1"/>
  <c r="C1611" i="1" s="1"/>
  <c r="B1643" i="1"/>
  <c r="C1643" i="1" s="1"/>
  <c r="B1675" i="1"/>
  <c r="C1675" i="1" s="1"/>
  <c r="B1707" i="1"/>
  <c r="C1707" i="1" s="1"/>
  <c r="B1739" i="1"/>
  <c r="C1739" i="1" s="1"/>
  <c r="B1771" i="1"/>
  <c r="C1771" i="1" s="1"/>
  <c r="B1803" i="1"/>
  <c r="C1803" i="1" s="1"/>
  <c r="B1835" i="1"/>
  <c r="C1835" i="1" s="1"/>
  <c r="B1867" i="1"/>
  <c r="C1867" i="1" s="1"/>
  <c r="B486" i="1"/>
  <c r="C486" i="1" s="1"/>
  <c r="B550" i="1"/>
  <c r="C550" i="1" s="1"/>
  <c r="B614" i="1"/>
  <c r="C614" i="1" s="1"/>
  <c r="B678" i="1"/>
  <c r="C678" i="1" s="1"/>
  <c r="B742" i="1"/>
  <c r="C742" i="1" s="1"/>
  <c r="B806" i="1"/>
  <c r="C806" i="1" s="1"/>
  <c r="B454" i="1"/>
  <c r="C454" i="1" s="1"/>
  <c r="B517" i="1"/>
  <c r="C517" i="1" s="1"/>
  <c r="B581" i="1"/>
  <c r="C581" i="1" s="1"/>
  <c r="B693" i="1"/>
  <c r="C693" i="1" s="1"/>
  <c r="B25" i="1"/>
  <c r="C25" i="1" s="1"/>
  <c r="B127" i="1"/>
  <c r="C127" i="1" s="1"/>
  <c r="B255" i="1"/>
  <c r="C255" i="1" s="1"/>
  <c r="B383" i="1"/>
  <c r="C383" i="1" s="1"/>
  <c r="B66" i="1"/>
  <c r="C66" i="1" s="1"/>
  <c r="B194" i="1"/>
  <c r="C194" i="1" s="1"/>
  <c r="B322" i="1"/>
  <c r="C322" i="1" s="1"/>
  <c r="B461" i="1"/>
  <c r="C461" i="1" s="1"/>
  <c r="B719" i="1"/>
  <c r="C719" i="1" s="1"/>
  <c r="B556" i="1"/>
  <c r="C556" i="1" s="1"/>
  <c r="B812" i="1"/>
  <c r="C812" i="1" s="1"/>
  <c r="B967" i="1"/>
  <c r="C967" i="1" s="1"/>
  <c r="D967" i="1" s="1"/>
  <c r="B1095" i="1"/>
  <c r="C1095" i="1" s="1"/>
  <c r="B131" i="1"/>
  <c r="C131" i="1" s="1"/>
  <c r="B259" i="1"/>
  <c r="C259" i="1" s="1"/>
  <c r="B387" i="1"/>
  <c r="C387" i="1" s="1"/>
  <c r="B70" i="1"/>
  <c r="C70" i="1" s="1"/>
  <c r="D70" i="1" s="1"/>
  <c r="B198" i="1"/>
  <c r="C198" i="1" s="1"/>
  <c r="B326" i="1"/>
  <c r="C326" i="1" s="1"/>
  <c r="B471" i="1"/>
  <c r="C471" i="1" s="1"/>
  <c r="B727" i="1"/>
  <c r="C727" i="1" s="1"/>
  <c r="B564" i="1"/>
  <c r="C564" i="1" s="1"/>
  <c r="B820" i="1"/>
  <c r="C820" i="1" s="1"/>
  <c r="B971" i="1"/>
  <c r="C971" i="1" s="1"/>
  <c r="B1099" i="1"/>
  <c r="C1099" i="1" s="1"/>
  <c r="B1227" i="1"/>
  <c r="C1227" i="1" s="1"/>
  <c r="B1355" i="1"/>
  <c r="C1355" i="1" s="1"/>
  <c r="B65" i="1"/>
  <c r="C65" i="1" s="1"/>
  <c r="B193" i="1"/>
  <c r="C193" i="1" s="1"/>
  <c r="B321" i="1"/>
  <c r="C321" i="1" s="1"/>
  <c r="B449" i="1"/>
  <c r="C449" i="1" s="1"/>
  <c r="B132" i="1"/>
  <c r="C132" i="1" s="1"/>
  <c r="B260" i="1"/>
  <c r="C260" i="1" s="1"/>
  <c r="B388" i="1"/>
  <c r="C388" i="1" s="1"/>
  <c r="B594" i="1"/>
  <c r="C594" i="1" s="1"/>
  <c r="B850" i="1"/>
  <c r="C850" i="1" s="1"/>
  <c r="D850" i="1" s="1"/>
  <c r="B689" i="1"/>
  <c r="C689" i="1" s="1"/>
  <c r="B905" i="1"/>
  <c r="C905" i="1" s="1"/>
  <c r="B1033" i="1"/>
  <c r="C1033" i="1" s="1"/>
  <c r="B1161" i="1"/>
  <c r="C1161" i="1" s="1"/>
  <c r="B1289" i="1"/>
  <c r="C1289" i="1" s="1"/>
  <c r="B1361" i="1"/>
  <c r="C1361" i="1" s="1"/>
  <c r="B1425" i="1"/>
  <c r="C1425" i="1" s="1"/>
  <c r="B1489" i="1"/>
  <c r="C1489" i="1" s="1"/>
  <c r="B1553" i="1"/>
  <c r="C1553" i="1" s="1"/>
  <c r="B197" i="1"/>
  <c r="C197" i="1" s="1"/>
  <c r="B8" i="1"/>
  <c r="C8" i="1" s="1"/>
  <c r="D9" i="1" s="1"/>
  <c r="B264" i="1"/>
  <c r="C264" i="1" s="1"/>
  <c r="B602" i="1"/>
  <c r="C602" i="1" s="1"/>
  <c r="B697" i="1"/>
  <c r="C697" i="1" s="1"/>
  <c r="B1037" i="1"/>
  <c r="C1037" i="1" s="1"/>
  <c r="B1197" i="1"/>
  <c r="C1197" i="1" s="1"/>
  <c r="B1325" i="1"/>
  <c r="C1325" i="1" s="1"/>
  <c r="B1453" i="1"/>
  <c r="C1453" i="1" s="1"/>
  <c r="B1547" i="1"/>
  <c r="C1547" i="1" s="1"/>
  <c r="B1617" i="1"/>
  <c r="C1617" i="1" s="1"/>
  <c r="B1681" i="1"/>
  <c r="C1681" i="1" s="1"/>
  <c r="B1745" i="1"/>
  <c r="C1745" i="1" s="1"/>
  <c r="B1809" i="1"/>
  <c r="C1809" i="1" s="1"/>
  <c r="B1873" i="1"/>
  <c r="C1873" i="1" s="1"/>
  <c r="B563" i="1"/>
  <c r="C563" i="1" s="1"/>
  <c r="D563" i="1" s="1"/>
  <c r="B691" i="1"/>
  <c r="C691" i="1" s="1"/>
  <c r="B819" i="1"/>
  <c r="C819" i="1" s="1"/>
  <c r="B528" i="1"/>
  <c r="C528" i="1" s="1"/>
  <c r="B656" i="1"/>
  <c r="C656" i="1" s="1"/>
  <c r="B784" i="1"/>
  <c r="C784" i="1" s="1"/>
  <c r="B888" i="1"/>
  <c r="C888" i="1" s="1"/>
  <c r="D888" i="1" s="1"/>
  <c r="B952" i="1"/>
  <c r="C952" i="1" s="1"/>
  <c r="B1016" i="1"/>
  <c r="C1016" i="1" s="1"/>
  <c r="B1080" i="1"/>
  <c r="C1080" i="1" s="1"/>
  <c r="B1144" i="1"/>
  <c r="C1144" i="1" s="1"/>
  <c r="D1144" i="1" s="1"/>
  <c r="B1208" i="1"/>
  <c r="C1208" i="1" s="1"/>
  <c r="B1272" i="1"/>
  <c r="C1272" i="1" s="1"/>
  <c r="D1272" i="1" s="1"/>
  <c r="B1336" i="1"/>
  <c r="C1336" i="1" s="1"/>
  <c r="D1336" i="1" s="1"/>
  <c r="B157" i="1"/>
  <c r="C157" i="1" s="1"/>
  <c r="B413" i="1"/>
  <c r="C413" i="1" s="1"/>
  <c r="D413" i="1" s="1"/>
  <c r="B224" i="1"/>
  <c r="C224" i="1" s="1"/>
  <c r="D224" i="1" s="1"/>
  <c r="B522" i="1"/>
  <c r="C522" i="1" s="1"/>
  <c r="B617" i="1"/>
  <c r="C617" i="1" s="1"/>
  <c r="B997" i="1"/>
  <c r="C997" i="1" s="1"/>
  <c r="B1175" i="1"/>
  <c r="C1175" i="1" s="1"/>
  <c r="B1303" i="1"/>
  <c r="C1303" i="1" s="1"/>
  <c r="B1431" i="1"/>
  <c r="C1431" i="1" s="1"/>
  <c r="B1533" i="1"/>
  <c r="C1533" i="1" s="1"/>
  <c r="B1607" i="1"/>
  <c r="C1607" i="1" s="1"/>
  <c r="B1671" i="1"/>
  <c r="C1671" i="1" s="1"/>
  <c r="B1735" i="1"/>
  <c r="C1735" i="1" s="1"/>
  <c r="B1783" i="1"/>
  <c r="C1783" i="1" s="1"/>
  <c r="B1815" i="1"/>
  <c r="C1815" i="1" s="1"/>
  <c r="B1847" i="1"/>
  <c r="C1847" i="1" s="1"/>
  <c r="B1879" i="1"/>
  <c r="C1879" i="1" s="1"/>
  <c r="B510" i="1"/>
  <c r="C510" i="1" s="1"/>
  <c r="B574" i="1"/>
  <c r="C574" i="1" s="1"/>
  <c r="B638" i="1"/>
  <c r="C638" i="1" s="1"/>
  <c r="B702" i="1"/>
  <c r="C702" i="1" s="1"/>
  <c r="D703" i="1" s="1"/>
  <c r="B766" i="1"/>
  <c r="C766" i="1" s="1"/>
  <c r="B830" i="1"/>
  <c r="C830" i="1" s="1"/>
  <c r="B477" i="1"/>
  <c r="C477" i="1" s="1"/>
  <c r="B541" i="1"/>
  <c r="C541" i="1" s="1"/>
  <c r="D541" i="1" s="1"/>
  <c r="B605" i="1"/>
  <c r="C605" i="1" s="1"/>
  <c r="B669" i="1"/>
  <c r="C669" i="1" s="1"/>
  <c r="D669" i="1" s="1"/>
  <c r="B733" i="1"/>
  <c r="C733" i="1" s="1"/>
  <c r="B797" i="1"/>
  <c r="C797" i="1" s="1"/>
  <c r="D797" i="1" s="1"/>
  <c r="B861" i="1"/>
  <c r="C861" i="1" s="1"/>
  <c r="B894" i="1"/>
  <c r="C894" i="1" s="1"/>
  <c r="B926" i="1"/>
  <c r="C926" i="1" s="1"/>
  <c r="D926" i="1" s="1"/>
  <c r="B958" i="1"/>
  <c r="C958" i="1" s="1"/>
  <c r="D959" i="1" s="1"/>
  <c r="B990" i="1"/>
  <c r="C990" i="1" s="1"/>
  <c r="B1022" i="1"/>
  <c r="C1022" i="1" s="1"/>
  <c r="B1054" i="1"/>
  <c r="C1054" i="1" s="1"/>
  <c r="B1086" i="1"/>
  <c r="C1086" i="1" s="1"/>
  <c r="D1087" i="1" s="1"/>
  <c r="B1118" i="1"/>
  <c r="C1118" i="1" s="1"/>
  <c r="D1118" i="1" s="1"/>
  <c r="B1150" i="1"/>
  <c r="C1150" i="1" s="1"/>
  <c r="B1182" i="1"/>
  <c r="C1182" i="1" s="1"/>
  <c r="B1214" i="1"/>
  <c r="C1214" i="1" s="1"/>
  <c r="B1246" i="1"/>
  <c r="C1246" i="1" s="1"/>
  <c r="B1278" i="1"/>
  <c r="C1278" i="1" s="1"/>
  <c r="B1310" i="1"/>
  <c r="C1310" i="1" s="1"/>
  <c r="B1342" i="1"/>
  <c r="C1342" i="1" s="1"/>
  <c r="B21" i="1"/>
  <c r="C21" i="1" s="1"/>
  <c r="B149" i="1"/>
  <c r="C149" i="1" s="1"/>
  <c r="B277" i="1"/>
  <c r="C277" i="1" s="1"/>
  <c r="B405" i="1"/>
  <c r="C405" i="1" s="1"/>
  <c r="B88" i="1"/>
  <c r="C88" i="1" s="1"/>
  <c r="B216" i="1"/>
  <c r="C216" i="1" s="1"/>
  <c r="B344" i="1"/>
  <c r="C344" i="1" s="1"/>
  <c r="D344" i="1" s="1"/>
  <c r="B506" i="1"/>
  <c r="C506" i="1" s="1"/>
  <c r="D506" i="1" s="1"/>
  <c r="B762" i="1"/>
  <c r="C762" i="1" s="1"/>
  <c r="B601" i="1"/>
  <c r="C601" i="1" s="1"/>
  <c r="B857" i="1"/>
  <c r="C857" i="1" s="1"/>
  <c r="B989" i="1"/>
  <c r="C989" i="1" s="1"/>
  <c r="B1109" i="1"/>
  <c r="C1109" i="1" s="1"/>
  <c r="B1173" i="1"/>
  <c r="C1173" i="1" s="1"/>
  <c r="B1237" i="1"/>
  <c r="C1237" i="1" s="1"/>
  <c r="B1301" i="1"/>
  <c r="C1301" i="1" s="1"/>
  <c r="B1365" i="1"/>
  <c r="C1365" i="1" s="1"/>
  <c r="B1429" i="1"/>
  <c r="C1429" i="1" s="1"/>
  <c r="D1429" i="1" s="1"/>
  <c r="B1487" i="1"/>
  <c r="C1487" i="1" s="1"/>
  <c r="B1531" i="1"/>
  <c r="C1531" i="1" s="1"/>
  <c r="B1573" i="1"/>
  <c r="C1573" i="1" s="1"/>
  <c r="B1605" i="1"/>
  <c r="C1605" i="1" s="1"/>
  <c r="B1637" i="1"/>
  <c r="C1637" i="1" s="1"/>
  <c r="B1669" i="1"/>
  <c r="C1669" i="1" s="1"/>
  <c r="B1701" i="1"/>
  <c r="C1701" i="1" s="1"/>
  <c r="B1733" i="1"/>
  <c r="C1733" i="1" s="1"/>
  <c r="B1765" i="1"/>
  <c r="C1765" i="1" s="1"/>
  <c r="B1797" i="1"/>
  <c r="C1797" i="1" s="1"/>
  <c r="B1829" i="1"/>
  <c r="C1829" i="1" s="1"/>
  <c r="B1861" i="1"/>
  <c r="C1861" i="1" s="1"/>
  <c r="B475" i="1"/>
  <c r="C475" i="1" s="1"/>
  <c r="B539" i="1"/>
  <c r="C539" i="1" s="1"/>
  <c r="B603" i="1"/>
  <c r="C603" i="1" s="1"/>
  <c r="B667" i="1"/>
  <c r="C667" i="1" s="1"/>
  <c r="B731" i="1"/>
  <c r="C731" i="1" s="1"/>
  <c r="B795" i="1"/>
  <c r="C795" i="1" s="1"/>
  <c r="D796" i="1" s="1"/>
  <c r="B859" i="1"/>
  <c r="C859" i="1" s="1"/>
  <c r="B504" i="1"/>
  <c r="C504" i="1" s="1"/>
  <c r="B568" i="1"/>
  <c r="C568" i="1" s="1"/>
  <c r="B632" i="1"/>
  <c r="C632" i="1" s="1"/>
  <c r="B696" i="1"/>
  <c r="C696" i="1" s="1"/>
  <c r="B760" i="1"/>
  <c r="C760" i="1" s="1"/>
  <c r="B824" i="1"/>
  <c r="C824" i="1" s="1"/>
  <c r="B876" i="1"/>
  <c r="C876" i="1" s="1"/>
  <c r="D877" i="1" s="1"/>
  <c r="B908" i="1"/>
  <c r="C908" i="1" s="1"/>
  <c r="B940" i="1"/>
  <c r="C940" i="1" s="1"/>
  <c r="B972" i="1"/>
  <c r="C972" i="1" s="1"/>
  <c r="B1004" i="1"/>
  <c r="C1004" i="1" s="1"/>
  <c r="B1036" i="1"/>
  <c r="C1036" i="1" s="1"/>
  <c r="B1068" i="1"/>
  <c r="C1068" i="1" s="1"/>
  <c r="B1100" i="1"/>
  <c r="C1100" i="1" s="1"/>
  <c r="B1132" i="1"/>
  <c r="C1132" i="1" s="1"/>
  <c r="D1133" i="1" s="1"/>
  <c r="B1164" i="1"/>
  <c r="C1164" i="1" s="1"/>
  <c r="B1196" i="1"/>
  <c r="C1196" i="1" s="1"/>
  <c r="B1228" i="1"/>
  <c r="C1228" i="1" s="1"/>
  <c r="D1228" i="1" s="1"/>
  <c r="B1260" i="1"/>
  <c r="C1260" i="1" s="1"/>
  <c r="D1260" i="1" s="1"/>
  <c r="B1292" i="1"/>
  <c r="C1292" i="1" s="1"/>
  <c r="B1324" i="1"/>
  <c r="C1324" i="1" s="1"/>
  <c r="B1356" i="1"/>
  <c r="C1356" i="1" s="1"/>
  <c r="B1388" i="1"/>
  <c r="C1388" i="1" s="1"/>
  <c r="B1420" i="1"/>
  <c r="C1420" i="1" s="1"/>
  <c r="B1452" i="1"/>
  <c r="C1452" i="1" s="1"/>
  <c r="B1484" i="1"/>
  <c r="C1484" i="1" s="1"/>
  <c r="D1484" i="1" s="1"/>
  <c r="B1516" i="1"/>
  <c r="C1516" i="1" s="1"/>
  <c r="B13" i="1"/>
  <c r="C13" i="1" s="1"/>
  <c r="B141" i="1"/>
  <c r="C141" i="1" s="1"/>
  <c r="B269" i="1"/>
  <c r="C269" i="1" s="1"/>
  <c r="B397" i="1"/>
  <c r="C397" i="1" s="1"/>
  <c r="B80" i="1"/>
  <c r="C80" i="1" s="1"/>
  <c r="B208" i="1"/>
  <c r="C208" i="1" s="1"/>
  <c r="B336" i="1"/>
  <c r="C336" i="1" s="1"/>
  <c r="B490" i="1"/>
  <c r="C490" i="1" s="1"/>
  <c r="D490" i="1" s="1"/>
  <c r="B746" i="1"/>
  <c r="C746" i="1" s="1"/>
  <c r="B585" i="1"/>
  <c r="C585" i="1" s="1"/>
  <c r="B841" i="1"/>
  <c r="C841" i="1" s="1"/>
  <c r="B981" i="1"/>
  <c r="C981" i="1" s="1"/>
  <c r="D981" i="1" s="1"/>
  <c r="B1103" i="1"/>
  <c r="C1103" i="1" s="1"/>
  <c r="B1167" i="1"/>
  <c r="C1167" i="1" s="1"/>
  <c r="D1167" i="1" s="1"/>
  <c r="B1231" i="1"/>
  <c r="C1231" i="1" s="1"/>
  <c r="B1295" i="1"/>
  <c r="C1295" i="1" s="1"/>
  <c r="B1359" i="1"/>
  <c r="C1359" i="1" s="1"/>
  <c r="B1423" i="1"/>
  <c r="C1423" i="1" s="1"/>
  <c r="B1485" i="1"/>
  <c r="C1485" i="1" s="1"/>
  <c r="D1485" i="1" s="1"/>
  <c r="B1527" i="1"/>
  <c r="C1527" i="1" s="1"/>
  <c r="B1571" i="1"/>
  <c r="C1571" i="1" s="1"/>
  <c r="B1603" i="1"/>
  <c r="C1603" i="1" s="1"/>
  <c r="B1635" i="1"/>
  <c r="C1635" i="1" s="1"/>
  <c r="B1667" i="1"/>
  <c r="C1667" i="1" s="1"/>
  <c r="B1699" i="1"/>
  <c r="C1699" i="1" s="1"/>
  <c r="B1731" i="1"/>
  <c r="C1731" i="1" s="1"/>
  <c r="B1763" i="1"/>
  <c r="C1763" i="1" s="1"/>
  <c r="B1795" i="1"/>
  <c r="C1795" i="1" s="1"/>
  <c r="B1827" i="1"/>
  <c r="C1827" i="1" s="1"/>
  <c r="B1859" i="1"/>
  <c r="C1859" i="1" s="1"/>
  <c r="B470" i="1"/>
  <c r="C470" i="1" s="1"/>
  <c r="B534" i="1"/>
  <c r="C534" i="1" s="1"/>
  <c r="B598" i="1"/>
  <c r="C598" i="1" s="1"/>
  <c r="B662" i="1"/>
  <c r="C662" i="1" s="1"/>
  <c r="B726" i="1"/>
  <c r="C726" i="1" s="1"/>
  <c r="B790" i="1"/>
  <c r="C790" i="1" s="1"/>
  <c r="B854" i="1"/>
  <c r="C854" i="1" s="1"/>
  <c r="B501" i="1"/>
  <c r="C501" i="1" s="1"/>
  <c r="B565" i="1"/>
  <c r="C565" i="1" s="1"/>
  <c r="B629" i="1"/>
  <c r="C629" i="1" s="1"/>
  <c r="D629" i="1" s="1"/>
  <c r="B874" i="1"/>
  <c r="C874" i="1" s="1"/>
  <c r="B1002" i="1"/>
  <c r="C1002" i="1" s="1"/>
  <c r="B1130" i="1"/>
  <c r="C1130" i="1" s="1"/>
  <c r="B1258" i="1"/>
  <c r="C1258" i="1" s="1"/>
  <c r="D1259" i="1" s="1"/>
  <c r="B1374" i="1"/>
  <c r="C1374" i="1" s="1"/>
  <c r="B1416" i="1"/>
  <c r="C1416" i="1" s="1"/>
  <c r="B1458" i="1"/>
  <c r="C1458" i="1" s="1"/>
  <c r="B1502" i="1"/>
  <c r="C1502" i="1" s="1"/>
  <c r="D1502" i="1" s="1"/>
  <c r="B1544" i="1"/>
  <c r="C1544" i="1" s="1"/>
  <c r="B1576" i="1"/>
  <c r="C1576" i="1" s="1"/>
  <c r="B1608" i="1"/>
  <c r="C1608" i="1" s="1"/>
  <c r="B1640" i="1"/>
  <c r="C1640" i="1" s="1"/>
  <c r="B1672" i="1"/>
  <c r="C1672" i="1" s="1"/>
  <c r="B1704" i="1"/>
  <c r="C1704" i="1" s="1"/>
  <c r="B1736" i="1"/>
  <c r="C1736" i="1" s="1"/>
  <c r="B1768" i="1"/>
  <c r="C1768" i="1" s="1"/>
  <c r="B1800" i="1"/>
  <c r="C1800" i="1" s="1"/>
  <c r="D1800" i="1" s="1"/>
  <c r="B1832" i="1"/>
  <c r="C1832" i="1" s="1"/>
  <c r="D1832" i="1" s="1"/>
  <c r="B1864" i="1"/>
  <c r="C1864" i="1" s="1"/>
  <c r="B1896" i="1"/>
  <c r="C1896" i="1" s="1"/>
  <c r="B1928" i="1"/>
  <c r="C1928" i="1" s="1"/>
  <c r="B1960" i="1"/>
  <c r="C1960" i="1" s="1"/>
  <c r="B1992" i="1"/>
  <c r="C1992" i="1" s="1"/>
  <c r="B2024" i="1"/>
  <c r="C2024" i="1" s="1"/>
  <c r="B2056" i="1"/>
  <c r="C2056" i="1" s="1"/>
  <c r="B2088" i="1"/>
  <c r="C2088" i="1" s="1"/>
  <c r="B2120" i="1"/>
  <c r="C2120" i="1" s="1"/>
  <c r="B2152" i="1"/>
  <c r="C2152" i="1" s="1"/>
  <c r="B2184" i="1"/>
  <c r="C2184" i="1" s="1"/>
  <c r="B2216" i="1"/>
  <c r="C2216" i="1" s="1"/>
  <c r="B2248" i="1"/>
  <c r="C2248" i="1" s="1"/>
  <c r="B2280" i="1"/>
  <c r="C2280" i="1" s="1"/>
  <c r="B2312" i="1"/>
  <c r="C2312" i="1" s="1"/>
  <c r="L28" i="7"/>
  <c r="Q28" i="7" s="1"/>
  <c r="M28" i="7"/>
  <c r="R28" i="7" s="1"/>
  <c r="K28" i="7"/>
  <c r="P28" i="7" s="1"/>
  <c r="N28" i="7"/>
  <c r="S28" i="7" s="1"/>
  <c r="M43" i="70"/>
  <c r="M16" i="70"/>
  <c r="Z34" i="7"/>
  <c r="AJ34" i="7" s="1"/>
  <c r="AO34" i="7" s="1"/>
  <c r="E35" i="37" s="1"/>
  <c r="J35" i="37" s="1"/>
  <c r="P35" i="37" s="1"/>
  <c r="Z23" i="7"/>
  <c r="AJ23" i="7" s="1"/>
  <c r="AO23" i="7" s="1"/>
  <c r="E24" i="37" s="1"/>
  <c r="J24" i="37" s="1"/>
  <c r="P24" i="37" s="1"/>
  <c r="F4" i="70"/>
  <c r="F31" i="70"/>
  <c r="K26" i="7"/>
  <c r="P26" i="7" s="1"/>
  <c r="U26" i="7" s="1"/>
  <c r="AE26" i="7" s="1"/>
  <c r="Y20" i="7"/>
  <c r="AI20" i="7" s="1"/>
  <c r="AN20" i="7" s="1"/>
  <c r="D8" i="70"/>
  <c r="D35" i="70"/>
  <c r="P15" i="67"/>
  <c r="P41" i="70" s="1"/>
  <c r="N24" i="7"/>
  <c r="S24" i="7" s="1"/>
  <c r="X24" i="7" s="1"/>
  <c r="AH24" i="7" s="1"/>
  <c r="K33" i="7"/>
  <c r="P33" i="7" s="1"/>
  <c r="U33" i="7" s="1"/>
  <c r="AE33" i="7" s="1"/>
  <c r="O15" i="67"/>
  <c r="O13" i="67"/>
  <c r="O19" i="67"/>
  <c r="O16" i="67"/>
  <c r="O14" i="67"/>
  <c r="O17" i="67"/>
  <c r="P19" i="67"/>
  <c r="P17" i="67"/>
  <c r="M33" i="7"/>
  <c r="R33" i="7" s="1"/>
  <c r="W33" i="7" s="1"/>
  <c r="AG33" i="7" s="1"/>
  <c r="G8" i="67"/>
  <c r="G10" i="67"/>
  <c r="M15" i="67"/>
  <c r="M19" i="67"/>
  <c r="M14" i="67"/>
  <c r="M16" i="67"/>
  <c r="M13" i="67"/>
  <c r="E4" i="70"/>
  <c r="E31" i="70"/>
  <c r="Y24" i="67"/>
  <c r="Y25" i="67"/>
  <c r="Y22" i="67"/>
  <c r="Y26" i="67"/>
  <c r="Y28" i="67"/>
  <c r="J6" i="67"/>
  <c r="J8" i="67"/>
  <c r="J4" i="67"/>
  <c r="J7" i="67"/>
  <c r="J5" i="67"/>
  <c r="J10" i="67"/>
  <c r="Q15" i="67"/>
  <c r="Q17" i="67"/>
  <c r="Q13" i="67"/>
  <c r="Q16" i="67"/>
  <c r="Q14" i="67"/>
  <c r="Q19" i="67"/>
  <c r="Z26" i="67"/>
  <c r="Z28" i="67"/>
  <c r="Z22" i="67"/>
  <c r="Z25" i="67"/>
  <c r="Z24" i="67"/>
  <c r="K27" i="7"/>
  <c r="P27" i="7" s="1"/>
  <c r="M22" i="7"/>
  <c r="R22" i="7" s="1"/>
  <c r="W22" i="7" s="1"/>
  <c r="AG22" i="7" s="1"/>
  <c r="AB24" i="67"/>
  <c r="AB26" i="67"/>
  <c r="AB22" i="67"/>
  <c r="AB28" i="67"/>
  <c r="AB25" i="67"/>
  <c r="G5" i="67"/>
  <c r="G6" i="67"/>
  <c r="G7" i="67"/>
  <c r="G4" i="67"/>
  <c r="E6" i="67"/>
  <c r="E10" i="67"/>
  <c r="E5" i="67"/>
  <c r="E8" i="67"/>
  <c r="S15" i="67"/>
  <c r="S16" i="67"/>
  <c r="S14" i="67"/>
  <c r="S17" i="67"/>
  <c r="S19" i="67"/>
  <c r="S13" i="67"/>
  <c r="N15" i="67"/>
  <c r="N17" i="67"/>
  <c r="N19" i="67"/>
  <c r="N13" i="67"/>
  <c r="N16" i="67"/>
  <c r="N14" i="67"/>
  <c r="F6" i="67"/>
  <c r="F5" i="67"/>
  <c r="F8" i="67"/>
  <c r="F10" i="67"/>
  <c r="F7" i="67"/>
  <c r="D4" i="67"/>
  <c r="D10" i="67"/>
  <c r="D7" i="67"/>
  <c r="D5" i="67"/>
  <c r="D6" i="67"/>
  <c r="H6" i="67"/>
  <c r="H5" i="67"/>
  <c r="H4" i="67"/>
  <c r="H10" i="67"/>
  <c r="H8" i="67"/>
  <c r="H7" i="67"/>
  <c r="X26" i="67"/>
  <c r="X22" i="67"/>
  <c r="X28" i="67"/>
  <c r="X25" i="67"/>
  <c r="X24" i="67"/>
  <c r="P13" i="67"/>
  <c r="P16" i="67"/>
  <c r="P14" i="67"/>
  <c r="L22" i="7"/>
  <c r="Q22" i="7" s="1"/>
  <c r="V22" i="7" s="1"/>
  <c r="AF22" i="7" s="1"/>
  <c r="E7" i="67"/>
  <c r="K19" i="7"/>
  <c r="P19" i="7" s="1"/>
  <c r="N19" i="7"/>
  <c r="S19" i="7" s="1"/>
  <c r="L19" i="7"/>
  <c r="Q19" i="7" s="1"/>
  <c r="M19" i="7"/>
  <c r="R19" i="7" s="1"/>
  <c r="J19" i="7"/>
  <c r="O19" i="7" s="1"/>
  <c r="K18" i="7"/>
  <c r="P18" i="7" s="1"/>
  <c r="U18" i="7" s="1"/>
  <c r="Z18" i="7" s="1"/>
  <c r="L18" i="7"/>
  <c r="Q18" i="7" s="1"/>
  <c r="V18" i="7" s="1"/>
  <c r="AA18" i="7" s="1"/>
  <c r="M18" i="7"/>
  <c r="R18" i="7" s="1"/>
  <c r="W18" i="7" s="1"/>
  <c r="AB18" i="7" s="1"/>
  <c r="N18" i="7"/>
  <c r="S18" i="7" s="1"/>
  <c r="X18" i="7" s="1"/>
  <c r="AC18" i="7" s="1"/>
  <c r="J18" i="7"/>
  <c r="O18" i="7" s="1"/>
  <c r="T18" i="7" s="1"/>
  <c r="Y18" i="7" s="1"/>
  <c r="M18" i="51"/>
  <c r="R18" i="51" s="1"/>
  <c r="W18" i="51" s="1"/>
  <c r="AB18" i="51" s="1"/>
  <c r="J18" i="51"/>
  <c r="O18" i="51" s="1"/>
  <c r="T18" i="51" s="1"/>
  <c r="Y18" i="51" s="1"/>
  <c r="L18" i="51"/>
  <c r="Q18" i="51" s="1"/>
  <c r="V18" i="51" s="1"/>
  <c r="AA18" i="51" s="1"/>
  <c r="N18" i="51"/>
  <c r="S18" i="51" s="1"/>
  <c r="X18" i="51" s="1"/>
  <c r="AC18" i="51" s="1"/>
  <c r="J26" i="7"/>
  <c r="O26" i="7" s="1"/>
  <c r="T26" i="7" s="1"/>
  <c r="AD26" i="7" s="1"/>
  <c r="L27" i="7"/>
  <c r="Q27" i="7" s="1"/>
  <c r="V27" i="7" s="1"/>
  <c r="AF27" i="7" s="1"/>
  <c r="Y32" i="7"/>
  <c r="AI32" i="7" s="1"/>
  <c r="AN32" i="7" s="1"/>
  <c r="D33" i="41" s="1"/>
  <c r="I33" i="41" s="1"/>
  <c r="O33" i="41" s="1"/>
  <c r="T33" i="41" s="1"/>
  <c r="L31" i="7"/>
  <c r="Q31" i="7" s="1"/>
  <c r="V31" i="7" s="1"/>
  <c r="AF31" i="7" s="1"/>
  <c r="N33" i="7"/>
  <c r="S33" i="7" s="1"/>
  <c r="X33" i="7" s="1"/>
  <c r="AH33" i="7" s="1"/>
  <c r="N31" i="7"/>
  <c r="S31" i="7" s="1"/>
  <c r="X31" i="7" s="1"/>
  <c r="AH31" i="7" s="1"/>
  <c r="J31" i="7"/>
  <c r="O31" i="7" s="1"/>
  <c r="T31" i="7" s="1"/>
  <c r="AD31" i="7" s="1"/>
  <c r="M21" i="7"/>
  <c r="R21" i="7" s="1"/>
  <c r="W21" i="7" s="1"/>
  <c r="AG21" i="7" s="1"/>
  <c r="M27" i="7"/>
  <c r="R27" i="7" s="1"/>
  <c r="W27" i="7" s="1"/>
  <c r="AG27" i="7" s="1"/>
  <c r="M31" i="7"/>
  <c r="R31" i="7" s="1"/>
  <c r="W31" i="7" s="1"/>
  <c r="AG31" i="7" s="1"/>
  <c r="N21" i="7"/>
  <c r="S21" i="7" s="1"/>
  <c r="L24" i="7"/>
  <c r="Q24" i="7" s="1"/>
  <c r="V24" i="7" s="1"/>
  <c r="AF24" i="7" s="1"/>
  <c r="U31" i="7"/>
  <c r="AE31" i="7" s="1"/>
  <c r="L33" i="7"/>
  <c r="Q33" i="7" s="1"/>
  <c r="V33" i="7" s="1"/>
  <c r="AF33" i="7" s="1"/>
  <c r="L21" i="7"/>
  <c r="Q21" i="7" s="1"/>
  <c r="V21" i="7" s="1"/>
  <c r="AF21" i="7" s="1"/>
  <c r="K22" i="7"/>
  <c r="P22" i="7" s="1"/>
  <c r="U22" i="7" s="1"/>
  <c r="AE22" i="7" s="1"/>
  <c r="M24" i="7"/>
  <c r="R24" i="7" s="1"/>
  <c r="W24" i="7" s="1"/>
  <c r="AG24" i="7" s="1"/>
  <c r="N27" i="7"/>
  <c r="S27" i="7" s="1"/>
  <c r="X27" i="7" s="1"/>
  <c r="AH27" i="7" s="1"/>
  <c r="J21" i="7"/>
  <c r="O21" i="7" s="1"/>
  <c r="T21" i="7" s="1"/>
  <c r="AD21" i="7" s="1"/>
  <c r="N22" i="7"/>
  <c r="S22" i="7" s="1"/>
  <c r="X22" i="7" s="1"/>
  <c r="AH22" i="7" s="1"/>
  <c r="K24" i="7"/>
  <c r="P24" i="7" s="1"/>
  <c r="U24" i="7" s="1"/>
  <c r="AE24" i="7" s="1"/>
  <c r="U21" i="7"/>
  <c r="AE21" i="7" s="1"/>
  <c r="T22" i="7"/>
  <c r="AD22" i="7" s="1"/>
  <c r="H28" i="51"/>
  <c r="L28" i="51" s="1"/>
  <c r="Q28" i="51" s="1"/>
  <c r="H23" i="51"/>
  <c r="J23" i="51" s="1"/>
  <c r="O23" i="51" s="1"/>
  <c r="H25" i="51"/>
  <c r="N25" i="51" s="1"/>
  <c r="S25" i="51" s="1"/>
  <c r="L26" i="7"/>
  <c r="Q26" i="7" s="1"/>
  <c r="N26" i="7"/>
  <c r="S26" i="7" s="1"/>
  <c r="X26" i="7" s="1"/>
  <c r="AH26" i="7" s="1"/>
  <c r="H34" i="51"/>
  <c r="K34" i="51" s="1"/>
  <c r="P34" i="51" s="1"/>
  <c r="H32" i="51"/>
  <c r="K32" i="51" s="1"/>
  <c r="P32" i="51" s="1"/>
  <c r="H30" i="51"/>
  <c r="J30" i="51" s="1"/>
  <c r="O30" i="51" s="1"/>
  <c r="H29" i="51"/>
  <c r="J29" i="51" s="1"/>
  <c r="O29" i="51" s="1"/>
  <c r="H31" i="51"/>
  <c r="N31" i="51" s="1"/>
  <c r="S31" i="51" s="1"/>
  <c r="H24" i="51"/>
  <c r="L24" i="51" s="1"/>
  <c r="Q24" i="51" s="1"/>
  <c r="H21" i="51"/>
  <c r="J21" i="51" s="1"/>
  <c r="O21" i="51" s="1"/>
  <c r="K30" i="7"/>
  <c r="P30" i="7" s="1"/>
  <c r="N30" i="7"/>
  <c r="S30" i="7" s="1"/>
  <c r="L30" i="7"/>
  <c r="Q30" i="7" s="1"/>
  <c r="J30" i="7"/>
  <c r="O30" i="7" s="1"/>
  <c r="M30" i="7"/>
  <c r="R30" i="7" s="1"/>
  <c r="T24" i="7"/>
  <c r="AD24" i="7" s="1"/>
  <c r="W26" i="7"/>
  <c r="AG26" i="7" s="1"/>
  <c r="Y33" i="7"/>
  <c r="AI33" i="7" s="1"/>
  <c r="AN33" i="7" s="1"/>
  <c r="T27" i="7"/>
  <c r="AD27" i="7" s="1"/>
  <c r="M25" i="7"/>
  <c r="R25" i="7" s="1"/>
  <c r="L25" i="7"/>
  <c r="Q25" i="7" s="1"/>
  <c r="K25" i="7"/>
  <c r="P25" i="7" s="1"/>
  <c r="J25" i="7"/>
  <c r="O25" i="7" s="1"/>
  <c r="N25" i="7"/>
  <c r="S25" i="7" s="1"/>
  <c r="L29" i="7"/>
  <c r="Q29" i="7" s="1"/>
  <c r="K29" i="7"/>
  <c r="P29" i="7" s="1"/>
  <c r="J29" i="7"/>
  <c r="O29" i="7" s="1"/>
  <c r="N29" i="7"/>
  <c r="S29" i="7" s="1"/>
  <c r="M29" i="7"/>
  <c r="R29" i="7" s="1"/>
  <c r="H26" i="51"/>
  <c r="H20" i="51"/>
  <c r="H33" i="51"/>
  <c r="H22" i="51"/>
  <c r="H19" i="51"/>
  <c r="D290" i="1" l="1"/>
  <c r="D2687" i="1"/>
  <c r="D1173" i="1"/>
  <c r="D2482" i="1"/>
  <c r="D308" i="1"/>
  <c r="D316" i="1"/>
  <c r="D148" i="1"/>
  <c r="D592" i="1"/>
  <c r="D300" i="1"/>
  <c r="J27" i="51"/>
  <c r="O27" i="51" s="1"/>
  <c r="T27" i="51" s="1"/>
  <c r="AD27" i="51" s="1"/>
  <c r="D1849" i="1"/>
  <c r="D442" i="1"/>
  <c r="D175" i="1"/>
  <c r="D375" i="1"/>
  <c r="D124" i="1"/>
  <c r="D114" i="1"/>
  <c r="D2507" i="1"/>
  <c r="D1317" i="1"/>
  <c r="D291" i="1"/>
  <c r="D1310" i="1"/>
  <c r="D1362" i="1"/>
  <c r="D518" i="1"/>
  <c r="D1443" i="1"/>
  <c r="D1405" i="1"/>
  <c r="D118" i="1"/>
  <c r="D47" i="1"/>
  <c r="D751" i="1"/>
  <c r="D1061" i="1"/>
  <c r="D647" i="1"/>
  <c r="D711" i="1"/>
  <c r="D1347" i="1"/>
  <c r="D1019" i="1"/>
  <c r="D919" i="1"/>
  <c r="D460" i="1"/>
  <c r="D623" i="1"/>
  <c r="D745" i="1"/>
  <c r="D1697" i="1"/>
  <c r="D1790" i="1"/>
  <c r="D1595" i="1"/>
  <c r="D1564" i="1"/>
  <c r="D2400" i="1"/>
  <c r="D2731" i="1"/>
  <c r="D2408" i="1"/>
  <c r="D2018" i="1"/>
  <c r="D2738" i="1"/>
  <c r="D1768" i="1"/>
  <c r="D1531" i="1"/>
  <c r="D1302" i="1"/>
  <c r="D1879" i="1"/>
  <c r="D748" i="1"/>
  <c r="D749" i="1"/>
  <c r="D715" i="1"/>
  <c r="D163" i="1"/>
  <c r="D1323" i="1"/>
  <c r="D1552" i="1"/>
  <c r="D1419" i="1"/>
  <c r="D1009" i="1"/>
  <c r="D1776" i="1"/>
  <c r="D901" i="1"/>
  <c r="D374" i="1"/>
  <c r="D1129" i="1"/>
  <c r="D787" i="1"/>
  <c r="D1475" i="1"/>
  <c r="D549" i="1"/>
  <c r="D2217" i="1"/>
  <c r="D1961" i="1"/>
  <c r="D1732" i="1"/>
  <c r="D1733" i="1"/>
  <c r="D1682" i="1"/>
  <c r="D1553" i="1"/>
  <c r="D1836" i="1"/>
  <c r="D1710" i="1"/>
  <c r="D1791" i="1"/>
  <c r="D1565" i="1"/>
  <c r="D1620" i="1"/>
  <c r="D1750" i="1"/>
  <c r="D1621" i="1"/>
  <c r="D769" i="1"/>
  <c r="D1011" i="1"/>
  <c r="D808" i="1"/>
  <c r="D1711" i="1"/>
  <c r="D1584" i="1"/>
  <c r="D1530" i="1"/>
  <c r="D1274" i="1"/>
  <c r="D1018" i="1"/>
  <c r="D1339" i="1"/>
  <c r="D1211" i="1"/>
  <c r="D1064" i="1"/>
  <c r="D1474" i="1"/>
  <c r="D1346" i="1"/>
  <c r="D1284" i="1"/>
  <c r="D677" i="1"/>
  <c r="D839" i="1"/>
  <c r="D512" i="1"/>
  <c r="D1642" i="1"/>
  <c r="D2088" i="1"/>
  <c r="D1416" i="1"/>
  <c r="D1860" i="1"/>
  <c r="D1424" i="1"/>
  <c r="D1068" i="1"/>
  <c r="D1279" i="1"/>
  <c r="D1815" i="1"/>
  <c r="D1290" i="1"/>
  <c r="D1581" i="1"/>
  <c r="D526" i="1"/>
  <c r="D165" i="1"/>
  <c r="D1438" i="1"/>
  <c r="D1456" i="1"/>
  <c r="D352" i="1"/>
  <c r="D1074" i="1"/>
  <c r="D945" i="1"/>
  <c r="D1267" i="1"/>
  <c r="D295" i="1"/>
  <c r="D433" i="1"/>
  <c r="D177" i="1"/>
  <c r="D50" i="1"/>
  <c r="D1511" i="1"/>
  <c r="D933" i="1"/>
  <c r="D1729" i="1"/>
  <c r="D1411" i="1"/>
  <c r="D1156" i="1"/>
  <c r="D2498" i="1"/>
  <c r="D772" i="1"/>
  <c r="D2113" i="1"/>
  <c r="D1157" i="1"/>
  <c r="D2323" i="1"/>
  <c r="D2445" i="1"/>
  <c r="D2262" i="1"/>
  <c r="D2755" i="1"/>
  <c r="D2536" i="1"/>
  <c r="D2391" i="1"/>
  <c r="D2304" i="1"/>
  <c r="D2234" i="1"/>
  <c r="D1975" i="1"/>
  <c r="D2519" i="1"/>
  <c r="D2080" i="1"/>
  <c r="AA32" i="7"/>
  <c r="AK32" i="7" s="1"/>
  <c r="AP32" i="7" s="1"/>
  <c r="F33" i="41" s="1"/>
  <c r="K33" i="41" s="1"/>
  <c r="Q33" i="41" s="1"/>
  <c r="V33" i="41" s="1"/>
  <c r="AC20" i="7"/>
  <c r="AM20" i="7" s="1"/>
  <c r="AR20" i="7" s="1"/>
  <c r="D941" i="1"/>
  <c r="D1909" i="1"/>
  <c r="D1893" i="1"/>
  <c r="D2703" i="1"/>
  <c r="D90" i="1"/>
  <c r="D2688" i="1"/>
  <c r="D242" i="1"/>
  <c r="D1256" i="1"/>
  <c r="D318" i="1"/>
  <c r="D119" i="1"/>
  <c r="D2207" i="1"/>
  <c r="D2206" i="1"/>
  <c r="D2600" i="1"/>
  <c r="D2322" i="1"/>
  <c r="Z32" i="7"/>
  <c r="AJ32" i="7" s="1"/>
  <c r="AO32" i="7" s="1"/>
  <c r="E33" i="78" s="1"/>
  <c r="J33" i="78" s="1"/>
  <c r="P33" i="78" s="1"/>
  <c r="D2313" i="1"/>
  <c r="D1387" i="1"/>
  <c r="D1435" i="1"/>
  <c r="D2240" i="1"/>
  <c r="D2392" i="1"/>
  <c r="D2103" i="1"/>
  <c r="D2426" i="1"/>
  <c r="D2246" i="1"/>
  <c r="D2144" i="1"/>
  <c r="D2542" i="1"/>
  <c r="D2705" i="1"/>
  <c r="D2448" i="1"/>
  <c r="D2366" i="1"/>
  <c r="D2904" i="1"/>
  <c r="D2055" i="1"/>
  <c r="D2180" i="1"/>
  <c r="D2309" i="1"/>
  <c r="D2299" i="1"/>
  <c r="D2196" i="1"/>
  <c r="D2727" i="1"/>
  <c r="D2743" i="1"/>
  <c r="D2806" i="1"/>
  <c r="D2644" i="1"/>
  <c r="D2854" i="1"/>
  <c r="D2982" i="1"/>
  <c r="D2492" i="1"/>
  <c r="D2104" i="1"/>
  <c r="D2107" i="1"/>
  <c r="D2660" i="1"/>
  <c r="D2676" i="1"/>
  <c r="D2483" i="1"/>
  <c r="D1155" i="1"/>
  <c r="D1771" i="1"/>
  <c r="D1643" i="1"/>
  <c r="D1496" i="1"/>
  <c r="D1695" i="1"/>
  <c r="D1770" i="1"/>
  <c r="D2802" i="1"/>
  <c r="D2913" i="1"/>
  <c r="AB34" i="7"/>
  <c r="AL34" i="7" s="1"/>
  <c r="AQ34" i="7" s="1"/>
  <c r="G35" i="58" s="1"/>
  <c r="L35" i="58" s="1"/>
  <c r="R35" i="58" s="1"/>
  <c r="D1457" i="1"/>
  <c r="D1266" i="1"/>
  <c r="D1075" i="1"/>
  <c r="D1722" i="1"/>
  <c r="D1794" i="1"/>
  <c r="D1410" i="1"/>
  <c r="D2619" i="1"/>
  <c r="D2151" i="1"/>
  <c r="D2382" i="1"/>
  <c r="D2744" i="1"/>
  <c r="D2203" i="1"/>
  <c r="D1881" i="1"/>
  <c r="D2143" i="1"/>
  <c r="D2447" i="1"/>
  <c r="D2736" i="1"/>
  <c r="D2984" i="1"/>
  <c r="D1957" i="1"/>
  <c r="D2311" i="1"/>
  <c r="D2993" i="1"/>
  <c r="D2437" i="1"/>
  <c r="D2091" i="1"/>
  <c r="D2279" i="1"/>
  <c r="D2712" i="1"/>
  <c r="D2444" i="1"/>
  <c r="D2239" i="1"/>
  <c r="D2621" i="1"/>
  <c r="D2877" i="1"/>
  <c r="D3004" i="1"/>
  <c r="D2692" i="1"/>
  <c r="D2227" i="1"/>
  <c r="D2700" i="1"/>
  <c r="D3003" i="1"/>
  <c r="D2964" i="1"/>
  <c r="D2756" i="1"/>
  <c r="D2934" i="1"/>
  <c r="D2826" i="1"/>
  <c r="D2620" i="1"/>
  <c r="D1130" i="1"/>
  <c r="D1763" i="1"/>
  <c r="D1281" i="1"/>
  <c r="D1761" i="1"/>
  <c r="D1505" i="1"/>
  <c r="V55" i="70"/>
  <c r="D2659" i="1"/>
  <c r="D2706" i="1"/>
  <c r="D2334" i="1"/>
  <c r="D2502" i="1"/>
  <c r="D2438" i="1"/>
  <c r="D1978" i="1"/>
  <c r="D2960" i="1"/>
  <c r="D2001" i="1"/>
  <c r="D2208" i="1"/>
  <c r="D2526" i="1"/>
  <c r="D2801" i="1"/>
  <c r="D1894" i="1"/>
  <c r="D2235" i="1"/>
  <c r="D2597" i="1"/>
  <c r="D2123" i="1"/>
  <c r="D2478" i="1"/>
  <c r="D2840" i="1"/>
  <c r="D2815" i="1"/>
  <c r="D2362" i="1"/>
  <c r="D2453" i="1"/>
  <c r="D2654" i="1"/>
  <c r="D2653" i="1"/>
  <c r="D2908" i="1"/>
  <c r="D2581" i="1"/>
  <c r="D2900" i="1"/>
  <c r="D2156" i="1"/>
  <c r="D1932" i="1"/>
  <c r="D2867" i="1"/>
  <c r="G35" i="45"/>
  <c r="L35" i="45" s="1"/>
  <c r="R35" i="45" s="1"/>
  <c r="D467" i="1"/>
  <c r="D617" i="1"/>
  <c r="D887" i="1"/>
  <c r="D162" i="1"/>
  <c r="D2177" i="1"/>
  <c r="D1647" i="1"/>
  <c r="D1605" i="1"/>
  <c r="D1915" i="1"/>
  <c r="D2331" i="1"/>
  <c r="D2154" i="1"/>
  <c r="D710" i="1"/>
  <c r="D2266" i="1"/>
  <c r="D2346" i="1"/>
  <c r="D2552" i="1"/>
  <c r="D2940" i="1"/>
  <c r="D2639" i="1"/>
  <c r="D2907" i="1"/>
  <c r="D2114" i="1"/>
  <c r="D2546" i="1"/>
  <c r="D2320" i="1"/>
  <c r="D2648" i="1"/>
  <c r="D2849" i="1"/>
  <c r="D2762" i="1"/>
  <c r="D2427" i="1"/>
  <c r="D1767" i="1"/>
  <c r="D1979" i="1"/>
  <c r="D2457" i="1"/>
  <c r="D789" i="1"/>
  <c r="D2102" i="1"/>
  <c r="D2273" i="1"/>
  <c r="D2317" i="1"/>
  <c r="D2439" i="1"/>
  <c r="AA34" i="7"/>
  <c r="AK34" i="7" s="1"/>
  <c r="AP34" i="7" s="1"/>
  <c r="F35" i="58" s="1"/>
  <c r="K35" i="58" s="1"/>
  <c r="Q35" i="58" s="1"/>
  <c r="D382" i="1"/>
  <c r="D1415" i="1"/>
  <c r="D87" i="1"/>
  <c r="D1690" i="1"/>
  <c r="D2596" i="1"/>
  <c r="D343" i="1"/>
  <c r="D2506" i="1"/>
  <c r="D1995" i="1"/>
  <c r="D2671" i="1"/>
  <c r="D1821" i="1"/>
  <c r="D2658" i="1"/>
  <c r="D2267" i="1"/>
  <c r="D2000" i="1"/>
  <c r="D2155" i="1"/>
  <c r="D2122" i="1"/>
  <c r="D2087" i="1"/>
  <c r="D2153" i="1"/>
  <c r="D1798" i="1"/>
  <c r="D158" i="1"/>
  <c r="D1809" i="1"/>
  <c r="D1548" i="1"/>
  <c r="D492" i="1"/>
  <c r="D1646" i="1"/>
  <c r="D1352" i="1"/>
  <c r="D740" i="1"/>
  <c r="D1812" i="1"/>
  <c r="D1549" i="1"/>
  <c r="D1813" i="1"/>
  <c r="D1586" i="1"/>
  <c r="D1138" i="1"/>
  <c r="D661" i="1"/>
  <c r="D1400" i="1"/>
  <c r="D489" i="1"/>
  <c r="D805" i="1"/>
  <c r="D2345" i="1"/>
  <c r="D2590" i="1"/>
  <c r="D2490" i="1"/>
  <c r="D2968" i="1"/>
  <c r="D2672" i="1"/>
  <c r="D2085" i="1"/>
  <c r="D2428" i="1"/>
  <c r="D2578" i="1"/>
  <c r="D1819" i="1"/>
  <c r="D2790" i="1"/>
  <c r="D2398" i="1"/>
  <c r="D2259" i="1"/>
  <c r="D2835" i="1"/>
  <c r="D2906" i="1"/>
  <c r="D3006" i="1"/>
  <c r="D2452" i="1"/>
  <c r="AA20" i="7"/>
  <c r="AK20" i="7" s="1"/>
  <c r="AP20" i="7" s="1"/>
  <c r="D662" i="1"/>
  <c r="D1604" i="1"/>
  <c r="D209" i="1"/>
  <c r="D1452" i="1"/>
  <c r="D1606" i="1"/>
  <c r="D1607" i="1"/>
  <c r="D1099" i="1"/>
  <c r="D1382" i="1"/>
  <c r="D484" i="1"/>
  <c r="D1462" i="1"/>
  <c r="D1139" i="1"/>
  <c r="D423" i="1"/>
  <c r="D1383" i="1"/>
  <c r="D843" i="1"/>
  <c r="D1786" i="1"/>
  <c r="D1658" i="1"/>
  <c r="D1401" i="1"/>
  <c r="D1079" i="1"/>
  <c r="D1789" i="1"/>
  <c r="D1738" i="1"/>
  <c r="D1788" i="1"/>
  <c r="D2361" i="1"/>
  <c r="D1922" i="1"/>
  <c r="D2040" i="1"/>
  <c r="D2779" i="1"/>
  <c r="D1971" i="1"/>
  <c r="AB20" i="7"/>
  <c r="AL20" i="7" s="1"/>
  <c r="AQ20" i="7" s="1"/>
  <c r="D985" i="1"/>
  <c r="D593" i="1"/>
  <c r="D851" i="1"/>
  <c r="D1567" i="1"/>
  <c r="D767" i="1"/>
  <c r="D1413" i="1"/>
  <c r="D2486" i="1"/>
  <c r="D2330" i="1"/>
  <c r="D1282" i="1"/>
  <c r="D1663" i="1"/>
  <c r="D1757" i="1"/>
  <c r="D2052" i="1"/>
  <c r="D2512" i="1"/>
  <c r="D1221" i="1"/>
  <c r="D1685" i="1"/>
  <c r="D1972" i="1"/>
  <c r="D1666" i="1"/>
  <c r="D2268" i="1"/>
  <c r="D1451" i="1"/>
  <c r="D1898" i="1"/>
  <c r="D2476" i="1"/>
  <c r="D2004" i="1"/>
  <c r="D2296" i="1"/>
  <c r="D2946" i="1"/>
  <c r="D2796" i="1"/>
  <c r="D2850" i="1"/>
  <c r="D2976" i="1"/>
  <c r="D2216" i="1"/>
  <c r="D2463" i="1"/>
  <c r="D2718" i="1"/>
  <c r="D1667" i="1"/>
  <c r="D174" i="1"/>
  <c r="D1072" i="1"/>
  <c r="D426" i="1"/>
  <c r="D170" i="1"/>
  <c r="D1255" i="1"/>
  <c r="D1149" i="1"/>
  <c r="D369" i="1"/>
  <c r="D567" i="1"/>
  <c r="D370" i="1"/>
  <c r="D431" i="1"/>
  <c r="D303" i="1"/>
  <c r="D1025" i="1"/>
  <c r="D314" i="1"/>
  <c r="D780" i="1"/>
  <c r="D457" i="1"/>
  <c r="D1152" i="1"/>
  <c r="D2378" i="1"/>
  <c r="D1996" i="1"/>
  <c r="E35" i="46"/>
  <c r="J35" i="46" s="1"/>
  <c r="P35" i="46" s="1"/>
  <c r="D38" i="1"/>
  <c r="D1315" i="1"/>
  <c r="E33" i="37"/>
  <c r="J33" i="37" s="1"/>
  <c r="P33" i="37" s="1"/>
  <c r="E35" i="41"/>
  <c r="J35" i="41" s="1"/>
  <c r="P35" i="41" s="1"/>
  <c r="D150" i="1"/>
  <c r="D273" i="1"/>
  <c r="D729" i="1"/>
  <c r="D607" i="1"/>
  <c r="D1713" i="1"/>
  <c r="D1471" i="1"/>
  <c r="D2319" i="1"/>
  <c r="D2318" i="1"/>
  <c r="D2417" i="1"/>
  <c r="D2333" i="1"/>
  <c r="D2332" i="1"/>
  <c r="D2573" i="1"/>
  <c r="T23" i="7"/>
  <c r="AD23" i="7" s="1"/>
  <c r="D2179" i="1"/>
  <c r="D2178" i="1"/>
  <c r="D1897" i="1"/>
  <c r="D790" i="1"/>
  <c r="D1426" i="1"/>
  <c r="D1684" i="1"/>
  <c r="D1683" i="1"/>
  <c r="D1760" i="1"/>
  <c r="D1759" i="1"/>
  <c r="D1842" i="1"/>
  <c r="D1841" i="1"/>
  <c r="D231" i="1"/>
  <c r="D380" i="1"/>
  <c r="D381" i="1"/>
  <c r="D1871" i="1"/>
  <c r="D1220" i="1"/>
  <c r="D786" i="1"/>
  <c r="D2146" i="1"/>
  <c r="D2145" i="1"/>
  <c r="D2010" i="1"/>
  <c r="D1253" i="1"/>
  <c r="D1062" i="1"/>
  <c r="D1063" i="1"/>
  <c r="D934" i="1"/>
  <c r="D935" i="1"/>
  <c r="D1386" i="1"/>
  <c r="D1385" i="1"/>
  <c r="D298" i="1"/>
  <c r="D1082" i="1"/>
  <c r="D310" i="1"/>
  <c r="D1265" i="1"/>
  <c r="D432" i="1"/>
  <c r="D2704" i="1"/>
  <c r="D2726" i="1"/>
  <c r="D1585" i="1"/>
  <c r="D853" i="1"/>
  <c r="D1483" i="1"/>
  <c r="D1662" i="1"/>
  <c r="D1482" i="1"/>
  <c r="D1324" i="1"/>
  <c r="D1196" i="1"/>
  <c r="D505" i="1"/>
  <c r="D1151" i="1"/>
  <c r="D894" i="1"/>
  <c r="D830" i="1"/>
  <c r="D574" i="1"/>
  <c r="D1176" i="1"/>
  <c r="D1016" i="1"/>
  <c r="D690" i="1"/>
  <c r="D25" i="1"/>
  <c r="D454" i="1"/>
  <c r="D614" i="1"/>
  <c r="D1301" i="1"/>
  <c r="D712" i="1"/>
  <c r="D458" i="1"/>
  <c r="D619" i="1"/>
  <c r="D120" i="1"/>
  <c r="D1254" i="1"/>
  <c r="D870" i="1"/>
  <c r="D360" i="1"/>
  <c r="D1513" i="1"/>
  <c r="D535" i="1"/>
  <c r="D1876" i="1"/>
  <c r="D1294" i="1"/>
  <c r="D1639" i="1"/>
  <c r="D1389" i="1"/>
  <c r="D69" i="1"/>
  <c r="D1163" i="1"/>
  <c r="D63" i="1"/>
  <c r="D1201" i="1"/>
  <c r="D674" i="1"/>
  <c r="D233" i="1"/>
  <c r="D799" i="1"/>
  <c r="D168" i="1"/>
  <c r="D1248" i="1"/>
  <c r="D516" i="1"/>
  <c r="D1277" i="1"/>
  <c r="D357" i="1"/>
  <c r="D889" i="1"/>
  <c r="D305" i="1"/>
  <c r="D1083" i="1"/>
  <c r="D788" i="1"/>
  <c r="D532" i="1"/>
  <c r="D54" i="1"/>
  <c r="D951" i="1"/>
  <c r="D434" i="1"/>
  <c r="D34" i="1"/>
  <c r="D660" i="1"/>
  <c r="D200" i="1"/>
  <c r="D802" i="1"/>
  <c r="D546" i="1"/>
  <c r="D377" i="1"/>
  <c r="D900" i="1"/>
  <c r="D126" i="1"/>
  <c r="D312" i="1"/>
  <c r="D294" i="1"/>
  <c r="D881" i="1"/>
  <c r="D869" i="1"/>
  <c r="D625" i="1"/>
  <c r="D653" i="1"/>
  <c r="D932" i="1"/>
  <c r="D1476" i="1"/>
  <c r="D1067" i="1"/>
  <c r="D944" i="1"/>
  <c r="D1046" i="1"/>
  <c r="D652" i="1"/>
  <c r="D176" i="1"/>
  <c r="D486" i="1"/>
  <c r="D1673" i="1"/>
  <c r="D1209" i="1"/>
  <c r="D971" i="1"/>
  <c r="D1450" i="1"/>
  <c r="D1843" i="1"/>
  <c r="D1826" i="1"/>
  <c r="D815" i="1"/>
  <c r="D1665" i="1"/>
  <c r="D873" i="1"/>
  <c r="D559" i="1"/>
  <c r="D588" i="1"/>
  <c r="D1280" i="1"/>
  <c r="D1091" i="1"/>
  <c r="D538" i="1"/>
  <c r="D1449" i="1"/>
  <c r="D2432" i="1"/>
  <c r="D494" i="1"/>
  <c r="D1541" i="1"/>
  <c r="D1154" i="1"/>
  <c r="D1687" i="1"/>
  <c r="D1814" i="1"/>
  <c r="D2070" i="1"/>
  <c r="D2326" i="1"/>
  <c r="D2011" i="1"/>
  <c r="D1557" i="1"/>
  <c r="D1591" i="1"/>
  <c r="D1775" i="1"/>
  <c r="D1143" i="1"/>
  <c r="D1371" i="1"/>
  <c r="D1275" i="1"/>
  <c r="D1288" i="1"/>
  <c r="D1839" i="1"/>
  <c r="D1338" i="1"/>
  <c r="D1629" i="1"/>
  <c r="D1465" i="1"/>
  <c r="D1010" i="1"/>
  <c r="D1633" i="1"/>
  <c r="D1551" i="1"/>
  <c r="D1210" i="1"/>
  <c r="D2236" i="1"/>
  <c r="D1147" i="1"/>
  <c r="D1409" i="1"/>
  <c r="D947" i="1"/>
  <c r="D1602" i="1"/>
  <c r="D2379" i="1"/>
  <c r="D1594" i="1"/>
  <c r="D2027" i="1"/>
  <c r="D1973" i="1"/>
  <c r="D2222" i="1"/>
  <c r="D1982" i="1"/>
  <c r="D2501" i="1"/>
  <c r="D2707" i="1"/>
  <c r="D2224" i="1"/>
  <c r="D2778" i="1"/>
  <c r="D1991" i="1"/>
  <c r="D2503" i="1"/>
  <c r="D1892" i="1"/>
  <c r="D2517" i="1"/>
  <c r="D1940" i="1"/>
  <c r="D2220" i="1"/>
  <c r="D2548" i="1"/>
  <c r="D2576" i="1"/>
  <c r="D2037" i="1"/>
  <c r="D2194" i="1"/>
  <c r="D2970" i="1"/>
  <c r="D2406" i="1"/>
  <c r="D2918" i="1"/>
  <c r="D2626" i="1"/>
  <c r="D2961" i="1"/>
  <c r="D2020" i="1"/>
  <c r="D2664" i="1"/>
  <c r="D2792" i="1"/>
  <c r="D2005" i="1"/>
  <c r="D1924" i="1"/>
  <c r="D2732" i="1"/>
  <c r="D2160" i="1"/>
  <c r="D2910" i="1"/>
  <c r="D2053" i="1"/>
  <c r="D2828" i="1"/>
  <c r="D2430" i="1"/>
  <c r="D2897" i="1"/>
  <c r="D2616" i="1"/>
  <c r="D2872" i="1"/>
  <c r="D1918" i="1"/>
  <c r="D2928" i="1"/>
  <c r="D2710" i="1"/>
  <c r="D2959" i="1"/>
  <c r="D2870" i="1"/>
  <c r="D2292" i="1"/>
  <c r="D2864" i="1"/>
  <c r="D1127" i="1"/>
  <c r="D121" i="1"/>
  <c r="D1023" i="1"/>
  <c r="D668" i="1"/>
  <c r="D183" i="1"/>
  <c r="D1206" i="1"/>
  <c r="D2324" i="1"/>
  <c r="D2150" i="1"/>
  <c r="D2310" i="1"/>
  <c r="D2460" i="1"/>
  <c r="D2863" i="1"/>
  <c r="AB23" i="7"/>
  <c r="AL23" i="7" s="1"/>
  <c r="AQ23" i="7" s="1"/>
  <c r="G24" i="37" s="1"/>
  <c r="L24" i="37" s="1"/>
  <c r="R24" i="37" s="1"/>
  <c r="D1796" i="1"/>
  <c r="D62" i="1"/>
  <c r="D958" i="1"/>
  <c r="D2436" i="1"/>
  <c r="D2238" i="1"/>
  <c r="D1619" i="1"/>
  <c r="D1381" i="1"/>
  <c r="D2618" i="1"/>
  <c r="D2226" i="1"/>
  <c r="D713" i="1"/>
  <c r="D644" i="1"/>
  <c r="D645" i="1"/>
  <c r="D695" i="1"/>
  <c r="D178" i="1"/>
  <c r="D111" i="1"/>
  <c r="D895" i="1"/>
  <c r="D378" i="1"/>
  <c r="D957" i="1"/>
  <c r="D2894" i="1"/>
  <c r="D2455" i="1"/>
  <c r="D2737" i="1"/>
  <c r="D2604" i="1"/>
  <c r="D2920" i="1"/>
  <c r="D2559" i="1"/>
  <c r="D2218" i="1"/>
  <c r="D2724" i="1"/>
  <c r="D2420" i="1"/>
  <c r="D2827" i="1"/>
  <c r="D2914" i="1"/>
  <c r="D2204" i="1"/>
  <c r="D2674" i="1"/>
  <c r="D2673" i="1"/>
  <c r="D2083" i="1"/>
  <c r="D1952" i="1"/>
  <c r="D1927" i="1"/>
  <c r="G35" i="37"/>
  <c r="L35" i="37" s="1"/>
  <c r="R35" i="37" s="1"/>
  <c r="D1797" i="1"/>
  <c r="D2278" i="1"/>
  <c r="D1493" i="1"/>
  <c r="D1835" i="1"/>
  <c r="D1532" i="1"/>
  <c r="D2547" i="1"/>
  <c r="D361" i="1"/>
  <c r="D234" i="1"/>
  <c r="D367" i="1"/>
  <c r="D831" i="1"/>
  <c r="D122" i="1"/>
  <c r="D525" i="1"/>
  <c r="D1085" i="1"/>
  <c r="D185" i="1"/>
  <c r="D184" i="1"/>
  <c r="G35" i="85"/>
  <c r="L35" i="85" s="1"/>
  <c r="R35" i="85" s="1"/>
  <c r="D1017" i="1"/>
  <c r="D1880" i="1"/>
  <c r="D1499" i="1"/>
  <c r="D1550" i="1"/>
  <c r="D1287" i="1"/>
  <c r="D1653" i="1"/>
  <c r="D1703" i="1"/>
  <c r="D1408" i="1"/>
  <c r="D2449" i="1"/>
  <c r="D2009" i="1"/>
  <c r="D2513" i="1"/>
  <c r="D2662" i="1"/>
  <c r="D1472" i="1"/>
  <c r="D1851" i="1"/>
  <c r="D2162" i="1"/>
  <c r="D2539" i="1"/>
  <c r="D2068" i="1"/>
  <c r="D2094" i="1"/>
  <c r="D2862" i="1"/>
  <c r="D2327" i="1"/>
  <c r="D2373" i="1"/>
  <c r="D2803" i="1"/>
  <c r="D2931" i="1"/>
  <c r="D2142" i="1"/>
  <c r="D2746" i="1"/>
  <c r="D2375" i="1"/>
  <c r="D2555" i="1"/>
  <c r="D2390" i="1"/>
  <c r="D2668" i="1"/>
  <c r="D1899" i="1"/>
  <c r="D2131" i="1"/>
  <c r="D2971" i="1"/>
  <c r="D2099" i="1"/>
  <c r="D2865" i="1"/>
  <c r="D2516" i="1"/>
  <c r="D2549" i="1"/>
  <c r="D2272" i="1"/>
  <c r="D1980" i="1"/>
  <c r="D2043" i="1"/>
  <c r="D2283" i="1"/>
  <c r="D2588" i="1"/>
  <c r="D2181" i="1"/>
  <c r="D2684" i="1"/>
  <c r="D1936" i="1"/>
  <c r="D2754" i="1"/>
  <c r="D2922" i="1"/>
  <c r="D2215" i="1"/>
  <c r="D2962" i="1"/>
  <c r="D2069" i="1"/>
  <c r="D2887" i="1"/>
  <c r="D1920" i="1"/>
  <c r="D2646" i="1"/>
  <c r="D2487" i="1"/>
  <c r="D2652" i="1"/>
  <c r="D2988" i="1"/>
  <c r="D2014" i="1"/>
  <c r="D2282" i="1"/>
  <c r="D1987" i="1"/>
  <c r="D2748" i="1"/>
  <c r="D2471" i="1"/>
  <c r="D2325" i="1"/>
  <c r="D2807" i="1"/>
  <c r="D2112" i="1"/>
  <c r="D2808" i="1"/>
  <c r="D2636" i="1"/>
  <c r="D2787" i="1"/>
  <c r="D2929" i="1"/>
  <c r="D2468" i="1"/>
  <c r="D2464" i="1"/>
  <c r="D2510" i="1"/>
  <c r="D2411" i="1"/>
  <c r="D2876" i="1"/>
  <c r="D1886" i="1"/>
  <c r="D2992" i="1"/>
  <c r="D2030" i="1"/>
  <c r="D2721" i="1"/>
  <c r="D2767" i="1"/>
  <c r="D2990" i="1"/>
  <c r="D2608" i="1"/>
  <c r="D2804" i="1"/>
  <c r="D1990" i="1"/>
  <c r="D2776" i="1"/>
  <c r="D2185" i="1"/>
  <c r="D2057" i="1"/>
  <c r="D1142" i="1"/>
  <c r="D1498" i="1"/>
  <c r="D1370" i="1"/>
  <c r="D1820" i="1"/>
  <c r="D1418" i="1"/>
  <c r="D125" i="1"/>
  <c r="D304" i="1"/>
  <c r="D1628" i="1"/>
  <c r="D2225" i="1"/>
  <c r="D602" i="1"/>
  <c r="D1708" i="1"/>
  <c r="D1707" i="1"/>
  <c r="D45" i="1"/>
  <c r="D46" i="1"/>
  <c r="D1126" i="1"/>
  <c r="D1003" i="1"/>
  <c r="D999" i="1"/>
  <c r="D1748" i="1"/>
  <c r="D1747" i="1"/>
  <c r="D1878" i="1"/>
  <c r="D1877" i="1"/>
  <c r="D362" i="1"/>
  <c r="D1120" i="1"/>
  <c r="D424" i="1"/>
  <c r="D1146" i="1"/>
  <c r="D1145" i="1"/>
  <c r="D657" i="1"/>
  <c r="D239" i="1"/>
  <c r="D936" i="1"/>
  <c r="D937" i="1"/>
  <c r="D575" i="1"/>
  <c r="D250" i="1"/>
  <c r="D56" i="1"/>
  <c r="D55" i="1"/>
  <c r="D531" i="1"/>
  <c r="D530" i="1"/>
  <c r="D245" i="1"/>
  <c r="D2033" i="1"/>
  <c r="D2032" i="1"/>
  <c r="D2193" i="1"/>
  <c r="D2192" i="1"/>
  <c r="D2402" i="1"/>
  <c r="D2401" i="1"/>
  <c r="D890" i="1"/>
  <c r="D2719" i="1"/>
  <c r="D2720" i="1"/>
  <c r="W32" i="7"/>
  <c r="AG32" i="7" s="1"/>
  <c r="X34" i="7"/>
  <c r="AH34" i="7" s="1"/>
  <c r="D1283" i="1"/>
  <c r="D2768" i="1"/>
  <c r="D1273" i="1"/>
  <c r="D1787" i="1"/>
  <c r="D1749" i="1"/>
  <c r="D2360" i="1"/>
  <c r="D2484" i="1"/>
  <c r="D1417" i="1"/>
  <c r="D1709" i="1"/>
  <c r="D2012" i="1"/>
  <c r="D880" i="1"/>
  <c r="D946" i="1"/>
  <c r="D1850" i="1"/>
  <c r="D373" i="1"/>
  <c r="D1929" i="1"/>
  <c r="D874" i="1"/>
  <c r="D859" i="1"/>
  <c r="D2412" i="1"/>
  <c r="D2629" i="1"/>
  <c r="D2630" i="1"/>
  <c r="D2987" i="1"/>
  <c r="D2759" i="1"/>
  <c r="D2451" i="1"/>
  <c r="D2450" i="1"/>
  <c r="D2637" i="1"/>
  <c r="D1943" i="1"/>
  <c r="D2395" i="1"/>
  <c r="D2396" i="1"/>
  <c r="D2677" i="1"/>
  <c r="D2678" i="1"/>
  <c r="D2843" i="1"/>
  <c r="D1554" i="1"/>
  <c r="D2852" i="1"/>
  <c r="N27" i="51"/>
  <c r="S27" i="51" s="1"/>
  <c r="K27" i="51"/>
  <c r="P27" i="51" s="1"/>
  <c r="L27" i="51"/>
  <c r="Q27" i="51" s="1"/>
  <c r="V27" i="51" s="1"/>
  <c r="AF27" i="51" s="1"/>
  <c r="U20" i="7"/>
  <c r="AE20" i="7" s="1"/>
  <c r="D2977" i="1"/>
  <c r="D2978" i="1"/>
  <c r="X32" i="7"/>
  <c r="AH32" i="7" s="1"/>
  <c r="D2947" i="1"/>
  <c r="D1473" i="1"/>
  <c r="D1128" i="1"/>
  <c r="D2054" i="1"/>
  <c r="D2374" i="1"/>
  <c r="D2084" i="1"/>
  <c r="D2698" i="1"/>
  <c r="D2963" i="1"/>
  <c r="D1875" i="1"/>
  <c r="D654" i="1"/>
  <c r="U27" i="7"/>
  <c r="AE27" i="7" s="1"/>
  <c r="D2839" i="1"/>
  <c r="D2991" i="1"/>
  <c r="D1923" i="1"/>
  <c r="D1090" i="1"/>
  <c r="D2675" i="1"/>
  <c r="D1086" i="1"/>
  <c r="D702" i="1"/>
  <c r="D1355" i="1"/>
  <c r="D742" i="1"/>
  <c r="D628" i="1"/>
  <c r="D620" i="1"/>
  <c r="D827" i="1"/>
  <c r="D1862" i="1"/>
  <c r="D1861" i="1"/>
  <c r="D1325" i="1"/>
  <c r="D1580" i="1"/>
  <c r="D1579" i="1"/>
  <c r="D112" i="1"/>
  <c r="D113" i="1"/>
  <c r="D1838" i="1"/>
  <c r="D1837" i="1"/>
  <c r="D527" i="1"/>
  <c r="D106" i="1"/>
  <c r="D818" i="1"/>
  <c r="D306" i="1"/>
  <c r="D1858" i="1"/>
  <c r="D1857" i="1"/>
  <c r="D439" i="1"/>
  <c r="D1656" i="1"/>
  <c r="D2489" i="1"/>
  <c r="D2488" i="1"/>
  <c r="D2691" i="1"/>
  <c r="D2690" i="1"/>
  <c r="D1390" i="1"/>
  <c r="D2580" i="1"/>
  <c r="D2579" i="1"/>
  <c r="D2627" i="1"/>
  <c r="D2628" i="1"/>
  <c r="D2851" i="1"/>
  <c r="D2799" i="1"/>
  <c r="D2800" i="1"/>
  <c r="D1859" i="1"/>
  <c r="D1657" i="1"/>
  <c r="D1164" i="1"/>
  <c r="D696" i="1"/>
  <c r="D2860" i="1"/>
  <c r="D2523" i="1"/>
  <c r="D2522" i="1"/>
  <c r="D2381" i="1"/>
  <c r="D2380" i="1"/>
  <c r="D2157" i="1"/>
  <c r="D2158" i="1"/>
  <c r="D2354" i="1"/>
  <c r="D2355" i="1"/>
  <c r="D2403" i="1"/>
  <c r="D2890" i="1"/>
  <c r="D311" i="1"/>
  <c r="D1603" i="1"/>
  <c r="D246" i="1"/>
  <c r="D891" i="1"/>
  <c r="D1563" i="1"/>
  <c r="D2730" i="1"/>
  <c r="D3002" i="1"/>
  <c r="D425" i="1"/>
  <c r="D1944" i="1"/>
  <c r="D2848" i="1"/>
  <c r="D2132" i="1"/>
  <c r="D117" i="1"/>
  <c r="D2281" i="1"/>
  <c r="D2024" i="1"/>
  <c r="D1640" i="1"/>
  <c r="D534" i="1"/>
  <c r="D1295" i="1"/>
  <c r="D1516" i="1"/>
  <c r="D1005" i="1"/>
  <c r="D539" i="1"/>
  <c r="D1670" i="1"/>
  <c r="D1215" i="1"/>
  <c r="D819" i="1"/>
  <c r="D255" i="1"/>
  <c r="D368" i="1"/>
  <c r="D301" i="1"/>
  <c r="D840" i="1"/>
  <c r="D584" i="1"/>
  <c r="D1856" i="1"/>
  <c r="D832" i="1"/>
  <c r="D353" i="1"/>
  <c r="D1045" i="1"/>
  <c r="D1686" i="1"/>
  <c r="D232" i="1"/>
  <c r="D1008" i="1"/>
  <c r="D1885" i="1"/>
  <c r="D2149" i="1"/>
  <c r="D2277" i="1"/>
  <c r="D2023" i="1"/>
  <c r="D2777" i="1"/>
  <c r="D2045" i="1"/>
  <c r="D2613" i="1"/>
  <c r="D1935" i="1"/>
  <c r="D2651" i="1"/>
  <c r="D1966" i="1"/>
  <c r="D2141" i="1"/>
  <c r="D2781" i="1"/>
  <c r="D540" i="1"/>
  <c r="D1425" i="1"/>
  <c r="D714" i="1"/>
  <c r="D1200" i="1"/>
  <c r="D2095" i="1"/>
  <c r="D2543" i="1"/>
  <c r="D2873" i="1"/>
  <c r="D1512" i="1"/>
  <c r="D1954" i="1"/>
  <c r="D2367" i="1"/>
  <c r="D2905" i="1"/>
  <c r="D1840" i="1"/>
  <c r="D1852" i="1"/>
  <c r="D2481" i="1"/>
  <c r="D2042" i="1"/>
  <c r="D2031" i="1"/>
  <c r="D2617" i="1"/>
  <c r="D2793" i="1"/>
  <c r="D2209" i="1"/>
  <c r="D1919" i="1"/>
  <c r="D2223" i="1"/>
  <c r="D1965" i="1"/>
  <c r="D2301" i="1"/>
  <c r="D2603" i="1"/>
  <c r="D2237" i="1"/>
  <c r="D2429" i="1"/>
  <c r="D2605" i="1"/>
  <c r="D2685" i="1"/>
  <c r="D2941" i="1"/>
  <c r="D2191" i="1"/>
  <c r="D1737" i="1"/>
  <c r="D973" i="1"/>
  <c r="D824" i="1"/>
  <c r="D475" i="1"/>
  <c r="D1638" i="1"/>
  <c r="D1671" i="1"/>
  <c r="D1304" i="1"/>
  <c r="D691" i="1"/>
  <c r="D389" i="1"/>
  <c r="D1227" i="1"/>
  <c r="D131" i="1"/>
  <c r="D127" i="1"/>
  <c r="D1740" i="1"/>
  <c r="D1439" i="1"/>
  <c r="D173" i="1"/>
  <c r="D683" i="1"/>
  <c r="D1869" i="1"/>
  <c r="D1742" i="1"/>
  <c r="D1158" i="1"/>
  <c r="D847" i="1"/>
  <c r="D590" i="1"/>
  <c r="D1824" i="1"/>
  <c r="D704" i="1"/>
  <c r="D1321" i="1"/>
  <c r="D753" i="1"/>
  <c r="D35" i="1"/>
  <c r="D1195" i="1"/>
  <c r="D1780" i="1"/>
  <c r="D1507" i="1"/>
  <c r="D1781" i="1"/>
  <c r="D1510" i="1"/>
  <c r="D1863" i="1"/>
  <c r="D1367" i="1"/>
  <c r="D1777" i="1"/>
  <c r="D1291" i="1"/>
  <c r="D191" i="1"/>
  <c r="D834" i="1"/>
  <c r="D1299" i="1"/>
  <c r="D709" i="1"/>
  <c r="D453" i="1"/>
  <c r="D10" i="1"/>
  <c r="D1615" i="1"/>
  <c r="D1024" i="1"/>
  <c r="D1689" i="1"/>
  <c r="D1115" i="1"/>
  <c r="D987" i="1"/>
  <c r="D844" i="1"/>
  <c r="D495" i="1"/>
  <c r="D1688" i="1"/>
  <c r="D1634" i="1"/>
  <c r="D1506" i="1"/>
  <c r="D1059" i="1"/>
  <c r="D741" i="1"/>
  <c r="D646" i="1"/>
  <c r="D1984" i="1"/>
  <c r="D2161" i="1"/>
  <c r="D2456" i="1"/>
  <c r="D2592" i="1"/>
  <c r="D2624" i="1"/>
  <c r="D2752" i="1"/>
  <c r="D2880" i="1"/>
  <c r="D1888" i="1"/>
  <c r="D2416" i="1"/>
  <c r="D1903" i="1"/>
  <c r="D2415" i="1"/>
  <c r="D2560" i="1"/>
  <c r="D2832" i="1"/>
  <c r="D2264" i="1"/>
  <c r="D1989" i="1"/>
  <c r="D2431" i="1"/>
  <c r="D2697" i="1"/>
  <c r="D2077" i="1"/>
  <c r="D2485" i="1"/>
  <c r="D2647" i="1"/>
  <c r="D1997" i="1"/>
  <c r="D2791" i="1"/>
  <c r="D2587" i="1"/>
  <c r="D2948" i="1"/>
  <c r="D1874" i="1"/>
  <c r="D1618" i="1"/>
  <c r="D133" i="1"/>
  <c r="D383" i="1"/>
  <c r="D807" i="1"/>
  <c r="D551" i="1"/>
  <c r="D1804" i="1"/>
  <c r="D1676" i="1"/>
  <c r="D1540" i="1"/>
  <c r="D429" i="1"/>
  <c r="D1396" i="1"/>
  <c r="D1140" i="1"/>
  <c r="D1012" i="1"/>
  <c r="D884" i="1"/>
  <c r="D1805" i="1"/>
  <c r="D1677" i="1"/>
  <c r="D966" i="1"/>
  <c r="D814" i="1"/>
  <c r="D558" i="1"/>
  <c r="D1751" i="1"/>
  <c r="D1479" i="1"/>
  <c r="D809" i="1"/>
  <c r="D253" i="1"/>
  <c r="D1065" i="1"/>
  <c r="D659" i="1"/>
  <c r="D1006" i="1"/>
  <c r="D1799" i="1"/>
  <c r="D1649" i="1"/>
  <c r="D1521" i="1"/>
  <c r="D447" i="1"/>
  <c r="D444" i="1"/>
  <c r="D201" i="1"/>
  <c r="D1363" i="1"/>
  <c r="D1235" i="1"/>
  <c r="D1107" i="1"/>
  <c r="D979" i="1"/>
  <c r="D837" i="1"/>
  <c r="D587" i="1"/>
  <c r="D1216" i="1"/>
  <c r="D229" i="1"/>
  <c r="D1114" i="1"/>
  <c r="D986" i="1"/>
  <c r="D1307" i="1"/>
  <c r="D1179" i="1"/>
  <c r="D923" i="1"/>
  <c r="D1160" i="1"/>
  <c r="D995" i="1"/>
  <c r="D519" i="1"/>
  <c r="D1727" i="1"/>
  <c r="D1853" i="1"/>
  <c r="D2722" i="1"/>
  <c r="D1691" i="1"/>
  <c r="D2770" i="1"/>
  <c r="D1659" i="1"/>
  <c r="D2128" i="1"/>
  <c r="D2472" i="1"/>
  <c r="D2747" i="1"/>
  <c r="D1974" i="1"/>
  <c r="D1914" i="1"/>
  <c r="D2689" i="1"/>
  <c r="D2159" i="1"/>
  <c r="D2335" i="1"/>
  <c r="D2530" i="1"/>
  <c r="D2383" i="1"/>
  <c r="D2591" i="1"/>
  <c r="D2745" i="1"/>
  <c r="D2921" i="1"/>
  <c r="D2466" i="1"/>
  <c r="D1917" i="1"/>
  <c r="D2127" i="1"/>
  <c r="D2229" i="1"/>
  <c r="D2589" i="1"/>
  <c r="D2399" i="1"/>
  <c r="D2291" i="1"/>
  <c r="D2749" i="1"/>
  <c r="D3005" i="1"/>
  <c r="D2631" i="1"/>
  <c r="D2645" i="1"/>
  <c r="D2725" i="1"/>
  <c r="D2853" i="1"/>
  <c r="D2640" i="1"/>
  <c r="D2788" i="1"/>
  <c r="D2805" i="1"/>
  <c r="E24" i="46"/>
  <c r="J24" i="46" s="1"/>
  <c r="P24" i="46" s="1"/>
  <c r="D2280" i="1"/>
  <c r="D1641" i="1"/>
  <c r="D491" i="1"/>
  <c r="D1231" i="1"/>
  <c r="D1054" i="1"/>
  <c r="D1184" i="1"/>
  <c r="D1332" i="1"/>
  <c r="D1076" i="1"/>
  <c r="D948" i="1"/>
  <c r="D665" i="1"/>
  <c r="D181" i="1"/>
  <c r="D902" i="1"/>
  <c r="D320" i="1"/>
  <c r="D102" i="1"/>
  <c r="D764" i="1"/>
  <c r="D671" i="1"/>
  <c r="D1153" i="1"/>
  <c r="D589" i="1"/>
  <c r="D1444" i="1"/>
  <c r="D2930" i="1"/>
  <c r="E24" i="41"/>
  <c r="J24" i="41" s="1"/>
  <c r="P24" i="41" s="1"/>
  <c r="D820" i="1"/>
  <c r="D1517" i="1"/>
  <c r="D53" i="1"/>
  <c r="D1694" i="1"/>
  <c r="D1808" i="1"/>
  <c r="D2694" i="1"/>
  <c r="D2152" i="1"/>
  <c r="D1769" i="1"/>
  <c r="D1420" i="1"/>
  <c r="D1312" i="1"/>
  <c r="D2521" i="1"/>
  <c r="D2994" i="1"/>
  <c r="D33" i="78"/>
  <c r="I33" i="78" s="1"/>
  <c r="O33" i="78" s="1"/>
  <c r="T33" i="78" s="1"/>
  <c r="D2049" i="1"/>
  <c r="D2570" i="1"/>
  <c r="D2842" i="1"/>
  <c r="D485" i="1"/>
  <c r="D33" i="72"/>
  <c r="I33" i="72" s="1"/>
  <c r="O33" i="72" s="1"/>
  <c r="T33" i="72" s="1"/>
  <c r="D2195" i="1"/>
  <c r="D2205" i="1"/>
  <c r="D2965" i="1"/>
  <c r="D1872" i="1"/>
  <c r="D1520" i="1"/>
  <c r="D1953" i="1"/>
  <c r="D2221" i="1"/>
  <c r="D2435" i="1"/>
  <c r="D1941" i="1"/>
  <c r="D2879" i="1"/>
  <c r="D2809" i="1"/>
  <c r="D356" i="1"/>
  <c r="D2370" i="1"/>
  <c r="D2219" i="1"/>
  <c r="D2475" i="1"/>
  <c r="D1887" i="1"/>
  <c r="D2909" i="1"/>
  <c r="D2773" i="1"/>
  <c r="D2663" i="1"/>
  <c r="D2467" i="1"/>
  <c r="D2098" i="1"/>
  <c r="D2314" i="1"/>
  <c r="D2649" i="1"/>
  <c r="D2491" i="1"/>
  <c r="D2595" i="1"/>
  <c r="D2855" i="1"/>
  <c r="D1938" i="1"/>
  <c r="D1150" i="1"/>
  <c r="D387" i="1"/>
  <c r="D1535" i="1"/>
  <c r="D1969" i="1"/>
  <c r="D1047" i="1"/>
  <c r="D1568" i="1"/>
  <c r="D2765" i="1"/>
  <c r="D1278" i="1"/>
  <c r="D1021" i="1"/>
  <c r="D562" i="1"/>
  <c r="D1320" i="1"/>
  <c r="D879" i="1"/>
  <c r="D543" i="1"/>
  <c r="D2074" i="1"/>
  <c r="D775" i="1"/>
  <c r="D1004" i="1"/>
  <c r="D317" i="1"/>
  <c r="D2051" i="1"/>
  <c r="D1608" i="1"/>
  <c r="D811" i="1"/>
  <c r="D1237" i="1"/>
  <c r="D1882" i="1"/>
  <c r="D1453" i="1"/>
  <c r="D483" i="1"/>
  <c r="D911" i="1"/>
  <c r="D33" i="44"/>
  <c r="I33" i="44" s="1"/>
  <c r="O33" i="44" s="1"/>
  <c r="T33" i="44" s="1"/>
  <c r="E35" i="44"/>
  <c r="J35" i="44" s="1"/>
  <c r="P35" i="44" s="1"/>
  <c r="E35" i="58"/>
  <c r="J35" i="58" s="1"/>
  <c r="P35" i="58" s="1"/>
  <c r="D182" i="1"/>
  <c r="D33" i="46"/>
  <c r="I33" i="46" s="1"/>
  <c r="O33" i="46" s="1"/>
  <c r="T33" i="46" s="1"/>
  <c r="D33" i="37"/>
  <c r="I33" i="37" s="1"/>
  <c r="O33" i="37" s="1"/>
  <c r="T33" i="37" s="1"/>
  <c r="E35" i="85"/>
  <c r="J35" i="85" s="1"/>
  <c r="P35" i="85" s="1"/>
  <c r="E35" i="72"/>
  <c r="J35" i="72" s="1"/>
  <c r="P35" i="72" s="1"/>
  <c r="Z26" i="7"/>
  <c r="AJ26" i="7" s="1"/>
  <c r="AO26" i="7" s="1"/>
  <c r="E27" i="58" s="1"/>
  <c r="J27" i="58" s="1"/>
  <c r="P27" i="58" s="1"/>
  <c r="D33" i="85"/>
  <c r="I33" i="85" s="1"/>
  <c r="O33" i="85" s="1"/>
  <c r="T33" i="85" s="1"/>
  <c r="D33" i="58"/>
  <c r="I33" i="58" s="1"/>
  <c r="O33" i="58" s="1"/>
  <c r="T33" i="58" s="1"/>
  <c r="E35" i="78"/>
  <c r="J35" i="78" s="1"/>
  <c r="P35" i="78" s="1"/>
  <c r="E35" i="45"/>
  <c r="J35" i="45" s="1"/>
  <c r="P35" i="45" s="1"/>
  <c r="AB33" i="7"/>
  <c r="AL33" i="7" s="1"/>
  <c r="AQ33" i="7" s="1"/>
  <c r="G34" i="37" s="1"/>
  <c r="L34" i="37" s="1"/>
  <c r="R34" i="37" s="1"/>
  <c r="AB22" i="7"/>
  <c r="AL22" i="7" s="1"/>
  <c r="AQ22" i="7" s="1"/>
  <c r="G23" i="58" s="1"/>
  <c r="L23" i="58" s="1"/>
  <c r="R23" i="58" s="1"/>
  <c r="D1303" i="1"/>
  <c r="D1779" i="1"/>
  <c r="D608" i="1"/>
  <c r="D517" i="1"/>
  <c r="D1333" i="1"/>
  <c r="D2003" i="1"/>
  <c r="D2868" i="1"/>
  <c r="D263" i="1"/>
  <c r="D2666" i="1"/>
  <c r="D564" i="1"/>
  <c r="D194" i="1"/>
  <c r="D258" i="1"/>
  <c r="D135" i="1"/>
  <c r="D33" i="1"/>
  <c r="D583" i="1"/>
  <c r="D193" i="1"/>
  <c r="D1027" i="1"/>
  <c r="D1597" i="1"/>
  <c r="D838" i="1"/>
  <c r="D1431" i="1"/>
  <c r="D1627" i="1"/>
  <c r="D1795" i="1"/>
  <c r="D1964" i="1"/>
  <c r="D2410" i="1"/>
  <c r="D2500" i="1"/>
  <c r="D2811" i="1"/>
  <c r="D2764" i="1"/>
  <c r="D2007" i="1"/>
  <c r="D1398" i="1"/>
  <c r="D2898" i="1"/>
  <c r="D2831" i="1"/>
  <c r="D42" i="1"/>
  <c r="V28" i="70"/>
  <c r="D783" i="1"/>
  <c r="D2305" i="1"/>
  <c r="D391" i="1"/>
  <c r="D849" i="1"/>
  <c r="D631" i="1"/>
  <c r="D406" i="1"/>
  <c r="D730" i="1"/>
  <c r="D482" i="1"/>
  <c r="D991" i="1"/>
  <c r="D860" i="1"/>
  <c r="D604" i="1"/>
  <c r="D346" i="1"/>
  <c r="D218" i="1"/>
  <c r="D1137" i="1"/>
  <c r="D782" i="1"/>
  <c r="D996" i="1"/>
  <c r="D655" i="1"/>
  <c r="D1239" i="1"/>
  <c r="D641" i="1"/>
  <c r="D1721" i="1"/>
  <c r="D822" i="1"/>
  <c r="D2241" i="1"/>
  <c r="D899" i="1"/>
  <c r="D1542" i="1"/>
  <c r="D1735" i="1"/>
  <c r="E24" i="44"/>
  <c r="J24" i="44" s="1"/>
  <c r="P24" i="44" s="1"/>
  <c r="E24" i="72"/>
  <c r="J24" i="72" s="1"/>
  <c r="P24" i="72" s="1"/>
  <c r="D1399" i="1"/>
  <c r="D1014" i="1"/>
  <c r="D1007" i="1"/>
  <c r="D2520" i="1"/>
  <c r="D2356" i="1"/>
  <c r="D2686" i="1"/>
  <c r="D2650" i="1"/>
  <c r="D2190" i="1"/>
  <c r="D1364" i="1"/>
  <c r="D2723" i="1"/>
  <c r="D2881" i="1"/>
  <c r="D1650" i="1"/>
  <c r="D1430" i="1"/>
  <c r="D1596" i="1"/>
  <c r="D1825" i="1"/>
  <c r="D1928" i="1"/>
  <c r="D2878" i="1"/>
  <c r="D1497" i="1"/>
  <c r="D697" i="1"/>
  <c r="D1801" i="1"/>
  <c r="D1970" i="1"/>
  <c r="D1236" i="1"/>
  <c r="D2625" i="1"/>
  <c r="D2434" i="1"/>
  <c r="D726" i="1"/>
  <c r="D471" i="1"/>
  <c r="D1357" i="1"/>
  <c r="D1101" i="1"/>
  <c r="D638" i="1"/>
  <c r="D521" i="1"/>
  <c r="D1264" i="1"/>
  <c r="D1113" i="1"/>
  <c r="D1393" i="1"/>
  <c r="D41" i="1"/>
  <c r="D983" i="1"/>
  <c r="D1377" i="1"/>
  <c r="D931" i="1"/>
  <c r="E24" i="85"/>
  <c r="J24" i="85" s="1"/>
  <c r="P24" i="85" s="1"/>
  <c r="E24" i="58"/>
  <c r="J24" i="58" s="1"/>
  <c r="P24" i="58" s="1"/>
  <c r="E24" i="78"/>
  <c r="J24" i="78" s="1"/>
  <c r="P24" i="78" s="1"/>
  <c r="E24" i="45"/>
  <c r="J24" i="45" s="1"/>
  <c r="P24" i="45" s="1"/>
  <c r="D511" i="1"/>
  <c r="D1988" i="1"/>
  <c r="D2798" i="1"/>
  <c r="D1208" i="1"/>
  <c r="D1318" i="1"/>
  <c r="D452" i="1"/>
  <c r="D2753" i="1"/>
  <c r="D2899" i="1"/>
  <c r="D2017" i="1"/>
  <c r="D1523" i="1"/>
  <c r="D137" i="1"/>
  <c r="D672" i="1"/>
  <c r="D468" i="1"/>
  <c r="D1560" i="1"/>
  <c r="D1246" i="1"/>
  <c r="D1395" i="1"/>
  <c r="D636" i="1"/>
  <c r="D446" i="1"/>
  <c r="D1345" i="1"/>
  <c r="D1217" i="1"/>
  <c r="D1207" i="1"/>
  <c r="D768" i="1"/>
  <c r="D1866" i="1"/>
  <c r="D2458" i="1"/>
  <c r="D1599" i="1"/>
  <c r="P14" i="70"/>
  <c r="D917" i="1"/>
  <c r="D1105" i="1"/>
  <c r="D1039" i="1"/>
  <c r="D700" i="1"/>
  <c r="D863" i="1"/>
  <c r="D257" i="1"/>
  <c r="D455" i="1"/>
  <c r="D898" i="1"/>
  <c r="D1645" i="1"/>
  <c r="D1773" i="1"/>
  <c r="D1344" i="1"/>
  <c r="D2265" i="1"/>
  <c r="D1855" i="1"/>
  <c r="D1669" i="1"/>
  <c r="D1622" i="1"/>
  <c r="D1693" i="1"/>
  <c r="D1376" i="1"/>
  <c r="D1547" i="1"/>
  <c r="D2250" i="1"/>
  <c r="D1026" i="1"/>
  <c r="D1538" i="1"/>
  <c r="D1831" i="1"/>
  <c r="D1378" i="1"/>
  <c r="D1811" i="1"/>
  <c r="D2251" i="1"/>
  <c r="D1529" i="1"/>
  <c r="D2090" i="1"/>
  <c r="D2424" i="1"/>
  <c r="D1934" i="1"/>
  <c r="D2409" i="1"/>
  <c r="D2350" i="1"/>
  <c r="D2670" i="1"/>
  <c r="D2071" i="1"/>
  <c r="D2583" i="1"/>
  <c r="D2118" i="1"/>
  <c r="D2739" i="1"/>
  <c r="D2950" i="1"/>
  <c r="D2564" i="1"/>
  <c r="D2148" i="1"/>
  <c r="D2026" i="1"/>
  <c r="D2126" i="1"/>
  <c r="D2742" i="1"/>
  <c r="D2341" i="1"/>
  <c r="D2064" i="1"/>
  <c r="D2785" i="1"/>
  <c r="D2534" i="1"/>
  <c r="D2290" i="1"/>
  <c r="D2306" i="1"/>
  <c r="D2932" i="1"/>
  <c r="D2814" i="1"/>
  <c r="D2939" i="1"/>
  <c r="D2288" i="1"/>
  <c r="D2174" i="1"/>
  <c r="D1896" i="1"/>
  <c r="D2340" i="1"/>
  <c r="D2421" i="1"/>
  <c r="D2696" i="1"/>
  <c r="D2176" i="1"/>
  <c r="D1947" i="1"/>
  <c r="D2022" i="1"/>
  <c r="D2892" i="1"/>
  <c r="D2008" i="1"/>
  <c r="D2212" i="1"/>
  <c r="D2680" i="1"/>
  <c r="D17" i="1"/>
  <c r="D2980" i="1"/>
  <c r="D2263" i="1"/>
  <c r="D2956" i="1"/>
  <c r="D2558" i="1"/>
  <c r="D990" i="1"/>
  <c r="D66" i="1"/>
  <c r="D812" i="1"/>
  <c r="D878" i="1"/>
  <c r="D1240" i="1"/>
  <c r="D828" i="1"/>
  <c r="D572" i="1"/>
  <c r="D1001" i="1"/>
  <c r="D1537" i="1"/>
  <c r="D1714" i="1"/>
  <c r="D198" i="1"/>
  <c r="D1296" i="1"/>
  <c r="D1705" i="1"/>
  <c r="D791" i="1"/>
  <c r="D502" i="1"/>
  <c r="D601" i="1"/>
  <c r="D507" i="1"/>
  <c r="D692" i="1"/>
  <c r="D577" i="1"/>
  <c r="D1300" i="1"/>
  <c r="D1172" i="1"/>
  <c r="D615" i="1"/>
  <c r="D398" i="1"/>
  <c r="D142" i="1"/>
  <c r="D327" i="1"/>
  <c r="D71" i="1"/>
  <c r="D1069" i="1"/>
  <c r="D666" i="1"/>
  <c r="D1305" i="1"/>
  <c r="D1049" i="1"/>
  <c r="D921" i="1"/>
  <c r="D337" i="1"/>
  <c r="D214" i="1"/>
  <c r="D338" i="1"/>
  <c r="D1097" i="1"/>
  <c r="D817" i="1"/>
  <c r="D1230" i="1"/>
  <c r="D825" i="1"/>
  <c r="D261" i="1"/>
  <c r="D1249" i="1"/>
  <c r="D993" i="1"/>
  <c r="D865" i="1"/>
  <c r="D609" i="1"/>
  <c r="D770" i="1"/>
  <c r="D514" i="1"/>
  <c r="D281" i="1"/>
  <c r="D153" i="1"/>
  <c r="D415" i="1"/>
  <c r="D286" i="1"/>
  <c r="D159" i="1"/>
  <c r="D26" i="1"/>
  <c r="D227" i="1"/>
  <c r="D417" i="1"/>
  <c r="D421" i="1"/>
  <c r="D750" i="1"/>
  <c r="D680" i="1"/>
  <c r="D1348" i="1"/>
  <c r="D1257" i="1"/>
  <c r="D886" i="1"/>
  <c r="D313" i="1"/>
  <c r="D1384" i="1"/>
  <c r="D1617" i="1"/>
  <c r="D537" i="1"/>
  <c r="D1125" i="1"/>
  <c r="D1601" i="1"/>
  <c r="D1816" i="1"/>
  <c r="D1015" i="1"/>
  <c r="D1491" i="1"/>
  <c r="D1630" i="1"/>
  <c r="D1073" i="1"/>
  <c r="D39" i="1"/>
  <c r="D1712" i="1"/>
  <c r="D1719" i="1"/>
  <c r="D2079" i="1"/>
  <c r="D2078" i="1"/>
  <c r="D2271" i="1"/>
  <c r="D2270" i="1"/>
  <c r="D2137" i="1"/>
  <c r="D2138" i="1"/>
  <c r="D3001" i="1"/>
  <c r="D3000" i="1"/>
  <c r="D1901" i="1"/>
  <c r="D1900" i="1"/>
  <c r="D1946" i="1"/>
  <c r="D1945" i="1"/>
  <c r="D1423" i="1"/>
  <c r="D1422" i="1"/>
  <c r="D1368" i="1"/>
  <c r="D1369" i="1"/>
  <c r="D2607" i="1"/>
  <c r="D2606" i="1"/>
  <c r="D2735" i="1"/>
  <c r="D2734" i="1"/>
  <c r="D1931" i="1"/>
  <c r="D1930" i="1"/>
  <c r="D2058" i="1"/>
  <c r="D2059" i="1"/>
  <c r="D2187" i="1"/>
  <c r="D2186" i="1"/>
  <c r="D1949" i="1"/>
  <c r="D1948" i="1"/>
  <c r="D673" i="1"/>
  <c r="D1637" i="1"/>
  <c r="D470" i="1"/>
  <c r="D833" i="1"/>
  <c r="D1823" i="1"/>
  <c r="D1741" i="1"/>
  <c r="D1739" i="1"/>
  <c r="D949" i="1"/>
  <c r="D466" i="1"/>
  <c r="D864" i="1"/>
  <c r="D922" i="1"/>
  <c r="D1616" i="1"/>
  <c r="D866" i="1"/>
  <c r="D1609" i="1"/>
  <c r="D1250" i="1"/>
  <c r="D2117" i="1"/>
  <c r="D2244" i="1"/>
  <c r="D2260" i="1"/>
  <c r="D192" i="1"/>
  <c r="D1661" i="1"/>
  <c r="D2002" i="1"/>
  <c r="D1583" i="1"/>
  <c r="D1582" i="1"/>
  <c r="D2029" i="1"/>
  <c r="D2028" i="1"/>
  <c r="D2775" i="1"/>
  <c r="D2774" i="1"/>
  <c r="D578" i="1"/>
  <c r="D2116" i="1"/>
  <c r="D1337" i="1"/>
  <c r="D508" i="1"/>
  <c r="D1071" i="1"/>
  <c r="D1361" i="1"/>
  <c r="D670" i="1"/>
  <c r="D758" i="1"/>
  <c r="D1942" i="1"/>
  <c r="D903" i="1"/>
  <c r="D1245" i="1"/>
  <c r="D1232" i="1"/>
  <c r="D40" i="1"/>
  <c r="D1440" i="1"/>
  <c r="D1870" i="1"/>
  <c r="D1706" i="1"/>
  <c r="D1243" i="1"/>
  <c r="D1906" i="1"/>
  <c r="D2750" i="1"/>
  <c r="D2751" i="1"/>
  <c r="D2757" i="1"/>
  <c r="D2758" i="1"/>
  <c r="D2885" i="1"/>
  <c r="D2886" i="1"/>
  <c r="D2515" i="1"/>
  <c r="D2514" i="1"/>
  <c r="D2611" i="1"/>
  <c r="D2612" i="1"/>
  <c r="D2995" i="1"/>
  <c r="D2996" i="1"/>
  <c r="D2938" i="1"/>
  <c r="D2937" i="1"/>
  <c r="D2133" i="1"/>
  <c r="D2134" i="1"/>
  <c r="D2572" i="1"/>
  <c r="D2571" i="1"/>
  <c r="D2883" i="1"/>
  <c r="D2884" i="1"/>
  <c r="D2198" i="1"/>
  <c r="D2197" i="1"/>
  <c r="D2655" i="1"/>
  <c r="D2656" i="1"/>
  <c r="D2783" i="1"/>
  <c r="D2784" i="1"/>
  <c r="D2911" i="1"/>
  <c r="D2912" i="1"/>
  <c r="D1731" i="1"/>
  <c r="D1730" i="1"/>
  <c r="D2926" i="1"/>
  <c r="D2927" i="1"/>
  <c r="D2135" i="1"/>
  <c r="D2136" i="1"/>
  <c r="D2999" i="1"/>
  <c r="D2998" i="1"/>
  <c r="D2834" i="1"/>
  <c r="D2833" i="1"/>
  <c r="D2567" i="1"/>
  <c r="D2568" i="1"/>
  <c r="D2371" i="1"/>
  <c r="D2372" i="1"/>
  <c r="D2541" i="1"/>
  <c r="D2540" i="1"/>
  <c r="D2916" i="1"/>
  <c r="D2915" i="1"/>
  <c r="D989" i="1"/>
  <c r="D503" i="1"/>
  <c r="D103" i="1"/>
  <c r="D727" i="1"/>
  <c r="D1106" i="1"/>
  <c r="D2243" i="1"/>
  <c r="D2986" i="1"/>
  <c r="D2121" i="1"/>
  <c r="D2120" i="1"/>
  <c r="D1993" i="1"/>
  <c r="D1992" i="1"/>
  <c r="D1864" i="1"/>
  <c r="D1865" i="1"/>
  <c r="D1458" i="1"/>
  <c r="D1459" i="1"/>
  <c r="D565" i="1"/>
  <c r="D566" i="1"/>
  <c r="D1636" i="1"/>
  <c r="D1635" i="1"/>
  <c r="D841" i="1"/>
  <c r="D842" i="1"/>
  <c r="D568" i="1"/>
  <c r="D569" i="1"/>
  <c r="D1766" i="1"/>
  <c r="D1765" i="1"/>
  <c r="D1488" i="1"/>
  <c r="D1487" i="1"/>
  <c r="D858" i="1"/>
  <c r="D857" i="1"/>
  <c r="D277" i="1"/>
  <c r="D278" i="1"/>
  <c r="D733" i="1"/>
  <c r="D734" i="1"/>
  <c r="D477" i="1"/>
  <c r="D478" i="1"/>
  <c r="D1848" i="1"/>
  <c r="D1847" i="1"/>
  <c r="D1080" i="1"/>
  <c r="D1081" i="1"/>
  <c r="D784" i="1"/>
  <c r="D785" i="1"/>
  <c r="D1746" i="1"/>
  <c r="D1745" i="1"/>
  <c r="D321" i="1"/>
  <c r="D322" i="1"/>
  <c r="D679" i="1"/>
  <c r="D678" i="1"/>
  <c r="D1868" i="1"/>
  <c r="D1867" i="1"/>
  <c r="D1612" i="1"/>
  <c r="D1611" i="1"/>
  <c r="D240" i="1"/>
  <c r="D241" i="1"/>
  <c r="D1460" i="1"/>
  <c r="D1461" i="1"/>
  <c r="D1205" i="1"/>
  <c r="D1204" i="1"/>
  <c r="D1614" i="1"/>
  <c r="D1613" i="1"/>
  <c r="D1446" i="1"/>
  <c r="D1445" i="1"/>
  <c r="D1190" i="1"/>
  <c r="D1189" i="1"/>
  <c r="D248" i="1"/>
  <c r="D249" i="1"/>
  <c r="D1632" i="1"/>
  <c r="D1631" i="1"/>
  <c r="D225" i="1"/>
  <c r="D226" i="1"/>
  <c r="D98" i="1"/>
  <c r="D99" i="1"/>
  <c r="D1652" i="1"/>
  <c r="D1651" i="1"/>
  <c r="D400" i="1"/>
  <c r="D401" i="1"/>
  <c r="D1500" i="1"/>
  <c r="D1501" i="1"/>
  <c r="D942" i="1"/>
  <c r="D943" i="1"/>
  <c r="D778" i="1"/>
  <c r="D779" i="1"/>
  <c r="D1503" i="1"/>
  <c r="D1504" i="1"/>
  <c r="D326" i="1"/>
  <c r="D325" i="1"/>
  <c r="D970" i="1"/>
  <c r="D969" i="1"/>
  <c r="D385" i="1"/>
  <c r="D386" i="1"/>
  <c r="D1234" i="1"/>
  <c r="D1233" i="1"/>
  <c r="D978" i="1"/>
  <c r="D977" i="1"/>
  <c r="D738" i="1"/>
  <c r="D739" i="1"/>
  <c r="D1428" i="1"/>
  <c r="D1427" i="1"/>
  <c r="D1044" i="1"/>
  <c r="D1043" i="1"/>
  <c r="D915" i="1"/>
  <c r="D916" i="1"/>
  <c r="D1744" i="1"/>
  <c r="D1743" i="1"/>
  <c r="D1447" i="1"/>
  <c r="D1448" i="1"/>
  <c r="D1192" i="1"/>
  <c r="D1191" i="1"/>
  <c r="D681" i="1"/>
  <c r="D682" i="1"/>
  <c r="D189" i="1"/>
  <c r="D190" i="1"/>
  <c r="D896" i="1"/>
  <c r="D897" i="1"/>
  <c r="D835" i="1"/>
  <c r="D836" i="1"/>
  <c r="D579" i="1"/>
  <c r="D580" i="1"/>
  <c r="D1818" i="1"/>
  <c r="D1817" i="1"/>
  <c r="D1342" i="1"/>
  <c r="D1341" i="1"/>
  <c r="D1561" i="1"/>
  <c r="D1562" i="1"/>
  <c r="D1433" i="1"/>
  <c r="D1434" i="1"/>
  <c r="D1177" i="1"/>
  <c r="D1178" i="1"/>
  <c r="D722" i="1"/>
  <c r="D721" i="1"/>
  <c r="D627" i="1"/>
  <c r="D626" i="1"/>
  <c r="D1556" i="1"/>
  <c r="D1555" i="1"/>
  <c r="D651" i="1"/>
  <c r="D650" i="1"/>
  <c r="D723" i="1"/>
  <c r="D724" i="1"/>
  <c r="D328" i="1"/>
  <c r="D329" i="1"/>
  <c r="D1122" i="1"/>
  <c r="D1121" i="1"/>
  <c r="D1188" i="1"/>
  <c r="D1187" i="1"/>
  <c r="D640" i="1"/>
  <c r="D639" i="1"/>
  <c r="D803" i="1"/>
  <c r="D804" i="1"/>
  <c r="D687" i="1"/>
  <c r="D686" i="1"/>
  <c r="D440" i="1"/>
  <c r="D441" i="1"/>
  <c r="D100" i="1"/>
  <c r="D101" i="1"/>
  <c r="D1328" i="1"/>
  <c r="D1329" i="1"/>
  <c r="D1271" i="1"/>
  <c r="D1270" i="1"/>
  <c r="D1477" i="1"/>
  <c r="D1478" i="1"/>
  <c r="D1755" i="1"/>
  <c r="D1756" i="1"/>
  <c r="D675" i="1"/>
  <c r="D676" i="1"/>
  <c r="D109" i="1"/>
  <c r="D110" i="1"/>
  <c r="D2329" i="1"/>
  <c r="D2328" i="1"/>
  <c r="D2585" i="1"/>
  <c r="D2584" i="1"/>
  <c r="D634" i="1"/>
  <c r="D633" i="1"/>
  <c r="D964" i="1"/>
  <c r="D965" i="1"/>
  <c r="D1793" i="1"/>
  <c r="D1792" i="1"/>
  <c r="D2257" i="1"/>
  <c r="D2256" i="1"/>
  <c r="D2441" i="1"/>
  <c r="D2440" i="1"/>
  <c r="D1890" i="1"/>
  <c r="D1889" i="1"/>
  <c r="D1219" i="1"/>
  <c r="D1218" i="1"/>
  <c r="D1726" i="1"/>
  <c r="D1725" i="1"/>
  <c r="D1593" i="1"/>
  <c r="D1592" i="1"/>
  <c r="D2233" i="1"/>
  <c r="D2232" i="1"/>
  <c r="D1174" i="1"/>
  <c r="D1175" i="1"/>
  <c r="D2231" i="1"/>
  <c r="D2230" i="1"/>
  <c r="D2359" i="1"/>
  <c r="D2358" i="1"/>
  <c r="D2816" i="1"/>
  <c r="D2817" i="1"/>
  <c r="D2945" i="1"/>
  <c r="D2944" i="1"/>
  <c r="D2140" i="1"/>
  <c r="D2139" i="1"/>
  <c r="D1051" i="1"/>
  <c r="D1050" i="1"/>
  <c r="D1131" i="1"/>
  <c r="D684" i="1"/>
  <c r="D270" i="1"/>
  <c r="D394" i="1"/>
  <c r="D266" i="1"/>
  <c r="D138" i="1"/>
  <c r="D199" i="1"/>
  <c r="D342" i="1"/>
  <c r="D210" i="1"/>
  <c r="D82" i="1"/>
  <c r="D399" i="1"/>
  <c r="D143" i="1"/>
  <c r="D15" i="1"/>
  <c r="D1229" i="1"/>
  <c r="D409" i="1"/>
  <c r="D30" i="1"/>
  <c r="D1055" i="1"/>
  <c r="D927" i="1"/>
  <c r="D732" i="1"/>
  <c r="D476" i="1"/>
  <c r="D410" i="1"/>
  <c r="D282" i="1"/>
  <c r="D154" i="1"/>
  <c r="D215" i="1"/>
  <c r="D616" i="1"/>
  <c r="D777" i="1"/>
  <c r="D422" i="1"/>
  <c r="D1060" i="1"/>
  <c r="D418" i="1"/>
  <c r="D2786" i="1"/>
  <c r="D1937" i="1"/>
  <c r="D2274" i="1"/>
  <c r="D598" i="1"/>
  <c r="D88" i="1"/>
  <c r="D21" i="1"/>
  <c r="D766" i="1"/>
  <c r="D510" i="1"/>
  <c r="D1197" i="1"/>
  <c r="D554" i="1"/>
  <c r="D648" i="1"/>
  <c r="D556" i="1"/>
  <c r="D1022" i="1"/>
  <c r="D1095" i="1"/>
  <c r="D1168" i="1"/>
  <c r="D912" i="1"/>
  <c r="D1117" i="1"/>
  <c r="D871" i="1"/>
  <c r="D287" i="1"/>
  <c r="D630" i="1"/>
  <c r="D456" i="1"/>
  <c r="D144" i="1"/>
  <c r="D1589" i="1"/>
  <c r="D798" i="1"/>
  <c r="D542" i="1"/>
  <c r="D1575" i="1"/>
  <c r="D984" i="1"/>
  <c r="D1261" i="1"/>
  <c r="D1225" i="1"/>
  <c r="D561" i="1"/>
  <c r="D197" i="1"/>
  <c r="D1035" i="1"/>
  <c r="D1031" i="1"/>
  <c r="D591" i="1"/>
  <c r="D1108" i="1"/>
  <c r="D980" i="1"/>
  <c r="D581" i="1"/>
  <c r="D334" i="1"/>
  <c r="D206" i="1"/>
  <c r="D8" i="1"/>
  <c r="D1679" i="1"/>
  <c r="D1543" i="1"/>
  <c r="D1319" i="1"/>
  <c r="D586" i="1"/>
  <c r="D450" i="1"/>
  <c r="D1213" i="1"/>
  <c r="D761" i="1"/>
  <c r="D230" i="1"/>
  <c r="D1242" i="1"/>
  <c r="D594" i="1"/>
  <c r="D498" i="1"/>
  <c r="D18" i="1"/>
  <c r="D1289" i="1"/>
  <c r="D1033" i="1"/>
  <c r="D905" i="1"/>
  <c r="D689" i="1"/>
  <c r="D852" i="1"/>
  <c r="D596" i="1"/>
  <c r="D1698" i="1"/>
  <c r="D1102" i="1"/>
  <c r="D72" i="1"/>
  <c r="D1185" i="1"/>
  <c r="D1057" i="1"/>
  <c r="D929" i="1"/>
  <c r="D737" i="1"/>
  <c r="D481" i="1"/>
  <c r="D642" i="1"/>
  <c r="D345" i="1"/>
  <c r="D217" i="1"/>
  <c r="D756" i="1"/>
  <c r="D1536" i="1"/>
  <c r="D781" i="1"/>
  <c r="D524" i="1"/>
  <c r="D663" i="1"/>
  <c r="D513" i="1"/>
  <c r="D918" i="1"/>
  <c r="D699" i="1"/>
  <c r="D1854" i="1"/>
  <c r="D622" i="1"/>
  <c r="D1238" i="1"/>
  <c r="D1316" i="1"/>
  <c r="D522" i="1"/>
  <c r="D907" i="1"/>
  <c r="D1696" i="1"/>
  <c r="D982" i="1"/>
  <c r="D459" i="1"/>
  <c r="D582" i="1"/>
  <c r="D1481" i="1"/>
  <c r="D1720" i="1"/>
  <c r="D1159" i="1"/>
  <c r="D1349" i="1"/>
  <c r="D1648" i="1"/>
  <c r="D1912" i="1"/>
  <c r="D1566" i="1"/>
  <c r="D161" i="1"/>
  <c r="D1412" i="1"/>
  <c r="D1098" i="1"/>
  <c r="D1785" i="1"/>
  <c r="D1028" i="1"/>
  <c r="D1921" i="1"/>
  <c r="D994" i="1"/>
  <c r="D1782" i="1"/>
  <c r="D1306" i="1"/>
  <c r="D1519" i="1"/>
  <c r="D2147" i="1"/>
  <c r="D2499" i="1"/>
  <c r="D1171" i="1"/>
  <c r="D1762" i="1"/>
  <c r="D2569" i="1"/>
  <c r="D1902" i="1"/>
  <c r="D2446" i="1"/>
  <c r="D2168" i="1"/>
  <c r="D2089" i="1"/>
  <c r="D1704" i="1"/>
  <c r="D760" i="1"/>
  <c r="D504" i="1"/>
  <c r="D667" i="1"/>
  <c r="D1734" i="1"/>
  <c r="D216" i="1"/>
  <c r="D149" i="1"/>
  <c r="D826" i="1"/>
  <c r="D419" i="1"/>
  <c r="D272" i="1"/>
  <c r="D1774" i="1"/>
  <c r="D2119" i="1"/>
  <c r="D2681" i="1"/>
  <c r="D2351" i="1"/>
  <c r="D1963" i="1"/>
  <c r="D1778" i="1"/>
  <c r="D2602" i="1"/>
  <c r="D2348" i="1"/>
  <c r="D2702" i="1"/>
  <c r="D2958" i="1"/>
  <c r="D2643" i="1"/>
  <c r="D2771" i="1"/>
  <c r="D1968" i="1"/>
  <c r="D2480" i="1"/>
  <c r="D1908" i="1"/>
  <c r="D2714" i="1"/>
  <c r="D2293" i="1"/>
  <c r="D1258" i="1"/>
  <c r="D1528" i="1"/>
  <c r="D1132" i="1"/>
  <c r="D405" i="1"/>
  <c r="D1432" i="1"/>
  <c r="D1034" i="1"/>
  <c r="D259" i="1"/>
  <c r="D493" i="1"/>
  <c r="D16" i="1"/>
  <c r="D1056" i="1"/>
  <c r="D928" i="1"/>
  <c r="D2349" i="1"/>
  <c r="D2397" i="1"/>
  <c r="D2869" i="1"/>
  <c r="D1891" i="1"/>
  <c r="D1544" i="1"/>
  <c r="D1545" i="1"/>
  <c r="D1374" i="1"/>
  <c r="D1375" i="1"/>
  <c r="D855" i="1"/>
  <c r="D854" i="1"/>
  <c r="D1828" i="1"/>
  <c r="D1827" i="1"/>
  <c r="D1700" i="1"/>
  <c r="D1699" i="1"/>
  <c r="D1572" i="1"/>
  <c r="D1571" i="1"/>
  <c r="D1359" i="1"/>
  <c r="D1360" i="1"/>
  <c r="D1103" i="1"/>
  <c r="D1104" i="1"/>
  <c r="D746" i="1"/>
  <c r="D747" i="1"/>
  <c r="D80" i="1"/>
  <c r="D81" i="1"/>
  <c r="D13" i="1"/>
  <c r="D14" i="1"/>
  <c r="D1292" i="1"/>
  <c r="D1293" i="1"/>
  <c r="D1036" i="1"/>
  <c r="D1037" i="1"/>
  <c r="D908" i="1"/>
  <c r="D909" i="1"/>
  <c r="D1830" i="1"/>
  <c r="D1829" i="1"/>
  <c r="D1702" i="1"/>
  <c r="D1701" i="1"/>
  <c r="D1574" i="1"/>
  <c r="D1573" i="1"/>
  <c r="D1366" i="1"/>
  <c r="D1365" i="1"/>
  <c r="D1110" i="1"/>
  <c r="D1109" i="1"/>
  <c r="D762" i="1"/>
  <c r="D763" i="1"/>
  <c r="D861" i="1"/>
  <c r="D862" i="1"/>
  <c r="D605" i="1"/>
  <c r="D606" i="1"/>
  <c r="D1784" i="1"/>
  <c r="D1783" i="1"/>
  <c r="D1534" i="1"/>
  <c r="D1533" i="1"/>
  <c r="D997" i="1"/>
  <c r="D998" i="1"/>
  <c r="D952" i="1"/>
  <c r="D953" i="1"/>
  <c r="D528" i="1"/>
  <c r="D529" i="1"/>
  <c r="D264" i="1"/>
  <c r="D265" i="1"/>
  <c r="D1490" i="1"/>
  <c r="D1489" i="1"/>
  <c r="D1162" i="1"/>
  <c r="D1161" i="1"/>
  <c r="D462" i="1"/>
  <c r="D461" i="1"/>
  <c r="D693" i="1"/>
  <c r="D694" i="1"/>
  <c r="D1524" i="1"/>
  <c r="D1525" i="1"/>
  <c r="D1268" i="1"/>
  <c r="D1269" i="1"/>
  <c r="D570" i="1"/>
  <c r="D571" i="1"/>
  <c r="D437" i="1"/>
  <c r="D438" i="1"/>
  <c r="D1350" i="1"/>
  <c r="D1351" i="1"/>
  <c r="D1223" i="1"/>
  <c r="D1222" i="1"/>
  <c r="D718" i="1"/>
  <c r="D719" i="1"/>
  <c r="D463" i="1"/>
  <c r="D464" i="1"/>
  <c r="D1834" i="1"/>
  <c r="D1833" i="1"/>
  <c r="D1578" i="1"/>
  <c r="D1577" i="1"/>
  <c r="D105" i="1"/>
  <c r="D104" i="1"/>
  <c r="D359" i="1"/>
  <c r="D358" i="1"/>
  <c r="D355" i="1"/>
  <c r="D354" i="1"/>
  <c r="D1716" i="1"/>
  <c r="D1715" i="1"/>
  <c r="D1588" i="1"/>
  <c r="D1587" i="1"/>
  <c r="D1392" i="1"/>
  <c r="D1391" i="1"/>
  <c r="D1436" i="1"/>
  <c r="D1437" i="1"/>
  <c r="D1052" i="1"/>
  <c r="D1053" i="1"/>
  <c r="D924" i="1"/>
  <c r="D925" i="1"/>
  <c r="D1846" i="1"/>
  <c r="D1845" i="1"/>
  <c r="D1718" i="1"/>
  <c r="D1717" i="1"/>
  <c r="D473" i="1"/>
  <c r="D474" i="1"/>
  <c r="D85" i="1"/>
  <c r="D86" i="1"/>
  <c r="D1112" i="1"/>
  <c r="D1111" i="1"/>
  <c r="D96" i="1"/>
  <c r="D97" i="1"/>
  <c r="D392" i="1"/>
  <c r="D393" i="1"/>
  <c r="D130" i="1"/>
  <c r="D129" i="1"/>
  <c r="D1298" i="1"/>
  <c r="D1297" i="1"/>
  <c r="D1042" i="1"/>
  <c r="D1041" i="1"/>
  <c r="D913" i="1"/>
  <c r="D914" i="1"/>
  <c r="D706" i="1"/>
  <c r="D705" i="1"/>
  <c r="D611" i="1"/>
  <c r="D610" i="1"/>
  <c r="D743" i="1"/>
  <c r="D744" i="1"/>
  <c r="D487" i="1"/>
  <c r="D488" i="1"/>
  <c r="D975" i="1"/>
  <c r="D976" i="1"/>
  <c r="D735" i="1"/>
  <c r="D736" i="1"/>
  <c r="D479" i="1"/>
  <c r="D480" i="1"/>
  <c r="D1030" i="1"/>
  <c r="D1029" i="1"/>
  <c r="D1088" i="1"/>
  <c r="D1089" i="1"/>
  <c r="D960" i="1"/>
  <c r="D961" i="1"/>
  <c r="D801" i="1"/>
  <c r="D800" i="1"/>
  <c r="D545" i="1"/>
  <c r="D544" i="1"/>
  <c r="D707" i="1"/>
  <c r="D708" i="1"/>
  <c r="D1754" i="1"/>
  <c r="D1753" i="1"/>
  <c r="D1626" i="1"/>
  <c r="D1625" i="1"/>
  <c r="D1469" i="1"/>
  <c r="D1470" i="1"/>
  <c r="D296" i="1"/>
  <c r="D297" i="1"/>
  <c r="D755" i="1"/>
  <c r="D754" i="1"/>
  <c r="D717" i="1"/>
  <c r="D716" i="1"/>
  <c r="D57" i="1"/>
  <c r="D58" i="1"/>
  <c r="D1623" i="1"/>
  <c r="D1624" i="1"/>
  <c r="D1464" i="1"/>
  <c r="D1463" i="1"/>
  <c r="D1570" i="1"/>
  <c r="D1569" i="1"/>
  <c r="D1442" i="1"/>
  <c r="D1441" i="1"/>
  <c r="D1314" i="1"/>
  <c r="D1313" i="1"/>
  <c r="D284" i="1"/>
  <c r="D285" i="1"/>
  <c r="D1380" i="1"/>
  <c r="D1379" i="1"/>
  <c r="D1251" i="1"/>
  <c r="D1252" i="1"/>
  <c r="D1123" i="1"/>
  <c r="D1124" i="1"/>
  <c r="D868" i="1"/>
  <c r="D867" i="1"/>
  <c r="D612" i="1"/>
  <c r="D613" i="1"/>
  <c r="D350" i="1"/>
  <c r="D351" i="1"/>
  <c r="D222" i="1"/>
  <c r="D223" i="1"/>
  <c r="D94" i="1"/>
  <c r="D95" i="1"/>
  <c r="D1335" i="1"/>
  <c r="D1334" i="1"/>
  <c r="D1286" i="1"/>
  <c r="D1285" i="1"/>
  <c r="D1353" i="1"/>
  <c r="D1354" i="1"/>
  <c r="D1092" i="1"/>
  <c r="D1093" i="1"/>
  <c r="D237" i="1"/>
  <c r="D238" i="1"/>
  <c r="D552" i="1"/>
  <c r="D553" i="1"/>
  <c r="D1724" i="1"/>
  <c r="D1723" i="1"/>
  <c r="D365" i="1"/>
  <c r="D366" i="1"/>
  <c r="D1905" i="1"/>
  <c r="D1904" i="1"/>
  <c r="D2073" i="1"/>
  <c r="D2072" i="1"/>
  <c r="D49" i="1"/>
  <c r="D48" i="1"/>
  <c r="D2353" i="1"/>
  <c r="D2352" i="1"/>
  <c r="D2529" i="1"/>
  <c r="D2528" i="1"/>
  <c r="D2683" i="1"/>
  <c r="D2682" i="1"/>
  <c r="D962" i="1"/>
  <c r="D963" i="1"/>
  <c r="D1402" i="1"/>
  <c r="D1403" i="1"/>
  <c r="D845" i="1"/>
  <c r="D846" i="1"/>
  <c r="D2097" i="1"/>
  <c r="D2096" i="1"/>
  <c r="D2377" i="1"/>
  <c r="D2376" i="1"/>
  <c r="D547" i="1"/>
  <c r="D548" i="1"/>
  <c r="D1406" i="1"/>
  <c r="D1407" i="1"/>
  <c r="D2337" i="1"/>
  <c r="D2336" i="1"/>
  <c r="D2635" i="1"/>
  <c r="D2634" i="1"/>
  <c r="D1466" i="1"/>
  <c r="D1467" i="1"/>
  <c r="D1654" i="1"/>
  <c r="D1655" i="1"/>
  <c r="D1911" i="1"/>
  <c r="D1910" i="1"/>
  <c r="D2039" i="1"/>
  <c r="D2038" i="1"/>
  <c r="D2167" i="1"/>
  <c r="D2166" i="1"/>
  <c r="D2295" i="1"/>
  <c r="D2294" i="1"/>
  <c r="D2423" i="1"/>
  <c r="D2422" i="1"/>
  <c r="D2551" i="1"/>
  <c r="D2550" i="1"/>
  <c r="D1883" i="1"/>
  <c r="D1884" i="1"/>
  <c r="D2202" i="1"/>
  <c r="D2201" i="1"/>
  <c r="D2061" i="1"/>
  <c r="D2060" i="1"/>
  <c r="D2067" i="1"/>
  <c r="D2066" i="1"/>
  <c r="D2316" i="1"/>
  <c r="D2315" i="1"/>
  <c r="D2943" i="1"/>
  <c r="D2942" i="1"/>
  <c r="D2859" i="1"/>
  <c r="D2858" i="1"/>
  <c r="D2307" i="1"/>
  <c r="D2308" i="1"/>
  <c r="D2214" i="1"/>
  <c r="D2213" i="1"/>
  <c r="D2101" i="1"/>
  <c r="D2100" i="1"/>
  <c r="D1330" i="1"/>
  <c r="D1331" i="1"/>
  <c r="D2975" i="1"/>
  <c r="D2974" i="1"/>
  <c r="D2199" i="1"/>
  <c r="D2200" i="1"/>
  <c r="D2874" i="1"/>
  <c r="D2875" i="1"/>
  <c r="D2247" i="1"/>
  <c r="D2248" i="1"/>
  <c r="D875" i="1"/>
  <c r="D1397" i="1"/>
  <c r="D1141" i="1"/>
  <c r="D599" i="1"/>
  <c r="D1169" i="1"/>
  <c r="D78" i="1"/>
  <c r="D330" i="1"/>
  <c r="D202" i="1"/>
  <c r="D74" i="1"/>
  <c r="D402" i="1"/>
  <c r="D274" i="1"/>
  <c r="D146" i="1"/>
  <c r="D335" i="1"/>
  <c r="D207" i="1"/>
  <c r="D79" i="1"/>
  <c r="D89" i="1"/>
  <c r="D407" i="1"/>
  <c r="D279" i="1"/>
  <c r="D151" i="1"/>
  <c r="D23" i="1"/>
  <c r="D289" i="1"/>
  <c r="D1181" i="1"/>
  <c r="D1522" i="1"/>
  <c r="D500" i="1"/>
  <c r="D2561" i="1"/>
  <c r="D930" i="1"/>
  <c r="D939" i="1"/>
  <c r="D2170" i="1"/>
  <c r="D725" i="1"/>
  <c r="D2933" i="1"/>
  <c r="D2339" i="1"/>
  <c r="D2562" i="1"/>
  <c r="D2245" i="1"/>
  <c r="D2261" i="1"/>
  <c r="D794" i="1"/>
  <c r="D793" i="1"/>
  <c r="D2505" i="1"/>
  <c r="D2504" i="1"/>
  <c r="D1951" i="1"/>
  <c r="D1950" i="1"/>
  <c r="D2287" i="1"/>
  <c r="D2286" i="1"/>
  <c r="D2545" i="1"/>
  <c r="D2544" i="1"/>
  <c r="D2365" i="1"/>
  <c r="D2364" i="1"/>
  <c r="D1514" i="1"/>
  <c r="D1515" i="1"/>
  <c r="D2837" i="1"/>
  <c r="D2836" i="1"/>
  <c r="D2902" i="1"/>
  <c r="D2903" i="1"/>
  <c r="D1925" i="1"/>
  <c r="D1926" i="1"/>
  <c r="D2609" i="1"/>
  <c r="D2610" i="1"/>
  <c r="D2343" i="1"/>
  <c r="D2344" i="1"/>
  <c r="D1955" i="1"/>
  <c r="D1956" i="1"/>
  <c r="D2015" i="1"/>
  <c r="D2016" i="1"/>
  <c r="D2537" i="1"/>
  <c r="D2538" i="1"/>
  <c r="D2413" i="1"/>
  <c r="D2414" i="1"/>
  <c r="D2565" i="1"/>
  <c r="D2566" i="1"/>
  <c r="D2823" i="1"/>
  <c r="D2824" i="1"/>
  <c r="D2951" i="1"/>
  <c r="D2952" i="1"/>
  <c r="V23" i="7"/>
  <c r="AF23" i="7" s="1"/>
  <c r="D2709" i="1"/>
  <c r="D2708" i="1"/>
  <c r="D2819" i="1"/>
  <c r="D2820" i="1"/>
  <c r="D2469" i="1"/>
  <c r="D2470" i="1"/>
  <c r="D2966" i="1"/>
  <c r="D2967" i="1"/>
  <c r="D2642" i="1"/>
  <c r="D2641" i="1"/>
  <c r="D2935" i="1"/>
  <c r="D2936" i="1"/>
  <c r="D2615" i="1"/>
  <c r="D2614" i="1"/>
  <c r="D1960" i="1"/>
  <c r="D1959" i="1"/>
  <c r="D2895" i="1"/>
  <c r="D2896" i="1"/>
  <c r="X23" i="7"/>
  <c r="AH23" i="7" s="1"/>
  <c r="T34" i="7"/>
  <c r="AD34" i="7" s="1"/>
  <c r="D1165" i="1"/>
  <c r="D2056" i="1"/>
  <c r="D2184" i="1"/>
  <c r="D22" i="1"/>
  <c r="D65" i="1"/>
  <c r="D449" i="1"/>
  <c r="D1309" i="1"/>
  <c r="D1539" i="1"/>
  <c r="D1675" i="1"/>
  <c r="D1803" i="1"/>
  <c r="D550" i="1"/>
  <c r="D806" i="1"/>
  <c r="D445" i="1"/>
  <c r="D1480" i="1"/>
  <c r="D1226" i="1"/>
  <c r="D1186" i="1"/>
  <c r="D1590" i="1"/>
  <c r="D2955" i="1"/>
  <c r="D166" i="1"/>
  <c r="D167" i="1"/>
  <c r="D1077" i="1"/>
  <c r="D1078" i="1"/>
  <c r="D1976" i="1"/>
  <c r="D1977" i="1"/>
  <c r="D2795" i="1"/>
  <c r="D2794" i="1"/>
  <c r="D1559" i="1"/>
  <c r="D1558" i="1"/>
  <c r="D1806" i="1"/>
  <c r="D1807" i="1"/>
  <c r="D2047" i="1"/>
  <c r="D2046" i="1"/>
  <c r="D2495" i="1"/>
  <c r="D2494" i="1"/>
  <c r="D954" i="1"/>
  <c r="D955" i="1"/>
  <c r="D1455" i="1"/>
  <c r="D1454" i="1"/>
  <c r="D1509" i="1"/>
  <c r="D1508" i="1"/>
  <c r="D2497" i="1"/>
  <c r="D2496" i="1"/>
  <c r="D1999" i="1"/>
  <c r="D1998" i="1"/>
  <c r="D2303" i="1"/>
  <c r="D2302" i="1"/>
  <c r="D2575" i="1"/>
  <c r="D2574" i="1"/>
  <c r="D2633" i="1"/>
  <c r="D2632" i="1"/>
  <c r="D2857" i="1"/>
  <c r="D2856" i="1"/>
  <c r="D2369" i="1"/>
  <c r="D2368" i="1"/>
  <c r="D2255" i="1"/>
  <c r="D2254" i="1"/>
  <c r="D2761" i="1"/>
  <c r="D2760" i="1"/>
  <c r="D2076" i="1"/>
  <c r="D2075" i="1"/>
  <c r="D2183" i="1"/>
  <c r="D2182" i="1"/>
  <c r="D2106" i="1"/>
  <c r="D2105" i="1"/>
  <c r="D2889" i="1"/>
  <c r="D2888" i="1"/>
  <c r="D2093" i="1"/>
  <c r="D2092" i="1"/>
  <c r="D2405" i="1"/>
  <c r="D2404" i="1"/>
  <c r="D2533" i="1"/>
  <c r="D2532" i="1"/>
  <c r="D882" i="1"/>
  <c r="D883" i="1"/>
  <c r="D2443" i="1"/>
  <c r="D2442" i="1"/>
  <c r="D2111" i="1"/>
  <c r="D2110" i="1"/>
  <c r="D2393" i="1"/>
  <c r="D2394" i="1"/>
  <c r="D2188" i="1"/>
  <c r="D2189" i="1"/>
  <c r="D2389" i="1"/>
  <c r="D2388" i="1"/>
  <c r="D2557" i="1"/>
  <c r="D2556" i="1"/>
  <c r="D1680" i="1"/>
  <c r="D1681" i="1"/>
  <c r="D2729" i="1"/>
  <c r="D2728" i="1"/>
  <c r="D2252" i="1"/>
  <c r="D2253" i="1"/>
  <c r="D1203" i="1"/>
  <c r="D1202" i="1"/>
  <c r="D1985" i="1"/>
  <c r="D1986" i="1"/>
  <c r="D2599" i="1"/>
  <c r="D2598" i="1"/>
  <c r="D2109" i="1"/>
  <c r="D2108" i="1"/>
  <c r="D2509" i="1"/>
  <c r="D2508" i="1"/>
  <c r="D2622" i="1"/>
  <c r="D2623" i="1"/>
  <c r="D773" i="1"/>
  <c r="D774" i="1"/>
  <c r="D1495" i="1"/>
  <c r="D1494" i="1"/>
  <c r="D2164" i="1"/>
  <c r="D2165" i="1"/>
  <c r="D1527" i="1"/>
  <c r="D1526" i="1"/>
  <c r="D2035" i="1"/>
  <c r="D2034" i="1"/>
  <c r="D2419" i="1"/>
  <c r="D2418" i="1"/>
  <c r="D2473" i="1"/>
  <c r="D2474" i="1"/>
  <c r="D2717" i="1"/>
  <c r="D2716" i="1"/>
  <c r="D2845" i="1"/>
  <c r="D2844" i="1"/>
  <c r="D2973" i="1"/>
  <c r="D2972" i="1"/>
  <c r="D254" i="1"/>
  <c r="D414" i="1"/>
  <c r="D1421" i="1"/>
  <c r="D2312" i="1"/>
  <c r="D145" i="1"/>
  <c r="D1241" i="1"/>
  <c r="D430" i="1"/>
  <c r="D1873" i="1"/>
  <c r="B3007" i="1"/>
  <c r="D658" i="1"/>
  <c r="D1136" i="1"/>
  <c r="D555" i="1"/>
  <c r="D595" i="1"/>
  <c r="D2125" i="1"/>
  <c r="D1170" i="1"/>
  <c r="D1058" i="1"/>
  <c r="D1752" i="1"/>
  <c r="D2665" i="1"/>
  <c r="D1678" i="1"/>
  <c r="D2171" i="1"/>
  <c r="D1844" i="1"/>
  <c r="D2342" i="1"/>
  <c r="D2050" i="1"/>
  <c r="D2242" i="1"/>
  <c r="D2830" i="1"/>
  <c r="D2249" i="1"/>
  <c r="D1764" i="1"/>
  <c r="D336" i="1"/>
  <c r="D269" i="1"/>
  <c r="D731" i="1"/>
  <c r="D1182" i="1"/>
  <c r="D523" i="1"/>
  <c r="D698" i="1"/>
  <c r="D906" i="1"/>
  <c r="D776" i="1"/>
  <c r="D520" i="1"/>
  <c r="D408" i="1"/>
  <c r="D341" i="1"/>
  <c r="D29" i="1"/>
  <c r="D1518" i="1"/>
  <c r="D1692" i="1"/>
  <c r="D1660" i="1"/>
  <c r="D2129" i="1"/>
  <c r="D2969" i="1"/>
  <c r="D2586" i="1"/>
  <c r="D1895" i="1"/>
  <c r="D2173" i="1"/>
  <c r="D2479" i="1"/>
  <c r="D2841" i="1"/>
  <c r="D2477" i="1"/>
  <c r="D1967" i="1"/>
  <c r="D2525" i="1"/>
  <c r="D2258" i="1"/>
  <c r="D2211" i="1"/>
  <c r="D2893" i="1"/>
  <c r="D2025" i="1"/>
  <c r="D1668" i="1"/>
  <c r="D397" i="1"/>
  <c r="D1388" i="1"/>
  <c r="D876" i="1"/>
  <c r="D632" i="1"/>
  <c r="D1343" i="1"/>
  <c r="D157" i="1"/>
  <c r="D1810" i="1"/>
  <c r="D821" i="1"/>
  <c r="D1772" i="1"/>
  <c r="D1644" i="1"/>
  <c r="D757" i="1"/>
  <c r="D664" i="1"/>
  <c r="D24" i="1"/>
  <c r="D1358" i="1"/>
  <c r="D920" i="1"/>
  <c r="D643" i="1"/>
  <c r="D1802" i="1"/>
  <c r="D1674" i="1"/>
  <c r="D2289" i="1"/>
  <c r="D2577" i="1"/>
  <c r="D2063" i="1"/>
  <c r="D2021" i="1"/>
  <c r="D2338" i="1"/>
  <c r="D2347" i="1"/>
  <c r="D2713" i="1"/>
  <c r="D2013" i="1"/>
  <c r="D2385" i="1"/>
  <c r="D2511" i="1"/>
  <c r="D2679" i="1"/>
  <c r="D2981" i="1"/>
  <c r="D2285" i="1"/>
  <c r="D2997" i="1"/>
  <c r="D1576" i="1"/>
  <c r="D1002" i="1"/>
  <c r="D501" i="1"/>
  <c r="D208" i="1"/>
  <c r="D141" i="1"/>
  <c r="D940" i="1"/>
  <c r="D656" i="1"/>
  <c r="D280" i="1"/>
  <c r="D213" i="1"/>
  <c r="D1048" i="1"/>
  <c r="D992" i="1"/>
  <c r="D2321" i="1"/>
  <c r="D2554" i="1"/>
  <c r="D2715" i="1"/>
  <c r="D2527" i="1"/>
  <c r="D2763" i="1"/>
  <c r="D2175" i="1"/>
  <c r="D2985" i="1"/>
  <c r="D2953" i="1"/>
  <c r="D2813" i="1"/>
  <c r="D2901" i="1"/>
  <c r="D771" i="1"/>
  <c r="D515" i="1"/>
  <c r="D1610" i="1"/>
  <c r="D2459" i="1"/>
  <c r="D603" i="1"/>
  <c r="D637" i="1"/>
  <c r="D1728" i="1"/>
  <c r="D1414" i="1"/>
  <c r="D2210" i="1"/>
  <c r="D2130" i="1"/>
  <c r="D2386" i="1"/>
  <c r="D2923" i="1"/>
  <c r="D2275" i="1"/>
  <c r="D2741" i="1"/>
  <c r="D2669" i="1"/>
  <c r="D2925" i="1"/>
  <c r="D2493" i="1"/>
  <c r="D1214" i="1"/>
  <c r="D585" i="1"/>
  <c r="D1546" i="1"/>
  <c r="D1939" i="1"/>
  <c r="D1981" i="1"/>
  <c r="D2661" i="1"/>
  <c r="D795" i="1"/>
  <c r="D2065" i="1"/>
  <c r="D2300" i="1"/>
  <c r="D2789" i="1"/>
  <c r="D2917" i="1"/>
  <c r="D1933" i="1"/>
  <c r="D2535" i="1"/>
  <c r="D2989" i="1"/>
  <c r="D2866" i="1"/>
  <c r="D2983" i="1"/>
  <c r="D2821" i="1"/>
  <c r="D2695" i="1"/>
  <c r="D2563" i="1"/>
  <c r="D2407" i="1"/>
  <c r="D2019" i="1"/>
  <c r="D2919" i="1"/>
  <c r="D228" i="1"/>
  <c r="D2044" i="1"/>
  <c r="D2701" i="1"/>
  <c r="D2829" i="1"/>
  <c r="D2957" i="1"/>
  <c r="D1907" i="1"/>
  <c r="D2387" i="1"/>
  <c r="D2693" i="1"/>
  <c r="D2949" i="1"/>
  <c r="D2810" i="1"/>
  <c r="D2269" i="1"/>
  <c r="D2733" i="1"/>
  <c r="D2861" i="1"/>
  <c r="D2163" i="1"/>
  <c r="D1916" i="1"/>
  <c r="D2172" i="1"/>
  <c r="D2041" i="1"/>
  <c r="D829" i="1"/>
  <c r="D573" i="1"/>
  <c r="D2425" i="1"/>
  <c r="D2553" i="1"/>
  <c r="D2297" i="1"/>
  <c r="D1913" i="1"/>
  <c r="D1598" i="1"/>
  <c r="D2465" i="1"/>
  <c r="D2169" i="1"/>
  <c r="D2593" i="1"/>
  <c r="D1672" i="1"/>
  <c r="D1394" i="1"/>
  <c r="D77" i="1"/>
  <c r="D1664" i="1"/>
  <c r="D1600" i="1"/>
  <c r="D136" i="1"/>
  <c r="Y31" i="7"/>
  <c r="AI31" i="7" s="1"/>
  <c r="AN31" i="7" s="1"/>
  <c r="D32" i="72" s="1"/>
  <c r="I32" i="72" s="1"/>
  <c r="O32" i="72" s="1"/>
  <c r="D205" i="1"/>
  <c r="D701" i="1"/>
  <c r="D2594" i="1"/>
  <c r="D2081" i="1"/>
  <c r="D2082" i="1"/>
  <c r="K28" i="51"/>
  <c r="P28" i="51" s="1"/>
  <c r="U28" i="51" s="1"/>
  <c r="AE28" i="51" s="1"/>
  <c r="P9" i="68"/>
  <c r="AB31" i="7"/>
  <c r="AL31" i="7" s="1"/>
  <c r="AQ31" i="7" s="1"/>
  <c r="G32" i="37" s="1"/>
  <c r="L32" i="37" s="1"/>
  <c r="R32" i="37" s="1"/>
  <c r="L34" i="51"/>
  <c r="Q34" i="51" s="1"/>
  <c r="V34" i="51" s="1"/>
  <c r="AF34" i="51" s="1"/>
  <c r="AC31" i="7"/>
  <c r="AM31" i="7" s="1"/>
  <c r="AR31" i="7" s="1"/>
  <c r="H32" i="46" s="1"/>
  <c r="M32" i="46" s="1"/>
  <c r="S32" i="46" s="1"/>
  <c r="M34" i="51"/>
  <c r="R34" i="51" s="1"/>
  <c r="W34" i="51" s="1"/>
  <c r="AG34" i="51" s="1"/>
  <c r="D1736" i="1"/>
  <c r="D765" i="1"/>
  <c r="D509" i="1"/>
  <c r="D93" i="1"/>
  <c r="P21" i="68"/>
  <c r="D221" i="1"/>
  <c r="D810" i="1"/>
  <c r="D1327" i="1"/>
  <c r="D1199" i="1"/>
  <c r="D910" i="1"/>
  <c r="D349" i="1"/>
  <c r="D293" i="1"/>
  <c r="D1486" i="1"/>
  <c r="D411" i="1"/>
  <c r="D283" i="1"/>
  <c r="D155" i="1"/>
  <c r="D27" i="1"/>
  <c r="D885" i="1"/>
  <c r="D972" i="1"/>
  <c r="D600" i="1"/>
  <c r="D1263" i="1"/>
  <c r="D621" i="1"/>
  <c r="D427" i="1"/>
  <c r="D299" i="1"/>
  <c r="D443" i="1"/>
  <c r="D315" i="1"/>
  <c r="D187" i="1"/>
  <c r="D1356" i="1"/>
  <c r="D1100" i="1"/>
  <c r="D856" i="1"/>
  <c r="D260" i="1"/>
  <c r="D164" i="1"/>
  <c r="D324" i="1"/>
  <c r="D171" i="1"/>
  <c r="D43" i="1"/>
  <c r="D371" i="1"/>
  <c r="D243" i="1"/>
  <c r="D115" i="1"/>
  <c r="D59" i="1"/>
  <c r="D388" i="1"/>
  <c r="D649" i="1"/>
  <c r="D37" i="1"/>
  <c r="D292" i="1"/>
  <c r="D331" i="1"/>
  <c r="D203" i="1"/>
  <c r="D75" i="1"/>
  <c r="D403" i="1"/>
  <c r="D275" i="1"/>
  <c r="D147" i="1"/>
  <c r="D19" i="1"/>
  <c r="D347" i="1"/>
  <c r="D219" i="1"/>
  <c r="D91" i="1"/>
  <c r="D1119" i="1"/>
  <c r="D1066" i="1"/>
  <c r="D752" i="1"/>
  <c r="D496" i="1"/>
  <c r="D1247" i="1"/>
  <c r="D420" i="1"/>
  <c r="D1322" i="1"/>
  <c r="D618" i="1"/>
  <c r="D68" i="1"/>
  <c r="D323" i="1"/>
  <c r="D363" i="1"/>
  <c r="D235" i="1"/>
  <c r="D107" i="1"/>
  <c r="D384" i="1"/>
  <c r="D435" i="1"/>
  <c r="D307" i="1"/>
  <c r="D179" i="1"/>
  <c r="D51" i="1"/>
  <c r="D160" i="1"/>
  <c r="D1000" i="1"/>
  <c r="D872" i="1"/>
  <c r="D624" i="1"/>
  <c r="D379" i="1"/>
  <c r="D251" i="1"/>
  <c r="D123" i="1"/>
  <c r="D132" i="1"/>
  <c r="D1311" i="1"/>
  <c r="D1094" i="1"/>
  <c r="D813" i="1"/>
  <c r="D557" i="1"/>
  <c r="D36" i="1"/>
  <c r="D938" i="1"/>
  <c r="D728" i="1"/>
  <c r="D472" i="1"/>
  <c r="D635" i="1"/>
  <c r="D1134" i="1"/>
  <c r="D196" i="1"/>
  <c r="D395" i="1"/>
  <c r="D267" i="1"/>
  <c r="D139" i="1"/>
  <c r="D11" i="1"/>
  <c r="D339" i="1"/>
  <c r="D211" i="1"/>
  <c r="D83" i="1"/>
  <c r="D288" i="1"/>
  <c r="D1032" i="1"/>
  <c r="D904" i="1"/>
  <c r="D688" i="1"/>
  <c r="D792" i="1"/>
  <c r="D536" i="1"/>
  <c r="D1038" i="1"/>
  <c r="D720" i="1"/>
  <c r="D67" i="1"/>
  <c r="D128" i="1"/>
  <c r="D416" i="1"/>
  <c r="D1183" i="1"/>
  <c r="D1194" i="1"/>
  <c r="D1326" i="1"/>
  <c r="D1198" i="1"/>
  <c r="D848" i="1"/>
  <c r="D195" i="1"/>
  <c r="D256" i="1"/>
  <c r="D32" i="1"/>
  <c r="D1096" i="1"/>
  <c r="D968" i="1"/>
  <c r="D816" i="1"/>
  <c r="D560" i="1"/>
  <c r="V28" i="7"/>
  <c r="AF28" i="7" s="1"/>
  <c r="W28" i="7"/>
  <c r="AG28" i="7" s="1"/>
  <c r="X28" i="7"/>
  <c r="AH28" i="7" s="1"/>
  <c r="U28" i="7"/>
  <c r="AE28" i="7" s="1"/>
  <c r="J34" i="51"/>
  <c r="O34" i="51" s="1"/>
  <c r="T34" i="51" s="1"/>
  <c r="AD34" i="51" s="1"/>
  <c r="N23" i="51"/>
  <c r="S23" i="51" s="1"/>
  <c r="X23" i="51" s="1"/>
  <c r="AH23" i="51" s="1"/>
  <c r="D33" i="45"/>
  <c r="I33" i="45" s="1"/>
  <c r="O33" i="45" s="1"/>
  <c r="T33" i="45" s="1"/>
  <c r="N34" i="51"/>
  <c r="S34" i="51" s="1"/>
  <c r="X34" i="51" s="1"/>
  <c r="AH34" i="51" s="1"/>
  <c r="L21" i="51"/>
  <c r="Q21" i="51" s="1"/>
  <c r="V21" i="51" s="1"/>
  <c r="AF21" i="51" s="1"/>
  <c r="M28" i="51"/>
  <c r="R28" i="51" s="1"/>
  <c r="W28" i="51" s="1"/>
  <c r="AG28" i="51" s="1"/>
  <c r="M32" i="51"/>
  <c r="R32" i="51" s="1"/>
  <c r="W32" i="51" s="1"/>
  <c r="AG32" i="51" s="1"/>
  <c r="M31" i="51"/>
  <c r="R31" i="51" s="1"/>
  <c r="W31" i="51" s="1"/>
  <c r="AG31" i="51" s="1"/>
  <c r="L32" i="51"/>
  <c r="Q32" i="51" s="1"/>
  <c r="V32" i="51" s="1"/>
  <c r="AF32" i="51" s="1"/>
  <c r="K31" i="51"/>
  <c r="P31" i="51" s="1"/>
  <c r="U31" i="51" s="1"/>
  <c r="AE31" i="51" s="1"/>
  <c r="J32" i="51"/>
  <c r="O32" i="51" s="1"/>
  <c r="T32" i="51" s="1"/>
  <c r="AD32" i="51" s="1"/>
  <c r="J31" i="51"/>
  <c r="O31" i="51" s="1"/>
  <c r="T31" i="51" s="1"/>
  <c r="AD31" i="51" s="1"/>
  <c r="N32" i="51"/>
  <c r="S32" i="51" s="1"/>
  <c r="X32" i="51" s="1"/>
  <c r="AH32" i="51" s="1"/>
  <c r="L31" i="51"/>
  <c r="Q31" i="51" s="1"/>
  <c r="V31" i="51" s="1"/>
  <c r="AF31" i="51" s="1"/>
  <c r="J25" i="51"/>
  <c r="O25" i="51" s="1"/>
  <c r="T25" i="51" s="1"/>
  <c r="AD25" i="51" s="1"/>
  <c r="L25" i="51"/>
  <c r="Q25" i="51" s="1"/>
  <c r="V25" i="51" s="1"/>
  <c r="AF25" i="51" s="1"/>
  <c r="M25" i="51"/>
  <c r="R25" i="51" s="1"/>
  <c r="W25" i="51" s="1"/>
  <c r="AG25" i="51" s="1"/>
  <c r="K25" i="51"/>
  <c r="P25" i="51" s="1"/>
  <c r="U25" i="51" s="1"/>
  <c r="AE25" i="51" s="1"/>
  <c r="M18" i="70"/>
  <c r="M45" i="70"/>
  <c r="O40" i="70"/>
  <c r="O13" i="70"/>
  <c r="O41" i="70"/>
  <c r="O14" i="70"/>
  <c r="M40" i="70"/>
  <c r="M13" i="70"/>
  <c r="G35" i="70"/>
  <c r="G8" i="70"/>
  <c r="O16" i="70"/>
  <c r="O43" i="70"/>
  <c r="O39" i="70"/>
  <c r="O12" i="70"/>
  <c r="J28" i="51"/>
  <c r="O28" i="51" s="1"/>
  <c r="T28" i="51" s="1"/>
  <c r="AD28" i="51" s="1"/>
  <c r="K23" i="51"/>
  <c r="P23" i="51" s="1"/>
  <c r="U23" i="51" s="1"/>
  <c r="AE23" i="51" s="1"/>
  <c r="Z21" i="7"/>
  <c r="AJ21" i="7" s="1"/>
  <c r="AO21" i="7" s="1"/>
  <c r="M42" i="70"/>
  <c r="M15" i="70"/>
  <c r="G10" i="70"/>
  <c r="G37" i="70"/>
  <c r="P18" i="70"/>
  <c r="P45" i="70"/>
  <c r="O18" i="70"/>
  <c r="O45" i="70"/>
  <c r="N28" i="51"/>
  <c r="S28" i="51" s="1"/>
  <c r="X28" i="51" s="1"/>
  <c r="AH28" i="51" s="1"/>
  <c r="L23" i="51"/>
  <c r="Q23" i="51" s="1"/>
  <c r="V23" i="51" s="1"/>
  <c r="AF23" i="51" s="1"/>
  <c r="AB27" i="51"/>
  <c r="AL27" i="51" s="1"/>
  <c r="AQ27" i="51" s="1"/>
  <c r="N30" i="51"/>
  <c r="S30" i="51" s="1"/>
  <c r="X30" i="51" s="1"/>
  <c r="AH30" i="51" s="1"/>
  <c r="AC33" i="7"/>
  <c r="AM33" i="7" s="1"/>
  <c r="AR33" i="7" s="1"/>
  <c r="H34" i="72" s="1"/>
  <c r="M34" i="72" s="1"/>
  <c r="S34" i="72" s="1"/>
  <c r="M12" i="70"/>
  <c r="M39" i="70"/>
  <c r="M41" i="70"/>
  <c r="M14" i="70"/>
  <c r="P43" i="70"/>
  <c r="P16" i="70"/>
  <c r="O15" i="70"/>
  <c r="O42" i="70"/>
  <c r="E34" i="70"/>
  <c r="E7" i="70"/>
  <c r="X22" i="70"/>
  <c r="X49" i="70"/>
  <c r="X24" i="70"/>
  <c r="X51" i="70"/>
  <c r="H4" i="70"/>
  <c r="H31" i="70"/>
  <c r="D5" i="70"/>
  <c r="D32" i="70"/>
  <c r="F34" i="70"/>
  <c r="F7" i="70"/>
  <c r="F6" i="70"/>
  <c r="F33" i="70"/>
  <c r="N39" i="70"/>
  <c r="N12" i="70"/>
  <c r="S12" i="70"/>
  <c r="S39" i="70"/>
  <c r="S42" i="70"/>
  <c r="S15" i="70"/>
  <c r="E37" i="70"/>
  <c r="E10" i="70"/>
  <c r="G33" i="70"/>
  <c r="G6" i="70"/>
  <c r="AB47" i="70"/>
  <c r="AB20" i="70"/>
  <c r="Z53" i="70"/>
  <c r="Z26" i="70"/>
  <c r="Q15" i="70"/>
  <c r="Q42" i="70"/>
  <c r="J37" i="70"/>
  <c r="J10" i="70"/>
  <c r="J8" i="70"/>
  <c r="J35" i="70"/>
  <c r="Y47" i="70"/>
  <c r="Y20" i="70"/>
  <c r="P39" i="70"/>
  <c r="P12" i="70"/>
  <c r="X47" i="70"/>
  <c r="X20" i="70"/>
  <c r="H37" i="70"/>
  <c r="H10" i="70"/>
  <c r="D6" i="70"/>
  <c r="D33" i="70"/>
  <c r="D31" i="70"/>
  <c r="D4" i="70"/>
  <c r="F32" i="70"/>
  <c r="F5" i="70"/>
  <c r="N42" i="70"/>
  <c r="N15" i="70"/>
  <c r="N41" i="70"/>
  <c r="N14" i="70"/>
  <c r="S40" i="70"/>
  <c r="S13" i="70"/>
  <c r="E32" i="70"/>
  <c r="E5" i="70"/>
  <c r="G7" i="70"/>
  <c r="G34" i="70"/>
  <c r="AB26" i="70"/>
  <c r="AB53" i="70"/>
  <c r="Z47" i="70"/>
  <c r="Z20" i="70"/>
  <c r="Q40" i="70"/>
  <c r="Q13" i="70"/>
  <c r="Q14" i="70"/>
  <c r="Q41" i="70"/>
  <c r="J4" i="70"/>
  <c r="J31" i="70"/>
  <c r="Y51" i="70"/>
  <c r="Y24" i="70"/>
  <c r="P15" i="70"/>
  <c r="P42" i="70"/>
  <c r="X26" i="70"/>
  <c r="X53" i="70"/>
  <c r="H35" i="70"/>
  <c r="H8" i="70"/>
  <c r="H6" i="70"/>
  <c r="H33" i="70"/>
  <c r="D10" i="70"/>
  <c r="D37" i="70"/>
  <c r="F8" i="70"/>
  <c r="F35" i="70"/>
  <c r="N40" i="70"/>
  <c r="N13" i="70"/>
  <c r="N43" i="70"/>
  <c r="N16" i="70"/>
  <c r="S43" i="70"/>
  <c r="S16" i="70"/>
  <c r="E8" i="70"/>
  <c r="E35" i="70"/>
  <c r="G31" i="70"/>
  <c r="G4" i="70"/>
  <c r="AB50" i="70"/>
  <c r="AB23" i="70"/>
  <c r="AB49" i="70"/>
  <c r="AB22" i="70"/>
  <c r="Z50" i="70"/>
  <c r="Z23" i="70"/>
  <c r="Q45" i="70"/>
  <c r="Q18" i="70"/>
  <c r="Q43" i="70"/>
  <c r="Q16" i="70"/>
  <c r="J34" i="70"/>
  <c r="J7" i="70"/>
  <c r="Y26" i="70"/>
  <c r="Y53" i="70"/>
  <c r="Y49" i="70"/>
  <c r="Y22" i="70"/>
  <c r="P40" i="70"/>
  <c r="P13" i="70"/>
  <c r="X23" i="70"/>
  <c r="X50" i="70"/>
  <c r="H34" i="70"/>
  <c r="H7" i="70"/>
  <c r="H5" i="70"/>
  <c r="H32" i="70"/>
  <c r="D34" i="70"/>
  <c r="D7" i="70"/>
  <c r="F10" i="70"/>
  <c r="F37" i="70"/>
  <c r="N45" i="70"/>
  <c r="N18" i="70"/>
  <c r="S18" i="70"/>
  <c r="S45" i="70"/>
  <c r="S41" i="70"/>
  <c r="S14" i="70"/>
  <c r="E6" i="70"/>
  <c r="E33" i="70"/>
  <c r="G5" i="70"/>
  <c r="G32" i="70"/>
  <c r="AB51" i="70"/>
  <c r="AB24" i="70"/>
  <c r="Z22" i="70"/>
  <c r="T7" i="68" s="1"/>
  <c r="Z49" i="70"/>
  <c r="T19" i="68" s="1"/>
  <c r="Z51" i="70"/>
  <c r="Z24" i="70"/>
  <c r="Q39" i="70"/>
  <c r="Q12" i="70"/>
  <c r="J5" i="70"/>
  <c r="J32" i="70"/>
  <c r="J6" i="70"/>
  <c r="J33" i="70"/>
  <c r="Y50" i="70"/>
  <c r="Y23" i="70"/>
  <c r="T19" i="7"/>
  <c r="AD19" i="7" s="1"/>
  <c r="U19" i="7"/>
  <c r="AE19" i="7" s="1"/>
  <c r="X19" i="7"/>
  <c r="AH19" i="7" s="1"/>
  <c r="V19" i="7"/>
  <c r="AF19" i="7" s="1"/>
  <c r="W19" i="7"/>
  <c r="AG19" i="7" s="1"/>
  <c r="D7" i="1"/>
  <c r="C3007" i="1"/>
  <c r="N24" i="51"/>
  <c r="S24" i="51" s="1"/>
  <c r="X24" i="51" s="1"/>
  <c r="AH24" i="51" s="1"/>
  <c r="AB21" i="7"/>
  <c r="AL21" i="7" s="1"/>
  <c r="AQ21" i="7" s="1"/>
  <c r="M23" i="51"/>
  <c r="R23" i="51" s="1"/>
  <c r="W23" i="51" s="1"/>
  <c r="AG23" i="51" s="1"/>
  <c r="K21" i="51"/>
  <c r="P21" i="51" s="1"/>
  <c r="U21" i="51" s="1"/>
  <c r="AE21" i="51" s="1"/>
  <c r="M21" i="51"/>
  <c r="R21" i="51" s="1"/>
  <c r="W21" i="51" s="1"/>
  <c r="AG21" i="51" s="1"/>
  <c r="Z31" i="7"/>
  <c r="AJ31" i="7" s="1"/>
  <c r="AO31" i="7" s="1"/>
  <c r="X21" i="7"/>
  <c r="AH21" i="7" s="1"/>
  <c r="M24" i="51"/>
  <c r="R24" i="51" s="1"/>
  <c r="W24" i="51" s="1"/>
  <c r="AG24" i="51" s="1"/>
  <c r="Y21" i="7"/>
  <c r="AI21" i="7" s="1"/>
  <c r="AN21" i="7" s="1"/>
  <c r="J24" i="51"/>
  <c r="O24" i="51" s="1"/>
  <c r="Y22" i="7"/>
  <c r="AI22" i="7" s="1"/>
  <c r="AN22" i="7" s="1"/>
  <c r="K29" i="51"/>
  <c r="P29" i="51" s="1"/>
  <c r="U29" i="51" s="1"/>
  <c r="AE29" i="51" s="1"/>
  <c r="L29" i="51"/>
  <c r="Q29" i="51" s="1"/>
  <c r="V29" i="51" s="1"/>
  <c r="AF29" i="51" s="1"/>
  <c r="AC24" i="7"/>
  <c r="AM24" i="7" s="1"/>
  <c r="AR24" i="7" s="1"/>
  <c r="Z33" i="7"/>
  <c r="AJ33" i="7" s="1"/>
  <c r="AO33" i="7" s="1"/>
  <c r="L30" i="51"/>
  <c r="Q30" i="51" s="1"/>
  <c r="V30" i="51" s="1"/>
  <c r="AF30" i="51" s="1"/>
  <c r="V26" i="7"/>
  <c r="AF26" i="7" s="1"/>
  <c r="K30" i="51"/>
  <c r="P30" i="51" s="1"/>
  <c r="U30" i="51" s="1"/>
  <c r="AE30" i="51" s="1"/>
  <c r="N29" i="51"/>
  <c r="S29" i="51" s="1"/>
  <c r="X29" i="51" s="1"/>
  <c r="AH29" i="51" s="1"/>
  <c r="Z24" i="7"/>
  <c r="AJ24" i="7" s="1"/>
  <c r="AO24" i="7" s="1"/>
  <c r="AC27" i="7"/>
  <c r="AM27" i="7" s="1"/>
  <c r="AR27" i="7" s="1"/>
  <c r="H28" i="37" s="1"/>
  <c r="AB24" i="7"/>
  <c r="AL24" i="7" s="1"/>
  <c r="AQ24" i="7" s="1"/>
  <c r="Y24" i="7"/>
  <c r="AI24" i="7" s="1"/>
  <c r="AN24" i="7" s="1"/>
  <c r="T30" i="51"/>
  <c r="AD30" i="51" s="1"/>
  <c r="AA24" i="7"/>
  <c r="AK24" i="7" s="1"/>
  <c r="AP24" i="7" s="1"/>
  <c r="N21" i="51"/>
  <c r="S21" i="51" s="1"/>
  <c r="X21" i="51" s="1"/>
  <c r="AH21" i="51" s="1"/>
  <c r="K24" i="51"/>
  <c r="P24" i="51" s="1"/>
  <c r="U24" i="51" s="1"/>
  <c r="AE24" i="51" s="1"/>
  <c r="M30" i="51"/>
  <c r="R30" i="51" s="1"/>
  <c r="W30" i="51" s="1"/>
  <c r="AG30" i="51" s="1"/>
  <c r="M29" i="51"/>
  <c r="R29" i="51" s="1"/>
  <c r="W29" i="51" s="1"/>
  <c r="AG29" i="51" s="1"/>
  <c r="AB26" i="7"/>
  <c r="AL26" i="7" s="1"/>
  <c r="AQ26" i="7" s="1"/>
  <c r="AA31" i="7"/>
  <c r="AK31" i="7" s="1"/>
  <c r="AP31" i="7" s="1"/>
  <c r="D34" i="41"/>
  <c r="I34" i="41" s="1"/>
  <c r="O34" i="41" s="1"/>
  <c r="T34" i="41" s="1"/>
  <c r="D34" i="44"/>
  <c r="I34" i="44" s="1"/>
  <c r="O34" i="44" s="1"/>
  <c r="T34" i="44" s="1"/>
  <c r="D34" i="72"/>
  <c r="I34" i="72" s="1"/>
  <c r="O34" i="72" s="1"/>
  <c r="T34" i="72" s="1"/>
  <c r="D34" i="85"/>
  <c r="I34" i="85" s="1"/>
  <c r="O34" i="85" s="1"/>
  <c r="T34" i="85" s="1"/>
  <c r="D34" i="58"/>
  <c r="I34" i="58" s="1"/>
  <c r="O34" i="58" s="1"/>
  <c r="T34" i="58" s="1"/>
  <c r="D34" i="46"/>
  <c r="I34" i="46" s="1"/>
  <c r="O34" i="46" s="1"/>
  <c r="T34" i="46" s="1"/>
  <c r="D34" i="45"/>
  <c r="I34" i="45" s="1"/>
  <c r="O34" i="45" s="1"/>
  <c r="T34" i="45" s="1"/>
  <c r="D34" i="37"/>
  <c r="I34" i="37" s="1"/>
  <c r="O34" i="37" s="1"/>
  <c r="T34" i="37" s="1"/>
  <c r="D34" i="78"/>
  <c r="I34" i="78" s="1"/>
  <c r="O34" i="78" s="1"/>
  <c r="T34" i="78" s="1"/>
  <c r="N22" i="51"/>
  <c r="S22" i="51" s="1"/>
  <c r="J22" i="51"/>
  <c r="O22" i="51" s="1"/>
  <c r="M22" i="51"/>
  <c r="R22" i="51" s="1"/>
  <c r="K22" i="51"/>
  <c r="P22" i="51" s="1"/>
  <c r="L22" i="51"/>
  <c r="Q22" i="51" s="1"/>
  <c r="J20" i="51"/>
  <c r="O20" i="51" s="1"/>
  <c r="M20" i="51"/>
  <c r="R20" i="51" s="1"/>
  <c r="N20" i="51"/>
  <c r="S20" i="51" s="1"/>
  <c r="L20" i="51"/>
  <c r="Q20" i="51" s="1"/>
  <c r="K20" i="51"/>
  <c r="P20" i="51" s="1"/>
  <c r="T29" i="7"/>
  <c r="AD29" i="7" s="1"/>
  <c r="U32" i="51"/>
  <c r="AE32" i="51" s="1"/>
  <c r="U34" i="51"/>
  <c r="AE34" i="51" s="1"/>
  <c r="U25" i="7"/>
  <c r="AE25" i="7" s="1"/>
  <c r="V28" i="51"/>
  <c r="AF28" i="51" s="1"/>
  <c r="T23" i="51"/>
  <c r="AD23" i="51" s="1"/>
  <c r="V30" i="7"/>
  <c r="AF30" i="7" s="1"/>
  <c r="T21" i="51"/>
  <c r="AD21" i="51" s="1"/>
  <c r="V24" i="51"/>
  <c r="AF24" i="51" s="1"/>
  <c r="T29" i="51"/>
  <c r="AD29" i="51" s="1"/>
  <c r="AA22" i="7"/>
  <c r="AK22" i="7" s="1"/>
  <c r="AP22" i="7" s="1"/>
  <c r="AA33" i="7"/>
  <c r="AK33" i="7" s="1"/>
  <c r="AP33" i="7" s="1"/>
  <c r="N19" i="51"/>
  <c r="S19" i="51" s="1"/>
  <c r="K19" i="51"/>
  <c r="P19" i="51" s="1"/>
  <c r="L19" i="51"/>
  <c r="Q19" i="51" s="1"/>
  <c r="J19" i="51"/>
  <c r="O19" i="51" s="1"/>
  <c r="M19" i="51"/>
  <c r="R19" i="51" s="1"/>
  <c r="X29" i="7"/>
  <c r="AH29" i="7" s="1"/>
  <c r="T25" i="7"/>
  <c r="AD25" i="7" s="1"/>
  <c r="T30" i="7"/>
  <c r="AD30" i="7" s="1"/>
  <c r="N26" i="51"/>
  <c r="S26" i="51" s="1"/>
  <c r="J26" i="51"/>
  <c r="O26" i="51" s="1"/>
  <c r="L26" i="51"/>
  <c r="Q26" i="51" s="1"/>
  <c r="K26" i="51"/>
  <c r="P26" i="51" s="1"/>
  <c r="M26" i="51"/>
  <c r="R26" i="51" s="1"/>
  <c r="W29" i="7"/>
  <c r="AG29" i="7" s="1"/>
  <c r="V29" i="7"/>
  <c r="AF29" i="7" s="1"/>
  <c r="X31" i="51"/>
  <c r="AH31" i="51" s="1"/>
  <c r="X25" i="7"/>
  <c r="AH25" i="7" s="1"/>
  <c r="W25" i="7"/>
  <c r="AG25" i="7" s="1"/>
  <c r="W30" i="7"/>
  <c r="AG30" i="7" s="1"/>
  <c r="U30" i="7"/>
  <c r="AE30" i="7" s="1"/>
  <c r="AC22" i="7"/>
  <c r="AM22" i="7" s="1"/>
  <c r="AR22" i="7" s="1"/>
  <c r="AA27" i="7"/>
  <c r="AK27" i="7" s="1"/>
  <c r="AP27" i="7" s="1"/>
  <c r="F28" i="37" s="1"/>
  <c r="N33" i="51"/>
  <c r="S33" i="51" s="1"/>
  <c r="L33" i="51"/>
  <c r="Q33" i="51" s="1"/>
  <c r="K33" i="51"/>
  <c r="P33" i="51" s="1"/>
  <c r="J33" i="51"/>
  <c r="O33" i="51" s="1"/>
  <c r="M33" i="51"/>
  <c r="R33" i="51" s="1"/>
  <c r="U29" i="7"/>
  <c r="AE29" i="7" s="1"/>
  <c r="V25" i="7"/>
  <c r="AF25" i="7" s="1"/>
  <c r="X25" i="51"/>
  <c r="AH25" i="51" s="1"/>
  <c r="X30" i="7"/>
  <c r="AH30" i="7" s="1"/>
  <c r="Y27" i="7"/>
  <c r="AI27" i="7" s="1"/>
  <c r="AN27" i="7" s="1"/>
  <c r="D28" i="37" s="1"/>
  <c r="AA21" i="7"/>
  <c r="AK21" i="7" s="1"/>
  <c r="AP21" i="7" s="1"/>
  <c r="AC26" i="7"/>
  <c r="AM26" i="7" s="1"/>
  <c r="AR26" i="7" s="1"/>
  <c r="Z22" i="7"/>
  <c r="AJ22" i="7" s="1"/>
  <c r="AO22" i="7" s="1"/>
  <c r="Y26" i="7"/>
  <c r="AI26" i="7" s="1"/>
  <c r="AN26" i="7" s="1"/>
  <c r="AB27" i="7"/>
  <c r="AL27" i="7" s="1"/>
  <c r="AQ27" i="7" s="1"/>
  <c r="G28" i="37" s="1"/>
  <c r="G32" i="85" l="1"/>
  <c r="L32" i="85" s="1"/>
  <c r="R32" i="85" s="1"/>
  <c r="Y27" i="51"/>
  <c r="AI27" i="51" s="1"/>
  <c r="AN27" i="51" s="1"/>
  <c r="E33" i="85"/>
  <c r="J33" i="85" s="1"/>
  <c r="P33" i="85" s="1"/>
  <c r="U33" i="85" s="1"/>
  <c r="F33" i="58"/>
  <c r="K33" i="58" s="1"/>
  <c r="Q33" i="58" s="1"/>
  <c r="V33" i="58" s="1"/>
  <c r="E33" i="46"/>
  <c r="J33" i="46" s="1"/>
  <c r="P33" i="46" s="1"/>
  <c r="U33" i="46" s="1"/>
  <c r="F33" i="45"/>
  <c r="K33" i="45" s="1"/>
  <c r="Q33" i="45" s="1"/>
  <c r="V33" i="45" s="1"/>
  <c r="F33" i="44"/>
  <c r="K33" i="44" s="1"/>
  <c r="Q33" i="44" s="1"/>
  <c r="V33" i="44" s="1"/>
  <c r="F33" i="78"/>
  <c r="K33" i="78" s="1"/>
  <c r="Q33" i="78" s="1"/>
  <c r="V33" i="78" s="1"/>
  <c r="F33" i="72"/>
  <c r="K33" i="72" s="1"/>
  <c r="Q33" i="72" s="1"/>
  <c r="V33" i="72" s="1"/>
  <c r="H32" i="37"/>
  <c r="M32" i="37" s="1"/>
  <c r="S32" i="37" s="1"/>
  <c r="E27" i="85"/>
  <c r="J27" i="85" s="1"/>
  <c r="P27" i="85" s="1"/>
  <c r="E33" i="58"/>
  <c r="J33" i="58" s="1"/>
  <c r="P33" i="58" s="1"/>
  <c r="U33" i="58" s="1"/>
  <c r="E33" i="41"/>
  <c r="J33" i="41" s="1"/>
  <c r="P33" i="41" s="1"/>
  <c r="U33" i="41" s="1"/>
  <c r="E33" i="45"/>
  <c r="J33" i="45" s="1"/>
  <c r="P33" i="45" s="1"/>
  <c r="U33" i="45" s="1"/>
  <c r="G35" i="44"/>
  <c r="L35" i="44" s="1"/>
  <c r="R35" i="44" s="1"/>
  <c r="G35" i="72"/>
  <c r="L35" i="72" s="1"/>
  <c r="R35" i="72" s="1"/>
  <c r="E33" i="44"/>
  <c r="J33" i="44" s="1"/>
  <c r="P33" i="44" s="1"/>
  <c r="E33" i="72"/>
  <c r="J33" i="72" s="1"/>
  <c r="P33" i="72" s="1"/>
  <c r="G35" i="78"/>
  <c r="L35" i="78" s="1"/>
  <c r="R35" i="78" s="1"/>
  <c r="G35" i="46"/>
  <c r="L35" i="46" s="1"/>
  <c r="R35" i="46" s="1"/>
  <c r="F35" i="46"/>
  <c r="K35" i="46" s="1"/>
  <c r="Q35" i="46" s="1"/>
  <c r="F33" i="85"/>
  <c r="K33" i="85" s="1"/>
  <c r="Q33" i="85" s="1"/>
  <c r="V33" i="85" s="1"/>
  <c r="G35" i="41"/>
  <c r="L35" i="41" s="1"/>
  <c r="R35" i="41" s="1"/>
  <c r="F33" i="46"/>
  <c r="K33" i="46" s="1"/>
  <c r="Q33" i="46" s="1"/>
  <c r="V33" i="46" s="1"/>
  <c r="F33" i="37"/>
  <c r="K33" i="37" s="1"/>
  <c r="Q33" i="37" s="1"/>
  <c r="V33" i="37" s="1"/>
  <c r="F35" i="45"/>
  <c r="K35" i="45" s="1"/>
  <c r="Q35" i="45" s="1"/>
  <c r="G34" i="44"/>
  <c r="L34" i="44" s="1"/>
  <c r="R34" i="44" s="1"/>
  <c r="W34" i="44" s="1"/>
  <c r="F35" i="78"/>
  <c r="K35" i="78" s="1"/>
  <c r="Q35" i="78" s="1"/>
  <c r="E27" i="45"/>
  <c r="J27" i="45" s="1"/>
  <c r="P27" i="45" s="1"/>
  <c r="E27" i="41"/>
  <c r="J27" i="41" s="1"/>
  <c r="P27" i="41" s="1"/>
  <c r="F35" i="72"/>
  <c r="K35" i="72" s="1"/>
  <c r="Q35" i="72" s="1"/>
  <c r="F35" i="41"/>
  <c r="K35" i="41" s="1"/>
  <c r="Q35" i="41" s="1"/>
  <c r="F35" i="85"/>
  <c r="K35" i="85" s="1"/>
  <c r="Q35" i="85" s="1"/>
  <c r="F35" i="37"/>
  <c r="K35" i="37" s="1"/>
  <c r="Q35" i="37" s="1"/>
  <c r="F35" i="44"/>
  <c r="K35" i="44" s="1"/>
  <c r="Q35" i="44" s="1"/>
  <c r="G24" i="78"/>
  <c r="L24" i="78" s="1"/>
  <c r="R24" i="78" s="1"/>
  <c r="U33" i="44"/>
  <c r="U33" i="72"/>
  <c r="AB32" i="7"/>
  <c r="AL32" i="7" s="1"/>
  <c r="AQ32" i="7" s="1"/>
  <c r="G33" i="85" s="1"/>
  <c r="L33" i="85" s="1"/>
  <c r="R33" i="85" s="1"/>
  <c r="W33" i="85" s="1"/>
  <c r="G23" i="45"/>
  <c r="L23" i="45" s="1"/>
  <c r="R23" i="45" s="1"/>
  <c r="G24" i="72"/>
  <c r="L24" i="72" s="1"/>
  <c r="R24" i="72" s="1"/>
  <c r="Z27" i="7"/>
  <c r="AJ27" i="7" s="1"/>
  <c r="AO27" i="7" s="1"/>
  <c r="E28" i="37" s="1"/>
  <c r="G23" i="44"/>
  <c r="L23" i="44" s="1"/>
  <c r="R23" i="44" s="1"/>
  <c r="G23" i="41"/>
  <c r="L23" i="41" s="1"/>
  <c r="R23" i="41" s="1"/>
  <c r="G24" i="85"/>
  <c r="L24" i="85" s="1"/>
  <c r="R24" i="85" s="1"/>
  <c r="G24" i="45"/>
  <c r="L24" i="45" s="1"/>
  <c r="R24" i="45" s="1"/>
  <c r="Y23" i="7"/>
  <c r="AI23" i="7" s="1"/>
  <c r="AN23" i="7" s="1"/>
  <c r="U33" i="78"/>
  <c r="G23" i="78"/>
  <c r="L23" i="78" s="1"/>
  <c r="R23" i="78" s="1"/>
  <c r="G23" i="46"/>
  <c r="L23" i="46" s="1"/>
  <c r="R23" i="46" s="1"/>
  <c r="G24" i="44"/>
  <c r="L24" i="44" s="1"/>
  <c r="R24" i="44" s="1"/>
  <c r="AC34" i="7"/>
  <c r="AM34" i="7" s="1"/>
  <c r="AR34" i="7" s="1"/>
  <c r="H35" i="85" s="1"/>
  <c r="M35" i="85" s="1"/>
  <c r="S35" i="85" s="1"/>
  <c r="G24" i="58"/>
  <c r="L24" i="58" s="1"/>
  <c r="R24" i="58" s="1"/>
  <c r="G34" i="58"/>
  <c r="L34" i="58" s="1"/>
  <c r="R34" i="58" s="1"/>
  <c r="W34" i="58" s="1"/>
  <c r="G34" i="72"/>
  <c r="L34" i="72" s="1"/>
  <c r="R34" i="72" s="1"/>
  <c r="W34" i="72" s="1"/>
  <c r="G34" i="45"/>
  <c r="L34" i="45" s="1"/>
  <c r="R34" i="45" s="1"/>
  <c r="W34" i="45" s="1"/>
  <c r="G34" i="85"/>
  <c r="L34" i="85" s="1"/>
  <c r="R34" i="85" s="1"/>
  <c r="W34" i="85" s="1"/>
  <c r="G24" i="46"/>
  <c r="L24" i="46" s="1"/>
  <c r="R24" i="46" s="1"/>
  <c r="G24" i="41"/>
  <c r="L24" i="41" s="1"/>
  <c r="R24" i="41" s="1"/>
  <c r="AB34" i="51"/>
  <c r="AL34" i="51" s="1"/>
  <c r="AQ34" i="51" s="1"/>
  <c r="G18" i="37" s="1"/>
  <c r="L18" i="37" s="1"/>
  <c r="R18" i="37" s="1"/>
  <c r="G34" i="78"/>
  <c r="L34" i="78" s="1"/>
  <c r="R34" i="78" s="1"/>
  <c r="W34" i="78" s="1"/>
  <c r="G34" i="46"/>
  <c r="L34" i="46" s="1"/>
  <c r="R34" i="46" s="1"/>
  <c r="W34" i="46" s="1"/>
  <c r="G34" i="41"/>
  <c r="L34" i="41" s="1"/>
  <c r="R34" i="41" s="1"/>
  <c r="W34" i="41" s="1"/>
  <c r="U33" i="37"/>
  <c r="U27" i="51"/>
  <c r="AE27" i="51" s="1"/>
  <c r="E27" i="44"/>
  <c r="J27" i="44" s="1"/>
  <c r="P27" i="44" s="1"/>
  <c r="E27" i="37"/>
  <c r="J27" i="37" s="1"/>
  <c r="P27" i="37" s="1"/>
  <c r="E27" i="78"/>
  <c r="J27" i="78" s="1"/>
  <c r="P27" i="78" s="1"/>
  <c r="E27" i="72"/>
  <c r="J27" i="72" s="1"/>
  <c r="P27" i="72" s="1"/>
  <c r="AA27" i="51"/>
  <c r="AK27" i="51" s="1"/>
  <c r="AP27" i="51" s="1"/>
  <c r="AC32" i="7"/>
  <c r="AM32" i="7" s="1"/>
  <c r="AR32" i="7" s="1"/>
  <c r="Z20" i="7"/>
  <c r="AJ20" i="7" s="1"/>
  <c r="AO20" i="7" s="1"/>
  <c r="X27" i="51"/>
  <c r="AH27" i="51" s="1"/>
  <c r="G32" i="72"/>
  <c r="L32" i="72" s="1"/>
  <c r="R32" i="72" s="1"/>
  <c r="W32" i="72" s="1"/>
  <c r="E27" i="46"/>
  <c r="J27" i="46" s="1"/>
  <c r="P27" i="46" s="1"/>
  <c r="D32" i="78"/>
  <c r="I32" i="78" s="1"/>
  <c r="O32" i="78" s="1"/>
  <c r="T32" i="78" s="1"/>
  <c r="H34" i="45"/>
  <c r="M34" i="45" s="1"/>
  <c r="S34" i="45" s="1"/>
  <c r="X34" i="45" s="1"/>
  <c r="H34" i="44"/>
  <c r="M34" i="44" s="1"/>
  <c r="S34" i="44" s="1"/>
  <c r="X34" i="44" s="1"/>
  <c r="G32" i="78"/>
  <c r="L32" i="78" s="1"/>
  <c r="R32" i="78" s="1"/>
  <c r="H32" i="44"/>
  <c r="M32" i="44" s="1"/>
  <c r="S32" i="44" s="1"/>
  <c r="H32" i="58"/>
  <c r="M32" i="58" s="1"/>
  <c r="S32" i="58" s="1"/>
  <c r="G32" i="45"/>
  <c r="L32" i="45" s="1"/>
  <c r="R32" i="45" s="1"/>
  <c r="G32" i="58"/>
  <c r="L32" i="58" s="1"/>
  <c r="R32" i="58" s="1"/>
  <c r="G23" i="85"/>
  <c r="L23" i="85" s="1"/>
  <c r="R23" i="85" s="1"/>
  <c r="G23" i="37"/>
  <c r="L23" i="37" s="1"/>
  <c r="R23" i="37" s="1"/>
  <c r="G23" i="72"/>
  <c r="L23" i="72" s="1"/>
  <c r="R23" i="72" s="1"/>
  <c r="AC23" i="7"/>
  <c r="AM23" i="7" s="1"/>
  <c r="AR23" i="7" s="1"/>
  <c r="H24" i="46" s="1"/>
  <c r="M24" i="46" s="1"/>
  <c r="S24" i="46" s="1"/>
  <c r="AA23" i="7"/>
  <c r="AK23" i="7" s="1"/>
  <c r="AP23" i="7" s="1"/>
  <c r="F24" i="72" s="1"/>
  <c r="K24" i="72" s="1"/>
  <c r="Q24" i="72" s="1"/>
  <c r="D32" i="44"/>
  <c r="I32" i="44" s="1"/>
  <c r="O32" i="44" s="1"/>
  <c r="T32" i="44" s="1"/>
  <c r="D32" i="46"/>
  <c r="I32" i="46" s="1"/>
  <c r="O32" i="46" s="1"/>
  <c r="T32" i="46" s="1"/>
  <c r="D32" i="58"/>
  <c r="I32" i="58" s="1"/>
  <c r="O32" i="58" s="1"/>
  <c r="Y34" i="7"/>
  <c r="AI34" i="7" s="1"/>
  <c r="AN34" i="7" s="1"/>
  <c r="H32" i="45"/>
  <c r="M32" i="45" s="1"/>
  <c r="S32" i="45" s="1"/>
  <c r="T32" i="72"/>
  <c r="D32" i="37"/>
  <c r="I32" i="37" s="1"/>
  <c r="O32" i="37" s="1"/>
  <c r="W32" i="37" s="1"/>
  <c r="D32" i="85"/>
  <c r="I32" i="85" s="1"/>
  <c r="O32" i="85" s="1"/>
  <c r="D32" i="45"/>
  <c r="I32" i="45" s="1"/>
  <c r="O32" i="45" s="1"/>
  <c r="D32" i="41"/>
  <c r="I32" i="41" s="1"/>
  <c r="O32" i="41" s="1"/>
  <c r="T32" i="41" s="1"/>
  <c r="H32" i="72"/>
  <c r="M32" i="72" s="1"/>
  <c r="S32" i="72" s="1"/>
  <c r="X32" i="72" s="1"/>
  <c r="H32" i="78"/>
  <c r="M32" i="78" s="1"/>
  <c r="S32" i="78" s="1"/>
  <c r="G32" i="41"/>
  <c r="L32" i="41" s="1"/>
  <c r="R32" i="41" s="1"/>
  <c r="G32" i="46"/>
  <c r="L32" i="46" s="1"/>
  <c r="R32" i="46" s="1"/>
  <c r="G32" i="44"/>
  <c r="L32" i="44" s="1"/>
  <c r="R32" i="44" s="1"/>
  <c r="H32" i="41"/>
  <c r="M32" i="41" s="1"/>
  <c r="S32" i="41" s="1"/>
  <c r="H32" i="85"/>
  <c r="M32" i="85" s="1"/>
  <c r="S32" i="85" s="1"/>
  <c r="I13" i="59"/>
  <c r="H13" i="59"/>
  <c r="T5" i="47" s="1"/>
  <c r="AA28" i="7"/>
  <c r="AK28" i="7" s="1"/>
  <c r="AP28" i="7" s="1"/>
  <c r="F29" i="37" s="1"/>
  <c r="AB28" i="7"/>
  <c r="AL28" i="7" s="1"/>
  <c r="AQ28" i="7" s="1"/>
  <c r="G29" i="37" s="1"/>
  <c r="Z28" i="7"/>
  <c r="AJ28" i="7" s="1"/>
  <c r="AO28" i="7" s="1"/>
  <c r="E29" i="37" s="1"/>
  <c r="AC28" i="7"/>
  <c r="AM28" i="7" s="1"/>
  <c r="AR28" i="7" s="1"/>
  <c r="H29" i="37" s="1"/>
  <c r="AA32" i="51"/>
  <c r="AK32" i="51" s="1"/>
  <c r="AP32" i="51" s="1"/>
  <c r="F16" i="58" s="1"/>
  <c r="K16" i="58" s="1"/>
  <c r="Q16" i="58" s="1"/>
  <c r="Q55" i="70"/>
  <c r="Y34" i="51"/>
  <c r="AI34" i="51" s="1"/>
  <c r="AN34" i="51" s="1"/>
  <c r="W34" i="37"/>
  <c r="H34" i="37"/>
  <c r="M34" i="37" s="1"/>
  <c r="S34" i="37" s="1"/>
  <c r="X34" i="37" s="1"/>
  <c r="V7" i="68"/>
  <c r="S6" i="68"/>
  <c r="AE41" i="70"/>
  <c r="T20" i="68"/>
  <c r="S11" i="68"/>
  <c r="R9" i="68"/>
  <c r="S21" i="68"/>
  <c r="S19" i="68"/>
  <c r="Q19" i="68"/>
  <c r="AB25" i="51"/>
  <c r="AL25" i="51" s="1"/>
  <c r="AQ25" i="51" s="1"/>
  <c r="T18" i="68"/>
  <c r="AE45" i="70"/>
  <c r="M28" i="70"/>
  <c r="V6" i="68"/>
  <c r="X34" i="72"/>
  <c r="AA25" i="51"/>
  <c r="AK25" i="51" s="1"/>
  <c r="AP25" i="51" s="1"/>
  <c r="H34" i="78"/>
  <c r="M34" i="78" s="1"/>
  <c r="S34" i="78" s="1"/>
  <c r="X34" i="78" s="1"/>
  <c r="R21" i="68"/>
  <c r="S9" i="68"/>
  <c r="V18" i="68"/>
  <c r="H34" i="41"/>
  <c r="M34" i="41" s="1"/>
  <c r="S34" i="41" s="1"/>
  <c r="X34" i="41" s="1"/>
  <c r="H34" i="85"/>
  <c r="M34" i="85" s="1"/>
  <c r="S34" i="85" s="1"/>
  <c r="X34" i="85" s="1"/>
  <c r="H34" i="58"/>
  <c r="M34" i="58" s="1"/>
  <c r="S34" i="58" s="1"/>
  <c r="X34" i="58" s="1"/>
  <c r="O55" i="70"/>
  <c r="O28" i="70"/>
  <c r="E22" i="72"/>
  <c r="J22" i="72" s="1"/>
  <c r="P22" i="72" s="1"/>
  <c r="E22" i="46"/>
  <c r="J22" i="46" s="1"/>
  <c r="P22" i="46" s="1"/>
  <c r="E22" i="41"/>
  <c r="J22" i="41" s="1"/>
  <c r="P22" i="41" s="1"/>
  <c r="E22" i="45"/>
  <c r="J22" i="45" s="1"/>
  <c r="P22" i="45" s="1"/>
  <c r="E22" i="37"/>
  <c r="J22" i="37" s="1"/>
  <c r="P22" i="37" s="1"/>
  <c r="E22" i="78"/>
  <c r="J22" i="78" s="1"/>
  <c r="P22" i="78" s="1"/>
  <c r="E22" i="44"/>
  <c r="J22" i="44" s="1"/>
  <c r="P22" i="44" s="1"/>
  <c r="E22" i="85"/>
  <c r="J22" i="85" s="1"/>
  <c r="P22" i="85" s="1"/>
  <c r="E22" i="58"/>
  <c r="J22" i="58" s="1"/>
  <c r="P22" i="58" s="1"/>
  <c r="AB24" i="51"/>
  <c r="AL24" i="51" s="1"/>
  <c r="AQ24" i="51" s="1"/>
  <c r="G8" i="85" s="1"/>
  <c r="L8" i="85" s="1"/>
  <c r="R8" i="85" s="1"/>
  <c r="H34" i="46"/>
  <c r="M34" i="46" s="1"/>
  <c r="S34" i="46" s="1"/>
  <c r="X34" i="46" s="1"/>
  <c r="Q28" i="70"/>
  <c r="AE14" i="70"/>
  <c r="S23" i="68"/>
  <c r="AE15" i="70"/>
  <c r="M55" i="70"/>
  <c r="Q7" i="68"/>
  <c r="R11" i="68"/>
  <c r="T6" i="68"/>
  <c r="V20" i="68"/>
  <c r="P7" i="68"/>
  <c r="AE8" i="70"/>
  <c r="Q9" i="68"/>
  <c r="D55" i="70"/>
  <c r="AE31" i="70"/>
  <c r="P17" i="68"/>
  <c r="AE5" i="70"/>
  <c r="P6" i="68"/>
  <c r="AB19" i="7"/>
  <c r="AL19" i="7" s="1"/>
  <c r="AQ19" i="7" s="1"/>
  <c r="Z19" i="7"/>
  <c r="AJ19" i="7" s="1"/>
  <c r="AO19" i="7" s="1"/>
  <c r="R23" i="68"/>
  <c r="AE50" i="70"/>
  <c r="AE43" i="70"/>
  <c r="AE26" i="70"/>
  <c r="Z55" i="70"/>
  <c r="S8" i="68"/>
  <c r="AE42" i="70"/>
  <c r="T23" i="68"/>
  <c r="P55" i="70"/>
  <c r="V9" i="68"/>
  <c r="AB55" i="70"/>
  <c r="Q23" i="68"/>
  <c r="S28" i="70"/>
  <c r="AE24" i="70"/>
  <c r="Q20" i="68"/>
  <c r="P20" i="68"/>
  <c r="AE34" i="70"/>
  <c r="AE35" i="70"/>
  <c r="Q21" i="68"/>
  <c r="AE4" i="70"/>
  <c r="D28" i="70"/>
  <c r="P5" i="68"/>
  <c r="AE32" i="70"/>
  <c r="P18" i="68"/>
  <c r="AE16" i="70"/>
  <c r="AE53" i="70"/>
  <c r="Z28" i="70"/>
  <c r="S20" i="68"/>
  <c r="T11" i="68"/>
  <c r="P28" i="70"/>
  <c r="V21" i="68"/>
  <c r="AB28" i="70"/>
  <c r="Q11" i="68"/>
  <c r="S55" i="70"/>
  <c r="AE51" i="70"/>
  <c r="Q8" i="68"/>
  <c r="AE7" i="70"/>
  <c r="P8" i="68"/>
  <c r="G55" i="70"/>
  <c r="S17" i="68"/>
  <c r="AE10" i="70"/>
  <c r="P11" i="68"/>
  <c r="J28" i="70"/>
  <c r="V5" i="68"/>
  <c r="E55" i="70"/>
  <c r="Q18" i="68"/>
  <c r="R18" i="68"/>
  <c r="F55" i="70"/>
  <c r="R17" i="68"/>
  <c r="AE47" i="70"/>
  <c r="X55" i="70"/>
  <c r="N55" i="70"/>
  <c r="Q17" i="68"/>
  <c r="AE39" i="70"/>
  <c r="H28" i="70"/>
  <c r="T5" i="68"/>
  <c r="R7" i="68"/>
  <c r="AE22" i="70"/>
  <c r="AA19" i="7"/>
  <c r="AK19" i="7" s="1"/>
  <c r="AP19" i="7" s="1"/>
  <c r="AC19" i="7"/>
  <c r="AM19" i="7" s="1"/>
  <c r="AR19" i="7" s="1"/>
  <c r="Y19" i="7"/>
  <c r="AI19" i="7" s="1"/>
  <c r="AN19" i="7" s="1"/>
  <c r="V19" i="68"/>
  <c r="S18" i="68"/>
  <c r="AE18" i="70"/>
  <c r="T8" i="68"/>
  <c r="AE40" i="70"/>
  <c r="T21" i="68"/>
  <c r="Y55" i="70"/>
  <c r="V23" i="68"/>
  <c r="R20" i="68"/>
  <c r="S5" i="68"/>
  <c r="G28" i="70"/>
  <c r="AE37" i="70"/>
  <c r="P23" i="68"/>
  <c r="V17" i="68"/>
  <c r="J55" i="70"/>
  <c r="E28" i="70"/>
  <c r="Q6" i="68"/>
  <c r="F28" i="70"/>
  <c r="R6" i="68"/>
  <c r="AE33" i="70"/>
  <c r="P19" i="68"/>
  <c r="AE20" i="70"/>
  <c r="R5" i="68"/>
  <c r="X28" i="70"/>
  <c r="AE6" i="70"/>
  <c r="S7" i="68"/>
  <c r="N28" i="70"/>
  <c r="Q5" i="68"/>
  <c r="AE12" i="70"/>
  <c r="H55" i="70"/>
  <c r="T17" i="68"/>
  <c r="R19" i="68"/>
  <c r="AE49" i="70"/>
  <c r="AE23" i="70"/>
  <c r="V8" i="68"/>
  <c r="AE13" i="70"/>
  <c r="T9" i="68"/>
  <c r="Y28" i="70"/>
  <c r="V11" i="68"/>
  <c r="R8" i="68"/>
  <c r="G22" i="72"/>
  <c r="L22" i="72" s="1"/>
  <c r="R22" i="72" s="1"/>
  <c r="G22" i="46"/>
  <c r="L22" i="46" s="1"/>
  <c r="R22" i="46" s="1"/>
  <c r="G22" i="41"/>
  <c r="L22" i="41" s="1"/>
  <c r="R22" i="41" s="1"/>
  <c r="G22" i="45"/>
  <c r="L22" i="45" s="1"/>
  <c r="R22" i="45" s="1"/>
  <c r="G22" i="37"/>
  <c r="L22" i="37" s="1"/>
  <c r="R22" i="37" s="1"/>
  <c r="G22" i="44"/>
  <c r="L22" i="44" s="1"/>
  <c r="R22" i="44" s="1"/>
  <c r="G22" i="85"/>
  <c r="L22" i="85" s="1"/>
  <c r="R22" i="85" s="1"/>
  <c r="G22" i="58"/>
  <c r="L22" i="58" s="1"/>
  <c r="R22" i="58" s="1"/>
  <c r="G22" i="78"/>
  <c r="L22" i="78" s="1"/>
  <c r="R22" i="78" s="1"/>
  <c r="AC25" i="51"/>
  <c r="AM25" i="51" s="1"/>
  <c r="AR25" i="51" s="1"/>
  <c r="Y21" i="51"/>
  <c r="AI21" i="51" s="1"/>
  <c r="AN21" i="51" s="1"/>
  <c r="D5" i="45" s="1"/>
  <c r="I5" i="45" s="1"/>
  <c r="O5" i="45" s="1"/>
  <c r="Y29" i="7"/>
  <c r="AI29" i="7" s="1"/>
  <c r="AN29" i="7" s="1"/>
  <c r="AC21" i="7"/>
  <c r="AM21" i="7" s="1"/>
  <c r="AR21" i="7" s="1"/>
  <c r="H22" i="45" s="1"/>
  <c r="M22" i="45" s="1"/>
  <c r="S22" i="45" s="1"/>
  <c r="E32" i="45"/>
  <c r="J32" i="45" s="1"/>
  <c r="P32" i="45" s="1"/>
  <c r="E32" i="58"/>
  <c r="J32" i="58" s="1"/>
  <c r="P32" i="58" s="1"/>
  <c r="E32" i="44"/>
  <c r="J32" i="44" s="1"/>
  <c r="P32" i="44" s="1"/>
  <c r="E32" i="41"/>
  <c r="J32" i="41" s="1"/>
  <c r="P32" i="41" s="1"/>
  <c r="E32" i="46"/>
  <c r="J32" i="46" s="1"/>
  <c r="P32" i="46" s="1"/>
  <c r="E32" i="37"/>
  <c r="J32" i="37" s="1"/>
  <c r="P32" i="37" s="1"/>
  <c r="E32" i="78"/>
  <c r="J32" i="78" s="1"/>
  <c r="P32" i="78" s="1"/>
  <c r="E32" i="72"/>
  <c r="J32" i="72" s="1"/>
  <c r="P32" i="72" s="1"/>
  <c r="U32" i="72" s="1"/>
  <c r="E32" i="85"/>
  <c r="J32" i="85" s="1"/>
  <c r="P32" i="85" s="1"/>
  <c r="T24" i="51"/>
  <c r="AD24" i="51" s="1"/>
  <c r="D22" i="37"/>
  <c r="I22" i="37" s="1"/>
  <c r="O22" i="37" s="1"/>
  <c r="D22" i="58"/>
  <c r="I22" i="58" s="1"/>
  <c r="O22" i="58" s="1"/>
  <c r="D22" i="85"/>
  <c r="I22" i="85" s="1"/>
  <c r="O22" i="85" s="1"/>
  <c r="D22" i="44"/>
  <c r="I22" i="44" s="1"/>
  <c r="O22" i="44" s="1"/>
  <c r="D22" i="78"/>
  <c r="I22" i="78" s="1"/>
  <c r="O22" i="78" s="1"/>
  <c r="D22" i="72"/>
  <c r="I22" i="72" s="1"/>
  <c r="O22" i="72" s="1"/>
  <c r="D22" i="46"/>
  <c r="I22" i="46" s="1"/>
  <c r="O22" i="46" s="1"/>
  <c r="D22" i="41"/>
  <c r="I22" i="41" s="1"/>
  <c r="O22" i="41" s="1"/>
  <c r="D22" i="45"/>
  <c r="I22" i="45" s="1"/>
  <c r="O22" i="45" s="1"/>
  <c r="D23" i="72"/>
  <c r="I23" i="72" s="1"/>
  <c r="O23" i="72" s="1"/>
  <c r="D23" i="46"/>
  <c r="I23" i="46" s="1"/>
  <c r="O23" i="46" s="1"/>
  <c r="D23" i="41"/>
  <c r="I23" i="41" s="1"/>
  <c r="O23" i="41" s="1"/>
  <c r="D23" i="45"/>
  <c r="I23" i="45" s="1"/>
  <c r="O23" i="45" s="1"/>
  <c r="D23" i="37"/>
  <c r="I23" i="37" s="1"/>
  <c r="O23" i="37" s="1"/>
  <c r="D23" i="58"/>
  <c r="I23" i="58" s="1"/>
  <c r="O23" i="58" s="1"/>
  <c r="D23" i="78"/>
  <c r="I23" i="78" s="1"/>
  <c r="O23" i="78" s="1"/>
  <c r="D23" i="44"/>
  <c r="I23" i="44" s="1"/>
  <c r="O23" i="44" s="1"/>
  <c r="D23" i="85"/>
  <c r="I23" i="85" s="1"/>
  <c r="O23" i="85" s="1"/>
  <c r="AA24" i="51"/>
  <c r="AK24" i="51" s="1"/>
  <c r="AP24" i="51" s="1"/>
  <c r="AA26" i="7"/>
  <c r="AK26" i="7" s="1"/>
  <c r="AP26" i="7" s="1"/>
  <c r="Y30" i="51"/>
  <c r="AI30" i="51" s="1"/>
  <c r="AN30" i="51" s="1"/>
  <c r="AA30" i="51"/>
  <c r="AK30" i="51" s="1"/>
  <c r="AP30" i="51" s="1"/>
  <c r="AA21" i="51"/>
  <c r="AK21" i="51" s="1"/>
  <c r="AP21" i="51" s="1"/>
  <c r="AB30" i="7"/>
  <c r="AL30" i="7" s="1"/>
  <c r="AQ30" i="7" s="1"/>
  <c r="Y30" i="7"/>
  <c r="AI30" i="7" s="1"/>
  <c r="AN30" i="7" s="1"/>
  <c r="AC24" i="51"/>
  <c r="AM24" i="51" s="1"/>
  <c r="AR24" i="51" s="1"/>
  <c r="AB32" i="51"/>
  <c r="AL32" i="51" s="1"/>
  <c r="AQ32" i="51" s="1"/>
  <c r="Y23" i="51"/>
  <c r="AI23" i="51" s="1"/>
  <c r="AN23" i="51" s="1"/>
  <c r="Y31" i="51"/>
  <c r="AI31" i="51" s="1"/>
  <c r="AN31" i="51" s="1"/>
  <c r="AA23" i="51"/>
  <c r="AK23" i="51" s="1"/>
  <c r="AP23" i="51" s="1"/>
  <c r="AA29" i="51"/>
  <c r="AK29" i="51" s="1"/>
  <c r="AP29" i="51" s="1"/>
  <c r="Z25" i="51"/>
  <c r="AJ25" i="51" s="1"/>
  <c r="AO25" i="51" s="1"/>
  <c r="AC25" i="7"/>
  <c r="AM25" i="7" s="1"/>
  <c r="AR25" i="7" s="1"/>
  <c r="AC23" i="51"/>
  <c r="AM23" i="51" s="1"/>
  <c r="AR23" i="51" s="1"/>
  <c r="AC29" i="7"/>
  <c r="AM29" i="7" s="1"/>
  <c r="AR29" i="7" s="1"/>
  <c r="Z34" i="51"/>
  <c r="AJ34" i="51" s="1"/>
  <c r="AO34" i="51" s="1"/>
  <c r="AC30" i="51"/>
  <c r="AM30" i="51" s="1"/>
  <c r="AR30" i="51" s="1"/>
  <c r="Z28" i="51"/>
  <c r="AJ28" i="51" s="1"/>
  <c r="AO28" i="51" s="1"/>
  <c r="Y25" i="7"/>
  <c r="AI25" i="7" s="1"/>
  <c r="AN25" i="7" s="1"/>
  <c r="AB25" i="7"/>
  <c r="AL25" i="7" s="1"/>
  <c r="AQ25" i="7" s="1"/>
  <c r="AC31" i="51"/>
  <c r="AM31" i="51" s="1"/>
  <c r="AR31" i="51" s="1"/>
  <c r="H15" i="45" s="1"/>
  <c r="M15" i="45" s="1"/>
  <c r="S15" i="45" s="1"/>
  <c r="Z24" i="51"/>
  <c r="AJ24" i="51" s="1"/>
  <c r="AO24" i="51" s="1"/>
  <c r="AC32" i="51"/>
  <c r="AM32" i="51" s="1"/>
  <c r="AR32" i="51" s="1"/>
  <c r="Y29" i="51"/>
  <c r="AI29" i="51" s="1"/>
  <c r="AN29" i="51" s="1"/>
  <c r="Y25" i="51"/>
  <c r="AI25" i="51" s="1"/>
  <c r="AN25" i="51" s="1"/>
  <c r="Z25" i="7"/>
  <c r="AJ25" i="7" s="1"/>
  <c r="AO25" i="7" s="1"/>
  <c r="E23" i="41"/>
  <c r="J23" i="41" s="1"/>
  <c r="P23" i="41" s="1"/>
  <c r="E23" i="45"/>
  <c r="J23" i="45" s="1"/>
  <c r="P23" i="45" s="1"/>
  <c r="E23" i="37"/>
  <c r="J23" i="37" s="1"/>
  <c r="P23" i="37" s="1"/>
  <c r="E23" i="44"/>
  <c r="J23" i="44" s="1"/>
  <c r="P23" i="44" s="1"/>
  <c r="E23" i="78"/>
  <c r="J23" i="78" s="1"/>
  <c r="P23" i="78" s="1"/>
  <c r="E23" i="58"/>
  <c r="J23" i="58" s="1"/>
  <c r="P23" i="58" s="1"/>
  <c r="E23" i="85"/>
  <c r="J23" i="85" s="1"/>
  <c r="P23" i="85" s="1"/>
  <c r="E23" i="72"/>
  <c r="J23" i="72" s="1"/>
  <c r="P23" i="72" s="1"/>
  <c r="E23" i="46"/>
  <c r="J23" i="46" s="1"/>
  <c r="P23" i="46" s="1"/>
  <c r="F22" i="46"/>
  <c r="K22" i="46" s="1"/>
  <c r="Q22" i="46" s="1"/>
  <c r="F22" i="37"/>
  <c r="K22" i="37" s="1"/>
  <c r="Q22" i="37" s="1"/>
  <c r="F22" i="85"/>
  <c r="K22" i="85" s="1"/>
  <c r="Q22" i="85" s="1"/>
  <c r="F22" i="41"/>
  <c r="K22" i="41" s="1"/>
  <c r="Q22" i="41" s="1"/>
  <c r="F22" i="78"/>
  <c r="K22" i="78" s="1"/>
  <c r="Q22" i="78" s="1"/>
  <c r="F22" i="58"/>
  <c r="K22" i="58" s="1"/>
  <c r="Q22" i="58" s="1"/>
  <c r="F22" i="45"/>
  <c r="K22" i="45" s="1"/>
  <c r="Q22" i="45" s="1"/>
  <c r="F22" i="72"/>
  <c r="K22" i="72" s="1"/>
  <c r="Q22" i="72" s="1"/>
  <c r="F22" i="44"/>
  <c r="K22" i="44" s="1"/>
  <c r="Q22" i="44" s="1"/>
  <c r="D27" i="37"/>
  <c r="I27" i="37" s="1"/>
  <c r="O27" i="37" s="1"/>
  <c r="D27" i="78"/>
  <c r="I27" i="78" s="1"/>
  <c r="O27" i="78" s="1"/>
  <c r="D27" i="72"/>
  <c r="I27" i="72" s="1"/>
  <c r="O27" i="72" s="1"/>
  <c r="D27" i="58"/>
  <c r="I27" i="58" s="1"/>
  <c r="O27" i="58" s="1"/>
  <c r="D27" i="46"/>
  <c r="I27" i="46" s="1"/>
  <c r="O27" i="46" s="1"/>
  <c r="D27" i="85"/>
  <c r="I27" i="85" s="1"/>
  <c r="O27" i="85" s="1"/>
  <c r="D27" i="41"/>
  <c r="I27" i="41" s="1"/>
  <c r="O27" i="41" s="1"/>
  <c r="D27" i="45"/>
  <c r="I27" i="45" s="1"/>
  <c r="O27" i="45" s="1"/>
  <c r="D27" i="44"/>
  <c r="I27" i="44" s="1"/>
  <c r="O27" i="44" s="1"/>
  <c r="H27" i="37"/>
  <c r="M27" i="37" s="1"/>
  <c r="S27" i="37" s="1"/>
  <c r="H27" i="44"/>
  <c r="M27" i="44" s="1"/>
  <c r="S27" i="44" s="1"/>
  <c r="H27" i="78"/>
  <c r="M27" i="78" s="1"/>
  <c r="S27" i="78" s="1"/>
  <c r="H27" i="85"/>
  <c r="M27" i="85" s="1"/>
  <c r="S27" i="85" s="1"/>
  <c r="H27" i="72"/>
  <c r="M27" i="72" s="1"/>
  <c r="S27" i="72" s="1"/>
  <c r="H27" i="46"/>
  <c r="M27" i="46" s="1"/>
  <c r="S27" i="46" s="1"/>
  <c r="H27" i="41"/>
  <c r="M27" i="41" s="1"/>
  <c r="S27" i="41" s="1"/>
  <c r="H27" i="45"/>
  <c r="M27" i="45" s="1"/>
  <c r="S27" i="45" s="1"/>
  <c r="H27" i="58"/>
  <c r="M27" i="58" s="1"/>
  <c r="S27" i="58" s="1"/>
  <c r="F34" i="85"/>
  <c r="K34" i="85" s="1"/>
  <c r="Q34" i="85" s="1"/>
  <c r="V34" i="85" s="1"/>
  <c r="F34" i="72"/>
  <c r="K34" i="72" s="1"/>
  <c r="Q34" i="72" s="1"/>
  <c r="V34" i="72" s="1"/>
  <c r="F34" i="41"/>
  <c r="K34" i="41" s="1"/>
  <c r="Q34" i="41" s="1"/>
  <c r="V34" i="41" s="1"/>
  <c r="F34" i="45"/>
  <c r="K34" i="45" s="1"/>
  <c r="Q34" i="45" s="1"/>
  <c r="V34" i="45" s="1"/>
  <c r="F34" i="37"/>
  <c r="K34" i="37" s="1"/>
  <c r="Q34" i="37" s="1"/>
  <c r="V34" i="37" s="1"/>
  <c r="F34" i="44"/>
  <c r="K34" i="44" s="1"/>
  <c r="Q34" i="44" s="1"/>
  <c r="V34" i="44" s="1"/>
  <c r="F34" i="78"/>
  <c r="K34" i="78" s="1"/>
  <c r="Q34" i="78" s="1"/>
  <c r="V34" i="78" s="1"/>
  <c r="F34" i="58"/>
  <c r="K34" i="58" s="1"/>
  <c r="Q34" i="58" s="1"/>
  <c r="V34" i="58" s="1"/>
  <c r="F34" i="46"/>
  <c r="K34" i="46" s="1"/>
  <c r="Q34" i="46" s="1"/>
  <c r="V34" i="46" s="1"/>
  <c r="T33" i="51"/>
  <c r="AD33" i="51" s="1"/>
  <c r="V26" i="51"/>
  <c r="AF26" i="51" s="1"/>
  <c r="U19" i="51"/>
  <c r="AE19" i="51" s="1"/>
  <c r="X20" i="51"/>
  <c r="AH20" i="51" s="1"/>
  <c r="U22" i="51"/>
  <c r="AE22" i="51" s="1"/>
  <c r="AC21" i="51"/>
  <c r="AM21" i="51" s="1"/>
  <c r="AR21" i="51" s="1"/>
  <c r="Z30" i="7"/>
  <c r="AJ30" i="7" s="1"/>
  <c r="AO30" i="7" s="1"/>
  <c r="Z23" i="51"/>
  <c r="AJ23" i="51" s="1"/>
  <c r="AO23" i="51" s="1"/>
  <c r="AB28" i="51"/>
  <c r="AL28" i="51" s="1"/>
  <c r="AQ28" i="51" s="1"/>
  <c r="AB29" i="7"/>
  <c r="AL29" i="7" s="1"/>
  <c r="AQ29" i="7" s="1"/>
  <c r="AB29" i="51"/>
  <c r="AL29" i="51" s="1"/>
  <c r="AQ29" i="51" s="1"/>
  <c r="AC28" i="51"/>
  <c r="AM28" i="51" s="1"/>
  <c r="AR28" i="51" s="1"/>
  <c r="AC34" i="51"/>
  <c r="AM34" i="51" s="1"/>
  <c r="AR34" i="51" s="1"/>
  <c r="Z30" i="51"/>
  <c r="AJ30" i="51" s="1"/>
  <c r="AO30" i="51" s="1"/>
  <c r="W33" i="51"/>
  <c r="AG33" i="51" s="1"/>
  <c r="X33" i="51"/>
  <c r="AH33" i="51" s="1"/>
  <c r="F32" i="58"/>
  <c r="K32" i="58" s="1"/>
  <c r="Q32" i="58" s="1"/>
  <c r="F32" i="85"/>
  <c r="K32" i="85" s="1"/>
  <c r="Q32" i="85" s="1"/>
  <c r="F32" i="72"/>
  <c r="K32" i="72" s="1"/>
  <c r="Q32" i="72" s="1"/>
  <c r="V32" i="72" s="1"/>
  <c r="F32" i="46"/>
  <c r="K32" i="46" s="1"/>
  <c r="Q32" i="46" s="1"/>
  <c r="F32" i="41"/>
  <c r="K32" i="41" s="1"/>
  <c r="Q32" i="41" s="1"/>
  <c r="F32" i="45"/>
  <c r="K32" i="45" s="1"/>
  <c r="Q32" i="45" s="1"/>
  <c r="F32" i="37"/>
  <c r="K32" i="37" s="1"/>
  <c r="Q32" i="37" s="1"/>
  <c r="F32" i="44"/>
  <c r="K32" i="44" s="1"/>
  <c r="Q32" i="44" s="1"/>
  <c r="F32" i="78"/>
  <c r="K32" i="78" s="1"/>
  <c r="Q32" i="78" s="1"/>
  <c r="U26" i="51"/>
  <c r="AE26" i="51" s="1"/>
  <c r="H23" i="44"/>
  <c r="M23" i="44" s="1"/>
  <c r="S23" i="44" s="1"/>
  <c r="H23" i="72"/>
  <c r="M23" i="72" s="1"/>
  <c r="S23" i="72" s="1"/>
  <c r="H23" i="45"/>
  <c r="M23" i="45" s="1"/>
  <c r="S23" i="45" s="1"/>
  <c r="H23" i="37"/>
  <c r="M23" i="37" s="1"/>
  <c r="S23" i="37" s="1"/>
  <c r="H23" i="58"/>
  <c r="M23" i="58" s="1"/>
  <c r="S23" i="58" s="1"/>
  <c r="H23" i="78"/>
  <c r="M23" i="78" s="1"/>
  <c r="S23" i="78" s="1"/>
  <c r="H23" i="85"/>
  <c r="M23" i="85" s="1"/>
  <c r="S23" i="85" s="1"/>
  <c r="H23" i="41"/>
  <c r="M23" i="41" s="1"/>
  <c r="S23" i="41" s="1"/>
  <c r="H23" i="46"/>
  <c r="M23" i="46" s="1"/>
  <c r="S23" i="46" s="1"/>
  <c r="V19" i="51"/>
  <c r="AF19" i="51" s="1"/>
  <c r="G27" i="58"/>
  <c r="L27" i="58" s="1"/>
  <c r="R27" i="58" s="1"/>
  <c r="G27" i="46"/>
  <c r="L27" i="46" s="1"/>
  <c r="R27" i="46" s="1"/>
  <c r="G27" i="41"/>
  <c r="L27" i="41" s="1"/>
  <c r="R27" i="41" s="1"/>
  <c r="G27" i="45"/>
  <c r="L27" i="45" s="1"/>
  <c r="R27" i="45" s="1"/>
  <c r="G27" i="37"/>
  <c r="L27" i="37" s="1"/>
  <c r="R27" i="37" s="1"/>
  <c r="G27" i="44"/>
  <c r="L27" i="44" s="1"/>
  <c r="R27" i="44" s="1"/>
  <c r="G27" i="78"/>
  <c r="L27" i="78" s="1"/>
  <c r="R27" i="78" s="1"/>
  <c r="G27" i="85"/>
  <c r="L27" i="85" s="1"/>
  <c r="R27" i="85" s="1"/>
  <c r="G27" i="72"/>
  <c r="L27" i="72" s="1"/>
  <c r="R27" i="72" s="1"/>
  <c r="E34" i="37"/>
  <c r="J34" i="37" s="1"/>
  <c r="P34" i="37" s="1"/>
  <c r="U34" i="37" s="1"/>
  <c r="E34" i="45"/>
  <c r="J34" i="45" s="1"/>
  <c r="P34" i="45" s="1"/>
  <c r="U34" i="45" s="1"/>
  <c r="E34" i="78"/>
  <c r="J34" i="78" s="1"/>
  <c r="P34" i="78" s="1"/>
  <c r="U34" i="78" s="1"/>
  <c r="E34" i="72"/>
  <c r="J34" i="72" s="1"/>
  <c r="P34" i="72" s="1"/>
  <c r="U34" i="72" s="1"/>
  <c r="E34" i="85"/>
  <c r="J34" i="85" s="1"/>
  <c r="P34" i="85" s="1"/>
  <c r="U34" i="85" s="1"/>
  <c r="E34" i="58"/>
  <c r="J34" i="58" s="1"/>
  <c r="P34" i="58" s="1"/>
  <c r="U34" i="58" s="1"/>
  <c r="E34" i="44"/>
  <c r="J34" i="44" s="1"/>
  <c r="P34" i="44" s="1"/>
  <c r="U34" i="44" s="1"/>
  <c r="E34" i="41"/>
  <c r="J34" i="41" s="1"/>
  <c r="P34" i="41" s="1"/>
  <c r="U34" i="41" s="1"/>
  <c r="E34" i="46"/>
  <c r="J34" i="46" s="1"/>
  <c r="P34" i="46" s="1"/>
  <c r="U34" i="46" s="1"/>
  <c r="V20" i="51"/>
  <c r="AF20" i="51" s="1"/>
  <c r="V22" i="51"/>
  <c r="AF22" i="51" s="1"/>
  <c r="X22" i="51"/>
  <c r="AH22" i="51" s="1"/>
  <c r="D25" i="72"/>
  <c r="I25" i="72" s="1"/>
  <c r="O25" i="72" s="1"/>
  <c r="T25" i="72" s="1"/>
  <c r="D25" i="45"/>
  <c r="I25" i="45" s="1"/>
  <c r="O25" i="45" s="1"/>
  <c r="T25" i="45" s="1"/>
  <c r="D25" i="37"/>
  <c r="I25" i="37" s="1"/>
  <c r="O25" i="37" s="1"/>
  <c r="T25" i="37" s="1"/>
  <c r="D25" i="44"/>
  <c r="I25" i="44" s="1"/>
  <c r="O25" i="44" s="1"/>
  <c r="T25" i="44" s="1"/>
  <c r="D25" i="78"/>
  <c r="I25" i="78" s="1"/>
  <c r="O25" i="78" s="1"/>
  <c r="T25" i="78" s="1"/>
  <c r="D25" i="58"/>
  <c r="I25" i="58" s="1"/>
  <c r="O25" i="58" s="1"/>
  <c r="T25" i="58" s="1"/>
  <c r="D25" i="85"/>
  <c r="I25" i="85" s="1"/>
  <c r="O25" i="85" s="1"/>
  <c r="T25" i="85" s="1"/>
  <c r="D25" i="46"/>
  <c r="I25" i="46" s="1"/>
  <c r="O25" i="46" s="1"/>
  <c r="T25" i="46" s="1"/>
  <c r="D25" i="41"/>
  <c r="I25" i="41" s="1"/>
  <c r="O25" i="41" s="1"/>
  <c r="T25" i="41" s="1"/>
  <c r="V33" i="51"/>
  <c r="AF33" i="51" s="1"/>
  <c r="W26" i="51"/>
  <c r="AG26" i="51" s="1"/>
  <c r="X26" i="51"/>
  <c r="AH26" i="51" s="1"/>
  <c r="T19" i="51"/>
  <c r="AD19" i="51" s="1"/>
  <c r="F25" i="37"/>
  <c r="K25" i="37" s="1"/>
  <c r="Q25" i="37" s="1"/>
  <c r="F25" i="85"/>
  <c r="K25" i="85" s="1"/>
  <c r="Q25" i="85" s="1"/>
  <c r="F25" i="41"/>
  <c r="K25" i="41" s="1"/>
  <c r="Q25" i="41" s="1"/>
  <c r="F25" i="58"/>
  <c r="K25" i="58" s="1"/>
  <c r="Q25" i="58" s="1"/>
  <c r="F25" i="46"/>
  <c r="K25" i="46" s="1"/>
  <c r="Q25" i="46" s="1"/>
  <c r="F25" i="72"/>
  <c r="K25" i="72" s="1"/>
  <c r="Q25" i="72" s="1"/>
  <c r="F25" i="45"/>
  <c r="K25" i="45" s="1"/>
  <c r="Q25" i="45" s="1"/>
  <c r="F25" i="44"/>
  <c r="K25" i="44" s="1"/>
  <c r="Q25" i="44" s="1"/>
  <c r="F25" i="78"/>
  <c r="K25" i="78" s="1"/>
  <c r="Q25" i="78" s="1"/>
  <c r="U20" i="51"/>
  <c r="AE20" i="51" s="1"/>
  <c r="T20" i="51"/>
  <c r="AD20" i="51" s="1"/>
  <c r="T22" i="51"/>
  <c r="AD22" i="51" s="1"/>
  <c r="Y28" i="51"/>
  <c r="AI28" i="51" s="1"/>
  <c r="AN28" i="51" s="1"/>
  <c r="AA25" i="7"/>
  <c r="AK25" i="7" s="1"/>
  <c r="AP25" i="7" s="1"/>
  <c r="AA31" i="51"/>
  <c r="AK31" i="51" s="1"/>
  <c r="AP31" i="51" s="1"/>
  <c r="Z21" i="51"/>
  <c r="AJ21" i="51" s="1"/>
  <c r="AO21" i="51" s="1"/>
  <c r="AA29" i="7"/>
  <c r="AK29" i="7" s="1"/>
  <c r="AP29" i="7" s="1"/>
  <c r="AA28" i="51"/>
  <c r="AK28" i="51" s="1"/>
  <c r="AP28" i="51" s="1"/>
  <c r="Z32" i="51"/>
  <c r="AJ32" i="51" s="1"/>
  <c r="AO32" i="51" s="1"/>
  <c r="G25" i="46"/>
  <c r="L25" i="46" s="1"/>
  <c r="R25" i="46" s="1"/>
  <c r="G25" i="41"/>
  <c r="L25" i="41" s="1"/>
  <c r="R25" i="41" s="1"/>
  <c r="G25" i="45"/>
  <c r="L25" i="45" s="1"/>
  <c r="R25" i="45" s="1"/>
  <c r="G25" i="37"/>
  <c r="L25" i="37" s="1"/>
  <c r="R25" i="37" s="1"/>
  <c r="G25" i="44"/>
  <c r="L25" i="44" s="1"/>
  <c r="R25" i="44" s="1"/>
  <c r="G25" i="78"/>
  <c r="L25" i="78" s="1"/>
  <c r="R25" i="78" s="1"/>
  <c r="G25" i="58"/>
  <c r="L25" i="58" s="1"/>
  <c r="R25" i="58" s="1"/>
  <c r="G25" i="85"/>
  <c r="L25" i="85" s="1"/>
  <c r="R25" i="85" s="1"/>
  <c r="G25" i="72"/>
  <c r="L25" i="72" s="1"/>
  <c r="R25" i="72" s="1"/>
  <c r="U33" i="51"/>
  <c r="AE33" i="51" s="1"/>
  <c r="T26" i="51"/>
  <c r="AD26" i="51" s="1"/>
  <c r="F23" i="45"/>
  <c r="K23" i="45" s="1"/>
  <c r="Q23" i="45" s="1"/>
  <c r="F23" i="46"/>
  <c r="K23" i="46" s="1"/>
  <c r="Q23" i="46" s="1"/>
  <c r="F23" i="37"/>
  <c r="K23" i="37" s="1"/>
  <c r="Q23" i="37" s="1"/>
  <c r="F23" i="44"/>
  <c r="K23" i="44" s="1"/>
  <c r="Q23" i="44" s="1"/>
  <c r="F23" i="78"/>
  <c r="K23" i="78" s="1"/>
  <c r="Q23" i="78" s="1"/>
  <c r="F23" i="41"/>
  <c r="K23" i="41" s="1"/>
  <c r="Q23" i="41" s="1"/>
  <c r="F23" i="85"/>
  <c r="K23" i="85" s="1"/>
  <c r="Q23" i="85" s="1"/>
  <c r="F23" i="58"/>
  <c r="K23" i="58" s="1"/>
  <c r="Q23" i="58" s="1"/>
  <c r="F23" i="72"/>
  <c r="K23" i="72" s="1"/>
  <c r="Q23" i="72" s="1"/>
  <c r="W19" i="51"/>
  <c r="AG19" i="51" s="1"/>
  <c r="X19" i="51"/>
  <c r="AH19" i="51" s="1"/>
  <c r="E25" i="72"/>
  <c r="J25" i="72" s="1"/>
  <c r="P25" i="72" s="1"/>
  <c r="E25" i="46"/>
  <c r="J25" i="46" s="1"/>
  <c r="P25" i="46" s="1"/>
  <c r="E25" i="37"/>
  <c r="J25" i="37" s="1"/>
  <c r="P25" i="37" s="1"/>
  <c r="E25" i="45"/>
  <c r="J25" i="45" s="1"/>
  <c r="P25" i="45" s="1"/>
  <c r="E25" i="78"/>
  <c r="J25" i="78" s="1"/>
  <c r="P25" i="78" s="1"/>
  <c r="E25" i="58"/>
  <c r="J25" i="58" s="1"/>
  <c r="P25" i="58" s="1"/>
  <c r="E25" i="85"/>
  <c r="J25" i="85" s="1"/>
  <c r="P25" i="85" s="1"/>
  <c r="E25" i="44"/>
  <c r="J25" i="44" s="1"/>
  <c r="P25" i="44" s="1"/>
  <c r="E25" i="41"/>
  <c r="J25" i="41" s="1"/>
  <c r="P25" i="41" s="1"/>
  <c r="H25" i="41"/>
  <c r="M25" i="41" s="1"/>
  <c r="S25" i="41" s="1"/>
  <c r="H25" i="72"/>
  <c r="M25" i="72" s="1"/>
  <c r="S25" i="72" s="1"/>
  <c r="H25" i="37"/>
  <c r="M25" i="37" s="1"/>
  <c r="S25" i="37" s="1"/>
  <c r="H25" i="44"/>
  <c r="M25" i="44" s="1"/>
  <c r="S25" i="44" s="1"/>
  <c r="H25" i="78"/>
  <c r="M25" i="78" s="1"/>
  <c r="S25" i="78" s="1"/>
  <c r="H25" i="58"/>
  <c r="M25" i="58" s="1"/>
  <c r="S25" i="58" s="1"/>
  <c r="H25" i="85"/>
  <c r="M25" i="85" s="1"/>
  <c r="S25" i="85" s="1"/>
  <c r="H25" i="46"/>
  <c r="M25" i="46" s="1"/>
  <c r="S25" i="46" s="1"/>
  <c r="H25" i="45"/>
  <c r="M25" i="45" s="1"/>
  <c r="S25" i="45" s="1"/>
  <c r="W20" i="51"/>
  <c r="AG20" i="51" s="1"/>
  <c r="W22" i="51"/>
  <c r="AG22" i="51" s="1"/>
  <c r="Z29" i="51"/>
  <c r="AJ29" i="51" s="1"/>
  <c r="AO29" i="51" s="1"/>
  <c r="AC30" i="7"/>
  <c r="AM30" i="7" s="1"/>
  <c r="AR30" i="7" s="1"/>
  <c r="AA34" i="51"/>
  <c r="AK34" i="51" s="1"/>
  <c r="AP34" i="51" s="1"/>
  <c r="Z29" i="7"/>
  <c r="AJ29" i="7" s="1"/>
  <c r="AO29" i="7" s="1"/>
  <c r="AC29" i="51"/>
  <c r="AM29" i="51" s="1"/>
  <c r="AR29" i="51" s="1"/>
  <c r="AB30" i="51"/>
  <c r="AL30" i="51" s="1"/>
  <c r="AQ30" i="51" s="1"/>
  <c r="AB21" i="51"/>
  <c r="AL21" i="51" s="1"/>
  <c r="AQ21" i="51" s="1"/>
  <c r="Z31" i="51"/>
  <c r="AJ31" i="51" s="1"/>
  <c r="AO31" i="51" s="1"/>
  <c r="Y32" i="51"/>
  <c r="AI32" i="51" s="1"/>
  <c r="AN32" i="51" s="1"/>
  <c r="AA30" i="7"/>
  <c r="AK30" i="7" s="1"/>
  <c r="AP30" i="7" s="1"/>
  <c r="AB23" i="51"/>
  <c r="AL23" i="51" s="1"/>
  <c r="AQ23" i="51" s="1"/>
  <c r="AB31" i="51"/>
  <c r="AL31" i="51" s="1"/>
  <c r="AQ31" i="51" s="1"/>
  <c r="G33" i="41" l="1"/>
  <c r="L33" i="41" s="1"/>
  <c r="R33" i="41" s="1"/>
  <c r="W33" i="41" s="1"/>
  <c r="G18" i="45"/>
  <c r="L18" i="45" s="1"/>
  <c r="R18" i="45" s="1"/>
  <c r="G33" i="72"/>
  <c r="L33" i="72" s="1"/>
  <c r="R33" i="72" s="1"/>
  <c r="W33" i="72" s="1"/>
  <c r="G33" i="58"/>
  <c r="L33" i="58" s="1"/>
  <c r="R33" i="58" s="1"/>
  <c r="W33" i="58" s="1"/>
  <c r="G33" i="44"/>
  <c r="L33" i="44" s="1"/>
  <c r="R33" i="44" s="1"/>
  <c r="W33" i="44" s="1"/>
  <c r="G33" i="45"/>
  <c r="L33" i="45" s="1"/>
  <c r="R33" i="45" s="1"/>
  <c r="W33" i="45" s="1"/>
  <c r="G18" i="44"/>
  <c r="L18" i="44" s="1"/>
  <c r="R18" i="44" s="1"/>
  <c r="G18" i="58"/>
  <c r="L18" i="58" s="1"/>
  <c r="R18" i="58" s="1"/>
  <c r="G33" i="78"/>
  <c r="L33" i="78" s="1"/>
  <c r="R33" i="78" s="1"/>
  <c r="W33" i="78" s="1"/>
  <c r="G33" i="37"/>
  <c r="L33" i="37" s="1"/>
  <c r="R33" i="37" s="1"/>
  <c r="W33" i="37" s="1"/>
  <c r="G33" i="46"/>
  <c r="L33" i="46" s="1"/>
  <c r="R33" i="46" s="1"/>
  <c r="W33" i="46" s="1"/>
  <c r="H35" i="78"/>
  <c r="M35" i="78" s="1"/>
  <c r="S35" i="78" s="1"/>
  <c r="H35" i="45"/>
  <c r="M35" i="45" s="1"/>
  <c r="S35" i="45" s="1"/>
  <c r="V32" i="78"/>
  <c r="V32" i="41"/>
  <c r="W32" i="78"/>
  <c r="H35" i="44"/>
  <c r="M35" i="44" s="1"/>
  <c r="S35" i="44" s="1"/>
  <c r="H35" i="37"/>
  <c r="M35" i="37" s="1"/>
  <c r="S35" i="37" s="1"/>
  <c r="H35" i="58"/>
  <c r="M35" i="58" s="1"/>
  <c r="S35" i="58" s="1"/>
  <c r="AC27" i="51"/>
  <c r="AM27" i="51" s="1"/>
  <c r="AR27" i="51" s="1"/>
  <c r="X32" i="78"/>
  <c r="H35" i="46"/>
  <c r="M35" i="46" s="1"/>
  <c r="S35" i="46" s="1"/>
  <c r="V32" i="45"/>
  <c r="H35" i="72"/>
  <c r="M35" i="72" s="1"/>
  <c r="S35" i="72" s="1"/>
  <c r="Z27" i="51"/>
  <c r="AJ27" i="51" s="1"/>
  <c r="AO27" i="51" s="1"/>
  <c r="H35" i="41"/>
  <c r="M35" i="41" s="1"/>
  <c r="S35" i="41" s="1"/>
  <c r="V32" i="58"/>
  <c r="G18" i="72"/>
  <c r="L18" i="72" s="1"/>
  <c r="R18" i="72" s="1"/>
  <c r="G18" i="78"/>
  <c r="L18" i="78" s="1"/>
  <c r="R18" i="78" s="1"/>
  <c r="G18" i="46"/>
  <c r="L18" i="46" s="1"/>
  <c r="R18" i="46" s="1"/>
  <c r="G18" i="41"/>
  <c r="L18" i="41" s="1"/>
  <c r="R18" i="41" s="1"/>
  <c r="G18" i="85"/>
  <c r="L18" i="85" s="1"/>
  <c r="R18" i="85" s="1"/>
  <c r="U32" i="78"/>
  <c r="D24" i="46"/>
  <c r="I24" i="46" s="1"/>
  <c r="O24" i="46" s="1"/>
  <c r="W24" i="46" s="1"/>
  <c r="D24" i="41"/>
  <c r="I24" i="41" s="1"/>
  <c r="O24" i="41" s="1"/>
  <c r="W24" i="41" s="1"/>
  <c r="D24" i="44"/>
  <c r="I24" i="44" s="1"/>
  <c r="O24" i="44" s="1"/>
  <c r="D24" i="45"/>
  <c r="I24" i="45" s="1"/>
  <c r="O24" i="45" s="1"/>
  <c r="D24" i="72"/>
  <c r="I24" i="72" s="1"/>
  <c r="O24" i="72" s="1"/>
  <c r="V24" i="72" s="1"/>
  <c r="D24" i="78"/>
  <c r="I24" i="78" s="1"/>
  <c r="O24" i="78" s="1"/>
  <c r="D24" i="37"/>
  <c r="I24" i="37" s="1"/>
  <c r="O24" i="37" s="1"/>
  <c r="D24" i="58"/>
  <c r="I24" i="58" s="1"/>
  <c r="O24" i="58" s="1"/>
  <c r="D24" i="85"/>
  <c r="I24" i="85" s="1"/>
  <c r="O24" i="85" s="1"/>
  <c r="W24" i="85" s="1"/>
  <c r="U32" i="58"/>
  <c r="V32" i="44"/>
  <c r="X32" i="58"/>
  <c r="H33" i="41"/>
  <c r="M33" i="41" s="1"/>
  <c r="S33" i="41" s="1"/>
  <c r="X33" i="41" s="1"/>
  <c r="H33" i="85"/>
  <c r="M33" i="85" s="1"/>
  <c r="S33" i="85" s="1"/>
  <c r="X33" i="85" s="1"/>
  <c r="AG33" i="85" s="1"/>
  <c r="H33" i="72"/>
  <c r="M33" i="72" s="1"/>
  <c r="S33" i="72" s="1"/>
  <c r="X33" i="72" s="1"/>
  <c r="H33" i="58"/>
  <c r="M33" i="58" s="1"/>
  <c r="S33" i="58" s="1"/>
  <c r="X33" i="58" s="1"/>
  <c r="H33" i="46"/>
  <c r="M33" i="46" s="1"/>
  <c r="S33" i="46" s="1"/>
  <c r="X33" i="46" s="1"/>
  <c r="H33" i="44"/>
  <c r="M33" i="44" s="1"/>
  <c r="S33" i="44" s="1"/>
  <c r="X33" i="44" s="1"/>
  <c r="H33" i="78"/>
  <c r="M33" i="78" s="1"/>
  <c r="S33" i="78" s="1"/>
  <c r="X33" i="78" s="1"/>
  <c r="H33" i="37"/>
  <c r="M33" i="37" s="1"/>
  <c r="S33" i="37" s="1"/>
  <c r="X33" i="37" s="1"/>
  <c r="H33" i="45"/>
  <c r="M33" i="45" s="1"/>
  <c r="S33" i="45" s="1"/>
  <c r="X33" i="45" s="1"/>
  <c r="AK33" i="45" s="1"/>
  <c r="V32" i="37"/>
  <c r="V32" i="85"/>
  <c r="V23" i="78"/>
  <c r="F24" i="45"/>
  <c r="K24" i="45" s="1"/>
  <c r="Q24" i="45" s="1"/>
  <c r="U32" i="44"/>
  <c r="F24" i="58"/>
  <c r="K24" i="58" s="1"/>
  <c r="Q24" i="58" s="1"/>
  <c r="H24" i="44"/>
  <c r="M24" i="44" s="1"/>
  <c r="S24" i="44" s="1"/>
  <c r="H24" i="58"/>
  <c r="M24" i="58" s="1"/>
  <c r="S24" i="58" s="1"/>
  <c r="H24" i="45"/>
  <c r="M24" i="45" s="1"/>
  <c r="S24" i="45" s="1"/>
  <c r="H24" i="85"/>
  <c r="M24" i="85" s="1"/>
  <c r="S24" i="85" s="1"/>
  <c r="H24" i="37"/>
  <c r="M24" i="37" s="1"/>
  <c r="S24" i="37" s="1"/>
  <c r="H24" i="41"/>
  <c r="M24" i="41" s="1"/>
  <c r="S24" i="41" s="1"/>
  <c r="H24" i="72"/>
  <c r="M24" i="72" s="1"/>
  <c r="S24" i="72" s="1"/>
  <c r="H24" i="78"/>
  <c r="M24" i="78" s="1"/>
  <c r="S24" i="78" s="1"/>
  <c r="F24" i="85"/>
  <c r="K24" i="85" s="1"/>
  <c r="Q24" i="85" s="1"/>
  <c r="W32" i="44"/>
  <c r="F24" i="78"/>
  <c r="K24" i="78" s="1"/>
  <c r="Q24" i="78" s="1"/>
  <c r="V24" i="78" s="1"/>
  <c r="F24" i="37"/>
  <c r="K24" i="37" s="1"/>
  <c r="Q24" i="37" s="1"/>
  <c r="V24" i="37" s="1"/>
  <c r="X32" i="45"/>
  <c r="F24" i="41"/>
  <c r="K24" i="41" s="1"/>
  <c r="Q24" i="41" s="1"/>
  <c r="V23" i="72"/>
  <c r="U32" i="41"/>
  <c r="F24" i="46"/>
  <c r="K24" i="46" s="1"/>
  <c r="Q24" i="46" s="1"/>
  <c r="X32" i="44"/>
  <c r="F24" i="44"/>
  <c r="K24" i="44" s="1"/>
  <c r="Q24" i="44" s="1"/>
  <c r="T32" i="58"/>
  <c r="W32" i="58"/>
  <c r="W32" i="46"/>
  <c r="D35" i="37"/>
  <c r="I35" i="37" s="1"/>
  <c r="O35" i="37" s="1"/>
  <c r="D35" i="44"/>
  <c r="I35" i="44" s="1"/>
  <c r="O35" i="44" s="1"/>
  <c r="D35" i="78"/>
  <c r="I35" i="78" s="1"/>
  <c r="O35" i="78" s="1"/>
  <c r="D35" i="41"/>
  <c r="I35" i="41" s="1"/>
  <c r="O35" i="41" s="1"/>
  <c r="D35" i="45"/>
  <c r="I35" i="45" s="1"/>
  <c r="O35" i="45" s="1"/>
  <c r="D35" i="72"/>
  <c r="I35" i="72" s="1"/>
  <c r="O35" i="72" s="1"/>
  <c r="D35" i="85"/>
  <c r="I35" i="85" s="1"/>
  <c r="O35" i="85" s="1"/>
  <c r="D35" i="58"/>
  <c r="I35" i="58" s="1"/>
  <c r="O35" i="58" s="1"/>
  <c r="D35" i="46"/>
  <c r="I35" i="46" s="1"/>
  <c r="O35" i="46" s="1"/>
  <c r="V32" i="46"/>
  <c r="X32" i="46"/>
  <c r="U32" i="46"/>
  <c r="U32" i="45"/>
  <c r="U32" i="37"/>
  <c r="W32" i="41"/>
  <c r="X32" i="41"/>
  <c r="U32" i="85"/>
  <c r="X32" i="85"/>
  <c r="T32" i="37"/>
  <c r="X32" i="37"/>
  <c r="T32" i="85"/>
  <c r="W32" i="85"/>
  <c r="T32" i="45"/>
  <c r="W32" i="45"/>
  <c r="F16" i="78"/>
  <c r="K16" i="78" s="1"/>
  <c r="Q16" i="78" s="1"/>
  <c r="V25" i="37"/>
  <c r="H5" i="59"/>
  <c r="I5" i="59"/>
  <c r="H7" i="59"/>
  <c r="S7" i="47" s="1"/>
  <c r="I7" i="59"/>
  <c r="H18" i="59"/>
  <c r="T10" i="47" s="1"/>
  <c r="I18" i="59"/>
  <c r="H17" i="59"/>
  <c r="T9" i="47" s="1"/>
  <c r="I17" i="59"/>
  <c r="I10" i="59"/>
  <c r="H10" i="59"/>
  <c r="S10" i="47" s="1"/>
  <c r="I14" i="59"/>
  <c r="H14" i="59"/>
  <c r="I16" i="59"/>
  <c r="H16" i="59"/>
  <c r="T8" i="47" s="1"/>
  <c r="I6" i="59"/>
  <c r="H6" i="59"/>
  <c r="S6" i="47" s="1"/>
  <c r="K13" i="59"/>
  <c r="T15" i="47"/>
  <c r="T35" i="47" s="1"/>
  <c r="I15" i="59"/>
  <c r="H15" i="59"/>
  <c r="T7" i="47" s="1"/>
  <c r="H9" i="59"/>
  <c r="S9" i="47" s="1"/>
  <c r="I9" i="59"/>
  <c r="I8" i="59"/>
  <c r="H8" i="59"/>
  <c r="S8" i="47" s="1"/>
  <c r="D5" i="41"/>
  <c r="I5" i="41" s="1"/>
  <c r="O5" i="41" s="1"/>
  <c r="T5" i="41" s="1"/>
  <c r="F16" i="46"/>
  <c r="K16" i="46" s="1"/>
  <c r="Q16" i="46" s="1"/>
  <c r="V23" i="46"/>
  <c r="V23" i="41"/>
  <c r="G8" i="46"/>
  <c r="L8" i="46" s="1"/>
  <c r="R8" i="46" s="1"/>
  <c r="G8" i="58"/>
  <c r="L8" i="58" s="1"/>
  <c r="R8" i="58" s="1"/>
  <c r="D5" i="46"/>
  <c r="I5" i="46" s="1"/>
  <c r="O5" i="46" s="1"/>
  <c r="T5" i="46" s="1"/>
  <c r="D5" i="37"/>
  <c r="I5" i="37" s="1"/>
  <c r="O5" i="37" s="1"/>
  <c r="T5" i="37" s="1"/>
  <c r="D5" i="44"/>
  <c r="I5" i="44" s="1"/>
  <c r="O5" i="44" s="1"/>
  <c r="T5" i="44" s="1"/>
  <c r="F16" i="72"/>
  <c r="K16" i="72" s="1"/>
  <c r="Q16" i="72" s="1"/>
  <c r="F16" i="44"/>
  <c r="K16" i="44" s="1"/>
  <c r="Q16" i="44" s="1"/>
  <c r="F16" i="41"/>
  <c r="K16" i="41" s="1"/>
  <c r="Q16" i="41" s="1"/>
  <c r="F16" i="37"/>
  <c r="K16" i="37" s="1"/>
  <c r="Q16" i="37" s="1"/>
  <c r="F16" i="85"/>
  <c r="K16" i="85" s="1"/>
  <c r="Q16" i="85" s="1"/>
  <c r="F16" i="45"/>
  <c r="K16" i="45" s="1"/>
  <c r="Q16" i="45" s="1"/>
  <c r="D5" i="78"/>
  <c r="I5" i="78" s="1"/>
  <c r="O5" i="78" s="1"/>
  <c r="T5" i="78" s="1"/>
  <c r="D18" i="72"/>
  <c r="I18" i="72" s="1"/>
  <c r="O18" i="72" s="1"/>
  <c r="T18" i="72" s="1"/>
  <c r="D18" i="46"/>
  <c r="I18" i="46" s="1"/>
  <c r="O18" i="46" s="1"/>
  <c r="T18" i="46" s="1"/>
  <c r="D18" i="41"/>
  <c r="I18" i="41" s="1"/>
  <c r="O18" i="41" s="1"/>
  <c r="T18" i="41" s="1"/>
  <c r="D18" i="45"/>
  <c r="I18" i="45" s="1"/>
  <c r="O18" i="45" s="1"/>
  <c r="T18" i="45" s="1"/>
  <c r="D18" i="58"/>
  <c r="I18" i="58" s="1"/>
  <c r="O18" i="58" s="1"/>
  <c r="D18" i="85"/>
  <c r="I18" i="85" s="1"/>
  <c r="O18" i="85" s="1"/>
  <c r="D18" i="37"/>
  <c r="I18" i="37" s="1"/>
  <c r="O18" i="37" s="1"/>
  <c r="D18" i="44"/>
  <c r="I18" i="44" s="1"/>
  <c r="O18" i="44" s="1"/>
  <c r="T18" i="44" s="1"/>
  <c r="D18" i="78"/>
  <c r="I18" i="78" s="1"/>
  <c r="O18" i="78" s="1"/>
  <c r="T18" i="78" s="1"/>
  <c r="D5" i="85"/>
  <c r="I5" i="85" s="1"/>
  <c r="O5" i="85" s="1"/>
  <c r="T5" i="85" s="1"/>
  <c r="D5" i="72"/>
  <c r="I5" i="72" s="1"/>
  <c r="O5" i="72" s="1"/>
  <c r="T5" i="72" s="1"/>
  <c r="AF34" i="46"/>
  <c r="AJ34" i="46" s="1"/>
  <c r="V23" i="85"/>
  <c r="V23" i="37"/>
  <c r="AK34" i="37"/>
  <c r="AM34" i="37" s="1"/>
  <c r="V23" i="44"/>
  <c r="V23" i="45"/>
  <c r="AL34" i="44"/>
  <c r="AN34" i="44" s="1"/>
  <c r="V22" i="85"/>
  <c r="G9" i="58"/>
  <c r="L9" i="58" s="1"/>
  <c r="R9" i="58" s="1"/>
  <c r="G9" i="85"/>
  <c r="L9" i="85" s="1"/>
  <c r="R9" i="85" s="1"/>
  <c r="G9" i="45"/>
  <c r="L9" i="45" s="1"/>
  <c r="R9" i="45" s="1"/>
  <c r="G9" i="72"/>
  <c r="L9" i="72" s="1"/>
  <c r="R9" i="72" s="1"/>
  <c r="G9" i="44"/>
  <c r="L9" i="44" s="1"/>
  <c r="R9" i="44" s="1"/>
  <c r="G9" i="41"/>
  <c r="L9" i="41" s="1"/>
  <c r="R9" i="41" s="1"/>
  <c r="G9" i="46"/>
  <c r="L9" i="46" s="1"/>
  <c r="R9" i="46" s="1"/>
  <c r="G9" i="37"/>
  <c r="L9" i="37" s="1"/>
  <c r="R9" i="37" s="1"/>
  <c r="G9" i="78"/>
  <c r="L9" i="78" s="1"/>
  <c r="R9" i="78" s="1"/>
  <c r="V23" i="58"/>
  <c r="D5" i="58"/>
  <c r="I5" i="58" s="1"/>
  <c r="O5" i="58" s="1"/>
  <c r="T5" i="58" s="1"/>
  <c r="G8" i="44"/>
  <c r="L8" i="44" s="1"/>
  <c r="R8" i="44" s="1"/>
  <c r="X23" i="44"/>
  <c r="T25" i="68"/>
  <c r="F9" i="37"/>
  <c r="K9" i="37" s="1"/>
  <c r="Q9" i="37" s="1"/>
  <c r="F9" i="44"/>
  <c r="K9" i="44" s="1"/>
  <c r="Q9" i="44" s="1"/>
  <c r="F9" i="78"/>
  <c r="K9" i="78" s="1"/>
  <c r="Q9" i="78" s="1"/>
  <c r="F9" i="72"/>
  <c r="K9" i="72" s="1"/>
  <c r="Q9" i="72" s="1"/>
  <c r="F9" i="85"/>
  <c r="K9" i="85" s="1"/>
  <c r="Q9" i="85" s="1"/>
  <c r="F9" i="58"/>
  <c r="K9" i="58" s="1"/>
  <c r="Q9" i="58" s="1"/>
  <c r="F9" i="46"/>
  <c r="K9" i="46" s="1"/>
  <c r="Q9" i="46" s="1"/>
  <c r="F9" i="41"/>
  <c r="K9" i="41" s="1"/>
  <c r="Q9" i="41" s="1"/>
  <c r="F9" i="45"/>
  <c r="K9" i="45" s="1"/>
  <c r="Q9" i="45" s="1"/>
  <c r="G8" i="41"/>
  <c r="L8" i="41" s="1"/>
  <c r="R8" i="41" s="1"/>
  <c r="Y19" i="68"/>
  <c r="G32" i="68" s="1"/>
  <c r="G8" i="72"/>
  <c r="L8" i="72" s="1"/>
  <c r="R8" i="72" s="1"/>
  <c r="G8" i="78"/>
  <c r="L8" i="78" s="1"/>
  <c r="R8" i="78" s="1"/>
  <c r="G8" i="45"/>
  <c r="L8" i="45" s="1"/>
  <c r="R8" i="45" s="1"/>
  <c r="G8" i="37"/>
  <c r="L8" i="37" s="1"/>
  <c r="R8" i="37" s="1"/>
  <c r="S25" i="68"/>
  <c r="Q13" i="68"/>
  <c r="Q25" i="68"/>
  <c r="Y17" i="68"/>
  <c r="P25" i="68"/>
  <c r="Y7" i="68"/>
  <c r="D32" i="68" s="1"/>
  <c r="V25" i="68"/>
  <c r="S13" i="68"/>
  <c r="Y21" i="68"/>
  <c r="G34" i="68" s="1"/>
  <c r="H34" i="68" s="1"/>
  <c r="R13" i="68"/>
  <c r="T13" i="68"/>
  <c r="V13" i="68"/>
  <c r="Y18" i="68"/>
  <c r="G31" i="68" s="1"/>
  <c r="H31" i="68" s="1"/>
  <c r="Y20" i="68"/>
  <c r="G33" i="68" s="1"/>
  <c r="H33" i="68" s="1"/>
  <c r="Y9" i="68"/>
  <c r="D34" i="68" s="1"/>
  <c r="E34" i="68" s="1"/>
  <c r="R25" i="68"/>
  <c r="AE28" i="70"/>
  <c r="Y6" i="68"/>
  <c r="D31" i="68" s="1"/>
  <c r="E31" i="68" s="1"/>
  <c r="AE55" i="70"/>
  <c r="Y5" i="68"/>
  <c r="P13" i="68"/>
  <c r="Y23" i="68"/>
  <c r="G36" i="68" s="1"/>
  <c r="H36" i="68" s="1"/>
  <c r="Y11" i="68"/>
  <c r="D36" i="68" s="1"/>
  <c r="E36" i="68" s="1"/>
  <c r="Y8" i="68"/>
  <c r="D33" i="68" s="1"/>
  <c r="E33" i="68" s="1"/>
  <c r="AL34" i="58"/>
  <c r="AN34" i="58" s="1"/>
  <c r="AA34" i="45"/>
  <c r="AE34" i="45" s="1"/>
  <c r="X23" i="41"/>
  <c r="X23" i="37"/>
  <c r="AF34" i="37"/>
  <c r="AG34" i="37" s="1"/>
  <c r="V22" i="44"/>
  <c r="X23" i="78"/>
  <c r="X23" i="72"/>
  <c r="U23" i="72"/>
  <c r="AK34" i="46"/>
  <c r="AL34" i="46" s="1"/>
  <c r="AB34" i="85"/>
  <c r="AC34" i="85" s="1"/>
  <c r="H22" i="46"/>
  <c r="M22" i="46" s="1"/>
  <c r="S22" i="46" s="1"/>
  <c r="X22" i="46" s="1"/>
  <c r="H22" i="41"/>
  <c r="M22" i="41" s="1"/>
  <c r="S22" i="41" s="1"/>
  <c r="X22" i="41" s="1"/>
  <c r="H22" i="44"/>
  <c r="M22" i="44" s="1"/>
  <c r="S22" i="44" s="1"/>
  <c r="X22" i="44" s="1"/>
  <c r="X25" i="72"/>
  <c r="AG34" i="44"/>
  <c r="AK34" i="44" s="1"/>
  <c r="X25" i="78"/>
  <c r="V22" i="45"/>
  <c r="U23" i="44"/>
  <c r="H22" i="85"/>
  <c r="M22" i="85" s="1"/>
  <c r="S22" i="85" s="1"/>
  <c r="X22" i="85" s="1"/>
  <c r="H22" i="72"/>
  <c r="M22" i="72" s="1"/>
  <c r="S22" i="72" s="1"/>
  <c r="X22" i="72" s="1"/>
  <c r="Y24" i="51"/>
  <c r="AI24" i="51" s="1"/>
  <c r="AN24" i="51" s="1"/>
  <c r="D8" i="58" s="1"/>
  <c r="I8" i="58" s="1"/>
  <c r="O8" i="58" s="1"/>
  <c r="H22" i="58"/>
  <c r="M22" i="58" s="1"/>
  <c r="S22" i="58" s="1"/>
  <c r="X22" i="58" s="1"/>
  <c r="H22" i="37"/>
  <c r="M22" i="37" s="1"/>
  <c r="S22" i="37" s="1"/>
  <c r="X22" i="37" s="1"/>
  <c r="AL34" i="85"/>
  <c r="AN34" i="85" s="1"/>
  <c r="W25" i="78"/>
  <c r="W25" i="41"/>
  <c r="X23" i="46"/>
  <c r="X23" i="58"/>
  <c r="V22" i="72"/>
  <c r="V22" i="41"/>
  <c r="U23" i="46"/>
  <c r="U23" i="78"/>
  <c r="U23" i="41"/>
  <c r="H22" i="78"/>
  <c r="M22" i="78" s="1"/>
  <c r="S22" i="78" s="1"/>
  <c r="X22" i="78" s="1"/>
  <c r="U25" i="85"/>
  <c r="U25" i="37"/>
  <c r="W25" i="85"/>
  <c r="W25" i="37"/>
  <c r="X23" i="85"/>
  <c r="X23" i="45"/>
  <c r="X25" i="41"/>
  <c r="V22" i="78"/>
  <c r="V22" i="46"/>
  <c r="U23" i="58"/>
  <c r="U23" i="45"/>
  <c r="T23" i="58"/>
  <c r="W23" i="58"/>
  <c r="T23" i="46"/>
  <c r="W23" i="46"/>
  <c r="T22" i="46"/>
  <c r="W22" i="46"/>
  <c r="U22" i="46"/>
  <c r="T22" i="85"/>
  <c r="W22" i="85"/>
  <c r="U22" i="85"/>
  <c r="AB34" i="72"/>
  <c r="AE34" i="72" s="1"/>
  <c r="W27" i="72"/>
  <c r="W27" i="58"/>
  <c r="V22" i="58"/>
  <c r="V22" i="37"/>
  <c r="U23" i="85"/>
  <c r="U23" i="37"/>
  <c r="T23" i="78"/>
  <c r="W23" i="78"/>
  <c r="T23" i="41"/>
  <c r="W23" i="41"/>
  <c r="T22" i="41"/>
  <c r="U22" i="41"/>
  <c r="W22" i="41"/>
  <c r="T22" i="44"/>
  <c r="W22" i="44"/>
  <c r="U22" i="44"/>
  <c r="T23" i="44"/>
  <c r="W23" i="44"/>
  <c r="T23" i="45"/>
  <c r="W23" i="45"/>
  <c r="T22" i="45"/>
  <c r="X22" i="45"/>
  <c r="W22" i="45"/>
  <c r="U22" i="45"/>
  <c r="T22" i="78"/>
  <c r="W22" i="78"/>
  <c r="U22" i="78"/>
  <c r="T22" i="37"/>
  <c r="U22" i="37"/>
  <c r="W22" i="37"/>
  <c r="T23" i="85"/>
  <c r="W23" i="85"/>
  <c r="T23" i="37"/>
  <c r="W23" i="37"/>
  <c r="T23" i="72"/>
  <c r="W23" i="72"/>
  <c r="T22" i="72"/>
  <c r="W22" i="72"/>
  <c r="U22" i="72"/>
  <c r="T22" i="58"/>
  <c r="W22" i="58"/>
  <c r="U22" i="58"/>
  <c r="U25" i="44"/>
  <c r="W25" i="72"/>
  <c r="AB34" i="58"/>
  <c r="AD34" i="58" s="1"/>
  <c r="AK34" i="45"/>
  <c r="AN34" i="45" s="1"/>
  <c r="W27" i="41"/>
  <c r="X25" i="45"/>
  <c r="U25" i="58"/>
  <c r="H15" i="41"/>
  <c r="M15" i="41" s="1"/>
  <c r="S15" i="41" s="1"/>
  <c r="X25" i="58"/>
  <c r="W27" i="85"/>
  <c r="X25" i="85"/>
  <c r="X25" i="37"/>
  <c r="U25" i="45"/>
  <c r="AK34" i="41"/>
  <c r="AM34" i="41" s="1"/>
  <c r="W27" i="37"/>
  <c r="H15" i="85"/>
  <c r="M15" i="85" s="1"/>
  <c r="S15" i="85" s="1"/>
  <c r="AB20" i="51"/>
  <c r="AL20" i="51" s="1"/>
  <c r="AQ20" i="51" s="1"/>
  <c r="V25" i="78"/>
  <c r="AA34" i="41"/>
  <c r="AB34" i="41" s="1"/>
  <c r="F27" i="72"/>
  <c r="K27" i="72" s="1"/>
  <c r="Q27" i="72" s="1"/>
  <c r="V27" i="72" s="1"/>
  <c r="F27" i="45"/>
  <c r="K27" i="45" s="1"/>
  <c r="Q27" i="45" s="1"/>
  <c r="V27" i="45" s="1"/>
  <c r="F27" i="41"/>
  <c r="K27" i="41" s="1"/>
  <c r="Q27" i="41" s="1"/>
  <c r="V27" i="41" s="1"/>
  <c r="F27" i="46"/>
  <c r="K27" i="46" s="1"/>
  <c r="Q27" i="46" s="1"/>
  <c r="V27" i="46" s="1"/>
  <c r="F27" i="37"/>
  <c r="K27" i="37" s="1"/>
  <c r="Q27" i="37" s="1"/>
  <c r="V27" i="37" s="1"/>
  <c r="F27" i="44"/>
  <c r="K27" i="44" s="1"/>
  <c r="Q27" i="44" s="1"/>
  <c r="V27" i="44" s="1"/>
  <c r="F27" i="78"/>
  <c r="K27" i="78" s="1"/>
  <c r="Q27" i="78" s="1"/>
  <c r="V27" i="78" s="1"/>
  <c r="F27" i="58"/>
  <c r="K27" i="58" s="1"/>
  <c r="Q27" i="58" s="1"/>
  <c r="V27" i="58" s="1"/>
  <c r="F27" i="85"/>
  <c r="K27" i="85" s="1"/>
  <c r="Q27" i="85" s="1"/>
  <c r="V27" i="85" s="1"/>
  <c r="AF34" i="41"/>
  <c r="AG34" i="41" s="1"/>
  <c r="AA34" i="46"/>
  <c r="AB34" i="46" s="1"/>
  <c r="AG34" i="85"/>
  <c r="AA34" i="37"/>
  <c r="AD34" i="37" s="1"/>
  <c r="W27" i="44"/>
  <c r="W27" i="46"/>
  <c r="H15" i="37"/>
  <c r="M15" i="37" s="1"/>
  <c r="S15" i="37" s="1"/>
  <c r="X27" i="58"/>
  <c r="X27" i="37"/>
  <c r="H15" i="44"/>
  <c r="M15" i="44" s="1"/>
  <c r="S15" i="44" s="1"/>
  <c r="H15" i="72"/>
  <c r="M15" i="72" s="1"/>
  <c r="S15" i="72" s="1"/>
  <c r="Z33" i="51"/>
  <c r="AJ33" i="51" s="1"/>
  <c r="AO33" i="51" s="1"/>
  <c r="E17" i="41" s="1"/>
  <c r="J17" i="41" s="1"/>
  <c r="P17" i="41" s="1"/>
  <c r="W25" i="44"/>
  <c r="W25" i="46"/>
  <c r="V25" i="44"/>
  <c r="AC26" i="51"/>
  <c r="AM26" i="51" s="1"/>
  <c r="AR26" i="51" s="1"/>
  <c r="H15" i="78"/>
  <c r="M15" i="78" s="1"/>
  <c r="S15" i="78" s="1"/>
  <c r="H15" i="46"/>
  <c r="M15" i="46" s="1"/>
  <c r="S15" i="46" s="1"/>
  <c r="AC33" i="51"/>
  <c r="AM33" i="51" s="1"/>
  <c r="AR33" i="51" s="1"/>
  <c r="H17" i="37" s="1"/>
  <c r="M17" i="37" s="1"/>
  <c r="S17" i="37" s="1"/>
  <c r="V25" i="46"/>
  <c r="AA33" i="51"/>
  <c r="AK33" i="51" s="1"/>
  <c r="AP33" i="51" s="1"/>
  <c r="F17" i="72" s="1"/>
  <c r="K17" i="72" s="1"/>
  <c r="Q17" i="72" s="1"/>
  <c r="X27" i="41"/>
  <c r="V25" i="85"/>
  <c r="AA22" i="51"/>
  <c r="AK22" i="51" s="1"/>
  <c r="AP22" i="51" s="1"/>
  <c r="F6" i="72" s="1"/>
  <c r="K6" i="72" s="1"/>
  <c r="Q6" i="72" s="1"/>
  <c r="U25" i="46"/>
  <c r="X27" i="72"/>
  <c r="AL34" i="72"/>
  <c r="AG34" i="72"/>
  <c r="W25" i="58"/>
  <c r="W25" i="45"/>
  <c r="V25" i="45"/>
  <c r="V25" i="41"/>
  <c r="AC22" i="51"/>
  <c r="AM22" i="51" s="1"/>
  <c r="AR22" i="51" s="1"/>
  <c r="H6" i="37" s="1"/>
  <c r="M6" i="37" s="1"/>
  <c r="S6" i="37" s="1"/>
  <c r="AA20" i="51"/>
  <c r="AK20" i="51" s="1"/>
  <c r="AP20" i="51" s="1"/>
  <c r="AG34" i="58"/>
  <c r="AF34" i="45"/>
  <c r="W27" i="78"/>
  <c r="H15" i="58"/>
  <c r="M15" i="58" s="1"/>
  <c r="S15" i="58" s="1"/>
  <c r="X27" i="46"/>
  <c r="AA26" i="51"/>
  <c r="AK26" i="51" s="1"/>
  <c r="AP26" i="51" s="1"/>
  <c r="D14" i="37"/>
  <c r="I14" i="37" s="1"/>
  <c r="O14" i="37" s="1"/>
  <c r="T14" i="37" s="1"/>
  <c r="D14" i="78"/>
  <c r="I14" i="78" s="1"/>
  <c r="O14" i="78" s="1"/>
  <c r="T14" i="78" s="1"/>
  <c r="D14" i="58"/>
  <c r="I14" i="58" s="1"/>
  <c r="O14" i="58" s="1"/>
  <c r="T14" i="58" s="1"/>
  <c r="D14" i="72"/>
  <c r="I14" i="72" s="1"/>
  <c r="O14" i="72" s="1"/>
  <c r="T14" i="72" s="1"/>
  <c r="D14" i="46"/>
  <c r="I14" i="46" s="1"/>
  <c r="O14" i="46" s="1"/>
  <c r="T14" i="46" s="1"/>
  <c r="D14" i="41"/>
  <c r="I14" i="41" s="1"/>
  <c r="O14" i="41" s="1"/>
  <c r="T14" i="41" s="1"/>
  <c r="D14" i="45"/>
  <c r="I14" i="45" s="1"/>
  <c r="O14" i="45" s="1"/>
  <c r="T14" i="45" s="1"/>
  <c r="D14" i="44"/>
  <c r="I14" i="44" s="1"/>
  <c r="O14" i="44" s="1"/>
  <c r="T14" i="44" s="1"/>
  <c r="D14" i="85"/>
  <c r="I14" i="85" s="1"/>
  <c r="O14" i="85" s="1"/>
  <c r="T14" i="85" s="1"/>
  <c r="Z26" i="51"/>
  <c r="AJ26" i="51" s="1"/>
  <c r="AO26" i="51" s="1"/>
  <c r="E10" i="37" s="1"/>
  <c r="J10" i="37" s="1"/>
  <c r="P10" i="37" s="1"/>
  <c r="Z19" i="51"/>
  <c r="AJ19" i="51" s="1"/>
  <c r="AO19" i="51" s="1"/>
  <c r="X25" i="46"/>
  <c r="X25" i="44"/>
  <c r="U25" i="41"/>
  <c r="U25" i="78"/>
  <c r="U25" i="72"/>
  <c r="Y26" i="51"/>
  <c r="AI26" i="51" s="1"/>
  <c r="AN26" i="51" s="1"/>
  <c r="V25" i="72"/>
  <c r="AB26" i="51"/>
  <c r="AL26" i="51" s="1"/>
  <c r="AQ26" i="51" s="1"/>
  <c r="G10" i="85" s="1"/>
  <c r="L10" i="85" s="1"/>
  <c r="R10" i="85" s="1"/>
  <c r="AB34" i="44"/>
  <c r="AF34" i="44" s="1"/>
  <c r="W27" i="45"/>
  <c r="Z22" i="51"/>
  <c r="AJ22" i="51" s="1"/>
  <c r="AO22" i="51" s="1"/>
  <c r="X27" i="45"/>
  <c r="Y22" i="51"/>
  <c r="AI22" i="51" s="1"/>
  <c r="AN22" i="51" s="1"/>
  <c r="AB33" i="51"/>
  <c r="AL33" i="51" s="1"/>
  <c r="AQ33" i="51" s="1"/>
  <c r="AB22" i="51"/>
  <c r="AL22" i="51" s="1"/>
  <c r="AQ22" i="51" s="1"/>
  <c r="G5" i="46"/>
  <c r="L5" i="46" s="1"/>
  <c r="R5" i="46" s="1"/>
  <c r="G5" i="44"/>
  <c r="L5" i="44" s="1"/>
  <c r="R5" i="44" s="1"/>
  <c r="G5" i="37"/>
  <c r="L5" i="37" s="1"/>
  <c r="R5" i="37" s="1"/>
  <c r="G5" i="58"/>
  <c r="L5" i="58" s="1"/>
  <c r="R5" i="58" s="1"/>
  <c r="G5" i="85"/>
  <c r="L5" i="85" s="1"/>
  <c r="R5" i="85" s="1"/>
  <c r="G5" i="72"/>
  <c r="L5" i="72" s="1"/>
  <c r="R5" i="72" s="1"/>
  <c r="G5" i="45"/>
  <c r="L5" i="45" s="1"/>
  <c r="R5" i="45" s="1"/>
  <c r="W5" i="45" s="1"/>
  <c r="G5" i="41"/>
  <c r="L5" i="41" s="1"/>
  <c r="R5" i="41" s="1"/>
  <c r="G5" i="78"/>
  <c r="L5" i="78" s="1"/>
  <c r="R5" i="78" s="1"/>
  <c r="F18" i="41"/>
  <c r="K18" i="41" s="1"/>
  <c r="Q18" i="41" s="1"/>
  <c r="F18" i="45"/>
  <c r="K18" i="45" s="1"/>
  <c r="Q18" i="45" s="1"/>
  <c r="F18" i="37"/>
  <c r="K18" i="37" s="1"/>
  <c r="Q18" i="37" s="1"/>
  <c r="F18" i="44"/>
  <c r="K18" i="44" s="1"/>
  <c r="Q18" i="44" s="1"/>
  <c r="F18" i="78"/>
  <c r="K18" i="78" s="1"/>
  <c r="Q18" i="78" s="1"/>
  <c r="F18" i="85"/>
  <c r="K18" i="85" s="1"/>
  <c r="Q18" i="85" s="1"/>
  <c r="F18" i="72"/>
  <c r="K18" i="72" s="1"/>
  <c r="Q18" i="72" s="1"/>
  <c r="F18" i="46"/>
  <c r="K18" i="46" s="1"/>
  <c r="Q18" i="46" s="1"/>
  <c r="F18" i="58"/>
  <c r="K18" i="58" s="1"/>
  <c r="Q18" i="58" s="1"/>
  <c r="E5" i="44"/>
  <c r="J5" i="44" s="1"/>
  <c r="P5" i="44" s="1"/>
  <c r="E5" i="85"/>
  <c r="J5" i="85" s="1"/>
  <c r="P5" i="85" s="1"/>
  <c r="E5" i="72"/>
  <c r="J5" i="72" s="1"/>
  <c r="P5" i="72" s="1"/>
  <c r="E5" i="46"/>
  <c r="J5" i="46" s="1"/>
  <c r="P5" i="46" s="1"/>
  <c r="U5" i="46" s="1"/>
  <c r="E5" i="41"/>
  <c r="J5" i="41" s="1"/>
  <c r="P5" i="41" s="1"/>
  <c r="E5" i="45"/>
  <c r="J5" i="45" s="1"/>
  <c r="P5" i="45" s="1"/>
  <c r="U5" i="45" s="1"/>
  <c r="E5" i="37"/>
  <c r="J5" i="37" s="1"/>
  <c r="P5" i="37" s="1"/>
  <c r="E5" i="58"/>
  <c r="J5" i="58" s="1"/>
  <c r="P5" i="58" s="1"/>
  <c r="E5" i="78"/>
  <c r="J5" i="78" s="1"/>
  <c r="P5" i="78" s="1"/>
  <c r="G15" i="44"/>
  <c r="L15" i="44" s="1"/>
  <c r="R15" i="44" s="1"/>
  <c r="G15" i="41"/>
  <c r="L15" i="41" s="1"/>
  <c r="R15" i="41" s="1"/>
  <c r="G15" i="46"/>
  <c r="L15" i="46" s="1"/>
  <c r="R15" i="46" s="1"/>
  <c r="G15" i="37"/>
  <c r="L15" i="37" s="1"/>
  <c r="R15" i="37" s="1"/>
  <c r="G15" i="45"/>
  <c r="L15" i="45" s="1"/>
  <c r="R15" i="45" s="1"/>
  <c r="G15" i="78"/>
  <c r="L15" i="78" s="1"/>
  <c r="R15" i="78" s="1"/>
  <c r="G15" i="58"/>
  <c r="L15" i="58" s="1"/>
  <c r="R15" i="58" s="1"/>
  <c r="G15" i="85"/>
  <c r="L15" i="85" s="1"/>
  <c r="R15" i="85" s="1"/>
  <c r="G15" i="72"/>
  <c r="L15" i="72" s="1"/>
  <c r="R15" i="72" s="1"/>
  <c r="F31" i="37"/>
  <c r="K31" i="37" s="1"/>
  <c r="Q31" i="37" s="1"/>
  <c r="F31" i="44"/>
  <c r="K31" i="44" s="1"/>
  <c r="Q31" i="44" s="1"/>
  <c r="F31" i="78"/>
  <c r="K31" i="78" s="1"/>
  <c r="Q31" i="78" s="1"/>
  <c r="F31" i="72"/>
  <c r="K31" i="72" s="1"/>
  <c r="Q31" i="72" s="1"/>
  <c r="F31" i="46"/>
  <c r="K31" i="46" s="1"/>
  <c r="Q31" i="46" s="1"/>
  <c r="F31" i="41"/>
  <c r="K31" i="41" s="1"/>
  <c r="Q31" i="41" s="1"/>
  <c r="F31" i="45"/>
  <c r="K31" i="45" s="1"/>
  <c r="Q31" i="45" s="1"/>
  <c r="F31" i="58"/>
  <c r="K31" i="58" s="1"/>
  <c r="Q31" i="58" s="1"/>
  <c r="F31" i="85"/>
  <c r="K31" i="85" s="1"/>
  <c r="Q31" i="85" s="1"/>
  <c r="E15" i="44"/>
  <c r="J15" i="44" s="1"/>
  <c r="P15" i="44" s="1"/>
  <c r="E15" i="72"/>
  <c r="J15" i="72" s="1"/>
  <c r="P15" i="72" s="1"/>
  <c r="E15" i="58"/>
  <c r="J15" i="58" s="1"/>
  <c r="P15" i="58" s="1"/>
  <c r="E15" i="46"/>
  <c r="J15" i="46" s="1"/>
  <c r="P15" i="46" s="1"/>
  <c r="E15" i="41"/>
  <c r="J15" i="41" s="1"/>
  <c r="P15" i="41" s="1"/>
  <c r="E15" i="45"/>
  <c r="J15" i="45" s="1"/>
  <c r="P15" i="45" s="1"/>
  <c r="E15" i="37"/>
  <c r="J15" i="37" s="1"/>
  <c r="P15" i="37" s="1"/>
  <c r="E15" i="78"/>
  <c r="J15" i="78" s="1"/>
  <c r="P15" i="78" s="1"/>
  <c r="E15" i="85"/>
  <c r="J15" i="85" s="1"/>
  <c r="P15" i="85" s="1"/>
  <c r="H13" i="37"/>
  <c r="M13" i="37" s="1"/>
  <c r="S13" i="37" s="1"/>
  <c r="H13" i="44"/>
  <c r="M13" i="44" s="1"/>
  <c r="S13" i="44" s="1"/>
  <c r="H13" i="78"/>
  <c r="M13" i="78" s="1"/>
  <c r="S13" i="78" s="1"/>
  <c r="H13" i="58"/>
  <c r="M13" i="58" s="1"/>
  <c r="S13" i="58" s="1"/>
  <c r="H13" i="85"/>
  <c r="M13" i="85" s="1"/>
  <c r="S13" i="85" s="1"/>
  <c r="H13" i="72"/>
  <c r="M13" i="72" s="1"/>
  <c r="S13" i="72" s="1"/>
  <c r="H13" i="46"/>
  <c r="M13" i="46" s="1"/>
  <c r="S13" i="46" s="1"/>
  <c r="H13" i="41"/>
  <c r="M13" i="41" s="1"/>
  <c r="S13" i="41" s="1"/>
  <c r="H13" i="45"/>
  <c r="M13" i="45" s="1"/>
  <c r="S13" i="45" s="1"/>
  <c r="E30" i="85"/>
  <c r="J30" i="85" s="1"/>
  <c r="P30" i="85" s="1"/>
  <c r="E30" i="58"/>
  <c r="J30" i="58" s="1"/>
  <c r="P30" i="58" s="1"/>
  <c r="E30" i="41"/>
  <c r="J30" i="41" s="1"/>
  <c r="P30" i="41" s="1"/>
  <c r="E30" i="37"/>
  <c r="J30" i="37" s="1"/>
  <c r="P30" i="37" s="1"/>
  <c r="E30" i="45"/>
  <c r="J30" i="45" s="1"/>
  <c r="P30" i="45" s="1"/>
  <c r="E30" i="78"/>
  <c r="J30" i="78" s="1"/>
  <c r="P30" i="78" s="1"/>
  <c r="E30" i="72"/>
  <c r="J30" i="72" s="1"/>
  <c r="P30" i="72" s="1"/>
  <c r="E30" i="44"/>
  <c r="J30" i="44" s="1"/>
  <c r="P30" i="44" s="1"/>
  <c r="E30" i="46"/>
  <c r="J30" i="46" s="1"/>
  <c r="P30" i="46" s="1"/>
  <c r="E16" i="58"/>
  <c r="J16" i="58" s="1"/>
  <c r="P16" i="58" s="1"/>
  <c r="E16" i="46"/>
  <c r="J16" i="46" s="1"/>
  <c r="P16" i="46" s="1"/>
  <c r="E16" i="78"/>
  <c r="J16" i="78" s="1"/>
  <c r="P16" i="78" s="1"/>
  <c r="E16" i="41"/>
  <c r="J16" i="41" s="1"/>
  <c r="P16" i="41" s="1"/>
  <c r="E16" i="45"/>
  <c r="J16" i="45" s="1"/>
  <c r="P16" i="45" s="1"/>
  <c r="E16" i="37"/>
  <c r="J16" i="37" s="1"/>
  <c r="P16" i="37" s="1"/>
  <c r="E16" i="72"/>
  <c r="J16" i="72" s="1"/>
  <c r="P16" i="72" s="1"/>
  <c r="E16" i="85"/>
  <c r="J16" i="85" s="1"/>
  <c r="P16" i="85" s="1"/>
  <c r="E16" i="44"/>
  <c r="J16" i="44" s="1"/>
  <c r="P16" i="44" s="1"/>
  <c r="F26" i="72"/>
  <c r="K26" i="72" s="1"/>
  <c r="Q26" i="72" s="1"/>
  <c r="F26" i="45"/>
  <c r="K26" i="45" s="1"/>
  <c r="Q26" i="45" s="1"/>
  <c r="F26" i="44"/>
  <c r="K26" i="44" s="1"/>
  <c r="Q26" i="44" s="1"/>
  <c r="F26" i="78"/>
  <c r="K26" i="78" s="1"/>
  <c r="Q26" i="78" s="1"/>
  <c r="F26" i="41"/>
  <c r="K26" i="41" s="1"/>
  <c r="Q26" i="41" s="1"/>
  <c r="F26" i="85"/>
  <c r="K26" i="85" s="1"/>
  <c r="Q26" i="85" s="1"/>
  <c r="F26" i="58"/>
  <c r="K26" i="58" s="1"/>
  <c r="Q26" i="58" s="1"/>
  <c r="F26" i="46"/>
  <c r="K26" i="46" s="1"/>
  <c r="Q26" i="46" s="1"/>
  <c r="F26" i="37"/>
  <c r="K26" i="37" s="1"/>
  <c r="Q26" i="37" s="1"/>
  <c r="G7" i="37"/>
  <c r="L7" i="37" s="1"/>
  <c r="R7" i="37" s="1"/>
  <c r="G7" i="46"/>
  <c r="L7" i="46" s="1"/>
  <c r="R7" i="46" s="1"/>
  <c r="G7" i="78"/>
  <c r="L7" i="78" s="1"/>
  <c r="R7" i="78" s="1"/>
  <c r="G7" i="72"/>
  <c r="L7" i="72" s="1"/>
  <c r="R7" i="72" s="1"/>
  <c r="G7" i="58"/>
  <c r="L7" i="58" s="1"/>
  <c r="R7" i="58" s="1"/>
  <c r="G7" i="85"/>
  <c r="L7" i="85" s="1"/>
  <c r="R7" i="85" s="1"/>
  <c r="G7" i="41"/>
  <c r="L7" i="41" s="1"/>
  <c r="R7" i="41" s="1"/>
  <c r="G7" i="44"/>
  <c r="L7" i="44" s="1"/>
  <c r="R7" i="44" s="1"/>
  <c r="G7" i="45"/>
  <c r="L7" i="45" s="1"/>
  <c r="R7" i="45" s="1"/>
  <c r="D16" i="58"/>
  <c r="I16" i="58" s="1"/>
  <c r="O16" i="58" s="1"/>
  <c r="D16" i="85"/>
  <c r="I16" i="85" s="1"/>
  <c r="O16" i="85" s="1"/>
  <c r="D16" i="41"/>
  <c r="I16" i="41" s="1"/>
  <c r="O16" i="41" s="1"/>
  <c r="D16" i="72"/>
  <c r="I16" i="72" s="1"/>
  <c r="O16" i="72" s="1"/>
  <c r="D16" i="46"/>
  <c r="I16" i="46" s="1"/>
  <c r="O16" i="46" s="1"/>
  <c r="D16" i="37"/>
  <c r="I16" i="37" s="1"/>
  <c r="O16" i="37" s="1"/>
  <c r="D16" i="44"/>
  <c r="I16" i="44" s="1"/>
  <c r="O16" i="44" s="1"/>
  <c r="D16" i="78"/>
  <c r="I16" i="78" s="1"/>
  <c r="O16" i="78" s="1"/>
  <c r="D16" i="45"/>
  <c r="I16" i="45" s="1"/>
  <c r="O16" i="45" s="1"/>
  <c r="G14" i="72"/>
  <c r="L14" i="72" s="1"/>
  <c r="R14" i="72" s="1"/>
  <c r="G14" i="44"/>
  <c r="L14" i="44" s="1"/>
  <c r="R14" i="44" s="1"/>
  <c r="G14" i="41"/>
  <c r="L14" i="41" s="1"/>
  <c r="R14" i="41" s="1"/>
  <c r="G14" i="37"/>
  <c r="L14" i="37" s="1"/>
  <c r="R14" i="37" s="1"/>
  <c r="G14" i="78"/>
  <c r="L14" i="78" s="1"/>
  <c r="R14" i="78" s="1"/>
  <c r="G14" i="58"/>
  <c r="L14" i="58" s="1"/>
  <c r="R14" i="58" s="1"/>
  <c r="G14" i="85"/>
  <c r="L14" i="85" s="1"/>
  <c r="R14" i="85" s="1"/>
  <c r="G14" i="46"/>
  <c r="L14" i="46" s="1"/>
  <c r="R14" i="46" s="1"/>
  <c r="G14" i="45"/>
  <c r="L14" i="45" s="1"/>
  <c r="R14" i="45" s="1"/>
  <c r="F15" i="41"/>
  <c r="K15" i="41" s="1"/>
  <c r="Q15" i="41" s="1"/>
  <c r="F15" i="44"/>
  <c r="K15" i="44" s="1"/>
  <c r="Q15" i="44" s="1"/>
  <c r="F15" i="58"/>
  <c r="K15" i="58" s="1"/>
  <c r="Q15" i="58" s="1"/>
  <c r="F15" i="85"/>
  <c r="K15" i="85" s="1"/>
  <c r="Q15" i="85" s="1"/>
  <c r="F15" i="72"/>
  <c r="K15" i="72" s="1"/>
  <c r="Q15" i="72" s="1"/>
  <c r="F15" i="46"/>
  <c r="K15" i="46" s="1"/>
  <c r="Q15" i="46" s="1"/>
  <c r="F15" i="45"/>
  <c r="K15" i="45" s="1"/>
  <c r="Q15" i="45" s="1"/>
  <c r="F15" i="37"/>
  <c r="K15" i="37" s="1"/>
  <c r="Q15" i="37" s="1"/>
  <c r="F15" i="78"/>
  <c r="K15" i="78" s="1"/>
  <c r="Q15" i="78" s="1"/>
  <c r="E26" i="58"/>
  <c r="J26" i="58" s="1"/>
  <c r="P26" i="58" s="1"/>
  <c r="E26" i="44"/>
  <c r="J26" i="44" s="1"/>
  <c r="P26" i="44" s="1"/>
  <c r="E26" i="37"/>
  <c r="J26" i="37" s="1"/>
  <c r="P26" i="37" s="1"/>
  <c r="E26" i="45"/>
  <c r="J26" i="45" s="1"/>
  <c r="P26" i="45" s="1"/>
  <c r="E26" i="78"/>
  <c r="J26" i="78" s="1"/>
  <c r="P26" i="78" s="1"/>
  <c r="E26" i="72"/>
  <c r="J26" i="72" s="1"/>
  <c r="P26" i="72" s="1"/>
  <c r="E26" i="85"/>
  <c r="J26" i="85" s="1"/>
  <c r="P26" i="85" s="1"/>
  <c r="E26" i="41"/>
  <c r="J26" i="41" s="1"/>
  <c r="P26" i="41" s="1"/>
  <c r="E26" i="46"/>
  <c r="J26" i="46" s="1"/>
  <c r="P26" i="46" s="1"/>
  <c r="D13" i="45"/>
  <c r="I13" i="45" s="1"/>
  <c r="O13" i="45" s="1"/>
  <c r="D13" i="37"/>
  <c r="I13" i="37" s="1"/>
  <c r="O13" i="37" s="1"/>
  <c r="D13" i="44"/>
  <c r="I13" i="44" s="1"/>
  <c r="O13" i="44" s="1"/>
  <c r="D13" i="58"/>
  <c r="I13" i="58" s="1"/>
  <c r="O13" i="58" s="1"/>
  <c r="D13" i="85"/>
  <c r="I13" i="85" s="1"/>
  <c r="O13" i="85" s="1"/>
  <c r="D13" i="72"/>
  <c r="I13" i="72" s="1"/>
  <c r="O13" i="72" s="1"/>
  <c r="D13" i="46"/>
  <c r="I13" i="46" s="1"/>
  <c r="O13" i="46" s="1"/>
  <c r="D13" i="41"/>
  <c r="I13" i="41" s="1"/>
  <c r="O13" i="41" s="1"/>
  <c r="D13" i="78"/>
  <c r="I13" i="78" s="1"/>
  <c r="O13" i="78" s="1"/>
  <c r="H26" i="46"/>
  <c r="M26" i="46" s="1"/>
  <c r="S26" i="46" s="1"/>
  <c r="H26" i="45"/>
  <c r="M26" i="45" s="1"/>
  <c r="S26" i="45" s="1"/>
  <c r="H26" i="37"/>
  <c r="M26" i="37" s="1"/>
  <c r="S26" i="37" s="1"/>
  <c r="H26" i="44"/>
  <c r="M26" i="44" s="1"/>
  <c r="S26" i="44" s="1"/>
  <c r="H26" i="78"/>
  <c r="M26" i="78" s="1"/>
  <c r="S26" i="78" s="1"/>
  <c r="H26" i="58"/>
  <c r="M26" i="58" s="1"/>
  <c r="S26" i="58" s="1"/>
  <c r="H26" i="85"/>
  <c r="M26" i="85" s="1"/>
  <c r="S26" i="85" s="1"/>
  <c r="H26" i="72"/>
  <c r="M26" i="72" s="1"/>
  <c r="S26" i="72" s="1"/>
  <c r="H26" i="41"/>
  <c r="M26" i="41" s="1"/>
  <c r="S26" i="41" s="1"/>
  <c r="H14" i="37"/>
  <c r="M14" i="37" s="1"/>
  <c r="S14" i="37" s="1"/>
  <c r="H14" i="44"/>
  <c r="M14" i="44" s="1"/>
  <c r="S14" i="44" s="1"/>
  <c r="H14" i="78"/>
  <c r="M14" i="78" s="1"/>
  <c r="S14" i="78" s="1"/>
  <c r="H14" i="72"/>
  <c r="M14" i="72" s="1"/>
  <c r="S14" i="72" s="1"/>
  <c r="H14" i="58"/>
  <c r="M14" i="58" s="1"/>
  <c r="S14" i="58" s="1"/>
  <c r="H14" i="85"/>
  <c r="M14" i="85" s="1"/>
  <c r="S14" i="85" s="1"/>
  <c r="H14" i="41"/>
  <c r="M14" i="41" s="1"/>
  <c r="S14" i="41" s="1"/>
  <c r="H14" i="45"/>
  <c r="M14" i="45" s="1"/>
  <c r="S14" i="45" s="1"/>
  <c r="H14" i="46"/>
  <c r="M14" i="46" s="1"/>
  <c r="S14" i="46" s="1"/>
  <c r="H8" i="37"/>
  <c r="M8" i="37" s="1"/>
  <c r="S8" i="37" s="1"/>
  <c r="H8" i="44"/>
  <c r="M8" i="44" s="1"/>
  <c r="S8" i="44" s="1"/>
  <c r="H8" i="78"/>
  <c r="M8" i="78" s="1"/>
  <c r="S8" i="78" s="1"/>
  <c r="H8" i="85"/>
  <c r="M8" i="85" s="1"/>
  <c r="S8" i="85" s="1"/>
  <c r="H8" i="58"/>
  <c r="M8" i="58" s="1"/>
  <c r="S8" i="58" s="1"/>
  <c r="H8" i="72"/>
  <c r="M8" i="72" s="1"/>
  <c r="S8" i="72" s="1"/>
  <c r="H8" i="45"/>
  <c r="M8" i="45" s="1"/>
  <c r="S8" i="45" s="1"/>
  <c r="H8" i="41"/>
  <c r="M8" i="41" s="1"/>
  <c r="S8" i="41" s="1"/>
  <c r="H8" i="46"/>
  <c r="M8" i="46" s="1"/>
  <c r="S8" i="46" s="1"/>
  <c r="D26" i="58"/>
  <c r="I26" i="58" s="1"/>
  <c r="O26" i="58" s="1"/>
  <c r="T26" i="58" s="1"/>
  <c r="D26" i="46"/>
  <c r="I26" i="46" s="1"/>
  <c r="O26" i="46" s="1"/>
  <c r="T26" i="46" s="1"/>
  <c r="D26" i="41"/>
  <c r="I26" i="41" s="1"/>
  <c r="O26" i="41" s="1"/>
  <c r="T26" i="41" s="1"/>
  <c r="D26" i="45"/>
  <c r="I26" i="45" s="1"/>
  <c r="O26" i="45" s="1"/>
  <c r="T26" i="45" s="1"/>
  <c r="D26" i="37"/>
  <c r="I26" i="37" s="1"/>
  <c r="O26" i="37" s="1"/>
  <c r="T26" i="37" s="1"/>
  <c r="D26" i="44"/>
  <c r="I26" i="44" s="1"/>
  <c r="O26" i="44" s="1"/>
  <c r="T26" i="44" s="1"/>
  <c r="D26" i="78"/>
  <c r="I26" i="78" s="1"/>
  <c r="O26" i="78" s="1"/>
  <c r="T26" i="78" s="1"/>
  <c r="D26" i="85"/>
  <c r="I26" i="85" s="1"/>
  <c r="O26" i="85" s="1"/>
  <c r="T26" i="85" s="1"/>
  <c r="D26" i="72"/>
  <c r="I26" i="72" s="1"/>
  <c r="O26" i="72" s="1"/>
  <c r="T26" i="72" s="1"/>
  <c r="E9" i="41"/>
  <c r="J9" i="41" s="1"/>
  <c r="P9" i="41" s="1"/>
  <c r="E9" i="45"/>
  <c r="J9" i="45" s="1"/>
  <c r="P9" i="45" s="1"/>
  <c r="E9" i="44"/>
  <c r="J9" i="44" s="1"/>
  <c r="P9" i="44" s="1"/>
  <c r="E9" i="37"/>
  <c r="J9" i="37" s="1"/>
  <c r="P9" i="37" s="1"/>
  <c r="E9" i="78"/>
  <c r="J9" i="78" s="1"/>
  <c r="P9" i="78" s="1"/>
  <c r="E9" i="58"/>
  <c r="J9" i="58" s="1"/>
  <c r="P9" i="58" s="1"/>
  <c r="E9" i="85"/>
  <c r="J9" i="85" s="1"/>
  <c r="P9" i="85" s="1"/>
  <c r="E9" i="72"/>
  <c r="J9" i="72" s="1"/>
  <c r="P9" i="72" s="1"/>
  <c r="E9" i="46"/>
  <c r="J9" i="46" s="1"/>
  <c r="P9" i="46" s="1"/>
  <c r="E14" i="72"/>
  <c r="J14" i="72" s="1"/>
  <c r="P14" i="72" s="1"/>
  <c r="E14" i="85"/>
  <c r="J14" i="85" s="1"/>
  <c r="P14" i="85" s="1"/>
  <c r="E14" i="46"/>
  <c r="J14" i="46" s="1"/>
  <c r="P14" i="46" s="1"/>
  <c r="E14" i="41"/>
  <c r="J14" i="41" s="1"/>
  <c r="P14" i="41" s="1"/>
  <c r="E14" i="37"/>
  <c r="J14" i="37" s="1"/>
  <c r="P14" i="37" s="1"/>
  <c r="E14" i="44"/>
  <c r="J14" i="44" s="1"/>
  <c r="P14" i="44" s="1"/>
  <c r="E14" i="78"/>
  <c r="J14" i="78" s="1"/>
  <c r="P14" i="78" s="1"/>
  <c r="E14" i="58"/>
  <c r="J14" i="58" s="1"/>
  <c r="P14" i="58" s="1"/>
  <c r="E14" i="45"/>
  <c r="J14" i="45" s="1"/>
  <c r="P14" i="45" s="1"/>
  <c r="F13" i="44"/>
  <c r="K13" i="44" s="1"/>
  <c r="Q13" i="44" s="1"/>
  <c r="F13" i="58"/>
  <c r="K13" i="58" s="1"/>
  <c r="Q13" i="58" s="1"/>
  <c r="F13" i="85"/>
  <c r="K13" i="85" s="1"/>
  <c r="Q13" i="85" s="1"/>
  <c r="F13" i="72"/>
  <c r="K13" i="72" s="1"/>
  <c r="Q13" i="72" s="1"/>
  <c r="F13" i="46"/>
  <c r="K13" i="46" s="1"/>
  <c r="Q13" i="46" s="1"/>
  <c r="F13" i="41"/>
  <c r="K13" i="41" s="1"/>
  <c r="Q13" i="41" s="1"/>
  <c r="F13" i="45"/>
  <c r="K13" i="45" s="1"/>
  <c r="Q13" i="45" s="1"/>
  <c r="F13" i="37"/>
  <c r="K13" i="37" s="1"/>
  <c r="Q13" i="37" s="1"/>
  <c r="F13" i="78"/>
  <c r="K13" i="78" s="1"/>
  <c r="Q13" i="78" s="1"/>
  <c r="F5" i="41"/>
  <c r="K5" i="41" s="1"/>
  <c r="Q5" i="41" s="1"/>
  <c r="F5" i="37"/>
  <c r="K5" i="37" s="1"/>
  <c r="Q5" i="37" s="1"/>
  <c r="F5" i="78"/>
  <c r="K5" i="78" s="1"/>
  <c r="Q5" i="78" s="1"/>
  <c r="F5" i="58"/>
  <c r="K5" i="58" s="1"/>
  <c r="Q5" i="58" s="1"/>
  <c r="F5" i="72"/>
  <c r="K5" i="72" s="1"/>
  <c r="Q5" i="72" s="1"/>
  <c r="F5" i="45"/>
  <c r="K5" i="45" s="1"/>
  <c r="Q5" i="45" s="1"/>
  <c r="V5" i="45" s="1"/>
  <c r="F5" i="46"/>
  <c r="K5" i="46" s="1"/>
  <c r="Q5" i="46" s="1"/>
  <c r="F5" i="44"/>
  <c r="K5" i="44" s="1"/>
  <c r="Q5" i="44" s="1"/>
  <c r="F5" i="85"/>
  <c r="K5" i="85" s="1"/>
  <c r="Q5" i="85" s="1"/>
  <c r="T27" i="85"/>
  <c r="U27" i="85"/>
  <c r="T27" i="78"/>
  <c r="U27" i="78"/>
  <c r="F8" i="41"/>
  <c r="K8" i="41" s="1"/>
  <c r="Q8" i="41" s="1"/>
  <c r="F8" i="45"/>
  <c r="K8" i="45" s="1"/>
  <c r="Q8" i="45" s="1"/>
  <c r="F8" i="37"/>
  <c r="K8" i="37" s="1"/>
  <c r="Q8" i="37" s="1"/>
  <c r="F8" i="44"/>
  <c r="K8" i="44" s="1"/>
  <c r="Q8" i="44" s="1"/>
  <c r="F8" i="78"/>
  <c r="K8" i="78" s="1"/>
  <c r="Q8" i="78" s="1"/>
  <c r="F8" i="72"/>
  <c r="K8" i="72" s="1"/>
  <c r="Q8" i="72" s="1"/>
  <c r="F8" i="46"/>
  <c r="K8" i="46" s="1"/>
  <c r="Q8" i="46" s="1"/>
  <c r="F8" i="58"/>
  <c r="K8" i="58" s="1"/>
  <c r="Q8" i="58" s="1"/>
  <c r="F8" i="85"/>
  <c r="K8" i="85" s="1"/>
  <c r="Q8" i="85" s="1"/>
  <c r="H18" i="58"/>
  <c r="M18" i="58" s="1"/>
  <c r="S18" i="58" s="1"/>
  <c r="H18" i="85"/>
  <c r="M18" i="85" s="1"/>
  <c r="S18" i="85" s="1"/>
  <c r="H18" i="45"/>
  <c r="M18" i="45" s="1"/>
  <c r="S18" i="45" s="1"/>
  <c r="H18" i="72"/>
  <c r="M18" i="72" s="1"/>
  <c r="S18" i="72" s="1"/>
  <c r="H18" i="46"/>
  <c r="M18" i="46" s="1"/>
  <c r="S18" i="46" s="1"/>
  <c r="H18" i="41"/>
  <c r="M18" i="41" s="1"/>
  <c r="S18" i="41" s="1"/>
  <c r="H18" i="37"/>
  <c r="M18" i="37" s="1"/>
  <c r="S18" i="37" s="1"/>
  <c r="H18" i="44"/>
  <c r="M18" i="44" s="1"/>
  <c r="S18" i="44" s="1"/>
  <c r="H18" i="78"/>
  <c r="M18" i="78" s="1"/>
  <c r="S18" i="78" s="1"/>
  <c r="G30" i="41"/>
  <c r="L30" i="41" s="1"/>
  <c r="R30" i="41" s="1"/>
  <c r="G30" i="45"/>
  <c r="L30" i="45" s="1"/>
  <c r="R30" i="45" s="1"/>
  <c r="G30" i="58"/>
  <c r="L30" i="58" s="1"/>
  <c r="R30" i="58" s="1"/>
  <c r="G30" i="85"/>
  <c r="L30" i="85" s="1"/>
  <c r="R30" i="85" s="1"/>
  <c r="G30" i="72"/>
  <c r="L30" i="72" s="1"/>
  <c r="R30" i="72" s="1"/>
  <c r="G30" i="46"/>
  <c r="L30" i="46" s="1"/>
  <c r="R30" i="46" s="1"/>
  <c r="G30" i="37"/>
  <c r="L30" i="37" s="1"/>
  <c r="R30" i="37" s="1"/>
  <c r="G30" i="44"/>
  <c r="L30" i="44" s="1"/>
  <c r="R30" i="44" s="1"/>
  <c r="G30" i="78"/>
  <c r="L30" i="78" s="1"/>
  <c r="R30" i="78" s="1"/>
  <c r="H5" i="58"/>
  <c r="M5" i="58" s="1"/>
  <c r="S5" i="58" s="1"/>
  <c r="H5" i="46"/>
  <c r="M5" i="46" s="1"/>
  <c r="S5" i="46" s="1"/>
  <c r="H5" i="72"/>
  <c r="M5" i="72" s="1"/>
  <c r="S5" i="72" s="1"/>
  <c r="H5" i="45"/>
  <c r="M5" i="45" s="1"/>
  <c r="S5" i="45" s="1"/>
  <c r="X5" i="45" s="1"/>
  <c r="H5" i="37"/>
  <c r="M5" i="37" s="1"/>
  <c r="S5" i="37" s="1"/>
  <c r="H5" i="44"/>
  <c r="M5" i="44" s="1"/>
  <c r="S5" i="44" s="1"/>
  <c r="H5" i="78"/>
  <c r="M5" i="78" s="1"/>
  <c r="S5" i="78" s="1"/>
  <c r="H5" i="85"/>
  <c r="M5" i="85" s="1"/>
  <c r="S5" i="85" s="1"/>
  <c r="H5" i="41"/>
  <c r="M5" i="41" s="1"/>
  <c r="S5" i="41" s="1"/>
  <c r="G16" i="72"/>
  <c r="L16" i="72" s="1"/>
  <c r="R16" i="72" s="1"/>
  <c r="G16" i="44"/>
  <c r="L16" i="44" s="1"/>
  <c r="R16" i="44" s="1"/>
  <c r="G16" i="78"/>
  <c r="L16" i="78" s="1"/>
  <c r="R16" i="78" s="1"/>
  <c r="G16" i="41"/>
  <c r="L16" i="41" s="1"/>
  <c r="R16" i="41" s="1"/>
  <c r="G16" i="46"/>
  <c r="L16" i="46" s="1"/>
  <c r="R16" i="46" s="1"/>
  <c r="G16" i="45"/>
  <c r="L16" i="45" s="1"/>
  <c r="R16" i="45" s="1"/>
  <c r="G16" i="58"/>
  <c r="L16" i="58" s="1"/>
  <c r="R16" i="58" s="1"/>
  <c r="G16" i="85"/>
  <c r="L16" i="85" s="1"/>
  <c r="R16" i="85" s="1"/>
  <c r="G16" i="37"/>
  <c r="L16" i="37" s="1"/>
  <c r="R16" i="37" s="1"/>
  <c r="H31" i="37"/>
  <c r="M31" i="37" s="1"/>
  <c r="S31" i="37" s="1"/>
  <c r="H31" i="44"/>
  <c r="M31" i="44" s="1"/>
  <c r="S31" i="44" s="1"/>
  <c r="H31" i="78"/>
  <c r="M31" i="78" s="1"/>
  <c r="S31" i="78" s="1"/>
  <c r="H31" i="58"/>
  <c r="M31" i="58" s="1"/>
  <c r="S31" i="58" s="1"/>
  <c r="H31" i="85"/>
  <c r="M31" i="85" s="1"/>
  <c r="S31" i="85" s="1"/>
  <c r="H31" i="72"/>
  <c r="M31" i="72" s="1"/>
  <c r="S31" i="72" s="1"/>
  <c r="H31" i="46"/>
  <c r="M31" i="46" s="1"/>
  <c r="S31" i="46" s="1"/>
  <c r="H31" i="41"/>
  <c r="M31" i="41" s="1"/>
  <c r="S31" i="41" s="1"/>
  <c r="H31" i="45"/>
  <c r="M31" i="45" s="1"/>
  <c r="S31" i="45" s="1"/>
  <c r="H9" i="72"/>
  <c r="M9" i="72" s="1"/>
  <c r="S9" i="72" s="1"/>
  <c r="H9" i="45"/>
  <c r="M9" i="45" s="1"/>
  <c r="S9" i="45" s="1"/>
  <c r="H9" i="58"/>
  <c r="M9" i="58" s="1"/>
  <c r="S9" i="58" s="1"/>
  <c r="H9" i="37"/>
  <c r="M9" i="37" s="1"/>
  <c r="S9" i="37" s="1"/>
  <c r="H9" i="44"/>
  <c r="M9" i="44" s="1"/>
  <c r="S9" i="44" s="1"/>
  <c r="H9" i="78"/>
  <c r="M9" i="78" s="1"/>
  <c r="S9" i="78" s="1"/>
  <c r="H9" i="85"/>
  <c r="M9" i="85" s="1"/>
  <c r="S9" i="85" s="1"/>
  <c r="H9" i="41"/>
  <c r="M9" i="41" s="1"/>
  <c r="S9" i="41" s="1"/>
  <c r="H9" i="46"/>
  <c r="M9" i="46" s="1"/>
  <c r="S9" i="46" s="1"/>
  <c r="D7" i="37"/>
  <c r="I7" i="37" s="1"/>
  <c r="O7" i="37" s="1"/>
  <c r="D7" i="44"/>
  <c r="I7" i="44" s="1"/>
  <c r="O7" i="44" s="1"/>
  <c r="D7" i="78"/>
  <c r="I7" i="78" s="1"/>
  <c r="O7" i="78" s="1"/>
  <c r="D7" i="46"/>
  <c r="I7" i="46" s="1"/>
  <c r="O7" i="46" s="1"/>
  <c r="D7" i="58"/>
  <c r="I7" i="58" s="1"/>
  <c r="O7" i="58" s="1"/>
  <c r="D7" i="85"/>
  <c r="I7" i="85" s="1"/>
  <c r="O7" i="85" s="1"/>
  <c r="D7" i="72"/>
  <c r="I7" i="72" s="1"/>
  <c r="O7" i="72" s="1"/>
  <c r="D7" i="45"/>
  <c r="I7" i="45" s="1"/>
  <c r="O7" i="45" s="1"/>
  <c r="D7" i="41"/>
  <c r="I7" i="41" s="1"/>
  <c r="O7" i="41" s="1"/>
  <c r="D15" i="46"/>
  <c r="I15" i="46" s="1"/>
  <c r="O15" i="46" s="1"/>
  <c r="D15" i="41"/>
  <c r="I15" i="41" s="1"/>
  <c r="O15" i="41" s="1"/>
  <c r="D15" i="45"/>
  <c r="I15" i="45" s="1"/>
  <c r="O15" i="45" s="1"/>
  <c r="X15" i="45" s="1"/>
  <c r="D15" i="37"/>
  <c r="I15" i="37" s="1"/>
  <c r="O15" i="37" s="1"/>
  <c r="D15" i="44"/>
  <c r="I15" i="44" s="1"/>
  <c r="O15" i="44" s="1"/>
  <c r="D15" i="78"/>
  <c r="I15" i="78" s="1"/>
  <c r="O15" i="78" s="1"/>
  <c r="D15" i="58"/>
  <c r="I15" i="58" s="1"/>
  <c r="O15" i="58" s="1"/>
  <c r="D15" i="85"/>
  <c r="I15" i="85" s="1"/>
  <c r="O15" i="85" s="1"/>
  <c r="D15" i="72"/>
  <c r="I15" i="72" s="1"/>
  <c r="O15" i="72" s="1"/>
  <c r="E8" i="37"/>
  <c r="J8" i="37" s="1"/>
  <c r="P8" i="37" s="1"/>
  <c r="E8" i="44"/>
  <c r="J8" i="44" s="1"/>
  <c r="P8" i="44" s="1"/>
  <c r="E8" i="78"/>
  <c r="J8" i="78" s="1"/>
  <c r="P8" i="78" s="1"/>
  <c r="E8" i="58"/>
  <c r="J8" i="58" s="1"/>
  <c r="P8" i="58" s="1"/>
  <c r="E8" i="85"/>
  <c r="J8" i="85" s="1"/>
  <c r="P8" i="85" s="1"/>
  <c r="E8" i="41"/>
  <c r="J8" i="41" s="1"/>
  <c r="P8" i="41" s="1"/>
  <c r="E8" i="45"/>
  <c r="J8" i="45" s="1"/>
  <c r="P8" i="45" s="1"/>
  <c r="E8" i="72"/>
  <c r="J8" i="72" s="1"/>
  <c r="P8" i="72" s="1"/>
  <c r="E8" i="46"/>
  <c r="J8" i="46" s="1"/>
  <c r="P8" i="46" s="1"/>
  <c r="G26" i="72"/>
  <c r="L26" i="72" s="1"/>
  <c r="R26" i="72" s="1"/>
  <c r="G26" i="46"/>
  <c r="L26" i="46" s="1"/>
  <c r="R26" i="46" s="1"/>
  <c r="G26" i="41"/>
  <c r="L26" i="41" s="1"/>
  <c r="R26" i="41" s="1"/>
  <c r="G26" i="45"/>
  <c r="L26" i="45" s="1"/>
  <c r="R26" i="45" s="1"/>
  <c r="G26" i="37"/>
  <c r="L26" i="37" s="1"/>
  <c r="R26" i="37" s="1"/>
  <c r="G26" i="44"/>
  <c r="L26" i="44" s="1"/>
  <c r="R26" i="44" s="1"/>
  <c r="G26" i="78"/>
  <c r="L26" i="78" s="1"/>
  <c r="R26" i="78" s="1"/>
  <c r="G26" i="58"/>
  <c r="L26" i="58" s="1"/>
  <c r="R26" i="58" s="1"/>
  <c r="G26" i="85"/>
  <c r="L26" i="85" s="1"/>
  <c r="R26" i="85" s="1"/>
  <c r="F7" i="37"/>
  <c r="K7" i="37" s="1"/>
  <c r="Q7" i="37" s="1"/>
  <c r="F7" i="44"/>
  <c r="K7" i="44" s="1"/>
  <c r="Q7" i="44" s="1"/>
  <c r="F7" i="78"/>
  <c r="K7" i="78" s="1"/>
  <c r="Q7" i="78" s="1"/>
  <c r="V7" i="78" s="1"/>
  <c r="F7" i="58"/>
  <c r="K7" i="58" s="1"/>
  <c r="Q7" i="58" s="1"/>
  <c r="F7" i="45"/>
  <c r="K7" i="45" s="1"/>
  <c r="Q7" i="45" s="1"/>
  <c r="F7" i="85"/>
  <c r="K7" i="85" s="1"/>
  <c r="Q7" i="85" s="1"/>
  <c r="V7" i="85" s="1"/>
  <c r="F7" i="41"/>
  <c r="K7" i="41" s="1"/>
  <c r="Q7" i="41" s="1"/>
  <c r="F7" i="46"/>
  <c r="K7" i="46" s="1"/>
  <c r="Q7" i="46" s="1"/>
  <c r="V7" i="46" s="1"/>
  <c r="F7" i="72"/>
  <c r="K7" i="72" s="1"/>
  <c r="Q7" i="72" s="1"/>
  <c r="T27" i="41"/>
  <c r="U27" i="41"/>
  <c r="T27" i="72"/>
  <c r="U27" i="72"/>
  <c r="AB19" i="51"/>
  <c r="AL19" i="51" s="1"/>
  <c r="AQ19" i="51" s="1"/>
  <c r="Y20" i="51"/>
  <c r="AI20" i="51" s="1"/>
  <c r="AN20" i="51" s="1"/>
  <c r="V25" i="58"/>
  <c r="Y19" i="51"/>
  <c r="AI19" i="51" s="1"/>
  <c r="AN19" i="51" s="1"/>
  <c r="AC20" i="51"/>
  <c r="AM20" i="51" s="1"/>
  <c r="AR20" i="51" s="1"/>
  <c r="Y33" i="51"/>
  <c r="AI33" i="51" s="1"/>
  <c r="AN33" i="51" s="1"/>
  <c r="X27" i="44"/>
  <c r="D30" i="78"/>
  <c r="I30" i="78" s="1"/>
  <c r="O30" i="78" s="1"/>
  <c r="T30" i="78" s="1"/>
  <c r="D30" i="72"/>
  <c r="I30" i="72" s="1"/>
  <c r="O30" i="72" s="1"/>
  <c r="T30" i="72" s="1"/>
  <c r="D30" i="58"/>
  <c r="I30" i="58" s="1"/>
  <c r="O30" i="58" s="1"/>
  <c r="T30" i="58" s="1"/>
  <c r="D30" i="46"/>
  <c r="I30" i="46" s="1"/>
  <c r="O30" i="46" s="1"/>
  <c r="T30" i="46" s="1"/>
  <c r="D30" i="41"/>
  <c r="I30" i="41" s="1"/>
  <c r="O30" i="41" s="1"/>
  <c r="T30" i="41" s="1"/>
  <c r="D30" i="45"/>
  <c r="I30" i="45" s="1"/>
  <c r="O30" i="45" s="1"/>
  <c r="T30" i="45" s="1"/>
  <c r="D30" i="37"/>
  <c r="I30" i="37" s="1"/>
  <c r="O30" i="37" s="1"/>
  <c r="T30" i="37" s="1"/>
  <c r="D30" i="44"/>
  <c r="I30" i="44" s="1"/>
  <c r="O30" i="44" s="1"/>
  <c r="T30" i="44" s="1"/>
  <c r="D30" i="85"/>
  <c r="I30" i="85" s="1"/>
  <c r="O30" i="85" s="1"/>
  <c r="T30" i="85" s="1"/>
  <c r="E31" i="78"/>
  <c r="J31" i="78" s="1"/>
  <c r="P31" i="78" s="1"/>
  <c r="E31" i="72"/>
  <c r="J31" i="72" s="1"/>
  <c r="P31" i="72" s="1"/>
  <c r="E31" i="58"/>
  <c r="J31" i="58" s="1"/>
  <c r="P31" i="58" s="1"/>
  <c r="E31" i="44"/>
  <c r="J31" i="44" s="1"/>
  <c r="P31" i="44" s="1"/>
  <c r="E31" i="41"/>
  <c r="J31" i="41" s="1"/>
  <c r="P31" i="41" s="1"/>
  <c r="E31" i="46"/>
  <c r="J31" i="46" s="1"/>
  <c r="P31" i="46" s="1"/>
  <c r="E31" i="37"/>
  <c r="J31" i="37" s="1"/>
  <c r="P31" i="37" s="1"/>
  <c r="E31" i="45"/>
  <c r="J31" i="45" s="1"/>
  <c r="P31" i="45" s="1"/>
  <c r="E31" i="85"/>
  <c r="J31" i="85" s="1"/>
  <c r="P31" i="85" s="1"/>
  <c r="E18" i="72"/>
  <c r="J18" i="72" s="1"/>
  <c r="P18" i="72" s="1"/>
  <c r="E18" i="85"/>
  <c r="J18" i="85" s="1"/>
  <c r="P18" i="85" s="1"/>
  <c r="E18" i="45"/>
  <c r="J18" i="45" s="1"/>
  <c r="P18" i="45" s="1"/>
  <c r="E18" i="58"/>
  <c r="J18" i="58" s="1"/>
  <c r="P18" i="58" s="1"/>
  <c r="E18" i="46"/>
  <c r="J18" i="46" s="1"/>
  <c r="P18" i="46" s="1"/>
  <c r="E18" i="41"/>
  <c r="J18" i="41" s="1"/>
  <c r="P18" i="41" s="1"/>
  <c r="E18" i="37"/>
  <c r="J18" i="37" s="1"/>
  <c r="P18" i="37" s="1"/>
  <c r="E18" i="44"/>
  <c r="J18" i="44" s="1"/>
  <c r="P18" i="44" s="1"/>
  <c r="E18" i="78"/>
  <c r="J18" i="78" s="1"/>
  <c r="P18" i="78" s="1"/>
  <c r="F30" i="37"/>
  <c r="K30" i="37" s="1"/>
  <c r="Q30" i="37" s="1"/>
  <c r="F30" i="44"/>
  <c r="K30" i="44" s="1"/>
  <c r="Q30" i="44" s="1"/>
  <c r="F30" i="78"/>
  <c r="K30" i="78" s="1"/>
  <c r="Q30" i="78" s="1"/>
  <c r="F30" i="58"/>
  <c r="K30" i="58" s="1"/>
  <c r="Q30" i="58" s="1"/>
  <c r="F30" i="85"/>
  <c r="K30" i="85" s="1"/>
  <c r="Q30" i="85" s="1"/>
  <c r="F30" i="41"/>
  <c r="K30" i="41" s="1"/>
  <c r="Q30" i="41" s="1"/>
  <c r="V30" i="41" s="1"/>
  <c r="F30" i="46"/>
  <c r="K30" i="46" s="1"/>
  <c r="Q30" i="46" s="1"/>
  <c r="F30" i="72"/>
  <c r="K30" i="72" s="1"/>
  <c r="Q30" i="72" s="1"/>
  <c r="F30" i="45"/>
  <c r="K30" i="45" s="1"/>
  <c r="Q30" i="45" s="1"/>
  <c r="AB32" i="72"/>
  <c r="AG32" i="72"/>
  <c r="AL32" i="72"/>
  <c r="D9" i="72"/>
  <c r="I9" i="72" s="1"/>
  <c r="O9" i="72" s="1"/>
  <c r="D9" i="45"/>
  <c r="I9" i="45" s="1"/>
  <c r="O9" i="45" s="1"/>
  <c r="D9" i="44"/>
  <c r="I9" i="44" s="1"/>
  <c r="O9" i="44" s="1"/>
  <c r="D9" i="85"/>
  <c r="I9" i="85" s="1"/>
  <c r="O9" i="85" s="1"/>
  <c r="D9" i="37"/>
  <c r="I9" i="37" s="1"/>
  <c r="O9" i="37" s="1"/>
  <c r="D9" i="41"/>
  <c r="I9" i="41" s="1"/>
  <c r="O9" i="41" s="1"/>
  <c r="D9" i="46"/>
  <c r="I9" i="46" s="1"/>
  <c r="O9" i="46" s="1"/>
  <c r="D9" i="78"/>
  <c r="I9" i="78" s="1"/>
  <c r="O9" i="78" s="1"/>
  <c r="D9" i="58"/>
  <c r="I9" i="58" s="1"/>
  <c r="O9" i="58" s="1"/>
  <c r="H16" i="41"/>
  <c r="M16" i="41" s="1"/>
  <c r="S16" i="41" s="1"/>
  <c r="H16" i="45"/>
  <c r="M16" i="45" s="1"/>
  <c r="S16" i="45" s="1"/>
  <c r="H16" i="37"/>
  <c r="M16" i="37" s="1"/>
  <c r="S16" i="37" s="1"/>
  <c r="H16" i="44"/>
  <c r="M16" i="44" s="1"/>
  <c r="S16" i="44" s="1"/>
  <c r="H16" i="78"/>
  <c r="M16" i="78" s="1"/>
  <c r="S16" i="78" s="1"/>
  <c r="H16" i="85"/>
  <c r="M16" i="85" s="1"/>
  <c r="S16" i="85" s="1"/>
  <c r="H16" i="72"/>
  <c r="M16" i="72" s="1"/>
  <c r="S16" i="72" s="1"/>
  <c r="H16" i="46"/>
  <c r="M16" i="46" s="1"/>
  <c r="S16" i="46" s="1"/>
  <c r="H16" i="58"/>
  <c r="M16" i="58" s="1"/>
  <c r="S16" i="58" s="1"/>
  <c r="D31" i="72"/>
  <c r="I31" i="72" s="1"/>
  <c r="O31" i="72" s="1"/>
  <c r="T31" i="72" s="1"/>
  <c r="D31" i="85"/>
  <c r="I31" i="85" s="1"/>
  <c r="O31" i="85" s="1"/>
  <c r="T31" i="85" s="1"/>
  <c r="D31" i="41"/>
  <c r="I31" i="41" s="1"/>
  <c r="O31" i="41" s="1"/>
  <c r="T31" i="41" s="1"/>
  <c r="D31" i="45"/>
  <c r="I31" i="45" s="1"/>
  <c r="O31" i="45" s="1"/>
  <c r="T31" i="45" s="1"/>
  <c r="D31" i="37"/>
  <c r="I31" i="37" s="1"/>
  <c r="O31" i="37" s="1"/>
  <c r="T31" i="37" s="1"/>
  <c r="D31" i="44"/>
  <c r="I31" i="44" s="1"/>
  <c r="O31" i="44" s="1"/>
  <c r="T31" i="44" s="1"/>
  <c r="D31" i="78"/>
  <c r="I31" i="78" s="1"/>
  <c r="O31" i="78" s="1"/>
  <c r="T31" i="78" s="1"/>
  <c r="D31" i="58"/>
  <c r="I31" i="58" s="1"/>
  <c r="O31" i="58" s="1"/>
  <c r="T31" i="58" s="1"/>
  <c r="D31" i="46"/>
  <c r="I31" i="46" s="1"/>
  <c r="O31" i="46" s="1"/>
  <c r="T31" i="46" s="1"/>
  <c r="T27" i="45"/>
  <c r="U27" i="45"/>
  <c r="T27" i="58"/>
  <c r="U27" i="58"/>
  <c r="X27" i="78"/>
  <c r="E7" i="72"/>
  <c r="J7" i="72" s="1"/>
  <c r="P7" i="72" s="1"/>
  <c r="E7" i="46"/>
  <c r="J7" i="46" s="1"/>
  <c r="P7" i="46" s="1"/>
  <c r="E7" i="45"/>
  <c r="J7" i="45" s="1"/>
  <c r="P7" i="45" s="1"/>
  <c r="E7" i="44"/>
  <c r="J7" i="44" s="1"/>
  <c r="P7" i="44" s="1"/>
  <c r="E7" i="41"/>
  <c r="J7" i="41" s="1"/>
  <c r="P7" i="41" s="1"/>
  <c r="E7" i="37"/>
  <c r="J7" i="37" s="1"/>
  <c r="P7" i="37" s="1"/>
  <c r="E7" i="58"/>
  <c r="J7" i="58" s="1"/>
  <c r="P7" i="58" s="1"/>
  <c r="E7" i="85"/>
  <c r="J7" i="85" s="1"/>
  <c r="P7" i="85" s="1"/>
  <c r="E7" i="78"/>
  <c r="J7" i="78" s="1"/>
  <c r="P7" i="78" s="1"/>
  <c r="E13" i="41"/>
  <c r="J13" i="41" s="1"/>
  <c r="P13" i="41" s="1"/>
  <c r="E13" i="45"/>
  <c r="J13" i="45" s="1"/>
  <c r="P13" i="45" s="1"/>
  <c r="E13" i="37"/>
  <c r="J13" i="37" s="1"/>
  <c r="P13" i="37" s="1"/>
  <c r="E13" i="44"/>
  <c r="J13" i="44" s="1"/>
  <c r="P13" i="44" s="1"/>
  <c r="E13" i="78"/>
  <c r="J13" i="78" s="1"/>
  <c r="P13" i="78" s="1"/>
  <c r="E13" i="72"/>
  <c r="J13" i="72" s="1"/>
  <c r="P13" i="72" s="1"/>
  <c r="E13" i="85"/>
  <c r="J13" i="85" s="1"/>
  <c r="P13" i="85" s="1"/>
  <c r="E13" i="58"/>
  <c r="J13" i="58" s="1"/>
  <c r="P13" i="58" s="1"/>
  <c r="E13" i="46"/>
  <c r="J13" i="46" s="1"/>
  <c r="P13" i="46" s="1"/>
  <c r="H7" i="58"/>
  <c r="M7" i="58" s="1"/>
  <c r="S7" i="58" s="1"/>
  <c r="H7" i="85"/>
  <c r="M7" i="85" s="1"/>
  <c r="S7" i="85" s="1"/>
  <c r="H7" i="41"/>
  <c r="M7" i="41" s="1"/>
  <c r="S7" i="41" s="1"/>
  <c r="H7" i="46"/>
  <c r="M7" i="46" s="1"/>
  <c r="S7" i="46" s="1"/>
  <c r="H7" i="72"/>
  <c r="M7" i="72" s="1"/>
  <c r="S7" i="72" s="1"/>
  <c r="H7" i="37"/>
  <c r="M7" i="37" s="1"/>
  <c r="S7" i="37" s="1"/>
  <c r="H7" i="44"/>
  <c r="M7" i="44" s="1"/>
  <c r="S7" i="44" s="1"/>
  <c r="H7" i="78"/>
  <c r="M7" i="78" s="1"/>
  <c r="S7" i="78" s="1"/>
  <c r="H7" i="45"/>
  <c r="M7" i="45" s="1"/>
  <c r="S7" i="45" s="1"/>
  <c r="G31" i="37"/>
  <c r="L31" i="37" s="1"/>
  <c r="R31" i="37" s="1"/>
  <c r="G31" i="44"/>
  <c r="L31" i="44" s="1"/>
  <c r="R31" i="44" s="1"/>
  <c r="G31" i="78"/>
  <c r="L31" i="78" s="1"/>
  <c r="R31" i="78" s="1"/>
  <c r="G31" i="85"/>
  <c r="L31" i="85" s="1"/>
  <c r="R31" i="85" s="1"/>
  <c r="G31" i="72"/>
  <c r="L31" i="72" s="1"/>
  <c r="R31" i="72" s="1"/>
  <c r="G31" i="46"/>
  <c r="L31" i="46" s="1"/>
  <c r="R31" i="46" s="1"/>
  <c r="G31" i="41"/>
  <c r="L31" i="41" s="1"/>
  <c r="R31" i="41" s="1"/>
  <c r="G31" i="45"/>
  <c r="L31" i="45" s="1"/>
  <c r="R31" i="45" s="1"/>
  <c r="G31" i="58"/>
  <c r="L31" i="58" s="1"/>
  <c r="R31" i="58" s="1"/>
  <c r="G13" i="46"/>
  <c r="L13" i="46" s="1"/>
  <c r="R13" i="46" s="1"/>
  <c r="G13" i="58"/>
  <c r="L13" i="58" s="1"/>
  <c r="R13" i="58" s="1"/>
  <c r="G13" i="85"/>
  <c r="L13" i="85" s="1"/>
  <c r="R13" i="85" s="1"/>
  <c r="G13" i="37"/>
  <c r="L13" i="37" s="1"/>
  <c r="R13" i="37" s="1"/>
  <c r="G13" i="45"/>
  <c r="L13" i="45" s="1"/>
  <c r="R13" i="45" s="1"/>
  <c r="G13" i="72"/>
  <c r="L13" i="72" s="1"/>
  <c r="R13" i="72" s="1"/>
  <c r="G13" i="44"/>
  <c r="L13" i="44" s="1"/>
  <c r="R13" i="44" s="1"/>
  <c r="G13" i="41"/>
  <c r="L13" i="41" s="1"/>
  <c r="R13" i="41" s="1"/>
  <c r="G13" i="78"/>
  <c r="L13" i="78" s="1"/>
  <c r="R13" i="78" s="1"/>
  <c r="T5" i="45"/>
  <c r="H30" i="72"/>
  <c r="M30" i="72" s="1"/>
  <c r="S30" i="72" s="1"/>
  <c r="H30" i="78"/>
  <c r="M30" i="78" s="1"/>
  <c r="S30" i="78" s="1"/>
  <c r="H30" i="45"/>
  <c r="M30" i="45" s="1"/>
  <c r="S30" i="45" s="1"/>
  <c r="H30" i="37"/>
  <c r="M30" i="37" s="1"/>
  <c r="S30" i="37" s="1"/>
  <c r="H30" i="58"/>
  <c r="M30" i="58" s="1"/>
  <c r="S30" i="58" s="1"/>
  <c r="H30" i="85"/>
  <c r="M30" i="85" s="1"/>
  <c r="S30" i="85" s="1"/>
  <c r="H30" i="46"/>
  <c r="M30" i="46" s="1"/>
  <c r="S30" i="46" s="1"/>
  <c r="H30" i="41"/>
  <c r="M30" i="41" s="1"/>
  <c r="S30" i="41" s="1"/>
  <c r="H30" i="44"/>
  <c r="M30" i="44" s="1"/>
  <c r="S30" i="44" s="1"/>
  <c r="F14" i="41"/>
  <c r="K14" i="41" s="1"/>
  <c r="Q14" i="41" s="1"/>
  <c r="F14" i="45"/>
  <c r="K14" i="45" s="1"/>
  <c r="Q14" i="45" s="1"/>
  <c r="F14" i="37"/>
  <c r="K14" i="37" s="1"/>
  <c r="Q14" i="37" s="1"/>
  <c r="F14" i="44"/>
  <c r="K14" i="44" s="1"/>
  <c r="Q14" i="44" s="1"/>
  <c r="F14" i="78"/>
  <c r="K14" i="78" s="1"/>
  <c r="Q14" i="78" s="1"/>
  <c r="F14" i="85"/>
  <c r="K14" i="85" s="1"/>
  <c r="Q14" i="85" s="1"/>
  <c r="F14" i="72"/>
  <c r="K14" i="72" s="1"/>
  <c r="Q14" i="72" s="1"/>
  <c r="F14" i="46"/>
  <c r="K14" i="46" s="1"/>
  <c r="Q14" i="46" s="1"/>
  <c r="F14" i="58"/>
  <c r="K14" i="58" s="1"/>
  <c r="Q14" i="58" s="1"/>
  <c r="T27" i="44"/>
  <c r="U27" i="44"/>
  <c r="T27" i="46"/>
  <c r="U27" i="46"/>
  <c r="T27" i="37"/>
  <c r="U27" i="37"/>
  <c r="AC19" i="51"/>
  <c r="AM19" i="51" s="1"/>
  <c r="AR19" i="51" s="1"/>
  <c r="Z20" i="51"/>
  <c r="AJ20" i="51" s="1"/>
  <c r="AO20" i="51" s="1"/>
  <c r="AA19" i="51"/>
  <c r="AK19" i="51" s="1"/>
  <c r="AP19" i="51" s="1"/>
  <c r="X27" i="85"/>
  <c r="V7" i="44" l="1"/>
  <c r="V30" i="58"/>
  <c r="V7" i="37"/>
  <c r="X14" i="45"/>
  <c r="AK33" i="46"/>
  <c r="AM33" i="46" s="1"/>
  <c r="AP34" i="85"/>
  <c r="AG33" i="58"/>
  <c r="AJ33" i="58" s="1"/>
  <c r="AI34" i="41"/>
  <c r="F17" i="44"/>
  <c r="K17" i="44" s="1"/>
  <c r="Q17" i="44" s="1"/>
  <c r="W13" i="78"/>
  <c r="W13" i="45"/>
  <c r="V24" i="41"/>
  <c r="X16" i="45"/>
  <c r="X24" i="41"/>
  <c r="X5" i="44"/>
  <c r="X18" i="72"/>
  <c r="AF33" i="45"/>
  <c r="AH33" i="45" s="1"/>
  <c r="X24" i="78"/>
  <c r="X24" i="37"/>
  <c r="X24" i="44"/>
  <c r="AH34" i="44"/>
  <c r="F17" i="46"/>
  <c r="K17" i="46" s="1"/>
  <c r="Q17" i="46" s="1"/>
  <c r="V24" i="44"/>
  <c r="AG34" i="46"/>
  <c r="AL33" i="45"/>
  <c r="AM33" i="45"/>
  <c r="AO33" i="45"/>
  <c r="AN33" i="45"/>
  <c r="X24" i="72"/>
  <c r="F6" i="58"/>
  <c r="K6" i="58" s="1"/>
  <c r="Q6" i="58" s="1"/>
  <c r="V24" i="46"/>
  <c r="V24" i="85"/>
  <c r="AA33" i="45"/>
  <c r="AE33" i="45" s="1"/>
  <c r="X24" i="85"/>
  <c r="H17" i="72"/>
  <c r="M17" i="72" s="1"/>
  <c r="S17" i="72" s="1"/>
  <c r="X5" i="85"/>
  <c r="X18" i="85"/>
  <c r="X24" i="58"/>
  <c r="V24" i="45"/>
  <c r="V24" i="58"/>
  <c r="X24" i="45"/>
  <c r="T24" i="58"/>
  <c r="U24" i="58"/>
  <c r="T24" i="45"/>
  <c r="U24" i="45"/>
  <c r="W24" i="45"/>
  <c r="X24" i="46"/>
  <c r="T24" i="37"/>
  <c r="U24" i="37"/>
  <c r="W24" i="37"/>
  <c r="T24" i="44"/>
  <c r="U24" i="44"/>
  <c r="T24" i="78"/>
  <c r="W24" i="78"/>
  <c r="U24" i="78"/>
  <c r="T24" i="41"/>
  <c r="U24" i="41"/>
  <c r="T24" i="85"/>
  <c r="U24" i="85"/>
  <c r="T24" i="72"/>
  <c r="U24" i="72"/>
  <c r="W24" i="72"/>
  <c r="T24" i="46"/>
  <c r="U24" i="46"/>
  <c r="W24" i="58"/>
  <c r="W24" i="44"/>
  <c r="AJ33" i="85"/>
  <c r="AK33" i="85"/>
  <c r="AH33" i="85"/>
  <c r="AF33" i="46"/>
  <c r="AJ33" i="46" s="1"/>
  <c r="AA33" i="46"/>
  <c r="AE33" i="46" s="1"/>
  <c r="AB33" i="58"/>
  <c r="AL33" i="72"/>
  <c r="AB33" i="72"/>
  <c r="AG33" i="72"/>
  <c r="AC34" i="58"/>
  <c r="X15" i="44"/>
  <c r="X15" i="46"/>
  <c r="V5" i="46"/>
  <c r="AL33" i="58"/>
  <c r="AM33" i="58" s="1"/>
  <c r="AB33" i="44"/>
  <c r="AG33" i="44"/>
  <c r="AL33" i="44"/>
  <c r="AB33" i="85"/>
  <c r="AL33" i="85"/>
  <c r="AA33" i="37"/>
  <c r="AK33" i="37"/>
  <c r="AF33" i="37"/>
  <c r="X18" i="41"/>
  <c r="X5" i="46"/>
  <c r="AI33" i="85"/>
  <c r="AF33" i="41"/>
  <c r="AA33" i="41"/>
  <c r="AK33" i="41"/>
  <c r="AO34" i="37"/>
  <c r="AL34" i="37"/>
  <c r="V5" i="37"/>
  <c r="W5" i="46"/>
  <c r="V18" i="41"/>
  <c r="W5" i="72"/>
  <c r="AN34" i="37"/>
  <c r="X5" i="37"/>
  <c r="X18" i="37"/>
  <c r="AI34" i="46"/>
  <c r="AI34" i="44"/>
  <c r="X18" i="78"/>
  <c r="X18" i="58"/>
  <c r="AH34" i="46"/>
  <c r="V5" i="44"/>
  <c r="U5" i="41"/>
  <c r="AJ34" i="44"/>
  <c r="X5" i="41"/>
  <c r="V5" i="41"/>
  <c r="AH34" i="37"/>
  <c r="AF32" i="46"/>
  <c r="AJ32" i="46" s="1"/>
  <c r="AD34" i="85"/>
  <c r="X15" i="37"/>
  <c r="V18" i="72"/>
  <c r="W5" i="41"/>
  <c r="AG32" i="85"/>
  <c r="AH32" i="85" s="1"/>
  <c r="AK32" i="37"/>
  <c r="AL32" i="37" s="1"/>
  <c r="AK32" i="46"/>
  <c r="AL32" i="46" s="1"/>
  <c r="AB32" i="44"/>
  <c r="AF32" i="44" s="1"/>
  <c r="V14" i="78"/>
  <c r="V14" i="41"/>
  <c r="U13" i="78"/>
  <c r="X15" i="72"/>
  <c r="W5" i="78"/>
  <c r="H17" i="44"/>
  <c r="M17" i="44" s="1"/>
  <c r="S17" i="44" s="1"/>
  <c r="W13" i="85"/>
  <c r="U13" i="45"/>
  <c r="X16" i="46"/>
  <c r="W16" i="46"/>
  <c r="U13" i="85"/>
  <c r="X16" i="58"/>
  <c r="X15" i="58"/>
  <c r="X5" i="78"/>
  <c r="V5" i="78"/>
  <c r="E10" i="58"/>
  <c r="J10" i="58" s="1"/>
  <c r="P10" i="58" s="1"/>
  <c r="AB32" i="58"/>
  <c r="AE32" i="58" s="1"/>
  <c r="AB32" i="85"/>
  <c r="AC32" i="85" s="1"/>
  <c r="AL32" i="44"/>
  <c r="AP32" i="44" s="1"/>
  <c r="AH34" i="41"/>
  <c r="AL32" i="85"/>
  <c r="AP32" i="85" s="1"/>
  <c r="V5" i="58"/>
  <c r="F6" i="41"/>
  <c r="K6" i="41" s="1"/>
  <c r="Q6" i="41" s="1"/>
  <c r="AG32" i="44"/>
  <c r="AJ32" i="44" s="1"/>
  <c r="AJ34" i="41"/>
  <c r="X5" i="58"/>
  <c r="X18" i="45"/>
  <c r="F6" i="78"/>
  <c r="K6" i="78" s="1"/>
  <c r="Q6" i="78" s="1"/>
  <c r="U5" i="78"/>
  <c r="AK32" i="41"/>
  <c r="AL32" i="41" s="1"/>
  <c r="AA32" i="46"/>
  <c r="AD32" i="46" s="1"/>
  <c r="AG32" i="58"/>
  <c r="AH32" i="58" s="1"/>
  <c r="T35" i="46"/>
  <c r="W35" i="46"/>
  <c r="U35" i="46"/>
  <c r="V35" i="46"/>
  <c r="X35" i="46"/>
  <c r="T35" i="45"/>
  <c r="U35" i="45"/>
  <c r="X35" i="45"/>
  <c r="V35" i="45"/>
  <c r="W35" i="45"/>
  <c r="T35" i="37"/>
  <c r="V35" i="37"/>
  <c r="X35" i="37"/>
  <c r="W35" i="37"/>
  <c r="U35" i="37"/>
  <c r="W13" i="58"/>
  <c r="U13" i="41"/>
  <c r="AM34" i="44"/>
  <c r="X18" i="46"/>
  <c r="AL32" i="58"/>
  <c r="AM32" i="58" s="1"/>
  <c r="AF32" i="41"/>
  <c r="AI32" i="41" s="1"/>
  <c r="T35" i="72"/>
  <c r="X35" i="72"/>
  <c r="U35" i="72"/>
  <c r="W35" i="72"/>
  <c r="V35" i="72"/>
  <c r="T35" i="85"/>
  <c r="V35" i="85"/>
  <c r="X35" i="85"/>
  <c r="W35" i="85"/>
  <c r="U35" i="85"/>
  <c r="T35" i="78"/>
  <c r="V35" i="78"/>
  <c r="X35" i="78"/>
  <c r="W35" i="78"/>
  <c r="U35" i="78"/>
  <c r="X16" i="78"/>
  <c r="X15" i="85"/>
  <c r="V5" i="85"/>
  <c r="U5" i="85"/>
  <c r="T35" i="44"/>
  <c r="U35" i="44"/>
  <c r="V35" i="44"/>
  <c r="X35" i="44"/>
  <c r="W35" i="44"/>
  <c r="T35" i="58"/>
  <c r="X35" i="58"/>
  <c r="U35" i="58"/>
  <c r="V35" i="58"/>
  <c r="W35" i="58"/>
  <c r="T35" i="41"/>
  <c r="V35" i="41"/>
  <c r="X35" i="41"/>
  <c r="W35" i="41"/>
  <c r="U35" i="41"/>
  <c r="V18" i="46"/>
  <c r="W5" i="85"/>
  <c r="AA32" i="41"/>
  <c r="AE32" i="41" s="1"/>
  <c r="AF32" i="37"/>
  <c r="AG32" i="37" s="1"/>
  <c r="AF32" i="45"/>
  <c r="AJ32" i="45" s="1"/>
  <c r="AA32" i="37"/>
  <c r="AD32" i="37" s="1"/>
  <c r="AA32" i="45"/>
  <c r="AB32" i="45" s="1"/>
  <c r="AK32" i="45"/>
  <c r="AM32" i="45" s="1"/>
  <c r="V18" i="37"/>
  <c r="W5" i="58"/>
  <c r="V18" i="85"/>
  <c r="S18" i="47"/>
  <c r="S38" i="47" s="1"/>
  <c r="K8" i="59"/>
  <c r="H15" i="61"/>
  <c r="X7" i="47" s="1"/>
  <c r="I15" i="61"/>
  <c r="S16" i="47"/>
  <c r="S36" i="47" s="1"/>
  <c r="K6" i="59"/>
  <c r="I10" i="61"/>
  <c r="H10" i="61"/>
  <c r="W10" i="47" s="1"/>
  <c r="N21" i="59"/>
  <c r="S32" i="47" s="1"/>
  <c r="I9" i="61"/>
  <c r="H9" i="61"/>
  <c r="W9" i="47" s="1"/>
  <c r="T6" i="47"/>
  <c r="T11" i="47" s="1"/>
  <c r="L19" i="59"/>
  <c r="K14" i="59"/>
  <c r="M19" i="59"/>
  <c r="T16" i="47"/>
  <c r="H17" i="61"/>
  <c r="X9" i="47" s="1"/>
  <c r="I17" i="61"/>
  <c r="S17" i="47"/>
  <c r="S37" i="47" s="1"/>
  <c r="K7" i="59"/>
  <c r="I7" i="61"/>
  <c r="H7" i="61"/>
  <c r="W7" i="47" s="1"/>
  <c r="H11" i="60"/>
  <c r="V3" i="47" s="1"/>
  <c r="I11" i="60"/>
  <c r="V13" i="47" s="1"/>
  <c r="H6" i="61"/>
  <c r="I6" i="61"/>
  <c r="T18" i="47"/>
  <c r="T38" i="47" s="1"/>
  <c r="K16" i="59"/>
  <c r="H14" i="61"/>
  <c r="I14" i="61"/>
  <c r="S20" i="47"/>
  <c r="S40" i="47" s="1"/>
  <c r="K10" i="59"/>
  <c r="K17" i="59"/>
  <c r="T19" i="47"/>
  <c r="T39" i="47" s="1"/>
  <c r="K18" i="59"/>
  <c r="T20" i="47"/>
  <c r="T40" i="47" s="1"/>
  <c r="L11" i="59"/>
  <c r="S5" i="47"/>
  <c r="S11" i="47" s="1"/>
  <c r="H8" i="61"/>
  <c r="W8" i="47" s="1"/>
  <c r="I8" i="61"/>
  <c r="K9" i="59"/>
  <c r="S19" i="47"/>
  <c r="S39" i="47" s="1"/>
  <c r="K15" i="59"/>
  <c r="T17" i="47"/>
  <c r="T37" i="47" s="1"/>
  <c r="I16" i="61"/>
  <c r="H16" i="61"/>
  <c r="X8" i="47" s="1"/>
  <c r="I18" i="61"/>
  <c r="H18" i="61"/>
  <c r="X10" i="47" s="1"/>
  <c r="I13" i="62"/>
  <c r="H13" i="62"/>
  <c r="Z5" i="47" s="1"/>
  <c r="M11" i="59"/>
  <c r="O11" i="59" s="1"/>
  <c r="K5" i="59"/>
  <c r="S15" i="47"/>
  <c r="E10" i="44"/>
  <c r="J10" i="44" s="1"/>
  <c r="P10" i="44" s="1"/>
  <c r="F6" i="44"/>
  <c r="K6" i="44" s="1"/>
  <c r="Q6" i="44" s="1"/>
  <c r="F6" i="45"/>
  <c r="K6" i="45" s="1"/>
  <c r="Q6" i="45" s="1"/>
  <c r="U5" i="44"/>
  <c r="W5" i="37"/>
  <c r="W16" i="45"/>
  <c r="F6" i="46"/>
  <c r="K6" i="46" s="1"/>
  <c r="Q6" i="46" s="1"/>
  <c r="F6" i="85"/>
  <c r="K6" i="85" s="1"/>
  <c r="Q6" i="85" s="1"/>
  <c r="U5" i="37"/>
  <c r="F6" i="37"/>
  <c r="K6" i="37" s="1"/>
  <c r="Q6" i="37" s="1"/>
  <c r="V18" i="58"/>
  <c r="V18" i="78"/>
  <c r="W5" i="44"/>
  <c r="W26" i="44"/>
  <c r="W26" i="46"/>
  <c r="AF25" i="37"/>
  <c r="AJ25" i="37" s="1"/>
  <c r="AN34" i="46"/>
  <c r="H17" i="46"/>
  <c r="M17" i="46" s="1"/>
  <c r="S17" i="46" s="1"/>
  <c r="H17" i="78"/>
  <c r="M17" i="78" s="1"/>
  <c r="S17" i="78" s="1"/>
  <c r="H17" i="41"/>
  <c r="M17" i="41" s="1"/>
  <c r="S17" i="41" s="1"/>
  <c r="X18" i="44"/>
  <c r="F17" i="78"/>
  <c r="K17" i="78" s="1"/>
  <c r="Q17" i="78" s="1"/>
  <c r="F17" i="41"/>
  <c r="K17" i="41" s="1"/>
  <c r="Q17" i="41" s="1"/>
  <c r="F17" i="58"/>
  <c r="K17" i="58" s="1"/>
  <c r="Q17" i="58" s="1"/>
  <c r="V18" i="45"/>
  <c r="AO34" i="41"/>
  <c r="H17" i="58"/>
  <c r="M17" i="58" s="1"/>
  <c r="S17" i="58" s="1"/>
  <c r="H17" i="45"/>
  <c r="M17" i="45" s="1"/>
  <c r="S17" i="45" s="1"/>
  <c r="W13" i="46"/>
  <c r="X5" i="72"/>
  <c r="V5" i="72"/>
  <c r="F17" i="45"/>
  <c r="K17" i="45" s="1"/>
  <c r="Q17" i="45" s="1"/>
  <c r="F17" i="85"/>
  <c r="K17" i="85" s="1"/>
  <c r="Q17" i="85" s="1"/>
  <c r="W18" i="41"/>
  <c r="AB34" i="45"/>
  <c r="H17" i="85"/>
  <c r="M17" i="85" s="1"/>
  <c r="S17" i="85" s="1"/>
  <c r="F17" i="37"/>
  <c r="K17" i="37" s="1"/>
  <c r="Q17" i="37" s="1"/>
  <c r="U5" i="72"/>
  <c r="V18" i="44"/>
  <c r="W26" i="58"/>
  <c r="W18" i="72"/>
  <c r="W18" i="78"/>
  <c r="W18" i="45"/>
  <c r="W18" i="85"/>
  <c r="T18" i="85"/>
  <c r="U5" i="58"/>
  <c r="W18" i="44"/>
  <c r="W18" i="46"/>
  <c r="T18" i="37"/>
  <c r="W18" i="37"/>
  <c r="W18" i="58"/>
  <c r="T18" i="58"/>
  <c r="W16" i="78"/>
  <c r="X7" i="37"/>
  <c r="W16" i="58"/>
  <c r="AF25" i="45"/>
  <c r="AJ25" i="45" s="1"/>
  <c r="AA23" i="45"/>
  <c r="AE23" i="45" s="1"/>
  <c r="AK25" i="41"/>
  <c r="AL25" i="41" s="1"/>
  <c r="AF34" i="58"/>
  <c r="AM34" i="58"/>
  <c r="W16" i="85"/>
  <c r="AP34" i="58"/>
  <c r="AE34" i="58"/>
  <c r="V14" i="58"/>
  <c r="AO34" i="58"/>
  <c r="W26" i="45"/>
  <c r="X14" i="58"/>
  <c r="W14" i="58"/>
  <c r="AL25" i="72"/>
  <c r="AP25" i="72" s="1"/>
  <c r="AF25" i="46"/>
  <c r="AJ25" i="46" s="1"/>
  <c r="AO34" i="85"/>
  <c r="AM34" i="85"/>
  <c r="V14" i="45"/>
  <c r="W26" i="85"/>
  <c r="AL25" i="44"/>
  <c r="AN25" i="44" s="1"/>
  <c r="AB22" i="44"/>
  <c r="AC22" i="44" s="1"/>
  <c r="AE34" i="85"/>
  <c r="AI34" i="37"/>
  <c r="E17" i="72"/>
  <c r="J17" i="72" s="1"/>
  <c r="P17" i="72" s="1"/>
  <c r="AL25" i="85"/>
  <c r="AM25" i="85" s="1"/>
  <c r="AK25" i="45"/>
  <c r="AL25" i="45" s="1"/>
  <c r="AB23" i="72"/>
  <c r="AD23" i="72" s="1"/>
  <c r="AL22" i="44"/>
  <c r="AO22" i="44" s="1"/>
  <c r="AF22" i="46"/>
  <c r="AJ22" i="46" s="1"/>
  <c r="AB23" i="58"/>
  <c r="AC23" i="58" s="1"/>
  <c r="AK25" i="37"/>
  <c r="AL25" i="37" s="1"/>
  <c r="W16" i="41"/>
  <c r="AF34" i="85"/>
  <c r="AJ34" i="37"/>
  <c r="W26" i="78"/>
  <c r="W26" i="41"/>
  <c r="E17" i="45"/>
  <c r="J17" i="45" s="1"/>
  <c r="P17" i="45" s="1"/>
  <c r="AD34" i="45"/>
  <c r="V14" i="37"/>
  <c r="U13" i="44"/>
  <c r="AA22" i="46"/>
  <c r="AC22" i="46" s="1"/>
  <c r="X16" i="44"/>
  <c r="H6" i="44"/>
  <c r="M6" i="44" s="1"/>
  <c r="S6" i="44" s="1"/>
  <c r="AA25" i="37"/>
  <c r="AE25" i="37" s="1"/>
  <c r="AC34" i="45"/>
  <c r="AL23" i="72"/>
  <c r="AM23" i="72" s="1"/>
  <c r="W13" i="44"/>
  <c r="AB25" i="72"/>
  <c r="AC25" i="72" s="1"/>
  <c r="U13" i="46"/>
  <c r="AK22" i="46"/>
  <c r="AL22" i="46" s="1"/>
  <c r="AG22" i="44"/>
  <c r="AI22" i="44" s="1"/>
  <c r="X16" i="41"/>
  <c r="H6" i="41"/>
  <c r="M6" i="41" s="1"/>
  <c r="S6" i="41" s="1"/>
  <c r="AO34" i="44"/>
  <c r="AL23" i="58"/>
  <c r="AN23" i="58" s="1"/>
  <c r="W16" i="44"/>
  <c r="AA25" i="45"/>
  <c r="AB25" i="45" s="1"/>
  <c r="AP34" i="44"/>
  <c r="AL34" i="41"/>
  <c r="AN34" i="41"/>
  <c r="E17" i="85"/>
  <c r="J17" i="85" s="1"/>
  <c r="P17" i="85" s="1"/>
  <c r="E17" i="37"/>
  <c r="J17" i="37" s="1"/>
  <c r="P17" i="37" s="1"/>
  <c r="E17" i="58"/>
  <c r="J17" i="58" s="1"/>
  <c r="P17" i="58" s="1"/>
  <c r="E17" i="44"/>
  <c r="J17" i="44" s="1"/>
  <c r="P17" i="44" s="1"/>
  <c r="X14" i="44"/>
  <c r="E17" i="46"/>
  <c r="J17" i="46" s="1"/>
  <c r="P17" i="46" s="1"/>
  <c r="E17" i="78"/>
  <c r="J17" i="78" s="1"/>
  <c r="P17" i="78" s="1"/>
  <c r="X30" i="58"/>
  <c r="W14" i="41"/>
  <c r="X14" i="41"/>
  <c r="X14" i="78"/>
  <c r="V14" i="46"/>
  <c r="W13" i="37"/>
  <c r="X7" i="44"/>
  <c r="U13" i="72"/>
  <c r="X16" i="85"/>
  <c r="Z5" i="46"/>
  <c r="Y5" i="46" s="1"/>
  <c r="AA8" i="49" s="1"/>
  <c r="AG7" i="52" s="1"/>
  <c r="H6" i="46"/>
  <c r="M6" i="46" s="1"/>
  <c r="S6" i="46" s="1"/>
  <c r="H6" i="78"/>
  <c r="M6" i="78" s="1"/>
  <c r="S6" i="78" s="1"/>
  <c r="W16" i="37"/>
  <c r="V13" i="37"/>
  <c r="V13" i="72"/>
  <c r="X14" i="46"/>
  <c r="X14" i="37"/>
  <c r="U13" i="37"/>
  <c r="X16" i="37"/>
  <c r="H6" i="72"/>
  <c r="M6" i="72" s="1"/>
  <c r="S6" i="72" s="1"/>
  <c r="H6" i="58"/>
  <c r="M6" i="58" s="1"/>
  <c r="S6" i="58" s="1"/>
  <c r="G10" i="72"/>
  <c r="L10" i="72" s="1"/>
  <c r="R10" i="72" s="1"/>
  <c r="X14" i="85"/>
  <c r="V14" i="85"/>
  <c r="Z5" i="58"/>
  <c r="W13" i="72"/>
  <c r="H6" i="45"/>
  <c r="M6" i="45" s="1"/>
  <c r="S6" i="45" s="1"/>
  <c r="H6" i="85"/>
  <c r="M6" i="85" s="1"/>
  <c r="S6" i="85" s="1"/>
  <c r="G10" i="37"/>
  <c r="L10" i="37" s="1"/>
  <c r="R10" i="37" s="1"/>
  <c r="D30" i="68"/>
  <c r="E30" i="68" s="1"/>
  <c r="Y13" i="68"/>
  <c r="D38" i="68" s="1"/>
  <c r="E38" i="68" s="1"/>
  <c r="G30" i="68"/>
  <c r="H30" i="68" s="1"/>
  <c r="Y25" i="68"/>
  <c r="G38" i="68" s="1"/>
  <c r="H38" i="68" s="1"/>
  <c r="AO34" i="46"/>
  <c r="AD34" i="72"/>
  <c r="AA23" i="46"/>
  <c r="AC23" i="46" s="1"/>
  <c r="D8" i="78"/>
  <c r="I8" i="78" s="1"/>
  <c r="O8" i="78" s="1"/>
  <c r="V8" i="78" s="1"/>
  <c r="X7" i="45"/>
  <c r="X7" i="58"/>
  <c r="U7" i="41"/>
  <c r="W14" i="78"/>
  <c r="AM34" i="45"/>
  <c r="AM34" i="46"/>
  <c r="AB34" i="37"/>
  <c r="D8" i="37"/>
  <c r="I8" i="37" s="1"/>
  <c r="O8" i="37" s="1"/>
  <c r="V8" i="37" s="1"/>
  <c r="D8" i="85"/>
  <c r="I8" i="85" s="1"/>
  <c r="O8" i="85" s="1"/>
  <c r="V8" i="85" s="1"/>
  <c r="D8" i="72"/>
  <c r="I8" i="72" s="1"/>
  <c r="O8" i="72" s="1"/>
  <c r="V8" i="72" s="1"/>
  <c r="D8" i="41"/>
  <c r="I8" i="41" s="1"/>
  <c r="O8" i="41" s="1"/>
  <c r="X8" i="41" s="1"/>
  <c r="D8" i="45"/>
  <c r="I8" i="45" s="1"/>
  <c r="O8" i="45" s="1"/>
  <c r="X8" i="45" s="1"/>
  <c r="AK23" i="46"/>
  <c r="AM23" i="46" s="1"/>
  <c r="D8" i="44"/>
  <c r="I8" i="44" s="1"/>
  <c r="O8" i="44" s="1"/>
  <c r="V8" i="44" s="1"/>
  <c r="D8" i="46"/>
  <c r="I8" i="46" s="1"/>
  <c r="O8" i="46" s="1"/>
  <c r="V8" i="46" s="1"/>
  <c r="AL23" i="44"/>
  <c r="AN23" i="44" s="1"/>
  <c r="AK22" i="37"/>
  <c r="AO22" i="37" s="1"/>
  <c r="AE34" i="44"/>
  <c r="X8" i="58"/>
  <c r="V8" i="58"/>
  <c r="AK23" i="41"/>
  <c r="AG23" i="72"/>
  <c r="AH23" i="72" s="1"/>
  <c r="AL22" i="58"/>
  <c r="AM22" i="58" s="1"/>
  <c r="AB22" i="72"/>
  <c r="AD22" i="72" s="1"/>
  <c r="AA23" i="37"/>
  <c r="AD23" i="37" s="1"/>
  <c r="AK23" i="45"/>
  <c r="AN23" i="45" s="1"/>
  <c r="AF23" i="46"/>
  <c r="AG23" i="46" s="1"/>
  <c r="X30" i="72"/>
  <c r="AC34" i="37"/>
  <c r="AA22" i="37"/>
  <c r="AB22" i="37" s="1"/>
  <c r="AF23" i="41"/>
  <c r="AL23" i="85"/>
  <c r="AN23" i="85" s="1"/>
  <c r="X7" i="85"/>
  <c r="V13" i="78"/>
  <c r="AL34" i="45"/>
  <c r="AK23" i="37"/>
  <c r="AN23" i="37" s="1"/>
  <c r="AA23" i="41"/>
  <c r="AB23" i="85"/>
  <c r="AD23" i="85" s="1"/>
  <c r="AA22" i="45"/>
  <c r="AC22" i="45" s="1"/>
  <c r="AB22" i="58"/>
  <c r="AC22" i="58" s="1"/>
  <c r="AG22" i="72"/>
  <c r="AJ22" i="72" s="1"/>
  <c r="AF23" i="45"/>
  <c r="AJ23" i="45" s="1"/>
  <c r="AG23" i="85"/>
  <c r="AI23" i="85" s="1"/>
  <c r="AO34" i="45"/>
  <c r="W8" i="58"/>
  <c r="T8" i="58"/>
  <c r="AA22" i="41"/>
  <c r="AF22" i="41"/>
  <c r="AK22" i="41"/>
  <c r="AG22" i="85"/>
  <c r="AB22" i="85"/>
  <c r="AL22" i="85"/>
  <c r="V7" i="45"/>
  <c r="V13" i="41"/>
  <c r="V13" i="58"/>
  <c r="W14" i="46"/>
  <c r="W14" i="37"/>
  <c r="AL22" i="72"/>
  <c r="AM22" i="72" s="1"/>
  <c r="AG22" i="58"/>
  <c r="AG23" i="58"/>
  <c r="AF34" i="72"/>
  <c r="AC34" i="72"/>
  <c r="AF22" i="37"/>
  <c r="AF23" i="37"/>
  <c r="AK22" i="45"/>
  <c r="AF22" i="45"/>
  <c r="AG23" i="44"/>
  <c r="AB23" i="44"/>
  <c r="X30" i="37"/>
  <c r="X7" i="46"/>
  <c r="AC34" i="44"/>
  <c r="V13" i="46"/>
  <c r="V13" i="44"/>
  <c r="AB25" i="85"/>
  <c r="AE25" i="85" s="1"/>
  <c r="X30" i="45"/>
  <c r="X7" i="41"/>
  <c r="U7" i="58"/>
  <c r="U7" i="45"/>
  <c r="V13" i="45"/>
  <c r="V13" i="85"/>
  <c r="W14" i="45"/>
  <c r="AD34" i="44"/>
  <c r="AE34" i="46"/>
  <c r="AE34" i="37"/>
  <c r="AG25" i="72"/>
  <c r="AJ25" i="72" s="1"/>
  <c r="W31" i="46"/>
  <c r="AD34" i="41"/>
  <c r="AK25" i="46"/>
  <c r="AO25" i="46" s="1"/>
  <c r="AB25" i="44"/>
  <c r="AF25" i="44" s="1"/>
  <c r="AE34" i="41"/>
  <c r="AC34" i="41"/>
  <c r="AA25" i="41"/>
  <c r="AE25" i="41" s="1"/>
  <c r="AI34" i="85"/>
  <c r="AK34" i="85"/>
  <c r="AJ34" i="85"/>
  <c r="AH34" i="85"/>
  <c r="X30" i="46"/>
  <c r="AF25" i="41"/>
  <c r="AG25" i="41" s="1"/>
  <c r="AG25" i="44"/>
  <c r="AJ25" i="44" s="1"/>
  <c r="AA25" i="46"/>
  <c r="AB25" i="46" s="1"/>
  <c r="G10" i="45"/>
  <c r="L10" i="45" s="1"/>
  <c r="R10" i="45" s="1"/>
  <c r="G10" i="44"/>
  <c r="L10" i="44" s="1"/>
  <c r="R10" i="44" s="1"/>
  <c r="V30" i="44"/>
  <c r="W26" i="37"/>
  <c r="W26" i="72"/>
  <c r="AG25" i="85"/>
  <c r="AK25" i="85" s="1"/>
  <c r="E10" i="46"/>
  <c r="J10" i="46" s="1"/>
  <c r="P10" i="46" s="1"/>
  <c r="E10" i="78"/>
  <c r="J10" i="78" s="1"/>
  <c r="P10" i="78" s="1"/>
  <c r="AC34" i="46"/>
  <c r="V14" i="72"/>
  <c r="W13" i="41"/>
  <c r="X7" i="78"/>
  <c r="X16" i="72"/>
  <c r="G10" i="78"/>
  <c r="L10" i="78" s="1"/>
  <c r="R10" i="78" s="1"/>
  <c r="G10" i="41"/>
  <c r="L10" i="41" s="1"/>
  <c r="R10" i="41" s="1"/>
  <c r="G10" i="58"/>
  <c r="L10" i="58" s="1"/>
  <c r="R10" i="58" s="1"/>
  <c r="V7" i="72"/>
  <c r="W16" i="72"/>
  <c r="E10" i="41"/>
  <c r="J10" i="41" s="1"/>
  <c r="P10" i="41" s="1"/>
  <c r="E10" i="72"/>
  <c r="J10" i="72" s="1"/>
  <c r="P10" i="72" s="1"/>
  <c r="X14" i="72"/>
  <c r="W14" i="72"/>
  <c r="AD34" i="46"/>
  <c r="V14" i="44"/>
  <c r="X30" i="44"/>
  <c r="Z5" i="45"/>
  <c r="AK5" i="45" s="1"/>
  <c r="W31" i="45"/>
  <c r="X7" i="72"/>
  <c r="U13" i="58"/>
  <c r="U7" i="78"/>
  <c r="U7" i="72"/>
  <c r="Z5" i="72"/>
  <c r="G10" i="46"/>
  <c r="L10" i="46" s="1"/>
  <c r="R10" i="46" s="1"/>
  <c r="E10" i="45"/>
  <c r="J10" i="45" s="1"/>
  <c r="P10" i="45" s="1"/>
  <c r="E10" i="85"/>
  <c r="J10" i="85" s="1"/>
  <c r="P10" i="85" s="1"/>
  <c r="W14" i="44"/>
  <c r="W31" i="85"/>
  <c r="V30" i="72"/>
  <c r="W31" i="44"/>
  <c r="V7" i="58"/>
  <c r="X30" i="85"/>
  <c r="X30" i="78"/>
  <c r="W31" i="58"/>
  <c r="U7" i="37"/>
  <c r="U7" i="46"/>
  <c r="Z5" i="44"/>
  <c r="W14" i="85"/>
  <c r="AI34" i="58"/>
  <c r="AJ34" i="58"/>
  <c r="AH34" i="58"/>
  <c r="AK34" i="58"/>
  <c r="AP34" i="72"/>
  <c r="AM34" i="72"/>
  <c r="AN34" i="72"/>
  <c r="AO34" i="72"/>
  <c r="AG34" i="45"/>
  <c r="AJ34" i="45"/>
  <c r="AH34" i="45"/>
  <c r="AI34" i="45"/>
  <c r="AJ34" i="72"/>
  <c r="AK34" i="72"/>
  <c r="AI34" i="72"/>
  <c r="AH34" i="72"/>
  <c r="AA27" i="45"/>
  <c r="AC27" i="45" s="1"/>
  <c r="U16" i="45"/>
  <c r="U16" i="58"/>
  <c r="AB27" i="44"/>
  <c r="AE27" i="44" s="1"/>
  <c r="X30" i="41"/>
  <c r="W31" i="41"/>
  <c r="W31" i="78"/>
  <c r="U7" i="85"/>
  <c r="U7" i="44"/>
  <c r="Z5" i="78"/>
  <c r="Y5" i="78" s="1"/>
  <c r="AG8" i="49" s="1"/>
  <c r="V30" i="46"/>
  <c r="V30" i="78"/>
  <c r="V7" i="41"/>
  <c r="X26" i="41"/>
  <c r="X26" i="78"/>
  <c r="U16" i="44"/>
  <c r="AF27" i="46"/>
  <c r="AH27" i="46" s="1"/>
  <c r="D17" i="72"/>
  <c r="I17" i="72" s="1"/>
  <c r="O17" i="72" s="1"/>
  <c r="D17" i="46"/>
  <c r="I17" i="46" s="1"/>
  <c r="O17" i="46" s="1"/>
  <c r="D17" i="37"/>
  <c r="I17" i="37" s="1"/>
  <c r="O17" i="37" s="1"/>
  <c r="D17" i="41"/>
  <c r="I17" i="41" s="1"/>
  <c r="O17" i="41" s="1"/>
  <c r="U17" i="41" s="1"/>
  <c r="D17" i="44"/>
  <c r="I17" i="44" s="1"/>
  <c r="O17" i="44" s="1"/>
  <c r="D17" i="58"/>
  <c r="I17" i="58" s="1"/>
  <c r="O17" i="58" s="1"/>
  <c r="D17" i="85"/>
  <c r="I17" i="85" s="1"/>
  <c r="O17" i="85" s="1"/>
  <c r="D17" i="45"/>
  <c r="I17" i="45" s="1"/>
  <c r="O17" i="45" s="1"/>
  <c r="D17" i="78"/>
  <c r="I17" i="78" s="1"/>
  <c r="O17" i="78" s="1"/>
  <c r="AL27" i="58"/>
  <c r="AM27" i="58" s="1"/>
  <c r="AB27" i="58"/>
  <c r="AG27" i="58"/>
  <c r="T9" i="46"/>
  <c r="Z9" i="46"/>
  <c r="W9" i="46"/>
  <c r="V9" i="46"/>
  <c r="T9" i="44"/>
  <c r="W9" i="44"/>
  <c r="V9" i="44"/>
  <c r="Z9" i="44"/>
  <c r="AI32" i="72"/>
  <c r="AJ32" i="72"/>
  <c r="AH32" i="72"/>
  <c r="AK32" i="72"/>
  <c r="Z18" i="78"/>
  <c r="U18" i="78"/>
  <c r="U18" i="46"/>
  <c r="Z18" i="46"/>
  <c r="U18" i="72"/>
  <c r="Z18" i="72"/>
  <c r="G17" i="72"/>
  <c r="L17" i="72" s="1"/>
  <c r="R17" i="72" s="1"/>
  <c r="G17" i="44"/>
  <c r="L17" i="44" s="1"/>
  <c r="R17" i="44" s="1"/>
  <c r="G17" i="37"/>
  <c r="L17" i="37" s="1"/>
  <c r="R17" i="37" s="1"/>
  <c r="G17" i="41"/>
  <c r="L17" i="41" s="1"/>
  <c r="R17" i="41" s="1"/>
  <c r="G17" i="46"/>
  <c r="L17" i="46" s="1"/>
  <c r="R17" i="46" s="1"/>
  <c r="G17" i="45"/>
  <c r="L17" i="45" s="1"/>
  <c r="R17" i="45" s="1"/>
  <c r="G17" i="58"/>
  <c r="L17" i="58" s="1"/>
  <c r="R17" i="58" s="1"/>
  <c r="G17" i="85"/>
  <c r="L17" i="85" s="1"/>
  <c r="R17" i="85" s="1"/>
  <c r="G17" i="78"/>
  <c r="L17" i="78" s="1"/>
  <c r="R17" i="78" s="1"/>
  <c r="AB27" i="72"/>
  <c r="AL27" i="72"/>
  <c r="AN27" i="72" s="1"/>
  <c r="AG27" i="72"/>
  <c r="Z8" i="58"/>
  <c r="U8" i="58"/>
  <c r="Z15" i="72"/>
  <c r="T15" i="72"/>
  <c r="Z15" i="44"/>
  <c r="T15" i="44"/>
  <c r="Z15" i="46"/>
  <c r="T15" i="46"/>
  <c r="Z7" i="85"/>
  <c r="T7" i="85"/>
  <c r="Z7" i="44"/>
  <c r="T7" i="44"/>
  <c r="AL27" i="85"/>
  <c r="AO27" i="85" s="1"/>
  <c r="AG27" i="85"/>
  <c r="AB27" i="85"/>
  <c r="U14" i="78"/>
  <c r="Z14" i="78"/>
  <c r="U14" i="46"/>
  <c r="Z14" i="46"/>
  <c r="Z13" i="72"/>
  <c r="T13" i="72"/>
  <c r="T13" i="37"/>
  <c r="Z13" i="37"/>
  <c r="Z16" i="37"/>
  <c r="V16" i="37"/>
  <c r="T16" i="37"/>
  <c r="Z16" i="85"/>
  <c r="V16" i="85"/>
  <c r="T16" i="85"/>
  <c r="U31" i="46"/>
  <c r="U31" i="72"/>
  <c r="X9" i="41"/>
  <c r="X9" i="37"/>
  <c r="X31" i="46"/>
  <c r="X31" i="78"/>
  <c r="W30" i="46"/>
  <c r="W30" i="45"/>
  <c r="AG25" i="58"/>
  <c r="U9" i="46"/>
  <c r="U9" i="78"/>
  <c r="U9" i="41"/>
  <c r="X26" i="46"/>
  <c r="U26" i="85"/>
  <c r="U26" i="37"/>
  <c r="V15" i="37"/>
  <c r="V15" i="85"/>
  <c r="W7" i="41"/>
  <c r="W7" i="78"/>
  <c r="V26" i="46"/>
  <c r="V26" i="78"/>
  <c r="U30" i="78"/>
  <c r="U30" i="58"/>
  <c r="X13" i="46"/>
  <c r="X13" i="78"/>
  <c r="U15" i="78"/>
  <c r="U15" i="46"/>
  <c r="V31" i="85"/>
  <c r="V31" i="46"/>
  <c r="V31" i="37"/>
  <c r="W15" i="78"/>
  <c r="W15" i="41"/>
  <c r="E6" i="37"/>
  <c r="J6" i="37" s="1"/>
  <c r="P6" i="37" s="1"/>
  <c r="E6" i="58"/>
  <c r="J6" i="58" s="1"/>
  <c r="P6" i="58" s="1"/>
  <c r="E6" i="78"/>
  <c r="J6" i="78" s="1"/>
  <c r="P6" i="78" s="1"/>
  <c r="E6" i="72"/>
  <c r="J6" i="72" s="1"/>
  <c r="P6" i="72" s="1"/>
  <c r="E6" i="44"/>
  <c r="J6" i="44" s="1"/>
  <c r="P6" i="44" s="1"/>
  <c r="E6" i="85"/>
  <c r="J6" i="85" s="1"/>
  <c r="P6" i="85" s="1"/>
  <c r="E6" i="41"/>
  <c r="J6" i="41" s="1"/>
  <c r="P6" i="41" s="1"/>
  <c r="E6" i="45"/>
  <c r="J6" i="45" s="1"/>
  <c r="P6" i="45" s="1"/>
  <c r="E6" i="46"/>
  <c r="J6" i="46" s="1"/>
  <c r="P6" i="46" s="1"/>
  <c r="AK27" i="37"/>
  <c r="AF27" i="37"/>
  <c r="AA27" i="37"/>
  <c r="AK27" i="45"/>
  <c r="AF27" i="45"/>
  <c r="T9" i="78"/>
  <c r="Z9" i="78"/>
  <c r="V9" i="78"/>
  <c r="W9" i="78"/>
  <c r="W9" i="85"/>
  <c r="T9" i="85"/>
  <c r="V9" i="85"/>
  <c r="Z9" i="85"/>
  <c r="AM32" i="72"/>
  <c r="AO32" i="72"/>
  <c r="AP32" i="72"/>
  <c r="AN32" i="72"/>
  <c r="U18" i="41"/>
  <c r="Z18" i="41"/>
  <c r="U18" i="85"/>
  <c r="Z18" i="85"/>
  <c r="AA27" i="41"/>
  <c r="AK27" i="41"/>
  <c r="AM27" i="41" s="1"/>
  <c r="AF27" i="41"/>
  <c r="T15" i="78"/>
  <c r="Z15" i="78"/>
  <c r="T15" i="41"/>
  <c r="Z15" i="41"/>
  <c r="Z7" i="72"/>
  <c r="T7" i="72"/>
  <c r="Z7" i="78"/>
  <c r="T7" i="78"/>
  <c r="Z14" i="58"/>
  <c r="U14" i="58"/>
  <c r="U14" i="41"/>
  <c r="Z14" i="41"/>
  <c r="T13" i="46"/>
  <c r="Z13" i="46"/>
  <c r="T13" i="44"/>
  <c r="Z13" i="44"/>
  <c r="T16" i="44"/>
  <c r="V16" i="44"/>
  <c r="Z16" i="44"/>
  <c r="Z16" i="41"/>
  <c r="T16" i="41"/>
  <c r="V16" i="41"/>
  <c r="W31" i="72"/>
  <c r="W31" i="37"/>
  <c r="V30" i="45"/>
  <c r="V30" i="85"/>
  <c r="V30" i="37"/>
  <c r="U31" i="37"/>
  <c r="U31" i="58"/>
  <c r="Z5" i="41"/>
  <c r="X9" i="46"/>
  <c r="X9" i="44"/>
  <c r="X9" i="72"/>
  <c r="X31" i="41"/>
  <c r="X31" i="58"/>
  <c r="W30" i="37"/>
  <c r="W30" i="58"/>
  <c r="Z5" i="37"/>
  <c r="AL25" i="58"/>
  <c r="U9" i="58"/>
  <c r="U9" i="45"/>
  <c r="X26" i="58"/>
  <c r="X26" i="45"/>
  <c r="U26" i="41"/>
  <c r="U26" i="45"/>
  <c r="V15" i="78"/>
  <c r="V15" i="72"/>
  <c r="V15" i="41"/>
  <c r="W7" i="44"/>
  <c r="W7" i="72"/>
  <c r="V26" i="37"/>
  <c r="V26" i="41"/>
  <c r="V26" i="72"/>
  <c r="U16" i="37"/>
  <c r="U16" i="46"/>
  <c r="U30" i="72"/>
  <c r="U30" i="41"/>
  <c r="X13" i="41"/>
  <c r="X13" i="58"/>
  <c r="U15" i="85"/>
  <c r="U15" i="41"/>
  <c r="U15" i="44"/>
  <c r="V31" i="41"/>
  <c r="V31" i="44"/>
  <c r="W15" i="58"/>
  <c r="W15" i="46"/>
  <c r="H10" i="58"/>
  <c r="M10" i="58" s="1"/>
  <c r="S10" i="58" s="1"/>
  <c r="H10" i="85"/>
  <c r="M10" i="85" s="1"/>
  <c r="S10" i="85" s="1"/>
  <c r="H10" i="45"/>
  <c r="M10" i="45" s="1"/>
  <c r="S10" i="45" s="1"/>
  <c r="H10" i="72"/>
  <c r="M10" i="72" s="1"/>
  <c r="S10" i="72" s="1"/>
  <c r="H10" i="46"/>
  <c r="M10" i="46" s="1"/>
  <c r="S10" i="46" s="1"/>
  <c r="H10" i="41"/>
  <c r="M10" i="41" s="1"/>
  <c r="S10" i="41" s="1"/>
  <c r="H10" i="37"/>
  <c r="M10" i="37" s="1"/>
  <c r="S10" i="37" s="1"/>
  <c r="H10" i="44"/>
  <c r="M10" i="44" s="1"/>
  <c r="S10" i="44" s="1"/>
  <c r="H10" i="78"/>
  <c r="M10" i="78" s="1"/>
  <c r="S10" i="78" s="1"/>
  <c r="G6" i="41"/>
  <c r="L6" i="41" s="1"/>
  <c r="R6" i="41" s="1"/>
  <c r="G6" i="46"/>
  <c r="L6" i="46" s="1"/>
  <c r="R6" i="46" s="1"/>
  <c r="G6" i="37"/>
  <c r="L6" i="37" s="1"/>
  <c r="R6" i="37" s="1"/>
  <c r="G6" i="44"/>
  <c r="L6" i="44" s="1"/>
  <c r="R6" i="44" s="1"/>
  <c r="G6" i="78"/>
  <c r="L6" i="78" s="1"/>
  <c r="R6" i="78" s="1"/>
  <c r="G6" i="72"/>
  <c r="L6" i="72" s="1"/>
  <c r="R6" i="72" s="1"/>
  <c r="G6" i="45"/>
  <c r="L6" i="45" s="1"/>
  <c r="R6" i="45" s="1"/>
  <c r="G6" i="58"/>
  <c r="L6" i="58" s="1"/>
  <c r="R6" i="58" s="1"/>
  <c r="G6" i="85"/>
  <c r="L6" i="85" s="1"/>
  <c r="R6" i="85" s="1"/>
  <c r="AA27" i="46"/>
  <c r="AK27" i="46"/>
  <c r="AM27" i="46" s="1"/>
  <c r="Z9" i="58"/>
  <c r="T9" i="58"/>
  <c r="W9" i="58"/>
  <c r="V9" i="58"/>
  <c r="V9" i="37"/>
  <c r="T9" i="37"/>
  <c r="Z9" i="37"/>
  <c r="W9" i="37"/>
  <c r="W9" i="72"/>
  <c r="Z9" i="72"/>
  <c r="V9" i="72"/>
  <c r="T9" i="72"/>
  <c r="Z18" i="37"/>
  <c r="U18" i="37"/>
  <c r="U18" i="45"/>
  <c r="Z18" i="45"/>
  <c r="T15" i="58"/>
  <c r="Z15" i="58"/>
  <c r="Z15" i="45"/>
  <c r="T15" i="45"/>
  <c r="Z7" i="45"/>
  <c r="T7" i="45"/>
  <c r="T7" i="46"/>
  <c r="Z7" i="46"/>
  <c r="U14" i="45"/>
  <c r="Z14" i="45"/>
  <c r="U14" i="37"/>
  <c r="Z14" i="37"/>
  <c r="U14" i="72"/>
  <c r="Z14" i="72"/>
  <c r="Z13" i="41"/>
  <c r="T13" i="41"/>
  <c r="Z13" i="58"/>
  <c r="T13" i="58"/>
  <c r="V16" i="78"/>
  <c r="T16" i="78"/>
  <c r="Z16" i="78"/>
  <c r="T16" i="72"/>
  <c r="V16" i="72"/>
  <c r="Z16" i="72"/>
  <c r="U31" i="45"/>
  <c r="U31" i="44"/>
  <c r="X9" i="78"/>
  <c r="X9" i="45"/>
  <c r="X31" i="45"/>
  <c r="X31" i="85"/>
  <c r="X31" i="37"/>
  <c r="W30" i="44"/>
  <c r="W30" i="85"/>
  <c r="X15" i="78"/>
  <c r="Z5" i="85"/>
  <c r="AB25" i="58"/>
  <c r="U9" i="85"/>
  <c r="U9" i="44"/>
  <c r="X26" i="85"/>
  <c r="X26" i="37"/>
  <c r="U26" i="46"/>
  <c r="U26" i="78"/>
  <c r="U26" i="58"/>
  <c r="V15" i="46"/>
  <c r="V15" i="44"/>
  <c r="W7" i="45"/>
  <c r="W7" i="58"/>
  <c r="W7" i="37"/>
  <c r="V26" i="85"/>
  <c r="V26" i="45"/>
  <c r="U16" i="72"/>
  <c r="U16" i="78"/>
  <c r="U30" i="44"/>
  <c r="U30" i="37"/>
  <c r="X13" i="45"/>
  <c r="X13" i="85"/>
  <c r="X13" i="37"/>
  <c r="U15" i="45"/>
  <c r="U15" i="72"/>
  <c r="V31" i="45"/>
  <c r="V31" i="78"/>
  <c r="W15" i="85"/>
  <c r="W15" i="37"/>
  <c r="F10" i="41"/>
  <c r="K10" i="41" s="1"/>
  <c r="Q10" i="41" s="1"/>
  <c r="F10" i="45"/>
  <c r="K10" i="45" s="1"/>
  <c r="Q10" i="45" s="1"/>
  <c r="F10" i="78"/>
  <c r="K10" i="78" s="1"/>
  <c r="Q10" i="78" s="1"/>
  <c r="F10" i="58"/>
  <c r="K10" i="58" s="1"/>
  <c r="Q10" i="58" s="1"/>
  <c r="F10" i="44"/>
  <c r="K10" i="44" s="1"/>
  <c r="Q10" i="44" s="1"/>
  <c r="F10" i="72"/>
  <c r="K10" i="72" s="1"/>
  <c r="Q10" i="72" s="1"/>
  <c r="F10" i="46"/>
  <c r="K10" i="46" s="1"/>
  <c r="Q10" i="46" s="1"/>
  <c r="F10" i="37"/>
  <c r="K10" i="37" s="1"/>
  <c r="Q10" i="37" s="1"/>
  <c r="F10" i="85"/>
  <c r="K10" i="85" s="1"/>
  <c r="Q10" i="85" s="1"/>
  <c r="D6" i="41"/>
  <c r="I6" i="41" s="1"/>
  <c r="O6" i="41" s="1"/>
  <c r="D6" i="46"/>
  <c r="I6" i="46" s="1"/>
  <c r="O6" i="46" s="1"/>
  <c r="D6" i="78"/>
  <c r="I6" i="78" s="1"/>
  <c r="O6" i="78" s="1"/>
  <c r="D6" i="72"/>
  <c r="I6" i="72" s="1"/>
  <c r="O6" i="72" s="1"/>
  <c r="V6" i="72" s="1"/>
  <c r="D6" i="45"/>
  <c r="I6" i="45" s="1"/>
  <c r="O6" i="45" s="1"/>
  <c r="D6" i="44"/>
  <c r="I6" i="44" s="1"/>
  <c r="O6" i="44" s="1"/>
  <c r="D6" i="58"/>
  <c r="I6" i="58" s="1"/>
  <c r="O6" i="58" s="1"/>
  <c r="V6" i="58" s="1"/>
  <c r="D6" i="85"/>
  <c r="I6" i="85" s="1"/>
  <c r="O6" i="85" s="1"/>
  <c r="D6" i="37"/>
  <c r="I6" i="37" s="1"/>
  <c r="O6" i="37" s="1"/>
  <c r="AL27" i="44"/>
  <c r="AG27" i="44"/>
  <c r="D10" i="72"/>
  <c r="I10" i="72" s="1"/>
  <c r="O10" i="72" s="1"/>
  <c r="D10" i="46"/>
  <c r="I10" i="46" s="1"/>
  <c r="O10" i="46" s="1"/>
  <c r="D10" i="41"/>
  <c r="I10" i="41" s="1"/>
  <c r="O10" i="41" s="1"/>
  <c r="D10" i="45"/>
  <c r="I10" i="45" s="1"/>
  <c r="O10" i="45" s="1"/>
  <c r="D10" i="58"/>
  <c r="I10" i="58" s="1"/>
  <c r="O10" i="58" s="1"/>
  <c r="D10" i="85"/>
  <c r="I10" i="85" s="1"/>
  <c r="O10" i="85" s="1"/>
  <c r="W10" i="85" s="1"/>
  <c r="D10" i="37"/>
  <c r="I10" i="37" s="1"/>
  <c r="O10" i="37" s="1"/>
  <c r="D10" i="44"/>
  <c r="I10" i="44" s="1"/>
  <c r="O10" i="44" s="1"/>
  <c r="D10" i="78"/>
  <c r="I10" i="78" s="1"/>
  <c r="O10" i="78" s="1"/>
  <c r="Z9" i="41"/>
  <c r="W9" i="41"/>
  <c r="T9" i="41"/>
  <c r="V9" i="41"/>
  <c r="Z9" i="45"/>
  <c r="V9" i="45"/>
  <c r="T9" i="45"/>
  <c r="W9" i="45"/>
  <c r="AF32" i="72"/>
  <c r="AD32" i="72"/>
  <c r="AE32" i="72"/>
  <c r="AC32" i="72"/>
  <c r="Z18" i="44"/>
  <c r="U18" i="44"/>
  <c r="U18" i="58"/>
  <c r="Z18" i="58"/>
  <c r="Z15" i="85"/>
  <c r="T15" i="85"/>
  <c r="Z15" i="37"/>
  <c r="T15" i="37"/>
  <c r="Z7" i="41"/>
  <c r="T7" i="41"/>
  <c r="Z7" i="58"/>
  <c r="T7" i="58"/>
  <c r="Z7" i="37"/>
  <c r="T7" i="37"/>
  <c r="Z14" i="44"/>
  <c r="U14" i="44"/>
  <c r="U14" i="85"/>
  <c r="Z14" i="85"/>
  <c r="Z13" i="78"/>
  <c r="T13" i="78"/>
  <c r="T13" i="85"/>
  <c r="Z13" i="85"/>
  <c r="T13" i="45"/>
  <c r="Z13" i="45"/>
  <c r="Z16" i="45"/>
  <c r="V16" i="45"/>
  <c r="T16" i="45"/>
  <c r="T16" i="46"/>
  <c r="V16" i="46"/>
  <c r="Z16" i="46"/>
  <c r="Z16" i="58"/>
  <c r="T16" i="58"/>
  <c r="V16" i="58"/>
  <c r="U31" i="85"/>
  <c r="U31" i="41"/>
  <c r="U31" i="78"/>
  <c r="X9" i="85"/>
  <c r="X9" i="58"/>
  <c r="X31" i="72"/>
  <c r="X31" i="44"/>
  <c r="W30" i="78"/>
  <c r="W30" i="72"/>
  <c r="W30" i="41"/>
  <c r="X15" i="41"/>
  <c r="U9" i="72"/>
  <c r="U9" i="37"/>
  <c r="X26" i="72"/>
  <c r="X26" i="44"/>
  <c r="U26" i="72"/>
  <c r="U26" i="44"/>
  <c r="V15" i="45"/>
  <c r="V15" i="58"/>
  <c r="W7" i="85"/>
  <c r="W7" i="46"/>
  <c r="V26" i="58"/>
  <c r="V26" i="44"/>
  <c r="U16" i="85"/>
  <c r="U16" i="41"/>
  <c r="U30" i="46"/>
  <c r="U30" i="45"/>
  <c r="U30" i="85"/>
  <c r="X13" i="72"/>
  <c r="X13" i="44"/>
  <c r="U15" i="37"/>
  <c r="U15" i="58"/>
  <c r="V31" i="58"/>
  <c r="V31" i="72"/>
  <c r="W15" i="72"/>
  <c r="W15" i="45"/>
  <c r="W15" i="44"/>
  <c r="AJ33" i="45" l="1"/>
  <c r="AH32" i="46"/>
  <c r="AL33" i="46"/>
  <c r="AI33" i="58"/>
  <c r="AO22" i="46"/>
  <c r="AD33" i="45"/>
  <c r="AH23" i="46"/>
  <c r="AC33" i="45"/>
  <c r="AN33" i="46"/>
  <c r="AO33" i="46"/>
  <c r="AK33" i="58"/>
  <c r="AM23" i="45"/>
  <c r="AC23" i="37"/>
  <c r="AE22" i="46"/>
  <c r="AE25" i="45"/>
  <c r="X17" i="44"/>
  <c r="AO32" i="37"/>
  <c r="AD32" i="85"/>
  <c r="AE32" i="85"/>
  <c r="W10" i="72"/>
  <c r="AH25" i="37"/>
  <c r="AH33" i="58"/>
  <c r="Z8" i="78"/>
  <c r="Y8" i="78" s="1"/>
  <c r="AG11" i="49" s="1"/>
  <c r="AG33" i="45"/>
  <c r="AP23" i="72"/>
  <c r="AI33" i="45"/>
  <c r="AN23" i="72"/>
  <c r="AO32" i="85"/>
  <c r="AM32" i="85"/>
  <c r="X17" i="72"/>
  <c r="AP33" i="58"/>
  <c r="AA24" i="45"/>
  <c r="AE24" i="45" s="1"/>
  <c r="AE23" i="58"/>
  <c r="V17" i="85"/>
  <c r="AM32" i="46"/>
  <c r="AN25" i="45"/>
  <c r="AO32" i="46"/>
  <c r="AK24" i="41"/>
  <c r="AM24" i="41" s="1"/>
  <c r="AB33" i="46"/>
  <c r="AL24" i="85"/>
  <c r="AO24" i="85" s="1"/>
  <c r="AK24" i="46"/>
  <c r="AN24" i="46" s="1"/>
  <c r="Z8" i="45"/>
  <c r="Y8" i="45" s="1"/>
  <c r="W11" i="49" s="1"/>
  <c r="AC10" i="52" s="1"/>
  <c r="AN32" i="85"/>
  <c r="AB33" i="45"/>
  <c r="AA24" i="46"/>
  <c r="AC24" i="46" s="1"/>
  <c r="AB24" i="72"/>
  <c r="AF24" i="72" s="1"/>
  <c r="AF24" i="41"/>
  <c r="AI24" i="41" s="1"/>
  <c r="AO25" i="85"/>
  <c r="U8" i="78"/>
  <c r="AB22" i="46"/>
  <c r="AD32" i="44"/>
  <c r="AD22" i="46"/>
  <c r="AK25" i="44"/>
  <c r="AG25" i="45"/>
  <c r="AH22" i="46"/>
  <c r="AB24" i="44"/>
  <c r="AF24" i="44" s="1"/>
  <c r="AL24" i="58"/>
  <c r="AP24" i="58" s="1"/>
  <c r="AG24" i="85"/>
  <c r="AH24" i="85" s="1"/>
  <c r="AA24" i="41"/>
  <c r="AC24" i="41" s="1"/>
  <c r="AF24" i="46"/>
  <c r="AH24" i="46" s="1"/>
  <c r="AL24" i="44"/>
  <c r="AM24" i="44" s="1"/>
  <c r="AG24" i="72"/>
  <c r="AJ24" i="72" s="1"/>
  <c r="AA24" i="37"/>
  <c r="AE24" i="37" s="1"/>
  <c r="AK24" i="45"/>
  <c r="AL24" i="45" s="1"/>
  <c r="AB24" i="58"/>
  <c r="AF24" i="58" s="1"/>
  <c r="AG24" i="44"/>
  <c r="AH24" i="44" s="1"/>
  <c r="AF24" i="37"/>
  <c r="AI24" i="37" s="1"/>
  <c r="AB24" i="85"/>
  <c r="AE24" i="85" s="1"/>
  <c r="AF24" i="45"/>
  <c r="AJ24" i="45" s="1"/>
  <c r="AI33" i="46"/>
  <c r="AN25" i="41"/>
  <c r="AH25" i="46"/>
  <c r="AK24" i="37"/>
  <c r="AN24" i="37" s="1"/>
  <c r="AG24" i="58"/>
  <c r="AI24" i="58" s="1"/>
  <c r="AL24" i="72"/>
  <c r="AO24" i="72" s="1"/>
  <c r="AJ22" i="44"/>
  <c r="AK5" i="46"/>
  <c r="AL5" i="46" s="1"/>
  <c r="AG33" i="46"/>
  <c r="AH33" i="46"/>
  <c r="AD33" i="46"/>
  <c r="AC33" i="46"/>
  <c r="AO33" i="41"/>
  <c r="AN33" i="41"/>
  <c r="AM33" i="41"/>
  <c r="AL33" i="41"/>
  <c r="AE33" i="41"/>
  <c r="AC33" i="41"/>
  <c r="AD33" i="41"/>
  <c r="AB33" i="41"/>
  <c r="AP33" i="85"/>
  <c r="AN33" i="85"/>
  <c r="AO33" i="85"/>
  <c r="AM33" i="85"/>
  <c r="AE33" i="44"/>
  <c r="AD33" i="44"/>
  <c r="AF33" i="44"/>
  <c r="AC33" i="44"/>
  <c r="AP33" i="72"/>
  <c r="AO33" i="72"/>
  <c r="AM33" i="72"/>
  <c r="AN33" i="72"/>
  <c r="W10" i="78"/>
  <c r="AF32" i="85"/>
  <c r="AI33" i="41"/>
  <c r="AJ33" i="41"/>
  <c r="AG33" i="41"/>
  <c r="AH33" i="41"/>
  <c r="AG33" i="37"/>
  <c r="AH33" i="37"/>
  <c r="AI33" i="37"/>
  <c r="AJ33" i="37"/>
  <c r="AF33" i="85"/>
  <c r="AC33" i="85"/>
  <c r="AE33" i="85"/>
  <c r="AD33" i="85"/>
  <c r="AN33" i="58"/>
  <c r="AO33" i="58"/>
  <c r="AC33" i="58"/>
  <c r="AD33" i="58"/>
  <c r="AF33" i="58"/>
  <c r="AE33" i="58"/>
  <c r="AB33" i="37"/>
  <c r="AD33" i="37"/>
  <c r="AE33" i="37"/>
  <c r="AC33" i="37"/>
  <c r="AI33" i="44"/>
  <c r="AK33" i="44"/>
  <c r="AH33" i="44"/>
  <c r="AJ33" i="44"/>
  <c r="AE33" i="72"/>
  <c r="AC33" i="72"/>
  <c r="AF33" i="72"/>
  <c r="AD33" i="72"/>
  <c r="AM23" i="58"/>
  <c r="AL33" i="37"/>
  <c r="AN33" i="37"/>
  <c r="AM33" i="37"/>
  <c r="AN33" i="44"/>
  <c r="AM33" i="44"/>
  <c r="AO33" i="44"/>
  <c r="AP33" i="44"/>
  <c r="AH33" i="72"/>
  <c r="AJ33" i="72"/>
  <c r="AI33" i="72"/>
  <c r="AK33" i="72"/>
  <c r="AO33" i="37"/>
  <c r="AJ32" i="85"/>
  <c r="AM25" i="44"/>
  <c r="Z8" i="41"/>
  <c r="Y8" i="41" s="1"/>
  <c r="S11" i="49" s="1"/>
  <c r="Y10" i="52" s="1"/>
  <c r="AP25" i="44"/>
  <c r="AK32" i="85"/>
  <c r="AO25" i="44"/>
  <c r="AJ25" i="41"/>
  <c r="AI32" i="85"/>
  <c r="X17" i="78"/>
  <c r="AG32" i="46"/>
  <c r="AI32" i="46"/>
  <c r="AN32" i="37"/>
  <c r="AD32" i="58"/>
  <c r="AM32" i="37"/>
  <c r="AE32" i="44"/>
  <c r="AN32" i="46"/>
  <c r="AC32" i="44"/>
  <c r="AP23" i="58"/>
  <c r="AH22" i="44"/>
  <c r="Z8" i="44"/>
  <c r="Y8" i="44" s="1"/>
  <c r="Y11" i="49" s="1"/>
  <c r="AE10" i="52" s="1"/>
  <c r="AD22" i="44"/>
  <c r="AN22" i="44"/>
  <c r="AD25" i="37"/>
  <c r="AO23" i="58"/>
  <c r="AK22" i="44"/>
  <c r="AH25" i="45"/>
  <c r="AM22" i="44"/>
  <c r="AI25" i="45"/>
  <c r="AG25" i="37"/>
  <c r="AI25" i="46"/>
  <c r="V6" i="85"/>
  <c r="AI25" i="37"/>
  <c r="AG25" i="46"/>
  <c r="AF25" i="72"/>
  <c r="AO25" i="41"/>
  <c r="Z8" i="46"/>
  <c r="Y8" i="46" s="1"/>
  <c r="AA11" i="49" s="1"/>
  <c r="AG10" i="52" s="1"/>
  <c r="AC32" i="58"/>
  <c r="AM25" i="41"/>
  <c r="U8" i="41"/>
  <c r="AH25" i="41"/>
  <c r="AM25" i="45"/>
  <c r="AF32" i="58"/>
  <c r="U8" i="44"/>
  <c r="AP22" i="44"/>
  <c r="AG5" i="72"/>
  <c r="AI5" i="72" s="1"/>
  <c r="AM32" i="41"/>
  <c r="AN32" i="45"/>
  <c r="AN32" i="58"/>
  <c r="AO32" i="44"/>
  <c r="AI32" i="44"/>
  <c r="AP32" i="58"/>
  <c r="AB32" i="46"/>
  <c r="AN32" i="41"/>
  <c r="AM32" i="44"/>
  <c r="AN32" i="44"/>
  <c r="AF22" i="44"/>
  <c r="AB23" i="45"/>
  <c r="AF23" i="72"/>
  <c r="AN25" i="37"/>
  <c r="V6" i="41"/>
  <c r="AE22" i="44"/>
  <c r="AM25" i="72"/>
  <c r="AH32" i="44"/>
  <c r="AK32" i="44"/>
  <c r="AE25" i="46"/>
  <c r="AO25" i="72"/>
  <c r="AD23" i="45"/>
  <c r="AC23" i="72"/>
  <c r="V17" i="58"/>
  <c r="AG5" i="44"/>
  <c r="AI5" i="44" s="1"/>
  <c r="AC32" i="46"/>
  <c r="AO32" i="41"/>
  <c r="AB32" i="41"/>
  <c r="AG32" i="41"/>
  <c r="AE32" i="46"/>
  <c r="W8" i="78"/>
  <c r="AJ32" i="41"/>
  <c r="AH32" i="41"/>
  <c r="AO23" i="72"/>
  <c r="AJ32" i="58"/>
  <c r="AK32" i="58"/>
  <c r="AO32" i="58"/>
  <c r="AI32" i="58"/>
  <c r="AK35" i="45"/>
  <c r="AF35" i="45"/>
  <c r="AA35" i="45"/>
  <c r="AN25" i="85"/>
  <c r="AI25" i="44"/>
  <c r="U10" i="46"/>
  <c r="AD25" i="72"/>
  <c r="AI22" i="46"/>
  <c r="AK35" i="37"/>
  <c r="AL35" i="37" s="1"/>
  <c r="AA35" i="37"/>
  <c r="AF35" i="37"/>
  <c r="AP25" i="85"/>
  <c r="AH25" i="44"/>
  <c r="AE25" i="72"/>
  <c r="AG22" i="46"/>
  <c r="AC32" i="41"/>
  <c r="AK35" i="41"/>
  <c r="AM35" i="41" s="1"/>
  <c r="AA35" i="41"/>
  <c r="AF35" i="41"/>
  <c r="AG35" i="85"/>
  <c r="AB35" i="85"/>
  <c r="AL35" i="85"/>
  <c r="AN35" i="85" s="1"/>
  <c r="AF35" i="46"/>
  <c r="AK35" i="46"/>
  <c r="AO35" i="46" s="1"/>
  <c r="AA35" i="46"/>
  <c r="AL35" i="58"/>
  <c r="AN35" i="58" s="1"/>
  <c r="AB35" i="58"/>
  <c r="AG35" i="58"/>
  <c r="AL35" i="44"/>
  <c r="AM35" i="44" s="1"/>
  <c r="AB35" i="44"/>
  <c r="AG35" i="44"/>
  <c r="AB35" i="72"/>
  <c r="AL35" i="72"/>
  <c r="AO35" i="72" s="1"/>
  <c r="AG35" i="72"/>
  <c r="X17" i="85"/>
  <c r="X6" i="78"/>
  <c r="X17" i="46"/>
  <c r="AD32" i="41"/>
  <c r="AI32" i="37"/>
  <c r="AO32" i="45"/>
  <c r="AJ32" i="37"/>
  <c r="AH32" i="37"/>
  <c r="AM22" i="46"/>
  <c r="AI32" i="45"/>
  <c r="AB32" i="37"/>
  <c r="AH32" i="45"/>
  <c r="AG32" i="45"/>
  <c r="AN22" i="46"/>
  <c r="AE32" i="37"/>
  <c r="AC32" i="37"/>
  <c r="U17" i="37"/>
  <c r="AC32" i="45"/>
  <c r="AE32" i="45"/>
  <c r="AD32" i="45"/>
  <c r="U8" i="46"/>
  <c r="AD23" i="58"/>
  <c r="V17" i="41"/>
  <c r="AL32" i="45"/>
  <c r="V11" i="47"/>
  <c r="AF3" i="47"/>
  <c r="V21" i="47"/>
  <c r="AF13" i="47"/>
  <c r="S43" i="47"/>
  <c r="K13" i="62"/>
  <c r="Z15" i="47"/>
  <c r="Z35" i="47" s="1"/>
  <c r="X20" i="47"/>
  <c r="X40" i="47" s="1"/>
  <c r="K18" i="61"/>
  <c r="H8" i="62"/>
  <c r="Y8" i="47" s="1"/>
  <c r="I8" i="62"/>
  <c r="K6" i="61"/>
  <c r="M11" i="61"/>
  <c r="W16" i="47"/>
  <c r="W6" i="47"/>
  <c r="W11" i="47" s="1"/>
  <c r="L11" i="61"/>
  <c r="T36" i="47"/>
  <c r="T41" i="47" s="1"/>
  <c r="T21" i="47"/>
  <c r="I16" i="62"/>
  <c r="H16" i="62"/>
  <c r="Z8" i="47" s="1"/>
  <c r="I14" i="62"/>
  <c r="H14" i="62"/>
  <c r="I6" i="62"/>
  <c r="H6" i="62"/>
  <c r="X19" i="47"/>
  <c r="X39" i="47" s="1"/>
  <c r="K17" i="61"/>
  <c r="N21" i="61"/>
  <c r="W32" i="47" s="1"/>
  <c r="I3" i="60"/>
  <c r="H10" i="62"/>
  <c r="Y10" i="47" s="1"/>
  <c r="I10" i="62"/>
  <c r="L20" i="59"/>
  <c r="L21" i="59" s="1"/>
  <c r="S12" i="47" s="1"/>
  <c r="AB15" i="47"/>
  <c r="AB5" i="47"/>
  <c r="AB25" i="47"/>
  <c r="K16" i="61"/>
  <c r="X18" i="47"/>
  <c r="X38" i="47" s="1"/>
  <c r="K8" i="61"/>
  <c r="W18" i="47"/>
  <c r="W38" i="47" s="1"/>
  <c r="I7" i="62"/>
  <c r="H7" i="62"/>
  <c r="Y7" i="47" s="1"/>
  <c r="H17" i="62"/>
  <c r="Z9" i="47" s="1"/>
  <c r="I17" i="62"/>
  <c r="H9" i="62"/>
  <c r="Y9" i="47" s="1"/>
  <c r="I9" i="62"/>
  <c r="W19" i="47"/>
  <c r="W39" i="47" s="1"/>
  <c r="K9" i="61"/>
  <c r="W20" i="47"/>
  <c r="W40" i="47" s="1"/>
  <c r="K10" i="61"/>
  <c r="K15" i="61"/>
  <c r="X17" i="47"/>
  <c r="X37" i="47" s="1"/>
  <c r="S35" i="47"/>
  <c r="S41" i="47" s="1"/>
  <c r="S21" i="47"/>
  <c r="I18" i="62"/>
  <c r="H18" i="62"/>
  <c r="Z10" i="47" s="1"/>
  <c r="K14" i="61"/>
  <c r="X16" i="47"/>
  <c r="M19" i="61"/>
  <c r="L19" i="61"/>
  <c r="X6" i="47"/>
  <c r="X11" i="47" s="1"/>
  <c r="K7" i="61"/>
  <c r="W17" i="47"/>
  <c r="W37" i="47" s="1"/>
  <c r="O19" i="59"/>
  <c r="O20" i="59" s="1"/>
  <c r="O21" i="59" s="1"/>
  <c r="M20" i="59"/>
  <c r="M21" i="59" s="1"/>
  <c r="S22" i="47" s="1"/>
  <c r="H3" i="60"/>
  <c r="H15" i="62"/>
  <c r="Z7" i="47" s="1"/>
  <c r="I15" i="62"/>
  <c r="AF25" i="85"/>
  <c r="AC23" i="45"/>
  <c r="AE23" i="72"/>
  <c r="AO25" i="45"/>
  <c r="AM25" i="37"/>
  <c r="AF23" i="58"/>
  <c r="AO25" i="37"/>
  <c r="AB23" i="46"/>
  <c r="AL5" i="58"/>
  <c r="AP5" i="58" s="1"/>
  <c r="AN25" i="72"/>
  <c r="U17" i="45"/>
  <c r="X17" i="37"/>
  <c r="AC25" i="45"/>
  <c r="AC25" i="37"/>
  <c r="AG5" i="58"/>
  <c r="AH5" i="58" s="1"/>
  <c r="AB25" i="41"/>
  <c r="AD25" i="45"/>
  <c r="AB25" i="37"/>
  <c r="Y5" i="72"/>
  <c r="AC8" i="49" s="1"/>
  <c r="AI7" i="52" s="1"/>
  <c r="Y5" i="58"/>
  <c r="U8" i="49" s="1"/>
  <c r="AA7" i="52" s="1"/>
  <c r="AN23" i="46"/>
  <c r="U8" i="85"/>
  <c r="AB5" i="58"/>
  <c r="AC5" i="58" s="1"/>
  <c r="AA30" i="45"/>
  <c r="AB30" i="45" s="1"/>
  <c r="W10" i="41"/>
  <c r="Z8" i="85"/>
  <c r="Y8" i="85" s="1"/>
  <c r="AP22" i="72"/>
  <c r="X17" i="58"/>
  <c r="AE25" i="44"/>
  <c r="AD23" i="46"/>
  <c r="AE23" i="46"/>
  <c r="T8" i="78"/>
  <c r="W8" i="72"/>
  <c r="AF30" i="46"/>
  <c r="AI30" i="46" s="1"/>
  <c r="W10" i="58"/>
  <c r="AA5" i="46"/>
  <c r="AD5" i="46" s="1"/>
  <c r="AB5" i="72"/>
  <c r="AE5" i="72" s="1"/>
  <c r="Z8" i="37"/>
  <c r="Y8" i="37" s="1"/>
  <c r="Q11" i="49" s="1"/>
  <c r="W10" i="52" s="1"/>
  <c r="W8" i="85"/>
  <c r="U17" i="78"/>
  <c r="U17" i="44"/>
  <c r="V17" i="72"/>
  <c r="AF5" i="46"/>
  <c r="AH5" i="46" s="1"/>
  <c r="AD25" i="85"/>
  <c r="V17" i="44"/>
  <c r="U8" i="45"/>
  <c r="AN25" i="46"/>
  <c r="AI25" i="41"/>
  <c r="U8" i="37"/>
  <c r="AP23" i="44"/>
  <c r="AF22" i="72"/>
  <c r="X8" i="78"/>
  <c r="Z8" i="72"/>
  <c r="Y8" i="72" s="1"/>
  <c r="AC11" i="49" s="1"/>
  <c r="AI10" i="52" s="1"/>
  <c r="W8" i="45"/>
  <c r="U8" i="72"/>
  <c r="T8" i="46"/>
  <c r="AM27" i="85"/>
  <c r="T8" i="72"/>
  <c r="T8" i="44"/>
  <c r="W8" i="46"/>
  <c r="W8" i="41"/>
  <c r="AN22" i="72"/>
  <c r="T8" i="41"/>
  <c r="AM23" i="44"/>
  <c r="AO23" i="46"/>
  <c r="T8" i="37"/>
  <c r="T8" i="45"/>
  <c r="AD25" i="44"/>
  <c r="AO23" i="44"/>
  <c r="T8" i="85"/>
  <c r="W8" i="37"/>
  <c r="AL23" i="46"/>
  <c r="X8" i="85"/>
  <c r="AJ23" i="72"/>
  <c r="X8" i="44"/>
  <c r="X8" i="37"/>
  <c r="V8" i="41"/>
  <c r="X8" i="72"/>
  <c r="X8" i="46"/>
  <c r="V8" i="45"/>
  <c r="W8" i="44"/>
  <c r="AI23" i="46"/>
  <c r="AL22" i="37"/>
  <c r="AM22" i="37"/>
  <c r="AN22" i="37"/>
  <c r="AK26" i="46"/>
  <c r="AO26" i="46" s="1"/>
  <c r="V17" i="37"/>
  <c r="AL5" i="72"/>
  <c r="AM5" i="72" s="1"/>
  <c r="AC25" i="85"/>
  <c r="AE22" i="37"/>
  <c r="AI25" i="85"/>
  <c r="AI23" i="72"/>
  <c r="AI25" i="72"/>
  <c r="AE22" i="72"/>
  <c r="AG23" i="45"/>
  <c r="AL23" i="45"/>
  <c r="AE23" i="37"/>
  <c r="AB23" i="37"/>
  <c r="AD22" i="45"/>
  <c r="AL23" i="41"/>
  <c r="AN23" i="41"/>
  <c r="AM23" i="41"/>
  <c r="AO23" i="41"/>
  <c r="AM25" i="46"/>
  <c r="AJ25" i="85"/>
  <c r="AC22" i="72"/>
  <c r="AB22" i="45"/>
  <c r="AK23" i="72"/>
  <c r="AC22" i="37"/>
  <c r="AO23" i="45"/>
  <c r="AN22" i="58"/>
  <c r="AH25" i="85"/>
  <c r="AH23" i="85"/>
  <c r="AD22" i="37"/>
  <c r="AP23" i="85"/>
  <c r="AP22" i="58"/>
  <c r="AM23" i="85"/>
  <c r="AO23" i="85"/>
  <c r="AE22" i="45"/>
  <c r="AF22" i="58"/>
  <c r="AC23" i="85"/>
  <c r="AJ23" i="46"/>
  <c r="AO22" i="58"/>
  <c r="AD22" i="58"/>
  <c r="AE22" i="58"/>
  <c r="AE23" i="85"/>
  <c r="AN27" i="58"/>
  <c r="AH22" i="72"/>
  <c r="AJ23" i="85"/>
  <c r="AJ23" i="41"/>
  <c r="AH23" i="41"/>
  <c r="AG23" i="41"/>
  <c r="AI23" i="41"/>
  <c r="AI22" i="72"/>
  <c r="AF23" i="85"/>
  <c r="AM23" i="37"/>
  <c r="AO23" i="37"/>
  <c r="AL23" i="37"/>
  <c r="AB23" i="41"/>
  <c r="AC23" i="41"/>
  <c r="AD23" i="41"/>
  <c r="AE23" i="41"/>
  <c r="AK22" i="72"/>
  <c r="AO22" i="72"/>
  <c r="AK23" i="85"/>
  <c r="AI23" i="45"/>
  <c r="U17" i="85"/>
  <c r="AC25" i="41"/>
  <c r="AK25" i="72"/>
  <c r="AH23" i="45"/>
  <c r="AM22" i="45"/>
  <c r="AN22" i="45"/>
  <c r="AL22" i="45"/>
  <c r="AO22" i="45"/>
  <c r="AL22" i="41"/>
  <c r="AN22" i="41"/>
  <c r="AO22" i="41"/>
  <c r="AM22" i="41"/>
  <c r="AG22" i="45"/>
  <c r="AH22" i="45"/>
  <c r="AI22" i="45"/>
  <c r="AJ22" i="45"/>
  <c r="AI22" i="85"/>
  <c r="AJ22" i="85"/>
  <c r="AH22" i="85"/>
  <c r="AK22" i="85"/>
  <c r="AJ23" i="44"/>
  <c r="AK23" i="44"/>
  <c r="AI23" i="44"/>
  <c r="AH23" i="44"/>
  <c r="AJ22" i="37"/>
  <c r="AI22" i="37"/>
  <c r="AH22" i="37"/>
  <c r="AG22" i="37"/>
  <c r="AK22" i="58"/>
  <c r="AJ22" i="58"/>
  <c r="AI22" i="58"/>
  <c r="AH22" i="58"/>
  <c r="AC22" i="85"/>
  <c r="AD22" i="85"/>
  <c r="AF22" i="85"/>
  <c r="AE22" i="85"/>
  <c r="AC22" i="41"/>
  <c r="AD22" i="41"/>
  <c r="AB22" i="41"/>
  <c r="AE22" i="41"/>
  <c r="AC23" i="44"/>
  <c r="AF23" i="44"/>
  <c r="AD23" i="44"/>
  <c r="AE23" i="44"/>
  <c r="AH23" i="37"/>
  <c r="AJ23" i="37"/>
  <c r="AI23" i="37"/>
  <c r="AG23" i="37"/>
  <c r="AJ23" i="58"/>
  <c r="AK23" i="58"/>
  <c r="AH23" i="58"/>
  <c r="AI23" i="58"/>
  <c r="AM22" i="85"/>
  <c r="AN22" i="85"/>
  <c r="AO22" i="85"/>
  <c r="AP22" i="85"/>
  <c r="AI22" i="41"/>
  <c r="AG22" i="41"/>
  <c r="AH22" i="41"/>
  <c r="AJ22" i="41"/>
  <c r="AC27" i="44"/>
  <c r="W17" i="37"/>
  <c r="AD27" i="44"/>
  <c r="X17" i="41"/>
  <c r="AC25" i="44"/>
  <c r="AD25" i="41"/>
  <c r="AH25" i="72"/>
  <c r="AF5" i="45"/>
  <c r="AJ5" i="45" s="1"/>
  <c r="AF27" i="44"/>
  <c r="Y5" i="45"/>
  <c r="W8" i="49" s="1"/>
  <c r="AC7" i="52" s="1"/>
  <c r="X6" i="58"/>
  <c r="AA5" i="45"/>
  <c r="AB5" i="45" s="1"/>
  <c r="AL25" i="46"/>
  <c r="AK31" i="45"/>
  <c r="AN31" i="45" s="1"/>
  <c r="V17" i="45"/>
  <c r="AP27" i="85"/>
  <c r="Y5" i="44"/>
  <c r="Y8" i="49" s="1"/>
  <c r="AE7" i="52" s="1"/>
  <c r="U17" i="46"/>
  <c r="AC25" i="46"/>
  <c r="U10" i="78"/>
  <c r="U17" i="58"/>
  <c r="U17" i="72"/>
  <c r="W17" i="45"/>
  <c r="AJ27" i="46"/>
  <c r="AL30" i="85"/>
  <c r="AP30" i="85" s="1"/>
  <c r="V17" i="46"/>
  <c r="AD25" i="46"/>
  <c r="AB5" i="44"/>
  <c r="AD5" i="44" s="1"/>
  <c r="AG27" i="46"/>
  <c r="AG30" i="72"/>
  <c r="AJ30" i="72" s="1"/>
  <c r="AL5" i="44"/>
  <c r="AP5" i="44" s="1"/>
  <c r="AB26" i="58"/>
  <c r="AE26" i="58" s="1"/>
  <c r="U10" i="41"/>
  <c r="AF26" i="37"/>
  <c r="AG26" i="37" s="1"/>
  <c r="AA31" i="46"/>
  <c r="AC31" i="46" s="1"/>
  <c r="V6" i="78"/>
  <c r="AD27" i="45"/>
  <c r="W17" i="44"/>
  <c r="AL31" i="85"/>
  <c r="AN31" i="85" s="1"/>
  <c r="AA26" i="45"/>
  <c r="AD26" i="45" s="1"/>
  <c r="AE27" i="45"/>
  <c r="V17" i="78"/>
  <c r="AB31" i="44"/>
  <c r="AC31" i="44" s="1"/>
  <c r="AL27" i="41"/>
  <c r="AA31" i="41"/>
  <c r="AE31" i="41" s="1"/>
  <c r="AK26" i="37"/>
  <c r="AO26" i="37" s="1"/>
  <c r="X17" i="45"/>
  <c r="AB27" i="45"/>
  <c r="AG30" i="58"/>
  <c r="AK30" i="58" s="1"/>
  <c r="W17" i="78"/>
  <c r="W17" i="46"/>
  <c r="W17" i="72"/>
  <c r="AI27" i="46"/>
  <c r="AN27" i="85"/>
  <c r="W17" i="58"/>
  <c r="AA26" i="37"/>
  <c r="AB26" i="37" s="1"/>
  <c r="AL26" i="44"/>
  <c r="AP26" i="44" s="1"/>
  <c r="AL26" i="72"/>
  <c r="AO26" i="72" s="1"/>
  <c r="X6" i="72"/>
  <c r="AF31" i="45"/>
  <c r="AG31" i="45" s="1"/>
  <c r="U10" i="72"/>
  <c r="AA31" i="45"/>
  <c r="AB31" i="45" s="1"/>
  <c r="AL26" i="85"/>
  <c r="AO26" i="85" s="1"/>
  <c r="W17" i="85"/>
  <c r="W17" i="41"/>
  <c r="AF26" i="46"/>
  <c r="AI26" i="46" s="1"/>
  <c r="AL30" i="44"/>
  <c r="AP30" i="44" s="1"/>
  <c r="AB30" i="72"/>
  <c r="AE30" i="72" s="1"/>
  <c r="AK30" i="37"/>
  <c r="AO30" i="37" s="1"/>
  <c r="AA31" i="37"/>
  <c r="AD31" i="37" s="1"/>
  <c r="AG31" i="72"/>
  <c r="AJ31" i="72" s="1"/>
  <c r="AA30" i="41"/>
  <c r="AB16" i="58"/>
  <c r="AL16" i="58"/>
  <c r="AG16" i="58"/>
  <c r="Y16" i="58"/>
  <c r="V11" i="49" s="1"/>
  <c r="AB10" i="52" s="1"/>
  <c r="Y13" i="78"/>
  <c r="AH8" i="49" s="1"/>
  <c r="AG14" i="85"/>
  <c r="AL14" i="85"/>
  <c r="Y14" i="85"/>
  <c r="AB14" i="85"/>
  <c r="AF7" i="37"/>
  <c r="Y7" i="37"/>
  <c r="Q10" i="49" s="1"/>
  <c r="W9" i="52" s="1"/>
  <c r="AA7" i="37"/>
  <c r="AK7" i="37"/>
  <c r="AK7" i="41"/>
  <c r="AF7" i="41"/>
  <c r="Y7" i="41"/>
  <c r="S10" i="49" s="1"/>
  <c r="Y9" i="52" s="1"/>
  <c r="AA7" i="41"/>
  <c r="AB15" i="85"/>
  <c r="AG15" i="85"/>
  <c r="AL15" i="85"/>
  <c r="Y15" i="85"/>
  <c r="T10" i="37"/>
  <c r="Z10" i="37"/>
  <c r="Z10" i="41"/>
  <c r="T10" i="41"/>
  <c r="T6" i="37"/>
  <c r="Z6" i="37"/>
  <c r="Z6" i="45"/>
  <c r="T6" i="45"/>
  <c r="T6" i="41"/>
  <c r="Z6" i="41"/>
  <c r="Y13" i="41"/>
  <c r="T8" i="49" s="1"/>
  <c r="Z7" i="52" s="1"/>
  <c r="AA13" i="41"/>
  <c r="AK13" i="41"/>
  <c r="AF13" i="41"/>
  <c r="AB14" i="72"/>
  <c r="AL14" i="72"/>
  <c r="AG14" i="72"/>
  <c r="Y14" i="72"/>
  <c r="AD9" i="49" s="1"/>
  <c r="AJ8" i="52" s="1"/>
  <c r="Y14" i="45"/>
  <c r="X9" i="49" s="1"/>
  <c r="AD8" i="52" s="1"/>
  <c r="AA14" i="45"/>
  <c r="AK14" i="45"/>
  <c r="AF14" i="45"/>
  <c r="AA15" i="45"/>
  <c r="AK15" i="45"/>
  <c r="AF15" i="45"/>
  <c r="Y15" i="45"/>
  <c r="X10" i="49" s="1"/>
  <c r="AD9" i="52" s="1"/>
  <c r="Y9" i="37"/>
  <c r="Q12" i="49" s="1"/>
  <c r="W11" i="52" s="1"/>
  <c r="AK9" i="37"/>
  <c r="AF9" i="37"/>
  <c r="AA9" i="37"/>
  <c r="AL27" i="46"/>
  <c r="AN27" i="46"/>
  <c r="AO27" i="46"/>
  <c r="Y5" i="37"/>
  <c r="Q8" i="49" s="1"/>
  <c r="W7" i="52" s="1"/>
  <c r="AK5" i="37"/>
  <c r="AF5" i="37"/>
  <c r="AA5" i="37"/>
  <c r="AA5" i="41"/>
  <c r="AK5" i="41"/>
  <c r="AF5" i="41"/>
  <c r="Y5" i="41"/>
  <c r="S8" i="49" s="1"/>
  <c r="Y7" i="52" s="1"/>
  <c r="AB14" i="58"/>
  <c r="AL14" i="58"/>
  <c r="AG14" i="58"/>
  <c r="Y14" i="58"/>
  <c r="V9" i="49" s="1"/>
  <c r="AB8" i="52" s="1"/>
  <c r="AB7" i="72"/>
  <c r="AL7" i="72"/>
  <c r="AG7" i="72"/>
  <c r="Y7" i="72"/>
  <c r="AC10" i="49" s="1"/>
  <c r="AI9" i="52" s="1"/>
  <c r="AL18" i="85"/>
  <c r="Y18" i="85"/>
  <c r="AB18" i="85"/>
  <c r="AG18" i="85"/>
  <c r="Y9" i="78"/>
  <c r="AG12" i="49" s="1"/>
  <c r="AE27" i="37"/>
  <c r="AD27" i="37"/>
  <c r="AC27" i="37"/>
  <c r="AB27" i="37"/>
  <c r="AG16" i="85"/>
  <c r="Y16" i="85"/>
  <c r="AB16" i="85"/>
  <c r="AL16" i="85"/>
  <c r="AA13" i="37"/>
  <c r="AK13" i="37"/>
  <c r="AF13" i="37"/>
  <c r="Y13" i="37"/>
  <c r="R8" i="49" s="1"/>
  <c r="X7" i="52" s="1"/>
  <c r="AH27" i="85"/>
  <c r="AK27" i="85"/>
  <c r="AJ27" i="85"/>
  <c r="AI27" i="85"/>
  <c r="AL7" i="44"/>
  <c r="AG7" i="44"/>
  <c r="Y7" i="44"/>
  <c r="Y10" i="49" s="1"/>
  <c r="AE9" i="52" s="1"/>
  <c r="AB7" i="44"/>
  <c r="AK15" i="46"/>
  <c r="AF15" i="46"/>
  <c r="Y15" i="46"/>
  <c r="AB10" i="49" s="1"/>
  <c r="AH9" i="52" s="1"/>
  <c r="AA15" i="46"/>
  <c r="AB15" i="72"/>
  <c r="AL15" i="72"/>
  <c r="AG15" i="72"/>
  <c r="Y15" i="72"/>
  <c r="AD10" i="49" s="1"/>
  <c r="AJ9" i="52" s="1"/>
  <c r="Y9" i="44"/>
  <c r="Y12" i="49" s="1"/>
  <c r="AE11" i="52" s="1"/>
  <c r="AB9" i="44"/>
  <c r="AL9" i="44"/>
  <c r="AG9" i="44"/>
  <c r="T17" i="78"/>
  <c r="Z17" i="78"/>
  <c r="T17" i="44"/>
  <c r="Z17" i="44"/>
  <c r="T17" i="72"/>
  <c r="Z17" i="72"/>
  <c r="AL30" i="72"/>
  <c r="AM30" i="72" s="1"/>
  <c r="AA30" i="46"/>
  <c r="AG31" i="58"/>
  <c r="AF31" i="41"/>
  <c r="V10" i="72"/>
  <c r="V10" i="45"/>
  <c r="V6" i="45"/>
  <c r="AB26" i="85"/>
  <c r="AK31" i="41"/>
  <c r="AO31" i="41" s="1"/>
  <c r="W6" i="45"/>
  <c r="W6" i="37"/>
  <c r="X10" i="44"/>
  <c r="X10" i="72"/>
  <c r="W10" i="37"/>
  <c r="U6" i="45"/>
  <c r="U6" i="72"/>
  <c r="U10" i="37"/>
  <c r="X6" i="45"/>
  <c r="AG26" i="44"/>
  <c r="AA30" i="37"/>
  <c r="AL31" i="72"/>
  <c r="AM31" i="72" s="1"/>
  <c r="AL26" i="58"/>
  <c r="AN26" i="58" s="1"/>
  <c r="AA13" i="45"/>
  <c r="AK13" i="45"/>
  <c r="AF13" i="45"/>
  <c r="Y13" i="45"/>
  <c r="X8" i="49" s="1"/>
  <c r="AD7" i="52" s="1"/>
  <c r="AB14" i="44"/>
  <c r="AL14" i="44"/>
  <c r="AG14" i="44"/>
  <c r="Y14" i="44"/>
  <c r="Z9" i="49" s="1"/>
  <c r="AF8" i="52" s="1"/>
  <c r="AL18" i="58"/>
  <c r="AG18" i="58"/>
  <c r="Y18" i="58"/>
  <c r="V13" i="49" s="1"/>
  <c r="AB12" i="52" s="1"/>
  <c r="AB18" i="58"/>
  <c r="T10" i="44"/>
  <c r="Z10" i="44"/>
  <c r="T10" i="45"/>
  <c r="Z10" i="45"/>
  <c r="AN27" i="44"/>
  <c r="AP27" i="44"/>
  <c r="AM27" i="44"/>
  <c r="AO27" i="44"/>
  <c r="Z6" i="44"/>
  <c r="T6" i="44"/>
  <c r="Z6" i="46"/>
  <c r="T6" i="46"/>
  <c r="AC25" i="58"/>
  <c r="AF25" i="58"/>
  <c r="AD25" i="58"/>
  <c r="AE25" i="58"/>
  <c r="AG31" i="85"/>
  <c r="Y16" i="72"/>
  <c r="AD11" i="49" s="1"/>
  <c r="AJ10" i="52" s="1"/>
  <c r="AB16" i="72"/>
  <c r="AL16" i="72"/>
  <c r="AG16" i="72"/>
  <c r="AA7" i="46"/>
  <c r="AK7" i="46"/>
  <c r="AF7" i="46"/>
  <c r="Y7" i="46"/>
  <c r="AA10" i="49" s="1"/>
  <c r="AG9" i="52" s="1"/>
  <c r="AL31" i="58"/>
  <c r="AP31" i="58" s="1"/>
  <c r="AF31" i="37"/>
  <c r="AA13" i="46"/>
  <c r="AK13" i="46"/>
  <c r="AF13" i="46"/>
  <c r="Y13" i="46"/>
  <c r="AB8" i="49" s="1"/>
  <c r="AH7" i="52" s="1"/>
  <c r="Y15" i="78"/>
  <c r="AH10" i="49" s="1"/>
  <c r="AE27" i="41"/>
  <c r="AC27" i="41"/>
  <c r="AD27" i="41"/>
  <c r="AB27" i="41"/>
  <c r="AL27" i="45"/>
  <c r="AO27" i="45"/>
  <c r="AM27" i="45"/>
  <c r="AN27" i="45"/>
  <c r="AK16" i="37"/>
  <c r="AF16" i="37"/>
  <c r="Y16" i="37"/>
  <c r="R11" i="49" s="1"/>
  <c r="X10" i="52" s="1"/>
  <c r="AA16" i="37"/>
  <c r="AB13" i="72"/>
  <c r="AL13" i="72"/>
  <c r="AG13" i="72"/>
  <c r="Y13" i="72"/>
  <c r="AD8" i="49" s="1"/>
  <c r="AJ7" i="52" s="1"/>
  <c r="Y14" i="78"/>
  <c r="AH9" i="49" s="1"/>
  <c r="AC27" i="85"/>
  <c r="AF27" i="85"/>
  <c r="AD27" i="85"/>
  <c r="AE27" i="85"/>
  <c r="AC27" i="72"/>
  <c r="AF27" i="72"/>
  <c r="AD27" i="72"/>
  <c r="AE27" i="72"/>
  <c r="AK18" i="46"/>
  <c r="AF18" i="46"/>
  <c r="Y18" i="46"/>
  <c r="AB13" i="49" s="1"/>
  <c r="AH12" i="52" s="1"/>
  <c r="AA18" i="46"/>
  <c r="AP27" i="58"/>
  <c r="AO27" i="58"/>
  <c r="AN5" i="45"/>
  <c r="AL5" i="45"/>
  <c r="AO5" i="45"/>
  <c r="AM5" i="45"/>
  <c r="Z17" i="58"/>
  <c r="T17" i="58"/>
  <c r="T17" i="46"/>
  <c r="Z17" i="46"/>
  <c r="AB26" i="44"/>
  <c r="V10" i="46"/>
  <c r="V10" i="78"/>
  <c r="W10" i="45"/>
  <c r="AF30" i="41"/>
  <c r="W6" i="58"/>
  <c r="W6" i="44"/>
  <c r="X10" i="78"/>
  <c r="X10" i="46"/>
  <c r="X10" i="58"/>
  <c r="V6" i="37"/>
  <c r="AB30" i="44"/>
  <c r="AB31" i="85"/>
  <c r="U6" i="46"/>
  <c r="U6" i="44"/>
  <c r="U6" i="37"/>
  <c r="V6" i="46"/>
  <c r="X6" i="85"/>
  <c r="AK31" i="37"/>
  <c r="AL31" i="37" s="1"/>
  <c r="AA16" i="45"/>
  <c r="AK16" i="45"/>
  <c r="AF16" i="45"/>
  <c r="Y16" i="45"/>
  <c r="X11" i="49" s="1"/>
  <c r="AD10" i="52" s="1"/>
  <c r="AL7" i="58"/>
  <c r="AG7" i="58"/>
  <c r="Y7" i="58"/>
  <c r="U10" i="49" s="1"/>
  <c r="AA9" i="52" s="1"/>
  <c r="AB7" i="58"/>
  <c r="AA15" i="37"/>
  <c r="AK15" i="37"/>
  <c r="AF15" i="37"/>
  <c r="Y15" i="37"/>
  <c r="R10" i="49" s="1"/>
  <c r="X9" i="52" s="1"/>
  <c r="Y18" i="44"/>
  <c r="Z13" i="49" s="1"/>
  <c r="AF12" i="52" s="1"/>
  <c r="AB18" i="44"/>
  <c r="AL18" i="44"/>
  <c r="AG18" i="44"/>
  <c r="T10" i="78"/>
  <c r="Z10" i="78"/>
  <c r="T10" i="58"/>
  <c r="Z10" i="58"/>
  <c r="T10" i="72"/>
  <c r="Z10" i="72"/>
  <c r="AJ27" i="44"/>
  <c r="AK27" i="44"/>
  <c r="AI27" i="44"/>
  <c r="AH27" i="44"/>
  <c r="T6" i="58"/>
  <c r="Z6" i="58"/>
  <c r="Z6" i="78"/>
  <c r="T6" i="78"/>
  <c r="AL5" i="85"/>
  <c r="Y5" i="85"/>
  <c r="AG5" i="85"/>
  <c r="AB5" i="85"/>
  <c r="Y16" i="78"/>
  <c r="AH11" i="49" s="1"/>
  <c r="AG13" i="58"/>
  <c r="Y13" i="58"/>
  <c r="V8" i="49" s="1"/>
  <c r="AB7" i="52" s="1"/>
  <c r="AB13" i="58"/>
  <c r="AL13" i="58"/>
  <c r="AF14" i="37"/>
  <c r="Y14" i="37"/>
  <c r="R9" i="49" s="1"/>
  <c r="X8" i="52" s="1"/>
  <c r="AA14" i="37"/>
  <c r="AK14" i="37"/>
  <c r="AK7" i="45"/>
  <c r="AF7" i="45"/>
  <c r="Y7" i="45"/>
  <c r="W10" i="49" s="1"/>
  <c r="AC9" i="52" s="1"/>
  <c r="AA7" i="45"/>
  <c r="Y18" i="45"/>
  <c r="X13" i="49" s="1"/>
  <c r="AD12" i="52" s="1"/>
  <c r="AA18" i="45"/>
  <c r="AK18" i="45"/>
  <c r="AF18" i="45"/>
  <c r="AB9" i="58"/>
  <c r="AL9" i="58"/>
  <c r="AG9" i="58"/>
  <c r="Y9" i="58"/>
  <c r="U12" i="49" s="1"/>
  <c r="AA11" i="52" s="1"/>
  <c r="AA26" i="41"/>
  <c r="AF30" i="37"/>
  <c r="AG16" i="44"/>
  <c r="Y16" i="44"/>
  <c r="Z11" i="49" s="1"/>
  <c r="AF10" i="52" s="1"/>
  <c r="AB16" i="44"/>
  <c r="AL16" i="44"/>
  <c r="Y7" i="78"/>
  <c r="AG10" i="49" s="1"/>
  <c r="AO27" i="41"/>
  <c r="AN27" i="41"/>
  <c r="AF18" i="41"/>
  <c r="Y18" i="41"/>
  <c r="T13" i="49" s="1"/>
  <c r="Z12" i="52" s="1"/>
  <c r="AA18" i="41"/>
  <c r="AK18" i="41"/>
  <c r="AB9" i="85"/>
  <c r="AG9" i="85"/>
  <c r="Y9" i="85"/>
  <c r="AL9" i="85"/>
  <c r="AG27" i="45"/>
  <c r="AJ27" i="45"/>
  <c r="AH27" i="45"/>
  <c r="AI27" i="45"/>
  <c r="AM27" i="37"/>
  <c r="AN27" i="37"/>
  <c r="AO27" i="37"/>
  <c r="AL27" i="37"/>
  <c r="AG26" i="85"/>
  <c r="Y7" i="85"/>
  <c r="AG7" i="85"/>
  <c r="AL7" i="85"/>
  <c r="AB7" i="85"/>
  <c r="AB15" i="44"/>
  <c r="AL15" i="44"/>
  <c r="AG15" i="44"/>
  <c r="Y15" i="44"/>
  <c r="Z10" i="49" s="1"/>
  <c r="AF9" i="52" s="1"/>
  <c r="AG8" i="58"/>
  <c r="Y8" i="58"/>
  <c r="U11" i="49" s="1"/>
  <c r="AA10" i="52" s="1"/>
  <c r="AB8" i="58"/>
  <c r="AL8" i="58"/>
  <c r="AM27" i="72"/>
  <c r="AO27" i="72"/>
  <c r="AP27" i="72"/>
  <c r="Y18" i="78"/>
  <c r="AH13" i="49" s="1"/>
  <c r="AF9" i="46"/>
  <c r="Y9" i="46"/>
  <c r="AA12" i="49" s="1"/>
  <c r="AG11" i="52" s="1"/>
  <c r="AA9" i="46"/>
  <c r="AK9" i="46"/>
  <c r="AF27" i="58"/>
  <c r="AD27" i="58"/>
  <c r="AE27" i="58"/>
  <c r="AC27" i="58"/>
  <c r="T17" i="85"/>
  <c r="Z17" i="85"/>
  <c r="Z17" i="37"/>
  <c r="T17" i="37"/>
  <c r="AK30" i="45"/>
  <c r="V10" i="37"/>
  <c r="V10" i="58"/>
  <c r="W10" i="44"/>
  <c r="AK26" i="45"/>
  <c r="AK30" i="41"/>
  <c r="AL30" i="41" s="1"/>
  <c r="AG31" i="44"/>
  <c r="W6" i="85"/>
  <c r="W6" i="78"/>
  <c r="W6" i="41"/>
  <c r="X10" i="41"/>
  <c r="X10" i="85"/>
  <c r="U10" i="58"/>
  <c r="AF30" i="45"/>
  <c r="X6" i="41"/>
  <c r="AF26" i="41"/>
  <c r="U6" i="85"/>
  <c r="U6" i="58"/>
  <c r="U10" i="45"/>
  <c r="X6" i="37"/>
  <c r="AA26" i="46"/>
  <c r="AB31" i="72"/>
  <c r="AK31" i="46"/>
  <c r="Y16" i="46"/>
  <c r="AB11" i="49" s="1"/>
  <c r="AH10" i="52" s="1"/>
  <c r="AA16" i="46"/>
  <c r="AK16" i="46"/>
  <c r="AF16" i="46"/>
  <c r="AB13" i="85"/>
  <c r="AG13" i="85"/>
  <c r="AL13" i="85"/>
  <c r="Y13" i="85"/>
  <c r="AA9" i="45"/>
  <c r="AK9" i="45"/>
  <c r="AF9" i="45"/>
  <c r="Y9" i="45"/>
  <c r="W12" i="49" s="1"/>
  <c r="AC11" i="52" s="1"/>
  <c r="AK9" i="41"/>
  <c r="AF9" i="41"/>
  <c r="Y9" i="41"/>
  <c r="S12" i="49" s="1"/>
  <c r="Y11" i="52" s="1"/>
  <c r="AA9" i="41"/>
  <c r="Z10" i="85"/>
  <c r="T10" i="85"/>
  <c r="T10" i="46"/>
  <c r="Z10" i="46"/>
  <c r="Z6" i="85"/>
  <c r="T6" i="85"/>
  <c r="T6" i="72"/>
  <c r="Z6" i="72"/>
  <c r="AG15" i="58"/>
  <c r="Y15" i="58"/>
  <c r="V10" i="49" s="1"/>
  <c r="AB9" i="52" s="1"/>
  <c r="AB15" i="58"/>
  <c r="AL15" i="58"/>
  <c r="AK18" i="37"/>
  <c r="AF18" i="37"/>
  <c r="Y18" i="37"/>
  <c r="R13" i="49" s="1"/>
  <c r="X12" i="52" s="1"/>
  <c r="AA18" i="37"/>
  <c r="AL9" i="72"/>
  <c r="AG9" i="72"/>
  <c r="Y9" i="72"/>
  <c r="AC12" i="49" s="1"/>
  <c r="AI11" i="52" s="1"/>
  <c r="AB9" i="72"/>
  <c r="AC27" i="46"/>
  <c r="AD27" i="46"/>
  <c r="AB27" i="46"/>
  <c r="AE27" i="46"/>
  <c r="AB26" i="72"/>
  <c r="AO25" i="58"/>
  <c r="AM25" i="58"/>
  <c r="AP25" i="58"/>
  <c r="AB30" i="58"/>
  <c r="AG30" i="85"/>
  <c r="Y16" i="41"/>
  <c r="T11" i="49" s="1"/>
  <c r="Z10" i="52" s="1"/>
  <c r="AA16" i="41"/>
  <c r="AK16" i="41"/>
  <c r="AF16" i="41"/>
  <c r="AB13" i="44"/>
  <c r="AL13" i="44"/>
  <c r="AG13" i="44"/>
  <c r="Y13" i="44"/>
  <c r="Z8" i="49" s="1"/>
  <c r="AF7" i="52" s="1"/>
  <c r="AA14" i="41"/>
  <c r="AK14" i="41"/>
  <c r="AF14" i="41"/>
  <c r="Y14" i="41"/>
  <c r="T9" i="49" s="1"/>
  <c r="Z8" i="52" s="1"/>
  <c r="AA15" i="41"/>
  <c r="AK15" i="41"/>
  <c r="AF15" i="41"/>
  <c r="Y15" i="41"/>
  <c r="T10" i="49" s="1"/>
  <c r="Z9" i="52" s="1"/>
  <c r="AH27" i="41"/>
  <c r="AJ27" i="41"/>
  <c r="AI27" i="41"/>
  <c r="AG27" i="41"/>
  <c r="AG27" i="37"/>
  <c r="AH27" i="37"/>
  <c r="AJ27" i="37"/>
  <c r="AI27" i="37"/>
  <c r="AJ25" i="58"/>
  <c r="AK25" i="58"/>
  <c r="AH25" i="58"/>
  <c r="AI25" i="58"/>
  <c r="AF14" i="46"/>
  <c r="Y14" i="46"/>
  <c r="AB9" i="49" s="1"/>
  <c r="AH8" i="52" s="1"/>
  <c r="AA14" i="46"/>
  <c r="AK14" i="46"/>
  <c r="AH27" i="72"/>
  <c r="AK27" i="72"/>
  <c r="AI27" i="72"/>
  <c r="AJ27" i="72"/>
  <c r="AG18" i="72"/>
  <c r="Y18" i="72"/>
  <c r="AD13" i="49" s="1"/>
  <c r="AJ12" i="52" s="1"/>
  <c r="AB18" i="72"/>
  <c r="AL18" i="72"/>
  <c r="AK27" i="58"/>
  <c r="AI27" i="58"/>
  <c r="AJ27" i="58"/>
  <c r="AH27" i="58"/>
  <c r="T17" i="45"/>
  <c r="Z17" i="45"/>
  <c r="Z17" i="41"/>
  <c r="T17" i="41"/>
  <c r="AG26" i="58"/>
  <c r="AG26" i="72"/>
  <c r="AB31" i="58"/>
  <c r="V10" i="85"/>
  <c r="V10" i="44"/>
  <c r="V10" i="41"/>
  <c r="V6" i="44"/>
  <c r="AG30" i="44"/>
  <c r="X6" i="46"/>
  <c r="AB30" i="85"/>
  <c r="W6" i="72"/>
  <c r="W6" i="46"/>
  <c r="X10" i="37"/>
  <c r="X10" i="45"/>
  <c r="AF26" i="45"/>
  <c r="U10" i="44"/>
  <c r="X6" i="44"/>
  <c r="AK26" i="41"/>
  <c r="AM26" i="41" s="1"/>
  <c r="AK30" i="46"/>
  <c r="AN30" i="46" s="1"/>
  <c r="AL31" i="44"/>
  <c r="AO31" i="44" s="1"/>
  <c r="U6" i="41"/>
  <c r="U6" i="78"/>
  <c r="U10" i="85"/>
  <c r="AN25" i="58"/>
  <c r="W10" i="46"/>
  <c r="AL30" i="58"/>
  <c r="AO30" i="58" s="1"/>
  <c r="AF31" i="46"/>
  <c r="AM30" i="85" l="1"/>
  <c r="AD24" i="85"/>
  <c r="AP24" i="85"/>
  <c r="AO24" i="46"/>
  <c r="AD24" i="46"/>
  <c r="AB24" i="37"/>
  <c r="AD24" i="44"/>
  <c r="AD24" i="45"/>
  <c r="AE24" i="44"/>
  <c r="AC24" i="45"/>
  <c r="AC24" i="44"/>
  <c r="AB24" i="45"/>
  <c r="AI24" i="46"/>
  <c r="AH5" i="72"/>
  <c r="AD24" i="37"/>
  <c r="AE24" i="41"/>
  <c r="AG24" i="37"/>
  <c r="AL24" i="46"/>
  <c r="AB24" i="46"/>
  <c r="AN24" i="58"/>
  <c r="AJ24" i="46"/>
  <c r="AN24" i="85"/>
  <c r="AK5" i="72"/>
  <c r="AG24" i="46"/>
  <c r="AJ5" i="72"/>
  <c r="AK24" i="44"/>
  <c r="AG24" i="41"/>
  <c r="AJ24" i="44"/>
  <c r="AD24" i="41"/>
  <c r="AJ24" i="41"/>
  <c r="AK24" i="58"/>
  <c r="AK24" i="72"/>
  <c r="AI24" i="44"/>
  <c r="AB24" i="41"/>
  <c r="AH24" i="41"/>
  <c r="AJ24" i="58"/>
  <c r="AH24" i="72"/>
  <c r="AO24" i="41"/>
  <c r="AH24" i="58"/>
  <c r="AI24" i="72"/>
  <c r="AL24" i="41"/>
  <c r="AN30" i="85"/>
  <c r="AJ5" i="44"/>
  <c r="AM24" i="46"/>
  <c r="AN24" i="41"/>
  <c r="AE24" i="58"/>
  <c r="AJ5" i="46"/>
  <c r="AK5" i="44"/>
  <c r="AO24" i="58"/>
  <c r="AC24" i="85"/>
  <c r="AC24" i="37"/>
  <c r="AM24" i="85"/>
  <c r="AM26" i="72"/>
  <c r="AI24" i="45"/>
  <c r="AN26" i="72"/>
  <c r="AO24" i="37"/>
  <c r="AN5" i="46"/>
  <c r="AO24" i="44"/>
  <c r="AK24" i="85"/>
  <c r="AM5" i="46"/>
  <c r="AC24" i="58"/>
  <c r="AG24" i="45"/>
  <c r="AO5" i="46"/>
  <c r="AN24" i="44"/>
  <c r="AE24" i="46"/>
  <c r="AL24" i="37"/>
  <c r="AM24" i="58"/>
  <c r="AD24" i="58"/>
  <c r="AF24" i="85"/>
  <c r="AI24" i="85"/>
  <c r="AM24" i="45"/>
  <c r="AO24" i="45"/>
  <c r="AD24" i="72"/>
  <c r="AH24" i="45"/>
  <c r="AP24" i="44"/>
  <c r="AM24" i="37"/>
  <c r="AJ24" i="85"/>
  <c r="AC24" i="72"/>
  <c r="AN24" i="45"/>
  <c r="AE24" i="72"/>
  <c r="AM24" i="72"/>
  <c r="AJ24" i="37"/>
  <c r="AN24" i="72"/>
  <c r="AH24" i="37"/>
  <c r="AP24" i="72"/>
  <c r="AN5" i="58"/>
  <c r="AI5" i="58"/>
  <c r="AJ5" i="58"/>
  <c r="AH5" i="44"/>
  <c r="AF5" i="58"/>
  <c r="AN5" i="44"/>
  <c r="AN5" i="72"/>
  <c r="AO30" i="44"/>
  <c r="AM5" i="58"/>
  <c r="AM5" i="44"/>
  <c r="AO5" i="58"/>
  <c r="AE5" i="58"/>
  <c r="AO35" i="44"/>
  <c r="AM35" i="37"/>
  <c r="AN35" i="72"/>
  <c r="AO35" i="37"/>
  <c r="AM35" i="46"/>
  <c r="AN35" i="41"/>
  <c r="AO35" i="41"/>
  <c r="AP35" i="44"/>
  <c r="AM35" i="72"/>
  <c r="AF35" i="44"/>
  <c r="AE35" i="44"/>
  <c r="AD35" i="44"/>
  <c r="AC35" i="44"/>
  <c r="AH35" i="44"/>
  <c r="AK35" i="44"/>
  <c r="AI35" i="44"/>
  <c r="AJ35" i="44"/>
  <c r="AD35" i="58"/>
  <c r="AE35" i="58"/>
  <c r="AF35" i="58"/>
  <c r="AC35" i="58"/>
  <c r="AI35" i="46"/>
  <c r="AG35" i="46"/>
  <c r="AH35" i="46"/>
  <c r="AJ35" i="46"/>
  <c r="AI35" i="41"/>
  <c r="AH35" i="41"/>
  <c r="AJ35" i="41"/>
  <c r="AG35" i="41"/>
  <c r="AG35" i="37"/>
  <c r="AH35" i="37"/>
  <c r="AI35" i="37"/>
  <c r="AJ35" i="37"/>
  <c r="AJ35" i="45"/>
  <c r="AI35" i="45"/>
  <c r="AH35" i="45"/>
  <c r="AG35" i="45"/>
  <c r="AM35" i="85"/>
  <c r="AO35" i="58"/>
  <c r="AP35" i="85"/>
  <c r="AN35" i="37"/>
  <c r="AJ35" i="72"/>
  <c r="AH35" i="72"/>
  <c r="AK35" i="72"/>
  <c r="AI35" i="72"/>
  <c r="AC35" i="41"/>
  <c r="AB35" i="41"/>
  <c r="AD35" i="41"/>
  <c r="AE35" i="41"/>
  <c r="AD35" i="37"/>
  <c r="AE35" i="37"/>
  <c r="AB35" i="37"/>
  <c r="AC35" i="37"/>
  <c r="AD35" i="72"/>
  <c r="AF35" i="72"/>
  <c r="AC35" i="72"/>
  <c r="AE35" i="72"/>
  <c r="AH35" i="58"/>
  <c r="AK35" i="58"/>
  <c r="AI35" i="58"/>
  <c r="AJ35" i="58"/>
  <c r="AJ35" i="85"/>
  <c r="AI35" i="85"/>
  <c r="AH35" i="85"/>
  <c r="AK35" i="85"/>
  <c r="AE35" i="45"/>
  <c r="AD35" i="45"/>
  <c r="AC35" i="45"/>
  <c r="AB35" i="45"/>
  <c r="AL35" i="46"/>
  <c r="AP35" i="58"/>
  <c r="AN35" i="46"/>
  <c r="AM35" i="58"/>
  <c r="AL35" i="45"/>
  <c r="AM35" i="45"/>
  <c r="AN35" i="45"/>
  <c r="AO35" i="45"/>
  <c r="AD35" i="46"/>
  <c r="AE35" i="46"/>
  <c r="AC35" i="46"/>
  <c r="AB35" i="46"/>
  <c r="AC35" i="85"/>
  <c r="AD35" i="85"/>
  <c r="AE35" i="85"/>
  <c r="AF35" i="85"/>
  <c r="AI5" i="45"/>
  <c r="AO35" i="85"/>
  <c r="AP35" i="72"/>
  <c r="AN35" i="44"/>
  <c r="AL35" i="41"/>
  <c r="AF5" i="44"/>
  <c r="AD5" i="58"/>
  <c r="AI5" i="46"/>
  <c r="S44" i="47"/>
  <c r="O19" i="61"/>
  <c r="AN26" i="46"/>
  <c r="S46" i="47"/>
  <c r="U3" i="47"/>
  <c r="H19" i="60"/>
  <c r="H20" i="60" s="1"/>
  <c r="U12" i="47" s="1"/>
  <c r="AA24" i="47"/>
  <c r="AC24" i="47" s="1"/>
  <c r="AA14" i="47"/>
  <c r="AC14" i="47" s="1"/>
  <c r="AA4" i="47"/>
  <c r="AC4" i="47" s="1"/>
  <c r="AB10" i="47"/>
  <c r="AB30" i="47"/>
  <c r="AB20" i="47"/>
  <c r="Z19" i="47"/>
  <c r="Z39" i="47" s="1"/>
  <c r="K17" i="62"/>
  <c r="AB4" i="47"/>
  <c r="AD4" i="47" s="1"/>
  <c r="AB24" i="47"/>
  <c r="AD24" i="47" s="1"/>
  <c r="AB14" i="47"/>
  <c r="AD14" i="47" s="1"/>
  <c r="AA10" i="47"/>
  <c r="AA30" i="47"/>
  <c r="AA20" i="47"/>
  <c r="AA26" i="47"/>
  <c r="AA16" i="47"/>
  <c r="AA6" i="47"/>
  <c r="AB18" i="47"/>
  <c r="AB8" i="47"/>
  <c r="AB28" i="47"/>
  <c r="AA8" i="47"/>
  <c r="AA18" i="47"/>
  <c r="AA28" i="47"/>
  <c r="W43" i="47"/>
  <c r="I12" i="90" s="1"/>
  <c r="K15" i="62"/>
  <c r="Z17" i="47"/>
  <c r="Z37" i="47" s="1"/>
  <c r="H7" i="89"/>
  <c r="S42" i="47"/>
  <c r="AA25" i="47"/>
  <c r="AA15" i="47"/>
  <c r="AA5" i="47"/>
  <c r="Y19" i="47"/>
  <c r="Y39" i="47" s="1"/>
  <c r="K9" i="62"/>
  <c r="AB19" i="47"/>
  <c r="AB9" i="47"/>
  <c r="AB29" i="47"/>
  <c r="AA17" i="47"/>
  <c r="AA7" i="47"/>
  <c r="AA27" i="47"/>
  <c r="K6" i="62"/>
  <c r="M11" i="62"/>
  <c r="O11" i="62" s="1"/>
  <c r="Y16" i="47"/>
  <c r="Z6" i="47"/>
  <c r="Z11" i="47" s="1"/>
  <c r="L19" i="62"/>
  <c r="AB26" i="47"/>
  <c r="AB16" i="47"/>
  <c r="AB6" i="47"/>
  <c r="K16" i="62"/>
  <c r="Z18" i="47"/>
  <c r="Z38" i="47" s="1"/>
  <c r="L20" i="61"/>
  <c r="L21" i="61" s="1"/>
  <c r="W12" i="47" s="1"/>
  <c r="X21" i="47"/>
  <c r="X36" i="47"/>
  <c r="X41" i="47" s="1"/>
  <c r="Z20" i="47"/>
  <c r="Z40" i="47" s="1"/>
  <c r="K18" i="62"/>
  <c r="AA19" i="47"/>
  <c r="AA9" i="47"/>
  <c r="AA29" i="47"/>
  <c r="L11" i="62"/>
  <c r="Y6" i="47"/>
  <c r="Y11" i="47" s="1"/>
  <c r="Z16" i="47"/>
  <c r="M19" i="62"/>
  <c r="K14" i="62"/>
  <c r="O11" i="61"/>
  <c r="M20" i="61"/>
  <c r="M21" i="61" s="1"/>
  <c r="W22" i="47" s="1"/>
  <c r="AB7" i="47"/>
  <c r="AB27" i="47"/>
  <c r="AB17" i="47"/>
  <c r="K7" i="62"/>
  <c r="Y17" i="47"/>
  <c r="Y37" i="47" s="1"/>
  <c r="AL30" i="78"/>
  <c r="AM30" i="78" s="1"/>
  <c r="AM13" i="78" s="1"/>
  <c r="Y20" i="47"/>
  <c r="Y40" i="47" s="1"/>
  <c r="K10" i="62"/>
  <c r="I19" i="60"/>
  <c r="I20" i="60" s="1"/>
  <c r="U22" i="47" s="1"/>
  <c r="U13" i="47"/>
  <c r="N21" i="62"/>
  <c r="Y32" i="47" s="1"/>
  <c r="W21" i="47"/>
  <c r="W36" i="47"/>
  <c r="W41" i="47" s="1"/>
  <c r="K8" i="62"/>
  <c r="Y18" i="47"/>
  <c r="Y38" i="47" s="1"/>
  <c r="AO5" i="44"/>
  <c r="AK5" i="58"/>
  <c r="AE5" i="44"/>
  <c r="AG5" i="46"/>
  <c r="AF5" i="72"/>
  <c r="AB5" i="46"/>
  <c r="AJ30" i="46"/>
  <c r="AF26" i="58"/>
  <c r="AA8" i="46"/>
  <c r="AE8" i="46" s="1"/>
  <c r="AK8" i="37"/>
  <c r="AM8" i="37" s="1"/>
  <c r="AF8" i="41"/>
  <c r="AJ8" i="41" s="1"/>
  <c r="AL8" i="44"/>
  <c r="AO8" i="44" s="1"/>
  <c r="AG8" i="72"/>
  <c r="AH8" i="72" s="1"/>
  <c r="AG8" i="85"/>
  <c r="AI8" i="85" s="1"/>
  <c r="AA8" i="41"/>
  <c r="AE8" i="41" s="1"/>
  <c r="AB8" i="72"/>
  <c r="AE8" i="72" s="1"/>
  <c r="AE5" i="46"/>
  <c r="AK8" i="45"/>
  <c r="AN8" i="45" s="1"/>
  <c r="AF8" i="37"/>
  <c r="AH8" i="37" s="1"/>
  <c r="AF8" i="46"/>
  <c r="AG8" i="46" s="1"/>
  <c r="AB8" i="85"/>
  <c r="AE8" i="85" s="1"/>
  <c r="AK8" i="41"/>
  <c r="AL8" i="41" s="1"/>
  <c r="AL8" i="72"/>
  <c r="AN8" i="72" s="1"/>
  <c r="AB8" i="44"/>
  <c r="AF8" i="44" s="1"/>
  <c r="AL26" i="37"/>
  <c r="AA8" i="37"/>
  <c r="AB8" i="37" s="1"/>
  <c r="AP5" i="72"/>
  <c r="AH5" i="45"/>
  <c r="AC5" i="72"/>
  <c r="AE30" i="45"/>
  <c r="AK8" i="46"/>
  <c r="AM8" i="46" s="1"/>
  <c r="AO5" i="72"/>
  <c r="AG5" i="45"/>
  <c r="AD5" i="72"/>
  <c r="AC30" i="45"/>
  <c r="AC5" i="46"/>
  <c r="AD30" i="45"/>
  <c r="AH30" i="46"/>
  <c r="AG30" i="46"/>
  <c r="AE31" i="45"/>
  <c r="AB35" i="47"/>
  <c r="AL8" i="85"/>
  <c r="AO8" i="85" s="1"/>
  <c r="AA8" i="45"/>
  <c r="AD8" i="45" s="1"/>
  <c r="AF8" i="45"/>
  <c r="AI8" i="45" s="1"/>
  <c r="AG8" i="44"/>
  <c r="AH8" i="44" s="1"/>
  <c r="AO31" i="45"/>
  <c r="AL26" i="46"/>
  <c r="AD31" i="45"/>
  <c r="AM26" i="46"/>
  <c r="AC5" i="44"/>
  <c r="AL31" i="45"/>
  <c r="AO30" i="72"/>
  <c r="AE5" i="45"/>
  <c r="AO30" i="85"/>
  <c r="AC31" i="45"/>
  <c r="AM26" i="37"/>
  <c r="AN26" i="37"/>
  <c r="AI30" i="58"/>
  <c r="AM31" i="41"/>
  <c r="AM26" i="85"/>
  <c r="AM31" i="45"/>
  <c r="AB26" i="45"/>
  <c r="AO31" i="37"/>
  <c r="AC30" i="72"/>
  <c r="AC26" i="45"/>
  <c r="AC26" i="37"/>
  <c r="AF31" i="44"/>
  <c r="AE26" i="45"/>
  <c r="AN26" i="85"/>
  <c r="AJ26" i="46"/>
  <c r="AE31" i="37"/>
  <c r="AE26" i="37"/>
  <c r="AC5" i="45"/>
  <c r="AH26" i="46"/>
  <c r="AD26" i="58"/>
  <c r="AD26" i="37"/>
  <c r="AD5" i="45"/>
  <c r="AC26" i="58"/>
  <c r="AG26" i="46"/>
  <c r="AJ31" i="45"/>
  <c r="AC31" i="41"/>
  <c r="AD31" i="46"/>
  <c r="AM31" i="85"/>
  <c r="AH30" i="72"/>
  <c r="AM26" i="44"/>
  <c r="AB31" i="46"/>
  <c r="AH26" i="37"/>
  <c r="AO31" i="85"/>
  <c r="AI31" i="45"/>
  <c r="AK30" i="72"/>
  <c r="AE31" i="46"/>
  <c r="AI30" i="72"/>
  <c r="AN26" i="44"/>
  <c r="AN30" i="37"/>
  <c r="AP31" i="85"/>
  <c r="AD31" i="41"/>
  <c r="AO26" i="44"/>
  <c r="AI26" i="37"/>
  <c r="AD31" i="44"/>
  <c r="AH31" i="72"/>
  <c r="AJ30" i="58"/>
  <c r="AF30" i="72"/>
  <c r="AJ26" i="37"/>
  <c r="AE31" i="44"/>
  <c r="AP26" i="85"/>
  <c r="AK31" i="72"/>
  <c r="AH30" i="58"/>
  <c r="AD30" i="72"/>
  <c r="AI31" i="72"/>
  <c r="AM31" i="37"/>
  <c r="AB31" i="41"/>
  <c r="AC31" i="37"/>
  <c r="AH31" i="45"/>
  <c r="AL30" i="37"/>
  <c r="AP26" i="72"/>
  <c r="AM30" i="37"/>
  <c r="AM30" i="44"/>
  <c r="AN30" i="44"/>
  <c r="AB31" i="37"/>
  <c r="AM26" i="58"/>
  <c r="AN31" i="72"/>
  <c r="AR5" i="45"/>
  <c r="K25" i="47" s="1"/>
  <c r="AN31" i="37"/>
  <c r="AJ31" i="46"/>
  <c r="AH31" i="46"/>
  <c r="AI31" i="46"/>
  <c r="AG31" i="46"/>
  <c r="AF30" i="85"/>
  <c r="AD30" i="85"/>
  <c r="AE30" i="85"/>
  <c r="AC30" i="85"/>
  <c r="AI26" i="72"/>
  <c r="AJ26" i="72"/>
  <c r="AH26" i="72"/>
  <c r="AK26" i="72"/>
  <c r="AI18" i="72"/>
  <c r="AJ18" i="72"/>
  <c r="AK18" i="72"/>
  <c r="AH18" i="72"/>
  <c r="AG14" i="46"/>
  <c r="AJ14" i="46"/>
  <c r="AH14" i="46"/>
  <c r="AI14" i="46"/>
  <c r="AL15" i="41"/>
  <c r="AO15" i="41"/>
  <c r="AM15" i="41"/>
  <c r="AN15" i="41"/>
  <c r="AN14" i="41"/>
  <c r="AL14" i="41"/>
  <c r="AO14" i="41"/>
  <c r="AM14" i="41"/>
  <c r="AP13" i="44"/>
  <c r="AN13" i="44"/>
  <c r="AO13" i="44"/>
  <c r="AM13" i="44"/>
  <c r="AB16" i="41"/>
  <c r="AE16" i="41"/>
  <c r="AC16" i="41"/>
  <c r="AD16" i="41"/>
  <c r="AB18" i="37"/>
  <c r="AE18" i="37"/>
  <c r="AC18" i="37"/>
  <c r="AD18" i="37"/>
  <c r="AN15" i="58"/>
  <c r="AO15" i="58"/>
  <c r="AM15" i="58"/>
  <c r="AP15" i="58"/>
  <c r="AJ9" i="41"/>
  <c r="AG9" i="41"/>
  <c r="AH9" i="41"/>
  <c r="AI9" i="41"/>
  <c r="AL9" i="45"/>
  <c r="AO9" i="45"/>
  <c r="AM9" i="45"/>
  <c r="AN9" i="45"/>
  <c r="AP13" i="85"/>
  <c r="AO13" i="85"/>
  <c r="AN13" i="85"/>
  <c r="AM13" i="85"/>
  <c r="AO16" i="46"/>
  <c r="AM16" i="46"/>
  <c r="AN16" i="46"/>
  <c r="AL16" i="46"/>
  <c r="AC31" i="72"/>
  <c r="AF31" i="72"/>
  <c r="AD31" i="72"/>
  <c r="AE31" i="72"/>
  <c r="AH30" i="45"/>
  <c r="AI30" i="45"/>
  <c r="AG30" i="45"/>
  <c r="AJ30" i="45"/>
  <c r="AO30" i="41"/>
  <c r="AM30" i="41"/>
  <c r="AM26" i="45"/>
  <c r="AN26" i="45"/>
  <c r="AL26" i="45"/>
  <c r="AO26" i="45"/>
  <c r="AI9" i="46"/>
  <c r="AG9" i="46"/>
  <c r="AJ9" i="46"/>
  <c r="AH9" i="46"/>
  <c r="AF8" i="58"/>
  <c r="AD8" i="58"/>
  <c r="AE8" i="58"/>
  <c r="AC8" i="58"/>
  <c r="AJ15" i="44"/>
  <c r="AI15" i="44"/>
  <c r="AH15" i="44"/>
  <c r="AK15" i="44"/>
  <c r="AP7" i="85"/>
  <c r="AO7" i="85"/>
  <c r="AM7" i="85"/>
  <c r="AN7" i="85"/>
  <c r="AN9" i="85"/>
  <c r="AO9" i="85"/>
  <c r="AM9" i="85"/>
  <c r="AP9" i="85"/>
  <c r="AL18" i="41"/>
  <c r="AO18" i="41"/>
  <c r="AM18" i="41"/>
  <c r="AN18" i="41"/>
  <c r="AI16" i="44"/>
  <c r="AH16" i="44"/>
  <c r="AK16" i="44"/>
  <c r="AJ16" i="44"/>
  <c r="AD26" i="41"/>
  <c r="AB26" i="41"/>
  <c r="AE26" i="41"/>
  <c r="AC26" i="41"/>
  <c r="AF9" i="58"/>
  <c r="AD9" i="58"/>
  <c r="AE9" i="58"/>
  <c r="AC9" i="58"/>
  <c r="AM18" i="45"/>
  <c r="AN18" i="45"/>
  <c r="AL18" i="45"/>
  <c r="AO18" i="45"/>
  <c r="AD14" i="37"/>
  <c r="AB14" i="37"/>
  <c r="AE14" i="37"/>
  <c r="AC14" i="37"/>
  <c r="AF13" i="58"/>
  <c r="AD13" i="58"/>
  <c r="AE13" i="58"/>
  <c r="AC13" i="58"/>
  <c r="AG6" i="58"/>
  <c r="Y6" i="58"/>
  <c r="U9" i="49" s="1"/>
  <c r="AA8" i="52" s="1"/>
  <c r="AB6" i="58"/>
  <c r="AL6" i="58"/>
  <c r="AG10" i="58"/>
  <c r="Y10" i="58"/>
  <c r="U13" i="49" s="1"/>
  <c r="AA12" i="52" s="1"/>
  <c r="AB10" i="58"/>
  <c r="AL10" i="58"/>
  <c r="AH18" i="44"/>
  <c r="AK18" i="44"/>
  <c r="AJ18" i="44"/>
  <c r="AI18" i="44"/>
  <c r="AE7" i="58"/>
  <c r="AC7" i="58"/>
  <c r="AF7" i="58"/>
  <c r="AD7" i="58"/>
  <c r="AN16" i="45"/>
  <c r="AL16" i="45"/>
  <c r="AO16" i="45"/>
  <c r="AM16" i="45"/>
  <c r="AF30" i="44"/>
  <c r="AD30" i="44"/>
  <c r="AE30" i="44"/>
  <c r="AC30" i="44"/>
  <c r="AJ18" i="46"/>
  <c r="AH18" i="46"/>
  <c r="AI18" i="46"/>
  <c r="AG18" i="46"/>
  <c r="AE13" i="72"/>
  <c r="AC13" i="72"/>
  <c r="AF13" i="72"/>
  <c r="AD13" i="72"/>
  <c r="AM16" i="37"/>
  <c r="AN16" i="37"/>
  <c r="AL16" i="37"/>
  <c r="AO16" i="37"/>
  <c r="AC13" i="46"/>
  <c r="AD13" i="46"/>
  <c r="AB13" i="46"/>
  <c r="AE13" i="46"/>
  <c r="AM31" i="58"/>
  <c r="AO31" i="58"/>
  <c r="AE7" i="46"/>
  <c r="AC7" i="46"/>
  <c r="AD7" i="46"/>
  <c r="AB7" i="46"/>
  <c r="AN16" i="72"/>
  <c r="AP16" i="72"/>
  <c r="AO16" i="72"/>
  <c r="AM16" i="72"/>
  <c r="AI31" i="85"/>
  <c r="AJ31" i="85"/>
  <c r="AH31" i="85"/>
  <c r="AK31" i="85"/>
  <c r="AA6" i="46"/>
  <c r="AK6" i="46"/>
  <c r="AF6" i="46"/>
  <c r="Y6" i="46"/>
  <c r="AA9" i="49" s="1"/>
  <c r="AG8" i="52" s="1"/>
  <c r="AF18" i="58"/>
  <c r="AD18" i="58"/>
  <c r="AE18" i="58"/>
  <c r="AC18" i="58"/>
  <c r="AJ26" i="44"/>
  <c r="AK26" i="44"/>
  <c r="AI26" i="44"/>
  <c r="AH26" i="44"/>
  <c r="AF26" i="85"/>
  <c r="AD26" i="85"/>
  <c r="AE26" i="85"/>
  <c r="AC26" i="85"/>
  <c r="AP30" i="72"/>
  <c r="AN30" i="72"/>
  <c r="AO9" i="44"/>
  <c r="AM9" i="44"/>
  <c r="AP9" i="44"/>
  <c r="AN9" i="44"/>
  <c r="AJ15" i="72"/>
  <c r="AK15" i="72"/>
  <c r="AH15" i="72"/>
  <c r="AI15" i="72"/>
  <c r="AI13" i="37"/>
  <c r="AG13" i="37"/>
  <c r="AH13" i="37"/>
  <c r="AJ13" i="37"/>
  <c r="AC16" i="85"/>
  <c r="AF16" i="85"/>
  <c r="AD16" i="85"/>
  <c r="AE16" i="85"/>
  <c r="AN7" i="72"/>
  <c r="AO7" i="72"/>
  <c r="AM7" i="72"/>
  <c r="AP7" i="72"/>
  <c r="AO14" i="58"/>
  <c r="AM14" i="58"/>
  <c r="AP14" i="58"/>
  <c r="AN14" i="58"/>
  <c r="AL5" i="41"/>
  <c r="AM5" i="41"/>
  <c r="AN5" i="41"/>
  <c r="AO5" i="41"/>
  <c r="AL5" i="37"/>
  <c r="AM5" i="37"/>
  <c r="AO5" i="37"/>
  <c r="AN5" i="37"/>
  <c r="AN15" i="45"/>
  <c r="AL15" i="45"/>
  <c r="AO15" i="45"/>
  <c r="AM15" i="45"/>
  <c r="AI14" i="45"/>
  <c r="AG14" i="45"/>
  <c r="AJ14" i="45"/>
  <c r="AH14" i="45"/>
  <c r="AI13" i="41"/>
  <c r="AG13" i="41"/>
  <c r="AJ13" i="41"/>
  <c r="AH13" i="41"/>
  <c r="AB7" i="41"/>
  <c r="AE7" i="41"/>
  <c r="AC7" i="41"/>
  <c r="AD7" i="41"/>
  <c r="AO7" i="37"/>
  <c r="AM7" i="37"/>
  <c r="AN7" i="37"/>
  <c r="AL7" i="37"/>
  <c r="AC14" i="85"/>
  <c r="AF14" i="85"/>
  <c r="AD14" i="85"/>
  <c r="AE14" i="85"/>
  <c r="AI16" i="58"/>
  <c r="AJ16" i="58"/>
  <c r="AH16" i="58"/>
  <c r="AK16" i="58"/>
  <c r="AB30" i="41"/>
  <c r="AE30" i="41"/>
  <c r="AC30" i="41"/>
  <c r="AD30" i="41"/>
  <c r="AM30" i="58"/>
  <c r="AN31" i="44"/>
  <c r="AN31" i="58"/>
  <c r="AI30" i="44"/>
  <c r="AH30" i="44"/>
  <c r="AJ30" i="44"/>
  <c r="AK30" i="44"/>
  <c r="AK17" i="45"/>
  <c r="AF17" i="45"/>
  <c r="Y17" i="45"/>
  <c r="X12" i="49" s="1"/>
  <c r="AD11" i="52" s="1"/>
  <c r="AA17" i="45"/>
  <c r="AJ15" i="41"/>
  <c r="AI15" i="41"/>
  <c r="AH15" i="41"/>
  <c r="AG15" i="41"/>
  <c r="AG14" i="41"/>
  <c r="AJ14" i="41"/>
  <c r="AH14" i="41"/>
  <c r="AI14" i="41"/>
  <c r="AK13" i="44"/>
  <c r="AJ13" i="44"/>
  <c r="AI13" i="44"/>
  <c r="AH13" i="44"/>
  <c r="AM16" i="41"/>
  <c r="AN16" i="41"/>
  <c r="AL16" i="41"/>
  <c r="AO16" i="41"/>
  <c r="AH30" i="85"/>
  <c r="AJ30" i="85"/>
  <c r="AK30" i="85"/>
  <c r="AI30" i="85"/>
  <c r="AC9" i="72"/>
  <c r="AF9" i="72"/>
  <c r="AD9" i="72"/>
  <c r="AE9" i="72"/>
  <c r="AM18" i="37"/>
  <c r="AO18" i="37"/>
  <c r="AN18" i="37"/>
  <c r="AL18" i="37"/>
  <c r="AK15" i="58"/>
  <c r="AI15" i="58"/>
  <c r="AJ15" i="58"/>
  <c r="AH15" i="58"/>
  <c r="AH9" i="45"/>
  <c r="AI9" i="45"/>
  <c r="AG9" i="45"/>
  <c r="AJ9" i="45"/>
  <c r="AH16" i="46"/>
  <c r="AI16" i="46"/>
  <c r="AG16" i="46"/>
  <c r="AJ16" i="46"/>
  <c r="AL31" i="46"/>
  <c r="AN31" i="46"/>
  <c r="AJ31" i="44"/>
  <c r="AK31" i="44"/>
  <c r="AI31" i="44"/>
  <c r="AH31" i="44"/>
  <c r="AN30" i="45"/>
  <c r="AL30" i="45"/>
  <c r="AO30" i="45"/>
  <c r="AM30" i="45"/>
  <c r="AB17" i="85"/>
  <c r="Y17" i="85"/>
  <c r="AG17" i="85"/>
  <c r="AL17" i="85"/>
  <c r="AM8" i="58"/>
  <c r="AN8" i="58"/>
  <c r="AP8" i="58"/>
  <c r="AO8" i="58"/>
  <c r="AC7" i="85"/>
  <c r="AF7" i="85"/>
  <c r="AD7" i="85"/>
  <c r="AE7" i="85"/>
  <c r="AD9" i="85"/>
  <c r="AE9" i="85"/>
  <c r="AC9" i="85"/>
  <c r="AF9" i="85"/>
  <c r="AJ18" i="41"/>
  <c r="AH18" i="41"/>
  <c r="AI18" i="41"/>
  <c r="AG18" i="41"/>
  <c r="AO9" i="58"/>
  <c r="AP9" i="58"/>
  <c r="AM9" i="58"/>
  <c r="AN9" i="58"/>
  <c r="AH18" i="45"/>
  <c r="AI18" i="45"/>
  <c r="AG18" i="45"/>
  <c r="AJ18" i="45"/>
  <c r="AB7" i="45"/>
  <c r="AE7" i="45"/>
  <c r="AC7" i="45"/>
  <c r="AD7" i="45"/>
  <c r="AL14" i="37"/>
  <c r="AO14" i="37"/>
  <c r="AM14" i="37"/>
  <c r="AN14" i="37"/>
  <c r="AP13" i="58"/>
  <c r="AN13" i="58"/>
  <c r="AO13" i="58"/>
  <c r="AM13" i="58"/>
  <c r="AJ5" i="85"/>
  <c r="AH5" i="85"/>
  <c r="AI5" i="85"/>
  <c r="AK5" i="85"/>
  <c r="Y6" i="78"/>
  <c r="AG9" i="49" s="1"/>
  <c r="AC15" i="37"/>
  <c r="AD15" i="37"/>
  <c r="AB15" i="37"/>
  <c r="AE15" i="37"/>
  <c r="AM7" i="58"/>
  <c r="AN7" i="58"/>
  <c r="AP7" i="58"/>
  <c r="AO7" i="58"/>
  <c r="AH16" i="45"/>
  <c r="AI16" i="45"/>
  <c r="AG16" i="45"/>
  <c r="AJ16" i="45"/>
  <c r="AE31" i="85"/>
  <c r="AC31" i="85"/>
  <c r="AF31" i="85"/>
  <c r="AD31" i="85"/>
  <c r="AA17" i="46"/>
  <c r="AK17" i="46"/>
  <c r="AF17" i="46"/>
  <c r="Y17" i="46"/>
  <c r="AB12" i="49" s="1"/>
  <c r="AH11" i="52" s="1"/>
  <c r="AM13" i="72"/>
  <c r="AN13" i="72"/>
  <c r="AP13" i="72"/>
  <c r="AO13" i="72"/>
  <c r="AG16" i="37"/>
  <c r="AJ16" i="37"/>
  <c r="AH16" i="37"/>
  <c r="AI16" i="37"/>
  <c r="AM13" i="46"/>
  <c r="AN13" i="46"/>
  <c r="AL13" i="46"/>
  <c r="AO13" i="46"/>
  <c r="AM7" i="46"/>
  <c r="AN7" i="46"/>
  <c r="AL7" i="46"/>
  <c r="AO7" i="46"/>
  <c r="AJ16" i="72"/>
  <c r="AK16" i="72"/>
  <c r="AH16" i="72"/>
  <c r="AI16" i="72"/>
  <c r="AK10" i="45"/>
  <c r="AF10" i="45"/>
  <c r="Y10" i="45"/>
  <c r="W13" i="49" s="1"/>
  <c r="AC12" i="52" s="1"/>
  <c r="AA10" i="45"/>
  <c r="AN18" i="58"/>
  <c r="AO18" i="58"/>
  <c r="AM18" i="58"/>
  <c r="AP18" i="58"/>
  <c r="AC14" i="44"/>
  <c r="AF14" i="44"/>
  <c r="AD14" i="44"/>
  <c r="AE14" i="44"/>
  <c r="AE13" i="45"/>
  <c r="AC13" i="45"/>
  <c r="AD13" i="45"/>
  <c r="AB13" i="45"/>
  <c r="AB30" i="37"/>
  <c r="AE30" i="37"/>
  <c r="AC30" i="37"/>
  <c r="AD30" i="37"/>
  <c r="AB30" i="46"/>
  <c r="AE30" i="46"/>
  <c r="AC30" i="46"/>
  <c r="AD30" i="46"/>
  <c r="AB17" i="44"/>
  <c r="AL17" i="44"/>
  <c r="AG17" i="44"/>
  <c r="Y17" i="44"/>
  <c r="Z12" i="49" s="1"/>
  <c r="AF11" i="52" s="1"/>
  <c r="AH9" i="44"/>
  <c r="AK9" i="44"/>
  <c r="AJ9" i="44"/>
  <c r="AI9" i="44"/>
  <c r="AE15" i="46"/>
  <c r="AC15" i="46"/>
  <c r="AD15" i="46"/>
  <c r="AB15" i="46"/>
  <c r="AE7" i="44"/>
  <c r="AC7" i="44"/>
  <c r="AF7" i="44"/>
  <c r="AD7" i="44"/>
  <c r="AP16" i="85"/>
  <c r="AN16" i="85"/>
  <c r="AO16" i="85"/>
  <c r="AM16" i="85"/>
  <c r="AD18" i="85"/>
  <c r="AE18" i="85"/>
  <c r="AC18" i="85"/>
  <c r="AF18" i="85"/>
  <c r="AH7" i="72"/>
  <c r="AK7" i="72"/>
  <c r="AI7" i="72"/>
  <c r="AJ7" i="72"/>
  <c r="AI14" i="58"/>
  <c r="AJ14" i="58"/>
  <c r="AH14" i="58"/>
  <c r="AK14" i="58"/>
  <c r="AI5" i="41"/>
  <c r="AJ5" i="41"/>
  <c r="AG5" i="41"/>
  <c r="AH5" i="41"/>
  <c r="AI5" i="37"/>
  <c r="AJ5" i="37"/>
  <c r="AG5" i="37"/>
  <c r="AH5" i="37"/>
  <c r="AO9" i="37"/>
  <c r="AM9" i="37"/>
  <c r="AN9" i="37"/>
  <c r="AL9" i="37"/>
  <c r="AH15" i="45"/>
  <c r="AI15" i="45"/>
  <c r="AG15" i="45"/>
  <c r="AJ15" i="45"/>
  <c r="AD14" i="72"/>
  <c r="AE14" i="72"/>
  <c r="AC14" i="72"/>
  <c r="AF14" i="72"/>
  <c r="AE15" i="85"/>
  <c r="AC15" i="85"/>
  <c r="AF15" i="85"/>
  <c r="AD15" i="85"/>
  <c r="AO7" i="41"/>
  <c r="AL7" i="41"/>
  <c r="AM7" i="41"/>
  <c r="AN7" i="41"/>
  <c r="AH7" i="37"/>
  <c r="AG7" i="37"/>
  <c r="AJ7" i="37"/>
  <c r="AI7" i="37"/>
  <c r="AI14" i="85"/>
  <c r="AH14" i="85"/>
  <c r="AK14" i="85"/>
  <c r="AJ14" i="85"/>
  <c r="AO31" i="46"/>
  <c r="AP31" i="44"/>
  <c r="AN30" i="41"/>
  <c r="AO26" i="41"/>
  <c r="AN26" i="41"/>
  <c r="AE31" i="58"/>
  <c r="AC31" i="58"/>
  <c r="AF31" i="58"/>
  <c r="AD31" i="58"/>
  <c r="AA17" i="41"/>
  <c r="AK17" i="41"/>
  <c r="AF17" i="41"/>
  <c r="Y17" i="41"/>
  <c r="T12" i="49" s="1"/>
  <c r="Z11" i="52" s="1"/>
  <c r="AF18" i="72"/>
  <c r="AD18" i="72"/>
  <c r="AE18" i="72"/>
  <c r="AC18" i="72"/>
  <c r="AE14" i="46"/>
  <c r="AC14" i="46"/>
  <c r="AD14" i="46"/>
  <c r="AB14" i="46"/>
  <c r="AH16" i="41"/>
  <c r="AI16" i="41"/>
  <c r="AG16" i="41"/>
  <c r="AJ16" i="41"/>
  <c r="AC26" i="72"/>
  <c r="AF26" i="72"/>
  <c r="AD26" i="72"/>
  <c r="AE26" i="72"/>
  <c r="AM9" i="72"/>
  <c r="AN9" i="72"/>
  <c r="AP9" i="72"/>
  <c r="AO9" i="72"/>
  <c r="AI18" i="37"/>
  <c r="AJ18" i="37"/>
  <c r="AG18" i="37"/>
  <c r="AH18" i="37"/>
  <c r="AG6" i="72"/>
  <c r="Y6" i="72"/>
  <c r="AC9" i="49" s="1"/>
  <c r="AI8" i="52" s="1"/>
  <c r="AB6" i="72"/>
  <c r="AL6" i="72"/>
  <c r="Y10" i="46"/>
  <c r="AA13" i="49" s="1"/>
  <c r="AG12" i="52" s="1"/>
  <c r="AA10" i="46"/>
  <c r="AK10" i="46"/>
  <c r="AF10" i="46"/>
  <c r="AC9" i="41"/>
  <c r="AD9" i="41"/>
  <c r="AB9" i="41"/>
  <c r="AE9" i="41"/>
  <c r="AE13" i="85"/>
  <c r="AC13" i="85"/>
  <c r="AF13" i="85"/>
  <c r="AD13" i="85"/>
  <c r="AG26" i="41"/>
  <c r="AH26" i="41"/>
  <c r="AJ26" i="41"/>
  <c r="AI26" i="41"/>
  <c r="AK17" i="37"/>
  <c r="AF17" i="37"/>
  <c r="Y17" i="37"/>
  <c r="R12" i="49" s="1"/>
  <c r="X11" i="52" s="1"/>
  <c r="AA17" i="37"/>
  <c r="AE9" i="46"/>
  <c r="AC9" i="46"/>
  <c r="AD9" i="46"/>
  <c r="AB9" i="46"/>
  <c r="AI8" i="58"/>
  <c r="AH8" i="58"/>
  <c r="AJ8" i="58"/>
  <c r="AK8" i="58"/>
  <c r="AC15" i="44"/>
  <c r="AF15" i="44"/>
  <c r="AD15" i="44"/>
  <c r="AE15" i="44"/>
  <c r="AJ26" i="85"/>
  <c r="AH26" i="85"/>
  <c r="AI26" i="85"/>
  <c r="AK26" i="85"/>
  <c r="AJ9" i="85"/>
  <c r="AK9" i="85"/>
  <c r="AH9" i="85"/>
  <c r="AI9" i="85"/>
  <c r="AC16" i="44"/>
  <c r="AF16" i="44"/>
  <c r="AD16" i="44"/>
  <c r="AE16" i="44"/>
  <c r="AH30" i="37"/>
  <c r="AG30" i="37"/>
  <c r="AJ30" i="37"/>
  <c r="AI30" i="37"/>
  <c r="AI9" i="58"/>
  <c r="AH9" i="58"/>
  <c r="AJ9" i="58"/>
  <c r="AK9" i="58"/>
  <c r="AM7" i="45"/>
  <c r="AN7" i="45"/>
  <c r="AL7" i="45"/>
  <c r="AO7" i="45"/>
  <c r="AJ14" i="37"/>
  <c r="AH14" i="37"/>
  <c r="AI14" i="37"/>
  <c r="AG14" i="37"/>
  <c r="AJ13" i="58"/>
  <c r="AH13" i="58"/>
  <c r="AK13" i="58"/>
  <c r="AI13" i="58"/>
  <c r="AC5" i="85"/>
  <c r="AF5" i="85"/>
  <c r="AD5" i="85"/>
  <c r="AE5" i="85"/>
  <c r="AG10" i="72"/>
  <c r="Y10" i="72"/>
  <c r="AC13" i="49" s="1"/>
  <c r="AI12" i="52" s="1"/>
  <c r="AB10" i="72"/>
  <c r="AL10" i="72"/>
  <c r="Y10" i="78"/>
  <c r="AG13" i="49" s="1"/>
  <c r="AD18" i="44"/>
  <c r="AE18" i="44"/>
  <c r="AC18" i="44"/>
  <c r="AF18" i="44"/>
  <c r="AM15" i="37"/>
  <c r="AN15" i="37"/>
  <c r="AL15" i="37"/>
  <c r="AO15" i="37"/>
  <c r="AH7" i="58"/>
  <c r="AJ7" i="58"/>
  <c r="AK7" i="58"/>
  <c r="AI7" i="58"/>
  <c r="AE26" i="44"/>
  <c r="AC26" i="44"/>
  <c r="AF26" i="44"/>
  <c r="AD26" i="44"/>
  <c r="AG17" i="58"/>
  <c r="Y17" i="58"/>
  <c r="V12" i="49" s="1"/>
  <c r="AB11" i="52" s="1"/>
  <c r="AB17" i="58"/>
  <c r="AL17" i="58"/>
  <c r="AB18" i="46"/>
  <c r="AE18" i="46"/>
  <c r="AC18" i="46"/>
  <c r="AD18" i="46"/>
  <c r="AH13" i="72"/>
  <c r="AI13" i="72"/>
  <c r="AJ13" i="72"/>
  <c r="AK13" i="72"/>
  <c r="AG13" i="46"/>
  <c r="AJ13" i="46"/>
  <c r="AH13" i="46"/>
  <c r="AI13" i="46"/>
  <c r="AH31" i="37"/>
  <c r="AI31" i="37"/>
  <c r="AG31" i="37"/>
  <c r="AJ31" i="37"/>
  <c r="AH7" i="46"/>
  <c r="AI7" i="46"/>
  <c r="AG7" i="46"/>
  <c r="AJ7" i="46"/>
  <c r="AG6" i="44"/>
  <c r="Y6" i="44"/>
  <c r="Y9" i="49" s="1"/>
  <c r="AE8" i="52" s="1"/>
  <c r="AB6" i="44"/>
  <c r="AL6" i="44"/>
  <c r="AI18" i="58"/>
  <c r="AJ18" i="58"/>
  <c r="AH18" i="58"/>
  <c r="AK18" i="58"/>
  <c r="AM14" i="44"/>
  <c r="AP14" i="44"/>
  <c r="AN14" i="44"/>
  <c r="AO14" i="44"/>
  <c r="AM13" i="45"/>
  <c r="AN13" i="45"/>
  <c r="AL13" i="45"/>
  <c r="AO13" i="45"/>
  <c r="AL31" i="41"/>
  <c r="AN31" i="41"/>
  <c r="AK31" i="58"/>
  <c r="AI31" i="58"/>
  <c r="AJ31" i="58"/>
  <c r="AH31" i="58"/>
  <c r="AF15" i="72"/>
  <c r="AD15" i="72"/>
  <c r="AE15" i="72"/>
  <c r="AC15" i="72"/>
  <c r="AM15" i="46"/>
  <c r="AN15" i="46"/>
  <c r="AL15" i="46"/>
  <c r="AO15" i="46"/>
  <c r="AO7" i="44"/>
  <c r="AM7" i="44"/>
  <c r="AP7" i="44"/>
  <c r="AN7" i="44"/>
  <c r="AE13" i="37"/>
  <c r="AC13" i="37"/>
  <c r="AD13" i="37"/>
  <c r="AB13" i="37"/>
  <c r="AH16" i="85"/>
  <c r="AK16" i="85"/>
  <c r="AJ16" i="85"/>
  <c r="AI16" i="85"/>
  <c r="AI18" i="85"/>
  <c r="AJ18" i="85"/>
  <c r="AH18" i="85"/>
  <c r="AK18" i="85"/>
  <c r="AE5" i="37"/>
  <c r="AC5" i="37"/>
  <c r="AD5" i="37"/>
  <c r="AB5" i="37"/>
  <c r="AG9" i="37"/>
  <c r="AJ9" i="37"/>
  <c r="AH9" i="37"/>
  <c r="AI9" i="37"/>
  <c r="AC14" i="45"/>
  <c r="AD14" i="45"/>
  <c r="AB14" i="45"/>
  <c r="AE14" i="45"/>
  <c r="AN14" i="72"/>
  <c r="AP14" i="72"/>
  <c r="AO14" i="72"/>
  <c r="AM14" i="72"/>
  <c r="AB13" i="41"/>
  <c r="AE13" i="41"/>
  <c r="AC13" i="41"/>
  <c r="AD13" i="41"/>
  <c r="AK6" i="41"/>
  <c r="AF6" i="41"/>
  <c r="Y6" i="41"/>
  <c r="S9" i="49" s="1"/>
  <c r="Y8" i="52" s="1"/>
  <c r="AA6" i="41"/>
  <c r="AA6" i="37"/>
  <c r="AK6" i="37"/>
  <c r="AF6" i="37"/>
  <c r="Y6" i="37"/>
  <c r="Q9" i="49" s="1"/>
  <c r="W8" i="52" s="1"/>
  <c r="Y10" i="37"/>
  <c r="Q13" i="49" s="1"/>
  <c r="W12" i="52" s="1"/>
  <c r="AA10" i="37"/>
  <c r="AK10" i="37"/>
  <c r="AF10" i="37"/>
  <c r="AI15" i="85"/>
  <c r="AJ15" i="85"/>
  <c r="AK15" i="85"/>
  <c r="AH15" i="85"/>
  <c r="AG7" i="41"/>
  <c r="AH7" i="41"/>
  <c r="AI7" i="41"/>
  <c r="AJ7" i="41"/>
  <c r="AP14" i="85"/>
  <c r="AN14" i="85"/>
  <c r="AO14" i="85"/>
  <c r="AM14" i="85"/>
  <c r="AC16" i="58"/>
  <c r="AF16" i="58"/>
  <c r="AD16" i="58"/>
  <c r="AE16" i="58"/>
  <c r="AL26" i="41"/>
  <c r="AM31" i="46"/>
  <c r="AP30" i="58"/>
  <c r="AN30" i="58"/>
  <c r="AO30" i="46"/>
  <c r="AM30" i="46"/>
  <c r="AJ26" i="45"/>
  <c r="AH26" i="45"/>
  <c r="AI26" i="45"/>
  <c r="AG26" i="45"/>
  <c r="AH26" i="58"/>
  <c r="AI26" i="58"/>
  <c r="AJ26" i="58"/>
  <c r="AK26" i="58"/>
  <c r="AO18" i="72"/>
  <c r="AM18" i="72"/>
  <c r="AN18" i="72"/>
  <c r="AP18" i="72"/>
  <c r="AL14" i="46"/>
  <c r="AO14" i="46"/>
  <c r="AM14" i="46"/>
  <c r="AN14" i="46"/>
  <c r="AD15" i="41"/>
  <c r="AB15" i="41"/>
  <c r="AE15" i="41"/>
  <c r="AC15" i="41"/>
  <c r="AB14" i="41"/>
  <c r="AE14" i="41"/>
  <c r="AC14" i="41"/>
  <c r="AD14" i="41"/>
  <c r="AE13" i="44"/>
  <c r="AC13" i="44"/>
  <c r="AF13" i="44"/>
  <c r="AD13" i="44"/>
  <c r="AD30" i="58"/>
  <c r="AE30" i="58"/>
  <c r="AC30" i="58"/>
  <c r="AF30" i="58"/>
  <c r="AH9" i="72"/>
  <c r="AI9" i="72"/>
  <c r="AJ9" i="72"/>
  <c r="AK9" i="72"/>
  <c r="AC15" i="58"/>
  <c r="AF15" i="58"/>
  <c r="AD15" i="58"/>
  <c r="AE15" i="58"/>
  <c r="Y6" i="85"/>
  <c r="AB6" i="85"/>
  <c r="AL6" i="85"/>
  <c r="AG6" i="85"/>
  <c r="AG10" i="85"/>
  <c r="Y10" i="85"/>
  <c r="AB10" i="85"/>
  <c r="AL10" i="85"/>
  <c r="AM9" i="41"/>
  <c r="AN9" i="41"/>
  <c r="AO9" i="41"/>
  <c r="AL9" i="41"/>
  <c r="AD9" i="45"/>
  <c r="AB9" i="45"/>
  <c r="AE9" i="45"/>
  <c r="AC9" i="45"/>
  <c r="AK13" i="85"/>
  <c r="AI13" i="85"/>
  <c r="AJ13" i="85"/>
  <c r="AH13" i="85"/>
  <c r="AE16" i="46"/>
  <c r="AC16" i="46"/>
  <c r="AD16" i="46"/>
  <c r="AB16" i="46"/>
  <c r="AD26" i="46"/>
  <c r="AB26" i="46"/>
  <c r="AE26" i="46"/>
  <c r="AC26" i="46"/>
  <c r="AN9" i="46"/>
  <c r="AL9" i="46"/>
  <c r="AO9" i="46"/>
  <c r="AM9" i="46"/>
  <c r="AP15" i="44"/>
  <c r="AN15" i="44"/>
  <c r="AO15" i="44"/>
  <c r="AM15" i="44"/>
  <c r="AH7" i="85"/>
  <c r="AI7" i="85"/>
  <c r="AJ7" i="85"/>
  <c r="AK7" i="85"/>
  <c r="AB18" i="41"/>
  <c r="AE18" i="41"/>
  <c r="AC18" i="41"/>
  <c r="AD18" i="41"/>
  <c r="AN16" i="44"/>
  <c r="AO16" i="44"/>
  <c r="AM16" i="44"/>
  <c r="AP16" i="44"/>
  <c r="AE18" i="45"/>
  <c r="AC18" i="45"/>
  <c r="AD18" i="45"/>
  <c r="AB18" i="45"/>
  <c r="AG7" i="45"/>
  <c r="AJ7" i="45"/>
  <c r="AH7" i="45"/>
  <c r="AI7" i="45"/>
  <c r="AN5" i="85"/>
  <c r="AP5" i="85"/>
  <c r="AO5" i="85"/>
  <c r="AM5" i="85"/>
  <c r="AM18" i="44"/>
  <c r="AP18" i="44"/>
  <c r="AN18" i="44"/>
  <c r="AO18" i="44"/>
  <c r="AG15" i="37"/>
  <c r="AJ15" i="37"/>
  <c r="AH15" i="37"/>
  <c r="AI15" i="37"/>
  <c r="AC16" i="45"/>
  <c r="AD16" i="45"/>
  <c r="AB16" i="45"/>
  <c r="AE16" i="45"/>
  <c r="AH30" i="41"/>
  <c r="AI30" i="41"/>
  <c r="AG30" i="41"/>
  <c r="AJ30" i="41"/>
  <c r="AN18" i="46"/>
  <c r="AL18" i="46"/>
  <c r="AO18" i="46"/>
  <c r="AM18" i="46"/>
  <c r="AE16" i="37"/>
  <c r="AC16" i="37"/>
  <c r="AD16" i="37"/>
  <c r="AB16" i="37"/>
  <c r="AF16" i="72"/>
  <c r="AD16" i="72"/>
  <c r="AE16" i="72"/>
  <c r="AC16" i="72"/>
  <c r="AB10" i="44"/>
  <c r="AL10" i="44"/>
  <c r="AG10" i="44"/>
  <c r="Y10" i="44"/>
  <c r="Y13" i="49" s="1"/>
  <c r="AE12" i="52" s="1"/>
  <c r="AI14" i="44"/>
  <c r="AH14" i="44"/>
  <c r="AK14" i="44"/>
  <c r="AJ14" i="44"/>
  <c r="AI13" i="45"/>
  <c r="AG13" i="45"/>
  <c r="AJ13" i="45"/>
  <c r="AH13" i="45"/>
  <c r="AP26" i="58"/>
  <c r="AO26" i="58"/>
  <c r="AG31" i="41"/>
  <c r="AJ31" i="41"/>
  <c r="AH31" i="41"/>
  <c r="AI31" i="41"/>
  <c r="AG17" i="72"/>
  <c r="Y17" i="72"/>
  <c r="AD12" i="49" s="1"/>
  <c r="AJ11" i="52" s="1"/>
  <c r="AB17" i="72"/>
  <c r="AL17" i="72"/>
  <c r="Y17" i="78"/>
  <c r="AH12" i="49" s="1"/>
  <c r="AC9" i="44"/>
  <c r="AF9" i="44"/>
  <c r="AD9" i="44"/>
  <c r="AE9" i="44"/>
  <c r="AN15" i="72"/>
  <c r="AP15" i="72"/>
  <c r="AO15" i="72"/>
  <c r="AM15" i="72"/>
  <c r="AJ15" i="46"/>
  <c r="AH15" i="46"/>
  <c r="AI15" i="46"/>
  <c r="AG15" i="46"/>
  <c r="AH7" i="44"/>
  <c r="AK7" i="44"/>
  <c r="AJ7" i="44"/>
  <c r="AI7" i="44"/>
  <c r="AO13" i="37"/>
  <c r="AM13" i="37"/>
  <c r="AN13" i="37"/>
  <c r="AL13" i="37"/>
  <c r="AO18" i="85"/>
  <c r="AM18" i="85"/>
  <c r="AP18" i="85"/>
  <c r="AN18" i="85"/>
  <c r="AC7" i="72"/>
  <c r="AF7" i="72"/>
  <c r="AD7" i="72"/>
  <c r="AE7" i="72"/>
  <c r="AF14" i="58"/>
  <c r="AD14" i="58"/>
  <c r="AE14" i="58"/>
  <c r="AC14" i="58"/>
  <c r="AB5" i="41"/>
  <c r="AE5" i="41"/>
  <c r="AC5" i="41"/>
  <c r="AD5" i="41"/>
  <c r="AE9" i="37"/>
  <c r="AC9" i="37"/>
  <c r="AD9" i="37"/>
  <c r="AB9" i="37"/>
  <c r="AC15" i="45"/>
  <c r="AD15" i="45"/>
  <c r="AB15" i="45"/>
  <c r="AE15" i="45"/>
  <c r="AN14" i="45"/>
  <c r="AL14" i="45"/>
  <c r="AO14" i="45"/>
  <c r="AM14" i="45"/>
  <c r="AI14" i="72"/>
  <c r="AJ14" i="72"/>
  <c r="AK14" i="72"/>
  <c r="AH14" i="72"/>
  <c r="AN13" i="41"/>
  <c r="AL13" i="41"/>
  <c r="AO13" i="41"/>
  <c r="AM13" i="41"/>
  <c r="AK6" i="45"/>
  <c r="AF6" i="45"/>
  <c r="Y6" i="45"/>
  <c r="W9" i="49" s="1"/>
  <c r="AC8" i="52" s="1"/>
  <c r="AA6" i="45"/>
  <c r="AA10" i="41"/>
  <c r="AK10" i="41"/>
  <c r="AF10" i="41"/>
  <c r="Y10" i="41"/>
  <c r="S13" i="49" s="1"/>
  <c r="Y12" i="52" s="1"/>
  <c r="AO15" i="85"/>
  <c r="AM15" i="85"/>
  <c r="AN15" i="85"/>
  <c r="AP15" i="85"/>
  <c r="AB7" i="37"/>
  <c r="AE7" i="37"/>
  <c r="AC7" i="37"/>
  <c r="AD7" i="37"/>
  <c r="AM16" i="58"/>
  <c r="AP16" i="58"/>
  <c r="AN16" i="58"/>
  <c r="AO16" i="58"/>
  <c r="AM31" i="44"/>
  <c r="AL30" i="46"/>
  <c r="AO31" i="72"/>
  <c r="AP31" i="72"/>
  <c r="AR5" i="72" l="1"/>
  <c r="G15" i="47" s="1"/>
  <c r="AO8" i="72"/>
  <c r="AR5" i="44"/>
  <c r="M15" i="47" s="1"/>
  <c r="AR5" i="46"/>
  <c r="O25" i="47" s="1"/>
  <c r="AR5" i="58"/>
  <c r="I15" i="47" s="1"/>
  <c r="AQ5" i="58"/>
  <c r="I5" i="47" s="1"/>
  <c r="AG8" i="41"/>
  <c r="AF8" i="85"/>
  <c r="AS5" i="58"/>
  <c r="AS5" i="44"/>
  <c r="M25" i="47" s="1"/>
  <c r="AL13" i="78"/>
  <c r="AP30" i="78"/>
  <c r="AP13" i="78" s="1"/>
  <c r="AD8" i="72"/>
  <c r="AN30" i="78"/>
  <c r="AN13" i="78" s="1"/>
  <c r="AQ5" i="46"/>
  <c r="O15" i="47" s="1"/>
  <c r="AA35" i="47"/>
  <c r="AA36" i="47"/>
  <c r="AI8" i="46"/>
  <c r="AC8" i="37"/>
  <c r="AE13" i="47"/>
  <c r="O20" i="61"/>
  <c r="O21" i="61" s="1"/>
  <c r="W42" i="47" s="1"/>
  <c r="U11" i="47"/>
  <c r="U43" i="47" s="1"/>
  <c r="AE3" i="47"/>
  <c r="AD8" i="37"/>
  <c r="AC8" i="85"/>
  <c r="AE8" i="37"/>
  <c r="AO8" i="41"/>
  <c r="AA40" i="47"/>
  <c r="AB40" i="47"/>
  <c r="AA34" i="47"/>
  <c r="AC34" i="47" s="1"/>
  <c r="AF8" i="72"/>
  <c r="AH8" i="46"/>
  <c r="AA38" i="47"/>
  <c r="AQ5" i="44"/>
  <c r="M5" i="47" s="1"/>
  <c r="AD8" i="85"/>
  <c r="AN8" i="41"/>
  <c r="W46" i="47"/>
  <c r="G12" i="90" s="1"/>
  <c r="AB34" i="47"/>
  <c r="AD34" i="47" s="1"/>
  <c r="AB39" i="47"/>
  <c r="AB37" i="47"/>
  <c r="AA39" i="47"/>
  <c r="AB36" i="47"/>
  <c r="AO30" i="78"/>
  <c r="AO13" i="78" s="1"/>
  <c r="Y43" i="47"/>
  <c r="W44" i="47"/>
  <c r="E12" i="90" s="1"/>
  <c r="M20" i="62"/>
  <c r="M21" i="62" s="1"/>
  <c r="Y22" i="47" s="1"/>
  <c r="O19" i="62"/>
  <c r="O20" i="62" s="1"/>
  <c r="O21" i="62" s="1"/>
  <c r="Y21" i="47"/>
  <c r="Y36" i="47"/>
  <c r="Y41" i="47" s="1"/>
  <c r="AL24" i="78"/>
  <c r="AL25" i="78"/>
  <c r="AG30" i="78"/>
  <c r="AG13" i="78"/>
  <c r="AA23" i="47"/>
  <c r="AC23" i="47" s="1"/>
  <c r="AL26" i="78"/>
  <c r="AL22" i="78"/>
  <c r="AA37" i="47"/>
  <c r="AB38" i="47"/>
  <c r="AB3" i="47"/>
  <c r="AD3" i="47" s="1"/>
  <c r="AB23" i="47"/>
  <c r="AB13" i="47"/>
  <c r="AD13" i="47" s="1"/>
  <c r="AB30" i="78"/>
  <c r="AB13" i="78"/>
  <c r="AA13" i="47"/>
  <c r="AC13" i="47" s="1"/>
  <c r="AL31" i="78"/>
  <c r="AL33" i="78"/>
  <c r="L20" i="62"/>
  <c r="L21" i="62" s="1"/>
  <c r="Y12" i="47" s="1"/>
  <c r="U33" i="47"/>
  <c r="U21" i="47"/>
  <c r="AL32" i="78"/>
  <c r="Z36" i="47"/>
  <c r="Z41" i="47" s="1"/>
  <c r="Z21" i="47"/>
  <c r="AA3" i="47"/>
  <c r="AC3" i="47" s="1"/>
  <c r="AL34" i="78"/>
  <c r="AL23" i="78"/>
  <c r="AL27" i="78"/>
  <c r="AL35" i="78"/>
  <c r="AM8" i="41"/>
  <c r="AK8" i="85"/>
  <c r="AC8" i="72"/>
  <c r="AM8" i="44"/>
  <c r="AG8" i="45"/>
  <c r="AJ8" i="46"/>
  <c r="AD8" i="46"/>
  <c r="AP8" i="44"/>
  <c r="AN8" i="44"/>
  <c r="AD8" i="44"/>
  <c r="AC8" i="46"/>
  <c r="AJ8" i="85"/>
  <c r="AJ8" i="72"/>
  <c r="AB8" i="46"/>
  <c r="AG8" i="37"/>
  <c r="AI8" i="37"/>
  <c r="AK8" i="72"/>
  <c r="AO8" i="37"/>
  <c r="AQ5" i="45"/>
  <c r="K15" i="47" s="1"/>
  <c r="K35" i="47" s="1"/>
  <c r="AH8" i="85"/>
  <c r="AJ8" i="37"/>
  <c r="AN8" i="37"/>
  <c r="AL8" i="45"/>
  <c r="AC8" i="41"/>
  <c r="AI8" i="72"/>
  <c r="AL8" i="37"/>
  <c r="AN8" i="46"/>
  <c r="AM8" i="72"/>
  <c r="AH8" i="41"/>
  <c r="AP8" i="72"/>
  <c r="AI8" i="41"/>
  <c r="AN8" i="85"/>
  <c r="AE8" i="44"/>
  <c r="AO8" i="45"/>
  <c r="AD8" i="41"/>
  <c r="AL8" i="46"/>
  <c r="AP5" i="46"/>
  <c r="O5" i="47" s="1"/>
  <c r="AS5" i="72"/>
  <c r="G25" i="47" s="1"/>
  <c r="AQ5" i="72"/>
  <c r="G5" i="47" s="1"/>
  <c r="AC8" i="44"/>
  <c r="AM8" i="45"/>
  <c r="AB8" i="41"/>
  <c r="AO8" i="46"/>
  <c r="AJ8" i="45"/>
  <c r="AH8" i="45"/>
  <c r="AC8" i="45"/>
  <c r="AM8" i="85"/>
  <c r="AP8" i="85"/>
  <c r="AE8" i="45"/>
  <c r="AB8" i="45"/>
  <c r="AK8" i="44"/>
  <c r="AI8" i="44"/>
  <c r="AJ8" i="44"/>
  <c r="AP5" i="45"/>
  <c r="K5" i="47" s="1"/>
  <c r="AP13" i="45"/>
  <c r="L5" i="47" s="1"/>
  <c r="AQ7" i="44"/>
  <c r="M7" i="47" s="1"/>
  <c r="AQ18" i="45"/>
  <c r="L20" i="47" s="1"/>
  <c r="AR14" i="41"/>
  <c r="F26" i="47" s="1"/>
  <c r="AR13" i="44"/>
  <c r="N15" i="47" s="1"/>
  <c r="AP18" i="45"/>
  <c r="L10" i="47" s="1"/>
  <c r="AS15" i="44"/>
  <c r="N27" i="47" s="1"/>
  <c r="AQ8" i="58"/>
  <c r="I8" i="47" s="1"/>
  <c r="AS16" i="58"/>
  <c r="J28" i="47" s="1"/>
  <c r="AP7" i="37"/>
  <c r="C7" i="47" s="1"/>
  <c r="AS16" i="72"/>
  <c r="H28" i="47" s="1"/>
  <c r="AR16" i="46"/>
  <c r="P28" i="47" s="1"/>
  <c r="AP16" i="37"/>
  <c r="D8" i="47" s="1"/>
  <c r="AQ7" i="45"/>
  <c r="K17" i="47" s="1"/>
  <c r="AQ16" i="58"/>
  <c r="J8" i="47" s="1"/>
  <c r="AR18" i="85"/>
  <c r="R20" i="47" s="1"/>
  <c r="AR13" i="72"/>
  <c r="H15" i="47" s="1"/>
  <c r="AR7" i="41"/>
  <c r="E27" i="47" s="1"/>
  <c r="AR7" i="72"/>
  <c r="G17" i="47" s="1"/>
  <c r="AP16" i="41"/>
  <c r="F8" i="47" s="1"/>
  <c r="AR7" i="37"/>
  <c r="C27" i="47" s="1"/>
  <c r="AR14" i="72"/>
  <c r="H16" i="47" s="1"/>
  <c r="AQ14" i="58"/>
  <c r="J6" i="47" s="1"/>
  <c r="AS5" i="85"/>
  <c r="Q25" i="47" s="1"/>
  <c r="AR9" i="72"/>
  <c r="G19" i="47" s="1"/>
  <c r="AR14" i="46"/>
  <c r="P26" i="47" s="1"/>
  <c r="AP5" i="37"/>
  <c r="C5" i="47" s="1"/>
  <c r="AR7" i="44"/>
  <c r="M17" i="47" s="1"/>
  <c r="AQ16" i="72"/>
  <c r="H8" i="47" s="1"/>
  <c r="AR14" i="85"/>
  <c r="R16" i="47" s="1"/>
  <c r="AQ14" i="72"/>
  <c r="H6" i="47" s="1"/>
  <c r="AP7" i="41"/>
  <c r="E7" i="47" s="1"/>
  <c r="AQ13" i="72"/>
  <c r="H5" i="47" s="1"/>
  <c r="AR18" i="41"/>
  <c r="F30" i="47" s="1"/>
  <c r="AS15" i="58"/>
  <c r="J27" i="47" s="1"/>
  <c r="AR18" i="72"/>
  <c r="H20" i="47" s="1"/>
  <c r="AQ9" i="44"/>
  <c r="M9" i="47" s="1"/>
  <c r="AR14" i="44"/>
  <c r="AS16" i="44"/>
  <c r="N28" i="47" s="1"/>
  <c r="AQ15" i="72"/>
  <c r="H7" i="47" s="1"/>
  <c r="AQ5" i="85"/>
  <c r="Q5" i="47" s="1"/>
  <c r="AR9" i="85"/>
  <c r="Q19" i="47" s="1"/>
  <c r="AP14" i="46"/>
  <c r="P6" i="47" s="1"/>
  <c r="AQ5" i="37"/>
  <c r="C15" i="47" s="1"/>
  <c r="AR14" i="58"/>
  <c r="J16" i="47" s="1"/>
  <c r="AP15" i="46"/>
  <c r="P7" i="47" s="1"/>
  <c r="AQ14" i="45"/>
  <c r="L16" i="47" s="1"/>
  <c r="AR15" i="72"/>
  <c r="H17" i="47" s="1"/>
  <c r="AQ18" i="46"/>
  <c r="P20" i="47" s="1"/>
  <c r="AR14" i="45"/>
  <c r="L26" i="47" s="1"/>
  <c r="AQ13" i="85"/>
  <c r="R5" i="47" s="1"/>
  <c r="AQ18" i="37"/>
  <c r="D20" i="47" s="1"/>
  <c r="AQ16" i="41"/>
  <c r="F18" i="47" s="1"/>
  <c r="AQ18" i="72"/>
  <c r="H10" i="47" s="1"/>
  <c r="AS7" i="58"/>
  <c r="I27" i="47" s="1"/>
  <c r="AS9" i="85"/>
  <c r="Q29" i="47" s="1"/>
  <c r="AQ9" i="46"/>
  <c r="O19" i="47" s="1"/>
  <c r="AP14" i="41"/>
  <c r="F6" i="47" s="1"/>
  <c r="AR15" i="85"/>
  <c r="R17" i="47" s="1"/>
  <c r="AR18" i="58"/>
  <c r="J20" i="47" s="1"/>
  <c r="AQ18" i="44"/>
  <c r="N10" i="47" s="1"/>
  <c r="AQ9" i="45"/>
  <c r="K19" i="47" s="1"/>
  <c r="AP7" i="46"/>
  <c r="O7" i="47" s="1"/>
  <c r="AQ13" i="58"/>
  <c r="J5" i="47" s="1"/>
  <c r="AD6" i="45"/>
  <c r="AB6" i="45"/>
  <c r="AE6" i="45"/>
  <c r="AC6" i="45"/>
  <c r="AD10" i="41"/>
  <c r="AB10" i="41"/>
  <c r="AE10" i="41"/>
  <c r="AC10" i="41"/>
  <c r="AM6" i="45"/>
  <c r="AN6" i="45"/>
  <c r="AL6" i="45"/>
  <c r="AO6" i="45"/>
  <c r="AD17" i="72"/>
  <c r="AE17" i="72"/>
  <c r="AC17" i="72"/>
  <c r="AF17" i="72"/>
  <c r="AE10" i="44"/>
  <c r="AC10" i="44"/>
  <c r="AF10" i="44"/>
  <c r="AD10" i="44"/>
  <c r="AE6" i="85"/>
  <c r="AC6" i="85"/>
  <c r="AF6" i="85"/>
  <c r="AD6" i="85"/>
  <c r="AL10" i="37"/>
  <c r="AM10" i="37"/>
  <c r="AN10" i="37"/>
  <c r="AO10" i="37"/>
  <c r="AG6" i="37"/>
  <c r="AH6" i="37"/>
  <c r="AJ6" i="37"/>
  <c r="AI6" i="37"/>
  <c r="AE6" i="44"/>
  <c r="AC6" i="44"/>
  <c r="AF6" i="44"/>
  <c r="AD6" i="44"/>
  <c r="AM17" i="58"/>
  <c r="AP17" i="58"/>
  <c r="AN17" i="58"/>
  <c r="AO17" i="58"/>
  <c r="AC10" i="72"/>
  <c r="AF10" i="72"/>
  <c r="AD10" i="72"/>
  <c r="AE10" i="72"/>
  <c r="AG17" i="37"/>
  <c r="AJ17" i="37"/>
  <c r="AH17" i="37"/>
  <c r="AI17" i="37"/>
  <c r="AO10" i="46"/>
  <c r="AM10" i="46"/>
  <c r="AN10" i="46"/>
  <c r="AL10" i="46"/>
  <c r="AF6" i="72"/>
  <c r="AD6" i="72"/>
  <c r="AE6" i="72"/>
  <c r="AC6" i="72"/>
  <c r="AG17" i="41"/>
  <c r="AJ17" i="41"/>
  <c r="AH17" i="41"/>
  <c r="AI17" i="41"/>
  <c r="AI17" i="44"/>
  <c r="AH17" i="44"/>
  <c r="AK17" i="44"/>
  <c r="AJ17" i="44"/>
  <c r="AJ17" i="46"/>
  <c r="AH17" i="46"/>
  <c r="AI17" i="46"/>
  <c r="AG17" i="46"/>
  <c r="AN17" i="85"/>
  <c r="AO17" i="85"/>
  <c r="AM17" i="85"/>
  <c r="AP17" i="85"/>
  <c r="AL6" i="46"/>
  <c r="AO6" i="46"/>
  <c r="AM6" i="46"/>
  <c r="AN6" i="46"/>
  <c r="AS15" i="85"/>
  <c r="R27" i="47" s="1"/>
  <c r="AR13" i="37"/>
  <c r="D25" i="47" s="1"/>
  <c r="AP15" i="45"/>
  <c r="L7" i="47" s="1"/>
  <c r="AP9" i="37"/>
  <c r="C9" i="47" s="1"/>
  <c r="AQ7" i="72"/>
  <c r="G7" i="47" s="1"/>
  <c r="AS18" i="44"/>
  <c r="N30" i="47" s="1"/>
  <c r="AR7" i="85"/>
  <c r="AP9" i="45"/>
  <c r="K9" i="47" s="1"/>
  <c r="AQ15" i="58"/>
  <c r="J7" i="47" s="1"/>
  <c r="AS14" i="85"/>
  <c r="R26" i="47" s="1"/>
  <c r="AP14" i="45"/>
  <c r="L6" i="47" s="1"/>
  <c r="AP13" i="37"/>
  <c r="D5" i="47" s="1"/>
  <c r="AS7" i="44"/>
  <c r="M27" i="47" s="1"/>
  <c r="AR15" i="46"/>
  <c r="P27" i="47" s="1"/>
  <c r="AS14" i="44"/>
  <c r="N26" i="47" s="1"/>
  <c r="AQ13" i="46"/>
  <c r="AR7" i="58"/>
  <c r="AR15" i="37"/>
  <c r="D27" i="47" s="1"/>
  <c r="AR13" i="58"/>
  <c r="AQ14" i="37"/>
  <c r="AR7" i="45"/>
  <c r="K27" i="47" s="1"/>
  <c r="AQ16" i="44"/>
  <c r="N8" i="47" s="1"/>
  <c r="AP9" i="46"/>
  <c r="O9" i="47" s="1"/>
  <c r="AQ7" i="37"/>
  <c r="AQ15" i="85"/>
  <c r="R7" i="47" s="1"/>
  <c r="AQ15" i="45"/>
  <c r="AR9" i="37"/>
  <c r="C29" i="47" s="1"/>
  <c r="AQ14" i="44"/>
  <c r="N6" i="47" s="1"/>
  <c r="AS18" i="58"/>
  <c r="J30" i="47" s="1"/>
  <c r="AR7" i="46"/>
  <c r="O27" i="47" s="1"/>
  <c r="AQ16" i="45"/>
  <c r="AP15" i="37"/>
  <c r="D7" i="47" s="1"/>
  <c r="AP7" i="45"/>
  <c r="K7" i="47" s="1"/>
  <c r="AQ18" i="41"/>
  <c r="AQ9" i="85"/>
  <c r="Q9" i="47" s="1"/>
  <c r="AQ15" i="41"/>
  <c r="AS14" i="58"/>
  <c r="J26" i="47" s="1"/>
  <c r="AQ13" i="37"/>
  <c r="AR16" i="37"/>
  <c r="D28" i="47" s="1"/>
  <c r="AQ7" i="58"/>
  <c r="I7" i="47" s="1"/>
  <c r="AR18" i="45"/>
  <c r="L30" i="47" s="1"/>
  <c r="AR16" i="44"/>
  <c r="AR15" i="44"/>
  <c r="AS13" i="85"/>
  <c r="R25" i="47" s="1"/>
  <c r="AP18" i="37"/>
  <c r="D10" i="47" s="1"/>
  <c r="AR15" i="41"/>
  <c r="F27" i="47" s="1"/>
  <c r="AN10" i="41"/>
  <c r="AO10" i="41"/>
  <c r="AL10" i="41"/>
  <c r="AM10" i="41"/>
  <c r="AM17" i="72"/>
  <c r="AN17" i="72"/>
  <c r="AP17" i="72"/>
  <c r="AO17" i="72"/>
  <c r="AO10" i="44"/>
  <c r="AM10" i="44"/>
  <c r="AP10" i="44"/>
  <c r="AN10" i="44"/>
  <c r="AE10" i="85"/>
  <c r="AC10" i="85"/>
  <c r="AF10" i="85"/>
  <c r="AD10" i="85"/>
  <c r="AO6" i="85"/>
  <c r="AM6" i="85"/>
  <c r="AP6" i="85"/>
  <c r="AN6" i="85"/>
  <c r="AH10" i="37"/>
  <c r="AI10" i="37"/>
  <c r="AJ10" i="37"/>
  <c r="AG10" i="37"/>
  <c r="AE6" i="41"/>
  <c r="AC6" i="41"/>
  <c r="AD6" i="41"/>
  <c r="AB6" i="41"/>
  <c r="AM6" i="44"/>
  <c r="AP6" i="44"/>
  <c r="AN6" i="44"/>
  <c r="AO6" i="44"/>
  <c r="AJ17" i="58"/>
  <c r="AH17" i="58"/>
  <c r="AK17" i="58"/>
  <c r="AI17" i="58"/>
  <c r="AO10" i="72"/>
  <c r="AM10" i="72"/>
  <c r="AN10" i="72"/>
  <c r="AP10" i="72"/>
  <c r="AG10" i="46"/>
  <c r="AJ10" i="46"/>
  <c r="AH10" i="46"/>
  <c r="AI10" i="46"/>
  <c r="AM6" i="72"/>
  <c r="AP6" i="72"/>
  <c r="AN6" i="72"/>
  <c r="AO6" i="72"/>
  <c r="AC10" i="45"/>
  <c r="AD10" i="45"/>
  <c r="AB10" i="45"/>
  <c r="AE10" i="45"/>
  <c r="AF17" i="85"/>
  <c r="AD17" i="85"/>
  <c r="AE17" i="85"/>
  <c r="AC17" i="85"/>
  <c r="AE17" i="45"/>
  <c r="AC17" i="45"/>
  <c r="AD17" i="45"/>
  <c r="AB17" i="45"/>
  <c r="AH6" i="46"/>
  <c r="AI6" i="46"/>
  <c r="AG6" i="46"/>
  <c r="AJ6" i="46"/>
  <c r="AD10" i="58"/>
  <c r="AE10" i="58"/>
  <c r="AC10" i="58"/>
  <c r="AF10" i="58"/>
  <c r="AF6" i="58"/>
  <c r="AD6" i="58"/>
  <c r="AE6" i="58"/>
  <c r="AC6" i="58"/>
  <c r="AS13" i="58"/>
  <c r="J25" i="47" s="1"/>
  <c r="AR13" i="45"/>
  <c r="L25" i="47" s="1"/>
  <c r="AQ14" i="85"/>
  <c r="R6" i="47" s="1"/>
  <c r="AQ13" i="41"/>
  <c r="AR9" i="45"/>
  <c r="K29" i="47" s="1"/>
  <c r="AI6" i="45"/>
  <c r="AG6" i="45"/>
  <c r="AJ6" i="45"/>
  <c r="AH6" i="45"/>
  <c r="AI10" i="41"/>
  <c r="AJ10" i="41"/>
  <c r="AG10" i="41"/>
  <c r="AH10" i="41"/>
  <c r="AI17" i="72"/>
  <c r="AJ17" i="72"/>
  <c r="AK17" i="72"/>
  <c r="AH17" i="72"/>
  <c r="AI10" i="44"/>
  <c r="AH10" i="44"/>
  <c r="AK10" i="44"/>
  <c r="AJ10" i="44"/>
  <c r="AM10" i="85"/>
  <c r="AP10" i="85"/>
  <c r="AN10" i="85"/>
  <c r="AO10" i="85"/>
  <c r="AI6" i="85"/>
  <c r="AH6" i="85"/>
  <c r="AJ6" i="85"/>
  <c r="AK6" i="85"/>
  <c r="AE6" i="37"/>
  <c r="AC6" i="37"/>
  <c r="AD6" i="37"/>
  <c r="AB6" i="37"/>
  <c r="AM6" i="41"/>
  <c r="AN6" i="41"/>
  <c r="AO6" i="41"/>
  <c r="AL6" i="41"/>
  <c r="AK6" i="44"/>
  <c r="AI6" i="44"/>
  <c r="AJ6" i="44"/>
  <c r="AH6" i="44"/>
  <c r="AI10" i="72"/>
  <c r="AJ10" i="72"/>
  <c r="AK10" i="72"/>
  <c r="AH10" i="72"/>
  <c r="AB17" i="37"/>
  <c r="AE17" i="37"/>
  <c r="AC17" i="37"/>
  <c r="AD17" i="37"/>
  <c r="AJ6" i="72"/>
  <c r="AH6" i="72"/>
  <c r="AK6" i="72"/>
  <c r="AI6" i="72"/>
  <c r="AE17" i="41"/>
  <c r="AC17" i="41"/>
  <c r="AD17" i="41"/>
  <c r="AB17" i="41"/>
  <c r="AE17" i="44"/>
  <c r="AC17" i="44"/>
  <c r="AF17" i="44"/>
  <c r="AD17" i="44"/>
  <c r="AO10" i="45"/>
  <c r="AM10" i="45"/>
  <c r="AN10" i="45"/>
  <c r="AL10" i="45"/>
  <c r="AE17" i="46"/>
  <c r="AC17" i="46"/>
  <c r="AD17" i="46"/>
  <c r="AB17" i="46"/>
  <c r="AN17" i="45"/>
  <c r="AL17" i="45"/>
  <c r="AO17" i="45"/>
  <c r="AM17" i="45"/>
  <c r="AN10" i="58"/>
  <c r="AO10" i="58"/>
  <c r="AM10" i="58"/>
  <c r="AP10" i="58"/>
  <c r="AM6" i="58"/>
  <c r="AN6" i="58"/>
  <c r="AP6" i="58"/>
  <c r="AO6" i="58"/>
  <c r="AP5" i="41"/>
  <c r="AQ15" i="46"/>
  <c r="AS15" i="72"/>
  <c r="H27" i="47" s="1"/>
  <c r="AR18" i="46"/>
  <c r="P30" i="47" s="1"/>
  <c r="AQ15" i="37"/>
  <c r="AP16" i="46"/>
  <c r="P8" i="47" s="1"/>
  <c r="AR13" i="85"/>
  <c r="AQ13" i="44"/>
  <c r="N5" i="47" s="1"/>
  <c r="AP15" i="41"/>
  <c r="F7" i="47" s="1"/>
  <c r="AS18" i="72"/>
  <c r="H30" i="47" s="1"/>
  <c r="AP13" i="41"/>
  <c r="F5" i="47" s="1"/>
  <c r="AQ9" i="37"/>
  <c r="AR16" i="85"/>
  <c r="AQ7" i="46"/>
  <c r="AQ15" i="44"/>
  <c r="N7" i="47" s="1"/>
  <c r="AR8" i="58"/>
  <c r="AP9" i="41"/>
  <c r="E9" i="47" s="1"/>
  <c r="AS16" i="85"/>
  <c r="R28" i="47" s="1"/>
  <c r="AS9" i="58"/>
  <c r="I29" i="47" s="1"/>
  <c r="AQ7" i="85"/>
  <c r="Q7" i="47" s="1"/>
  <c r="AR15" i="58"/>
  <c r="AR18" i="37"/>
  <c r="D30" i="47" s="1"/>
  <c r="AQ14" i="41"/>
  <c r="AS7" i="72"/>
  <c r="G27" i="47" s="1"/>
  <c r="AS9" i="44"/>
  <c r="M29" i="47" s="1"/>
  <c r="AR16" i="45"/>
  <c r="L28" i="47" s="1"/>
  <c r="AQ9" i="58"/>
  <c r="I9" i="47" s="1"/>
  <c r="AS7" i="85"/>
  <c r="Q27" i="47" s="1"/>
  <c r="AI10" i="85"/>
  <c r="AJ10" i="85"/>
  <c r="AH10" i="85"/>
  <c r="AK10" i="85"/>
  <c r="AD10" i="37"/>
  <c r="AB10" i="37"/>
  <c r="AE10" i="37"/>
  <c r="AC10" i="37"/>
  <c r="AL6" i="37"/>
  <c r="AO6" i="37"/>
  <c r="AM6" i="37"/>
  <c r="AN6" i="37"/>
  <c r="AI6" i="41"/>
  <c r="AJ6" i="41"/>
  <c r="AG6" i="41"/>
  <c r="AH6" i="41"/>
  <c r="AE17" i="58"/>
  <c r="AC17" i="58"/>
  <c r="AF17" i="58"/>
  <c r="AD17" i="58"/>
  <c r="AL17" i="37"/>
  <c r="AO17" i="37"/>
  <c r="AM17" i="37"/>
  <c r="AN17" i="37"/>
  <c r="AD10" i="46"/>
  <c r="AB10" i="46"/>
  <c r="AE10" i="46"/>
  <c r="AC10" i="46"/>
  <c r="AN17" i="41"/>
  <c r="AL17" i="41"/>
  <c r="AO17" i="41"/>
  <c r="AM17" i="41"/>
  <c r="AP17" i="44"/>
  <c r="AN17" i="44"/>
  <c r="AO17" i="44"/>
  <c r="AM17" i="44"/>
  <c r="AG10" i="45"/>
  <c r="AJ10" i="45"/>
  <c r="AH10" i="45"/>
  <c r="AI10" i="45"/>
  <c r="AM17" i="46"/>
  <c r="AN17" i="46"/>
  <c r="AL17" i="46"/>
  <c r="AO17" i="46"/>
  <c r="AK17" i="85"/>
  <c r="AI17" i="85"/>
  <c r="AJ17" i="85"/>
  <c r="AH17" i="85"/>
  <c r="AG17" i="45"/>
  <c r="AJ17" i="45"/>
  <c r="AH17" i="45"/>
  <c r="AI17" i="45"/>
  <c r="AE6" i="46"/>
  <c r="AC6" i="46"/>
  <c r="AD6" i="46"/>
  <c r="AB6" i="46"/>
  <c r="AJ10" i="58"/>
  <c r="AH10" i="58"/>
  <c r="AK10" i="58"/>
  <c r="AI10" i="58"/>
  <c r="AJ6" i="58"/>
  <c r="AK6" i="58"/>
  <c r="AI6" i="58"/>
  <c r="AH6" i="58"/>
  <c r="AS18" i="85"/>
  <c r="R30" i="47" s="1"/>
  <c r="AQ13" i="45"/>
  <c r="AP16" i="45"/>
  <c r="L8" i="47" s="1"/>
  <c r="AP18" i="41"/>
  <c r="F10" i="47" s="1"/>
  <c r="AR9" i="46"/>
  <c r="O29" i="47" s="1"/>
  <c r="AR9" i="41"/>
  <c r="E29" i="47" s="1"/>
  <c r="AQ7" i="41"/>
  <c r="AS14" i="72"/>
  <c r="H26" i="47" s="1"/>
  <c r="AP18" i="46"/>
  <c r="P10" i="47" s="1"/>
  <c r="AR9" i="58"/>
  <c r="AS9" i="72"/>
  <c r="G29" i="47" s="1"/>
  <c r="AQ5" i="41"/>
  <c r="AQ18" i="85"/>
  <c r="R10" i="47" s="1"/>
  <c r="AR9" i="44"/>
  <c r="AR16" i="72"/>
  <c r="AR13" i="46"/>
  <c r="P25" i="47" s="1"/>
  <c r="AQ16" i="37"/>
  <c r="AS13" i="72"/>
  <c r="H25" i="47" s="1"/>
  <c r="AR5" i="85"/>
  <c r="AR14" i="37"/>
  <c r="D26" i="47" s="1"/>
  <c r="AS8" i="58"/>
  <c r="I28" i="47" s="1"/>
  <c r="AQ16" i="46"/>
  <c r="AQ9" i="72"/>
  <c r="G9" i="47" s="1"/>
  <c r="AR16" i="41"/>
  <c r="F28" i="47" s="1"/>
  <c r="AR16" i="58"/>
  <c r="AR15" i="45"/>
  <c r="L27" i="47" s="1"/>
  <c r="AR5" i="37"/>
  <c r="AR5" i="41"/>
  <c r="AQ16" i="85"/>
  <c r="R8" i="47" s="1"/>
  <c r="AQ18" i="58"/>
  <c r="J10" i="47" s="1"/>
  <c r="AP13" i="46"/>
  <c r="P5" i="47" s="1"/>
  <c r="AR18" i="44"/>
  <c r="AP14" i="37"/>
  <c r="D6" i="47" s="1"/>
  <c r="AR13" i="41"/>
  <c r="F25" i="47" s="1"/>
  <c r="AQ9" i="41"/>
  <c r="AS13" i="44"/>
  <c r="N25" i="47" s="1"/>
  <c r="AQ14" i="46"/>
  <c r="AR8" i="37" l="1"/>
  <c r="C28" i="47" s="1"/>
  <c r="AT5" i="58"/>
  <c r="AS5" i="46"/>
  <c r="I25" i="47"/>
  <c r="I35" i="47" s="1"/>
  <c r="AQ8" i="85"/>
  <c r="Q8" i="47" s="1"/>
  <c r="AT5" i="44"/>
  <c r="O35" i="47"/>
  <c r="AS13" i="78"/>
  <c r="AH23" i="47" s="1"/>
  <c r="AH33" i="47" s="1"/>
  <c r="AS8" i="44"/>
  <c r="M28" i="47" s="1"/>
  <c r="AQ8" i="46"/>
  <c r="O18" i="47" s="1"/>
  <c r="AL11" i="47"/>
  <c r="AF26" i="47"/>
  <c r="AD26" i="47"/>
  <c r="AC29" i="47"/>
  <c r="AE29" i="47"/>
  <c r="AF6" i="47"/>
  <c r="AD6" i="47"/>
  <c r="AF30" i="47"/>
  <c r="AD30" i="47"/>
  <c r="AD7" i="47"/>
  <c r="AF7" i="47"/>
  <c r="AF5" i="47"/>
  <c r="AD5" i="47"/>
  <c r="AE9" i="47"/>
  <c r="AC9" i="47"/>
  <c r="AE27" i="47"/>
  <c r="AC27" i="47"/>
  <c r="AF8" i="47"/>
  <c r="AD8" i="47"/>
  <c r="AQ8" i="72"/>
  <c r="G8" i="47" s="1"/>
  <c r="AF10" i="47"/>
  <c r="AD10" i="47"/>
  <c r="AE7" i="47"/>
  <c r="AC7" i="47"/>
  <c r="AF27" i="47"/>
  <c r="AD27" i="47"/>
  <c r="AF25" i="47"/>
  <c r="AD25" i="47"/>
  <c r="U41" i="47"/>
  <c r="AE33" i="47"/>
  <c r="AD28" i="47"/>
  <c r="AF28" i="47"/>
  <c r="AP8" i="37"/>
  <c r="C8" i="47" s="1"/>
  <c r="AR8" i="41"/>
  <c r="E28" i="47" s="1"/>
  <c r="F6" i="89"/>
  <c r="G6" i="89" s="1"/>
  <c r="F7" i="89"/>
  <c r="G7" i="89" s="1"/>
  <c r="I7" i="89" s="1"/>
  <c r="F12" i="89"/>
  <c r="G12" i="89" s="1"/>
  <c r="I12" i="89" s="1"/>
  <c r="F22" i="89"/>
  <c r="G22" i="89" s="1"/>
  <c r="F18" i="89"/>
  <c r="G18" i="89" s="1"/>
  <c r="F13" i="89"/>
  <c r="G13" i="89" s="1"/>
  <c r="I13" i="89" s="1"/>
  <c r="F20" i="89"/>
  <c r="G20" i="89" s="1"/>
  <c r="F10" i="89"/>
  <c r="G10" i="89" s="1"/>
  <c r="F17" i="89"/>
  <c r="G17" i="89" s="1"/>
  <c r="F11" i="89"/>
  <c r="G11" i="89" s="1"/>
  <c r="F15" i="89"/>
  <c r="G15" i="89" s="1"/>
  <c r="F5" i="89"/>
  <c r="G5" i="89" s="1"/>
  <c r="AB35" i="78"/>
  <c r="AB18" i="78"/>
  <c r="AG27" i="78"/>
  <c r="AG10" i="78"/>
  <c r="AG23" i="78"/>
  <c r="AG6" i="78"/>
  <c r="AB32" i="78"/>
  <c r="AB15" i="78"/>
  <c r="AL16" i="78"/>
  <c r="AN33" i="78"/>
  <c r="AN16" i="78" s="1"/>
  <c r="AM33" i="78"/>
  <c r="AM16" i="78" s="1"/>
  <c r="AP33" i="78"/>
  <c r="AP16" i="78" s="1"/>
  <c r="AO33" i="78"/>
  <c r="AO16" i="78" s="1"/>
  <c r="AB31" i="78"/>
  <c r="AB14" i="78"/>
  <c r="AA21" i="47"/>
  <c r="AA33" i="47"/>
  <c r="AC33" i="47" s="1"/>
  <c r="AB31" i="47"/>
  <c r="AI13" i="78"/>
  <c r="AK13" i="78"/>
  <c r="AH13" i="78"/>
  <c r="AJ13" i="78"/>
  <c r="AG24" i="78"/>
  <c r="AG7" i="78"/>
  <c r="Y46" i="47"/>
  <c r="AP35" i="78"/>
  <c r="AP18" i="78" s="1"/>
  <c r="AO35" i="78"/>
  <c r="AO18" i="78" s="1"/>
  <c r="AM35" i="78"/>
  <c r="AM18" i="78" s="1"/>
  <c r="AL18" i="78"/>
  <c r="AN35" i="78"/>
  <c r="AN18" i="78" s="1"/>
  <c r="AM34" i="78"/>
  <c r="AM17" i="78" s="1"/>
  <c r="AP34" i="78"/>
  <c r="AP17" i="78" s="1"/>
  <c r="AO34" i="78"/>
  <c r="AO17" i="78" s="1"/>
  <c r="AL17" i="78"/>
  <c r="AN34" i="78"/>
  <c r="AN17" i="78" s="1"/>
  <c r="AA11" i="47"/>
  <c r="AG33" i="78"/>
  <c r="AG16" i="78"/>
  <c r="AP31" i="78"/>
  <c r="AP14" i="78" s="1"/>
  <c r="AL14" i="78"/>
  <c r="AN31" i="78"/>
  <c r="AN14" i="78" s="1"/>
  <c r="AO31" i="78"/>
  <c r="AO14" i="78" s="1"/>
  <c r="AM31" i="78"/>
  <c r="AM14" i="78" s="1"/>
  <c r="AB21" i="47"/>
  <c r="AB33" i="47"/>
  <c r="AL5" i="78"/>
  <c r="AN22" i="78"/>
  <c r="AN5" i="78" s="1"/>
  <c r="AM22" i="78"/>
  <c r="AM5" i="78" s="1"/>
  <c r="AP22" i="78"/>
  <c r="AP5" i="78" s="1"/>
  <c r="AO22" i="78"/>
  <c r="AO5" i="78" s="1"/>
  <c r="AM26" i="78"/>
  <c r="AM9" i="78" s="1"/>
  <c r="AO26" i="78"/>
  <c r="AO9" i="78" s="1"/>
  <c r="AL9" i="78"/>
  <c r="AN26" i="78"/>
  <c r="AN9" i="78" s="1"/>
  <c r="AP26" i="78"/>
  <c r="AP9" i="78" s="1"/>
  <c r="AG25" i="78"/>
  <c r="AG8" i="78"/>
  <c r="AB24" i="78"/>
  <c r="AB7" i="78"/>
  <c r="Y42" i="47"/>
  <c r="H15" i="89"/>
  <c r="AG35" i="78"/>
  <c r="AG18" i="78"/>
  <c r="AB27" i="78"/>
  <c r="AB10" i="78"/>
  <c r="AB23" i="78"/>
  <c r="AB6" i="78"/>
  <c r="AG34" i="78"/>
  <c r="AG17" i="78"/>
  <c r="AM32" i="78"/>
  <c r="AM15" i="78" s="1"/>
  <c r="AN32" i="78"/>
  <c r="AN15" i="78" s="1"/>
  <c r="AO32" i="78"/>
  <c r="AO15" i="78" s="1"/>
  <c r="AP32" i="78"/>
  <c r="AP15" i="78" s="1"/>
  <c r="AL15" i="78"/>
  <c r="U44" i="47"/>
  <c r="AL21" i="47"/>
  <c r="AG31" i="78"/>
  <c r="AG14" i="78"/>
  <c r="AC30" i="78"/>
  <c r="AF30" i="78"/>
  <c r="AE30" i="78"/>
  <c r="AD30" i="78"/>
  <c r="AB11" i="47"/>
  <c r="AG5" i="78"/>
  <c r="AG22" i="78"/>
  <c r="AG26" i="78"/>
  <c r="AG9" i="78"/>
  <c r="AA31" i="47"/>
  <c r="I52" i="47"/>
  <c r="AN25" i="78"/>
  <c r="AN8" i="78" s="1"/>
  <c r="AO25" i="78"/>
  <c r="AO8" i="78" s="1"/>
  <c r="AL8" i="78"/>
  <c r="AP25" i="78"/>
  <c r="AP8" i="78" s="1"/>
  <c r="AM25" i="78"/>
  <c r="AM8" i="78" s="1"/>
  <c r="AN27" i="78"/>
  <c r="AN10" i="78" s="1"/>
  <c r="AL10" i="78"/>
  <c r="AP27" i="78"/>
  <c r="AP10" i="78" s="1"/>
  <c r="AM27" i="78"/>
  <c r="AM10" i="78" s="1"/>
  <c r="AO27" i="78"/>
  <c r="AO10" i="78" s="1"/>
  <c r="AN23" i="78"/>
  <c r="AN6" i="78" s="1"/>
  <c r="AM23" i="78"/>
  <c r="AM6" i="78" s="1"/>
  <c r="AO23" i="78"/>
  <c r="AO6" i="78" s="1"/>
  <c r="AP23" i="78"/>
  <c r="AP6" i="78" s="1"/>
  <c r="AL6" i="78"/>
  <c r="AB34" i="78"/>
  <c r="AB17" i="78"/>
  <c r="AG32" i="78"/>
  <c r="AG15" i="78"/>
  <c r="AB33" i="78"/>
  <c r="AB16" i="78"/>
  <c r="AF13" i="78"/>
  <c r="AE13" i="78"/>
  <c r="AC13" i="78"/>
  <c r="AD13" i="78"/>
  <c r="AB22" i="78"/>
  <c r="AB5" i="78"/>
  <c r="AB9" i="78"/>
  <c r="AB26" i="78"/>
  <c r="AK30" i="78"/>
  <c r="AH30" i="78"/>
  <c r="AI30" i="78"/>
  <c r="AJ30" i="78"/>
  <c r="AB25" i="78"/>
  <c r="AB8" i="78"/>
  <c r="AM24" i="78"/>
  <c r="AM7" i="78" s="1"/>
  <c r="AL7" i="78"/>
  <c r="AN24" i="78"/>
  <c r="AN7" i="78" s="1"/>
  <c r="AO24" i="78"/>
  <c r="AO7" i="78" s="1"/>
  <c r="AP24" i="78"/>
  <c r="AP7" i="78" s="1"/>
  <c r="Y44" i="47"/>
  <c r="AR8" i="85"/>
  <c r="Q18" i="47" s="1"/>
  <c r="AQ8" i="37"/>
  <c r="AS8" i="37" s="1"/>
  <c r="AP8" i="46"/>
  <c r="O8" i="47" s="1"/>
  <c r="AR8" i="72"/>
  <c r="G18" i="47" s="1"/>
  <c r="AS5" i="45"/>
  <c r="AQ8" i="41"/>
  <c r="E18" i="47" s="1"/>
  <c r="AR8" i="46"/>
  <c r="O28" i="47" s="1"/>
  <c r="AR8" i="45"/>
  <c r="K28" i="47" s="1"/>
  <c r="AQ8" i="44"/>
  <c r="M8" i="47" s="1"/>
  <c r="AP8" i="41"/>
  <c r="E8" i="47" s="1"/>
  <c r="AT5" i="72"/>
  <c r="AS8" i="72"/>
  <c r="G28" i="47" s="1"/>
  <c r="AQ8" i="45"/>
  <c r="AS8" i="85"/>
  <c r="Q28" i="47" s="1"/>
  <c r="AP8" i="45"/>
  <c r="K8" i="47" s="1"/>
  <c r="AR8" i="44"/>
  <c r="K37" i="47"/>
  <c r="L36" i="47"/>
  <c r="Q39" i="47"/>
  <c r="AS6" i="85"/>
  <c r="Q26" i="47" s="1"/>
  <c r="AT18" i="58"/>
  <c r="R37" i="47"/>
  <c r="AT14" i="44"/>
  <c r="J40" i="47"/>
  <c r="AT15" i="85"/>
  <c r="AS14" i="45"/>
  <c r="N16" i="47"/>
  <c r="N36" i="47" s="1"/>
  <c r="AS10" i="72"/>
  <c r="G30" i="47" s="1"/>
  <c r="AS6" i="44"/>
  <c r="M26" i="47" s="1"/>
  <c r="AQ6" i="72"/>
  <c r="G6" i="47" s="1"/>
  <c r="AQ10" i="44"/>
  <c r="M10" i="47" s="1"/>
  <c r="AS6" i="58"/>
  <c r="I26" i="47" s="1"/>
  <c r="AR17" i="45"/>
  <c r="L29" i="47" s="1"/>
  <c r="L31" i="47" s="1"/>
  <c r="AQ17" i="44"/>
  <c r="N9" i="47" s="1"/>
  <c r="N11" i="47" s="1"/>
  <c r="AP17" i="41"/>
  <c r="F9" i="47" s="1"/>
  <c r="F11" i="47" s="1"/>
  <c r="AS10" i="85"/>
  <c r="Q30" i="47" s="1"/>
  <c r="AR10" i="44"/>
  <c r="M20" i="47" s="1"/>
  <c r="AQ10" i="58"/>
  <c r="I10" i="47" s="1"/>
  <c r="AQ17" i="46"/>
  <c r="P19" i="47" s="1"/>
  <c r="AQ17" i="37"/>
  <c r="D19" i="47" s="1"/>
  <c r="AQ10" i="72"/>
  <c r="G10" i="47" s="1"/>
  <c r="AT9" i="85"/>
  <c r="AR17" i="46"/>
  <c r="P29" i="47" s="1"/>
  <c r="P31" i="47" s="1"/>
  <c r="AR17" i="41"/>
  <c r="F29" i="47" s="1"/>
  <c r="F31" i="47" s="1"/>
  <c r="AR17" i="37"/>
  <c r="D29" i="47" s="1"/>
  <c r="AQ6" i="41"/>
  <c r="E16" i="47" s="1"/>
  <c r="AQ6" i="44"/>
  <c r="M6" i="47" s="1"/>
  <c r="AQ6" i="37"/>
  <c r="C16" i="47" s="1"/>
  <c r="AQ6" i="85"/>
  <c r="Q6" i="47" s="1"/>
  <c r="AR6" i="45"/>
  <c r="K26" i="47" s="1"/>
  <c r="AR6" i="72"/>
  <c r="G16" i="47" s="1"/>
  <c r="AR6" i="44"/>
  <c r="M16" i="47" s="1"/>
  <c r="AP6" i="37"/>
  <c r="C6" i="47" s="1"/>
  <c r="AP17" i="45"/>
  <c r="L9" i="47" s="1"/>
  <c r="L11" i="47" s="1"/>
  <c r="AP6" i="41"/>
  <c r="E6" i="47" s="1"/>
  <c r="M19" i="47"/>
  <c r="M39" i="47" s="1"/>
  <c r="AT9" i="44"/>
  <c r="AS14" i="46"/>
  <c r="P16" i="47"/>
  <c r="P36" i="47" s="1"/>
  <c r="C25" i="47"/>
  <c r="H18" i="47"/>
  <c r="H38" i="47" s="1"/>
  <c r="AT16" i="72"/>
  <c r="AS13" i="45"/>
  <c r="L15" i="47"/>
  <c r="AS9" i="37"/>
  <c r="C19" i="47"/>
  <c r="E5" i="47"/>
  <c r="AC5" i="47" s="1"/>
  <c r="D40" i="47"/>
  <c r="N18" i="47"/>
  <c r="N38" i="47" s="1"/>
  <c r="AT16" i="44"/>
  <c r="F17" i="47"/>
  <c r="F37" i="47" s="1"/>
  <c r="AS15" i="41"/>
  <c r="J15" i="47"/>
  <c r="AT13" i="58"/>
  <c r="AT7" i="85"/>
  <c r="Q17" i="47"/>
  <c r="Q37" i="47" s="1"/>
  <c r="AQ17" i="45"/>
  <c r="AS17" i="44"/>
  <c r="N29" i="47" s="1"/>
  <c r="N31" i="47" s="1"/>
  <c r="AR6" i="58"/>
  <c r="AR10" i="58"/>
  <c r="AR10" i="85"/>
  <c r="AP17" i="46"/>
  <c r="P9" i="47" s="1"/>
  <c r="P11" i="47" s="1"/>
  <c r="AP17" i="37"/>
  <c r="D9" i="47" s="1"/>
  <c r="H40" i="47"/>
  <c r="AQ6" i="46"/>
  <c r="AP10" i="45"/>
  <c r="K10" i="47" s="1"/>
  <c r="AT7" i="72"/>
  <c r="AS6" i="72"/>
  <c r="AT13" i="72"/>
  <c r="G39" i="47"/>
  <c r="AS7" i="45"/>
  <c r="AS10" i="44"/>
  <c r="M30" i="47" s="1"/>
  <c r="AR10" i="41"/>
  <c r="E30" i="47" s="1"/>
  <c r="AR17" i="44"/>
  <c r="AS17" i="58"/>
  <c r="J29" i="47" s="1"/>
  <c r="J31" i="47" s="1"/>
  <c r="AR10" i="37"/>
  <c r="C30" i="47" s="1"/>
  <c r="AP6" i="45"/>
  <c r="AS9" i="45"/>
  <c r="AS9" i="46"/>
  <c r="H37" i="47"/>
  <c r="AT14" i="58"/>
  <c r="R36" i="47"/>
  <c r="N20" i="47"/>
  <c r="N40" i="47" s="1"/>
  <c r="AT18" i="44"/>
  <c r="P18" i="47"/>
  <c r="P38" i="47" s="1"/>
  <c r="AS16" i="46"/>
  <c r="AT5" i="85"/>
  <c r="Q15" i="47"/>
  <c r="E15" i="47"/>
  <c r="AS5" i="41"/>
  <c r="I19" i="47"/>
  <c r="I39" i="47" s="1"/>
  <c r="AT9" i="58"/>
  <c r="F16" i="47"/>
  <c r="F36" i="47" s="1"/>
  <c r="AS14" i="41"/>
  <c r="I18" i="47"/>
  <c r="I38" i="47" s="1"/>
  <c r="AT8" i="58"/>
  <c r="R18" i="47"/>
  <c r="R38" i="47" s="1"/>
  <c r="AT16" i="85"/>
  <c r="AS15" i="46"/>
  <c r="P17" i="47"/>
  <c r="P37" i="47" s="1"/>
  <c r="M35" i="47"/>
  <c r="AS13" i="41"/>
  <c r="F15" i="47"/>
  <c r="G35" i="47"/>
  <c r="N35" i="47"/>
  <c r="H35" i="47"/>
  <c r="N17" i="47"/>
  <c r="N37" i="47" s="1"/>
  <c r="AT15" i="44"/>
  <c r="L17" i="47"/>
  <c r="L37" i="47" s="1"/>
  <c r="AS15" i="45"/>
  <c r="D16" i="47"/>
  <c r="AS14" i="37"/>
  <c r="P15" i="47"/>
  <c r="AS13" i="46"/>
  <c r="AT9" i="72"/>
  <c r="L40" i="47"/>
  <c r="F38" i="47"/>
  <c r="R40" i="47"/>
  <c r="AT15" i="72"/>
  <c r="J36" i="47"/>
  <c r="AT14" i="85"/>
  <c r="E19" i="47"/>
  <c r="E39" i="47" s="1"/>
  <c r="AS9" i="41"/>
  <c r="E17" i="47"/>
  <c r="E37" i="47" s="1"/>
  <c r="AS7" i="41"/>
  <c r="O17" i="47"/>
  <c r="O37" i="47" s="1"/>
  <c r="AS7" i="46"/>
  <c r="AT13" i="85"/>
  <c r="R15" i="47"/>
  <c r="F20" i="47"/>
  <c r="F40" i="47" s="1"/>
  <c r="AS18" i="41"/>
  <c r="I17" i="47"/>
  <c r="I37" i="47" s="1"/>
  <c r="AT7" i="58"/>
  <c r="AP6" i="46"/>
  <c r="AR17" i="85"/>
  <c r="AP10" i="46"/>
  <c r="O10" i="47" s="1"/>
  <c r="AR6" i="37"/>
  <c r="C26" i="47" s="1"/>
  <c r="AP10" i="37"/>
  <c r="C10" i="47" s="1"/>
  <c r="H36" i="47"/>
  <c r="AS10" i="58"/>
  <c r="I30" i="47" s="1"/>
  <c r="AR10" i="45"/>
  <c r="K30" i="47" s="1"/>
  <c r="AR6" i="41"/>
  <c r="E26" i="47" s="1"/>
  <c r="AR6" i="85"/>
  <c r="AQ10" i="41"/>
  <c r="AQ6" i="58"/>
  <c r="AT13" i="44"/>
  <c r="AQ17" i="85"/>
  <c r="R9" i="47" s="1"/>
  <c r="R11" i="47" s="1"/>
  <c r="AQ10" i="85"/>
  <c r="Q10" i="47" s="1"/>
  <c r="AR6" i="46"/>
  <c r="AQ17" i="41"/>
  <c r="AQ17" i="72"/>
  <c r="H9" i="47" s="1"/>
  <c r="H11" i="47" s="1"/>
  <c r="AS18" i="45"/>
  <c r="AS16" i="41"/>
  <c r="AT18" i="85"/>
  <c r="P40" i="47"/>
  <c r="AS5" i="37"/>
  <c r="AT7" i="44"/>
  <c r="E25" i="47"/>
  <c r="J18" i="47"/>
  <c r="J38" i="47" s="1"/>
  <c r="AT16" i="58"/>
  <c r="D18" i="47"/>
  <c r="AS16" i="37"/>
  <c r="J17" i="47"/>
  <c r="J37" i="47" s="1"/>
  <c r="AT15" i="58"/>
  <c r="AS15" i="37"/>
  <c r="D17" i="47"/>
  <c r="D15" i="47"/>
  <c r="AS13" i="37"/>
  <c r="AS16" i="45"/>
  <c r="L18" i="47"/>
  <c r="L38" i="47" s="1"/>
  <c r="AS7" i="37"/>
  <c r="C17" i="47"/>
  <c r="AQ10" i="45"/>
  <c r="AQ17" i="58"/>
  <c r="J9" i="47" s="1"/>
  <c r="J11" i="47" s="1"/>
  <c r="AT14" i="72"/>
  <c r="AR10" i="72"/>
  <c r="AR17" i="72"/>
  <c r="AQ6" i="45"/>
  <c r="AT18" i="72"/>
  <c r="G37" i="47"/>
  <c r="AS18" i="37"/>
  <c r="AQ10" i="46"/>
  <c r="AR17" i="58"/>
  <c r="AQ10" i="37"/>
  <c r="AS17" i="72"/>
  <c r="H29" i="47" s="1"/>
  <c r="H31" i="47" s="1"/>
  <c r="AS17" i="85"/>
  <c r="R29" i="47" s="1"/>
  <c r="R31" i="47" s="1"/>
  <c r="AR10" i="46"/>
  <c r="O30" i="47" s="1"/>
  <c r="AP10" i="41"/>
  <c r="E10" i="47" s="1"/>
  <c r="K39" i="47"/>
  <c r="O39" i="47"/>
  <c r="AS18" i="46"/>
  <c r="M37" i="47"/>
  <c r="AC15" i="47" l="1"/>
  <c r="AT8" i="44"/>
  <c r="I15" i="89"/>
  <c r="E38" i="47"/>
  <c r="C18" i="47"/>
  <c r="C38" i="47" s="1"/>
  <c r="AE28" i="47"/>
  <c r="AD15" i="47"/>
  <c r="AF15" i="47"/>
  <c r="AF16" i="47"/>
  <c r="AD16" i="47"/>
  <c r="D11" i="47"/>
  <c r="I10" i="90" s="1"/>
  <c r="AF9" i="47"/>
  <c r="AF11" i="47" s="1"/>
  <c r="AD9" i="47"/>
  <c r="AD11" i="47" s="1"/>
  <c r="AC17" i="47"/>
  <c r="AE17" i="47"/>
  <c r="AE30" i="47"/>
  <c r="AC30" i="47"/>
  <c r="AF18" i="47"/>
  <c r="AD18" i="47"/>
  <c r="AF20" i="47"/>
  <c r="AC10" i="47"/>
  <c r="AE10" i="47"/>
  <c r="AE19" i="47"/>
  <c r="AC19" i="47"/>
  <c r="AE5" i="47"/>
  <c r="AD20" i="47"/>
  <c r="AC8" i="47"/>
  <c r="AE8" i="47"/>
  <c r="AC28" i="47"/>
  <c r="AE15" i="47"/>
  <c r="AD17" i="47"/>
  <c r="AF17" i="47"/>
  <c r="AD40" i="47"/>
  <c r="AF40" i="47"/>
  <c r="C35" i="47"/>
  <c r="AC25" i="47"/>
  <c r="AE25" i="47"/>
  <c r="D31" i="47"/>
  <c r="D45" i="47" s="1"/>
  <c r="AF29" i="47"/>
  <c r="AD29" i="47"/>
  <c r="D32" i="89"/>
  <c r="E32" i="89" s="1"/>
  <c r="AS15" i="78"/>
  <c r="AH25" i="47" s="1"/>
  <c r="AS7" i="78"/>
  <c r="AG27" i="47" s="1"/>
  <c r="AS6" i="78"/>
  <c r="AG26" i="47" s="1"/>
  <c r="AS10" i="78"/>
  <c r="AG30" i="47" s="1"/>
  <c r="AF25" i="78"/>
  <c r="AE25" i="78"/>
  <c r="AD25" i="78"/>
  <c r="AC25" i="78"/>
  <c r="AC22" i="78"/>
  <c r="AF22" i="78"/>
  <c r="AE22" i="78"/>
  <c r="AD22" i="78"/>
  <c r="AF33" i="78"/>
  <c r="AE33" i="78"/>
  <c r="AD33" i="78"/>
  <c r="AC33" i="78"/>
  <c r="AD34" i="78"/>
  <c r="AF34" i="78"/>
  <c r="AC34" i="78"/>
  <c r="AE34" i="78"/>
  <c r="AH5" i="78"/>
  <c r="AJ5" i="78"/>
  <c r="AI5" i="78"/>
  <c r="AK5" i="78"/>
  <c r="AH31" i="78"/>
  <c r="AI31" i="78"/>
  <c r="AJ31" i="78"/>
  <c r="AK31" i="78"/>
  <c r="AH17" i="78"/>
  <c r="AJ17" i="78"/>
  <c r="AI17" i="78"/>
  <c r="AK17" i="78"/>
  <c r="AD10" i="78"/>
  <c r="AE10" i="78"/>
  <c r="AF10" i="78"/>
  <c r="AC10" i="78"/>
  <c r="AC24" i="78"/>
  <c r="AE24" i="78"/>
  <c r="AD24" i="78"/>
  <c r="AF24" i="78"/>
  <c r="AH24" i="78"/>
  <c r="AI24" i="78"/>
  <c r="AJ24" i="78"/>
  <c r="AK24" i="78"/>
  <c r="AA44" i="47"/>
  <c r="AA22" i="47"/>
  <c r="AI21" i="47"/>
  <c r="AJ23" i="78"/>
  <c r="AK23" i="78"/>
  <c r="AH23" i="78"/>
  <c r="AI23" i="78"/>
  <c r="AC35" i="78"/>
  <c r="AE35" i="78"/>
  <c r="AD35" i="78"/>
  <c r="AF35" i="78"/>
  <c r="AS5" i="78"/>
  <c r="AS17" i="78"/>
  <c r="AH27" i="47" s="1"/>
  <c r="AS16" i="78"/>
  <c r="AH26" i="47" s="1"/>
  <c r="AE8" i="78"/>
  <c r="AF8" i="78"/>
  <c r="AC8" i="78"/>
  <c r="AD8" i="78"/>
  <c r="AD5" i="78"/>
  <c r="AF5" i="78"/>
  <c r="AC5" i="78"/>
  <c r="AE5" i="78"/>
  <c r="AF16" i="78"/>
  <c r="AC16" i="78"/>
  <c r="AE16" i="78"/>
  <c r="AD16" i="78"/>
  <c r="AD17" i="78"/>
  <c r="AF17" i="78"/>
  <c r="AC17" i="78"/>
  <c r="AE17" i="78"/>
  <c r="AA45" i="47"/>
  <c r="AI31" i="47"/>
  <c r="AA32" i="47"/>
  <c r="AH22" i="78"/>
  <c r="AI22" i="78"/>
  <c r="AJ22" i="78"/>
  <c r="AK22" i="78"/>
  <c r="AI14" i="78"/>
  <c r="AK14" i="78"/>
  <c r="AH14" i="78"/>
  <c r="AJ14" i="78"/>
  <c r="AE23" i="78"/>
  <c r="AC23" i="78"/>
  <c r="AD23" i="78"/>
  <c r="AF23" i="78"/>
  <c r="AH35" i="78"/>
  <c r="AI35" i="78"/>
  <c r="AJ35" i="78"/>
  <c r="AK35" i="78"/>
  <c r="AE7" i="78"/>
  <c r="AD7" i="78"/>
  <c r="AF7" i="78"/>
  <c r="AC7" i="78"/>
  <c r="AK7" i="78"/>
  <c r="AI7" i="78"/>
  <c r="AH7" i="78"/>
  <c r="AJ7" i="78"/>
  <c r="AA41" i="47"/>
  <c r="AC31" i="78"/>
  <c r="AE31" i="78"/>
  <c r="AD31" i="78"/>
  <c r="AF31" i="78"/>
  <c r="AJ6" i="78"/>
  <c r="AI6" i="78"/>
  <c r="AK6" i="78"/>
  <c r="AH6" i="78"/>
  <c r="AE18" i="78"/>
  <c r="AD18" i="78"/>
  <c r="AC18" i="78"/>
  <c r="AF18" i="78"/>
  <c r="AS14" i="78"/>
  <c r="AH24" i="47" s="1"/>
  <c r="AH34" i="47" s="1"/>
  <c r="AD9" i="78"/>
  <c r="AF9" i="78"/>
  <c r="AC9" i="78"/>
  <c r="AE9" i="78"/>
  <c r="AI32" i="78"/>
  <c r="AJ32" i="78"/>
  <c r="AK32" i="78"/>
  <c r="AH32" i="78"/>
  <c r="AK26" i="78"/>
  <c r="AH26" i="78"/>
  <c r="AI26" i="78"/>
  <c r="AJ26" i="78"/>
  <c r="F52" i="47"/>
  <c r="AF6" i="78"/>
  <c r="AC6" i="78"/>
  <c r="AD6" i="78"/>
  <c r="AE6" i="78"/>
  <c r="AI18" i="78"/>
  <c r="AK18" i="78"/>
  <c r="AH18" i="78"/>
  <c r="AJ18" i="78"/>
  <c r="AK25" i="78"/>
  <c r="AJ25" i="78"/>
  <c r="AI25" i="78"/>
  <c r="AH25" i="78"/>
  <c r="AB41" i="47"/>
  <c r="AJ33" i="78"/>
  <c r="AK33" i="78"/>
  <c r="AH33" i="78"/>
  <c r="AI33" i="78"/>
  <c r="AD14" i="78"/>
  <c r="AC14" i="78"/>
  <c r="AF14" i="78"/>
  <c r="AE14" i="78"/>
  <c r="AD32" i="78"/>
  <c r="AF32" i="78"/>
  <c r="AE32" i="78"/>
  <c r="AC32" i="78"/>
  <c r="AI27" i="78"/>
  <c r="AJ27" i="78"/>
  <c r="AK27" i="78"/>
  <c r="AH27" i="78"/>
  <c r="AQ13" i="78"/>
  <c r="AH5" i="47" s="1"/>
  <c r="AS8" i="78"/>
  <c r="AG28" i="47" s="1"/>
  <c r="AR13" i="78"/>
  <c r="AD26" i="78"/>
  <c r="AC26" i="78"/>
  <c r="AF26" i="78"/>
  <c r="AE26" i="78"/>
  <c r="AJ15" i="78"/>
  <c r="AI15" i="78"/>
  <c r="AK15" i="78"/>
  <c r="AH15" i="78"/>
  <c r="AJ9" i="78"/>
  <c r="AK9" i="78"/>
  <c r="AI9" i="78"/>
  <c r="AH9" i="78"/>
  <c r="AI34" i="78"/>
  <c r="AJ34" i="78"/>
  <c r="AK34" i="78"/>
  <c r="AH34" i="78"/>
  <c r="AF27" i="78"/>
  <c r="AE27" i="78"/>
  <c r="AC27" i="78"/>
  <c r="AD27" i="78"/>
  <c r="AI8" i="78"/>
  <c r="AK8" i="78"/>
  <c r="AH8" i="78"/>
  <c r="AJ8" i="78"/>
  <c r="AK16" i="78"/>
  <c r="AJ16" i="78"/>
  <c r="AI16" i="78"/>
  <c r="AH16" i="78"/>
  <c r="AA12" i="47"/>
  <c r="AI11" i="47"/>
  <c r="AA43" i="47"/>
  <c r="AD15" i="78"/>
  <c r="AF15" i="78"/>
  <c r="AC15" i="78"/>
  <c r="AE15" i="78"/>
  <c r="AI10" i="78"/>
  <c r="AK10" i="78"/>
  <c r="AH10" i="78"/>
  <c r="AJ10" i="78"/>
  <c r="AS9" i="78"/>
  <c r="AG29" i="47" s="1"/>
  <c r="AS18" i="78"/>
  <c r="AH28" i="47" s="1"/>
  <c r="AS8" i="46"/>
  <c r="AS8" i="41"/>
  <c r="AT8" i="72"/>
  <c r="G38" i="47"/>
  <c r="Q38" i="47"/>
  <c r="O38" i="47"/>
  <c r="AS8" i="45"/>
  <c r="K18" i="47"/>
  <c r="K38" i="47" s="1"/>
  <c r="AT8" i="85"/>
  <c r="M18" i="47"/>
  <c r="M38" i="47" s="1"/>
  <c r="Q31" i="47"/>
  <c r="Q45" i="47" s="1"/>
  <c r="F11" i="90" s="1"/>
  <c r="Q11" i="47"/>
  <c r="Q43" i="47" s="1"/>
  <c r="I11" i="90" s="1"/>
  <c r="AT6" i="44"/>
  <c r="AS17" i="37"/>
  <c r="AR19" i="44"/>
  <c r="AR20" i="44" s="1"/>
  <c r="M22" i="47" s="1"/>
  <c r="AQ19" i="44"/>
  <c r="AQ20" i="44" s="1"/>
  <c r="M12" i="47" s="1"/>
  <c r="AR19" i="72"/>
  <c r="AR20" i="72" s="1"/>
  <c r="G22" i="47" s="1"/>
  <c r="G11" i="47"/>
  <c r="AT6" i="72"/>
  <c r="AQ19" i="37"/>
  <c r="AQ20" i="37" s="1"/>
  <c r="C22" i="47" s="1"/>
  <c r="AT10" i="44"/>
  <c r="M40" i="47"/>
  <c r="AS17" i="46"/>
  <c r="M36" i="47"/>
  <c r="M11" i="47"/>
  <c r="M43" i="47" s="1"/>
  <c r="I17" i="90" s="1"/>
  <c r="C11" i="47"/>
  <c r="E31" i="47"/>
  <c r="E45" i="47" s="1"/>
  <c r="F15" i="90" s="1"/>
  <c r="P39" i="47"/>
  <c r="AS6" i="37"/>
  <c r="J19" i="47"/>
  <c r="J39" i="47" s="1"/>
  <c r="AT17" i="58"/>
  <c r="D38" i="47"/>
  <c r="C20" i="47"/>
  <c r="AS10" i="37"/>
  <c r="AS10" i="45"/>
  <c r="K20" i="47"/>
  <c r="K40" i="47" s="1"/>
  <c r="D37" i="47"/>
  <c r="O26" i="47"/>
  <c r="O31" i="47" s="1"/>
  <c r="O45" i="47" s="1"/>
  <c r="F18" i="90" s="1"/>
  <c r="AR19" i="46"/>
  <c r="AR20" i="46" s="1"/>
  <c r="O32" i="47" s="1"/>
  <c r="I6" i="47"/>
  <c r="I11" i="47" s="1"/>
  <c r="I43" i="47" s="1"/>
  <c r="I13" i="90" s="1"/>
  <c r="AQ19" i="58"/>
  <c r="AQ20" i="58" s="1"/>
  <c r="I12" i="47" s="1"/>
  <c r="Q16" i="47"/>
  <c r="Q36" i="47" s="1"/>
  <c r="AT6" i="85"/>
  <c r="R35" i="47"/>
  <c r="E35" i="47"/>
  <c r="I16" i="47"/>
  <c r="AT6" i="58"/>
  <c r="AR19" i="58"/>
  <c r="AR20" i="58" s="1"/>
  <c r="I22" i="47" s="1"/>
  <c r="C39" i="47"/>
  <c r="L35" i="47"/>
  <c r="AQ19" i="72"/>
  <c r="AQ20" i="72" s="1"/>
  <c r="G12" i="47" s="1"/>
  <c r="AR19" i="41"/>
  <c r="AR20" i="41" s="1"/>
  <c r="E32" i="47" s="1"/>
  <c r="AS19" i="58"/>
  <c r="AS20" i="58" s="1"/>
  <c r="I32" i="47" s="1"/>
  <c r="AP19" i="41"/>
  <c r="AP20" i="41" s="1"/>
  <c r="E12" i="47" s="1"/>
  <c r="AR19" i="37"/>
  <c r="AR20" i="37" s="1"/>
  <c r="C32" i="47" s="1"/>
  <c r="AR19" i="45"/>
  <c r="AR20" i="45" s="1"/>
  <c r="K32" i="47" s="1"/>
  <c r="M31" i="47"/>
  <c r="M45" i="47" s="1"/>
  <c r="F17" i="90" s="1"/>
  <c r="AS10" i="46"/>
  <c r="O20" i="47"/>
  <c r="O40" i="47" s="1"/>
  <c r="D21" i="47"/>
  <c r="D44" i="47" s="1"/>
  <c r="D35" i="47"/>
  <c r="F19" i="47"/>
  <c r="F39" i="47" s="1"/>
  <c r="AS17" i="41"/>
  <c r="AS10" i="41"/>
  <c r="E20" i="47"/>
  <c r="E40" i="47" s="1"/>
  <c r="O6" i="47"/>
  <c r="O11" i="47" s="1"/>
  <c r="O43" i="47" s="1"/>
  <c r="I18" i="90" s="1"/>
  <c r="AP19" i="46"/>
  <c r="AP20" i="46" s="1"/>
  <c r="O12" i="47" s="1"/>
  <c r="C36" i="47"/>
  <c r="P35" i="47"/>
  <c r="P21" i="47"/>
  <c r="I20" i="47"/>
  <c r="I40" i="47" s="1"/>
  <c r="AT10" i="58"/>
  <c r="AS6" i="41"/>
  <c r="AS19" i="44"/>
  <c r="AS20" i="44" s="1"/>
  <c r="M32" i="47" s="1"/>
  <c r="G20" i="47"/>
  <c r="G40" i="47" s="1"/>
  <c r="AT10" i="72"/>
  <c r="C37" i="47"/>
  <c r="AT17" i="85"/>
  <c r="R19" i="47"/>
  <c r="R39" i="47" s="1"/>
  <c r="F35" i="47"/>
  <c r="Q35" i="47"/>
  <c r="K6" i="47"/>
  <c r="K11" i="47" s="1"/>
  <c r="K43" i="47" s="1"/>
  <c r="I16" i="90" s="1"/>
  <c r="AP19" i="45"/>
  <c r="AP20" i="45" s="1"/>
  <c r="K12" i="47" s="1"/>
  <c r="N19" i="47"/>
  <c r="AT17" i="44"/>
  <c r="AS19" i="72"/>
  <c r="AS20" i="72" s="1"/>
  <c r="G32" i="47" s="1"/>
  <c r="G26" i="47"/>
  <c r="G31" i="47" s="1"/>
  <c r="AQ19" i="41"/>
  <c r="AQ20" i="41" s="1"/>
  <c r="E22" i="47" s="1"/>
  <c r="E36" i="47"/>
  <c r="AS6" i="45"/>
  <c r="AQ19" i="45"/>
  <c r="AQ20" i="45" s="1"/>
  <c r="K22" i="47" s="1"/>
  <c r="K16" i="47"/>
  <c r="AT17" i="72"/>
  <c r="H19" i="47"/>
  <c r="D39" i="47"/>
  <c r="D36" i="47"/>
  <c r="O16" i="47"/>
  <c r="AS6" i="46"/>
  <c r="AQ19" i="46"/>
  <c r="AQ20" i="46" s="1"/>
  <c r="O22" i="47" s="1"/>
  <c r="AT10" i="85"/>
  <c r="Q20" i="47"/>
  <c r="Q40" i="47" s="1"/>
  <c r="L19" i="47"/>
  <c r="L39" i="47" s="1"/>
  <c r="AS17" i="45"/>
  <c r="J35" i="47"/>
  <c r="C31" i="47"/>
  <c r="I31" i="47"/>
  <c r="I45" i="47" s="1"/>
  <c r="F13" i="90" s="1"/>
  <c r="AR19" i="85"/>
  <c r="AR20" i="85" s="1"/>
  <c r="Q22" i="47" s="1"/>
  <c r="AQ19" i="85"/>
  <c r="AQ20" i="85" s="1"/>
  <c r="Q12" i="47" s="1"/>
  <c r="E11" i="47"/>
  <c r="E43" i="47" s="1"/>
  <c r="I15" i="90" s="1"/>
  <c r="K31" i="47"/>
  <c r="K45" i="47" s="1"/>
  <c r="F16" i="90" s="1"/>
  <c r="AS19" i="85"/>
  <c r="AS20" i="85" s="1"/>
  <c r="Q32" i="47" s="1"/>
  <c r="AP19" i="37"/>
  <c r="AP20" i="37" s="1"/>
  <c r="C12" i="47" s="1"/>
  <c r="G45" i="47" l="1"/>
  <c r="F14" i="90" s="1"/>
  <c r="G43" i="47"/>
  <c r="I14" i="90" s="1"/>
  <c r="I19" i="90" s="1"/>
  <c r="B39" i="89"/>
  <c r="D43" i="47"/>
  <c r="F10" i="90"/>
  <c r="AC16" i="47"/>
  <c r="AC37" i="47"/>
  <c r="AE37" i="47"/>
  <c r="AF19" i="47"/>
  <c r="AF21" i="47" s="1"/>
  <c r="AC18" i="47"/>
  <c r="AC26" i="47"/>
  <c r="AC31" i="47" s="1"/>
  <c r="AE6" i="47"/>
  <c r="AE11" i="47" s="1"/>
  <c r="AF38" i="47"/>
  <c r="AD38" i="47"/>
  <c r="AD36" i="47"/>
  <c r="AF36" i="47"/>
  <c r="AE38" i="47"/>
  <c r="AC38" i="47"/>
  <c r="AF35" i="47"/>
  <c r="AD35" i="47"/>
  <c r="AE39" i="47"/>
  <c r="AC39" i="47"/>
  <c r="AF37" i="47"/>
  <c r="AD37" i="47"/>
  <c r="AE20" i="47"/>
  <c r="AC20" i="47"/>
  <c r="AC21" i="47" s="1"/>
  <c r="AE16" i="47"/>
  <c r="AE35" i="47"/>
  <c r="AC35" i="47"/>
  <c r="AD19" i="47"/>
  <c r="AD21" i="47" s="1"/>
  <c r="AE18" i="47"/>
  <c r="AE26" i="47"/>
  <c r="AE31" i="47" s="1"/>
  <c r="AC6" i="47"/>
  <c r="AC11" i="47" s="1"/>
  <c r="AC12" i="47" s="1"/>
  <c r="AR7" i="78"/>
  <c r="AR14" i="78"/>
  <c r="AT14" i="78" s="1"/>
  <c r="AU14" i="78" s="1"/>
  <c r="AQ16" i="78"/>
  <c r="AH8" i="47" s="1"/>
  <c r="AR16" i="78"/>
  <c r="AT16" i="78" s="1"/>
  <c r="AU16" i="78" s="1"/>
  <c r="AR9" i="78"/>
  <c r="AG19" i="47" s="1"/>
  <c r="AG39" i="47" s="1"/>
  <c r="AR18" i="78"/>
  <c r="AT18" i="78" s="1"/>
  <c r="AU18" i="78" s="1"/>
  <c r="AR8" i="78"/>
  <c r="AT8" i="78" s="1"/>
  <c r="AU8" i="78" s="1"/>
  <c r="AQ14" i="78"/>
  <c r="AH6" i="47" s="1"/>
  <c r="AR10" i="78"/>
  <c r="AQ15" i="78"/>
  <c r="AH7" i="47" s="1"/>
  <c r="AQ18" i="78"/>
  <c r="AH10" i="47" s="1"/>
  <c r="AQ10" i="78"/>
  <c r="AG10" i="47" s="1"/>
  <c r="AF9" i="49"/>
  <c r="AL8" i="52" s="1"/>
  <c r="AE10" i="49"/>
  <c r="AK9" i="52" s="1"/>
  <c r="AF12" i="49"/>
  <c r="AL11" i="52" s="1"/>
  <c r="AE11" i="49"/>
  <c r="AK10" i="52" s="1"/>
  <c r="AF10" i="49"/>
  <c r="AL9" i="52" s="1"/>
  <c r="AA46" i="47"/>
  <c r="AF8" i="49"/>
  <c r="AL7" i="52" s="1"/>
  <c r="AE9" i="49"/>
  <c r="AK8" i="52" s="1"/>
  <c r="AE8" i="49"/>
  <c r="AK7" i="52" s="1"/>
  <c r="AE12" i="49"/>
  <c r="AK11" i="52" s="1"/>
  <c r="AI41" i="47"/>
  <c r="AE13" i="49"/>
  <c r="AK12" i="52" s="1"/>
  <c r="AA42" i="47"/>
  <c r="AF11" i="49"/>
  <c r="AL10" i="52" s="1"/>
  <c r="AF13" i="49"/>
  <c r="AL12" i="52" s="1"/>
  <c r="G53" i="47"/>
  <c r="AR6" i="78"/>
  <c r="AR17" i="78"/>
  <c r="AR5" i="78"/>
  <c r="AT13" i="78"/>
  <c r="AU13" i="78" s="1"/>
  <c r="AH15" i="47"/>
  <c r="AH35" i="47" s="1"/>
  <c r="AS19" i="78"/>
  <c r="AG25" i="47"/>
  <c r="AG31" i="47" s="1"/>
  <c r="AR15" i="78"/>
  <c r="AQ9" i="78"/>
  <c r="AG9" i="47" s="1"/>
  <c r="AQ6" i="78"/>
  <c r="AG6" i="47" s="1"/>
  <c r="I53" i="47"/>
  <c r="F53" i="47"/>
  <c r="AQ7" i="78"/>
  <c r="AG7" i="47" s="1"/>
  <c r="AQ17" i="78"/>
  <c r="AH9" i="47" s="1"/>
  <c r="AQ5" i="78"/>
  <c r="AQ8" i="78"/>
  <c r="AG8" i="47" s="1"/>
  <c r="M21" i="47"/>
  <c r="AS19" i="37"/>
  <c r="AS20" i="37" s="1"/>
  <c r="H5" i="89" s="1"/>
  <c r="I5" i="89" s="1"/>
  <c r="AT19" i="44"/>
  <c r="AT20" i="44" s="1"/>
  <c r="Y14" i="49" s="1"/>
  <c r="AE13" i="52" s="1"/>
  <c r="P41" i="47"/>
  <c r="F21" i="47"/>
  <c r="M41" i="47"/>
  <c r="AS19" i="46"/>
  <c r="AS20" i="46" s="1"/>
  <c r="O42" i="47" s="1"/>
  <c r="AT19" i="85"/>
  <c r="AT20" i="85" s="1"/>
  <c r="Q42" i="47" s="1"/>
  <c r="G36" i="47"/>
  <c r="G41" i="47" s="1"/>
  <c r="AT19" i="72"/>
  <c r="AT20" i="72" s="1"/>
  <c r="AC14" i="49" s="1"/>
  <c r="AI13" i="52" s="1"/>
  <c r="J41" i="47"/>
  <c r="F41" i="47"/>
  <c r="J21" i="47"/>
  <c r="Q21" i="47"/>
  <c r="AT19" i="58"/>
  <c r="AT20" i="58" s="1"/>
  <c r="H11" i="89" s="1"/>
  <c r="I11" i="89" s="1"/>
  <c r="H11" i="90" s="1"/>
  <c r="O36" i="47"/>
  <c r="O41" i="47" s="1"/>
  <c r="O21" i="47"/>
  <c r="O44" i="47" s="1"/>
  <c r="E18" i="90" s="1"/>
  <c r="N39" i="47"/>
  <c r="N41" i="47" s="1"/>
  <c r="N21" i="47"/>
  <c r="E10" i="90"/>
  <c r="Q41" i="47"/>
  <c r="AS19" i="41"/>
  <c r="AS20" i="41" s="1"/>
  <c r="E41" i="47"/>
  <c r="R21" i="47"/>
  <c r="K36" i="47"/>
  <c r="K41" i="47" s="1"/>
  <c r="K21" i="47"/>
  <c r="D41" i="47"/>
  <c r="I36" i="47"/>
  <c r="I41" i="47" s="1"/>
  <c r="I21" i="47"/>
  <c r="C40" i="47"/>
  <c r="AM31" i="47"/>
  <c r="AM11" i="47"/>
  <c r="G21" i="47"/>
  <c r="L41" i="47"/>
  <c r="C21" i="47"/>
  <c r="H39" i="47"/>
  <c r="H41" i="47" s="1"/>
  <c r="H21" i="47"/>
  <c r="AS19" i="45"/>
  <c r="AS20" i="45" s="1"/>
  <c r="L21" i="47"/>
  <c r="E21" i="47"/>
  <c r="R41" i="47"/>
  <c r="G51" i="47" l="1"/>
  <c r="F5" i="90" s="1"/>
  <c r="F5" i="99" s="1"/>
  <c r="I51" i="47"/>
  <c r="I5" i="90" s="1"/>
  <c r="AE21" i="47"/>
  <c r="AE44" i="47" s="1"/>
  <c r="AC22" i="47"/>
  <c r="AE43" i="47"/>
  <c r="AE12" i="47"/>
  <c r="H14" i="91" s="1"/>
  <c r="AE36" i="47"/>
  <c r="AD39" i="47"/>
  <c r="AC40" i="47"/>
  <c r="AE40" i="47"/>
  <c r="AC36" i="47"/>
  <c r="AF39" i="47"/>
  <c r="AH11" i="47"/>
  <c r="AH16" i="47"/>
  <c r="AH36" i="47" s="1"/>
  <c r="AG17" i="47"/>
  <c r="AG37" i="47" s="1"/>
  <c r="AT7" i="78"/>
  <c r="AU7" i="78" s="1"/>
  <c r="AH18" i="47"/>
  <c r="AH38" i="47" s="1"/>
  <c r="AH20" i="47"/>
  <c r="E46" i="47"/>
  <c r="G15" i="90" s="1"/>
  <c r="H17" i="89"/>
  <c r="I17" i="89" s="1"/>
  <c r="H17" i="90" s="1"/>
  <c r="AT9" i="78"/>
  <c r="AU9" i="78" s="1"/>
  <c r="AT10" i="78"/>
  <c r="AU10" i="78" s="1"/>
  <c r="AG20" i="47"/>
  <c r="AG40" i="47" s="1"/>
  <c r="AG18" i="47"/>
  <c r="AG38" i="47" s="1"/>
  <c r="AS20" i="78"/>
  <c r="AH30" i="47" s="1"/>
  <c r="AH29" i="47"/>
  <c r="AT17" i="78"/>
  <c r="AU17" i="78" s="1"/>
  <c r="AH19" i="47"/>
  <c r="AT5" i="78"/>
  <c r="AG15" i="47"/>
  <c r="AR19" i="78"/>
  <c r="AR20" i="78" s="1"/>
  <c r="AG14" i="49" s="1"/>
  <c r="AT15" i="78"/>
  <c r="AU15" i="78" s="1"/>
  <c r="AH17" i="47"/>
  <c r="H22" i="89"/>
  <c r="I22" i="89" s="1"/>
  <c r="AE14" i="49"/>
  <c r="AK13" i="52" s="1"/>
  <c r="AG5" i="47"/>
  <c r="AG11" i="47" s="1"/>
  <c r="AQ19" i="78"/>
  <c r="AQ20" i="78" s="1"/>
  <c r="AT6" i="78"/>
  <c r="AU6" i="78" s="1"/>
  <c r="AG16" i="47"/>
  <c r="AG36" i="47" s="1"/>
  <c r="H53" i="47"/>
  <c r="M44" i="47"/>
  <c r="E17" i="90" s="1"/>
  <c r="M46" i="47"/>
  <c r="G17" i="90" s="1"/>
  <c r="G46" i="47"/>
  <c r="G14" i="90" s="1"/>
  <c r="Q14" i="49"/>
  <c r="W13" i="52" s="1"/>
  <c r="AA14" i="49"/>
  <c r="AG13" i="52" s="1"/>
  <c r="C42" i="47"/>
  <c r="M42" i="47"/>
  <c r="I46" i="47"/>
  <c r="G13" i="90" s="1"/>
  <c r="O46" i="47"/>
  <c r="G18" i="90" s="1"/>
  <c r="I42" i="47"/>
  <c r="H20" i="89"/>
  <c r="I20" i="89" s="1"/>
  <c r="H18" i="90" s="1"/>
  <c r="H10" i="89"/>
  <c r="I10" i="89" s="1"/>
  <c r="H14" i="90" s="1"/>
  <c r="G42" i="47"/>
  <c r="E44" i="47"/>
  <c r="E15" i="90" s="1"/>
  <c r="Q44" i="47"/>
  <c r="E11" i="90" s="1"/>
  <c r="K46" i="47"/>
  <c r="G16" i="90" s="1"/>
  <c r="U14" i="49"/>
  <c r="AA13" i="52" s="1"/>
  <c r="I44" i="47"/>
  <c r="E13" i="90" s="1"/>
  <c r="H18" i="89"/>
  <c r="I18" i="89" s="1"/>
  <c r="H16" i="90" s="1"/>
  <c r="K42" i="47"/>
  <c r="W14" i="49"/>
  <c r="AC13" i="52" s="1"/>
  <c r="AM21" i="47"/>
  <c r="G44" i="47"/>
  <c r="K44" i="47"/>
  <c r="E16" i="90" s="1"/>
  <c r="Q46" i="47"/>
  <c r="G11" i="90" s="1"/>
  <c r="H6" i="89"/>
  <c r="I6" i="89" s="1"/>
  <c r="H15" i="90" s="1"/>
  <c r="E42" i="47"/>
  <c r="S14" i="49"/>
  <c r="Y13" i="52" s="1"/>
  <c r="H10" i="90"/>
  <c r="C41" i="47"/>
  <c r="AM41" i="47" s="1"/>
  <c r="D46" i="47"/>
  <c r="G10" i="90"/>
  <c r="F3" i="99" l="1"/>
  <c r="G14" i="91"/>
  <c r="E14" i="90"/>
  <c r="E19" i="90" s="1"/>
  <c r="AE22" i="47"/>
  <c r="AC41" i="47"/>
  <c r="AE41" i="47"/>
  <c r="AH40" i="47"/>
  <c r="AH31" i="47"/>
  <c r="AG45" i="47" s="1"/>
  <c r="AH37" i="47"/>
  <c r="AH21" i="47"/>
  <c r="AU5" i="78"/>
  <c r="AT19" i="78"/>
  <c r="AT20" i="78" s="1"/>
  <c r="B40" i="89"/>
  <c r="H19" i="90"/>
  <c r="AG35" i="47"/>
  <c r="AG41" i="47" s="1"/>
  <c r="AG21" i="47"/>
  <c r="D31" i="89"/>
  <c r="E31" i="89" s="1"/>
  <c r="AG12" i="47"/>
  <c r="AG43" i="47"/>
  <c r="AH39" i="47"/>
  <c r="I21" i="89"/>
  <c r="I25" i="89" s="1"/>
  <c r="F51" i="47"/>
  <c r="E5" i="90" s="1"/>
  <c r="F4" i="99" s="1"/>
  <c r="H51" i="47"/>
  <c r="G5" i="90" s="1"/>
  <c r="F6" i="99" s="1"/>
  <c r="B38" i="89"/>
  <c r="I12" i="91" s="1"/>
  <c r="G12" i="91" l="1"/>
  <c r="AH41" i="47"/>
  <c r="AG42" i="47" s="1"/>
  <c r="AG22" i="47"/>
  <c r="AG44" i="47"/>
  <c r="H5" i="90"/>
  <c r="F7" i="99" s="1"/>
  <c r="AG46" i="47" l="1"/>
  <c r="AC43" i="47" l="1"/>
  <c r="AC44" i="47"/>
  <c r="AJ11" i="47"/>
  <c r="AK11" i="47" s="1"/>
  <c r="AJ21" i="47"/>
  <c r="AK21" i="47" s="1"/>
  <c r="D30" i="89"/>
  <c r="E30" i="89" s="1"/>
  <c r="G161" i="83"/>
  <c r="Q160" i="83"/>
  <c r="Q159" i="83"/>
  <c r="H160" i="83"/>
  <c r="R160" i="83" s="1"/>
  <c r="K11" i="60" s="1"/>
  <c r="H159" i="83"/>
  <c r="Q161" i="83" l="1"/>
  <c r="Q215" i="83" s="1"/>
  <c r="Q217" i="83" s="1"/>
  <c r="H161" i="83"/>
  <c r="R159" i="83"/>
  <c r="K3" i="60" s="1"/>
  <c r="V23" i="47" s="1"/>
  <c r="J20" i="60" l="1"/>
  <c r="U32" i="47" s="1"/>
  <c r="R161" i="83"/>
  <c r="R215" i="83" s="1"/>
  <c r="R217" i="83" s="1"/>
  <c r="K19" i="60"/>
  <c r="V33" i="47"/>
  <c r="V31" i="47"/>
  <c r="AF23" i="47"/>
  <c r="AF31" i="47" s="1"/>
  <c r="AD23" i="47"/>
  <c r="AD31" i="47" s="1"/>
  <c r="AC45" i="47" s="1"/>
  <c r="AE32" i="47" l="1"/>
  <c r="AE45" i="47"/>
  <c r="K20" i="60"/>
  <c r="U42" i="47" s="1"/>
  <c r="V41" i="47"/>
  <c r="AF33" i="47"/>
  <c r="AF41" i="47" s="1"/>
  <c r="AD33" i="47"/>
  <c r="AD41" i="47" s="1"/>
  <c r="AC46" i="47" s="1"/>
  <c r="AJ31" i="47"/>
  <c r="AK31" i="47" s="1"/>
  <c r="AC32" i="47"/>
  <c r="U45" i="47"/>
  <c r="AL31" i="47"/>
  <c r="AE42" i="47" l="1"/>
  <c r="H12" i="91" s="1"/>
  <c r="AE46" i="47"/>
  <c r="F19" i="90"/>
  <c r="G52" i="47"/>
  <c r="U16" i="49"/>
  <c r="AC42" i="47"/>
  <c r="W16" i="49" s="1"/>
  <c r="AJ41" i="47"/>
  <c r="AK41" i="47" s="1"/>
  <c r="U46" i="47"/>
  <c r="AL41" i="47"/>
  <c r="G19" i="90" l="1"/>
  <c r="H52" i="47"/>
</calcChain>
</file>

<file path=xl/comments1.xml><?xml version="1.0" encoding="utf-8"?>
<comments xmlns="http://schemas.openxmlformats.org/spreadsheetml/2006/main">
  <authors>
    <author>Eric Main</author>
  </authors>
  <commentList>
    <comment ref="D1" authorId="0">
      <text>
        <r>
          <rPr>
            <b/>
            <sz val="8"/>
            <color indexed="81"/>
            <rFont val="Tahoma"/>
            <family val="2"/>
          </rPr>
          <t>Eric Main:</t>
        </r>
        <r>
          <rPr>
            <sz val="8"/>
            <color indexed="81"/>
            <rFont val="Tahoma"/>
            <family val="2"/>
          </rPr>
          <t xml:space="preserve">
County &amp; state populations com from US Census Intercensal data and represent the final year of the 5 years of mortality data used to calculate deaths and YLL (from OPHAT).</t>
        </r>
      </text>
    </comment>
    <comment ref="D642" authorId="0">
      <text>
        <r>
          <rPr>
            <b/>
            <sz val="8"/>
            <color indexed="81"/>
            <rFont val="Tahoma"/>
            <family val="2"/>
          </rPr>
          <t>Eric Main:</t>
        </r>
        <r>
          <rPr>
            <sz val="8"/>
            <color indexed="81"/>
            <rFont val="Tahoma"/>
            <family val="2"/>
          </rPr>
          <t xml:space="preserve">
Urban county populations are the sum of all urban counties and update automattically when the county demographics are updated.</t>
        </r>
      </text>
    </comment>
    <comment ref="D658" authorId="0">
      <text>
        <r>
          <rPr>
            <b/>
            <sz val="8"/>
            <color indexed="81"/>
            <rFont val="Tahoma"/>
            <family val="2"/>
          </rPr>
          <t>Eric Main:</t>
        </r>
        <r>
          <rPr>
            <sz val="8"/>
            <color indexed="81"/>
            <rFont val="Tahoma"/>
            <family val="2"/>
          </rPr>
          <t xml:space="preserve">
Rural county populations are the sum of all urban counties and update automattically when the county demographics are updated.</t>
        </r>
      </text>
    </comment>
  </commentList>
</comments>
</file>

<file path=xl/comments10.xml><?xml version="1.0" encoding="utf-8"?>
<comments xmlns="http://schemas.openxmlformats.org/spreadsheetml/2006/main">
  <authors>
    <author>Maizlish, Neil  (CDPH-CCDPHP)</author>
    <author>DHS-OIS-NDS</author>
  </authors>
  <commentList>
    <comment ref="E14" authorId="0">
      <text>
        <r>
          <rPr>
            <b/>
            <sz val="8"/>
            <color indexed="81"/>
            <rFont val="Tahoma"/>
            <family val="2"/>
          </rPr>
          <t>Maizlish, Neil  (CDPH-CCDPHP): hard coded estimate</t>
        </r>
        <r>
          <rPr>
            <sz val="8"/>
            <color indexed="81"/>
            <rFont val="Tahoma"/>
            <family val="2"/>
          </rPr>
          <t xml:space="preserve">
</t>
        </r>
      </text>
    </comment>
    <comment ref="E15" authorId="0">
      <text>
        <r>
          <rPr>
            <b/>
            <sz val="8"/>
            <color indexed="81"/>
            <rFont val="Tahoma"/>
            <family val="2"/>
          </rPr>
          <t>Maizlish, Neil  (CDPH-CCDPHP): hard coded estimate based on Dill (2009)</t>
        </r>
        <r>
          <rPr>
            <sz val="8"/>
            <color indexed="81"/>
            <rFont val="Tahoma"/>
            <family val="2"/>
          </rPr>
          <t xml:space="preserve">
</t>
        </r>
      </text>
    </comment>
    <comment ref="E32" authorId="1">
      <text>
        <r>
          <rPr>
            <b/>
            <sz val="8"/>
            <color indexed="81"/>
            <rFont val="Tahoma"/>
            <family val="2"/>
          </rPr>
          <t>DHS-OIS-NDS:</t>
        </r>
        <r>
          <rPr>
            <sz val="8"/>
            <color indexed="81"/>
            <rFont val="Tahoma"/>
            <family val="2"/>
          </rPr>
          <t xml:space="preserve">
Must be non-zero for baseline to translate</t>
        </r>
      </text>
    </comment>
  </commentList>
</comments>
</file>

<file path=xl/comments11.xml><?xml version="1.0" encoding="utf-8"?>
<comments xmlns="http://schemas.openxmlformats.org/spreadsheetml/2006/main">
  <authors>
    <author>DHS-OIS-NDS</author>
  </authors>
  <commentList>
    <comment ref="AE56" authorId="0">
      <text>
        <r>
          <rPr>
            <b/>
            <sz val="8"/>
            <color indexed="81"/>
            <rFont val="Tahoma"/>
            <family val="2"/>
          </rPr>
          <t>DHS-OIS-NDS:</t>
        </r>
        <r>
          <rPr>
            <sz val="8"/>
            <color indexed="81"/>
            <rFont val="Tahoma"/>
            <family val="2"/>
          </rPr>
          <t xml:space="preserve">
Note column and row totals are different</t>
        </r>
      </text>
    </comment>
  </commentList>
</comments>
</file>

<file path=xl/comments12.xml><?xml version="1.0" encoding="utf-8"?>
<comments xmlns="http://schemas.openxmlformats.org/spreadsheetml/2006/main">
  <authors>
    <author>Nicholas J. Linesch</author>
  </authors>
  <commentList>
    <comment ref="D3" authorId="0">
      <text>
        <r>
          <rPr>
            <b/>
            <sz val="9"/>
            <color indexed="81"/>
            <rFont val="Tahoma"/>
            <family val="2"/>
          </rPr>
          <t>Nicholas J. Linesch:</t>
        </r>
        <r>
          <rPr>
            <sz val="9"/>
            <color indexed="81"/>
            <rFont val="Tahoma"/>
            <family val="2"/>
          </rPr>
          <t xml:space="preserve">
</t>
        </r>
      </text>
    </comment>
    <comment ref="E6" authorId="0">
      <text>
        <r>
          <rPr>
            <b/>
            <sz val="9"/>
            <color indexed="81"/>
            <rFont val="Tahoma"/>
            <family val="2"/>
          </rPr>
          <t>Nicholas J. Linesch:</t>
        </r>
        <r>
          <rPr>
            <sz val="9"/>
            <color indexed="81"/>
            <rFont val="Tahoma"/>
            <family val="2"/>
          </rPr>
          <t xml:space="preserve">
slope of the dose response curve betweet inflameatory heart disease and the pm 2.5</t>
        </r>
      </text>
    </comment>
  </commentList>
</comments>
</file>

<file path=xl/comments13.xml><?xml version="1.0" encoding="utf-8"?>
<comments xmlns="http://schemas.openxmlformats.org/spreadsheetml/2006/main">
  <authors>
    <author>Nicholas J. Linesch</author>
  </authors>
  <commentList>
    <comment ref="E5" authorId="0">
      <text>
        <r>
          <rPr>
            <b/>
            <sz val="9"/>
            <color indexed="81"/>
            <rFont val="Tahoma"/>
            <family val="2"/>
          </rPr>
          <t>Nicholas J. Linesch:</t>
        </r>
        <r>
          <rPr>
            <sz val="9"/>
            <color indexed="81"/>
            <rFont val="Tahoma"/>
            <family val="2"/>
          </rPr>
          <t xml:space="preserve">
Picking up ambient air levels from a different disease category… inflamatory heart disease one.  This is a shortcut.</t>
        </r>
      </text>
    </comment>
  </commentList>
</comments>
</file>

<file path=xl/comments14.xml><?xml version="1.0" encoding="utf-8"?>
<comments xmlns="http://schemas.openxmlformats.org/spreadsheetml/2006/main">
  <authors>
    <author>Maizlish, Neil  (CDPH-CCDPHP)</author>
  </authors>
  <commentList>
    <comment ref="Z1" authorId="0">
      <text>
        <r>
          <rPr>
            <b/>
            <sz val="8"/>
            <color indexed="81"/>
            <rFont val="Tahoma"/>
            <family val="2"/>
          </rPr>
          <t>Maizlish, Neil  (CDPH-CCDPHP):</t>
        </r>
        <r>
          <rPr>
            <sz val="8"/>
            <color indexed="81"/>
            <rFont val="Tahoma"/>
            <family val="2"/>
          </rPr>
          <t xml:space="preserve">
1-burden
</t>
        </r>
      </text>
    </comment>
  </commentList>
</comments>
</file>

<file path=xl/comments15.xml><?xml version="1.0" encoding="utf-8"?>
<comments xmlns="http://schemas.openxmlformats.org/spreadsheetml/2006/main">
  <authors>
    <author>James Woodcock</author>
    <author>Maizlish, Neil  (CDPH-CCDPHP)</author>
  </authors>
  <commentList>
    <comment ref="B2" authorId="0">
      <text>
        <r>
          <rPr>
            <b/>
            <sz val="8"/>
            <color indexed="81"/>
            <rFont val="Tahoma"/>
            <family val="2"/>
          </rPr>
          <t>James Woodcock:</t>
        </r>
        <r>
          <rPr>
            <sz val="8"/>
            <color indexed="81"/>
            <rFont val="Tahoma"/>
            <family val="2"/>
          </rPr>
          <t xml:space="preserve">
http://naei.defra.gov.uk/emissions/emissions_2009/summary_tables.php?action=unece&amp;page_name=PM1009.html</t>
        </r>
      </text>
    </comment>
    <comment ref="D3" authorId="1">
      <text>
        <r>
          <rPr>
            <b/>
            <sz val="8"/>
            <color indexed="81"/>
            <rFont val="Tahoma"/>
            <family val="2"/>
          </rPr>
          <t>Maizlish, Neil  (CDPH-CCDPHP):</t>
        </r>
        <r>
          <rPr>
            <sz val="8"/>
            <color indexed="81"/>
            <rFont val="Tahoma"/>
            <family val="2"/>
          </rPr>
          <t xml:space="preserve">
linear relationship based on car VMT and air shed PM2.5 in MPEM air shed model of BAAQMD</t>
        </r>
      </text>
    </comment>
  </commentList>
</comments>
</file>

<file path=xl/comments16.xml><?xml version="1.0" encoding="utf-8"?>
<comments xmlns="http://schemas.openxmlformats.org/spreadsheetml/2006/main">
  <authors>
    <author>Maizlish, Neil  (CDPH-CCDPHP)</author>
  </authors>
  <commentList>
    <comment ref="H2" authorId="0">
      <text>
        <r>
          <rPr>
            <b/>
            <sz val="8"/>
            <color indexed="81"/>
            <rFont val="Tahoma"/>
            <family val="2"/>
          </rPr>
          <t>Maizlish, Neil  (CDPH-CCDPHP):</t>
        </r>
        <r>
          <rPr>
            <sz val="8"/>
            <color indexed="81"/>
            <rFont val="Tahoma"/>
            <family val="2"/>
          </rPr>
          <t xml:space="preserve">
Grab the population attributable fraction specific to the region and particular disease.</t>
        </r>
      </text>
    </comment>
  </commentList>
</comments>
</file>

<file path=xl/comments17.xml><?xml version="1.0" encoding="utf-8"?>
<comments xmlns="http://schemas.openxmlformats.org/spreadsheetml/2006/main">
  <authors>
    <author>Eric Main</author>
  </authors>
  <commentList>
    <comment ref="S19" authorId="0">
      <text>
        <r>
          <rPr>
            <b/>
            <sz val="8"/>
            <color indexed="81"/>
            <rFont val="Tahoma"/>
            <family val="2"/>
          </rPr>
          <t>Eric Main:</t>
        </r>
        <r>
          <rPr>
            <sz val="8"/>
            <color indexed="81"/>
            <rFont val="Tahoma"/>
            <family val="2"/>
          </rPr>
          <t xml:space="preserve">
Input county deaths in this column.</t>
        </r>
      </text>
    </comment>
    <comment ref="P20" authorId="0">
      <text>
        <r>
          <rPr>
            <b/>
            <sz val="8"/>
            <color indexed="81"/>
            <rFont val="Tahoma"/>
            <family val="2"/>
          </rPr>
          <t>Eric Main:</t>
        </r>
        <r>
          <rPr>
            <sz val="8"/>
            <color indexed="81"/>
            <rFont val="Tahoma"/>
            <family val="2"/>
          </rPr>
          <t xml:space="preserve">
Values in this column are the disease rates per 100,000 from Urban Counties Deaths.</t>
        </r>
      </text>
    </comment>
  </commentList>
</comments>
</file>

<file path=xl/comments18.xml><?xml version="1.0" encoding="utf-8"?>
<comments xmlns="http://schemas.openxmlformats.org/spreadsheetml/2006/main">
  <authors>
    <author>Eric Main</author>
  </authors>
  <commentList>
    <comment ref="S19" authorId="0">
      <text>
        <r>
          <rPr>
            <b/>
            <sz val="8"/>
            <color indexed="81"/>
            <rFont val="Tahoma"/>
            <family val="2"/>
          </rPr>
          <t xml:space="preserve">Eric Main:
</t>
        </r>
        <r>
          <rPr>
            <sz val="8"/>
            <color indexed="81"/>
            <rFont val="Tahoma"/>
            <family val="2"/>
          </rPr>
          <t>Input county deaths in this column.</t>
        </r>
      </text>
    </comment>
  </commentList>
</comments>
</file>

<file path=xl/comments2.xml><?xml version="1.0" encoding="utf-8"?>
<comments xmlns="http://schemas.openxmlformats.org/spreadsheetml/2006/main">
  <authors>
    <author>DHS-OIS-NDS</author>
  </authors>
  <commentList>
    <comment ref="B1" authorId="0">
      <text>
        <r>
          <rPr>
            <b/>
            <sz val="8"/>
            <color indexed="81"/>
            <rFont val="Tahoma"/>
            <family val="2"/>
          </rPr>
          <t>DHS-OIS-NDS:</t>
        </r>
        <r>
          <rPr>
            <sz val="8"/>
            <color indexed="81"/>
            <rFont val="Tahoma"/>
            <family val="2"/>
          </rPr>
          <t xml:space="preserve">
Annual average ambient concentration of PM2.5 in micrograms per cubic meter. Some counties are modeled only. From national environmental health tracking.</t>
        </r>
      </text>
    </comment>
    <comment ref="D1" authorId="0">
      <text>
        <r>
          <rPr>
            <b/>
            <sz val="8"/>
            <color indexed="81"/>
            <rFont val="Tahoma"/>
            <family val="2"/>
          </rPr>
          <t>DHS-OIS-NDS:</t>
        </r>
        <r>
          <rPr>
            <sz val="8"/>
            <color indexed="81"/>
            <rFont val="Tahoma"/>
            <family val="2"/>
          </rPr>
          <t xml:space="preserve">
Shaded cells were originally missing values. Values are averages for rural and urban counties.</t>
        </r>
      </text>
    </comment>
  </commentList>
</comments>
</file>

<file path=xl/comments3.xml><?xml version="1.0" encoding="utf-8"?>
<comments xmlns="http://schemas.openxmlformats.org/spreadsheetml/2006/main">
  <authors>
    <author>James Woodcock</author>
  </authors>
  <commentList>
    <comment ref="AG4" authorId="0">
      <text>
        <r>
          <rPr>
            <b/>
            <sz val="8"/>
            <color indexed="81"/>
            <rFont val="Tahoma"/>
            <family val="2"/>
          </rPr>
          <t>James Woodcock:</t>
        </r>
        <r>
          <rPr>
            <sz val="8"/>
            <color indexed="81"/>
            <rFont val="Tahoma"/>
            <family val="2"/>
          </rPr>
          <t xml:space="preserve">
currently include air pollution - small impact but might confuse comparison- should probably do phy activity results alone (but also then for main analysis)</t>
        </r>
      </text>
    </comment>
    <comment ref="AG6" authorId="0">
      <text>
        <r>
          <rPr>
            <b/>
            <sz val="8"/>
            <color indexed="81"/>
            <rFont val="Tahoma"/>
            <family val="2"/>
          </rPr>
          <t xml:space="preserve">Fixed power relation 0.25
</t>
        </r>
        <r>
          <rPr>
            <sz val="8"/>
            <color indexed="81"/>
            <rFont val="Tahoma"/>
            <family val="2"/>
          </rPr>
          <t xml:space="preserve">
</t>
        </r>
      </text>
    </comment>
  </commentList>
</comments>
</file>

<file path=xl/comments4.xml><?xml version="1.0" encoding="utf-8"?>
<comments xmlns="http://schemas.openxmlformats.org/spreadsheetml/2006/main">
  <authors>
    <author>JamesW</author>
    <author>Nicholas J. Linesch</author>
  </authors>
  <commentList>
    <comment ref="S4" authorId="0">
      <text>
        <r>
          <rPr>
            <b/>
            <sz val="9"/>
            <color indexed="81"/>
            <rFont val="Tahoma"/>
            <family val="2"/>
          </rPr>
          <t>JamesW:</t>
        </r>
        <r>
          <rPr>
            <sz val="9"/>
            <color indexed="81"/>
            <rFont val="Tahoma"/>
            <family val="2"/>
          </rPr>
          <t xml:space="preserve">
% of baseline total travel times
</t>
        </r>
      </text>
    </comment>
    <comment ref="C6" authorId="1">
      <text>
        <r>
          <rPr>
            <b/>
            <sz val="9"/>
            <color indexed="81"/>
            <rFont val="Tahoma"/>
            <family val="2"/>
          </rPr>
          <t xml:space="preserve">Eric Main:
</t>
        </r>
        <r>
          <rPr>
            <sz val="9"/>
            <color indexed="81"/>
            <rFont val="Tahoma"/>
            <family val="2"/>
          </rPr>
          <t>The baseline values are from OHAS provided by ODOT to OHA, July 2014.</t>
        </r>
      </text>
    </comment>
  </commentList>
</comments>
</file>

<file path=xl/comments5.xml><?xml version="1.0" encoding="utf-8"?>
<comments xmlns="http://schemas.openxmlformats.org/spreadsheetml/2006/main">
  <authors>
    <author>Maizlish, Neil  (CDPH-CCDPHP)</author>
  </authors>
  <commentList>
    <comment ref="C45" authorId="0">
      <text>
        <r>
          <rPr>
            <b/>
            <sz val="8"/>
            <color indexed="81"/>
            <rFont val="Tahoma"/>
            <family val="2"/>
          </rPr>
          <t>Maizlish, Neil  (CDPH-CCDPHP): ABM Data</t>
        </r>
      </text>
    </comment>
  </commentList>
</comments>
</file>

<file path=xl/comments6.xml><?xml version="1.0" encoding="utf-8"?>
<comments xmlns="http://schemas.openxmlformats.org/spreadsheetml/2006/main">
  <authors>
    <author>Steve White</author>
    <author>JamesW</author>
  </authors>
  <commentList>
    <comment ref="A4" authorId="0">
      <text>
        <r>
          <rPr>
            <b/>
            <sz val="9"/>
            <color indexed="81"/>
            <rFont val="Tahoma"/>
            <family val="2"/>
          </rPr>
          <t>Steve White:</t>
        </r>
        <r>
          <rPr>
            <sz val="9"/>
            <color indexed="81"/>
            <rFont val="Tahoma"/>
            <family val="2"/>
          </rPr>
          <t xml:space="preserve">
unlike the previous OTHIM TO worksheets, these percentages are the "scenario" percentages from the "Calibration" sheet, not the "Baseline" percentages. This is done to reflect the fact that the population participating in the TO program is different demographically from the county population--Steve White</t>
        </r>
      </text>
    </comment>
    <comment ref="R6" authorId="1">
      <text>
        <r>
          <rPr>
            <b/>
            <sz val="9"/>
            <color indexed="81"/>
            <rFont val="Tahoma"/>
            <family val="2"/>
          </rPr>
          <t>JamesW:</t>
        </r>
        <r>
          <rPr>
            <sz val="9"/>
            <color indexed="81"/>
            <rFont val="Tahoma"/>
            <family val="2"/>
          </rPr>
          <t xml:space="preserve">
these will be fixed 
</t>
        </r>
      </text>
    </comment>
    <comment ref="X6" authorId="1">
      <text>
        <r>
          <rPr>
            <b/>
            <sz val="9"/>
            <color indexed="81"/>
            <rFont val="Tahoma"/>
            <family val="2"/>
          </rPr>
          <t>JamesW:</t>
        </r>
        <r>
          <rPr>
            <sz val="9"/>
            <color indexed="81"/>
            <rFont val="Tahoma"/>
            <family val="2"/>
          </rPr>
          <t xml:space="preserve">
these will be fixed
</t>
        </r>
      </text>
    </comment>
  </commentList>
</comments>
</file>

<file path=xl/comments7.xml><?xml version="1.0" encoding="utf-8"?>
<comments xmlns="http://schemas.openxmlformats.org/spreadsheetml/2006/main">
  <authors>
    <author>JamesW</author>
  </authors>
  <commentList>
    <comment ref="R6" authorId="0">
      <text>
        <r>
          <rPr>
            <b/>
            <sz val="9"/>
            <color indexed="81"/>
            <rFont val="Tahoma"/>
            <family val="2"/>
          </rPr>
          <t>JamesW:</t>
        </r>
        <r>
          <rPr>
            <sz val="9"/>
            <color indexed="81"/>
            <rFont val="Tahoma"/>
            <family val="2"/>
          </rPr>
          <t xml:space="preserve">
fixed as London values
</t>
        </r>
      </text>
    </comment>
    <comment ref="X6" authorId="0">
      <text>
        <r>
          <rPr>
            <b/>
            <sz val="9"/>
            <color indexed="81"/>
            <rFont val="Tahoma"/>
            <family val="2"/>
          </rPr>
          <t>JamesW:</t>
        </r>
        <r>
          <rPr>
            <sz val="9"/>
            <color indexed="81"/>
            <rFont val="Tahoma"/>
            <family val="2"/>
          </rPr>
          <t xml:space="preserve">
fixed as NZ values
</t>
        </r>
      </text>
    </comment>
  </commentList>
</comments>
</file>

<file path=xl/comments8.xml><?xml version="1.0" encoding="utf-8"?>
<comments xmlns="http://schemas.openxmlformats.org/spreadsheetml/2006/main">
  <authors>
    <author>JamesW</author>
    <author>James Woodcock</author>
  </authors>
  <commentList>
    <comment ref="G2" authorId="0">
      <text>
        <r>
          <rPr>
            <b/>
            <sz val="9"/>
            <color indexed="81"/>
            <rFont val="Tahoma"/>
            <family val="2"/>
          </rPr>
          <t xml:space="preserve">JamesW: does not include non travel METs in calculation
</t>
        </r>
      </text>
    </comment>
    <comment ref="M2" authorId="0">
      <text>
        <r>
          <rPr>
            <b/>
            <sz val="9"/>
            <color indexed="81"/>
            <rFont val="Tahoma"/>
            <family val="2"/>
          </rPr>
          <t>JamesW:</t>
        </r>
        <r>
          <rPr>
            <sz val="9"/>
            <color indexed="81"/>
            <rFont val="Tahoma"/>
            <family val="2"/>
          </rPr>
          <t xml:space="preserve">
Does not include non travel METs in calculation
</t>
        </r>
      </text>
    </comment>
    <comment ref="O2" authorId="1">
      <text>
        <r>
          <rPr>
            <b/>
            <sz val="8"/>
            <color indexed="81"/>
            <rFont val="Tahoma"/>
            <family val="2"/>
          </rPr>
          <t>James Woodcock:</t>
        </r>
        <r>
          <rPr>
            <sz val="8"/>
            <color indexed="81"/>
            <rFont val="Tahoma"/>
            <family val="2"/>
          </rPr>
          <t xml:space="preserve">
best fit 0.25
</t>
        </r>
      </text>
    </comment>
    <comment ref="U2" authorId="1">
      <text>
        <r>
          <rPr>
            <b/>
            <sz val="8"/>
            <color indexed="81"/>
            <rFont val="Tahoma"/>
            <family val="2"/>
          </rPr>
          <t>James Woodcock:</t>
        </r>
        <r>
          <rPr>
            <sz val="8"/>
            <color indexed="81"/>
            <rFont val="Tahoma"/>
            <family val="2"/>
          </rPr>
          <t xml:space="preserve">
0.375 best fit
</t>
        </r>
      </text>
    </comment>
    <comment ref="Q5" authorId="1">
      <text>
        <r>
          <rPr>
            <b/>
            <sz val="8"/>
            <color indexed="81"/>
            <rFont val="Tahoma"/>
            <family val="2"/>
          </rPr>
          <t>James Woodcock:</t>
        </r>
        <r>
          <rPr>
            <sz val="8"/>
            <color indexed="81"/>
            <rFont val="Tahoma"/>
            <family val="2"/>
          </rPr>
          <t xml:space="preserve">
cycling alone
</t>
        </r>
      </text>
    </comment>
  </commentList>
</comments>
</file>

<file path=xl/comments9.xml><?xml version="1.0" encoding="utf-8"?>
<comments xmlns="http://schemas.openxmlformats.org/spreadsheetml/2006/main">
  <authors>
    <author>DHS-OIS-NDS</author>
    <author>Eric Main</author>
    <author>Nicholas J. Linesch</author>
  </authors>
  <commentList>
    <comment ref="A1" authorId="0">
      <text>
        <r>
          <rPr>
            <b/>
            <sz val="8"/>
            <color indexed="81"/>
            <rFont val="Tahoma"/>
            <family val="2"/>
          </rPr>
          <t>DHS-OIS-NDS:</t>
        </r>
        <r>
          <rPr>
            <sz val="8"/>
            <color indexed="81"/>
            <rFont val="Tahoma"/>
            <family val="2"/>
          </rPr>
          <t xml:space="preserve">
Current county urban/rural status</t>
        </r>
      </text>
    </comment>
    <comment ref="T1" authorId="1">
      <text>
        <r>
          <rPr>
            <b/>
            <sz val="8"/>
            <color indexed="81"/>
            <rFont val="Tahoma"/>
            <family val="2"/>
          </rPr>
          <t xml:space="preserve">Eric Main: </t>
        </r>
        <r>
          <rPr>
            <sz val="8"/>
            <color indexed="81"/>
            <rFont val="Tahoma"/>
            <family val="2"/>
          </rPr>
          <t>Update the area name in the Callobration Data page, in Region/county column.</t>
        </r>
        <r>
          <rPr>
            <b/>
            <sz val="8"/>
            <color indexed="81"/>
            <rFont val="Tahoma"/>
            <family val="2"/>
          </rPr>
          <t xml:space="preserve">
</t>
        </r>
        <r>
          <rPr>
            <sz val="8"/>
            <color indexed="81"/>
            <rFont val="Tahoma"/>
            <family val="2"/>
          </rPr>
          <t xml:space="preserve">
</t>
        </r>
      </text>
    </comment>
    <comment ref="T2" authorId="2">
      <text>
        <r>
          <rPr>
            <b/>
            <sz val="9"/>
            <color indexed="81"/>
            <rFont val="Tahoma"/>
            <family val="2"/>
          </rPr>
          <t>Nicholas J. Linesch:</t>
        </r>
        <r>
          <rPr>
            <sz val="9"/>
            <color indexed="81"/>
            <rFont val="Tahoma"/>
            <family val="2"/>
          </rPr>
          <t xml:space="preserve">
This needs to pull total pop from the region.</t>
        </r>
      </text>
    </comment>
    <comment ref="U22" authorId="2">
      <text>
        <r>
          <rPr>
            <b/>
            <sz val="9"/>
            <color indexed="81"/>
            <rFont val="Tahoma"/>
            <family val="2"/>
          </rPr>
          <t>Nicholas J. Linesch:</t>
        </r>
        <r>
          <rPr>
            <sz val="9"/>
            <color indexed="81"/>
            <rFont val="Tahoma"/>
            <family val="2"/>
          </rPr>
          <t xml:space="preserve">
% of colo rectal cancers that are colon cancers.  Physical activity is not associated with rectal cancers but is with colon cancers.  Proportional morbitidy of colon to colo-rectal cancers is calculated here.</t>
        </r>
      </text>
    </comment>
  </commentList>
</comments>
</file>

<file path=xl/sharedStrings.xml><?xml version="1.0" encoding="utf-8"?>
<sst xmlns="http://schemas.openxmlformats.org/spreadsheetml/2006/main" count="24217" uniqueCount="686">
  <si>
    <t>SD</t>
  </si>
  <si>
    <t>%</t>
  </si>
  <si>
    <t>0-4</t>
  </si>
  <si>
    <t>5-14</t>
  </si>
  <si>
    <t>15-29</t>
  </si>
  <si>
    <t>30-44</t>
  </si>
  <si>
    <t>45-59</t>
  </si>
  <si>
    <t>60-69</t>
  </si>
  <si>
    <t>70-79</t>
  </si>
  <si>
    <t>80+</t>
  </si>
  <si>
    <t>F</t>
  </si>
  <si>
    <t>Active travel</t>
  </si>
  <si>
    <t>Minutes per week</t>
  </si>
  <si>
    <r>
      <t>N</t>
    </r>
    <r>
      <rPr>
        <b/>
        <vertAlign val="subscript"/>
        <sz val="14"/>
        <rFont val="Candara"/>
        <family val="2"/>
      </rPr>
      <t>fit</t>
    </r>
  </si>
  <si>
    <t>METs</t>
  </si>
  <si>
    <t>Mean</t>
  </si>
  <si>
    <t>Age groups</t>
  </si>
  <si>
    <t>Walking</t>
  </si>
  <si>
    <t>Cycling</t>
  </si>
  <si>
    <t>Active travel /week</t>
  </si>
  <si>
    <t>Minutes</t>
  </si>
  <si>
    <t>Speed (Km/h)</t>
  </si>
  <si>
    <t>Population median:</t>
  </si>
  <si>
    <t>Population mean:</t>
  </si>
  <si>
    <t>Population size:</t>
  </si>
  <si>
    <t>(millions female)</t>
  </si>
  <si>
    <t>m</t>
  </si>
  <si>
    <t>f</t>
  </si>
  <si>
    <t>Coefficient of variation:</t>
  </si>
  <si>
    <t>DALYs</t>
  </si>
  <si>
    <t>Depression</t>
  </si>
  <si>
    <t>CVD</t>
  </si>
  <si>
    <t>Dementia</t>
  </si>
  <si>
    <t>Diabetes</t>
  </si>
  <si>
    <t xml:space="preserve">Exposure </t>
  </si>
  <si>
    <t xml:space="preserve"> 80+</t>
  </si>
  <si>
    <t xml:space="preserve"> 70-79</t>
  </si>
  <si>
    <t xml:space="preserve"> 60-69</t>
  </si>
  <si>
    <t xml:space="preserve"> 45-59</t>
  </si>
  <si>
    <t xml:space="preserve"> 30-44</t>
  </si>
  <si>
    <t xml:space="preserve"> 15-29</t>
  </si>
  <si>
    <t xml:space="preserve"> 5-14</t>
  </si>
  <si>
    <t>∆ YLD</t>
  </si>
  <si>
    <t>∆YLL</t>
  </si>
  <si>
    <t>∆ Deaths</t>
  </si>
  <si>
    <t>RR 1 MET</t>
  </si>
  <si>
    <t>Age group</t>
  </si>
  <si>
    <t>Sex</t>
  </si>
  <si>
    <t>Vision</t>
  </si>
  <si>
    <t>∆ Burden</t>
  </si>
  <si>
    <t>YLD per group</t>
  </si>
  <si>
    <t>YLL per group</t>
  </si>
  <si>
    <t>Deaths per group</t>
  </si>
  <si>
    <t>Ratio of disease burden re gp 1</t>
  </si>
  <si>
    <t>RR compared with baseline</t>
  </si>
  <si>
    <t>RR compared with no exposure</t>
  </si>
  <si>
    <t xml:space="preserve">Total Exposure </t>
  </si>
  <si>
    <t xml:space="preserve"> Travel Exposure </t>
  </si>
  <si>
    <t>Baseline</t>
  </si>
  <si>
    <t>women</t>
  </si>
  <si>
    <t>men</t>
  </si>
  <si>
    <t>non travel mets</t>
  </si>
  <si>
    <t>Scenario</t>
  </si>
  <si>
    <t>daly</t>
  </si>
  <si>
    <t>yld</t>
  </si>
  <si>
    <t>yll</t>
  </si>
  <si>
    <t>dproj</t>
  </si>
  <si>
    <t>pproj</t>
  </si>
  <si>
    <t>age</t>
  </si>
  <si>
    <t>sex</t>
  </si>
  <si>
    <t xml:space="preserve">Total </t>
  </si>
  <si>
    <t>Colon Cancer</t>
  </si>
  <si>
    <t>Total</t>
  </si>
  <si>
    <t>Breast Cancer</t>
  </si>
  <si>
    <t>total</t>
  </si>
  <si>
    <t>New Burden</t>
  </si>
  <si>
    <t>AF</t>
  </si>
  <si>
    <t>Baseline Coefficient of variation:</t>
  </si>
  <si>
    <t>YLL</t>
  </si>
  <si>
    <t>YLD</t>
  </si>
  <si>
    <t>Deaths</t>
  </si>
  <si>
    <t>1 MET</t>
  </si>
  <si>
    <t>&gt;29</t>
  </si>
  <si>
    <t>Colon cancer</t>
  </si>
  <si>
    <t>mean</t>
  </si>
  <si>
    <t>Standard deviation:</t>
  </si>
  <si>
    <t>cycling</t>
  </si>
  <si>
    <t>ln mean</t>
  </si>
  <si>
    <t>ln sd</t>
  </si>
  <si>
    <t>pop mean walking time</t>
  </si>
  <si>
    <t>pop mean cycling time</t>
  </si>
  <si>
    <t>RR walking</t>
  </si>
  <si>
    <t>RR cycling</t>
  </si>
  <si>
    <t>walk</t>
  </si>
  <si>
    <t>cycle</t>
  </si>
  <si>
    <t>bus</t>
  </si>
  <si>
    <t>car long</t>
  </si>
  <si>
    <t>elec/ bike scooter</t>
  </si>
  <si>
    <t>train</t>
  </si>
  <si>
    <t>Walking time</t>
  </si>
  <si>
    <t>Cycling time</t>
  </si>
  <si>
    <t>Distance</t>
  </si>
  <si>
    <t xml:space="preserve">mean </t>
  </si>
  <si>
    <t xml:space="preserve">walking </t>
  </si>
  <si>
    <t>calculation</t>
  </si>
  <si>
    <t>proportion</t>
  </si>
  <si>
    <t>relative wk spd</t>
  </si>
  <si>
    <t>relative cyc spd</t>
  </si>
  <si>
    <t>calcualtion</t>
  </si>
  <si>
    <t>Time</t>
  </si>
  <si>
    <t>min</t>
  </si>
  <si>
    <t>Time (minutes per day)</t>
  </si>
  <si>
    <t>walking METs</t>
  </si>
  <si>
    <t>walking Minutes</t>
  </si>
  <si>
    <t>cycling minutes</t>
  </si>
  <si>
    <t>cycling METs</t>
  </si>
  <si>
    <t>total METs</t>
  </si>
  <si>
    <t>ln value</t>
  </si>
  <si>
    <t>male</t>
  </si>
  <si>
    <t>female</t>
  </si>
  <si>
    <t xml:space="preserve">sex </t>
  </si>
  <si>
    <t>car short</t>
  </si>
  <si>
    <t>Results</t>
  </si>
  <si>
    <t xml:space="preserve">elec bike </t>
  </si>
  <si>
    <t>Vision 3</t>
  </si>
  <si>
    <t>Ratio of walking and cycling times to women aged 15-29</t>
  </si>
  <si>
    <t>Age</t>
  </si>
  <si>
    <t>Baseline (0)</t>
  </si>
  <si>
    <t xml:space="preserve"> (enter 4 if you want to enter new values)</t>
  </si>
  <si>
    <t>Active travel as % of baseline total travel time</t>
  </si>
  <si>
    <t>total for everyone</t>
  </si>
  <si>
    <t>Vision 0</t>
  </si>
  <si>
    <t>Vision 1</t>
  </si>
  <si>
    <t>Vision 2</t>
  </si>
  <si>
    <t>Stages/ week</t>
  </si>
  <si>
    <t>minibus</t>
  </si>
  <si>
    <t>train/tube</t>
  </si>
  <si>
    <t xml:space="preserve">car short </t>
  </si>
  <si>
    <t>Mean stage Distance (km)</t>
  </si>
  <si>
    <t>Time (minutes per week)</t>
  </si>
  <si>
    <t>colon % of colorectal cancer</t>
  </si>
  <si>
    <t>Occupancy</t>
  </si>
  <si>
    <t>Person travel time, speeds and distance</t>
  </si>
  <si>
    <t>mbike</t>
  </si>
  <si>
    <t>Coefficient of var</t>
  </si>
  <si>
    <t>RR</t>
  </si>
  <si>
    <t xml:space="preserve">exposure </t>
  </si>
  <si>
    <t>Air pollution RR</t>
  </si>
  <si>
    <t>Air pollution exposure</t>
  </si>
  <si>
    <t>Coefficient</t>
  </si>
  <si>
    <t>Change in YLL</t>
  </si>
  <si>
    <t>Change in YLD</t>
  </si>
  <si>
    <t xml:space="preserve">Change in Deaths </t>
  </si>
  <si>
    <t>Change in DALYs</t>
  </si>
  <si>
    <t>Lung Cancer</t>
  </si>
  <si>
    <t>Acute resp infections</t>
  </si>
  <si>
    <t>Inflammatory HD</t>
  </si>
  <si>
    <t xml:space="preserve">Respiratory diseases </t>
  </si>
  <si>
    <t>Acute Resp Infections</t>
  </si>
  <si>
    <t>Inflammatory Heart Disease</t>
  </si>
  <si>
    <t>Resp Diseases</t>
  </si>
  <si>
    <t>Minor Road</t>
  </si>
  <si>
    <t>Major Road</t>
  </si>
  <si>
    <t>HGV</t>
  </si>
  <si>
    <t>LGV</t>
  </si>
  <si>
    <t>car</t>
  </si>
  <si>
    <t>Motorway</t>
  </si>
  <si>
    <t>Baseline Fatalities</t>
  </si>
  <si>
    <t>Person &amp; Vehicle Distance</t>
  </si>
  <si>
    <t>Person</t>
  </si>
  <si>
    <t>Vehicle</t>
  </si>
  <si>
    <t>Striking Vehicle</t>
  </si>
  <si>
    <t>Person injured</t>
  </si>
  <si>
    <t>Safety in numbers factor</t>
  </si>
  <si>
    <t>Scenario Fatalities</t>
  </si>
  <si>
    <t>NOV</t>
  </si>
  <si>
    <t>Baselins</t>
  </si>
  <si>
    <t>TOTAL</t>
  </si>
  <si>
    <t xml:space="preserve">car long </t>
  </si>
  <si>
    <t>Scenario Serious Injuries</t>
  </si>
  <si>
    <t>Scenario Injuries Multiplier</t>
  </si>
  <si>
    <t>Scenario Injuries</t>
  </si>
  <si>
    <t xml:space="preserve">total </t>
  </si>
  <si>
    <t>Fatalities</t>
  </si>
  <si>
    <t>Serious Injuries</t>
  </si>
  <si>
    <t xml:space="preserve">Baseline </t>
  </si>
  <si>
    <t>Stroke</t>
  </si>
  <si>
    <t>Ischemic Heart Disease</t>
  </si>
  <si>
    <t>IHD</t>
  </si>
  <si>
    <t>Hypertensive HD</t>
  </si>
  <si>
    <t>Road Traffic Injuries</t>
  </si>
  <si>
    <t>RTIs</t>
  </si>
  <si>
    <t>Total DALYs</t>
  </si>
  <si>
    <t>Speed Safety</t>
  </si>
  <si>
    <t>Other Safety Factor</t>
  </si>
  <si>
    <t>Victim Safety in Numbers Factor</t>
  </si>
  <si>
    <t>Striking Vehicle Safety RR</t>
  </si>
  <si>
    <t>Baseline Injuries</t>
  </si>
  <si>
    <t>Striking vehicle</t>
  </si>
  <si>
    <t>Injuries Results</t>
  </si>
  <si>
    <t>.</t>
  </si>
  <si>
    <t>Actual values before urban population adjustment</t>
  </si>
  <si>
    <t>All diseases by age &amp; sex</t>
  </si>
  <si>
    <t>Reduction disease bruden</t>
  </si>
  <si>
    <t>All- cause mortality</t>
  </si>
  <si>
    <t>Physical Activity Risk Function (power 0.25=0, power 0.5= 1, power 0.375=2, log=3, linear=4)</t>
  </si>
  <si>
    <t>All-cause mortality cycling Anderson</t>
  </si>
  <si>
    <t xml:space="preserve">All-cause mortality Woodcock </t>
  </si>
  <si>
    <t>All-cause mortality Woodcock walking alone</t>
  </si>
  <si>
    <t>All-cause mortality walking: HEAT</t>
  </si>
  <si>
    <t>CVD cubic splines</t>
  </si>
  <si>
    <t>All-cause mortality Woodcock</t>
  </si>
  <si>
    <t>population</t>
  </si>
  <si>
    <t>total diseases affected by model changes</t>
  </si>
  <si>
    <t>%  of total burden from these diseases</t>
  </si>
  <si>
    <t>all</t>
  </si>
  <si>
    <t>injuries</t>
  </si>
  <si>
    <t>all minus injuries</t>
  </si>
  <si>
    <t>Baseline(0)</t>
  </si>
  <si>
    <t>car driver</t>
  </si>
  <si>
    <t>car passenger</t>
  </si>
  <si>
    <t>Mean speed (mph)</t>
  </si>
  <si>
    <t>Distance (miles per week)</t>
  </si>
  <si>
    <t xml:space="preserve"> </t>
  </si>
  <si>
    <t>CBA:Data entry (4)</t>
  </si>
  <si>
    <t>Cardiorespiratory</t>
  </si>
  <si>
    <t>ARI</t>
  </si>
  <si>
    <t>Coefficient for RR</t>
  </si>
  <si>
    <t>Condition</t>
  </si>
  <si>
    <t>Distance (mile per day)</t>
  </si>
  <si>
    <t>LCD</t>
  </si>
  <si>
    <t>Hypertensive Heart Disease</t>
  </si>
  <si>
    <t>Population</t>
  </si>
  <si>
    <t>doubles value based on PM10</t>
  </si>
  <si>
    <t>ITHIM: Integrated Transport &amp; Health Impact Modelling 2012</t>
  </si>
  <si>
    <t>Designed and implemented by Dr James Woodcock, CEDAR http://www.cedar.iph.cam.ac.uk/</t>
  </si>
  <si>
    <t>Acknowledgements: Phil Edwards, LSHTM,Neil Maizlish, California Public Health Department, Zaid Chalabi, LSHTM &amp; Ian Roberts, LSHTM</t>
  </si>
  <si>
    <t>This spreadsheet model estimates the health impacts of transport scenarios</t>
  </si>
  <si>
    <t xml:space="preserve">    You should have received a copy of the GNU General Public License</t>
  </si>
  <si>
    <t xml:space="preserve">    along with this program.  If not, see &lt;http://www.gnu.org/licenses/&gt;.</t>
  </si>
  <si>
    <t xml:space="preserve">We would welcome feedback on the use of this model, including any errors or bugs detected. </t>
  </si>
  <si>
    <t>For the California version please also reference: Maizlish NA, Woodcock JD, Co S, Ostro B, Fairley D, Fanai A. Health cobenefits and transportation-related reductions in greenhouse gas emissions in the San Francisco Bay Area. Am J Public Health. Published online ahead of print February 14, 2013: e1–e7. doi:10.2105/AJPH.2012.300939.</t>
  </si>
  <si>
    <t>* Neil. Maizlish@cdph.ca.gov for inquiries on the California version</t>
  </si>
  <si>
    <t>Citation for use of the model is: Woodcock J, Givoni M, Morgan AS. Health Impact Modelling of Active Travel Visions for England and Wales Using an Integrated Transport and Health Impact Modelling Tool (ITHIM). PLoS One. 2013;8(1):e51462.</t>
  </si>
  <si>
    <t>05-14</t>
  </si>
  <si>
    <t>bicycle</t>
  </si>
  <si>
    <t>rail</t>
  </si>
  <si>
    <t>other</t>
  </si>
  <si>
    <t>motorcycle</t>
  </si>
  <si>
    <t>00-04</t>
  </si>
  <si>
    <t>Total Population</t>
  </si>
  <si>
    <t>Highway</t>
  </si>
  <si>
    <t>car/pick-up</t>
  </si>
  <si>
    <t>pedestrian</t>
  </si>
  <si>
    <t>truck</t>
  </si>
  <si>
    <t>local</t>
  </si>
  <si>
    <t>arterial</t>
  </si>
  <si>
    <t>intersta</t>
  </si>
  <si>
    <t>highway</t>
  </si>
  <si>
    <t>none</t>
  </si>
  <si>
    <t>fatal</t>
  </si>
  <si>
    <t>serious</t>
  </si>
  <si>
    <t>total fatal &amp; serious accidents observed in SWITRS database</t>
  </si>
  <si>
    <t>observations without roadway type assignment</t>
  </si>
  <si>
    <t>percentage un-geocoded</t>
  </si>
  <si>
    <t>scenario_id</t>
  </si>
  <si>
    <t>item_id</t>
  </si>
  <si>
    <t>item_name</t>
  </si>
  <si>
    <t>units</t>
  </si>
  <si>
    <t>urbrur</t>
  </si>
  <si>
    <t>report_year</t>
  </si>
  <si>
    <t>mode</t>
  </si>
  <si>
    <t>mode_code</t>
  </si>
  <si>
    <t>strata_type</t>
  </si>
  <si>
    <t>strata</t>
  </si>
  <si>
    <t>strata_code</t>
  </si>
  <si>
    <t>age_group</t>
  </si>
  <si>
    <t>unwt_n</t>
  </si>
  <si>
    <t>wt_n</t>
  </si>
  <si>
    <t>item_result</t>
  </si>
  <si>
    <t>se</t>
  </si>
  <si>
    <t>cv</t>
  </si>
  <si>
    <t>Per capita mean daily travel time</t>
  </si>
  <si>
    <t>min/person/d</t>
  </si>
  <si>
    <t>2009</t>
  </si>
  <si>
    <t>BICYCLE</t>
  </si>
  <si>
    <t>race</t>
  </si>
  <si>
    <t>All Races</t>
  </si>
  <si>
    <t>All Ages</t>
  </si>
  <si>
    <t>All</t>
  </si>
  <si>
    <t>WALK</t>
  </si>
  <si>
    <t>CAR</t>
  </si>
  <si>
    <t>BUS</t>
  </si>
  <si>
    <t>RAIL</t>
  </si>
  <si>
    <t>MOTORCYCLE</t>
  </si>
  <si>
    <t>OTHER</t>
  </si>
  <si>
    <t>Ratio of per capita mean daily active travel time (relative to females aged 15-29 years old)</t>
  </si>
  <si>
    <t>Dimensionless</t>
  </si>
  <si>
    <t>M</t>
  </si>
  <si>
    <t>per capita mean daily travel distance</t>
  </si>
  <si>
    <t>miles/person/day</t>
  </si>
  <si>
    <t>percent</t>
  </si>
  <si>
    <t>2010</t>
  </si>
  <si>
    <t>Per capita weekly non-travel related physical activity</t>
  </si>
  <si>
    <t>MET-hours/week</t>
  </si>
  <si>
    <t>Physical activity</t>
  </si>
  <si>
    <t>decile</t>
  </si>
  <si>
    <t>0</t>
  </si>
  <si>
    <t>1</t>
  </si>
  <si>
    <t>2</t>
  </si>
  <si>
    <t>3</t>
  </si>
  <si>
    <t>4</t>
  </si>
  <si>
    <t>Walk speeds</t>
  </si>
  <si>
    <t>miles per hour</t>
  </si>
  <si>
    <t>2008</t>
  </si>
  <si>
    <t>Auto (Driver)</t>
  </si>
  <si>
    <t>Auto (Passenger)</t>
  </si>
  <si>
    <t>2009-2011</t>
  </si>
  <si>
    <t>death cause</t>
  </si>
  <si>
    <t>All Causes</t>
  </si>
  <si>
    <t>Respiratory diseases</t>
  </si>
  <si>
    <t>Proportion of colon cancers from all colo-rectal cancers</t>
  </si>
  <si>
    <t>Standard deviation of mean daily active travel time</t>
  </si>
  <si>
    <t>Collisions between striking vehicle and victim vehicle</t>
  </si>
  <si>
    <t>collisions</t>
  </si>
  <si>
    <t>2006-2010</t>
  </si>
  <si>
    <t>Bicycle_none</t>
  </si>
  <si>
    <t>severity</t>
  </si>
  <si>
    <t>Bus_none</t>
  </si>
  <si>
    <t>Car/Pick-up_none</t>
  </si>
  <si>
    <t>Motorcycle_none</t>
  </si>
  <si>
    <t>none_none</t>
  </si>
  <si>
    <t>Pedestrian_none</t>
  </si>
  <si>
    <t>Truck_none</t>
  </si>
  <si>
    <t>Bicycle_Bicycle</t>
  </si>
  <si>
    <t>Bicycle_Bus</t>
  </si>
  <si>
    <t>Bicycle_Car/Pick-up</t>
  </si>
  <si>
    <t>Bicycle_Motorcycle</t>
  </si>
  <si>
    <t>Bicycle_Pedestrian</t>
  </si>
  <si>
    <t>Bicycle_Train</t>
  </si>
  <si>
    <t>Bicycle_Truck</t>
  </si>
  <si>
    <t>Bus_Bicycle</t>
  </si>
  <si>
    <t>Bus_Bus</t>
  </si>
  <si>
    <t>Bus_Car/Pick-up</t>
  </si>
  <si>
    <t>Bus_Motorcycle</t>
  </si>
  <si>
    <t>Bus_Pedestrian</t>
  </si>
  <si>
    <t>Bus_Train</t>
  </si>
  <si>
    <t>Bus_Truck</t>
  </si>
  <si>
    <t>Car/Pick-up_Bicycle</t>
  </si>
  <si>
    <t>Car/Pick-up_Bus</t>
  </si>
  <si>
    <t>Car/Pick-up_Car/Pick-up</t>
  </si>
  <si>
    <t>Car/Pick-up_Motorcycle</t>
  </si>
  <si>
    <t>Car/Pick-up_Pedestrian</t>
  </si>
  <si>
    <t>Car/Pick-up_Train</t>
  </si>
  <si>
    <t>Car/Pick-up_Truck</t>
  </si>
  <si>
    <t>Motorcycle_Bicycle</t>
  </si>
  <si>
    <t>Motorcycle_Bus</t>
  </si>
  <si>
    <t>Motorcycle_Car/Pick-up</t>
  </si>
  <si>
    <t>Motorcycle_Motorcycle</t>
  </si>
  <si>
    <t>Motorcycle_Pedestrian</t>
  </si>
  <si>
    <t>Motorcycle_Train</t>
  </si>
  <si>
    <t>Motorcycle_Truck</t>
  </si>
  <si>
    <t>none_Bicycle</t>
  </si>
  <si>
    <t>none_Bus</t>
  </si>
  <si>
    <t>none_Car/Pick-up</t>
  </si>
  <si>
    <t>none_Motorcycle</t>
  </si>
  <si>
    <t>none_Pedestrian</t>
  </si>
  <si>
    <t>none_Train</t>
  </si>
  <si>
    <t>none_Truck</t>
  </si>
  <si>
    <t>Pedestrian_Bicycle</t>
  </si>
  <si>
    <t>Pedestrian_Bus</t>
  </si>
  <si>
    <t>Pedestrian_Car/Pick-up</t>
  </si>
  <si>
    <t>Pedestrian_Motorcycle</t>
  </si>
  <si>
    <t>Pedestrian_Pedestrian</t>
  </si>
  <si>
    <t>Pedestrian_Train</t>
  </si>
  <si>
    <t>Pedestrian_Truck</t>
  </si>
  <si>
    <t>Truck_Bicycle</t>
  </si>
  <si>
    <t>Truck_Bus</t>
  </si>
  <si>
    <t>Truck_Car/Pick-up</t>
  </si>
  <si>
    <t>Truck_Motorcycle</t>
  </si>
  <si>
    <t>Truck_Pedestrian</t>
  </si>
  <si>
    <t>Truck_Train</t>
  </si>
  <si>
    <t>Truck_Truck</t>
  </si>
  <si>
    <t>Base Year</t>
  </si>
  <si>
    <t xml:space="preserve">National Cost of Illness (COI) </t>
  </si>
  <si>
    <t>CPI Adjustment</t>
  </si>
  <si>
    <t>National COI, 2010</t>
  </si>
  <si>
    <t>Attributable Risk %</t>
  </si>
  <si>
    <t>Sources</t>
  </si>
  <si>
    <t>Cancer</t>
  </si>
  <si>
    <t>Breast</t>
  </si>
  <si>
    <t>Angela B. Mariotto et al, 2011</t>
  </si>
  <si>
    <t>Colon and rectum cancer</t>
  </si>
  <si>
    <t>Lung</t>
  </si>
  <si>
    <t>Cardiovascular</t>
  </si>
  <si>
    <t>Stroke-PA</t>
  </si>
  <si>
    <t>{Roger, 2011}</t>
  </si>
  <si>
    <t xml:space="preserve"> Heart disease-PA</t>
  </si>
  <si>
    <t>Stroke-PM2.5</t>
  </si>
  <si>
    <t xml:space="preserve"> Heart disease-PM2.5</t>
  </si>
  <si>
    <t>Respiratory</t>
  </si>
  <si>
    <t>Asthma</t>
  </si>
  <si>
    <t>{Barnett SB, 2011 #56}</t>
  </si>
  <si>
    <t>Mental Illness</t>
  </si>
  <si>
    <t>{Wimo, 2010}</t>
  </si>
  <si>
    <t>Greenberg et al, 2003</t>
  </si>
  <si>
    <t>Other</t>
  </si>
  <si>
    <t>ADA,2011</t>
  </si>
  <si>
    <t>Traffic Injuries</t>
  </si>
  <si>
    <t>All Causes of Death</t>
  </si>
  <si>
    <t>Sum of Specific Causes</t>
  </si>
  <si>
    <t>Date</t>
  </si>
  <si>
    <t>CO2 emitted per distance traveled</t>
  </si>
  <si>
    <t>GMS of CO2/mile</t>
  </si>
  <si>
    <t>Cars &amp; Light Duty Truck</t>
  </si>
  <si>
    <t>Regional share in %</t>
  </si>
  <si>
    <t>Regional Share in $</t>
  </si>
  <si>
    <t>Scenario (2)</t>
  </si>
  <si>
    <t>Scenario (4)</t>
  </si>
  <si>
    <t>Scenario (3)</t>
  </si>
  <si>
    <t>regional Attributable costs due to PA</t>
  </si>
  <si>
    <t>Cost of Illness Method</t>
  </si>
  <si>
    <t>Willingness to Pay Method</t>
  </si>
  <si>
    <t>Value of a Statistical Life Approach</t>
  </si>
  <si>
    <t>Agency</t>
  </si>
  <si>
    <t>VSL,$</t>
  </si>
  <si>
    <t>Premature Deaths*</t>
  </si>
  <si>
    <t>Costs</t>
  </si>
  <si>
    <t>Specific Causes*</t>
  </si>
  <si>
    <t>EPA</t>
  </si>
  <si>
    <t>All causes</t>
  </si>
  <si>
    <t>Fatal Injury</t>
  </si>
  <si>
    <t>CalTrans</t>
  </si>
  <si>
    <t>Population Forecasts (DOF)</t>
  </si>
  <si>
    <t>year</t>
  </si>
  <si>
    <t>2035</t>
  </si>
  <si>
    <t>Person Distance (miles per day)</t>
  </si>
  <si>
    <t>Ambitious</t>
  </si>
  <si>
    <t>User Defined</t>
  </si>
  <si>
    <t>PACG</t>
  </si>
  <si>
    <t>Scenario2</t>
  </si>
  <si>
    <t>Scenario3</t>
  </si>
  <si>
    <t>5</t>
  </si>
  <si>
    <t>6</t>
  </si>
  <si>
    <t>7</t>
  </si>
  <si>
    <t>Vehicle miles traveled distance by facility type (VMT)</t>
  </si>
  <si>
    <t>Miles per day</t>
  </si>
  <si>
    <t>Passenger Cars &amp; Light Duty Trucks</t>
  </si>
  <si>
    <t>-</t>
  </si>
  <si>
    <t>roadway type</t>
  </si>
  <si>
    <t>Med &amp; Heavy Trucks</t>
  </si>
  <si>
    <t>Bus</t>
  </si>
  <si>
    <t>All Trucks</t>
  </si>
  <si>
    <t>All Roadway Types</t>
  </si>
  <si>
    <t>Constant to achieve Coefficient of variation</t>
  </si>
  <si>
    <t>U039</t>
  </si>
  <si>
    <t>U999</t>
  </si>
  <si>
    <t>U069</t>
  </si>
  <si>
    <t>U064</t>
  </si>
  <si>
    <t>U087</t>
  </si>
  <si>
    <t>U082</t>
  </si>
  <si>
    <t>U079</t>
  </si>
  <si>
    <t>U106</t>
  </si>
  <si>
    <t>U107</t>
  </si>
  <si>
    <t>U109</t>
  </si>
  <si>
    <t>U067</t>
  </si>
  <si>
    <t>U112</t>
  </si>
  <si>
    <t>U150</t>
  </si>
  <si>
    <t>U108</t>
  </si>
  <si>
    <t>Minutes/person/day</t>
  </si>
  <si>
    <t>one party</t>
  </si>
  <si>
    <t>two party</t>
  </si>
  <si>
    <t>Percent reductions in YLLs not YLDs</t>
  </si>
  <si>
    <t>Scenario Coefficient of Variation</t>
  </si>
  <si>
    <t>2012</t>
  </si>
  <si>
    <t>Hours per day</t>
  </si>
  <si>
    <t>Average Travel Speed For Car Mode from NHTS 2009</t>
  </si>
  <si>
    <t>miles/hour</t>
  </si>
  <si>
    <t>Average Bus Occupancy from NHTS</t>
  </si>
  <si>
    <t>persons/vehicle</t>
  </si>
  <si>
    <t>x</t>
  </si>
  <si>
    <t>Average Travel Speed for Bus Mode from NHTS 2009</t>
  </si>
  <si>
    <t xml:space="preserve">Scenario = </t>
  </si>
  <si>
    <t>Person miles traveled (PMT)</t>
  </si>
  <si>
    <t>Person hours traveled (PHT)</t>
  </si>
  <si>
    <t>%VMT reduction</t>
  </si>
  <si>
    <r>
      <t xml:space="preserve">PM 2.5, </t>
    </r>
    <r>
      <rPr>
        <sz val="10"/>
        <rFont val="Symbol"/>
        <family val="1"/>
        <charset val="2"/>
      </rPr>
      <t>m</t>
    </r>
    <r>
      <rPr>
        <sz val="10"/>
        <rFont val="Arial"/>
        <family val="2"/>
      </rPr>
      <t>g/m</t>
    </r>
    <r>
      <rPr>
        <vertAlign val="superscript"/>
        <sz val="10"/>
        <rFont val="Arial"/>
        <family val="2"/>
      </rPr>
      <t>3</t>
    </r>
  </si>
  <si>
    <r>
      <t>Air Pollution: Mean PM (</t>
    </r>
    <r>
      <rPr>
        <b/>
        <sz val="11"/>
        <color theme="1"/>
        <rFont val="Symbol"/>
        <family val="1"/>
        <charset val="2"/>
      </rPr>
      <t>m</t>
    </r>
    <r>
      <rPr>
        <b/>
        <sz val="12.1"/>
        <color theme="1"/>
        <rFont val="Candara"/>
        <family val="2"/>
      </rPr>
      <t>/m</t>
    </r>
    <r>
      <rPr>
        <b/>
        <vertAlign val="superscript"/>
        <sz val="12.1"/>
        <color theme="1"/>
        <rFont val="Candara"/>
        <family val="2"/>
      </rPr>
      <t>3</t>
    </r>
    <r>
      <rPr>
        <b/>
        <sz val="12.1"/>
        <color theme="1"/>
        <rFont val="Candara"/>
        <family val="2"/>
      </rPr>
      <t>)</t>
    </r>
  </si>
  <si>
    <t>Local</t>
  </si>
  <si>
    <t>Arterial</t>
  </si>
  <si>
    <t>Freeway</t>
  </si>
  <si>
    <t>bike</t>
  </si>
  <si>
    <t>Bus PMT</t>
  </si>
  <si>
    <t>Bus VMT</t>
  </si>
  <si>
    <t>NHTS</t>
  </si>
  <si>
    <t>Rev Miles</t>
  </si>
  <si>
    <t>Bus Speed</t>
  </si>
  <si>
    <t>Car Speed</t>
  </si>
  <si>
    <t>%Bus VMT of Total</t>
  </si>
  <si>
    <t>Bus Occupancy</t>
  </si>
  <si>
    <t>Total BUS VMT (ABM)</t>
  </si>
  <si>
    <t>BUS VMT SHARE (art)</t>
  </si>
  <si>
    <t>BUS VMT SHARE (highway)</t>
  </si>
  <si>
    <t>BUS VMT SHARE (local)</t>
  </si>
  <si>
    <t>WHO code</t>
  </si>
  <si>
    <t>age group</t>
  </si>
  <si>
    <t>county rate ratio</t>
  </si>
  <si>
    <t>rate ratio adj. factor</t>
  </si>
  <si>
    <t>County deaths</t>
  </si>
  <si>
    <t>Urban Oregon population</t>
  </si>
  <si>
    <t>Reweighted population</t>
  </si>
  <si>
    <t>county type</t>
  </si>
  <si>
    <t>Urban</t>
  </si>
  <si>
    <t>urban rate ratio</t>
  </si>
  <si>
    <t>Scenario (1)</t>
  </si>
  <si>
    <t>Oregon Urban Version, July 21, 2014 DRAFT Implemented by Dr. Neil Maizlish*, California Department of Public Health and revised for Oregon by Eric Main, Oregon Health Authority</t>
  </si>
  <si>
    <t>region/county</t>
  </si>
  <si>
    <t>BoD Years</t>
  </si>
  <si>
    <t>Metro</t>
  </si>
  <si>
    <t>Age-sex specific ratio of disease-specific mortality rate between geographic area and urban Oregon counties</t>
  </si>
  <si>
    <t>Air</t>
  </si>
  <si>
    <t>Physical Activity</t>
  </si>
  <si>
    <t>Transportation Options Health Impact Estimator</t>
  </si>
  <si>
    <t>Inputs Page</t>
  </si>
  <si>
    <t>County</t>
  </si>
  <si>
    <t>Lane</t>
  </si>
  <si>
    <t>Mortality</t>
  </si>
  <si>
    <t>Value</t>
  </si>
  <si>
    <t>PM2.5</t>
  </si>
  <si>
    <t>Outputs Page</t>
  </si>
  <si>
    <t>DALYs (YLL+YLD)</t>
  </si>
  <si>
    <t>Air Quality</t>
  </si>
  <si>
    <t>Breast cancer</t>
  </si>
  <si>
    <t>Hypertensive HD*</t>
  </si>
  <si>
    <t>Inflamatory HD*</t>
  </si>
  <si>
    <t>Ischemic HD*</t>
  </si>
  <si>
    <t>Stroke*</t>
  </si>
  <si>
    <t>Before</t>
  </si>
  <si>
    <t>After</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</si>
  <si>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</si>
  <si>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</si>
  <si>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</si>
  <si>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</si>
  <si>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</si>
  <si>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</si>
  <si>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</si>
  <si>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</si>
  <si>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</si>
  <si>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</si>
  <si>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</si>
  <si>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</si>
  <si>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</si>
  <si>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</si>
  <si>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</si>
  <si>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</si>
  <si>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</si>
  <si>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Lake</t>
  </si>
  <si>
    <t>Lincoln</t>
  </si>
  <si>
    <t>Linn</t>
  </si>
  <si>
    <t>Malheur</t>
  </si>
  <si>
    <t>Marion</t>
  </si>
  <si>
    <t>Morrow</t>
  </si>
  <si>
    <t>Multnomah</t>
  </si>
  <si>
    <t>Polk</t>
  </si>
  <si>
    <t>Sherman</t>
  </si>
  <si>
    <t>Tillamook</t>
  </si>
  <si>
    <t>Umatilla</t>
  </si>
  <si>
    <t>Union</t>
  </si>
  <si>
    <t>Wallowa</t>
  </si>
  <si>
    <t>Wasco</t>
  </si>
  <si>
    <t>Washington</t>
  </si>
  <si>
    <t>Wheeler</t>
  </si>
  <si>
    <t>Yamhill</t>
  </si>
  <si>
    <t>Medium Mixed</t>
  </si>
  <si>
    <t>Large Urban</t>
  </si>
  <si>
    <t>DALYS</t>
  </si>
  <si>
    <t>*Cardiovascular diseases</t>
  </si>
  <si>
    <t>DALY</t>
  </si>
  <si>
    <t>Air quality</t>
  </si>
  <si>
    <t>Traffic safety</t>
  </si>
  <si>
    <t>Traffic Safety</t>
  </si>
  <si>
    <t>Klamath</t>
  </si>
  <si>
    <t>PM2.5 2008</t>
  </si>
  <si>
    <t>County Type</t>
  </si>
  <si>
    <t>Rural</t>
  </si>
  <si>
    <t>Small Rural</t>
  </si>
  <si>
    <t>BikeMiles</t>
  </si>
  <si>
    <t>PedMiles</t>
  </si>
  <si>
    <t>CarMiles</t>
  </si>
  <si>
    <t>By Pathway</t>
  </si>
  <si>
    <t>US Population</t>
  </si>
  <si>
    <t>2010 Population</t>
  </si>
  <si>
    <t>Oregon</t>
  </si>
  <si>
    <t>yes</t>
  </si>
  <si>
    <t>no</t>
  </si>
  <si>
    <t>Total less traffic</t>
  </si>
  <si>
    <t>Miles traveled by mode</t>
  </si>
  <si>
    <t>Units are miles/person/week</t>
  </si>
  <si>
    <r>
      <t xml:space="preserve">County Air Quality </t>
    </r>
    <r>
      <rPr>
        <sz val="10"/>
        <color theme="1" tint="0.34998626667073579"/>
        <rFont val="Calibri"/>
        <family val="2"/>
        <scheme val="minor"/>
      </rPr>
      <t>(Do not change unless projected air quality data are available)</t>
    </r>
  </si>
  <si>
    <t>Before*</t>
  </si>
  <si>
    <t>After*</t>
  </si>
  <si>
    <t>The modelling tool is free software: you can redistribute it and/or modify it under the terms of the GNU General Public License as published by the Free Software Foundation, either version 3 of the License, or (at your option) any later version. The modelling tool is implemented in Excel 2010 (Microsoft). No rights to Excel are implied in this licence. This program is distributed in the hope that it will be useful, but WITHOUT ANY WARRANTY; without even the implied warranty of MERCHANTABILITY or FITNESS FOR A PARTICULAR PURPOSE. See the GNU General Public License for more details.</t>
  </si>
  <si>
    <t>Further revised June 2015 by Brendon Haggerty, Oregon Health Authority</t>
  </si>
  <si>
    <t>Copyright © 2013 James Woodcock</t>
  </si>
  <si>
    <t>Annual mean ambient concentration (µg/m3)</t>
  </si>
  <si>
    <t>rural rate ratio</t>
  </si>
  <si>
    <t>Rural Oregon population</t>
  </si>
  <si>
    <t>Age-sex specific ratio of disease-specific mortality rate between geographic area and rural Oregon counties</t>
  </si>
  <si>
    <t>U</t>
  </si>
  <si>
    <t>R</t>
  </si>
  <si>
    <r>
      <rPr>
        <b/>
        <sz val="11"/>
        <color theme="1"/>
        <rFont val="Calibri"/>
        <family val="2"/>
        <scheme val="minor"/>
      </rPr>
      <t>The Transportation Options Health Impact Estimator</t>
    </r>
    <r>
      <rPr>
        <sz val="11"/>
        <color theme="1"/>
        <rFont val="Calibri"/>
        <family val="2"/>
        <scheme val="minor"/>
      </rPr>
      <t xml:space="preserve"> is a customized interface for ITHIM developed for the Oregon Department of Transportation by the Oregon Health Authority Health Impact Assessment Program. It is locked to preserve functionality. To obtain an unlocked version, contact Brendon Haggerty: brendon.haggerty@state.or.us. To learn more about the Health Impact Assement Program, visit www.healthoregon.org/hia Funding provided (in part) by The Health Impact Project, a joint project of the Robert Wood Johnson Foundation and The Pew Charitable Trusts.</t>
    </r>
  </si>
  <si>
    <t>Type</t>
  </si>
  <si>
    <t>All diseases in US 2010 by age &amp; sex</t>
  </si>
  <si>
    <t>Revised for version 2.1 August 2016 by Eric Main, Oregon Health Authority</t>
  </si>
  <si>
    <t>Pop2013</t>
  </si>
  <si>
    <t>2013 urban pop</t>
  </si>
  <si>
    <t>2013 urban pop %</t>
  </si>
  <si>
    <t>baseline [2013] pop</t>
  </si>
  <si>
    <t>baseline [2013] pop  %</t>
  </si>
  <si>
    <t>scenario [2013] pop</t>
  </si>
  <si>
    <t>scenario [2013] pop %</t>
  </si>
  <si>
    <t>2013 rural pop</t>
  </si>
  <si>
    <t>2013 rural pop %</t>
  </si>
  <si>
    <t>2009-2013</t>
  </si>
  <si>
    <t>Instructions: Fill in yellow cells on this worksheet and the "ODOT Survey Worksheet"</t>
  </si>
  <si>
    <t>* "Before" and "After" miles will be automatically populated by data from the "ODOT Survey Worksheet" tab. Editing these fields might break links with other worksheets.</t>
  </si>
  <si>
    <t>Revised for alignment with ODOT Transportation Options pre- and post-surveys September 2016 by Steve White, Oregon Health Authority</t>
  </si>
  <si>
    <t xml:space="preserve">^ITHIM treats all changes in behavior or health as if they continue for one year. If you would like to estimate how continuing a program for multiple years could benefit health, input the number of years in this cell. This cell must be a whole number of years. In most cases, leaving it at the default, one year, will be appropriate. </t>
  </si>
  <si>
    <r>
      <t xml:space="preserve">County </t>
    </r>
    <r>
      <rPr>
        <i/>
        <sz val="14"/>
        <color theme="1" tint="0.34998626667073579"/>
        <rFont val="Calibri"/>
        <family val="2"/>
        <scheme val="minor"/>
      </rPr>
      <t>(select)</t>
    </r>
  </si>
  <si>
    <r>
      <t>Years</t>
    </r>
    <r>
      <rPr>
        <sz val="14"/>
        <color theme="1" tint="0.34998626667073579"/>
        <rFont val="Calibri"/>
        <family val="2"/>
        <scheme val="minor"/>
      </rPr>
      <t>^</t>
    </r>
  </si>
  <si>
    <r>
      <t>Participants</t>
    </r>
    <r>
      <rPr>
        <sz val="14"/>
        <color theme="1" tint="0.34998626667073579"/>
        <rFont val="Calibri"/>
        <family val="2"/>
        <scheme val="minor"/>
      </rPr>
      <t>^^</t>
    </r>
  </si>
  <si>
    <t>^^Enter the number of participants exposed to a TO program who could be expected to have potentially made travel behavior changes as a result of the program. In the case of individualized marketing, for example, this might be the number of people living in households receiving materials</t>
  </si>
  <si>
    <t>Snowshoeing</t>
  </si>
  <si>
    <t>Soccer</t>
  </si>
  <si>
    <t>Futsal</t>
  </si>
  <si>
    <t>Golf</t>
  </si>
  <si>
    <t>METS</t>
  </si>
  <si>
    <r>
      <t xml:space="preserve">County </t>
    </r>
    <r>
      <rPr>
        <i/>
        <sz val="11"/>
        <color theme="1"/>
        <rFont val="Calibri"/>
        <family val="2"/>
        <scheme val="minor"/>
      </rPr>
      <t>(select)</t>
    </r>
  </si>
  <si>
    <r>
      <t xml:space="preserve">Activity </t>
    </r>
    <r>
      <rPr>
        <i/>
        <sz val="11"/>
        <color theme="1"/>
        <rFont val="Calibri"/>
        <family val="2"/>
        <scheme val="minor"/>
      </rPr>
      <t>(select)</t>
    </r>
  </si>
  <si>
    <t>Inputs</t>
  </si>
  <si>
    <r>
      <t xml:space="preserve">Instructions: Fill in </t>
    </r>
    <r>
      <rPr>
        <b/>
        <sz val="11"/>
        <color rgb="FFFFFF99"/>
        <rFont val="Calibri"/>
        <family val="2"/>
        <scheme val="minor"/>
      </rPr>
      <t>yellow cells</t>
    </r>
    <r>
      <rPr>
        <b/>
        <sz val="11"/>
        <color theme="1"/>
        <rFont val="Calibri"/>
        <family val="2"/>
        <scheme val="minor"/>
      </rPr>
      <t xml:space="preserve"> on this worksheet (blue cells will be automatically filled)</t>
    </r>
  </si>
  <si>
    <t>County Population</t>
  </si>
  <si>
    <t>% Urban Pop</t>
  </si>
  <si>
    <t>Long-distance hiking (back packing)</t>
  </si>
  <si>
    <t>Horseback riding</t>
  </si>
  <si>
    <t>Bicycling on unpaved trails</t>
  </si>
  <si>
    <t>Bicycling on paved trails</t>
  </si>
  <si>
    <t>Snowmobiling</t>
  </si>
  <si>
    <t>Sledding, tubing, or general snow play</t>
  </si>
  <si>
    <t>Tennis (played outdoors)</t>
  </si>
  <si>
    <t>% Suburban Pop</t>
  </si>
  <si>
    <t>% Rural Pop</t>
  </si>
  <si>
    <t>Walking on local streets or sidewalks</t>
  </si>
  <si>
    <t>Walking on local trails or paths</t>
  </si>
  <si>
    <t>Walking / day hiking on non-local trails or
path</t>
  </si>
  <si>
    <t>Jogging or running on streets or sidewalks</t>
  </si>
  <si>
    <t>Jogging or running on trails or paths</t>
  </si>
  <si>
    <t>Bicycling on roads, streets or sidewalks</t>
  </si>
  <si>
    <t>Class I – All-terrain vehicle riding (3 &amp; 4 wheel
ATVs, straddle seat and handle bars)</t>
  </si>
  <si>
    <t>Class III – Off-road motorcycling</t>
  </si>
  <si>
    <t>Class IV – Riding UTVs or side-by-side ATVs
(non-straddle seat, driver and passenger sit sideby-side
in the vehicle, steering wheel for steering
control)</t>
  </si>
  <si>
    <t>Using personal water craft, such as jet ski</t>
  </si>
  <si>
    <t>Downhill (alpine) skiing or snowboarding</t>
  </si>
  <si>
    <t>Cross-country / nordic skiing / skijoring on
groomed trails</t>
  </si>
  <si>
    <t>Cross-country / nordic skiing / skijoring on
ungroomed trails or off designated trails</t>
  </si>
  <si>
    <t>Dog walking or going to dog parks / offleash
areas</t>
  </si>
  <si>
    <t>Outdoor court games other than tennis
(basketball, beach volleyball, badminton,
etc.)</t>
  </si>
  <si>
    <t>Orienteering or geocaching</t>
  </si>
  <si>
    <t>Collecting (rocks, plants, mushrooms, or
berries)</t>
  </si>
  <si>
    <t>Crabbing</t>
  </si>
  <si>
    <t>White-water canoeing, kayaking, or rafting</t>
  </si>
  <si>
    <t>Swimming or playing in outdoor pools /
spray parks</t>
  </si>
  <si>
    <t>Lookup Matrix for % Participating</t>
  </si>
  <si>
    <t>MET Values For Activity</t>
  </si>
  <si>
    <t>Minutes of Moderate Activity/Week</t>
  </si>
  <si>
    <t>Minutes of Vigorous Activity/Week</t>
  </si>
  <si>
    <t xml:space="preserve">Weekly minutes spent participating in each activity (Median Participant) </t>
  </si>
  <si>
    <t>Current # Users</t>
  </si>
  <si>
    <t>Current % of Total Population Participating</t>
  </si>
  <si>
    <t>Desired Weekly Participation (weekly minutes per participant)</t>
  </si>
  <si>
    <t>Health Outcomes by Disease</t>
  </si>
  <si>
    <t>Recreation Health Impact Estimator</t>
  </si>
  <si>
    <t>More in depth outputs can be found on the Outputs page</t>
  </si>
  <si>
    <r>
      <rPr>
        <b/>
        <sz val="11"/>
        <color theme="1"/>
        <rFont val="Calibri"/>
        <family val="2"/>
        <scheme val="minor"/>
      </rPr>
      <t>The Outdoor Recreation Health Impact Estimator</t>
    </r>
    <r>
      <rPr>
        <sz val="11"/>
        <color theme="1"/>
        <rFont val="Calibri"/>
        <family val="2"/>
        <scheme val="minor"/>
      </rPr>
      <t xml:space="preserve"> is a customized interface for ITHIM developed for the Oregon Parks and Recreation Department by Tara Dunn with the help of Dr. Randall Rosenberger (Oregon State University) and Eric Main (Oregon Health Authority). The Outdoor Recreation Health Impact Estimator is a modified version of the Transportation Options Health Impact Estimator.</t>
    </r>
  </si>
  <si>
    <t xml:space="preserve">This version of the OR Estimator is a modified version of the TO Estimator, designed  with the 2017 Statewide Comprehensive Outdoor Recreation Plan survey data as the baseline participation data. The "TO worksheet" in the transportation version of this tool has been replaced with the "Recreation Worksheet". </t>
  </si>
  <si>
    <t>Users of this tool should begin with the 'RecreationWorksheet'  and use the yellow cells to select their location, outdoor recreation activity, and enter their desired participation rate for an average user. Once this data entry is complete, users should go to the 'Outputs' worksheet to view the estimates produced by the model. For help on interpreting the tools outputs and better understanding how the tool works, users should consult the manual for the standard version of the TO Estimator, which is available from the Oregon Health Authority's HIA program. When consulting the Users Manual, remember that the Manual was written for the original version of the tool. Some of the data input guidance and examples described in the Manual will not be relevant for this version of the tool.</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</si>
</sst>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_);[Red]\(&quot;$&quot;#,##0\)"/>
    <numFmt numFmtId="44" formatCode="_(&quot;$&quot;* #,##0.00_);_(&quot;$&quot;* \(#,##0.00\);_(&quot;$&quot;* &quot;-&quot;??_);_(@_)"/>
    <numFmt numFmtId="43" formatCode="_(* #,##0.00_);_(* \(#,##0.00\);_(* &quot;-&quot;??_);_(@_)"/>
    <numFmt numFmtId="164" formatCode="_-* #,##0.00_-;\-* #,##0.00_-;_-* &quot;-&quot;??_-;_-@_-"/>
    <numFmt numFmtId="165" formatCode="0.0"/>
    <numFmt numFmtId="166" formatCode="0.000"/>
    <numFmt numFmtId="167" formatCode="_-* #,##0_-;\-* #,##0_-;_-* &quot;-&quot;??_-;_-@_-"/>
    <numFmt numFmtId="168" formatCode="[&gt;0.5]#,##0;[&lt;-0.5]\-#,##0;\-"/>
    <numFmt numFmtId="169" formatCode="#,##0_ ;\-#,##0\ "/>
    <numFmt numFmtId="170" formatCode="0.0%"/>
    <numFmt numFmtId="171" formatCode="0.0000"/>
    <numFmt numFmtId="172" formatCode="0.00000"/>
    <numFmt numFmtId="173" formatCode="_-* #,##0.000_-;\-* #,##0.000_-;_-* &quot;-&quot;??_-;_-@_-"/>
    <numFmt numFmtId="174" formatCode="#,##0.0_ ;\-#,##0.0\ "/>
    <numFmt numFmtId="175" formatCode="0.000000"/>
    <numFmt numFmtId="176" formatCode="_(* #,##0_);_(* \(#,##0\);_(* &quot;-&quot;??_);_(@_)"/>
    <numFmt numFmtId="177" formatCode="_(&quot;$&quot;* #,##0_);_(&quot;$&quot;* \(#,##0\);_(&quot;$&quot;* &quot;-&quot;??_);_(@_)"/>
    <numFmt numFmtId="178" formatCode="0.0000%"/>
    <numFmt numFmtId="179" formatCode="0.000000000"/>
    <numFmt numFmtId="180" formatCode="0.000000000000000000"/>
    <numFmt numFmtId="181" formatCode="&quot;$&quot;#,##0.00"/>
    <numFmt numFmtId="182" formatCode="#,##0.000_ ;\-#,##0.000\ "/>
    <numFmt numFmtId="183" formatCode="#,##0.000000_ ;\-#,##0.000000\ "/>
    <numFmt numFmtId="184" formatCode="#,##0.0000000_ ;\-#,##0.0000000\ "/>
    <numFmt numFmtId="185" formatCode="0.000%"/>
    <numFmt numFmtId="186" formatCode="0.000000%"/>
  </numFmts>
  <fonts count="182" x14ac:knownFonts="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24"/>
      <name val="Candara"/>
      <family val="2"/>
    </font>
    <font>
      <sz val="14"/>
      <name val="Candara"/>
      <family val="2"/>
    </font>
    <font>
      <sz val="8"/>
      <name val="Arial"/>
      <family val="2"/>
    </font>
    <font>
      <b/>
      <sz val="14"/>
      <name val="Candara"/>
      <family val="2"/>
    </font>
    <font>
      <b/>
      <vertAlign val="subscript"/>
      <sz val="14"/>
      <name val="Candara"/>
      <family val="2"/>
    </font>
    <font>
      <sz val="18"/>
      <name val="Candara"/>
      <family val="2"/>
    </font>
    <font>
      <sz val="13"/>
      <name val="Arial"/>
      <family val="2"/>
    </font>
    <font>
      <sz val="10"/>
      <name val="Arial"/>
      <family val="2"/>
    </font>
    <font>
      <b/>
      <sz val="11"/>
      <name val="Candara"/>
      <family val="2"/>
    </font>
    <font>
      <b/>
      <sz val="11"/>
      <name val="Arial"/>
      <family val="2"/>
    </font>
    <font>
      <sz val="10"/>
      <name val="Candara"/>
      <family val="2"/>
    </font>
    <font>
      <b/>
      <sz val="11"/>
      <color theme="1"/>
      <name val="Calibri"/>
      <family val="2"/>
      <scheme val="minor"/>
    </font>
    <font>
      <sz val="11"/>
      <name val="Arial"/>
      <family val="2"/>
    </font>
    <font>
      <sz val="10"/>
      <color theme="1"/>
      <name val="Calibri"/>
      <family val="2"/>
      <scheme val="minor"/>
    </font>
    <font>
      <sz val="8"/>
      <color theme="1"/>
      <name val="Arial"/>
      <family val="2"/>
    </font>
    <font>
      <sz val="8"/>
      <color rgb="FFFFFF00"/>
      <name val="Arial"/>
      <family val="2"/>
    </font>
    <font>
      <b/>
      <sz val="8"/>
      <color theme="1"/>
      <name val="Arial"/>
      <family val="2"/>
    </font>
    <font>
      <sz val="10"/>
      <color theme="1"/>
      <name val="Arial"/>
      <family val="2"/>
    </font>
    <font>
      <sz val="9"/>
      <color rgb="FFFFFF00"/>
      <name val="Arial"/>
      <family val="2"/>
    </font>
    <font>
      <b/>
      <sz val="10"/>
      <name val="Candara"/>
      <family val="2"/>
    </font>
    <font>
      <b/>
      <i/>
      <sz val="10"/>
      <name val="Candara"/>
      <family val="2"/>
    </font>
    <font>
      <i/>
      <sz val="10"/>
      <name val="Candara"/>
      <family val="2"/>
    </font>
    <font>
      <sz val="13"/>
      <name val="Candara"/>
      <family val="2"/>
    </font>
    <font>
      <sz val="9"/>
      <color indexed="81"/>
      <name val="Tahoma"/>
      <family val="2"/>
    </font>
    <font>
      <b/>
      <sz val="9"/>
      <color indexed="81"/>
      <name val="Tahoma"/>
      <family val="2"/>
    </font>
    <font>
      <sz val="11"/>
      <color rgb="FF3F3F76"/>
      <name val="Calibri"/>
      <family val="2"/>
      <scheme val="minor"/>
    </font>
    <font>
      <sz val="16"/>
      <name val="Arial"/>
      <family val="2"/>
    </font>
    <font>
      <sz val="16"/>
      <color rgb="FF3F3F76"/>
      <name val="Arial"/>
      <family val="2"/>
    </font>
    <font>
      <b/>
      <sz val="8"/>
      <color theme="1"/>
      <name val="Candara"/>
      <family val="2"/>
    </font>
    <font>
      <sz val="8"/>
      <color theme="1"/>
      <name val="Candara"/>
      <family val="2"/>
    </font>
    <font>
      <sz val="8"/>
      <name val="Candara"/>
      <family val="2"/>
    </font>
    <font>
      <b/>
      <sz val="8"/>
      <name val="Candara"/>
      <family val="2"/>
    </font>
    <font>
      <sz val="9"/>
      <color theme="1"/>
      <name val="Candara"/>
      <family val="2"/>
    </font>
    <font>
      <sz val="22"/>
      <color theme="1"/>
      <name val="Calibri"/>
      <family val="2"/>
      <scheme val="minor"/>
    </font>
    <font>
      <sz val="18"/>
      <color theme="1"/>
      <name val="Calibri"/>
      <family val="2"/>
      <scheme val="minor"/>
    </font>
    <font>
      <sz val="14"/>
      <name val="Arial"/>
      <family val="2"/>
    </font>
    <font>
      <u/>
      <sz val="10"/>
      <color indexed="12"/>
      <name val="Arial"/>
      <family val="2"/>
    </font>
    <font>
      <sz val="10"/>
      <name val="Times New Roman"/>
      <family val="1"/>
    </font>
    <font>
      <i/>
      <sz val="12"/>
      <name val="Times New Roman"/>
      <family val="1"/>
    </font>
    <font>
      <b/>
      <sz val="14"/>
      <color theme="1"/>
      <name val="Calibri"/>
      <family val="2"/>
      <scheme val="minor"/>
    </font>
    <font>
      <b/>
      <sz val="16"/>
      <color theme="1"/>
      <name val="Calibri"/>
      <family val="2"/>
      <scheme val="minor"/>
    </font>
    <font>
      <b/>
      <sz val="20"/>
      <color theme="1"/>
      <name val="Calibri"/>
      <family val="2"/>
      <scheme val="minor"/>
    </font>
    <font>
      <b/>
      <sz val="20"/>
      <name val="Calibri"/>
      <family val="2"/>
    </font>
    <font>
      <b/>
      <sz val="22"/>
      <name val="Calibri"/>
      <family val="2"/>
    </font>
    <font>
      <b/>
      <sz val="9"/>
      <color theme="1"/>
      <name val="Candara"/>
      <family val="2"/>
    </font>
    <font>
      <b/>
      <sz val="9"/>
      <color theme="1"/>
      <name val="Calibri"/>
      <family val="2"/>
      <scheme val="minor"/>
    </font>
    <font>
      <b/>
      <sz val="9"/>
      <name val="Candara"/>
      <family val="2"/>
    </font>
    <font>
      <sz val="9"/>
      <name val="Candara"/>
      <family val="2"/>
    </font>
    <font>
      <b/>
      <sz val="10"/>
      <color theme="1"/>
      <name val="Candara"/>
      <family val="2"/>
    </font>
    <font>
      <sz val="10"/>
      <color theme="1"/>
      <name val="Candara"/>
      <family val="2"/>
    </font>
    <font>
      <b/>
      <sz val="12"/>
      <color theme="1"/>
      <name val="Calibri"/>
      <family val="2"/>
      <scheme val="minor"/>
    </font>
    <font>
      <sz val="10"/>
      <color rgb="FF3F3F76"/>
      <name val="Calibri"/>
      <family val="2"/>
      <scheme val="minor"/>
    </font>
    <font>
      <b/>
      <sz val="10"/>
      <color theme="1"/>
      <name val="Calibri"/>
      <family val="2"/>
      <scheme val="minor"/>
    </font>
    <font>
      <b/>
      <sz val="9"/>
      <color rgb="FF3F3F76"/>
      <name val="Calibri"/>
      <family val="2"/>
      <scheme val="minor"/>
    </font>
    <font>
      <b/>
      <sz val="9"/>
      <color rgb="FF3F3F76"/>
      <name val="Candara"/>
      <family val="2"/>
    </font>
    <font>
      <sz val="10"/>
      <color rgb="FFFF0000"/>
      <name val="Candara"/>
      <family val="2"/>
    </font>
    <font>
      <b/>
      <sz val="11"/>
      <color theme="1"/>
      <name val="Candara"/>
      <family val="2"/>
    </font>
    <font>
      <b/>
      <sz val="12"/>
      <color theme="1"/>
      <name val="Candara"/>
      <family val="2"/>
    </font>
    <font>
      <b/>
      <sz val="12"/>
      <name val="Arial"/>
      <family val="2"/>
    </font>
    <font>
      <b/>
      <sz val="14"/>
      <color theme="1"/>
      <name val="Candara"/>
      <family val="2"/>
    </font>
    <font>
      <sz val="8"/>
      <color indexed="81"/>
      <name val="Tahoma"/>
      <family val="2"/>
    </font>
    <font>
      <b/>
      <sz val="8"/>
      <color indexed="81"/>
      <name val="Tahoma"/>
      <family val="2"/>
    </font>
    <font>
      <b/>
      <sz val="16"/>
      <color theme="1"/>
      <name val="Candara"/>
      <family val="2"/>
    </font>
    <font>
      <b/>
      <sz val="10"/>
      <name val="Arial"/>
      <family val="2"/>
    </font>
    <font>
      <sz val="10"/>
      <name val="Calibri"/>
      <family val="2"/>
      <scheme val="minor"/>
    </font>
    <font>
      <sz val="9"/>
      <name val="Arial"/>
      <family val="2"/>
    </font>
    <font>
      <sz val="9"/>
      <color theme="1"/>
      <name val="Calibri"/>
      <family val="2"/>
      <scheme val="minor"/>
    </font>
    <font>
      <u/>
      <sz val="10"/>
      <color theme="10"/>
      <name val="Arial"/>
      <family val="2"/>
    </font>
    <font>
      <sz val="10"/>
      <color indexed="8"/>
      <name val="Arial"/>
      <family val="2"/>
    </font>
    <font>
      <sz val="10"/>
      <color indexed="8"/>
      <name val="Calibri"/>
      <family val="2"/>
      <scheme val="minor"/>
    </font>
    <font>
      <b/>
      <sz val="9"/>
      <color rgb="FFFF0000"/>
      <name val="Candara"/>
      <family val="2"/>
    </font>
    <font>
      <b/>
      <i/>
      <sz val="9"/>
      <color rgb="FFFF0000"/>
      <name val="Candara"/>
      <family val="2"/>
    </font>
    <font>
      <sz val="8"/>
      <color rgb="FF000000"/>
      <name val="Arial"/>
      <family val="2"/>
    </font>
    <font>
      <sz val="10"/>
      <color rgb="FF000000"/>
      <name val="Arial"/>
      <family val="2"/>
    </font>
    <font>
      <sz val="9"/>
      <name val="Calibri"/>
      <family val="2"/>
      <scheme val="minor"/>
    </font>
    <font>
      <sz val="14"/>
      <color theme="1"/>
      <name val="Calibri"/>
      <family val="2"/>
      <scheme val="minor"/>
    </font>
    <font>
      <sz val="11"/>
      <color indexed="8"/>
      <name val="Calibri"/>
      <family val="2"/>
    </font>
    <font>
      <b/>
      <sz val="11"/>
      <color theme="1"/>
      <name val="Arial"/>
      <family val="2"/>
    </font>
    <font>
      <b/>
      <sz val="11"/>
      <color rgb="FF000000"/>
      <name val="Arial"/>
      <family val="2"/>
    </font>
    <font>
      <sz val="11"/>
      <color theme="1"/>
      <name val="Arial"/>
      <family val="2"/>
    </font>
    <font>
      <sz val="11"/>
      <color rgb="FF000000"/>
      <name val="Calibri"/>
      <family val="2"/>
      <scheme val="minor"/>
    </font>
    <font>
      <sz val="11"/>
      <color rgb="FF000000"/>
      <name val="Calibri"/>
      <family val="2"/>
    </font>
    <font>
      <sz val="11"/>
      <color rgb="FF000000"/>
      <name val="Arial"/>
      <family val="2"/>
    </font>
    <font>
      <sz val="11"/>
      <color rgb="FF330000"/>
      <name val="Arial"/>
      <family val="2"/>
    </font>
    <font>
      <sz val="9"/>
      <color theme="1"/>
      <name val="Arial"/>
      <family val="2"/>
    </font>
    <font>
      <sz val="20"/>
      <name val="Arial"/>
      <family val="2"/>
    </font>
    <font>
      <sz val="12"/>
      <name val="Arial"/>
      <family val="2"/>
    </font>
    <font>
      <b/>
      <sz val="9"/>
      <color theme="1"/>
      <name val="Arial"/>
      <family val="2"/>
    </font>
    <font>
      <b/>
      <sz val="11"/>
      <color rgb="FFFA7D00"/>
      <name val="Calibri"/>
      <family val="2"/>
      <scheme val="minor"/>
    </font>
    <font>
      <sz val="12"/>
      <color theme="1"/>
      <name val="Arial"/>
      <family val="2"/>
    </font>
    <font>
      <sz val="10"/>
      <name val="Symbol"/>
      <family val="1"/>
      <charset val="2"/>
    </font>
    <font>
      <vertAlign val="superscript"/>
      <sz val="10"/>
      <name val="Arial"/>
      <family val="2"/>
    </font>
    <font>
      <b/>
      <sz val="11"/>
      <color theme="1"/>
      <name val="Symbol"/>
      <family val="1"/>
      <charset val="2"/>
    </font>
    <font>
      <b/>
      <sz val="12.1"/>
      <color theme="1"/>
      <name val="Candara"/>
      <family val="2"/>
    </font>
    <font>
      <b/>
      <vertAlign val="superscript"/>
      <sz val="12.1"/>
      <color theme="1"/>
      <name val="Candar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u/>
      <sz val="10"/>
      <color theme="11"/>
      <name val="Arial"/>
      <family val="2"/>
    </font>
    <font>
      <u/>
      <sz val="10"/>
      <color theme="11"/>
      <name val="Arial"/>
      <family val="2"/>
    </font>
    <font>
      <sz val="10"/>
      <name val="MS Sans Serif"/>
      <family val="2"/>
    </font>
    <font>
      <u/>
      <sz val="10"/>
      <color indexed="12"/>
      <name val="Times New Roman"/>
      <family val="1"/>
    </font>
    <font>
      <sz val="10"/>
      <name val="Arial"/>
      <family val="2"/>
    </font>
    <font>
      <b/>
      <sz val="18"/>
      <color theme="1"/>
      <name val="Calibri"/>
      <family val="2"/>
      <scheme val="minor"/>
    </font>
    <font>
      <i/>
      <sz val="12"/>
      <color theme="1"/>
      <name val="Calibri"/>
      <family val="2"/>
      <scheme val="minor"/>
    </font>
    <font>
      <b/>
      <sz val="10"/>
      <color rgb="FF000000"/>
      <name val="Calibri"/>
      <family val="2"/>
      <scheme val="minor"/>
    </font>
    <font>
      <sz val="10"/>
      <color rgb="FF000000"/>
      <name val="Calibri"/>
      <family val="2"/>
      <scheme val="minor"/>
    </font>
    <font>
      <b/>
      <sz val="11"/>
      <color theme="1" tint="0.34998626667073579"/>
      <name val="Calibri"/>
      <family val="2"/>
      <scheme val="minor"/>
    </font>
    <font>
      <b/>
      <sz val="14"/>
      <color theme="1" tint="0.34998626667073579"/>
      <name val="Calibri"/>
      <family val="2"/>
      <scheme val="minor"/>
    </font>
    <font>
      <b/>
      <sz val="18"/>
      <color theme="1" tint="0.34998626667073579"/>
      <name val="Calibri"/>
      <family val="2"/>
      <scheme val="minor"/>
    </font>
    <font>
      <sz val="10"/>
      <color theme="1" tint="0.34998626667073579"/>
      <name val="Calibri"/>
      <family val="2"/>
      <scheme val="minor"/>
    </font>
    <font>
      <b/>
      <sz val="12"/>
      <color theme="1" tint="0.34998626667073579"/>
      <name val="Calibri"/>
      <family val="2"/>
      <scheme val="minor"/>
    </font>
    <font>
      <sz val="11"/>
      <color theme="0"/>
      <name val="Arial"/>
      <family val="2"/>
    </font>
    <font>
      <sz val="12"/>
      <color rgb="FF9C0006"/>
      <name val="Times New Roman"/>
      <family val="2"/>
    </font>
    <font>
      <b/>
      <sz val="12"/>
      <color rgb="FFFA7D00"/>
      <name val="Times New Roman"/>
      <family val="2"/>
    </font>
    <font>
      <sz val="12"/>
      <color theme="1"/>
      <name val="Times New Roman"/>
      <family val="2"/>
    </font>
    <font>
      <sz val="11"/>
      <color rgb="FF006100"/>
      <name val="Arial"/>
      <family val="2"/>
    </font>
    <font>
      <sz val="12"/>
      <color rgb="FF006100"/>
      <name val="Times New Roman"/>
      <family val="2"/>
    </font>
    <font>
      <b/>
      <sz val="18"/>
      <color theme="0"/>
      <name val="Calibri"/>
      <family val="2"/>
      <scheme val="minor"/>
    </font>
    <font>
      <sz val="10"/>
      <color rgb="FFFF0000"/>
      <name val="Calibri"/>
      <family val="2"/>
      <scheme val="minor"/>
    </font>
    <font>
      <b/>
      <sz val="10"/>
      <color rgb="FFFF0000"/>
      <name val="Calibri"/>
      <family val="2"/>
      <scheme val="minor"/>
    </font>
    <font>
      <i/>
      <sz val="10"/>
      <name val="Calibri"/>
      <family val="2"/>
      <scheme val="minor"/>
    </font>
    <font>
      <sz val="14"/>
      <name val="Calibri"/>
      <family val="2"/>
      <scheme val="minor"/>
    </font>
    <font>
      <sz val="12"/>
      <name val="Calibri"/>
      <family val="2"/>
      <scheme val="minor"/>
    </font>
    <font>
      <sz val="10"/>
      <color rgb="FFFF0000"/>
      <name val="Arial"/>
      <family val="2"/>
    </font>
    <font>
      <sz val="18"/>
      <color theme="3"/>
      <name val="Calibri Light"/>
      <family val="2"/>
      <scheme val="major"/>
    </font>
    <font>
      <i/>
      <sz val="11"/>
      <color theme="1"/>
      <name val="Calibri"/>
      <family val="2"/>
      <scheme val="minor"/>
    </font>
    <font>
      <sz val="14"/>
      <color theme="1" tint="0.34998626667073579"/>
      <name val="Calibri"/>
      <family val="2"/>
      <scheme val="minor"/>
    </font>
    <font>
      <i/>
      <sz val="14"/>
      <color theme="1" tint="0.34998626667073579"/>
      <name val="Calibri"/>
      <family val="2"/>
      <scheme val="minor"/>
    </font>
    <font>
      <sz val="11"/>
      <name val="Calibri"/>
      <family val="2"/>
      <scheme val="minor"/>
    </font>
    <font>
      <sz val="18"/>
      <color rgb="FFFFFF00"/>
      <name val="Calibri"/>
      <family val="2"/>
      <scheme val="minor"/>
    </font>
    <font>
      <b/>
      <sz val="18"/>
      <color rgb="FFFFFF00"/>
      <name val="Calibri"/>
      <family val="2"/>
      <scheme val="minor"/>
    </font>
    <font>
      <b/>
      <sz val="11"/>
      <color rgb="FFFFFF99"/>
      <name val="Calibri"/>
      <family val="2"/>
      <scheme val="minor"/>
    </font>
    <font>
      <b/>
      <sz val="12"/>
      <color theme="1"/>
      <name val="Times New Roman"/>
      <family val="1"/>
    </font>
    <font>
      <b/>
      <sz val="11"/>
      <color theme="1"/>
      <name val="Times New Roman"/>
      <family val="1"/>
    </font>
    <font>
      <sz val="11"/>
      <color theme="1"/>
      <name val="Times New Roman"/>
      <family val="1"/>
    </font>
    <font>
      <u/>
      <sz val="11"/>
      <color theme="1"/>
      <name val="Times New Roman"/>
      <family val="1"/>
    </font>
    <font>
      <b/>
      <u/>
      <sz val="11"/>
      <color theme="1"/>
      <name val="Times New Roman"/>
      <family val="1"/>
    </font>
  </fonts>
  <fills count="59">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0"/>
        <bgColor indexed="64"/>
      </patternFill>
    </fill>
    <fill>
      <patternFill patternType="solid">
        <fgColor theme="3"/>
        <bgColor indexed="64"/>
      </patternFill>
    </fill>
    <fill>
      <patternFill patternType="solid">
        <fgColor rgb="FF66FFFF"/>
        <bgColor indexed="64"/>
      </patternFill>
    </fill>
    <fill>
      <patternFill patternType="solid">
        <fgColor rgb="FFCCFFFF"/>
        <bgColor indexed="64"/>
      </patternFill>
    </fill>
    <fill>
      <patternFill patternType="solid">
        <fgColor rgb="FF002060"/>
        <bgColor indexed="64"/>
      </patternFill>
    </fill>
    <fill>
      <patternFill patternType="solid">
        <fgColor rgb="FFCCFFCC"/>
        <bgColor indexed="64"/>
      </patternFill>
    </fill>
    <fill>
      <patternFill patternType="solid">
        <fgColor rgb="FF35EB35"/>
        <bgColor indexed="64"/>
      </patternFill>
    </fill>
    <fill>
      <patternFill patternType="solid">
        <fgColor rgb="FFFFCC99"/>
      </patternFill>
    </fill>
    <fill>
      <patternFill patternType="solid">
        <fgColor theme="4"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FFFF99"/>
        <bgColor indexed="64"/>
      </patternFill>
    </fill>
    <fill>
      <patternFill patternType="solid">
        <fgColor theme="0" tint="-0.14999847407452621"/>
        <bgColor rgb="FF000000"/>
      </patternFill>
    </fill>
    <fill>
      <patternFill patternType="solid">
        <fgColor theme="3"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theme="5"/>
        <bgColor indexed="64"/>
      </patternFill>
    </fill>
  </fills>
  <borders count="155">
    <border>
      <left/>
      <right/>
      <top/>
      <bottom/>
      <diagonal/>
    </border>
    <border>
      <left/>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style="thin">
        <color rgb="FF7F7F7F"/>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thin">
        <color indexed="64"/>
      </left>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right/>
      <top style="thin">
        <color indexed="64"/>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top/>
      <bottom/>
      <diagonal/>
    </border>
    <border>
      <left style="thin">
        <color theme="3" tint="0.39994506668294322"/>
      </left>
      <right/>
      <top/>
      <bottom style="thin">
        <color theme="3" tint="0.39994506668294322"/>
      </bottom>
      <diagonal/>
    </border>
    <border>
      <left/>
      <right/>
      <top style="thin">
        <color theme="3" tint="0.39994506668294322"/>
      </top>
      <bottom/>
      <diagonal/>
    </border>
    <border>
      <left/>
      <right style="thin">
        <color theme="3" tint="0.39994506668294322"/>
      </right>
      <top style="thin">
        <color theme="3" tint="0.39994506668294322"/>
      </top>
      <bottom/>
      <diagonal/>
    </border>
    <border>
      <left/>
      <right style="thin">
        <color theme="3" tint="0.39994506668294322"/>
      </right>
      <top/>
      <bottom style="thin">
        <color theme="3" tint="0.39994506668294322"/>
      </bottom>
      <diagonal/>
    </border>
    <border>
      <left/>
      <right/>
      <top/>
      <bottom style="thin">
        <color theme="3" tint="0.39994506668294322"/>
      </bottom>
      <diagonal/>
    </border>
    <border>
      <left/>
      <right style="thin">
        <color theme="3" tint="0.39991454817346722"/>
      </right>
      <top style="thin">
        <color theme="3" tint="0.39991454817346722"/>
      </top>
      <bottom style="thin">
        <color theme="3" tint="0.39991454817346722"/>
      </bottom>
      <diagonal/>
    </border>
    <border>
      <left style="thin">
        <color theme="3" tint="0.39991454817346722"/>
      </left>
      <right/>
      <top style="thin">
        <color theme="3" tint="0.39991454817346722"/>
      </top>
      <bottom style="thin">
        <color theme="3" tint="0.3999145481734672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3" tint="0.39994506668294322"/>
      </right>
      <top/>
      <bottom/>
      <diagonal/>
    </border>
    <border>
      <left/>
      <right style="thin">
        <color theme="9" tint="-0.499984740745262"/>
      </right>
      <top/>
      <bottom/>
      <diagonal/>
    </border>
    <border>
      <left/>
      <right/>
      <top/>
      <bottom style="thin">
        <color theme="9" tint="-0.499984740745262"/>
      </bottom>
      <diagonal/>
    </border>
    <border>
      <left/>
      <right style="thin">
        <color theme="3" tint="0.39991454817346722"/>
      </right>
      <top style="thin">
        <color theme="3" tint="0.39994506668294322"/>
      </top>
      <bottom/>
      <diagonal/>
    </border>
    <border>
      <left/>
      <right style="thin">
        <color theme="3" tint="0.39991454817346722"/>
      </right>
      <top/>
      <bottom style="thin">
        <color theme="3" tint="0.39994506668294322"/>
      </bottom>
      <diagonal/>
    </border>
    <border>
      <left/>
      <right style="thin">
        <color indexed="64"/>
      </right>
      <top style="thin">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top style="thin">
        <color auto="1"/>
      </top>
      <bottom/>
      <diagonal/>
    </border>
    <border>
      <left/>
      <right/>
      <top style="thin">
        <color indexed="64"/>
      </top>
      <bottom style="thin">
        <color indexed="64"/>
      </bottom>
      <diagonal/>
    </border>
    <border>
      <left/>
      <right style="thin">
        <color indexed="64"/>
      </right>
      <top style="thin">
        <color indexed="64"/>
      </top>
      <bottom/>
      <diagonal/>
    </border>
    <border>
      <left/>
      <right style="thin">
        <color theme="3"/>
      </right>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diagonal/>
    </border>
    <border>
      <left/>
      <right style="thin">
        <color theme="3"/>
      </right>
      <top style="thin">
        <color theme="3"/>
      </top>
      <bottom/>
      <diagonal/>
    </border>
    <border>
      <left style="thin">
        <color theme="3"/>
      </left>
      <right style="thin">
        <color theme="3"/>
      </right>
      <top style="thin">
        <color theme="3"/>
      </top>
      <bottom style="thin">
        <color indexed="64"/>
      </bottom>
      <diagonal/>
    </border>
    <border>
      <left style="medium">
        <color theme="3"/>
      </left>
      <right/>
      <top style="medium">
        <color theme="3"/>
      </top>
      <bottom/>
      <diagonal/>
    </border>
    <border>
      <left style="thin">
        <color indexed="64"/>
      </left>
      <right style="thin">
        <color indexed="64"/>
      </right>
      <top style="medium">
        <color theme="3"/>
      </top>
      <bottom/>
      <diagonal/>
    </border>
    <border>
      <left style="thin">
        <color indexed="64"/>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thin">
        <color theme="3"/>
      </left>
      <right style="thin">
        <color theme="3"/>
      </right>
      <top/>
      <bottom style="thin">
        <color theme="3"/>
      </bottom>
      <diagonal/>
    </border>
    <border>
      <left/>
      <right style="medium">
        <color theme="3"/>
      </right>
      <top style="medium">
        <color theme="3"/>
      </top>
      <bottom/>
      <diagonal/>
    </border>
    <border>
      <left/>
      <right/>
      <top style="medium">
        <color theme="3"/>
      </top>
      <bottom style="medium">
        <color theme="3"/>
      </bottom>
      <diagonal/>
    </border>
    <border>
      <left/>
      <right/>
      <top style="medium">
        <color theme="3"/>
      </top>
      <bottom/>
      <diagonal/>
    </border>
    <border>
      <left style="thin">
        <color indexed="64"/>
      </left>
      <right style="thin">
        <color indexed="64"/>
      </right>
      <top style="thin">
        <color indexed="64"/>
      </top>
      <bottom style="medium">
        <color theme="3"/>
      </bottom>
      <diagonal/>
    </border>
    <border>
      <left style="medium">
        <color indexed="64"/>
      </left>
      <right/>
      <top style="thin">
        <color auto="1"/>
      </top>
      <bottom style="medium">
        <color indexed="64"/>
      </bottom>
      <diagonal/>
    </border>
    <border>
      <left/>
      <right style="medium">
        <color auto="1"/>
      </right>
      <top style="thin">
        <color auto="1"/>
      </top>
      <bottom style="thin">
        <color indexed="64"/>
      </bottom>
      <diagonal/>
    </border>
    <border>
      <left/>
      <right style="thin">
        <color theme="3"/>
      </right>
      <top style="thin">
        <color theme="3"/>
      </top>
      <bottom style="thin">
        <color indexed="64"/>
      </bottom>
      <diagonal/>
    </border>
    <border>
      <left style="thin">
        <color theme="3"/>
      </left>
      <right style="thin">
        <color indexed="64"/>
      </right>
      <top style="thin">
        <color theme="3"/>
      </top>
      <bottom style="thin">
        <color indexed="64"/>
      </bottom>
      <diagonal/>
    </border>
    <border>
      <left/>
      <right style="thin">
        <color indexed="64"/>
      </right>
      <top/>
      <bottom style="thin">
        <color theme="9" tint="-0.499984740745262"/>
      </bottom>
      <diagonal/>
    </border>
    <border>
      <left/>
      <right/>
      <top style="thin">
        <color theme="3"/>
      </top>
      <bottom style="thin">
        <color theme="3" tint="-0.499984740745262"/>
      </bottom>
      <diagonal/>
    </border>
    <border>
      <left/>
      <right/>
      <top style="thin">
        <color theme="3" tint="-0.499984740745262"/>
      </top>
      <bottom/>
      <diagonal/>
    </border>
    <border>
      <left/>
      <right/>
      <top/>
      <bottom style="thin">
        <color theme="3" tint="-0.499984740745262"/>
      </bottom>
      <diagonal/>
    </border>
    <border>
      <left/>
      <right style="thin">
        <color theme="3" tint="-0.499984740745262"/>
      </right>
      <top/>
      <bottom style="thin">
        <color theme="3" tint="-0.499984740745262"/>
      </bottom>
      <diagonal/>
    </border>
    <border>
      <left/>
      <right style="thin">
        <color theme="3" tint="-0.499984740745262"/>
      </right>
      <top/>
      <bottom/>
      <diagonal/>
    </border>
    <border>
      <left/>
      <right/>
      <top/>
      <bottom style="thick">
        <color rgb="FFFF0000"/>
      </bottom>
      <diagonal/>
    </border>
    <border>
      <left style="thin">
        <color indexed="64"/>
      </left>
      <right style="thick">
        <color rgb="FFFF0000"/>
      </right>
      <top style="thin">
        <color indexed="64"/>
      </top>
      <bottom style="thin">
        <color indexed="64"/>
      </bottom>
      <diagonal/>
    </border>
    <border>
      <left style="thin">
        <color indexed="64"/>
      </left>
      <right style="thick">
        <color rgb="FFFF0000"/>
      </right>
      <top/>
      <bottom style="thin">
        <color indexed="64"/>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right style="thin">
        <color indexed="64"/>
      </right>
      <top style="thin">
        <color indexed="64"/>
      </top>
      <bottom style="thick">
        <color rgb="FFFF0000"/>
      </bottom>
      <diagonal/>
    </border>
  </borders>
  <cellStyleXfs count="60021">
    <xf numFmtId="0" fontId="0" fillId="0" borderId="0"/>
    <xf numFmtId="0" fontId="41" fillId="0" borderId="0"/>
    <xf numFmtId="9" fontId="33" fillId="0" borderId="0" applyFont="0" applyFill="0" applyBorder="0" applyAlignment="0" applyProtection="0"/>
    <xf numFmtId="43" fontId="1" fillId="0" borderId="0" applyFont="0" applyFill="0" applyBorder="0" applyAlignment="0" applyProtection="0"/>
    <xf numFmtId="0" fontId="32" fillId="0" borderId="0"/>
    <xf numFmtId="9" fontId="32" fillId="0" borderId="0" applyFont="0" applyFill="0" applyBorder="0" applyAlignment="0" applyProtection="0"/>
    <xf numFmtId="0" fontId="59" fillId="12" borderId="25" applyNumberFormat="0" applyAlignment="0" applyProtection="0"/>
    <xf numFmtId="0" fontId="31" fillId="0" borderId="0"/>
    <xf numFmtId="168" fontId="69" fillId="0" borderId="0">
      <alignment horizontal="left" vertical="center"/>
    </xf>
    <xf numFmtId="0" fontId="70" fillId="0" borderId="0" applyNumberFormat="0" applyFill="0" applyBorder="0" applyAlignment="0" applyProtection="0">
      <alignment vertical="top"/>
      <protection locked="0"/>
    </xf>
    <xf numFmtId="168" fontId="71" fillId="0" borderId="0" applyFill="0" applyBorder="0" applyAlignment="0" applyProtection="0"/>
    <xf numFmtId="0" fontId="33" fillId="0" borderId="0"/>
    <xf numFmtId="0" fontId="72" fillId="0" borderId="0"/>
    <xf numFmtId="0" fontId="30" fillId="0" borderId="0"/>
    <xf numFmtId="9" fontId="30" fillId="0" borderId="0" applyFont="0" applyFill="0" applyBorder="0" applyAlignment="0" applyProtection="0"/>
    <xf numFmtId="0" fontId="28" fillId="0" borderId="0"/>
    <xf numFmtId="0" fontId="101" fillId="0" borderId="0" applyNumberFormat="0" applyFill="0" applyBorder="0" applyAlignment="0" applyProtection="0"/>
    <xf numFmtId="0" fontId="102" fillId="0" borderId="0"/>
    <xf numFmtId="0" fontId="27" fillId="0" borderId="0"/>
    <xf numFmtId="9" fontId="27" fillId="0" borderId="0" applyFont="0" applyFill="0" applyBorder="0" applyAlignment="0" applyProtection="0"/>
    <xf numFmtId="164" fontId="33" fillId="0" borderId="0" applyFont="0" applyFill="0" applyBorder="0" applyAlignment="0" applyProtection="0"/>
    <xf numFmtId="0" fontId="102" fillId="0" borderId="0"/>
    <xf numFmtId="0" fontId="33"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4" fontId="33"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22" fillId="18" borderId="25" applyNumberFormat="0" applyAlignment="0" applyProtection="0"/>
    <xf numFmtId="164" fontId="33" fillId="0" borderId="0" applyFont="0" applyFill="0" applyBorder="0" applyAlignment="0" applyProtection="0"/>
    <xf numFmtId="0" fontId="169" fillId="0" borderId="0" applyNumberFormat="0" applyFill="0" applyBorder="0" applyAlignment="0" applyProtection="0"/>
    <xf numFmtId="0" fontId="129" fillId="0" borderId="63" applyNumberFormat="0" applyFill="0" applyAlignment="0" applyProtection="0"/>
    <xf numFmtId="0" fontId="130" fillId="0" borderId="64" applyNumberFormat="0" applyFill="0" applyAlignment="0" applyProtection="0"/>
    <xf numFmtId="0" fontId="131" fillId="0" borderId="65" applyNumberFormat="0" applyFill="0" applyAlignment="0" applyProtection="0"/>
    <xf numFmtId="0" fontId="131" fillId="0" borderId="0" applyNumberFormat="0" applyFill="0" applyBorder="0" applyAlignment="0" applyProtection="0"/>
    <xf numFmtId="0" fontId="132" fillId="19" borderId="0" applyNumberFormat="0" applyBorder="0" applyAlignment="0" applyProtection="0"/>
    <xf numFmtId="0" fontId="133" fillId="20" borderId="0" applyNumberFormat="0" applyBorder="0" applyAlignment="0" applyProtection="0"/>
    <xf numFmtId="0" fontId="134" fillId="21" borderId="0" applyNumberFormat="0" applyBorder="0" applyAlignment="0" applyProtection="0"/>
    <xf numFmtId="0" fontId="135" fillId="18" borderId="66" applyNumberFormat="0" applyAlignment="0" applyProtection="0"/>
    <xf numFmtId="0" fontId="136" fillId="0" borderId="67" applyNumberFormat="0" applyFill="0" applyAlignment="0" applyProtection="0"/>
    <xf numFmtId="0" fontId="137" fillId="22" borderId="68" applyNumberFormat="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45" fillId="0" borderId="70" applyNumberFormat="0" applyFill="0" applyAlignment="0" applyProtection="0"/>
    <xf numFmtId="0" fontId="14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40" fillId="27" borderId="0" applyNumberFormat="0" applyBorder="0" applyAlignment="0" applyProtection="0"/>
    <xf numFmtId="0" fontId="14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40" fillId="31" borderId="0" applyNumberFormat="0" applyBorder="0" applyAlignment="0" applyProtection="0"/>
    <xf numFmtId="0" fontId="14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40" fillId="35" borderId="0" applyNumberFormat="0" applyBorder="0" applyAlignment="0" applyProtection="0"/>
    <xf numFmtId="0" fontId="14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40" fillId="39" borderId="0" applyNumberFormat="0" applyBorder="0" applyAlignment="0" applyProtection="0"/>
    <xf numFmtId="0" fontId="140"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40" fillId="43" borderId="0" applyNumberFormat="0" applyBorder="0" applyAlignment="0" applyProtection="0"/>
    <xf numFmtId="0" fontId="14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40" fillId="47" borderId="0" applyNumberFormat="0" applyBorder="0" applyAlignment="0" applyProtection="0"/>
    <xf numFmtId="0" fontId="17" fillId="0" borderId="0"/>
    <xf numFmtId="0" fontId="17" fillId="23" borderId="69" applyNumberFormat="0" applyFont="0" applyAlignment="0" applyProtection="0"/>
    <xf numFmtId="16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69" fillId="0" borderId="0"/>
    <xf numFmtId="0" fontId="17" fillId="0" borderId="0"/>
    <xf numFmtId="0" fontId="17" fillId="0" borderId="0"/>
    <xf numFmtId="0" fontId="33" fillId="0" borderId="0"/>
    <xf numFmtId="0" fontId="33"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3" fillId="0" borderId="0" applyFont="0" applyFill="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41" fillId="0" borderId="0"/>
    <xf numFmtId="0" fontId="141" fillId="0" borderId="0"/>
    <xf numFmtId="43" fontId="14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3" borderId="6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3" borderId="6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3" borderId="69"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0" borderId="0"/>
    <xf numFmtId="0" fontId="13" fillId="23" borderId="6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3" borderId="69" applyNumberFormat="0" applyFont="0" applyAlignment="0" applyProtection="0"/>
    <xf numFmtId="0" fontId="13" fillId="0" borderId="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69"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4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3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9" fontId="12"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4" fillId="0" borderId="0"/>
    <xf numFmtId="0" fontId="143" fillId="0" borderId="0" applyNumberFormat="0" applyFill="0" applyBorder="0" applyAlignment="0" applyProtection="0"/>
    <xf numFmtId="43" fontId="141"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69"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0" borderId="0"/>
    <xf numFmtId="9" fontId="10" fillId="0" borderId="0" applyFont="0" applyFill="0" applyBorder="0" applyAlignment="0" applyProtection="0"/>
    <xf numFmtId="0" fontId="10"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0" borderId="0"/>
    <xf numFmtId="9" fontId="10" fillId="0" borderId="0" applyFont="0" applyFill="0" applyBorder="0" applyAlignment="0" applyProtection="0"/>
    <xf numFmtId="0" fontId="10" fillId="0" borderId="0"/>
    <xf numFmtId="0" fontId="142" fillId="0" borderId="0" applyNumberFormat="0" applyFill="0" applyBorder="0" applyAlignment="0" applyProtection="0"/>
    <xf numFmtId="0" fontId="10" fillId="0" borderId="0"/>
    <xf numFmtId="9" fontId="10" fillId="0" borderId="0" applyFont="0" applyFill="0" applyBorder="0" applyAlignment="0" applyProtection="0"/>
    <xf numFmtId="0" fontId="142" fillId="0" borderId="0" applyNumberForma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42" fillId="0" borderId="0" applyNumberFormat="0" applyFill="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42" fillId="0" borderId="0" applyNumberFormat="0" applyFill="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42" fillId="0" borderId="0" applyNumberFormat="0" applyFill="0" applyBorder="0" applyAlignment="0" applyProtection="0"/>
    <xf numFmtId="0" fontId="33"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0" borderId="0"/>
    <xf numFmtId="0" fontId="10" fillId="0" borderId="0"/>
    <xf numFmtId="0" fontId="14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2" fillId="0" borderId="0" applyNumberFormat="0" applyFill="0" applyBorder="0" applyAlignment="0" applyProtection="0"/>
    <xf numFmtId="0" fontId="14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9" fontId="33"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23" borderId="6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6" borderId="0" applyNumberFormat="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42"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37" borderId="0" applyNumberFormat="0" applyBorder="0" applyAlignment="0" applyProtection="0"/>
    <xf numFmtId="0" fontId="33"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10" fillId="46" borderId="0" applyNumberFormat="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33" borderId="0" applyNumberFormat="0" applyBorder="0" applyAlignment="0" applyProtection="0"/>
    <xf numFmtId="0" fontId="10" fillId="0" borderId="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4"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0" applyNumberFormat="0" applyBorder="0" applyAlignment="0" applyProtection="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29"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42" fillId="0" borderId="0" applyNumberForma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41" borderId="0" applyNumberFormat="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0" fontId="10" fillId="0" borderId="0"/>
    <xf numFmtId="0" fontId="10" fillId="0" borderId="0"/>
    <xf numFmtId="0" fontId="10" fillId="38" borderId="0" applyNumberFormat="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23" borderId="6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33" fillId="0" borderId="0"/>
    <xf numFmtId="0" fontId="33" fillId="0" borderId="0"/>
    <xf numFmtId="43" fontId="3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23" borderId="6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3" borderId="69" applyNumberFormat="0" applyFont="0" applyAlignment="0" applyProtection="0"/>
    <xf numFmtId="0" fontId="10" fillId="0" borderId="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43" fontId="33"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42" fillId="0" borderId="0" applyNumberFormat="0" applyFill="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23" borderId="6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23" borderId="6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3" borderId="69" applyNumberFormat="0" applyFont="0" applyAlignment="0" applyProtection="0"/>
    <xf numFmtId="0" fontId="10" fillId="0" borderId="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6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9" fontId="10"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0" borderId="0"/>
    <xf numFmtId="0" fontId="10" fillId="23" borderId="69" applyNumberFormat="0" applyFont="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14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142" fillId="0" borderId="0" applyNumberFormat="0" applyFill="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0" borderId="0"/>
    <xf numFmtId="0" fontId="33" fillId="0" borderId="0"/>
    <xf numFmtId="164" fontId="33"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3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164" fontId="33" fillId="0" borderId="0" applyFont="0" applyFill="0" applyBorder="0" applyAlignment="0" applyProtection="0"/>
    <xf numFmtId="0" fontId="33" fillId="0" borderId="0"/>
    <xf numFmtId="0" fontId="33" fillId="0" borderId="0"/>
    <xf numFmtId="0" fontId="33" fillId="0" borderId="0"/>
    <xf numFmtId="0" fontId="33" fillId="0" borderId="0"/>
    <xf numFmtId="164" fontId="33" fillId="0" borderId="0" applyFont="0" applyFill="0" applyBorder="0" applyAlignment="0" applyProtection="0"/>
    <xf numFmtId="9" fontId="33" fillId="0" borderId="0" applyFont="0" applyFill="0" applyBorder="0" applyAlignment="0" applyProtection="0"/>
    <xf numFmtId="164" fontId="33" fillId="0" borderId="0" applyFont="0" applyFill="0" applyBorder="0" applyAlignment="0" applyProtection="0"/>
    <xf numFmtId="9" fontId="33" fillId="0" borderId="0" applyFont="0" applyFill="0" applyBorder="0" applyAlignment="0" applyProtection="0"/>
    <xf numFmtId="16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9" fillId="0" borderId="0"/>
    <xf numFmtId="164" fontId="33"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3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3"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33" fillId="0" borderId="0" applyFont="0" applyFill="0" applyBorder="0" applyAlignment="0" applyProtection="0"/>
    <xf numFmtId="0" fontId="9" fillId="23" borderId="69" applyNumberFormat="0" applyFont="0" applyAlignment="0" applyProtection="0"/>
    <xf numFmtId="0" fontId="33"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0" fontId="9" fillId="33" borderId="0" applyNumberFormat="0" applyBorder="0" applyAlignment="0" applyProtection="0"/>
    <xf numFmtId="0" fontId="9" fillId="0" borderId="0"/>
    <xf numFmtId="9" fontId="9" fillId="0" borderId="0" applyFont="0" applyFill="0" applyBorder="0" applyAlignment="0" applyProtection="0"/>
    <xf numFmtId="0" fontId="9" fillId="0" borderId="0"/>
    <xf numFmtId="0" fontId="9" fillId="25" borderId="0" applyNumberFormat="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9" borderId="0" applyNumberFormat="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23" borderId="69" applyNumberFormat="0" applyFont="0" applyAlignment="0" applyProtection="0"/>
    <xf numFmtId="0" fontId="145" fillId="0" borderId="0" applyNumberFormat="0" applyFill="0" applyBorder="0" applyAlignment="0" applyProtection="0">
      <alignment vertical="top"/>
      <protection locked="0"/>
    </xf>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33"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23" borderId="69" applyNumberFormat="0" applyFont="0" applyAlignment="0" applyProtection="0"/>
    <xf numFmtId="43" fontId="9"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44" fontId="146" fillId="0" borderId="0" applyFont="0" applyFill="0" applyBorder="0" applyAlignment="0" applyProtection="0"/>
    <xf numFmtId="0" fontId="8" fillId="0" borderId="0"/>
    <xf numFmtId="0" fontId="8" fillId="23" borderId="69" applyNumberFormat="0" applyFont="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33" fillId="0" borderId="0"/>
    <xf numFmtId="9" fontId="33" fillId="0" borderId="0" applyFont="0" applyFill="0" applyBorder="0" applyAlignment="0" applyProtection="0"/>
    <xf numFmtId="164" fontId="33"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101" fillId="0" borderId="0" applyNumberForma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23" borderId="6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23" borderId="6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3" borderId="69" applyNumberFormat="0" applyFont="0" applyAlignment="0" applyProtection="0"/>
    <xf numFmtId="0" fontId="8" fillId="0" borderId="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23" borderId="6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6" borderId="0" applyNumberFormat="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42"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37" borderId="0" applyNumberFormat="0" applyBorder="0" applyAlignment="0" applyProtection="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46"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33" borderId="0" applyNumberFormat="0" applyBorder="0" applyAlignment="0" applyProtection="0"/>
    <xf numFmtId="0" fontId="8" fillId="0" borderId="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45"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0" borderId="0" applyNumberFormat="0" applyBorder="0" applyAlignment="0" applyProtection="0"/>
    <xf numFmtId="0" fontId="8" fillId="0" borderId="0"/>
    <xf numFmtId="0" fontId="8" fillId="0" borderId="0"/>
    <xf numFmtId="0" fontId="8" fillId="25" borderId="0" applyNumberFormat="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41" borderId="0" applyNumberFormat="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38" borderId="0" applyNumberFormat="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23" borderId="6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23" borderId="6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3" borderId="69" applyNumberFormat="0" applyFont="0" applyAlignment="0" applyProtection="0"/>
    <xf numFmtId="0" fontId="8" fillId="0" borderId="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23" borderId="6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23" borderId="6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3" borderId="69" applyNumberFormat="0" applyFont="0" applyAlignment="0" applyProtection="0"/>
    <xf numFmtId="0" fontId="8" fillId="0" borderId="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6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23" borderId="69" applyNumberFormat="0" applyFont="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33"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25"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9"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23" borderId="69" applyNumberFormat="0" applyFont="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23" borderId="69" applyNumberFormat="0" applyFont="0" applyAlignment="0" applyProtection="0"/>
    <xf numFmtId="43" fontId="8" fillId="0" borderId="0" applyFont="0" applyFill="0" applyBorder="0" applyAlignment="0" applyProtection="0"/>
    <xf numFmtId="44" fontId="33" fillId="0" borderId="0" applyFont="0" applyFill="0" applyBorder="0" applyAlignment="0" applyProtection="0"/>
    <xf numFmtId="0" fontId="113" fillId="0" borderId="0"/>
    <xf numFmtId="0" fontId="156" fillId="28" borderId="0" applyNumberFormat="0" applyBorder="0" applyAlignment="0" applyProtection="0"/>
    <xf numFmtId="0" fontId="156" fillId="40" borderId="0" applyNumberFormat="0" applyBorder="0" applyAlignment="0" applyProtection="0"/>
    <xf numFmtId="0" fontId="157" fillId="20" borderId="0" applyNumberFormat="0" applyBorder="0" applyAlignment="0" applyProtection="0"/>
    <xf numFmtId="0" fontId="133" fillId="20" borderId="0" applyNumberFormat="0" applyBorder="0" applyAlignment="0" applyProtection="0"/>
    <xf numFmtId="0" fontId="157" fillId="20" borderId="0" applyNumberFormat="0" applyBorder="0" applyAlignment="0" applyProtection="0"/>
    <xf numFmtId="0" fontId="157" fillId="20" borderId="0" applyNumberFormat="0" applyBorder="0" applyAlignment="0" applyProtection="0"/>
    <xf numFmtId="0" fontId="157" fillId="20" borderId="0" applyNumberFormat="0" applyBorder="0" applyAlignment="0" applyProtection="0"/>
    <xf numFmtId="0" fontId="158" fillId="18" borderId="25" applyNumberFormat="0" applyAlignment="0" applyProtection="0"/>
    <xf numFmtId="0" fontId="122" fillId="18" borderId="25" applyNumberFormat="0" applyAlignment="0" applyProtection="0"/>
    <xf numFmtId="43" fontId="113" fillId="0" borderId="0" applyFont="0" applyFill="0" applyBorder="0" applyAlignment="0" applyProtection="0"/>
    <xf numFmtId="43" fontId="33" fillId="0" borderId="0" applyFont="0" applyFill="0" applyBorder="0" applyAlignment="0" applyProtection="0"/>
    <xf numFmtId="43" fontId="15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159"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33" fillId="0" borderId="0" applyFont="0" applyFill="0" applyBorder="0" applyAlignment="0" applyProtection="0"/>
    <xf numFmtId="0" fontId="161" fillId="19" borderId="0" applyNumberFormat="0" applyBorder="0" applyAlignment="0" applyProtection="0"/>
    <xf numFmtId="0" fontId="132" fillId="19" borderId="0" applyNumberFormat="0" applyBorder="0" applyAlignment="0" applyProtection="0"/>
    <xf numFmtId="0" fontId="161" fillId="19" borderId="0" applyNumberFormat="0" applyBorder="0" applyAlignment="0" applyProtection="0"/>
    <xf numFmtId="0" fontId="161" fillId="19" borderId="0" applyNumberFormat="0" applyBorder="0" applyAlignment="0" applyProtection="0"/>
    <xf numFmtId="0" fontId="160" fillId="19" borderId="0" applyNumberFormat="0" applyBorder="0" applyAlignment="0" applyProtection="0"/>
    <xf numFmtId="0" fontId="161" fillId="19" borderId="0" applyNumberFormat="0" applyBorder="0" applyAlignment="0" applyProtection="0"/>
    <xf numFmtId="0" fontId="134" fillId="21" borderId="0" applyNumberFormat="0" applyBorder="0" applyAlignment="0" applyProtection="0"/>
    <xf numFmtId="0" fontId="120" fillId="0" borderId="0"/>
    <xf numFmtId="0" fontId="120" fillId="0" borderId="0"/>
    <xf numFmtId="0" fontId="159" fillId="0" borderId="0"/>
    <xf numFmtId="0" fontId="113" fillId="0" borderId="0"/>
    <xf numFmtId="0" fontId="113" fillId="0" borderId="0"/>
    <xf numFmtId="0" fontId="113" fillId="0" borderId="0"/>
    <xf numFmtId="0" fontId="6" fillId="0" borderId="0"/>
    <xf numFmtId="0" fontId="120" fillId="0" borderId="0"/>
    <xf numFmtId="0" fontId="159" fillId="0" borderId="0"/>
    <xf numFmtId="0" fontId="33" fillId="0" borderId="0"/>
    <xf numFmtId="0" fontId="113" fillId="0" borderId="0"/>
    <xf numFmtId="0" fontId="113" fillId="0" borderId="0"/>
    <xf numFmtId="0" fontId="120" fillId="0" borderId="0"/>
    <xf numFmtId="0" fontId="113" fillId="0" borderId="0"/>
    <xf numFmtId="0" fontId="120" fillId="23" borderId="69" applyNumberFormat="0" applyFont="0" applyAlignment="0" applyProtection="0"/>
    <xf numFmtId="0" fontId="120" fillId="23" borderId="69" applyNumberFormat="0" applyFont="0" applyAlignment="0" applyProtection="0"/>
    <xf numFmtId="0" fontId="120" fillId="23" borderId="69" applyNumberFormat="0" applyFont="0" applyAlignment="0" applyProtection="0"/>
    <xf numFmtId="0" fontId="120" fillId="23" borderId="69" applyNumberFormat="0" applyFont="0" applyAlignment="0" applyProtection="0"/>
    <xf numFmtId="9" fontId="113" fillId="0" borderId="0" applyFont="0" applyFill="0" applyBorder="0" applyAlignment="0" applyProtection="0"/>
    <xf numFmtId="9" fontId="3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33" fillId="0" borderId="0" applyFont="0" applyFill="0" applyBorder="0" applyAlignment="0" applyProtection="0"/>
    <xf numFmtId="0" fontId="6" fillId="0" borderId="0"/>
  </cellStyleXfs>
  <cellXfs count="1403">
    <xf numFmtId="0" fontId="0" fillId="0" borderId="0" xfId="0"/>
    <xf numFmtId="0" fontId="0" fillId="0" borderId="0" xfId="0" applyFill="1"/>
    <xf numFmtId="0" fontId="34" fillId="0" borderId="0" xfId="0" applyFont="1" applyFill="1"/>
    <xf numFmtId="1" fontId="0" fillId="0" borderId="0" xfId="0" applyNumberFormat="1" applyFill="1"/>
    <xf numFmtId="0" fontId="37" fillId="0" borderId="0" xfId="0" applyFont="1" applyFill="1" applyAlignment="1">
      <alignment horizontal="right"/>
    </xf>
    <xf numFmtId="0" fontId="39" fillId="0" borderId="0" xfId="0" applyFont="1" applyFill="1" applyAlignment="1">
      <alignment horizontal="right"/>
    </xf>
    <xf numFmtId="166" fontId="35" fillId="0" borderId="0" xfId="0" applyNumberFormat="1" applyFont="1" applyFill="1"/>
    <xf numFmtId="0" fontId="37" fillId="0" borderId="0" xfId="0" applyFont="1" applyFill="1"/>
    <xf numFmtId="1" fontId="37" fillId="0" borderId="0" xfId="0" applyNumberFormat="1" applyFont="1" applyFill="1" applyAlignment="1">
      <alignment horizontal="right"/>
    </xf>
    <xf numFmtId="165" fontId="0" fillId="0" borderId="0" xfId="0" applyNumberFormat="1" applyFill="1"/>
    <xf numFmtId="0" fontId="32" fillId="0" borderId="0" xfId="4"/>
    <xf numFmtId="2" fontId="32" fillId="0" borderId="0" xfId="4" applyNumberFormat="1"/>
    <xf numFmtId="1" fontId="32" fillId="0" borderId="0" xfId="4" applyNumberFormat="1"/>
    <xf numFmtId="0" fontId="47" fillId="0" borderId="0" xfId="4" applyFont="1"/>
    <xf numFmtId="0" fontId="48" fillId="0" borderId="11" xfId="4" applyFont="1" applyBorder="1"/>
    <xf numFmtId="165" fontId="48" fillId="0" borderId="11" xfId="4" applyNumberFormat="1" applyFont="1" applyBorder="1" applyAlignment="1">
      <alignment horizontal="center"/>
    </xf>
    <xf numFmtId="1" fontId="48" fillId="5" borderId="11" xfId="4" applyNumberFormat="1" applyFont="1" applyFill="1" applyBorder="1" applyAlignment="1">
      <alignment horizontal="center"/>
    </xf>
    <xf numFmtId="1" fontId="48" fillId="0" borderId="11" xfId="4" applyNumberFormat="1" applyFont="1" applyBorder="1" applyAlignment="1">
      <alignment horizontal="center"/>
    </xf>
    <xf numFmtId="165" fontId="48" fillId="5" borderId="11" xfId="4" applyNumberFormat="1" applyFont="1" applyFill="1" applyBorder="1" applyAlignment="1">
      <alignment horizontal="center"/>
    </xf>
    <xf numFmtId="2" fontId="48" fillId="0" borderId="11" xfId="4" applyNumberFormat="1" applyFont="1" applyBorder="1" applyAlignment="1">
      <alignment horizontal="center"/>
    </xf>
    <xf numFmtId="0" fontId="48" fillId="0" borderId="11" xfId="4" applyFont="1" applyBorder="1" applyAlignment="1">
      <alignment horizontal="center"/>
    </xf>
    <xf numFmtId="1" fontId="49" fillId="6" borderId="11" xfId="4" applyNumberFormat="1" applyFont="1" applyFill="1" applyBorder="1" applyAlignment="1">
      <alignment horizontal="center"/>
    </xf>
    <xf numFmtId="9" fontId="48" fillId="0" borderId="11" xfId="5" applyFont="1" applyBorder="1" applyAlignment="1">
      <alignment horizontal="center"/>
    </xf>
    <xf numFmtId="0" fontId="47" fillId="0" borderId="0" xfId="4" applyFont="1" applyAlignment="1">
      <alignment wrapText="1"/>
    </xf>
    <xf numFmtId="0" fontId="48" fillId="0" borderId="11" xfId="4" applyFont="1" applyBorder="1" applyAlignment="1">
      <alignment wrapText="1"/>
    </xf>
    <xf numFmtId="0" fontId="50" fillId="0" borderId="11" xfId="4" applyFont="1" applyBorder="1" applyAlignment="1">
      <alignment horizontal="center" wrapText="1"/>
    </xf>
    <xf numFmtId="2" fontId="50" fillId="0" borderId="11" xfId="4" applyNumberFormat="1" applyFont="1" applyBorder="1" applyAlignment="1">
      <alignment horizontal="center" wrapText="1"/>
    </xf>
    <xf numFmtId="1" fontId="50" fillId="0" borderId="11" xfId="4" applyNumberFormat="1" applyFont="1" applyBorder="1" applyAlignment="1">
      <alignment horizontal="center" wrapText="1"/>
    </xf>
    <xf numFmtId="1" fontId="48" fillId="0" borderId="11" xfId="4" applyNumberFormat="1" applyFont="1" applyBorder="1" applyAlignment="1">
      <alignment horizontal="center" wrapText="1"/>
    </xf>
    <xf numFmtId="0" fontId="48" fillId="0" borderId="11" xfId="4" applyFont="1" applyBorder="1" applyAlignment="1">
      <alignment horizontal="center" wrapText="1"/>
    </xf>
    <xf numFmtId="1" fontId="32" fillId="0" borderId="0" xfId="4" applyNumberFormat="1" applyAlignment="1">
      <alignment horizontal="center"/>
    </xf>
    <xf numFmtId="9" fontId="48" fillId="5" borderId="11" xfId="2" applyFont="1" applyFill="1" applyBorder="1" applyAlignment="1">
      <alignment horizontal="center"/>
    </xf>
    <xf numFmtId="0" fontId="50" fillId="0" borderId="11" xfId="4" applyFont="1" applyBorder="1" applyAlignment="1">
      <alignment horizontal="center" wrapText="1"/>
    </xf>
    <xf numFmtId="9" fontId="52" fillId="9" borderId="11" xfId="2" applyFont="1" applyFill="1" applyBorder="1" applyAlignment="1">
      <alignment horizontal="center"/>
    </xf>
    <xf numFmtId="0" fontId="53" fillId="2" borderId="14" xfId="0" applyFont="1" applyFill="1" applyBorder="1" applyAlignment="1">
      <alignment horizontal="center"/>
    </xf>
    <xf numFmtId="0" fontId="53" fillId="2" borderId="16" xfId="0" applyFont="1" applyFill="1" applyBorder="1" applyAlignment="1">
      <alignment horizontal="center"/>
    </xf>
    <xf numFmtId="1" fontId="44" fillId="3" borderId="2" xfId="0" applyNumberFormat="1" applyFont="1" applyFill="1" applyBorder="1" applyAlignment="1">
      <alignment horizontal="center"/>
    </xf>
    <xf numFmtId="9" fontId="44" fillId="2" borderId="0" xfId="1" applyNumberFormat="1" applyFont="1" applyFill="1" applyBorder="1" applyAlignment="1">
      <alignment horizontal="center"/>
    </xf>
    <xf numFmtId="9" fontId="44" fillId="2" borderId="5" xfId="1" applyNumberFormat="1" applyFont="1" applyFill="1" applyBorder="1" applyAlignment="1">
      <alignment horizontal="center"/>
    </xf>
    <xf numFmtId="0" fontId="44" fillId="8" borderId="11" xfId="0" applyFont="1" applyFill="1" applyBorder="1" applyAlignment="1">
      <alignment horizontal="center"/>
    </xf>
    <xf numFmtId="0" fontId="53" fillId="2" borderId="2" xfId="0" applyFont="1" applyFill="1" applyBorder="1" applyAlignment="1">
      <alignment horizontal="center"/>
    </xf>
    <xf numFmtId="0" fontId="53" fillId="2" borderId="6" xfId="0" applyFont="1" applyFill="1" applyBorder="1" applyAlignment="1">
      <alignment horizontal="center"/>
    </xf>
    <xf numFmtId="0" fontId="44" fillId="2" borderId="2" xfId="0" applyFont="1" applyFill="1" applyBorder="1" applyAlignment="1">
      <alignment horizontal="center"/>
    </xf>
    <xf numFmtId="1" fontId="44" fillId="0" borderId="11" xfId="0" applyNumberFormat="1" applyFont="1" applyBorder="1" applyAlignment="1">
      <alignment horizontal="center"/>
    </xf>
    <xf numFmtId="0" fontId="53" fillId="0" borderId="11" xfId="0" applyFont="1" applyBorder="1" applyAlignment="1">
      <alignment horizontal="center"/>
    </xf>
    <xf numFmtId="1" fontId="44" fillId="0" borderId="11" xfId="0" applyNumberFormat="1" applyFont="1" applyFill="1" applyBorder="1" applyAlignment="1">
      <alignment horizontal="center"/>
    </xf>
    <xf numFmtId="0" fontId="36" fillId="0" borderId="0" xfId="0" applyFont="1"/>
    <xf numFmtId="0" fontId="40" fillId="0" borderId="0" xfId="0" applyFont="1" applyFill="1" applyBorder="1" applyAlignment="1">
      <alignment horizontal="center"/>
    </xf>
    <xf numFmtId="1" fontId="44" fillId="0" borderId="27" xfId="0" applyNumberFormat="1" applyFont="1" applyFill="1" applyBorder="1" applyAlignment="1">
      <alignment horizontal="center"/>
    </xf>
    <xf numFmtId="0" fontId="32" fillId="0" borderId="0" xfId="4" applyFill="1" applyBorder="1"/>
    <xf numFmtId="0" fontId="32" fillId="0" borderId="0" xfId="4" applyFill="1" applyBorder="1" applyAlignment="1">
      <alignment horizontal="center"/>
    </xf>
    <xf numFmtId="1" fontId="53" fillId="3" borderId="2" xfId="0" applyNumberFormat="1" applyFont="1" applyFill="1" applyBorder="1" applyAlignment="1">
      <alignment horizontal="center"/>
    </xf>
    <xf numFmtId="0" fontId="53" fillId="4" borderId="30" xfId="0" applyFont="1" applyFill="1" applyBorder="1" applyAlignment="1">
      <alignment horizontal="center"/>
    </xf>
    <xf numFmtId="1" fontId="53" fillId="11" borderId="6" xfId="0" applyNumberFormat="1" applyFont="1" applyFill="1" applyBorder="1" applyAlignment="1">
      <alignment horizontal="center"/>
    </xf>
    <xf numFmtId="2" fontId="53" fillId="11" borderId="6" xfId="0" applyNumberFormat="1" applyFont="1" applyFill="1" applyBorder="1" applyAlignment="1">
      <alignment horizontal="center"/>
    </xf>
    <xf numFmtId="1" fontId="53" fillId="3" borderId="11" xfId="0" applyNumberFormat="1" applyFont="1" applyFill="1" applyBorder="1" applyAlignment="1">
      <alignment horizontal="center"/>
    </xf>
    <xf numFmtId="1" fontId="44" fillId="3" borderId="11" xfId="0" applyNumberFormat="1" applyFont="1" applyFill="1" applyBorder="1" applyAlignment="1">
      <alignment horizontal="center"/>
    </xf>
    <xf numFmtId="0" fontId="44" fillId="2" borderId="3" xfId="0" applyFont="1" applyFill="1" applyBorder="1" applyAlignment="1">
      <alignment horizontal="center"/>
    </xf>
    <xf numFmtId="0" fontId="44" fillId="2" borderId="4" xfId="0" applyFont="1" applyFill="1" applyBorder="1" applyAlignment="1">
      <alignment horizontal="center"/>
    </xf>
    <xf numFmtId="0" fontId="44" fillId="2" borderId="0" xfId="0" applyFont="1" applyFill="1" applyBorder="1" applyAlignment="1">
      <alignment horizontal="center"/>
    </xf>
    <xf numFmtId="49" fontId="65" fillId="0" borderId="0" xfId="0" applyNumberFormat="1" applyFont="1" applyFill="1" applyBorder="1" applyAlignment="1">
      <alignment horizontal="center"/>
    </xf>
    <xf numFmtId="0" fontId="61" fillId="12" borderId="26" xfId="6" applyFont="1" applyBorder="1" applyAlignment="1">
      <alignment horizontal="center"/>
    </xf>
    <xf numFmtId="0" fontId="40" fillId="0" borderId="0" xfId="0" applyFont="1" applyFill="1" applyAlignment="1">
      <alignment horizontal="center"/>
    </xf>
    <xf numFmtId="0" fontId="40" fillId="0" borderId="0" xfId="0" applyFont="1" applyAlignment="1">
      <alignment horizontal="center"/>
    </xf>
    <xf numFmtId="0" fontId="44" fillId="0" borderId="0" xfId="0" applyFont="1" applyAlignment="1">
      <alignment horizontal="center"/>
    </xf>
    <xf numFmtId="0" fontId="43" fillId="0" borderId="0" xfId="0" applyFont="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 xfId="0" applyFill="1" applyBorder="1" applyAlignment="1">
      <alignment horizontal="center"/>
    </xf>
    <xf numFmtId="165" fontId="0" fillId="0" borderId="1" xfId="0" applyNumberFormat="1" applyFill="1" applyBorder="1" applyAlignment="1">
      <alignment horizontal="center"/>
    </xf>
    <xf numFmtId="9" fontId="0" fillId="0" borderId="1" xfId="2" applyFont="1" applyFill="1" applyBorder="1" applyAlignment="1">
      <alignment horizontal="center"/>
    </xf>
    <xf numFmtId="0" fontId="0" fillId="0" borderId="14" xfId="0" applyFill="1" applyBorder="1" applyAlignment="1">
      <alignment horizontal="center"/>
    </xf>
    <xf numFmtId="0" fontId="33" fillId="0" borderId="0" xfId="0" applyFont="1" applyFill="1" applyBorder="1" applyAlignment="1">
      <alignment horizontal="center"/>
    </xf>
    <xf numFmtId="0" fontId="0" fillId="0" borderId="0" xfId="0" applyAlignment="1">
      <alignment horizontal="center"/>
    </xf>
    <xf numFmtId="0" fontId="44" fillId="8" borderId="19" xfId="0" applyFont="1" applyFill="1" applyBorder="1" applyAlignment="1">
      <alignment horizontal="center"/>
    </xf>
    <xf numFmtId="1" fontId="44" fillId="0" borderId="10" xfId="0" applyNumberFormat="1" applyFont="1" applyFill="1" applyBorder="1" applyAlignment="1">
      <alignment horizontal="center"/>
    </xf>
    <xf numFmtId="1" fontId="44" fillId="0" borderId="28" xfId="0" applyNumberFormat="1" applyFont="1" applyFill="1" applyBorder="1" applyAlignment="1">
      <alignment horizontal="center"/>
    </xf>
    <xf numFmtId="1" fontId="44" fillId="0" borderId="0" xfId="0" applyNumberFormat="1" applyFont="1" applyFill="1" applyBorder="1" applyAlignment="1">
      <alignment horizontal="center"/>
    </xf>
    <xf numFmtId="1" fontId="44" fillId="0" borderId="15" xfId="0" applyNumberFormat="1" applyFont="1" applyFill="1" applyBorder="1" applyAlignment="1">
      <alignment horizontal="center"/>
    </xf>
    <xf numFmtId="1" fontId="44" fillId="0" borderId="1" xfId="0" applyNumberFormat="1" applyFont="1" applyFill="1" applyBorder="1" applyAlignment="1">
      <alignment horizontal="center"/>
    </xf>
    <xf numFmtId="1" fontId="44" fillId="0" borderId="29" xfId="0" applyNumberFormat="1" applyFont="1" applyFill="1" applyBorder="1" applyAlignment="1">
      <alignment horizontal="center"/>
    </xf>
    <xf numFmtId="1" fontId="44" fillId="0" borderId="0" xfId="0" applyNumberFormat="1" applyFont="1" applyAlignment="1">
      <alignment horizontal="center"/>
    </xf>
    <xf numFmtId="9" fontId="44" fillId="0" borderId="0" xfId="2" applyFont="1" applyAlignment="1">
      <alignment horizontal="center"/>
    </xf>
    <xf numFmtId="165" fontId="53" fillId="4" borderId="11" xfId="0" applyNumberFormat="1" applyFont="1" applyFill="1" applyBorder="1" applyAlignment="1">
      <alignment horizontal="center"/>
    </xf>
    <xf numFmtId="0" fontId="33" fillId="0" borderId="10" xfId="0" applyFont="1" applyFill="1" applyBorder="1" applyAlignment="1">
      <alignment horizontal="center"/>
    </xf>
    <xf numFmtId="165" fontId="33" fillId="0" borderId="10" xfId="0" applyNumberFormat="1" applyFont="1" applyFill="1" applyBorder="1" applyAlignment="1">
      <alignment horizontal="center"/>
    </xf>
    <xf numFmtId="165" fontId="53" fillId="4" borderId="0" xfId="0" applyNumberFormat="1" applyFont="1" applyFill="1" applyBorder="1" applyAlignment="1">
      <alignment horizontal="center"/>
    </xf>
    <xf numFmtId="49" fontId="65" fillId="0" borderId="10" xfId="0" applyNumberFormat="1" applyFont="1" applyFill="1" applyBorder="1" applyAlignment="1">
      <alignment horizontal="center"/>
    </xf>
    <xf numFmtId="49" fontId="65" fillId="0" borderId="1" xfId="0" applyNumberFormat="1" applyFont="1" applyFill="1" applyBorder="1" applyAlignment="1">
      <alignment horizontal="center"/>
    </xf>
    <xf numFmtId="0" fontId="64" fillId="0" borderId="0" xfId="0" applyFont="1"/>
    <xf numFmtId="2" fontId="53" fillId="4" borderId="0" xfId="0" applyNumberFormat="1" applyFont="1" applyFill="1" applyBorder="1" applyAlignment="1">
      <alignment horizontal="center"/>
    </xf>
    <xf numFmtId="9" fontId="62" fillId="0" borderId="0" xfId="2" applyNumberFormat="1" applyFont="1" applyFill="1" applyBorder="1" applyAlignment="1">
      <alignment horizontal="center"/>
    </xf>
    <xf numFmtId="0" fontId="36" fillId="0" borderId="0" xfId="0" applyFont="1" applyFill="1"/>
    <xf numFmtId="9" fontId="63" fillId="0" borderId="0" xfId="2" applyNumberFormat="1" applyFont="1" applyFill="1" applyBorder="1" applyAlignment="1">
      <alignment horizontal="center"/>
    </xf>
    <xf numFmtId="1" fontId="63" fillId="0" borderId="0" xfId="0" applyNumberFormat="1" applyFont="1" applyFill="1" applyBorder="1" applyAlignment="1">
      <alignment horizontal="center"/>
    </xf>
    <xf numFmtId="165" fontId="44" fillId="3" borderId="11" xfId="0" applyNumberFormat="1" applyFont="1" applyFill="1" applyBorder="1" applyAlignment="1">
      <alignment horizontal="center"/>
    </xf>
    <xf numFmtId="0" fontId="31" fillId="0" borderId="0" xfId="7"/>
    <xf numFmtId="0" fontId="36" fillId="0" borderId="0" xfId="0" applyFont="1" applyFill="1" applyAlignment="1">
      <alignment horizontal="center"/>
    </xf>
    <xf numFmtId="0" fontId="75" fillId="0" borderId="0" xfId="0" applyFont="1" applyFill="1" applyBorder="1" applyAlignment="1">
      <alignment vertical="center"/>
    </xf>
    <xf numFmtId="0" fontId="32" fillId="0" borderId="0" xfId="4" applyAlignment="1">
      <alignment horizontal="center"/>
    </xf>
    <xf numFmtId="0" fontId="32" fillId="5" borderId="11" xfId="4" applyFill="1" applyBorder="1" applyAlignment="1">
      <alignment horizontal="center"/>
    </xf>
    <xf numFmtId="1" fontId="32" fillId="5" borderId="11" xfId="4" applyNumberFormat="1" applyFill="1" applyBorder="1" applyAlignment="1">
      <alignment horizontal="center"/>
    </xf>
    <xf numFmtId="0" fontId="32" fillId="5" borderId="0" xfId="4" applyFill="1" applyAlignment="1">
      <alignment horizontal="center"/>
    </xf>
    <xf numFmtId="9" fontId="66" fillId="4" borderId="11" xfId="2" applyNumberFormat="1" applyFont="1" applyFill="1" applyBorder="1" applyAlignment="1">
      <alignment horizontal="center"/>
    </xf>
    <xf numFmtId="9" fontId="66" fillId="5" borderId="11" xfId="2" applyNumberFormat="1" applyFont="1" applyFill="1" applyBorder="1" applyAlignment="1">
      <alignment horizontal="center"/>
    </xf>
    <xf numFmtId="0" fontId="79" fillId="13" borderId="11" xfId="0" applyFont="1" applyFill="1" applyBorder="1" applyAlignment="1">
      <alignment wrapText="1"/>
    </xf>
    <xf numFmtId="0" fontId="78" fillId="15" borderId="11" xfId="0" applyFont="1" applyFill="1" applyBorder="1"/>
    <xf numFmtId="165" fontId="66" fillId="0" borderId="11" xfId="0" applyNumberFormat="1" applyFont="1" applyBorder="1" applyAlignment="1">
      <alignment horizontal="center"/>
    </xf>
    <xf numFmtId="165" fontId="66" fillId="4" borderId="11" xfId="0" applyNumberFormat="1" applyFont="1" applyFill="1" applyBorder="1" applyAlignment="1">
      <alignment horizontal="center"/>
    </xf>
    <xf numFmtId="165" fontId="66" fillId="5" borderId="11" xfId="2" applyNumberFormat="1" applyFont="1" applyFill="1" applyBorder="1" applyAlignment="1">
      <alignment horizontal="center"/>
    </xf>
    <xf numFmtId="165" fontId="66" fillId="4" borderId="11" xfId="2" applyNumberFormat="1" applyFont="1" applyFill="1" applyBorder="1" applyAlignment="1">
      <alignment horizontal="center"/>
    </xf>
    <xf numFmtId="0" fontId="80" fillId="10" borderId="32" xfId="0" applyFont="1" applyFill="1" applyBorder="1" applyAlignment="1">
      <alignment horizontal="center" vertical="top" wrapText="1"/>
    </xf>
    <xf numFmtId="1" fontId="81" fillId="3" borderId="11" xfId="0" applyNumberFormat="1" applyFont="1" applyFill="1" applyBorder="1" applyAlignment="1">
      <alignment horizontal="center"/>
    </xf>
    <xf numFmtId="1" fontId="81" fillId="3" borderId="19" xfId="0" applyNumberFormat="1" applyFont="1" applyFill="1" applyBorder="1" applyAlignment="1">
      <alignment horizontal="center"/>
    </xf>
    <xf numFmtId="0" fontId="80" fillId="2" borderId="32" xfId="0" applyFont="1" applyFill="1" applyBorder="1" applyAlignment="1">
      <alignment horizontal="center"/>
    </xf>
    <xf numFmtId="9" fontId="81" fillId="8" borderId="11" xfId="0" applyNumberFormat="1" applyFont="1" applyFill="1" applyBorder="1" applyAlignment="1">
      <alignment horizontal="center"/>
    </xf>
    <xf numFmtId="9" fontId="81" fillId="8" borderId="19" xfId="0" applyNumberFormat="1" applyFont="1" applyFill="1" applyBorder="1" applyAlignment="1">
      <alignment horizontal="center"/>
    </xf>
    <xf numFmtId="0" fontId="80" fillId="2" borderId="33" xfId="0" applyFont="1" applyFill="1" applyBorder="1" applyAlignment="1">
      <alignment horizontal="center"/>
    </xf>
    <xf numFmtId="169" fontId="44" fillId="2" borderId="2" xfId="3" applyNumberFormat="1" applyFont="1" applyFill="1" applyBorder="1" applyAlignment="1">
      <alignment horizontal="center"/>
    </xf>
    <xf numFmtId="169" fontId="44" fillId="2" borderId="8" xfId="3" applyNumberFormat="1" applyFont="1" applyFill="1" applyBorder="1" applyAlignment="1">
      <alignment horizontal="center"/>
    </xf>
    <xf numFmtId="0" fontId="46" fillId="8" borderId="27" xfId="0" applyFont="1" applyFill="1" applyBorder="1" applyAlignment="1">
      <alignment horizontal="center"/>
    </xf>
    <xf numFmtId="0" fontId="53" fillId="2" borderId="36" xfId="0" applyFont="1" applyFill="1" applyBorder="1" applyAlignment="1">
      <alignment horizontal="center"/>
    </xf>
    <xf numFmtId="0" fontId="46" fillId="10" borderId="12" xfId="0" applyFont="1" applyFill="1" applyBorder="1"/>
    <xf numFmtId="0" fontId="46" fillId="10" borderId="10" xfId="0" applyFont="1" applyFill="1" applyBorder="1"/>
    <xf numFmtId="0" fontId="46" fillId="10" borderId="14" xfId="0" applyFont="1" applyFill="1" applyBorder="1"/>
    <xf numFmtId="0" fontId="46" fillId="10" borderId="0" xfId="0" applyFont="1" applyFill="1" applyBorder="1"/>
    <xf numFmtId="169" fontId="53" fillId="4" borderId="9" xfId="3" applyNumberFormat="1" applyFont="1" applyFill="1" applyBorder="1" applyAlignment="1">
      <alignment horizontal="center"/>
    </xf>
    <xf numFmtId="0" fontId="30" fillId="0" borderId="0" xfId="13" applyFont="1"/>
    <xf numFmtId="0" fontId="30" fillId="0" borderId="0" xfId="13"/>
    <xf numFmtId="0" fontId="84" fillId="0" borderId="0" xfId="13" applyFont="1"/>
    <xf numFmtId="0" fontId="78" fillId="15" borderId="11" xfId="0" applyFont="1" applyFill="1" applyBorder="1" applyAlignment="1">
      <alignment wrapText="1"/>
    </xf>
    <xf numFmtId="165" fontId="85" fillId="12" borderId="11" xfId="6" applyNumberFormat="1" applyFont="1" applyBorder="1" applyAlignment="1">
      <alignment horizontal="center"/>
    </xf>
    <xf numFmtId="165" fontId="83" fillId="4" borderId="11" xfId="0" applyNumberFormat="1" applyFont="1" applyFill="1" applyBorder="1" applyAlignment="1">
      <alignment horizontal="center"/>
    </xf>
    <xf numFmtId="0" fontId="33" fillId="0" borderId="0" xfId="0" applyFont="1"/>
    <xf numFmtId="0" fontId="44" fillId="2" borderId="11" xfId="0" applyFont="1" applyFill="1" applyBorder="1" applyAlignment="1">
      <alignment horizontal="center"/>
    </xf>
    <xf numFmtId="0" fontId="44" fillId="4" borderId="11" xfId="0" applyFont="1" applyFill="1" applyBorder="1" applyAlignment="1">
      <alignment horizontal="center"/>
    </xf>
    <xf numFmtId="0" fontId="82" fillId="13" borderId="11" xfId="0" applyFont="1" applyFill="1" applyBorder="1" applyAlignment="1">
      <alignment horizontal="center" vertical="center" wrapText="1"/>
    </xf>
    <xf numFmtId="0" fontId="53" fillId="2" borderId="11" xfId="0" applyFont="1" applyFill="1" applyBorder="1" applyAlignment="1">
      <alignment horizontal="center"/>
    </xf>
    <xf numFmtId="1" fontId="44" fillId="0" borderId="12" xfId="0" applyNumberFormat="1" applyFont="1" applyFill="1" applyBorder="1" applyAlignment="1">
      <alignment horizontal="center"/>
    </xf>
    <xf numFmtId="1" fontId="44" fillId="0" borderId="14" xfId="0" applyNumberFormat="1" applyFont="1" applyFill="1" applyBorder="1" applyAlignment="1">
      <alignment horizontal="center"/>
    </xf>
    <xf numFmtId="1" fontId="44" fillId="0" borderId="13" xfId="0" applyNumberFormat="1" applyFont="1" applyFill="1" applyBorder="1" applyAlignment="1">
      <alignment horizontal="center"/>
    </xf>
    <xf numFmtId="165" fontId="66" fillId="5" borderId="0" xfId="2" applyNumberFormat="1" applyFont="1" applyFill="1" applyBorder="1" applyAlignment="1">
      <alignment horizontal="center"/>
    </xf>
    <xf numFmtId="0" fontId="78" fillId="15" borderId="43" xfId="0" applyFont="1" applyFill="1" applyBorder="1"/>
    <xf numFmtId="9" fontId="88" fillId="12" borderId="11" xfId="6" applyNumberFormat="1" applyFont="1" applyBorder="1" applyAlignment="1">
      <alignment horizontal="center"/>
    </xf>
    <xf numFmtId="0" fontId="33" fillId="0" borderId="10" xfId="0" applyFont="1" applyFill="1" applyBorder="1" applyAlignment="1">
      <alignment horizontal="center"/>
    </xf>
    <xf numFmtId="165" fontId="33" fillId="0" borderId="10" xfId="0" applyNumberFormat="1" applyFont="1" applyFill="1" applyBorder="1" applyAlignment="1">
      <alignment horizontal="center"/>
    </xf>
    <xf numFmtId="0" fontId="50" fillId="0" borderId="11" xfId="4" applyFont="1" applyBorder="1" applyAlignment="1">
      <alignment horizontal="center" wrapText="1"/>
    </xf>
    <xf numFmtId="1" fontId="50" fillId="0" borderId="11" xfId="4" applyNumberFormat="1" applyFont="1" applyBorder="1" applyAlignment="1">
      <alignment horizontal="center" wrapText="1"/>
    </xf>
    <xf numFmtId="0" fontId="50" fillId="0" borderId="11" xfId="4" applyFont="1" applyBorder="1" applyAlignment="1">
      <alignment horizontal="center" wrapText="1"/>
    </xf>
    <xf numFmtId="0" fontId="45" fillId="13" borderId="12" xfId="0" applyFont="1" applyFill="1" applyBorder="1" applyAlignment="1">
      <alignment wrapText="1"/>
    </xf>
    <xf numFmtId="0" fontId="45" fillId="13" borderId="10" xfId="0" applyFont="1" applyFill="1" applyBorder="1" applyAlignment="1">
      <alignment wrapText="1"/>
    </xf>
    <xf numFmtId="0" fontId="45" fillId="13" borderId="14" xfId="0" applyFont="1" applyFill="1" applyBorder="1" applyAlignment="1">
      <alignment wrapText="1"/>
    </xf>
    <xf numFmtId="0" fontId="45" fillId="13" borderId="0" xfId="0" applyFont="1" applyFill="1" applyBorder="1" applyAlignment="1">
      <alignment wrapText="1"/>
    </xf>
    <xf numFmtId="0" fontId="82" fillId="15" borderId="10" xfId="0" applyFont="1" applyFill="1" applyBorder="1"/>
    <xf numFmtId="9" fontId="83" fillId="16" borderId="38" xfId="2" applyFont="1" applyFill="1" applyBorder="1" applyAlignment="1">
      <alignment horizontal="center"/>
    </xf>
    <xf numFmtId="165" fontId="83" fillId="5" borderId="38" xfId="0" applyNumberFormat="1" applyFont="1" applyFill="1" applyBorder="1" applyAlignment="1">
      <alignment horizontal="center"/>
    </xf>
    <xf numFmtId="9" fontId="83" fillId="5" borderId="38" xfId="2" applyNumberFormat="1" applyFont="1" applyFill="1" applyBorder="1" applyAlignment="1">
      <alignment horizontal="center"/>
    </xf>
    <xf numFmtId="165" fontId="83" fillId="16" borderId="38" xfId="2" applyNumberFormat="1" applyFont="1" applyFill="1" applyBorder="1" applyAlignment="1">
      <alignment horizontal="center"/>
    </xf>
    <xf numFmtId="9" fontId="83" fillId="16" borderId="38" xfId="2" applyNumberFormat="1" applyFont="1" applyFill="1" applyBorder="1" applyAlignment="1">
      <alignment horizontal="center"/>
    </xf>
    <xf numFmtId="9" fontId="83" fillId="5" borderId="39" xfId="2" applyNumberFormat="1" applyFont="1" applyFill="1" applyBorder="1" applyAlignment="1">
      <alignment horizontal="center"/>
    </xf>
    <xf numFmtId="0" fontId="82" fillId="15" borderId="0" xfId="0" applyFont="1" applyFill="1" applyBorder="1"/>
    <xf numFmtId="9" fontId="83" fillId="16" borderId="11" xfId="2" applyFont="1" applyFill="1" applyBorder="1" applyAlignment="1">
      <alignment horizontal="center"/>
    </xf>
    <xf numFmtId="165" fontId="83" fillId="5" borderId="11" xfId="0" applyNumberFormat="1" applyFont="1" applyFill="1" applyBorder="1" applyAlignment="1">
      <alignment horizontal="center"/>
    </xf>
    <xf numFmtId="9" fontId="83" fillId="5" borderId="11" xfId="2" applyNumberFormat="1" applyFont="1" applyFill="1" applyBorder="1" applyAlignment="1">
      <alignment horizontal="center"/>
    </xf>
    <xf numFmtId="9" fontId="83" fillId="16" borderId="11" xfId="2" applyNumberFormat="1" applyFont="1" applyFill="1" applyBorder="1" applyAlignment="1">
      <alignment horizontal="center"/>
    </xf>
    <xf numFmtId="9" fontId="83" fillId="5" borderId="19" xfId="2" applyNumberFormat="1" applyFont="1" applyFill="1" applyBorder="1" applyAlignment="1">
      <alignment horizontal="center"/>
    </xf>
    <xf numFmtId="170" fontId="83" fillId="16" borderId="11" xfId="2" applyNumberFormat="1" applyFont="1" applyFill="1" applyBorder="1" applyAlignment="1">
      <alignment horizontal="center"/>
    </xf>
    <xf numFmtId="2" fontId="83" fillId="16" borderId="11" xfId="0" applyNumberFormat="1" applyFont="1" applyFill="1" applyBorder="1" applyAlignment="1">
      <alignment horizontal="center"/>
    </xf>
    <xf numFmtId="2" fontId="83" fillId="5" borderId="11" xfId="0" applyNumberFormat="1" applyFont="1" applyFill="1" applyBorder="1" applyAlignment="1">
      <alignment horizontal="center"/>
    </xf>
    <xf numFmtId="170" fontId="83" fillId="5" borderId="11" xfId="2" applyNumberFormat="1" applyFont="1" applyFill="1" applyBorder="1" applyAlignment="1">
      <alignment horizontal="center"/>
    </xf>
    <xf numFmtId="170" fontId="83" fillId="5" borderId="19" xfId="2" applyNumberFormat="1" applyFont="1" applyFill="1" applyBorder="1" applyAlignment="1">
      <alignment horizontal="center"/>
    </xf>
    <xf numFmtId="0" fontId="82" fillId="15" borderId="1" xfId="0" applyFont="1" applyFill="1" applyBorder="1"/>
    <xf numFmtId="165" fontId="82" fillId="16" borderId="40" xfId="0" applyNumberFormat="1" applyFont="1" applyFill="1" applyBorder="1" applyAlignment="1">
      <alignment horizontal="center"/>
    </xf>
    <xf numFmtId="9" fontId="82" fillId="16" borderId="40" xfId="2" applyFont="1" applyFill="1" applyBorder="1" applyAlignment="1">
      <alignment horizontal="center"/>
    </xf>
    <xf numFmtId="165" fontId="82" fillId="5" borderId="40" xfId="0" applyNumberFormat="1" applyFont="1" applyFill="1" applyBorder="1" applyAlignment="1">
      <alignment horizontal="center"/>
    </xf>
    <xf numFmtId="9" fontId="82" fillId="16" borderId="40" xfId="2" applyNumberFormat="1" applyFont="1" applyFill="1" applyBorder="1" applyAlignment="1">
      <alignment horizontal="center"/>
    </xf>
    <xf numFmtId="9" fontId="82" fillId="5" borderId="41" xfId="2" applyNumberFormat="1" applyFont="1" applyFill="1" applyBorder="1" applyAlignment="1">
      <alignment horizontal="center"/>
    </xf>
    <xf numFmtId="9" fontId="83" fillId="16" borderId="39" xfId="2" applyFont="1" applyFill="1" applyBorder="1" applyAlignment="1">
      <alignment horizontal="center"/>
    </xf>
    <xf numFmtId="9" fontId="82" fillId="16" borderId="41" xfId="2" applyFont="1" applyFill="1" applyBorder="1" applyAlignment="1">
      <alignment horizontal="center"/>
    </xf>
    <xf numFmtId="165" fontId="33" fillId="0" borderId="12" xfId="0" applyNumberFormat="1" applyFont="1" applyFill="1" applyBorder="1" applyAlignment="1"/>
    <xf numFmtId="165" fontId="33" fillId="0" borderId="10" xfId="0" applyNumberFormat="1" applyFont="1" applyFill="1" applyBorder="1" applyAlignment="1"/>
    <xf numFmtId="0" fontId="33" fillId="0" borderId="12" xfId="0" applyFont="1" applyFill="1" applyBorder="1" applyAlignment="1"/>
    <xf numFmtId="0" fontId="33" fillId="0" borderId="10" xfId="0" applyFont="1" applyFill="1" applyBorder="1" applyAlignment="1"/>
    <xf numFmtId="165" fontId="44" fillId="0" borderId="10" xfId="0" applyNumberFormat="1" applyFont="1" applyFill="1" applyBorder="1" applyAlignment="1">
      <alignment horizontal="center"/>
    </xf>
    <xf numFmtId="165" fontId="44" fillId="0" borderId="0" xfId="0" applyNumberFormat="1" applyFont="1" applyFill="1" applyBorder="1" applyAlignment="1">
      <alignment horizontal="center"/>
    </xf>
    <xf numFmtId="165" fontId="44" fillId="0" borderId="1" xfId="0" applyNumberFormat="1" applyFont="1" applyFill="1" applyBorder="1" applyAlignment="1">
      <alignment horizontal="center"/>
    </xf>
    <xf numFmtId="2" fontId="48" fillId="5" borderId="11" xfId="4" applyNumberFormat="1" applyFont="1" applyFill="1" applyBorder="1" applyAlignment="1">
      <alignment horizontal="center"/>
    </xf>
    <xf numFmtId="2" fontId="51" fillId="5" borderId="11" xfId="4" applyNumberFormat="1" applyFont="1" applyFill="1" applyBorder="1" applyAlignment="1">
      <alignment horizontal="center"/>
    </xf>
    <xf numFmtId="166" fontId="0" fillId="0" borderId="0" xfId="0" applyNumberFormat="1"/>
    <xf numFmtId="165" fontId="0" fillId="0" borderId="0" xfId="0" applyNumberFormat="1"/>
    <xf numFmtId="171" fontId="0" fillId="0" borderId="0" xfId="0" applyNumberFormat="1"/>
    <xf numFmtId="2" fontId="0" fillId="0" borderId="0" xfId="0" applyNumberFormat="1"/>
    <xf numFmtId="2" fontId="44" fillId="4" borderId="11" xfId="0" applyNumberFormat="1" applyFont="1" applyFill="1" applyBorder="1" applyAlignment="1">
      <alignment horizontal="center"/>
    </xf>
    <xf numFmtId="2" fontId="44" fillId="4" borderId="19" xfId="0" applyNumberFormat="1" applyFont="1" applyFill="1" applyBorder="1" applyAlignment="1">
      <alignment horizontal="center"/>
    </xf>
    <xf numFmtId="165" fontId="44" fillId="0" borderId="14" xfId="0" applyNumberFormat="1" applyFont="1" applyFill="1" applyBorder="1" applyAlignment="1">
      <alignment horizontal="center"/>
    </xf>
    <xf numFmtId="0" fontId="50" fillId="0" borderId="11" xfId="4" applyFont="1" applyBorder="1" applyAlignment="1">
      <alignment horizontal="center" wrapText="1"/>
    </xf>
    <xf numFmtId="0" fontId="54" fillId="4" borderId="30" xfId="0" applyFont="1" applyFill="1" applyBorder="1" applyAlignment="1">
      <alignment horizontal="center"/>
    </xf>
    <xf numFmtId="1" fontId="55" fillId="3" borderId="2" xfId="0" applyNumberFormat="1" applyFont="1" applyFill="1" applyBorder="1" applyAlignment="1">
      <alignment horizontal="center"/>
    </xf>
    <xf numFmtId="1" fontId="54" fillId="3" borderId="2" xfId="0" applyNumberFormat="1" applyFont="1" applyFill="1" applyBorder="1" applyAlignment="1">
      <alignment horizontal="center"/>
    </xf>
    <xf numFmtId="9" fontId="83" fillId="10" borderId="3" xfId="2" applyNumberFormat="1" applyFont="1" applyFill="1" applyBorder="1" applyAlignment="1">
      <alignment horizontal="center"/>
    </xf>
    <xf numFmtId="9" fontId="83" fillId="10" borderId="9" xfId="2" applyNumberFormat="1" applyFont="1" applyFill="1" applyBorder="1" applyAlignment="1">
      <alignment horizontal="center"/>
    </xf>
    <xf numFmtId="0" fontId="86" fillId="4" borderId="11" xfId="0" applyFont="1" applyFill="1" applyBorder="1" applyAlignment="1">
      <alignment horizontal="center"/>
    </xf>
    <xf numFmtId="9" fontId="83" fillId="4" borderId="3" xfId="2" applyNumberFormat="1" applyFont="1" applyFill="1" applyBorder="1" applyAlignment="1">
      <alignment horizontal="center"/>
    </xf>
    <xf numFmtId="9" fontId="83" fillId="4" borderId="9" xfId="2" applyNumberFormat="1" applyFont="1" applyFill="1" applyBorder="1" applyAlignment="1">
      <alignment horizontal="center"/>
    </xf>
    <xf numFmtId="1" fontId="44" fillId="8" borderId="11" xfId="0" applyNumberFormat="1" applyFont="1" applyFill="1" applyBorder="1" applyAlignment="1">
      <alignment horizontal="center"/>
    </xf>
    <xf numFmtId="0" fontId="40" fillId="8" borderId="5" xfId="0" applyFont="1" applyFill="1" applyBorder="1" applyAlignment="1">
      <alignment horizontal="center"/>
    </xf>
    <xf numFmtId="0" fontId="40" fillId="8" borderId="7" xfId="0" applyFont="1" applyFill="1" applyBorder="1" applyAlignment="1">
      <alignment horizontal="center"/>
    </xf>
    <xf numFmtId="9" fontId="0" fillId="0" borderId="13" xfId="2" applyFont="1" applyFill="1" applyBorder="1" applyAlignment="1">
      <alignment horizontal="center"/>
    </xf>
    <xf numFmtId="9" fontId="0" fillId="0" borderId="29" xfId="2" applyFont="1" applyFill="1" applyBorder="1" applyAlignment="1">
      <alignment horizontal="center"/>
    </xf>
    <xf numFmtId="2" fontId="89" fillId="4" borderId="11" xfId="0" applyNumberFormat="1" applyFont="1" applyFill="1" applyBorder="1" applyAlignment="1">
      <alignment horizontal="center"/>
    </xf>
    <xf numFmtId="0" fontId="44" fillId="4" borderId="3" xfId="0" applyFont="1" applyFill="1" applyBorder="1" applyAlignment="1">
      <alignment horizontal="center"/>
    </xf>
    <xf numFmtId="0" fontId="53" fillId="4" borderId="11" xfId="0" applyFont="1" applyFill="1" applyBorder="1" applyAlignment="1">
      <alignment horizontal="center"/>
    </xf>
    <xf numFmtId="170" fontId="48" fillId="5" borderId="11" xfId="2" applyNumberFormat="1" applyFont="1" applyFill="1" applyBorder="1" applyAlignment="1">
      <alignment horizontal="center"/>
    </xf>
    <xf numFmtId="9" fontId="48" fillId="5" borderId="11" xfId="2" applyNumberFormat="1" applyFont="1" applyFill="1" applyBorder="1" applyAlignment="1">
      <alignment horizontal="center"/>
    </xf>
    <xf numFmtId="165" fontId="32" fillId="0" borderId="0" xfId="4" applyNumberFormat="1"/>
    <xf numFmtId="165" fontId="44" fillId="0" borderId="15" xfId="0" applyNumberFormat="1" applyFont="1" applyFill="1" applyBorder="1" applyAlignment="1">
      <alignment horizontal="center"/>
    </xf>
    <xf numFmtId="165" fontId="44" fillId="0" borderId="13" xfId="0" applyNumberFormat="1" applyFont="1" applyFill="1" applyBorder="1" applyAlignment="1">
      <alignment horizontal="center"/>
    </xf>
    <xf numFmtId="165" fontId="44" fillId="0" borderId="29" xfId="0" applyNumberFormat="1" applyFont="1" applyFill="1" applyBorder="1" applyAlignment="1">
      <alignment horizontal="center"/>
    </xf>
    <xf numFmtId="165" fontId="44" fillId="0" borderId="12" xfId="0" applyNumberFormat="1" applyFont="1" applyFill="1" applyBorder="1" applyAlignment="1">
      <alignment horizontal="center"/>
    </xf>
    <xf numFmtId="165" fontId="44" fillId="0" borderId="28" xfId="0" applyNumberFormat="1" applyFont="1" applyFill="1" applyBorder="1" applyAlignment="1">
      <alignment horizontal="center"/>
    </xf>
    <xf numFmtId="166" fontId="44" fillId="0" borderId="11" xfId="0" applyNumberFormat="1" applyFont="1" applyBorder="1" applyAlignment="1">
      <alignment horizontal="center"/>
    </xf>
    <xf numFmtId="9" fontId="0" fillId="0" borderId="14" xfId="2" applyFont="1" applyFill="1" applyBorder="1" applyAlignment="1">
      <alignment horizontal="center"/>
    </xf>
    <xf numFmtId="9" fontId="0" fillId="0" borderId="0" xfId="2" applyFont="1" applyFill="1" applyBorder="1" applyAlignment="1">
      <alignment horizontal="center"/>
    </xf>
    <xf numFmtId="9" fontId="0" fillId="0" borderId="15" xfId="2" applyFont="1" applyFill="1" applyBorder="1" applyAlignment="1">
      <alignment horizontal="center"/>
    </xf>
    <xf numFmtId="0" fontId="50" fillId="0" borderId="11" xfId="4" applyFont="1" applyBorder="1" applyAlignment="1">
      <alignment horizontal="center" wrapText="1"/>
    </xf>
    <xf numFmtId="1" fontId="50" fillId="0" borderId="11" xfId="4" applyNumberFormat="1" applyFont="1" applyBorder="1" applyAlignment="1">
      <alignment horizontal="center" wrapText="1"/>
    </xf>
    <xf numFmtId="2" fontId="50" fillId="0" borderId="11" xfId="4" applyNumberFormat="1" applyFont="1" applyBorder="1" applyAlignment="1">
      <alignment horizontal="center" wrapText="1"/>
    </xf>
    <xf numFmtId="0" fontId="48" fillId="0" borderId="3" xfId="4" applyFont="1" applyBorder="1" applyAlignment="1">
      <alignment horizontal="center" wrapText="1"/>
    </xf>
    <xf numFmtId="1" fontId="47" fillId="0" borderId="0" xfId="4" applyNumberFormat="1" applyFont="1" applyAlignment="1">
      <alignment horizontal="center"/>
    </xf>
    <xf numFmtId="169" fontId="44" fillId="2" borderId="6" xfId="3" applyNumberFormat="1" applyFont="1" applyFill="1" applyBorder="1" applyAlignment="1">
      <alignment horizontal="center"/>
    </xf>
    <xf numFmtId="169" fontId="44" fillId="2" borderId="7" xfId="3" applyNumberFormat="1" applyFont="1" applyFill="1" applyBorder="1" applyAlignment="1">
      <alignment horizontal="center"/>
    </xf>
    <xf numFmtId="169" fontId="53" fillId="4" borderId="44" xfId="3" applyNumberFormat="1" applyFont="1" applyFill="1" applyBorder="1" applyAlignment="1">
      <alignment horizontal="center"/>
    </xf>
    <xf numFmtId="169" fontId="53" fillId="4" borderId="11" xfId="3" applyNumberFormat="1" applyFont="1" applyFill="1" applyBorder="1" applyAlignment="1">
      <alignment horizontal="center"/>
    </xf>
    <xf numFmtId="0" fontId="53" fillId="2" borderId="12" xfId="0" applyFont="1" applyFill="1" applyBorder="1" applyAlignment="1">
      <alignment horizontal="center"/>
    </xf>
    <xf numFmtId="169" fontId="44" fillId="2" borderId="30" xfId="3" applyNumberFormat="1" applyFont="1" applyFill="1" applyBorder="1" applyAlignment="1">
      <alignment horizontal="center"/>
    </xf>
    <xf numFmtId="169" fontId="44" fillId="2" borderId="46" xfId="3" applyNumberFormat="1" applyFont="1" applyFill="1" applyBorder="1" applyAlignment="1">
      <alignment horizontal="center"/>
    </xf>
    <xf numFmtId="172" fontId="48" fillId="0" borderId="11" xfId="4" applyNumberFormat="1" applyFont="1" applyBorder="1" applyAlignment="1">
      <alignment horizontal="center"/>
    </xf>
    <xf numFmtId="171" fontId="48" fillId="0" borderId="11" xfId="4" applyNumberFormat="1" applyFont="1" applyBorder="1" applyAlignment="1">
      <alignment horizontal="center"/>
    </xf>
    <xf numFmtId="170" fontId="48" fillId="5" borderId="11" xfId="4" applyNumberFormat="1" applyFont="1" applyFill="1" applyBorder="1" applyAlignment="1">
      <alignment horizontal="center"/>
    </xf>
    <xf numFmtId="169" fontId="0" fillId="0" borderId="0" xfId="0" applyNumberFormat="1"/>
    <xf numFmtId="170" fontId="52" fillId="9" borderId="11" xfId="2" applyNumberFormat="1" applyFont="1" applyFill="1" applyBorder="1" applyAlignment="1">
      <alignment horizontal="center"/>
    </xf>
    <xf numFmtId="0" fontId="78" fillId="13" borderId="8" xfId="0" applyFont="1" applyFill="1" applyBorder="1" applyAlignment="1">
      <alignment horizontal="center" vertical="center" wrapText="1"/>
    </xf>
    <xf numFmtId="1" fontId="66" fillId="5" borderId="11" xfId="2" applyNumberFormat="1" applyFont="1" applyFill="1" applyBorder="1" applyAlignment="1">
      <alignment horizontal="center"/>
    </xf>
    <xf numFmtId="0" fontId="78" fillId="13" borderId="0" xfId="0" applyFont="1" applyFill="1" applyBorder="1" applyAlignment="1">
      <alignment horizontal="center" vertical="center" wrapText="1"/>
    </xf>
    <xf numFmtId="0" fontId="78" fillId="15" borderId="0" xfId="0" applyFont="1" applyFill="1" applyBorder="1" applyAlignment="1">
      <alignment wrapText="1"/>
    </xf>
    <xf numFmtId="1" fontId="66" fillId="5" borderId="0" xfId="2" applyNumberFormat="1" applyFont="1" applyFill="1" applyBorder="1" applyAlignment="1">
      <alignment horizontal="center"/>
    </xf>
    <xf numFmtId="1" fontId="66" fillId="5" borderId="18" xfId="2" applyNumberFormat="1" applyFont="1" applyFill="1" applyBorder="1" applyAlignment="1">
      <alignment horizontal="center"/>
    </xf>
    <xf numFmtId="1" fontId="0" fillId="0" borderId="0" xfId="0" applyNumberFormat="1"/>
    <xf numFmtId="1" fontId="66" fillId="5" borderId="9" xfId="2" applyNumberFormat="1" applyFont="1" applyFill="1" applyBorder="1" applyAlignment="1">
      <alignment horizontal="center"/>
    </xf>
    <xf numFmtId="1" fontId="66" fillId="5" borderId="27" xfId="2" applyNumberFormat="1" applyFont="1" applyFill="1" applyBorder="1" applyAlignment="1">
      <alignment horizontal="center"/>
    </xf>
    <xf numFmtId="0" fontId="78" fillId="15" borderId="50" xfId="0" applyFont="1" applyFill="1" applyBorder="1"/>
    <xf numFmtId="1" fontId="66" fillId="5" borderId="7" xfId="2" applyNumberFormat="1" applyFont="1" applyFill="1" applyBorder="1" applyAlignment="1">
      <alignment horizontal="center"/>
    </xf>
    <xf numFmtId="1" fontId="66" fillId="5" borderId="44" xfId="2" applyNumberFormat="1" applyFont="1" applyFill="1" applyBorder="1" applyAlignment="1">
      <alignment horizontal="center"/>
    </xf>
    <xf numFmtId="1" fontId="66" fillId="5" borderId="6" xfId="2" applyNumberFormat="1" applyFont="1" applyFill="1" applyBorder="1" applyAlignment="1">
      <alignment horizontal="center"/>
    </xf>
    <xf numFmtId="1" fontId="66" fillId="5" borderId="3" xfId="2" applyNumberFormat="1" applyFont="1" applyFill="1" applyBorder="1" applyAlignment="1">
      <alignment horizontal="center"/>
    </xf>
    <xf numFmtId="1" fontId="66" fillId="5" borderId="28" xfId="2" applyNumberFormat="1" applyFont="1" applyFill="1" applyBorder="1" applyAlignment="1">
      <alignment horizontal="center"/>
    </xf>
    <xf numFmtId="1" fontId="66" fillId="5" borderId="15" xfId="2" applyNumberFormat="1" applyFont="1" applyFill="1" applyBorder="1" applyAlignment="1">
      <alignment horizontal="center"/>
    </xf>
    <xf numFmtId="1" fontId="66" fillId="5" borderId="29" xfId="2" applyNumberFormat="1" applyFont="1" applyFill="1" applyBorder="1" applyAlignment="1">
      <alignment horizontal="center"/>
    </xf>
    <xf numFmtId="0" fontId="78" fillId="13" borderId="0" xfId="0" applyFont="1" applyFill="1" applyBorder="1" applyAlignment="1">
      <alignment horizontal="center" vertical="center" wrapText="1"/>
    </xf>
    <xf numFmtId="0" fontId="78" fillId="15" borderId="54" xfId="0" applyFont="1" applyFill="1" applyBorder="1"/>
    <xf numFmtId="0" fontId="78" fillId="15" borderId="55" xfId="0" applyFont="1" applyFill="1" applyBorder="1"/>
    <xf numFmtId="0" fontId="78" fillId="15" borderId="23" xfId="0" applyFont="1" applyFill="1" applyBorder="1"/>
    <xf numFmtId="0" fontId="78" fillId="15" borderId="55" xfId="0" applyFont="1" applyFill="1" applyBorder="1" applyAlignment="1">
      <alignment wrapText="1"/>
    </xf>
    <xf numFmtId="0" fontId="78" fillId="15" borderId="51" xfId="0" applyFont="1" applyFill="1" applyBorder="1"/>
    <xf numFmtId="0" fontId="78" fillId="15" borderId="56" xfId="0" applyFont="1" applyFill="1" applyBorder="1"/>
    <xf numFmtId="0" fontId="78" fillId="15" borderId="56" xfId="0" applyFont="1" applyFill="1" applyBorder="1" applyAlignment="1">
      <alignment wrapText="1"/>
    </xf>
    <xf numFmtId="1" fontId="66" fillId="5" borderId="35" xfId="2" applyNumberFormat="1" applyFont="1" applyFill="1" applyBorder="1" applyAlignment="1">
      <alignment horizontal="center"/>
    </xf>
    <xf numFmtId="0" fontId="90" fillId="15" borderId="49" xfId="0" applyFont="1" applyFill="1" applyBorder="1" applyAlignment="1">
      <alignment horizontal="center"/>
    </xf>
    <xf numFmtId="0" fontId="78" fillId="15" borderId="58" xfId="0" applyFont="1" applyFill="1" applyBorder="1"/>
    <xf numFmtId="0" fontId="78" fillId="15" borderId="14" xfId="0" applyFont="1" applyFill="1" applyBorder="1"/>
    <xf numFmtId="0" fontId="78" fillId="15" borderId="58" xfId="0" applyFont="1" applyFill="1" applyBorder="1" applyAlignment="1">
      <alignment wrapText="1"/>
    </xf>
    <xf numFmtId="1" fontId="66" fillId="5" borderId="12" xfId="2" applyNumberFormat="1" applyFont="1" applyFill="1" applyBorder="1" applyAlignment="1">
      <alignment horizontal="center"/>
    </xf>
    <xf numFmtId="1" fontId="66" fillId="5" borderId="10" xfId="2" applyNumberFormat="1" applyFont="1" applyFill="1" applyBorder="1" applyAlignment="1">
      <alignment horizontal="center"/>
    </xf>
    <xf numFmtId="1" fontId="66" fillId="5" borderId="14" xfId="2" applyNumberFormat="1" applyFont="1" applyFill="1" applyBorder="1" applyAlignment="1">
      <alignment horizontal="center"/>
    </xf>
    <xf numFmtId="1" fontId="66" fillId="5" borderId="13" xfId="2" applyNumberFormat="1" applyFont="1" applyFill="1" applyBorder="1" applyAlignment="1">
      <alignment horizontal="center"/>
    </xf>
    <xf numFmtId="1" fontId="66" fillId="5" borderId="1" xfId="2" applyNumberFormat="1" applyFont="1" applyFill="1" applyBorder="1" applyAlignment="1">
      <alignment horizontal="center"/>
    </xf>
    <xf numFmtId="0" fontId="78" fillId="15" borderId="50" xfId="0" applyFont="1" applyFill="1" applyBorder="1" applyAlignment="1">
      <alignment wrapText="1"/>
    </xf>
    <xf numFmtId="0" fontId="78" fillId="15" borderId="10" xfId="0" applyFont="1" applyFill="1" applyBorder="1" applyAlignment="1">
      <alignment wrapText="1"/>
    </xf>
    <xf numFmtId="0" fontId="78" fillId="13" borderId="53" xfId="0" applyFont="1" applyFill="1" applyBorder="1" applyAlignment="1">
      <alignment horizontal="center" vertical="center" wrapText="1"/>
    </xf>
    <xf numFmtId="1" fontId="90" fillId="5" borderId="52" xfId="2" applyNumberFormat="1" applyFont="1" applyFill="1" applyBorder="1" applyAlignment="1">
      <alignment horizontal="center"/>
    </xf>
    <xf numFmtId="1" fontId="90" fillId="5" borderId="57" xfId="2" applyNumberFormat="1" applyFont="1" applyFill="1" applyBorder="1" applyAlignment="1">
      <alignment horizontal="center"/>
    </xf>
    <xf numFmtId="2" fontId="66" fillId="5" borderId="44" xfId="2" applyNumberFormat="1" applyFont="1" applyFill="1" applyBorder="1" applyAlignment="1">
      <alignment horizontal="center"/>
    </xf>
    <xf numFmtId="0" fontId="78" fillId="15" borderId="55" xfId="0" applyFont="1" applyFill="1" applyBorder="1" applyAlignment="1">
      <alignment horizontal="center"/>
    </xf>
    <xf numFmtId="2" fontId="0" fillId="0" borderId="0" xfId="0" applyNumberFormat="1" applyAlignment="1">
      <alignment horizontal="center"/>
    </xf>
    <xf numFmtId="0" fontId="78" fillId="15" borderId="23" xfId="0" applyFont="1" applyFill="1" applyBorder="1" applyAlignment="1">
      <alignment horizontal="center"/>
    </xf>
    <xf numFmtId="0" fontId="91" fillId="15" borderId="23" xfId="0" applyFont="1" applyFill="1" applyBorder="1"/>
    <xf numFmtId="1" fontId="91" fillId="5" borderId="7" xfId="2" applyNumberFormat="1" applyFont="1" applyFill="1" applyBorder="1" applyAlignment="1">
      <alignment horizontal="center"/>
    </xf>
    <xf numFmtId="2" fontId="92" fillId="0" borderId="0" xfId="0" applyNumberFormat="1" applyFont="1" applyAlignment="1">
      <alignment horizontal="center"/>
    </xf>
    <xf numFmtId="169" fontId="44" fillId="2" borderId="0" xfId="3" applyNumberFormat="1" applyFont="1" applyFill="1" applyBorder="1" applyAlignment="1">
      <alignment horizontal="center"/>
    </xf>
    <xf numFmtId="0" fontId="46" fillId="8" borderId="35" xfId="0" applyFont="1" applyFill="1" applyBorder="1" applyAlignment="1">
      <alignment horizontal="center"/>
    </xf>
    <xf numFmtId="0" fontId="78" fillId="13" borderId="0" xfId="0" applyFont="1" applyFill="1" applyBorder="1" applyAlignment="1">
      <alignment vertical="center" wrapText="1"/>
    </xf>
    <xf numFmtId="0" fontId="78" fillId="13" borderId="5" xfId="0" applyFont="1" applyFill="1" applyBorder="1" applyAlignment="1">
      <alignment vertical="center" wrapText="1"/>
    </xf>
    <xf numFmtId="165" fontId="66" fillId="5" borderId="7" xfId="2" applyNumberFormat="1" applyFont="1" applyFill="1" applyBorder="1" applyAlignment="1">
      <alignment horizontal="center"/>
    </xf>
    <xf numFmtId="0" fontId="78" fillId="13" borderId="0" xfId="0" applyFont="1" applyFill="1" applyBorder="1" applyAlignment="1">
      <alignment horizontal="center" vertical="center" wrapText="1"/>
    </xf>
    <xf numFmtId="166" fontId="48" fillId="5" borderId="11" xfId="4" applyNumberFormat="1" applyFont="1" applyFill="1" applyBorder="1" applyAlignment="1">
      <alignment horizontal="center"/>
    </xf>
    <xf numFmtId="2" fontId="66" fillId="4" borderId="11" xfId="2" applyNumberFormat="1" applyFont="1" applyFill="1" applyBorder="1" applyAlignment="1">
      <alignment horizontal="center"/>
    </xf>
    <xf numFmtId="2" fontId="44" fillId="0" borderId="0" xfId="0" applyNumberFormat="1" applyFont="1" applyFill="1" applyBorder="1" applyAlignment="1">
      <alignment horizontal="center"/>
    </xf>
    <xf numFmtId="9" fontId="0" fillId="0" borderId="0" xfId="2" applyFont="1"/>
    <xf numFmtId="0" fontId="50" fillId="0" borderId="11" xfId="4" applyFont="1" applyBorder="1" applyAlignment="1">
      <alignment horizontal="center" wrapText="1"/>
    </xf>
    <xf numFmtId="1" fontId="50" fillId="0" borderId="11" xfId="4" applyNumberFormat="1" applyFont="1" applyBorder="1" applyAlignment="1">
      <alignment horizontal="center" wrapText="1"/>
    </xf>
    <xf numFmtId="2" fontId="50" fillId="0" borderId="11" xfId="4" applyNumberFormat="1" applyFont="1" applyBorder="1" applyAlignment="1">
      <alignment horizontal="center" wrapText="1"/>
    </xf>
    <xf numFmtId="166" fontId="48" fillId="0" borderId="11" xfId="4" applyNumberFormat="1" applyFont="1" applyBorder="1" applyAlignment="1">
      <alignment horizontal="center"/>
    </xf>
    <xf numFmtId="0" fontId="76" fillId="0" borderId="0" xfId="0" applyFont="1" applyFill="1" applyBorder="1" applyAlignment="1">
      <alignment vertical="center"/>
    </xf>
    <xf numFmtId="0" fontId="80" fillId="10" borderId="60" xfId="0" applyFont="1" applyFill="1" applyBorder="1" applyAlignment="1">
      <alignment horizontal="center" vertical="top" wrapText="1"/>
    </xf>
    <xf numFmtId="165" fontId="0" fillId="0" borderId="0" xfId="2" applyNumberFormat="1" applyFont="1"/>
    <xf numFmtId="0" fontId="90" fillId="15" borderId="3" xfId="0" applyFont="1" applyFill="1" applyBorder="1" applyAlignment="1"/>
    <xf numFmtId="0" fontId="90" fillId="15" borderId="4" xfId="0" applyFont="1" applyFill="1" applyBorder="1" applyAlignment="1"/>
    <xf numFmtId="0" fontId="90" fillId="15" borderId="9" xfId="0" applyFont="1" applyFill="1" applyBorder="1" applyAlignment="1"/>
    <xf numFmtId="165" fontId="83" fillId="16" borderId="27" xfId="0" applyNumberFormat="1" applyFont="1" applyFill="1" applyBorder="1" applyAlignment="1">
      <alignment horizontal="center"/>
    </xf>
    <xf numFmtId="9" fontId="83" fillId="16" borderId="27" xfId="2" applyFont="1" applyFill="1" applyBorder="1" applyAlignment="1">
      <alignment horizontal="center"/>
    </xf>
    <xf numFmtId="165" fontId="83" fillId="5" borderId="27" xfId="0" applyNumberFormat="1" applyFont="1" applyFill="1" applyBorder="1" applyAlignment="1">
      <alignment horizontal="center"/>
    </xf>
    <xf numFmtId="9" fontId="83" fillId="5" borderId="27" xfId="2" applyNumberFormat="1" applyFont="1" applyFill="1" applyBorder="1" applyAlignment="1">
      <alignment horizontal="center"/>
    </xf>
    <xf numFmtId="9" fontId="83" fillId="16" borderId="27" xfId="2" applyNumberFormat="1" applyFont="1" applyFill="1" applyBorder="1" applyAlignment="1">
      <alignment horizontal="center"/>
    </xf>
    <xf numFmtId="9" fontId="83" fillId="5" borderId="61" xfId="2" applyNumberFormat="1" applyFont="1" applyFill="1" applyBorder="1" applyAlignment="1">
      <alignment horizontal="center"/>
    </xf>
    <xf numFmtId="9" fontId="0" fillId="0" borderId="0" xfId="2" applyFont="1" applyAlignment="1"/>
    <xf numFmtId="0" fontId="33" fillId="0" borderId="0" xfId="0" applyFont="1" applyBorder="1" applyAlignment="1">
      <alignment vertical="center" wrapText="1"/>
    </xf>
    <xf numFmtId="0" fontId="0" fillId="0" borderId="11" xfId="0" applyBorder="1"/>
    <xf numFmtId="2" fontId="33" fillId="0" borderId="11" xfId="0" applyNumberFormat="1" applyFont="1" applyBorder="1"/>
    <xf numFmtId="0" fontId="33" fillId="0" borderId="11" xfId="0" applyFont="1" applyBorder="1"/>
    <xf numFmtId="0" fontId="33" fillId="0" borderId="11" xfId="0" applyFont="1" applyBorder="1" applyAlignment="1">
      <alignment vertical="center" wrapText="1"/>
    </xf>
    <xf numFmtId="9" fontId="0" fillId="0" borderId="11" xfId="2" applyFont="1" applyBorder="1"/>
    <xf numFmtId="0" fontId="46" fillId="8" borderId="2" xfId="0" applyFont="1" applyFill="1" applyBorder="1" applyAlignment="1">
      <alignment horizontal="center"/>
    </xf>
    <xf numFmtId="0" fontId="46" fillId="8" borderId="43" xfId="0" applyFont="1" applyFill="1" applyBorder="1" applyAlignment="1">
      <alignment horizontal="center"/>
    </xf>
    <xf numFmtId="0" fontId="100" fillId="0" borderId="0" xfId="4" applyFont="1"/>
    <xf numFmtId="0" fontId="101" fillId="0" borderId="0" xfId="16"/>
    <xf numFmtId="0" fontId="103" fillId="0" borderId="0" xfId="17" applyFont="1" applyFill="1" applyBorder="1" applyAlignment="1">
      <alignment wrapText="1"/>
    </xf>
    <xf numFmtId="9" fontId="100" fillId="0" borderId="0" xfId="2" applyFont="1"/>
    <xf numFmtId="167" fontId="0" fillId="0" borderId="0" xfId="3" applyNumberFormat="1" applyFont="1"/>
    <xf numFmtId="2" fontId="85" fillId="12" borderId="11" xfId="6" applyNumberFormat="1" applyFont="1" applyBorder="1" applyAlignment="1">
      <alignment horizontal="center"/>
    </xf>
    <xf numFmtId="165" fontId="104" fillId="12" borderId="11" xfId="6" applyNumberFormat="1" applyFont="1" applyBorder="1" applyAlignment="1">
      <alignment horizontal="center"/>
    </xf>
    <xf numFmtId="165" fontId="105" fillId="12" borderId="11" xfId="6" applyNumberFormat="1" applyFont="1" applyBorder="1" applyAlignment="1">
      <alignment horizontal="center"/>
    </xf>
    <xf numFmtId="171" fontId="0" fillId="0" borderId="11" xfId="0" applyNumberFormat="1" applyBorder="1"/>
    <xf numFmtId="171" fontId="66" fillId="5" borderId="11" xfId="2" applyNumberFormat="1" applyFont="1" applyFill="1" applyBorder="1" applyAlignment="1">
      <alignment horizontal="center"/>
    </xf>
    <xf numFmtId="165" fontId="44" fillId="0" borderId="27" xfId="0" applyNumberFormat="1" applyFont="1" applyFill="1" applyBorder="1" applyAlignment="1">
      <alignment horizontal="center"/>
    </xf>
    <xf numFmtId="174" fontId="53" fillId="4" borderId="11" xfId="3" applyNumberFormat="1" applyFont="1" applyFill="1" applyBorder="1" applyAlignment="1">
      <alignment horizontal="center"/>
    </xf>
    <xf numFmtId="174" fontId="53" fillId="4" borderId="9" xfId="3" applyNumberFormat="1" applyFont="1" applyFill="1" applyBorder="1" applyAlignment="1">
      <alignment horizontal="center"/>
    </xf>
    <xf numFmtId="0" fontId="106" fillId="0" borderId="11" xfId="0" applyFont="1" applyBorder="1" applyAlignment="1">
      <alignment horizontal="center"/>
    </xf>
    <xf numFmtId="0" fontId="0" fillId="0" borderId="0" xfId="0" applyBorder="1"/>
    <xf numFmtId="0" fontId="0" fillId="0" borderId="0" xfId="0" applyBorder="1" applyAlignment="1">
      <alignment wrapText="1"/>
    </xf>
    <xf numFmtId="2" fontId="33" fillId="0" borderId="0" xfId="0" applyNumberFormat="1" applyFont="1" applyFill="1" applyBorder="1"/>
    <xf numFmtId="0" fontId="33" fillId="0" borderId="5" xfId="0" applyFont="1" applyBorder="1"/>
    <xf numFmtId="0" fontId="0" fillId="0" borderId="5" xfId="0" applyBorder="1"/>
    <xf numFmtId="175" fontId="107" fillId="0" borderId="0" xfId="0" applyNumberFormat="1" applyFont="1" applyBorder="1"/>
    <xf numFmtId="175" fontId="33" fillId="0" borderId="0" xfId="0" applyNumberFormat="1" applyFont="1" applyBorder="1"/>
    <xf numFmtId="10" fontId="48" fillId="5" borderId="11" xfId="2" applyNumberFormat="1" applyFont="1" applyFill="1" applyBorder="1" applyAlignment="1">
      <alignment horizontal="center"/>
    </xf>
    <xf numFmtId="0" fontId="81" fillId="0" borderId="11" xfId="0" applyFont="1" applyBorder="1"/>
    <xf numFmtId="0" fontId="0" fillId="15" borderId="11" xfId="0" applyFill="1" applyBorder="1" applyAlignment="1">
      <alignment horizontal="center"/>
    </xf>
    <xf numFmtId="0" fontId="48" fillId="0" borderId="11" xfId="18" applyFont="1" applyBorder="1" applyAlignment="1">
      <alignment horizontal="center"/>
    </xf>
    <xf numFmtId="0" fontId="48" fillId="0" borderId="11" xfId="18" applyFont="1" applyBorder="1" applyAlignment="1">
      <alignment horizontal="center" wrapText="1"/>
    </xf>
    <xf numFmtId="0" fontId="50" fillId="0" borderId="11" xfId="18" applyFont="1" applyBorder="1" applyAlignment="1">
      <alignment horizontal="center" wrapText="1"/>
    </xf>
    <xf numFmtId="1" fontId="50" fillId="0" borderId="11" xfId="18" applyNumberFormat="1" applyFont="1" applyBorder="1" applyAlignment="1">
      <alignment horizontal="center" wrapText="1"/>
    </xf>
    <xf numFmtId="0" fontId="47" fillId="0" borderId="0" xfId="18" applyFont="1"/>
    <xf numFmtId="1" fontId="48" fillId="0" borderId="11" xfId="18" applyNumberFormat="1" applyFont="1" applyBorder="1" applyAlignment="1">
      <alignment horizontal="center" wrapText="1"/>
    </xf>
    <xf numFmtId="2" fontId="50" fillId="0" borderId="11" xfId="18" applyNumberFormat="1" applyFont="1" applyBorder="1" applyAlignment="1">
      <alignment horizontal="center" wrapText="1"/>
    </xf>
    <xf numFmtId="0" fontId="48" fillId="0" borderId="11" xfId="18" applyFont="1" applyBorder="1" applyAlignment="1">
      <alignment wrapText="1"/>
    </xf>
    <xf numFmtId="0" fontId="47" fillId="0" borderId="0" xfId="18" applyFont="1" applyAlignment="1">
      <alignment wrapText="1"/>
    </xf>
    <xf numFmtId="1" fontId="48" fillId="0" borderId="11" xfId="18" applyNumberFormat="1" applyFont="1" applyBorder="1" applyAlignment="1">
      <alignment horizontal="center"/>
    </xf>
    <xf numFmtId="165" fontId="48" fillId="0" borderId="11" xfId="18" applyNumberFormat="1" applyFont="1" applyBorder="1" applyAlignment="1">
      <alignment horizontal="center"/>
    </xf>
    <xf numFmtId="165" fontId="48" fillId="5" borderId="11" xfId="18" applyNumberFormat="1" applyFont="1" applyFill="1" applyBorder="1" applyAlignment="1">
      <alignment horizontal="center"/>
    </xf>
    <xf numFmtId="2" fontId="48" fillId="5" borderId="11" xfId="18" applyNumberFormat="1" applyFont="1" applyFill="1" applyBorder="1" applyAlignment="1">
      <alignment horizontal="center"/>
    </xf>
    <xf numFmtId="1" fontId="48" fillId="5" borderId="11" xfId="18" applyNumberFormat="1" applyFont="1" applyFill="1" applyBorder="1" applyAlignment="1">
      <alignment horizontal="center"/>
    </xf>
    <xf numFmtId="9" fontId="48" fillId="0" borderId="11" xfId="19" applyFont="1" applyBorder="1" applyAlignment="1">
      <alignment horizontal="center"/>
    </xf>
    <xf numFmtId="170" fontId="48" fillId="5" borderId="11" xfId="18" applyNumberFormat="1" applyFont="1" applyFill="1" applyBorder="1" applyAlignment="1">
      <alignment horizontal="center"/>
    </xf>
    <xf numFmtId="1" fontId="49" fillId="6" borderId="11" xfId="18" applyNumberFormat="1" applyFont="1" applyFill="1" applyBorder="1" applyAlignment="1">
      <alignment horizontal="center"/>
    </xf>
    <xf numFmtId="0" fontId="48" fillId="0" borderId="11" xfId="18" applyFont="1" applyBorder="1"/>
    <xf numFmtId="0" fontId="27" fillId="0" borderId="0" xfId="18"/>
    <xf numFmtId="2" fontId="27" fillId="0" borderId="0" xfId="18" applyNumberFormat="1"/>
    <xf numFmtId="1" fontId="27" fillId="0" borderId="0" xfId="18" applyNumberFormat="1"/>
    <xf numFmtId="166" fontId="51" fillId="0" borderId="0" xfId="15" applyNumberFormat="1" applyFont="1" applyBorder="1"/>
    <xf numFmtId="0" fontId="26" fillId="0" borderId="0" xfId="4" applyFont="1"/>
    <xf numFmtId="0" fontId="79" fillId="15" borderId="11" xfId="0" applyFont="1" applyFill="1" applyBorder="1"/>
    <xf numFmtId="165" fontId="100" fillId="5" borderId="11" xfId="2" applyNumberFormat="1" applyFont="1" applyFill="1" applyBorder="1" applyAlignment="1">
      <alignment horizontal="center"/>
    </xf>
    <xf numFmtId="9" fontId="100" fillId="5" borderId="11" xfId="2" applyNumberFormat="1" applyFont="1" applyFill="1" applyBorder="1" applyAlignment="1">
      <alignment horizontal="center"/>
    </xf>
    <xf numFmtId="165" fontId="87" fillId="12" borderId="11" xfId="6" applyNumberFormat="1" applyFont="1" applyBorder="1" applyAlignment="1">
      <alignment horizontal="center"/>
    </xf>
    <xf numFmtId="9" fontId="87" fillId="12" borderId="11" xfId="6" applyNumberFormat="1" applyFont="1" applyBorder="1" applyAlignment="1">
      <alignment horizontal="center"/>
    </xf>
    <xf numFmtId="165" fontId="100" fillId="4" borderId="11" xfId="2" applyNumberFormat="1" applyFont="1" applyFill="1" applyBorder="1" applyAlignment="1">
      <alignment horizontal="center"/>
    </xf>
    <xf numFmtId="9" fontId="100" fillId="4" borderId="11" xfId="2" applyNumberFormat="1" applyFont="1" applyFill="1" applyBorder="1" applyAlignment="1">
      <alignment horizontal="center"/>
    </xf>
    <xf numFmtId="0" fontId="79" fillId="15" borderId="43" xfId="0" applyFont="1" applyFill="1" applyBorder="1"/>
    <xf numFmtId="165" fontId="100" fillId="4" borderId="11" xfId="0" applyNumberFormat="1" applyFont="1" applyFill="1" applyBorder="1" applyAlignment="1">
      <alignment horizontal="center"/>
    </xf>
    <xf numFmtId="0" fontId="79" fillId="15" borderId="11" xfId="0" applyFont="1" applyFill="1" applyBorder="1" applyAlignment="1">
      <alignment wrapText="1"/>
    </xf>
    <xf numFmtId="2" fontId="100" fillId="5" borderId="11" xfId="2" applyNumberFormat="1" applyFont="1" applyFill="1" applyBorder="1" applyAlignment="1">
      <alignment horizontal="center"/>
    </xf>
    <xf numFmtId="0" fontId="108" fillId="0" borderId="0" xfId="0" applyFont="1"/>
    <xf numFmtId="9" fontId="108" fillId="0" borderId="11" xfId="0" applyNumberFormat="1" applyFont="1" applyBorder="1" applyAlignment="1">
      <alignment horizontal="center"/>
    </xf>
    <xf numFmtId="9" fontId="100" fillId="0" borderId="11" xfId="0" applyNumberFormat="1" applyFont="1" applyBorder="1" applyAlignment="1">
      <alignment horizontal="center"/>
    </xf>
    <xf numFmtId="170" fontId="108" fillId="0" borderId="11" xfId="0" applyNumberFormat="1" applyFont="1" applyBorder="1" applyAlignment="1">
      <alignment horizontal="center"/>
    </xf>
    <xf numFmtId="9" fontId="100" fillId="0" borderId="11" xfId="0" applyNumberFormat="1" applyFont="1" applyBorder="1"/>
    <xf numFmtId="0" fontId="108" fillId="0" borderId="11" xfId="0" applyFont="1" applyBorder="1"/>
    <xf numFmtId="165" fontId="108" fillId="0" borderId="11" xfId="0" applyNumberFormat="1" applyFont="1" applyBorder="1"/>
    <xf numFmtId="0" fontId="108" fillId="0" borderId="11" xfId="0" applyFont="1" applyBorder="1" applyAlignment="1">
      <alignment horizontal="center"/>
    </xf>
    <xf numFmtId="1" fontId="108" fillId="0" borderId="11" xfId="0" applyNumberFormat="1" applyFont="1" applyBorder="1"/>
    <xf numFmtId="10" fontId="52" fillId="9" borderId="11" xfId="2" applyNumberFormat="1" applyFont="1" applyFill="1" applyBorder="1" applyAlignment="1">
      <alignment horizontal="center"/>
    </xf>
    <xf numFmtId="0" fontId="110" fillId="0" borderId="62" xfId="21" applyFont="1" applyFill="1" applyBorder="1" applyAlignment="1">
      <alignment wrapText="1"/>
    </xf>
    <xf numFmtId="0" fontId="23" fillId="0" borderId="0" xfId="13" applyFont="1"/>
    <xf numFmtId="0" fontId="110" fillId="0" borderId="62" xfId="17" applyFont="1" applyFill="1" applyBorder="1" applyAlignment="1">
      <alignment wrapText="1"/>
    </xf>
    <xf numFmtId="2" fontId="98" fillId="0" borderId="11" xfId="4" applyNumberFormat="1" applyFont="1" applyFill="1" applyBorder="1" applyAlignment="1">
      <alignment horizontal="center"/>
    </xf>
    <xf numFmtId="2" fontId="98" fillId="0" borderId="11" xfId="0" applyNumberFormat="1" applyFont="1" applyFill="1" applyBorder="1" applyAlignment="1">
      <alignment horizontal="center" vertical="top" wrapText="1"/>
    </xf>
    <xf numFmtId="2" fontId="32" fillId="5" borderId="11" xfId="4" applyNumberFormat="1" applyFill="1" applyBorder="1" applyAlignment="1">
      <alignment horizontal="center"/>
    </xf>
    <xf numFmtId="0" fontId="78" fillId="13" borderId="45" xfId="0" applyFont="1" applyFill="1" applyBorder="1" applyAlignment="1">
      <alignment horizontal="center" vertical="center" wrapText="1"/>
    </xf>
    <xf numFmtId="167" fontId="35" fillId="0" borderId="0" xfId="3" applyNumberFormat="1" applyFont="1" applyFill="1"/>
    <xf numFmtId="0" fontId="78" fillId="13" borderId="10" xfId="0" applyFont="1" applyFill="1" applyBorder="1" applyAlignment="1">
      <alignment horizontal="center" vertical="center" wrapText="1"/>
    </xf>
    <xf numFmtId="167" fontId="33" fillId="0" borderId="0" xfId="3" applyNumberFormat="1" applyFont="1"/>
    <xf numFmtId="170" fontId="0" fillId="0" borderId="0" xfId="2" applyNumberFormat="1" applyFont="1"/>
    <xf numFmtId="178" fontId="52" fillId="9" borderId="11" xfId="2" applyNumberFormat="1" applyFont="1" applyFill="1" applyBorder="1" applyAlignment="1">
      <alignment horizontal="center"/>
    </xf>
    <xf numFmtId="0" fontId="119" fillId="0" borderId="0" xfId="0" applyFont="1"/>
    <xf numFmtId="0" fontId="97" fillId="0" borderId="0" xfId="0" applyFont="1"/>
    <xf numFmtId="165" fontId="53" fillId="0" borderId="0" xfId="0" applyNumberFormat="1" applyFont="1" applyFill="1" applyBorder="1" applyAlignment="1">
      <alignment horizontal="center"/>
    </xf>
    <xf numFmtId="0" fontId="0" fillId="0" borderId="0" xfId="0" applyFill="1" applyBorder="1"/>
    <xf numFmtId="166" fontId="0" fillId="0" borderId="0" xfId="0" applyNumberFormat="1" applyFill="1" applyBorder="1"/>
    <xf numFmtId="165" fontId="0" fillId="0" borderId="0" xfId="0" applyNumberFormat="1" applyFill="1" applyBorder="1"/>
    <xf numFmtId="0" fontId="44" fillId="0" borderId="0" xfId="0" applyFont="1" applyFill="1" applyBorder="1" applyAlignment="1">
      <alignment horizontal="center"/>
    </xf>
    <xf numFmtId="0" fontId="78" fillId="0" borderId="0" xfId="0" applyFont="1" applyFill="1" applyBorder="1"/>
    <xf numFmtId="171" fontId="66" fillId="0" borderId="0" xfId="2" applyNumberFormat="1" applyFont="1" applyFill="1" applyBorder="1" applyAlignment="1">
      <alignment horizontal="center"/>
    </xf>
    <xf numFmtId="171" fontId="0" fillId="0" borderId="0" xfId="0" applyNumberFormat="1" applyFill="1" applyBorder="1"/>
    <xf numFmtId="171" fontId="66" fillId="0" borderId="0" xfId="0" applyNumberFormat="1" applyFont="1" applyFill="1" applyBorder="1" applyAlignment="1">
      <alignment horizontal="center"/>
    </xf>
    <xf numFmtId="0" fontId="33" fillId="0" borderId="0" xfId="0" applyFont="1" applyBorder="1"/>
    <xf numFmtId="2" fontId="0" fillId="0" borderId="0" xfId="2" quotePrefix="1" applyNumberFormat="1" applyFont="1" applyBorder="1"/>
    <xf numFmtId="171" fontId="0" fillId="0" borderId="0" xfId="0" applyNumberFormat="1" applyBorder="1"/>
    <xf numFmtId="171" fontId="0" fillId="0" borderId="0" xfId="2" applyNumberFormat="1" applyFont="1" applyBorder="1"/>
    <xf numFmtId="165" fontId="0" fillId="0" borderId="0" xfId="0" applyNumberFormat="1" applyBorder="1"/>
    <xf numFmtId="0" fontId="0" fillId="0" borderId="0" xfId="0"/>
    <xf numFmtId="0" fontId="0" fillId="0" borderId="0" xfId="0"/>
    <xf numFmtId="0" fontId="0" fillId="0" borderId="11" xfId="0" applyBorder="1"/>
    <xf numFmtId="0" fontId="111" fillId="17" borderId="11" xfId="0" applyFont="1" applyFill="1" applyBorder="1" applyAlignment="1">
      <alignment vertical="center" wrapText="1"/>
    </xf>
    <xf numFmtId="0" fontId="111" fillId="17" borderId="4" xfId="0" applyFont="1" applyFill="1" applyBorder="1" applyAlignment="1">
      <alignment vertical="center" wrapText="1"/>
    </xf>
    <xf numFmtId="0" fontId="112" fillId="16" borderId="11" xfId="0" applyFont="1" applyFill="1" applyBorder="1" applyAlignment="1">
      <alignment wrapText="1"/>
    </xf>
    <xf numFmtId="0" fontId="111" fillId="17" borderId="27" xfId="0" applyFont="1" applyFill="1" applyBorder="1" applyAlignment="1">
      <alignment vertical="center" wrapText="1"/>
    </xf>
    <xf numFmtId="0" fontId="50" fillId="17" borderId="27" xfId="0" applyFont="1" applyFill="1" applyBorder="1" applyAlignment="1">
      <alignment vertical="center" wrapText="1"/>
    </xf>
    <xf numFmtId="0" fontId="0" fillId="16" borderId="11" xfId="0" applyFill="1" applyBorder="1"/>
    <xf numFmtId="0" fontId="48" fillId="17" borderId="4" xfId="0" applyFont="1" applyFill="1" applyBorder="1" applyAlignment="1">
      <alignment horizontal="right" vertical="center" wrapText="1"/>
    </xf>
    <xf numFmtId="0" fontId="48" fillId="17" borderId="11" xfId="0" applyFont="1" applyFill="1" applyBorder="1" applyAlignment="1">
      <alignment horizontal="right" vertical="center" wrapText="1"/>
    </xf>
    <xf numFmtId="0" fontId="111" fillId="17" borderId="44" xfId="0" applyFont="1" applyFill="1" applyBorder="1" applyAlignment="1">
      <alignment vertical="center" wrapText="1"/>
    </xf>
    <xf numFmtId="0" fontId="50" fillId="17" borderId="44" xfId="0" applyFont="1" applyFill="1" applyBorder="1" applyAlignment="1">
      <alignment vertical="center" wrapText="1"/>
    </xf>
    <xf numFmtId="0" fontId="0" fillId="0" borderId="4" xfId="0" applyBorder="1"/>
    <xf numFmtId="0" fontId="113" fillId="0" borderId="27" xfId="0" applyFont="1" applyBorder="1" applyAlignment="1">
      <alignment horizontal="right" vertical="center" wrapText="1"/>
    </xf>
    <xf numFmtId="177" fontId="113" fillId="0" borderId="27" xfId="31" applyNumberFormat="1" applyFont="1" applyBorder="1" applyAlignment="1">
      <alignment horizontal="right" vertical="center" wrapText="1"/>
    </xf>
    <xf numFmtId="2" fontId="113" fillId="0" borderId="27" xfId="31" applyNumberFormat="1" applyFont="1" applyBorder="1" applyAlignment="1">
      <alignment horizontal="right" vertical="center" wrapText="1"/>
    </xf>
    <xf numFmtId="6" fontId="115" fillId="0" borderId="0" xfId="0" applyNumberFormat="1" applyFont="1" applyAlignment="1">
      <alignment vertical="center"/>
    </xf>
    <xf numFmtId="0" fontId="116" fillId="0" borderId="11" xfId="0" applyFont="1" applyBorder="1"/>
    <xf numFmtId="177" fontId="0" fillId="0" borderId="11" xfId="31" applyNumberFormat="1" applyFont="1" applyBorder="1"/>
    <xf numFmtId="0" fontId="51" fillId="0" borderId="11" xfId="0" applyFont="1" applyBorder="1" applyAlignment="1">
      <alignment vertical="center"/>
    </xf>
    <xf numFmtId="0" fontId="113" fillId="0" borderId="11" xfId="0" applyFont="1" applyBorder="1" applyAlignment="1">
      <alignment horizontal="right" vertical="center" wrapText="1"/>
    </xf>
    <xf numFmtId="177" fontId="113" fillId="0" borderId="11" xfId="31" applyNumberFormat="1" applyFont="1" applyBorder="1" applyAlignment="1">
      <alignment horizontal="right" vertical="center" wrapText="1"/>
    </xf>
    <xf numFmtId="6" fontId="0" fillId="0" borderId="4" xfId="0" applyNumberFormat="1" applyBorder="1"/>
    <xf numFmtId="177" fontId="111" fillId="17" borderId="11" xfId="31" applyNumberFormat="1" applyFont="1" applyFill="1" applyBorder="1" applyAlignment="1">
      <alignment vertical="center" wrapText="1"/>
    </xf>
    <xf numFmtId="6" fontId="48" fillId="17" borderId="4" xfId="0" applyNumberFormat="1" applyFont="1" applyFill="1" applyBorder="1" applyAlignment="1">
      <alignment horizontal="right" vertical="center" wrapText="1"/>
    </xf>
    <xf numFmtId="177" fontId="48" fillId="17" borderId="11" xfId="31" applyNumberFormat="1" applyFont="1" applyFill="1" applyBorder="1" applyAlignment="1">
      <alignment horizontal="right" vertical="center" wrapText="1"/>
    </xf>
    <xf numFmtId="171" fontId="117" fillId="0" borderId="0" xfId="0" applyNumberFormat="1" applyFont="1" applyAlignment="1">
      <alignment horizontal="right" vertical="center"/>
    </xf>
    <xf numFmtId="0" fontId="113" fillId="0" borderId="11" xfId="0" applyFont="1" applyBorder="1"/>
    <xf numFmtId="0" fontId="0" fillId="16" borderId="11" xfId="0" applyFont="1" applyFill="1" applyBorder="1"/>
    <xf numFmtId="2" fontId="117" fillId="0" borderId="0" xfId="0" applyNumberFormat="1" applyFont="1"/>
    <xf numFmtId="0" fontId="51" fillId="0" borderId="0" xfId="0" applyFont="1" applyAlignment="1">
      <alignment vertical="center"/>
    </xf>
    <xf numFmtId="177" fontId="113" fillId="17" borderId="11" xfId="0" applyNumberFormat="1" applyFont="1" applyFill="1" applyBorder="1" applyAlignment="1">
      <alignment vertical="center" wrapText="1"/>
    </xf>
    <xf numFmtId="177" fontId="48" fillId="17" borderId="11" xfId="0" applyNumberFormat="1" applyFont="1" applyFill="1" applyBorder="1" applyAlignment="1">
      <alignment horizontal="right" vertical="center" wrapText="1"/>
    </xf>
    <xf numFmtId="177" fontId="113" fillId="0" borderId="11" xfId="31" applyNumberFormat="1" applyFont="1" applyBorder="1" applyAlignment="1">
      <alignment vertical="center" wrapText="1"/>
    </xf>
    <xf numFmtId="171" fontId="113" fillId="0" borderId="11" xfId="31" applyNumberFormat="1" applyFont="1" applyBorder="1" applyAlignment="1">
      <alignment vertical="center" wrapText="1"/>
    </xf>
    <xf numFmtId="0" fontId="118" fillId="0" borderId="11" xfId="0" applyFont="1" applyBorder="1" applyAlignment="1">
      <alignment vertical="center" wrapText="1"/>
    </xf>
    <xf numFmtId="177" fontId="113" fillId="0" borderId="11" xfId="0" applyNumberFormat="1" applyFont="1" applyBorder="1" applyAlignment="1">
      <alignment vertical="center" wrapText="1"/>
    </xf>
    <xf numFmtId="0" fontId="48" fillId="5" borderId="4" xfId="0" applyFont="1" applyFill="1" applyBorder="1" applyAlignment="1">
      <alignment horizontal="right" vertical="center" wrapText="1"/>
    </xf>
    <xf numFmtId="177" fontId="48" fillId="5" borderId="11" xfId="0" applyNumberFormat="1" applyFont="1" applyFill="1" applyBorder="1" applyAlignment="1">
      <alignment horizontal="right" vertical="center" wrapText="1"/>
    </xf>
    <xf numFmtId="0" fontId="113" fillId="0" borderId="0" xfId="0" applyFont="1" applyFill="1" applyBorder="1" applyAlignment="1">
      <alignment horizontal="right" vertical="center" wrapText="1"/>
    </xf>
    <xf numFmtId="2" fontId="45" fillId="16" borderId="11" xfId="0" applyNumberFormat="1" applyFont="1" applyFill="1" applyBorder="1" applyAlignment="1">
      <alignment wrapText="1"/>
    </xf>
    <xf numFmtId="2" fontId="0" fillId="16" borderId="11" xfId="0" applyNumberFormat="1" applyFill="1" applyBorder="1"/>
    <xf numFmtId="2" fontId="0" fillId="0" borderId="11" xfId="0" applyNumberFormat="1" applyBorder="1"/>
    <xf numFmtId="2" fontId="114" fillId="0" borderId="11" xfId="0" applyNumberFormat="1" applyFont="1" applyBorder="1"/>
    <xf numFmtId="10" fontId="116" fillId="0" borderId="11" xfId="0" applyNumberFormat="1" applyFont="1" applyBorder="1"/>
    <xf numFmtId="10" fontId="116" fillId="0" borderId="11" xfId="2" applyNumberFormat="1" applyFont="1" applyBorder="1"/>
    <xf numFmtId="10" fontId="0" fillId="0" borderId="11" xfId="2" applyNumberFormat="1" applyFont="1" applyBorder="1"/>
    <xf numFmtId="10" fontId="48" fillId="17" borderId="11" xfId="0" applyNumberFormat="1" applyFont="1" applyFill="1" applyBorder="1" applyAlignment="1">
      <alignment horizontal="right" vertical="center" wrapText="1"/>
    </xf>
    <xf numFmtId="10" fontId="113" fillId="0" borderId="11" xfId="0" applyNumberFormat="1" applyFont="1" applyBorder="1"/>
    <xf numFmtId="0" fontId="119" fillId="0" borderId="0" xfId="0" applyFont="1"/>
    <xf numFmtId="2" fontId="119" fillId="0" borderId="0" xfId="0" applyNumberFormat="1" applyFont="1"/>
    <xf numFmtId="0" fontId="97" fillId="0" borderId="0" xfId="0" applyFont="1"/>
    <xf numFmtId="0" fontId="120" fillId="0" borderId="0" xfId="0" applyFont="1"/>
    <xf numFmtId="0" fontId="92" fillId="0" borderId="0" xfId="0" applyFont="1"/>
    <xf numFmtId="11" fontId="120" fillId="0" borderId="0" xfId="0" applyNumberFormat="1" applyFont="1"/>
    <xf numFmtId="176" fontId="120" fillId="0" borderId="0" xfId="20" applyNumberFormat="1" applyFont="1"/>
    <xf numFmtId="177" fontId="120" fillId="0" borderId="0" xfId="31" applyNumberFormat="1" applyFont="1"/>
    <xf numFmtId="0" fontId="46" fillId="8" borderId="2" xfId="0" applyFont="1" applyFill="1" applyBorder="1" applyAlignment="1">
      <alignment horizontal="center" wrapText="1"/>
    </xf>
    <xf numFmtId="2" fontId="21" fillId="0" borderId="0" xfId="13" applyNumberFormat="1" applyFont="1"/>
    <xf numFmtId="0" fontId="21" fillId="0" borderId="0" xfId="13" applyFont="1"/>
    <xf numFmtId="179" fontId="21" fillId="0" borderId="0" xfId="13" applyNumberFormat="1" applyFont="1"/>
    <xf numFmtId="0" fontId="0" fillId="0" borderId="0" xfId="0"/>
    <xf numFmtId="0" fontId="33" fillId="0" borderId="0" xfId="0" applyFont="1"/>
    <xf numFmtId="171" fontId="48" fillId="5" borderId="11" xfId="4" applyNumberFormat="1" applyFont="1" applyFill="1" applyBorder="1" applyAlignment="1">
      <alignment horizontal="center"/>
    </xf>
    <xf numFmtId="171" fontId="51" fillId="5" borderId="11" xfId="4" applyNumberFormat="1" applyFont="1" applyFill="1" applyBorder="1" applyAlignment="1">
      <alignment horizontal="center"/>
    </xf>
    <xf numFmtId="172" fontId="48" fillId="5" borderId="11" xfId="4" applyNumberFormat="1" applyFont="1" applyFill="1" applyBorder="1" applyAlignment="1">
      <alignment horizontal="center"/>
    </xf>
    <xf numFmtId="165" fontId="33" fillId="0" borderId="12" xfId="0" applyNumberFormat="1" applyFont="1" applyFill="1" applyBorder="1" applyAlignment="1">
      <alignment horizontal="center"/>
    </xf>
    <xf numFmtId="1" fontId="44" fillId="3" borderId="11" xfId="0" applyNumberFormat="1" applyFont="1" applyFill="1" applyBorder="1" applyAlignment="1">
      <alignment horizontal="center"/>
    </xf>
    <xf numFmtId="1" fontId="44" fillId="0" borderId="0" xfId="0" applyNumberFormat="1" applyFont="1" applyFill="1" applyBorder="1" applyAlignment="1">
      <alignment horizontal="center"/>
    </xf>
    <xf numFmtId="2" fontId="48" fillId="0" borderId="11" xfId="4" applyNumberFormat="1" applyFont="1" applyBorder="1" applyAlignment="1">
      <alignment horizontal="center" wrapText="1"/>
    </xf>
    <xf numFmtId="171" fontId="48" fillId="0" borderId="11" xfId="4" applyNumberFormat="1" applyFont="1" applyBorder="1" applyAlignment="1">
      <alignment horizontal="center" wrapText="1"/>
    </xf>
    <xf numFmtId="171" fontId="50" fillId="0" borderId="11" xfId="4" applyNumberFormat="1" applyFont="1" applyBorder="1" applyAlignment="1">
      <alignment horizontal="center" wrapText="1"/>
    </xf>
    <xf numFmtId="171" fontId="32" fillId="0" borderId="0" xfId="4" applyNumberFormat="1"/>
    <xf numFmtId="2" fontId="44" fillId="0" borderId="0" xfId="0" applyNumberFormat="1" applyFont="1" applyAlignment="1">
      <alignment horizontal="center"/>
    </xf>
    <xf numFmtId="2" fontId="43" fillId="0" borderId="0" xfId="0" applyNumberFormat="1" applyFont="1" applyAlignment="1">
      <alignment horizontal="center"/>
    </xf>
    <xf numFmtId="2" fontId="0" fillId="0" borderId="29" xfId="2" applyNumberFormat="1" applyFont="1" applyFill="1" applyBorder="1" applyAlignment="1">
      <alignment horizontal="center"/>
    </xf>
    <xf numFmtId="2" fontId="44" fillId="0" borderId="15" xfId="0" applyNumberFormat="1" applyFont="1" applyFill="1" applyBorder="1" applyAlignment="1">
      <alignment horizontal="center"/>
    </xf>
    <xf numFmtId="2" fontId="44" fillId="0" borderId="28" xfId="0" applyNumberFormat="1" applyFont="1" applyFill="1" applyBorder="1" applyAlignment="1">
      <alignment horizontal="center"/>
    </xf>
    <xf numFmtId="2" fontId="44" fillId="0" borderId="29" xfId="0" applyNumberFormat="1" applyFont="1" applyFill="1" applyBorder="1" applyAlignment="1">
      <alignment horizontal="center"/>
    </xf>
    <xf numFmtId="2" fontId="40" fillId="0" borderId="0" xfId="0" applyNumberFormat="1" applyFont="1" applyAlignment="1">
      <alignment horizontal="center"/>
    </xf>
    <xf numFmtId="2" fontId="40" fillId="0" borderId="0" xfId="0" applyNumberFormat="1" applyFont="1" applyFill="1" applyAlignment="1">
      <alignment horizontal="center"/>
    </xf>
    <xf numFmtId="2" fontId="44" fillId="3" borderId="11" xfId="0" applyNumberFormat="1" applyFont="1" applyFill="1" applyBorder="1" applyAlignment="1">
      <alignment horizontal="center"/>
    </xf>
    <xf numFmtId="2" fontId="44" fillId="0" borderId="11" xfId="0" applyNumberFormat="1" applyFont="1" applyFill="1" applyBorder="1" applyAlignment="1">
      <alignment horizontal="center"/>
    </xf>
    <xf numFmtId="2" fontId="44" fillId="0" borderId="27" xfId="0" applyNumberFormat="1" applyFont="1" applyFill="1" applyBorder="1" applyAlignment="1">
      <alignment horizontal="center"/>
    </xf>
    <xf numFmtId="2" fontId="33" fillId="0" borderId="10" xfId="0" applyNumberFormat="1" applyFont="1" applyFill="1" applyBorder="1" applyAlignment="1">
      <alignment horizontal="center"/>
    </xf>
    <xf numFmtId="2" fontId="0" fillId="0" borderId="1" xfId="0" applyNumberFormat="1" applyFill="1" applyBorder="1" applyAlignment="1">
      <alignment horizontal="center"/>
    </xf>
    <xf numFmtId="2" fontId="44" fillId="0" borderId="10" xfId="0" applyNumberFormat="1" applyFont="1" applyFill="1" applyBorder="1" applyAlignment="1">
      <alignment horizontal="center"/>
    </xf>
    <xf numFmtId="0" fontId="19" fillId="0" borderId="0" xfId="13" applyNumberFormat="1" applyFont="1"/>
    <xf numFmtId="165" fontId="44" fillId="0" borderId="0" xfId="0" applyNumberFormat="1" applyFont="1" applyAlignment="1">
      <alignment horizontal="center"/>
    </xf>
    <xf numFmtId="1" fontId="40" fillId="0" borderId="0" xfId="0" applyNumberFormat="1" applyFont="1" applyFill="1" applyAlignment="1">
      <alignment horizontal="center"/>
    </xf>
    <xf numFmtId="1" fontId="33" fillId="0" borderId="10" xfId="0" applyNumberFormat="1" applyFont="1" applyFill="1" applyBorder="1" applyAlignment="1">
      <alignment horizontal="center"/>
    </xf>
    <xf numFmtId="1" fontId="0" fillId="0" borderId="1" xfId="0" applyNumberFormat="1" applyFill="1" applyBorder="1" applyAlignment="1">
      <alignment horizontal="center"/>
    </xf>
    <xf numFmtId="2" fontId="44" fillId="0" borderId="1" xfId="0" applyNumberFormat="1" applyFont="1" applyFill="1" applyBorder="1" applyAlignment="1">
      <alignment horizontal="center"/>
    </xf>
    <xf numFmtId="1" fontId="44" fillId="0" borderId="0" xfId="0" applyNumberFormat="1" applyFont="1" applyBorder="1" applyAlignment="1">
      <alignment horizontal="center"/>
    </xf>
    <xf numFmtId="165" fontId="43" fillId="0" borderId="0" xfId="0" applyNumberFormat="1" applyFont="1" applyAlignment="1">
      <alignment horizontal="center"/>
    </xf>
    <xf numFmtId="165" fontId="40" fillId="0" borderId="0" xfId="0" applyNumberFormat="1" applyFont="1" applyAlignment="1">
      <alignment horizontal="center"/>
    </xf>
    <xf numFmtId="0" fontId="44" fillId="0" borderId="0" xfId="0" applyFont="1" applyBorder="1" applyAlignment="1">
      <alignment horizontal="center"/>
    </xf>
    <xf numFmtId="165" fontId="63" fillId="4" borderId="27" xfId="0" applyNumberFormat="1" applyFont="1" applyFill="1" applyBorder="1" applyAlignment="1">
      <alignment horizontal="center"/>
    </xf>
    <xf numFmtId="0" fontId="40" fillId="0" borderId="10" xfId="0" applyFont="1" applyBorder="1" applyAlignment="1">
      <alignment horizontal="center"/>
    </xf>
    <xf numFmtId="0" fontId="44" fillId="0" borderId="10" xfId="0" applyFont="1" applyBorder="1" applyAlignment="1">
      <alignment horizontal="center"/>
    </xf>
    <xf numFmtId="0" fontId="44" fillId="0" borderId="28" xfId="0" applyFont="1" applyBorder="1" applyAlignment="1">
      <alignment horizontal="center"/>
    </xf>
    <xf numFmtId="0" fontId="40" fillId="0" borderId="0" xfId="0" applyFont="1" applyBorder="1" applyAlignment="1">
      <alignment horizontal="center"/>
    </xf>
    <xf numFmtId="9" fontId="0" fillId="0" borderId="1" xfId="2" applyNumberFormat="1" applyFont="1" applyFill="1" applyBorder="1" applyAlignment="1">
      <alignment horizontal="center"/>
    </xf>
    <xf numFmtId="165" fontId="44" fillId="0" borderId="10" xfId="0" applyNumberFormat="1" applyFont="1" applyBorder="1" applyAlignment="1">
      <alignment horizontal="center"/>
    </xf>
    <xf numFmtId="9" fontId="33" fillId="0" borderId="13" xfId="2" applyFont="1" applyFill="1" applyBorder="1" applyAlignment="1">
      <alignment horizontal="center"/>
    </xf>
    <xf numFmtId="0" fontId="118" fillId="0" borderId="11" xfId="4" applyFont="1" applyBorder="1" applyAlignment="1">
      <alignment horizontal="center"/>
    </xf>
    <xf numFmtId="0" fontId="118" fillId="0" borderId="11" xfId="4" applyFont="1" applyBorder="1" applyAlignment="1">
      <alignment horizontal="center" wrapText="1"/>
    </xf>
    <xf numFmtId="0" fontId="121" fillId="0" borderId="11" xfId="4" applyFont="1" applyBorder="1" applyAlignment="1">
      <alignment horizontal="center" wrapText="1"/>
    </xf>
    <xf numFmtId="1" fontId="121" fillId="0" borderId="11" xfId="4" applyNumberFormat="1" applyFont="1" applyBorder="1" applyAlignment="1">
      <alignment horizontal="center" wrapText="1"/>
    </xf>
    <xf numFmtId="1" fontId="118" fillId="0" borderId="11" xfId="4" applyNumberFormat="1" applyFont="1" applyBorder="1" applyAlignment="1">
      <alignment horizontal="center" wrapText="1"/>
    </xf>
    <xf numFmtId="2" fontId="121" fillId="0" borderId="11" xfId="4" applyNumberFormat="1" applyFont="1" applyBorder="1" applyAlignment="1">
      <alignment horizontal="center" wrapText="1"/>
    </xf>
    <xf numFmtId="0" fontId="118" fillId="0" borderId="11" xfId="4" applyFont="1" applyBorder="1" applyAlignment="1">
      <alignment wrapText="1"/>
    </xf>
    <xf numFmtId="0" fontId="100" fillId="0" borderId="0" xfId="4" applyFont="1" applyAlignment="1">
      <alignment wrapText="1"/>
    </xf>
    <xf numFmtId="1" fontId="118" fillId="0" borderId="11" xfId="4" applyNumberFormat="1" applyFont="1" applyBorder="1" applyAlignment="1">
      <alignment horizontal="center"/>
    </xf>
    <xf numFmtId="165" fontId="118" fillId="0" borderId="11" xfId="4" applyNumberFormat="1" applyFont="1" applyBorder="1" applyAlignment="1">
      <alignment horizontal="center"/>
    </xf>
    <xf numFmtId="165" fontId="118" fillId="5" borderId="11" xfId="4" applyNumberFormat="1" applyFont="1" applyFill="1" applyBorder="1" applyAlignment="1">
      <alignment horizontal="center"/>
    </xf>
    <xf numFmtId="2" fontId="118" fillId="5" borderId="11" xfId="4" applyNumberFormat="1" applyFont="1" applyFill="1" applyBorder="1" applyAlignment="1">
      <alignment horizontal="center"/>
    </xf>
    <xf numFmtId="1" fontId="118" fillId="5" borderId="11" xfId="4" applyNumberFormat="1" applyFont="1" applyFill="1" applyBorder="1" applyAlignment="1">
      <alignment horizontal="center"/>
    </xf>
    <xf numFmtId="170" fontId="118" fillId="5" borderId="11" xfId="2" applyNumberFormat="1" applyFont="1" applyFill="1" applyBorder="1" applyAlignment="1">
      <alignment horizontal="center"/>
    </xf>
    <xf numFmtId="9" fontId="118" fillId="0" borderId="11" xfId="5" applyFont="1" applyBorder="1" applyAlignment="1">
      <alignment horizontal="center"/>
    </xf>
    <xf numFmtId="9" fontId="118" fillId="5" borderId="11" xfId="2" applyFont="1" applyFill="1" applyBorder="1" applyAlignment="1">
      <alignment horizontal="center"/>
    </xf>
    <xf numFmtId="2" fontId="118" fillId="0" borderId="11" xfId="4" applyNumberFormat="1" applyFont="1" applyBorder="1" applyAlignment="1">
      <alignment horizontal="center"/>
    </xf>
    <xf numFmtId="10" fontId="118" fillId="5" borderId="11" xfId="2" applyNumberFormat="1" applyFont="1" applyFill="1" applyBorder="1" applyAlignment="1">
      <alignment horizontal="center"/>
    </xf>
    <xf numFmtId="170" fontId="118" fillId="5" borderId="11" xfId="4" applyNumberFormat="1" applyFont="1" applyFill="1" applyBorder="1" applyAlignment="1">
      <alignment horizontal="center"/>
    </xf>
    <xf numFmtId="1" fontId="52" fillId="6" borderId="11" xfId="4" applyNumberFormat="1" applyFont="1" applyFill="1" applyBorder="1" applyAlignment="1">
      <alignment horizontal="center"/>
    </xf>
    <xf numFmtId="0" fontId="118" fillId="0" borderId="11" xfId="4" applyFont="1" applyBorder="1"/>
    <xf numFmtId="2" fontId="100" fillId="0" borderId="0" xfId="4" applyNumberFormat="1" applyFont="1"/>
    <xf numFmtId="1" fontId="100" fillId="0" borderId="0" xfId="4" applyNumberFormat="1" applyFont="1"/>
    <xf numFmtId="165" fontId="121" fillId="0" borderId="11" xfId="4" applyNumberFormat="1" applyFont="1" applyBorder="1" applyAlignment="1">
      <alignment horizontal="center" wrapText="1"/>
    </xf>
    <xf numFmtId="165" fontId="100" fillId="0" borderId="0" xfId="4" applyNumberFormat="1" applyFont="1"/>
    <xf numFmtId="177" fontId="92" fillId="0" borderId="0" xfId="0" applyNumberFormat="1" applyFont="1"/>
    <xf numFmtId="14" fontId="0" fillId="0" borderId="0" xfId="0" applyNumberFormat="1"/>
    <xf numFmtId="2" fontId="108" fillId="0" borderId="11" xfId="0" applyNumberFormat="1" applyFont="1" applyBorder="1"/>
    <xf numFmtId="165" fontId="108" fillId="0" borderId="11" xfId="0" applyNumberFormat="1" applyFont="1" applyBorder="1" applyAlignment="1">
      <alignment horizontal="center"/>
    </xf>
    <xf numFmtId="165" fontId="108" fillId="0" borderId="0" xfId="0" applyNumberFormat="1" applyFont="1"/>
    <xf numFmtId="165" fontId="78" fillId="15" borderId="11" xfId="0" applyNumberFormat="1" applyFont="1" applyFill="1" applyBorder="1"/>
    <xf numFmtId="167" fontId="0" fillId="0" borderId="0" xfId="0" applyNumberFormat="1"/>
    <xf numFmtId="0" fontId="46" fillId="8" borderId="40" xfId="0" applyFont="1" applyFill="1" applyBorder="1" applyAlignment="1">
      <alignment horizontal="center"/>
    </xf>
    <xf numFmtId="0" fontId="0" fillId="0" borderId="2" xfId="0" applyBorder="1"/>
    <xf numFmtId="169" fontId="0" fillId="0" borderId="2" xfId="0" applyNumberFormat="1" applyBorder="1"/>
    <xf numFmtId="1" fontId="19" fillId="0" borderId="0" xfId="13" applyNumberFormat="1" applyFont="1"/>
    <xf numFmtId="1" fontId="30" fillId="0" borderId="0" xfId="13" applyNumberFormat="1" applyFont="1"/>
    <xf numFmtId="10" fontId="0" fillId="0" borderId="0" xfId="0" applyNumberFormat="1"/>
    <xf numFmtId="0" fontId="51" fillId="0" borderId="11" xfId="0" applyFont="1" applyBorder="1" applyAlignment="1">
      <alignment horizontal="right" vertical="center" wrapText="1"/>
    </xf>
    <xf numFmtId="0" fontId="123" fillId="0" borderId="43" xfId="0" applyFont="1" applyFill="1" applyBorder="1" applyAlignment="1">
      <alignment horizontal="right" vertical="center" wrapText="1"/>
    </xf>
    <xf numFmtId="171" fontId="106" fillId="0" borderId="11" xfId="0" applyNumberFormat="1" applyFont="1" applyBorder="1" applyAlignment="1">
      <alignment horizontal="center"/>
    </xf>
    <xf numFmtId="2" fontId="0" fillId="0" borderId="0" xfId="0" applyNumberFormat="1" applyBorder="1"/>
    <xf numFmtId="0" fontId="50" fillId="0" borderId="11" xfId="18" applyFont="1" applyBorder="1" applyAlignment="1">
      <alignment horizontal="center" wrapText="1"/>
    </xf>
    <xf numFmtId="2" fontId="50" fillId="0" borderId="11" xfId="18" applyNumberFormat="1" applyFont="1" applyBorder="1" applyAlignment="1">
      <alignment horizontal="center" wrapText="1"/>
    </xf>
    <xf numFmtId="0" fontId="90" fillId="0" borderId="0" xfId="0" applyFont="1" applyFill="1" applyBorder="1" applyAlignment="1"/>
    <xf numFmtId="176" fontId="0" fillId="0" borderId="0" xfId="0" applyNumberFormat="1"/>
    <xf numFmtId="1" fontId="44" fillId="0" borderId="0" xfId="0" applyNumberFormat="1" applyFont="1" applyFill="1" applyBorder="1" applyAlignment="1">
      <alignment horizontal="center"/>
    </xf>
    <xf numFmtId="10" fontId="0" fillId="0" borderId="0" xfId="2" applyNumberFormat="1" applyFont="1"/>
    <xf numFmtId="176" fontId="33" fillId="0" borderId="0" xfId="49" applyNumberFormat="1" applyFont="1"/>
    <xf numFmtId="165" fontId="47" fillId="0" borderId="0" xfId="4" applyNumberFormat="1" applyFont="1" applyAlignment="1">
      <alignment horizontal="center"/>
    </xf>
    <xf numFmtId="180" fontId="0" fillId="0" borderId="0" xfId="0" applyNumberFormat="1"/>
    <xf numFmtId="2" fontId="66" fillId="5" borderId="11" xfId="2" applyNumberFormat="1" applyFont="1" applyFill="1" applyBorder="1" applyAlignment="1">
      <alignment horizontal="center"/>
    </xf>
    <xf numFmtId="0" fontId="82" fillId="13" borderId="14" xfId="0" applyFont="1" applyFill="1" applyBorder="1" applyAlignment="1">
      <alignment horizontal="center" vertical="center" wrapText="1"/>
    </xf>
    <xf numFmtId="0" fontId="82" fillId="13" borderId="13" xfId="0" applyFont="1" applyFill="1" applyBorder="1" applyAlignment="1">
      <alignment horizontal="center" vertical="center" wrapText="1"/>
    </xf>
    <xf numFmtId="165" fontId="83" fillId="16" borderId="38" xfId="0" applyNumberFormat="1" applyFont="1" applyFill="1" applyBorder="1" applyAlignment="1">
      <alignment horizontal="center"/>
    </xf>
    <xf numFmtId="165" fontId="83" fillId="16" borderId="11" xfId="0" applyNumberFormat="1" applyFont="1" applyFill="1" applyBorder="1" applyAlignment="1">
      <alignment horizontal="center"/>
    </xf>
    <xf numFmtId="0" fontId="0" fillId="48" borderId="0" xfId="0" applyFill="1" applyBorder="1"/>
    <xf numFmtId="0" fontId="0" fillId="48" borderId="5" xfId="0" applyFill="1" applyBorder="1"/>
    <xf numFmtId="0" fontId="0" fillId="48" borderId="0" xfId="0" applyFill="1"/>
    <xf numFmtId="1" fontId="0" fillId="0" borderId="0" xfId="0" applyNumberFormat="1"/>
    <xf numFmtId="1" fontId="0" fillId="0" borderId="0" xfId="0" applyNumberFormat="1"/>
    <xf numFmtId="1" fontId="13" fillId="0" borderId="0" xfId="818" applyNumberFormat="1"/>
    <xf numFmtId="1" fontId="0" fillId="0" borderId="0" xfId="0" applyNumberFormat="1"/>
    <xf numFmtId="3" fontId="99" fillId="0" borderId="0" xfId="0" applyNumberFormat="1" applyFont="1" applyBorder="1" applyAlignment="1">
      <alignment horizontal="center"/>
    </xf>
    <xf numFmtId="0" fontId="0" fillId="0" borderId="5" xfId="0" applyBorder="1"/>
    <xf numFmtId="167" fontId="0" fillId="0" borderId="0" xfId="0" applyNumberFormat="1"/>
    <xf numFmtId="14" fontId="0" fillId="0" borderId="5" xfId="0" applyNumberFormat="1" applyBorder="1" applyAlignment="1" applyProtection="1">
      <alignment vertical="center"/>
      <protection locked="0"/>
    </xf>
    <xf numFmtId="166" fontId="51" fillId="0" borderId="0" xfId="0" applyNumberFormat="1" applyFont="1" applyBorder="1"/>
    <xf numFmtId="2" fontId="44" fillId="2" borderId="11" xfId="0" applyNumberFormat="1" applyFont="1" applyFill="1" applyBorder="1" applyAlignment="1">
      <alignment horizontal="center"/>
    </xf>
    <xf numFmtId="14" fontId="0" fillId="0" borderId="0" xfId="0" applyNumberFormat="1" applyAlignment="1" applyProtection="1">
      <alignment vertical="center"/>
      <protection locked="0"/>
    </xf>
    <xf numFmtId="2" fontId="44" fillId="2" borderId="11" xfId="2" applyNumberFormat="1" applyFont="1" applyFill="1" applyBorder="1" applyAlignment="1">
      <alignment horizontal="center"/>
    </xf>
    <xf numFmtId="2" fontId="82" fillId="13" borderId="11" xfId="0" applyNumberFormat="1" applyFont="1" applyFill="1" applyBorder="1" applyAlignment="1">
      <alignment horizontal="center" vertical="center" wrapText="1"/>
    </xf>
    <xf numFmtId="165" fontId="83" fillId="5" borderId="38" xfId="2" applyNumberFormat="1" applyFont="1" applyFill="1" applyBorder="1" applyAlignment="1">
      <alignment horizontal="center"/>
    </xf>
    <xf numFmtId="165" fontId="83" fillId="16" borderId="44" xfId="0" applyNumberFormat="1" applyFont="1" applyFill="1" applyBorder="1" applyAlignment="1">
      <alignment horizontal="center" vertical="center"/>
    </xf>
    <xf numFmtId="165" fontId="83" fillId="16" borderId="40" xfId="0" applyNumberFormat="1" applyFont="1" applyFill="1" applyBorder="1" applyAlignment="1">
      <alignment horizontal="center" vertical="center"/>
    </xf>
    <xf numFmtId="170" fontId="83" fillId="16" borderId="75" xfId="2" applyNumberFormat="1" applyFont="1" applyFill="1" applyBorder="1" applyAlignment="1">
      <alignment horizontal="center"/>
    </xf>
    <xf numFmtId="9" fontId="83" fillId="16" borderId="71" xfId="2" applyFont="1" applyFill="1" applyBorder="1" applyAlignment="1">
      <alignment horizontal="center"/>
    </xf>
    <xf numFmtId="9" fontId="83" fillId="16" borderId="75" xfId="2" applyFont="1" applyFill="1" applyBorder="1" applyAlignment="1">
      <alignment horizontal="center"/>
    </xf>
    <xf numFmtId="165" fontId="83" fillId="16" borderId="75" xfId="0" applyNumberFormat="1" applyFont="1" applyFill="1" applyBorder="1" applyAlignment="1">
      <alignment horizontal="center" vertical="center"/>
    </xf>
    <xf numFmtId="9" fontId="66" fillId="5" borderId="11" xfId="2" applyNumberFormat="1" applyFont="1" applyFill="1" applyBorder="1" applyAlignment="1">
      <alignment horizontal="center"/>
    </xf>
    <xf numFmtId="165" fontId="66" fillId="5" borderId="11" xfId="2" applyNumberFormat="1" applyFont="1" applyFill="1" applyBorder="1" applyAlignment="1">
      <alignment horizontal="center"/>
    </xf>
    <xf numFmtId="9" fontId="83" fillId="16" borderId="38" xfId="2" applyFont="1" applyFill="1" applyBorder="1" applyAlignment="1">
      <alignment horizontal="center"/>
    </xf>
    <xf numFmtId="9" fontId="82" fillId="16" borderId="40" xfId="2" applyFont="1" applyFill="1" applyBorder="1" applyAlignment="1">
      <alignment horizontal="center"/>
    </xf>
    <xf numFmtId="165" fontId="83" fillId="16" borderId="43" xfId="0" applyNumberFormat="1" applyFont="1" applyFill="1" applyBorder="1" applyAlignment="1">
      <alignment horizontal="center" vertical="center"/>
    </xf>
    <xf numFmtId="9" fontId="83" fillId="16" borderId="78" xfId="2" applyFont="1" applyFill="1" applyBorder="1" applyAlignment="1">
      <alignment horizontal="center"/>
    </xf>
    <xf numFmtId="9" fontId="83" fillId="16" borderId="79" xfId="2" applyFont="1" applyFill="1" applyBorder="1" applyAlignment="1">
      <alignment horizontal="center"/>
    </xf>
    <xf numFmtId="9" fontId="83" fillId="5" borderId="75" xfId="2" applyNumberFormat="1" applyFont="1" applyFill="1" applyBorder="1" applyAlignment="1">
      <alignment horizontal="center"/>
    </xf>
    <xf numFmtId="165" fontId="83" fillId="16" borderId="75" xfId="0" applyNumberFormat="1" applyFont="1" applyFill="1" applyBorder="1" applyAlignment="1">
      <alignment horizontal="center"/>
    </xf>
    <xf numFmtId="165" fontId="83" fillId="5" borderId="75" xfId="2" applyNumberFormat="1" applyFont="1" applyFill="1" applyBorder="1" applyAlignment="1">
      <alignment horizontal="center"/>
    </xf>
    <xf numFmtId="1" fontId="83" fillId="5" borderId="75" xfId="2" applyNumberFormat="1" applyFont="1" applyFill="1" applyBorder="1" applyAlignment="1">
      <alignment horizontal="center"/>
    </xf>
    <xf numFmtId="1" fontId="83" fillId="16" borderId="75" xfId="0" applyNumberFormat="1" applyFont="1" applyFill="1" applyBorder="1" applyAlignment="1">
      <alignment horizontal="center"/>
    </xf>
    <xf numFmtId="2" fontId="83" fillId="5" borderId="75" xfId="2" applyNumberFormat="1" applyFont="1" applyFill="1" applyBorder="1" applyAlignment="1">
      <alignment horizontal="center"/>
    </xf>
    <xf numFmtId="2" fontId="83" fillId="16" borderId="75" xfId="0" applyNumberFormat="1" applyFont="1" applyFill="1" applyBorder="1" applyAlignment="1">
      <alignment horizontal="center"/>
    </xf>
    <xf numFmtId="165" fontId="122" fillId="18" borderId="74" xfId="48" applyNumberFormat="1" applyBorder="1" applyAlignment="1">
      <alignment horizontal="center" vertical="center"/>
    </xf>
    <xf numFmtId="165" fontId="122" fillId="18" borderId="72" xfId="48" applyNumberFormat="1" applyBorder="1" applyAlignment="1">
      <alignment horizontal="center" vertical="center"/>
    </xf>
    <xf numFmtId="165" fontId="83" fillId="16" borderId="72" xfId="0" applyNumberFormat="1" applyFont="1" applyFill="1" applyBorder="1" applyAlignment="1">
      <alignment horizontal="center" vertical="center"/>
    </xf>
    <xf numFmtId="165" fontId="122" fillId="18" borderId="72" xfId="48" applyNumberFormat="1" applyBorder="1" applyAlignment="1">
      <alignment horizontal="center" vertical="center" wrapText="1"/>
    </xf>
    <xf numFmtId="165" fontId="82" fillId="5" borderId="81" xfId="2" applyNumberFormat="1" applyFont="1" applyFill="1" applyBorder="1" applyAlignment="1">
      <alignment horizontal="center" vertical="center"/>
    </xf>
    <xf numFmtId="9" fontId="82" fillId="5" borderId="82" xfId="2" applyNumberFormat="1" applyFont="1" applyFill="1" applyBorder="1" applyAlignment="1">
      <alignment horizontal="center"/>
    </xf>
    <xf numFmtId="165" fontId="82" fillId="5" borderId="82" xfId="2" applyNumberFormat="1" applyFont="1" applyFill="1" applyBorder="1" applyAlignment="1">
      <alignment horizontal="center" vertical="center"/>
    </xf>
    <xf numFmtId="9" fontId="82" fillId="5" borderId="83" xfId="2" applyNumberFormat="1" applyFont="1" applyFill="1" applyBorder="1" applyAlignment="1">
      <alignment horizontal="center"/>
    </xf>
    <xf numFmtId="165" fontId="100" fillId="5" borderId="0" xfId="2" applyNumberFormat="1" applyFont="1" applyFill="1" applyBorder="1" applyAlignment="1">
      <alignment horizontal="center"/>
    </xf>
    <xf numFmtId="1" fontId="0" fillId="0" borderId="0" xfId="0" applyNumberFormat="1"/>
    <xf numFmtId="2" fontId="44" fillId="0" borderId="11" xfId="0" applyNumberFormat="1" applyFont="1" applyBorder="1" applyAlignment="1">
      <alignment horizontal="center"/>
    </xf>
    <xf numFmtId="2" fontId="44" fillId="2" borderId="75" xfId="2" applyNumberFormat="1" applyFont="1" applyFill="1" applyBorder="1" applyAlignment="1">
      <alignment horizontal="center"/>
    </xf>
    <xf numFmtId="2" fontId="82" fillId="13" borderId="75" xfId="0" applyNumberFormat="1" applyFont="1" applyFill="1" applyBorder="1" applyAlignment="1">
      <alignment horizontal="center" vertical="center" wrapText="1"/>
    </xf>
    <xf numFmtId="2" fontId="44" fillId="2" borderId="75" xfId="0" applyNumberFormat="1" applyFont="1" applyFill="1" applyBorder="1" applyAlignment="1">
      <alignment horizontal="center"/>
    </xf>
    <xf numFmtId="2" fontId="82" fillId="13" borderId="75" xfId="0" applyNumberFormat="1" applyFont="1" applyFill="1" applyBorder="1" applyAlignment="1">
      <alignment horizontal="center" vertical="center" wrapText="1"/>
    </xf>
    <xf numFmtId="0" fontId="0" fillId="0" borderId="0" xfId="0"/>
    <xf numFmtId="165" fontId="83" fillId="16" borderId="38" xfId="0" applyNumberFormat="1" applyFont="1" applyFill="1" applyBorder="1" applyAlignment="1">
      <alignment horizontal="center"/>
    </xf>
    <xf numFmtId="0" fontId="78" fillId="15" borderId="51" xfId="0" applyFont="1" applyFill="1" applyBorder="1"/>
    <xf numFmtId="0" fontId="78" fillId="15" borderId="56" xfId="0" applyFont="1" applyFill="1" applyBorder="1"/>
    <xf numFmtId="0" fontId="78" fillId="15" borderId="56" xfId="0" applyFont="1" applyFill="1" applyBorder="1" applyAlignment="1">
      <alignment wrapText="1"/>
    </xf>
    <xf numFmtId="0" fontId="53" fillId="2" borderId="0" xfId="0" applyFont="1" applyFill="1" applyBorder="1" applyAlignment="1">
      <alignment horizontal="center"/>
    </xf>
    <xf numFmtId="166" fontId="0" fillId="0" borderId="11" xfId="0" applyNumberFormat="1" applyBorder="1"/>
    <xf numFmtId="0" fontId="46" fillId="0" borderId="0" xfId="0" applyFont="1" applyFill="1"/>
    <xf numFmtId="2" fontId="66" fillId="5" borderId="7" xfId="2" applyNumberFormat="1" applyFont="1" applyFill="1" applyBorder="1" applyAlignment="1">
      <alignment horizontal="center"/>
    </xf>
    <xf numFmtId="166" fontId="66" fillId="5" borderId="7" xfId="2" applyNumberFormat="1" applyFont="1" applyFill="1" applyBorder="1" applyAlignment="1">
      <alignment horizontal="center"/>
    </xf>
    <xf numFmtId="166" fontId="66" fillId="5" borderId="44" xfId="2" applyNumberFormat="1" applyFont="1" applyFill="1" applyBorder="1" applyAlignment="1">
      <alignment horizontal="center"/>
    </xf>
    <xf numFmtId="166" fontId="66" fillId="5" borderId="6" xfId="2" applyNumberFormat="1" applyFont="1" applyFill="1" applyBorder="1" applyAlignment="1">
      <alignment horizontal="center"/>
    </xf>
    <xf numFmtId="166" fontId="66" fillId="5" borderId="12" xfId="2" applyNumberFormat="1" applyFont="1" applyFill="1" applyBorder="1" applyAlignment="1">
      <alignment horizontal="center"/>
    </xf>
    <xf numFmtId="166" fontId="66" fillId="5" borderId="10" xfId="2" applyNumberFormat="1" applyFont="1" applyFill="1" applyBorder="1" applyAlignment="1">
      <alignment horizontal="center"/>
    </xf>
    <xf numFmtId="166" fontId="66" fillId="5" borderId="28" xfId="2" applyNumberFormat="1" applyFont="1" applyFill="1" applyBorder="1" applyAlignment="1">
      <alignment horizontal="center"/>
    </xf>
    <xf numFmtId="166" fontId="90" fillId="5" borderId="53" xfId="2" applyNumberFormat="1" applyFont="1" applyFill="1" applyBorder="1" applyAlignment="1">
      <alignment horizontal="center"/>
    </xf>
    <xf numFmtId="166" fontId="66" fillId="5" borderId="9" xfId="2" applyNumberFormat="1" applyFont="1" applyFill="1" applyBorder="1" applyAlignment="1">
      <alignment horizontal="center"/>
    </xf>
    <xf numFmtId="166" fontId="66" fillId="5" borderId="11" xfId="2" applyNumberFormat="1" applyFont="1" applyFill="1" applyBorder="1" applyAlignment="1">
      <alignment horizontal="center"/>
    </xf>
    <xf numFmtId="166" fontId="66" fillId="5" borderId="3" xfId="2" applyNumberFormat="1" applyFont="1" applyFill="1" applyBorder="1" applyAlignment="1">
      <alignment horizontal="center"/>
    </xf>
    <xf numFmtId="166" fontId="66" fillId="5" borderId="14" xfId="2" applyNumberFormat="1" applyFont="1" applyFill="1" applyBorder="1" applyAlignment="1">
      <alignment horizontal="center"/>
    </xf>
    <xf numFmtId="166" fontId="66" fillId="5" borderId="0" xfId="2" applyNumberFormat="1" applyFont="1" applyFill="1" applyBorder="1" applyAlignment="1">
      <alignment horizontal="center"/>
    </xf>
    <xf numFmtId="166" fontId="66" fillId="5" borderId="15" xfId="2" applyNumberFormat="1" applyFont="1" applyFill="1" applyBorder="1" applyAlignment="1">
      <alignment horizontal="center"/>
    </xf>
    <xf numFmtId="166" fontId="66" fillId="5" borderId="18" xfId="2" applyNumberFormat="1" applyFont="1" applyFill="1" applyBorder="1" applyAlignment="1">
      <alignment horizontal="center"/>
    </xf>
    <xf numFmtId="166" fontId="66" fillId="5" borderId="27" xfId="2" applyNumberFormat="1" applyFont="1" applyFill="1" applyBorder="1" applyAlignment="1">
      <alignment horizontal="center"/>
    </xf>
    <xf numFmtId="166" fontId="66" fillId="5" borderId="35" xfId="2" applyNumberFormat="1" applyFont="1" applyFill="1" applyBorder="1" applyAlignment="1">
      <alignment horizontal="center"/>
    </xf>
    <xf numFmtId="166" fontId="66" fillId="5" borderId="13" xfId="2" applyNumberFormat="1" applyFont="1" applyFill="1" applyBorder="1" applyAlignment="1">
      <alignment horizontal="center"/>
    </xf>
    <xf numFmtId="166" fontId="66" fillId="5" borderId="1" xfId="2" applyNumberFormat="1" applyFont="1" applyFill="1" applyBorder="1" applyAlignment="1">
      <alignment horizontal="center"/>
    </xf>
    <xf numFmtId="166" fontId="66" fillId="5" borderId="29" xfId="2" applyNumberFormat="1" applyFont="1" applyFill="1" applyBorder="1" applyAlignment="1">
      <alignment horizontal="center"/>
    </xf>
    <xf numFmtId="166" fontId="90" fillId="5" borderId="49" xfId="2" applyNumberFormat="1" applyFont="1" applyFill="1" applyBorder="1" applyAlignment="1">
      <alignment horizontal="center"/>
    </xf>
    <xf numFmtId="166" fontId="90" fillId="5" borderId="59" xfId="2" applyNumberFormat="1" applyFont="1" applyFill="1" applyBorder="1" applyAlignment="1">
      <alignment horizontal="center"/>
    </xf>
    <xf numFmtId="166" fontId="90" fillId="5" borderId="52" xfId="2" applyNumberFormat="1" applyFont="1" applyFill="1" applyBorder="1" applyAlignment="1">
      <alignment horizontal="center"/>
    </xf>
    <xf numFmtId="166" fontId="90" fillId="5" borderId="57" xfId="2" applyNumberFormat="1" applyFont="1" applyFill="1" applyBorder="1" applyAlignment="1">
      <alignment horizontal="center"/>
    </xf>
    <xf numFmtId="166" fontId="78" fillId="15" borderId="51" xfId="0" applyNumberFormat="1" applyFont="1" applyFill="1" applyBorder="1"/>
    <xf numFmtId="166" fontId="78" fillId="15" borderId="56" xfId="0" applyNumberFormat="1" applyFont="1" applyFill="1" applyBorder="1"/>
    <xf numFmtId="166" fontId="78" fillId="15" borderId="56" xfId="0" applyNumberFormat="1" applyFont="1" applyFill="1" applyBorder="1" applyAlignment="1">
      <alignment wrapText="1"/>
    </xf>
    <xf numFmtId="166" fontId="66" fillId="5" borderId="78" xfId="2" applyNumberFormat="1" applyFont="1" applyFill="1" applyBorder="1" applyAlignment="1">
      <alignment horizontal="center"/>
    </xf>
    <xf numFmtId="166" fontId="66" fillId="5" borderId="77" xfId="2" applyNumberFormat="1" applyFont="1" applyFill="1" applyBorder="1" applyAlignment="1">
      <alignment horizontal="center"/>
    </xf>
    <xf numFmtId="166" fontId="66" fillId="5" borderId="76" xfId="2" applyNumberFormat="1" applyFont="1" applyFill="1" applyBorder="1" applyAlignment="1">
      <alignment horizontal="center"/>
    </xf>
    <xf numFmtId="1" fontId="0" fillId="4" borderId="0" xfId="0" applyNumberFormat="1" applyFill="1"/>
    <xf numFmtId="0" fontId="0" fillId="49" borderId="0" xfId="0" applyFill="1"/>
    <xf numFmtId="0" fontId="8" fillId="49" borderId="0" xfId="45290" applyFill="1"/>
    <xf numFmtId="0" fontId="8" fillId="0" borderId="0" xfId="45290"/>
    <xf numFmtId="0" fontId="8" fillId="0" borderId="0" xfId="45290"/>
    <xf numFmtId="0" fontId="8" fillId="0" borderId="0" xfId="45290"/>
    <xf numFmtId="0" fontId="8" fillId="0" borderId="0" xfId="45290"/>
    <xf numFmtId="0" fontId="8" fillId="0" borderId="0" xfId="45290"/>
    <xf numFmtId="0" fontId="8" fillId="0" borderId="0" xfId="45290"/>
    <xf numFmtId="0" fontId="8" fillId="0" borderId="0" xfId="45290"/>
    <xf numFmtId="0" fontId="8" fillId="0" borderId="0" xfId="45290"/>
    <xf numFmtId="0" fontId="8" fillId="0" borderId="0" xfId="45290"/>
    <xf numFmtId="0" fontId="8" fillId="0" borderId="0" xfId="45290"/>
    <xf numFmtId="177" fontId="0" fillId="0" borderId="0" xfId="0" applyNumberFormat="1"/>
    <xf numFmtId="0" fontId="7" fillId="0" borderId="0" xfId="4" applyFont="1" applyAlignment="1">
      <alignment horizontal="center"/>
    </xf>
    <xf numFmtId="0" fontId="45" fillId="50" borderId="86" xfId="0" applyFont="1" applyFill="1" applyBorder="1"/>
    <xf numFmtId="0" fontId="45" fillId="50" borderId="90" xfId="0" applyFont="1" applyFill="1" applyBorder="1"/>
    <xf numFmtId="0" fontId="137" fillId="50" borderId="90" xfId="0" applyFont="1" applyFill="1" applyBorder="1" applyAlignment="1"/>
    <xf numFmtId="0" fontId="137" fillId="50" borderId="91" xfId="0" applyFont="1" applyFill="1" applyBorder="1" applyAlignment="1"/>
    <xf numFmtId="0" fontId="149" fillId="0" borderId="87" xfId="0" applyFont="1" applyFill="1" applyBorder="1"/>
    <xf numFmtId="166" fontId="98" fillId="5" borderId="94" xfId="0" applyNumberFormat="1" applyFont="1" applyFill="1" applyBorder="1" applyAlignment="1"/>
    <xf numFmtId="166" fontId="98" fillId="5" borderId="95" xfId="0" applyNumberFormat="1" applyFont="1" applyFill="1" applyBorder="1" applyAlignment="1"/>
    <xf numFmtId="0" fontId="152" fillId="51" borderId="0" xfId="0" applyFont="1" applyFill="1" applyBorder="1"/>
    <xf numFmtId="0" fontId="98" fillId="51" borderId="0" xfId="0" applyFont="1" applyFill="1" applyBorder="1"/>
    <xf numFmtId="0" fontId="98" fillId="51" borderId="0" xfId="0" applyFont="1" applyFill="1" applyBorder="1" applyAlignment="1">
      <alignment horizontal="center"/>
    </xf>
    <xf numFmtId="165" fontId="98" fillId="5" borderId="96" xfId="0" applyNumberFormat="1" applyFont="1" applyFill="1" applyBorder="1"/>
    <xf numFmtId="0" fontId="137" fillId="52" borderId="96" xfId="0" applyFont="1" applyFill="1" applyBorder="1" applyAlignment="1">
      <alignment horizontal="center"/>
    </xf>
    <xf numFmtId="181" fontId="98" fillId="5" borderId="96" xfId="45289" applyNumberFormat="1" applyFont="1" applyFill="1" applyBorder="1"/>
    <xf numFmtId="0" fontId="137" fillId="52" borderId="97" xfId="0" applyFont="1" applyFill="1" applyBorder="1" applyAlignment="1"/>
    <xf numFmtId="0" fontId="151" fillId="52" borderId="98" xfId="0" applyFont="1" applyFill="1" applyBorder="1" applyAlignment="1"/>
    <xf numFmtId="0" fontId="137" fillId="52" borderId="98" xfId="0" applyFont="1" applyFill="1" applyBorder="1" applyAlignment="1"/>
    <xf numFmtId="0" fontId="147" fillId="52" borderId="97" xfId="0" applyFont="1" applyFill="1" applyBorder="1"/>
    <xf numFmtId="0" fontId="98" fillId="52" borderId="99" xfId="0" applyFont="1" applyFill="1" applyBorder="1"/>
    <xf numFmtId="0" fontId="137" fillId="52" borderId="98" xfId="0" applyFont="1" applyFill="1" applyBorder="1" applyAlignment="1">
      <alignment horizontal="center" wrapText="1"/>
    </xf>
    <xf numFmtId="181" fontId="98" fillId="0" borderId="96" xfId="45289" applyNumberFormat="1" applyFont="1" applyFill="1" applyBorder="1"/>
    <xf numFmtId="1" fontId="98" fillId="5" borderId="96" xfId="0" applyNumberFormat="1" applyFont="1" applyFill="1" applyBorder="1"/>
    <xf numFmtId="181" fontId="98" fillId="5" borderId="96" xfId="0" applyNumberFormat="1" applyFont="1" applyFill="1" applyBorder="1"/>
    <xf numFmtId="0" fontId="137" fillId="52" borderId="99" xfId="0" applyFont="1" applyFill="1" applyBorder="1" applyAlignment="1">
      <alignment horizontal="center"/>
    </xf>
    <xf numFmtId="0" fontId="137" fillId="52" borderId="99" xfId="0" applyFont="1" applyFill="1" applyBorder="1" applyAlignment="1">
      <alignment horizontal="center" wrapText="1"/>
    </xf>
    <xf numFmtId="1" fontId="98" fillId="0" borderId="96" xfId="0" applyNumberFormat="1" applyFont="1" applyFill="1" applyBorder="1"/>
    <xf numFmtId="0" fontId="98" fillId="50" borderId="0" xfId="0" applyFont="1" applyFill="1" applyBorder="1"/>
    <xf numFmtId="0" fontId="162" fillId="50" borderId="0" xfId="0" applyFont="1" applyFill="1" applyBorder="1"/>
    <xf numFmtId="0" fontId="98" fillId="50" borderId="100" xfId="0" applyFont="1" applyFill="1" applyBorder="1"/>
    <xf numFmtId="0" fontId="148" fillId="51" borderId="0" xfId="0" applyFont="1" applyFill="1" applyBorder="1"/>
    <xf numFmtId="0" fontId="98" fillId="51" borderId="100" xfId="0" applyFont="1" applyFill="1" applyBorder="1"/>
    <xf numFmtId="0" fontId="163" fillId="51" borderId="0" xfId="0" applyFont="1" applyFill="1" applyBorder="1"/>
    <xf numFmtId="0" fontId="164" fillId="51" borderId="100" xfId="0" applyFont="1" applyFill="1" applyBorder="1"/>
    <xf numFmtId="0" fontId="138" fillId="51" borderId="100" xfId="0" applyFont="1" applyFill="1" applyBorder="1"/>
    <xf numFmtId="0" fontId="155" fillId="51" borderId="0" xfId="0" applyFont="1" applyFill="1" applyBorder="1"/>
    <xf numFmtId="166" fontId="98" fillId="51" borderId="100" xfId="0" applyNumberFormat="1" applyFont="1" applyFill="1" applyBorder="1"/>
    <xf numFmtId="0" fontId="0" fillId="51" borderId="93" xfId="0" applyFill="1" applyBorder="1"/>
    <xf numFmtId="0" fontId="0" fillId="51" borderId="92" xfId="0" applyFill="1" applyBorder="1"/>
    <xf numFmtId="0" fontId="98" fillId="50" borderId="93" xfId="0" applyFont="1" applyFill="1" applyBorder="1"/>
    <xf numFmtId="0" fontId="98" fillId="50" borderId="92" xfId="0" applyFont="1" applyFill="1" applyBorder="1"/>
    <xf numFmtId="0" fontId="98" fillId="0" borderId="0" xfId="0" applyFont="1" applyFill="1"/>
    <xf numFmtId="0" fontId="98" fillId="52" borderId="0" xfId="0" applyFont="1" applyFill="1" applyBorder="1"/>
    <xf numFmtId="0" fontId="162" fillId="52" borderId="0" xfId="0" applyFont="1" applyFill="1" applyBorder="1"/>
    <xf numFmtId="0" fontId="154" fillId="52" borderId="0" xfId="0" applyFont="1" applyFill="1" applyBorder="1"/>
    <xf numFmtId="0" fontId="98" fillId="52" borderId="101" xfId="0" applyFont="1" applyFill="1" applyBorder="1"/>
    <xf numFmtId="0" fontId="98" fillId="51" borderId="101" xfId="0" applyFont="1" applyFill="1" applyBorder="1"/>
    <xf numFmtId="0" fontId="153" fillId="51" borderId="0" xfId="0" applyFont="1" applyFill="1" applyBorder="1"/>
    <xf numFmtId="0" fontId="165" fillId="51" borderId="0" xfId="0" applyFont="1" applyFill="1" applyBorder="1"/>
    <xf numFmtId="0" fontId="84" fillId="51" borderId="0" xfId="0" applyFont="1" applyFill="1" applyBorder="1"/>
    <xf numFmtId="0" fontId="98" fillId="51" borderId="102" xfId="0" applyFont="1" applyFill="1" applyBorder="1"/>
    <xf numFmtId="167" fontId="166" fillId="5" borderId="85" xfId="3" applyNumberFormat="1" applyFont="1" applyFill="1" applyBorder="1" applyAlignment="1">
      <alignment horizontal="center"/>
    </xf>
    <xf numFmtId="0" fontId="98" fillId="4" borderId="85" xfId="0" applyFont="1" applyFill="1" applyBorder="1" applyAlignment="1">
      <alignment horizontal="center"/>
    </xf>
    <xf numFmtId="0" fontId="33" fillId="0" borderId="0" xfId="0" applyFont="1" applyFill="1"/>
    <xf numFmtId="44" fontId="0" fillId="0" borderId="0" xfId="45289" applyFont="1" applyFill="1"/>
    <xf numFmtId="167" fontId="166" fillId="4" borderId="85" xfId="3" applyNumberFormat="1" applyFont="1" applyFill="1" applyBorder="1" applyAlignment="1">
      <alignment horizontal="center"/>
    </xf>
    <xf numFmtId="0" fontId="46" fillId="8" borderId="105" xfId="0" applyFont="1" applyFill="1" applyBorder="1" applyAlignment="1">
      <alignment horizontal="center"/>
    </xf>
    <xf numFmtId="0" fontId="46" fillId="8" borderId="82" xfId="0" applyFont="1" applyFill="1" applyBorder="1" applyAlignment="1">
      <alignment horizontal="center"/>
    </xf>
    <xf numFmtId="10" fontId="98" fillId="0" borderId="96" xfId="0" applyNumberFormat="1" applyFont="1" applyFill="1" applyBorder="1"/>
    <xf numFmtId="43" fontId="0" fillId="0" borderId="0" xfId="0" applyNumberFormat="1" applyFill="1"/>
    <xf numFmtId="2" fontId="98" fillId="0" borderId="96" xfId="0" applyNumberFormat="1" applyFont="1" applyFill="1" applyBorder="1" applyAlignment="1">
      <alignment horizontal="right"/>
    </xf>
    <xf numFmtId="170" fontId="0" fillId="0" borderId="0" xfId="2" applyNumberFormat="1" applyFont="1" applyAlignment="1"/>
    <xf numFmtId="182" fontId="53" fillId="4" borderId="7" xfId="3" applyNumberFormat="1" applyFont="1" applyFill="1" applyBorder="1" applyAlignment="1">
      <alignment horizontal="center"/>
    </xf>
    <xf numFmtId="182" fontId="53" fillId="4" borderId="44" xfId="3" applyNumberFormat="1" applyFont="1" applyFill="1" applyBorder="1" applyAlignment="1">
      <alignment horizontal="center"/>
    </xf>
    <xf numFmtId="0" fontId="153" fillId="51" borderId="0" xfId="0" applyFont="1" applyFill="1" applyBorder="1" applyAlignment="1">
      <alignment horizontal="left"/>
    </xf>
    <xf numFmtId="0" fontId="98" fillId="51" borderId="0" xfId="0" applyFont="1" applyFill="1" applyBorder="1" applyAlignment="1">
      <alignment horizontal="left"/>
    </xf>
    <xf numFmtId="0" fontId="31" fillId="5" borderId="0" xfId="7" applyFill="1" applyBorder="1"/>
    <xf numFmtId="0" fontId="31" fillId="5" borderId="8" xfId="7" applyFill="1" applyBorder="1"/>
    <xf numFmtId="0" fontId="67" fillId="5" borderId="0" xfId="7" applyFont="1" applyFill="1" applyBorder="1" applyAlignment="1"/>
    <xf numFmtId="0" fontId="67" fillId="5" borderId="0" xfId="7" applyFont="1" applyFill="1" applyBorder="1"/>
    <xf numFmtId="0" fontId="68" fillId="5" borderId="0" xfId="7" applyFont="1" applyFill="1" applyBorder="1"/>
    <xf numFmtId="0" fontId="109" fillId="5" borderId="0" xfId="7" applyFont="1" applyFill="1" applyBorder="1"/>
    <xf numFmtId="0" fontId="29" fillId="5" borderId="0" xfId="7" applyFont="1" applyFill="1" applyBorder="1" applyAlignment="1">
      <alignment vertical="top"/>
    </xf>
    <xf numFmtId="0" fontId="5" fillId="5" borderId="0" xfId="7" applyFont="1" applyFill="1" applyBorder="1"/>
    <xf numFmtId="0" fontId="25" fillId="5" borderId="0" xfId="7" applyFont="1" applyFill="1" applyBorder="1"/>
    <xf numFmtId="0" fontId="31" fillId="5" borderId="5" xfId="7" applyFill="1" applyBorder="1"/>
    <xf numFmtId="0" fontId="31" fillId="5" borderId="77" xfId="7" applyFill="1" applyBorder="1"/>
    <xf numFmtId="176" fontId="0" fillId="0" borderId="0" xfId="45306" applyNumberFormat="1" applyFont="1"/>
    <xf numFmtId="176" fontId="0" fillId="0" borderId="5" xfId="45306" applyNumberFormat="1" applyFont="1" applyBorder="1"/>
    <xf numFmtId="164" fontId="0" fillId="0" borderId="0" xfId="45306" applyNumberFormat="1" applyFont="1" applyAlignment="1">
      <alignment horizontal="left" vertical="center"/>
    </xf>
    <xf numFmtId="167" fontId="97" fillId="0" borderId="0" xfId="45306" applyNumberFormat="1" applyFont="1"/>
    <xf numFmtId="164" fontId="0" fillId="0" borderId="0" xfId="45306" applyFont="1"/>
    <xf numFmtId="167" fontId="0" fillId="0" borderId="0" xfId="45306" applyNumberFormat="1" applyFont="1"/>
    <xf numFmtId="0" fontId="47" fillId="51" borderId="0" xfId="0" applyFont="1" applyFill="1" applyBorder="1"/>
    <xf numFmtId="0" fontId="32" fillId="0" borderId="5" xfId="4" applyFill="1" applyBorder="1" applyAlignment="1">
      <alignment horizontal="center"/>
    </xf>
    <xf numFmtId="0" fontId="0" fillId="48" borderId="0" xfId="0" applyFill="1" applyAlignment="1">
      <alignment horizontal="center"/>
    </xf>
    <xf numFmtId="0" fontId="32" fillId="0" borderId="8" xfId="4" applyBorder="1"/>
    <xf numFmtId="0" fontId="32" fillId="0" borderId="0" xfId="4" applyAlignment="1">
      <alignment horizontal="center"/>
    </xf>
    <xf numFmtId="167" fontId="3" fillId="0" borderId="0" xfId="45306" applyNumberFormat="1" applyFont="1" applyAlignment="1"/>
    <xf numFmtId="167" fontId="3" fillId="0" borderId="8" xfId="45306" applyNumberFormat="1" applyFont="1" applyBorder="1" applyAlignment="1"/>
    <xf numFmtId="167" fontId="100" fillId="0" borderId="0" xfId="45306" applyNumberFormat="1" applyFont="1"/>
    <xf numFmtId="167" fontId="3" fillId="0" borderId="0" xfId="45306" applyNumberFormat="1" applyFont="1" applyAlignment="1">
      <alignment horizontal="center"/>
    </xf>
    <xf numFmtId="167" fontId="3" fillId="0" borderId="0" xfId="45306" applyNumberFormat="1" applyFont="1"/>
    <xf numFmtId="1" fontId="0" fillId="0" borderId="0" xfId="45306" applyNumberFormat="1" applyFont="1" applyAlignment="1"/>
    <xf numFmtId="1" fontId="3" fillId="0" borderId="0" xfId="4" applyNumberFormat="1" applyFont="1"/>
    <xf numFmtId="167" fontId="3" fillId="4" borderId="0" xfId="45306" applyNumberFormat="1" applyFont="1" applyFill="1" applyAlignment="1"/>
    <xf numFmtId="167" fontId="3" fillId="4" borderId="8" xfId="45306" applyNumberFormat="1" applyFont="1" applyFill="1" applyBorder="1" applyAlignment="1"/>
    <xf numFmtId="167" fontId="3" fillId="4" borderId="0" xfId="45306" applyNumberFormat="1" applyFont="1" applyFill="1" applyAlignment="1">
      <alignment horizontal="center"/>
    </xf>
    <xf numFmtId="167" fontId="0" fillId="4" borderId="0" xfId="45306" applyNumberFormat="1" applyFont="1" applyFill="1" applyAlignment="1"/>
    <xf numFmtId="173" fontId="0" fillId="0" borderId="0" xfId="45306" applyNumberFormat="1" applyFont="1" applyAlignment="1"/>
    <xf numFmtId="0" fontId="3" fillId="0" borderId="0" xfId="4" applyFont="1"/>
    <xf numFmtId="9" fontId="3" fillId="0" borderId="0" xfId="2" applyFont="1"/>
    <xf numFmtId="0" fontId="3" fillId="0" borderId="0" xfId="4" applyFont="1" applyFill="1" applyBorder="1"/>
    <xf numFmtId="166" fontId="0" fillId="0" borderId="0" xfId="45306" applyNumberFormat="1" applyFont="1" applyFill="1" applyAlignment="1"/>
    <xf numFmtId="166" fontId="0" fillId="0" borderId="0" xfId="45306" applyNumberFormat="1" applyFont="1" applyAlignment="1"/>
    <xf numFmtId="166" fontId="0" fillId="4" borderId="0" xfId="45306" applyNumberFormat="1" applyFont="1" applyFill="1" applyAlignment="1"/>
    <xf numFmtId="2" fontId="3" fillId="0" borderId="0" xfId="45306" applyNumberFormat="1" applyFont="1" applyAlignment="1"/>
    <xf numFmtId="167" fontId="0" fillId="0" borderId="0" xfId="45306" applyNumberFormat="1" applyFont="1" applyAlignment="1"/>
    <xf numFmtId="166" fontId="3" fillId="0" borderId="0" xfId="45306" applyNumberFormat="1" applyFont="1" applyAlignment="1"/>
    <xf numFmtId="2" fontId="3" fillId="0" borderId="8" xfId="45306" applyNumberFormat="1" applyFont="1" applyBorder="1" applyAlignment="1"/>
    <xf numFmtId="167" fontId="3" fillId="4" borderId="0" xfId="45306" applyNumberFormat="1" applyFont="1" applyFill="1" applyBorder="1"/>
    <xf numFmtId="167" fontId="3" fillId="0" borderId="0" xfId="45306" applyNumberFormat="1" applyFont="1" applyFill="1" applyBorder="1"/>
    <xf numFmtId="167" fontId="3" fillId="0" borderId="8" xfId="45306" applyNumberFormat="1" applyFont="1" applyFill="1" applyBorder="1"/>
    <xf numFmtId="9" fontId="3" fillId="0" borderId="8" xfId="2" applyFont="1" applyBorder="1" applyAlignment="1"/>
    <xf numFmtId="0" fontId="43" fillId="16" borderId="0" xfId="0" applyFont="1" applyFill="1" applyBorder="1"/>
    <xf numFmtId="0" fontId="43" fillId="16" borderId="0" xfId="0" applyFont="1" applyFill="1"/>
    <xf numFmtId="0" fontId="43" fillId="16" borderId="0" xfId="0" applyFont="1" applyFill="1" applyBorder="1" applyAlignment="1">
      <alignment horizontal="left"/>
    </xf>
    <xf numFmtId="0" fontId="43" fillId="16" borderId="0" xfId="0" applyFont="1" applyFill="1" applyBorder="1" applyAlignment="1">
      <alignment horizontal="center"/>
    </xf>
    <xf numFmtId="176" fontId="43" fillId="16" borderId="0" xfId="20" applyNumberFormat="1" applyFont="1" applyFill="1" applyBorder="1" applyAlignment="1">
      <alignment horizontal="center"/>
    </xf>
    <xf numFmtId="0" fontId="46" fillId="5" borderId="0" xfId="0" applyFont="1" applyFill="1" applyBorder="1"/>
    <xf numFmtId="0" fontId="46" fillId="5" borderId="0" xfId="0" applyFont="1" applyFill="1"/>
    <xf numFmtId="167" fontId="46" fillId="5" borderId="0" xfId="0" applyNumberFormat="1" applyFont="1" applyFill="1"/>
    <xf numFmtId="14" fontId="46" fillId="5" borderId="0" xfId="0" applyNumberFormat="1" applyFont="1" applyFill="1" applyBorder="1" applyAlignment="1" applyProtection="1">
      <alignment horizontal="right" vertical="center"/>
      <protection locked="0"/>
    </xf>
    <xf numFmtId="167" fontId="3" fillId="5" borderId="0" xfId="45306" applyNumberFormat="1" applyFont="1" applyFill="1" applyAlignment="1"/>
    <xf numFmtId="9" fontId="46" fillId="5" borderId="0" xfId="2" applyFont="1" applyFill="1" applyBorder="1"/>
    <xf numFmtId="167" fontId="3" fillId="5" borderId="0" xfId="45306" applyNumberFormat="1" applyFont="1" applyFill="1"/>
    <xf numFmtId="167" fontId="3" fillId="5" borderId="0" xfId="20" applyNumberFormat="1" applyFont="1" applyFill="1" applyBorder="1" applyAlignment="1"/>
    <xf numFmtId="176" fontId="46" fillId="5" borderId="0" xfId="2021" applyNumberFormat="1" applyFont="1" applyFill="1" applyBorder="1" applyAlignment="1" applyProtection="1"/>
    <xf numFmtId="14" fontId="46" fillId="5" borderId="0" xfId="0" applyNumberFormat="1" applyFont="1" applyFill="1" applyBorder="1" applyAlignment="1" applyProtection="1">
      <alignment vertical="center"/>
      <protection locked="0"/>
    </xf>
    <xf numFmtId="0" fontId="46" fillId="5" borderId="5" xfId="0" applyFont="1" applyFill="1" applyBorder="1"/>
    <xf numFmtId="14" fontId="46" fillId="5" borderId="5" xfId="0" applyNumberFormat="1" applyFont="1" applyFill="1" applyBorder="1" applyAlignment="1" applyProtection="1">
      <alignment vertical="center"/>
      <protection locked="0"/>
    </xf>
    <xf numFmtId="0" fontId="43" fillId="5" borderId="0" xfId="0" applyFont="1" applyFill="1" applyBorder="1"/>
    <xf numFmtId="0" fontId="43" fillId="5" borderId="0" xfId="0" applyFont="1" applyFill="1"/>
    <xf numFmtId="0" fontId="43" fillId="5" borderId="0" xfId="0" applyFont="1" applyFill="1" applyBorder="1" applyAlignment="1">
      <alignment horizontal="left"/>
    </xf>
    <xf numFmtId="0" fontId="43" fillId="5" borderId="0" xfId="0" applyFont="1" applyFill="1" applyBorder="1" applyAlignment="1">
      <alignment horizontal="center"/>
    </xf>
    <xf numFmtId="176" fontId="43" fillId="5" borderId="0" xfId="20" applyNumberFormat="1" applyFont="1" applyFill="1" applyBorder="1" applyAlignment="1">
      <alignment horizontal="center"/>
    </xf>
    <xf numFmtId="0" fontId="0" fillId="5" borderId="0" xfId="0" applyFill="1" applyBorder="1"/>
    <xf numFmtId="0" fontId="43" fillId="5" borderId="84" xfId="0" applyFont="1" applyFill="1" applyBorder="1"/>
    <xf numFmtId="0" fontId="43" fillId="5" borderId="84" xfId="0" applyFont="1" applyFill="1" applyBorder="1" applyAlignment="1">
      <alignment horizontal="center"/>
    </xf>
    <xf numFmtId="0" fontId="43" fillId="5" borderId="84" xfId="0" applyFont="1" applyFill="1" applyBorder="1" applyAlignment="1">
      <alignment horizontal="left"/>
    </xf>
    <xf numFmtId="167" fontId="45" fillId="5" borderId="84" xfId="20" applyNumberFormat="1" applyFont="1" applyFill="1" applyBorder="1" applyAlignment="1">
      <alignment horizontal="center"/>
    </xf>
    <xf numFmtId="9" fontId="43" fillId="5" borderId="84" xfId="2" applyFont="1" applyFill="1" applyBorder="1" applyAlignment="1">
      <alignment horizontal="center"/>
    </xf>
    <xf numFmtId="176" fontId="43" fillId="5" borderId="84" xfId="20" applyNumberFormat="1" applyFont="1" applyFill="1" applyBorder="1" applyAlignment="1">
      <alignment horizontal="center"/>
    </xf>
    <xf numFmtId="14" fontId="43" fillId="5" borderId="84" xfId="0" applyNumberFormat="1" applyFont="1" applyFill="1" applyBorder="1" applyAlignment="1" applyProtection="1">
      <alignment horizontal="right" vertical="center"/>
      <protection locked="0"/>
    </xf>
    <xf numFmtId="0" fontId="0" fillId="5" borderId="84" xfId="0" applyFill="1" applyBorder="1"/>
    <xf numFmtId="0" fontId="0" fillId="5" borderId="5" xfId="0" applyFill="1" applyBorder="1"/>
    <xf numFmtId="0" fontId="0" fillId="5" borderId="0" xfId="0" applyFill="1"/>
    <xf numFmtId="14" fontId="0" fillId="5" borderId="0" xfId="0" applyNumberFormat="1" applyFill="1" applyAlignment="1" applyProtection="1">
      <alignment vertical="center"/>
      <protection locked="0"/>
    </xf>
    <xf numFmtId="176" fontId="0" fillId="5" borderId="0" xfId="3" applyNumberFormat="1" applyFont="1" applyFill="1"/>
    <xf numFmtId="176" fontId="0" fillId="5" borderId="5" xfId="3" applyNumberFormat="1" applyFont="1" applyFill="1" applyBorder="1"/>
    <xf numFmtId="14" fontId="0" fillId="5" borderId="5" xfId="0" applyNumberFormat="1" applyFill="1" applyBorder="1" applyAlignment="1" applyProtection="1">
      <alignment vertical="center"/>
      <protection locked="0"/>
    </xf>
    <xf numFmtId="167" fontId="0" fillId="5" borderId="0" xfId="0" applyNumberFormat="1" applyFill="1"/>
    <xf numFmtId="167" fontId="0" fillId="5" borderId="0" xfId="3" applyNumberFormat="1" applyFont="1" applyFill="1"/>
    <xf numFmtId="176" fontId="0" fillId="5" borderId="0" xfId="0" applyNumberFormat="1" applyFill="1"/>
    <xf numFmtId="176" fontId="33" fillId="5" borderId="0" xfId="49" applyNumberFormat="1" applyFont="1" applyFill="1"/>
    <xf numFmtId="0" fontId="33" fillId="5" borderId="0" xfId="0" applyFont="1" applyFill="1"/>
    <xf numFmtId="2" fontId="0" fillId="5" borderId="0" xfId="0" applyNumberFormat="1" applyFill="1"/>
    <xf numFmtId="14" fontId="0" fillId="5" borderId="0" xfId="0" applyNumberFormat="1" applyFill="1"/>
    <xf numFmtId="164" fontId="0" fillId="5" borderId="0" xfId="3" applyNumberFormat="1" applyFont="1" applyFill="1" applyAlignment="1">
      <alignment horizontal="left" vertical="center"/>
    </xf>
    <xf numFmtId="10" fontId="0" fillId="5" borderId="0" xfId="2" applyNumberFormat="1" applyFont="1" applyFill="1"/>
    <xf numFmtId="167" fontId="97" fillId="5" borderId="0" xfId="3" applyNumberFormat="1" applyFont="1" applyFill="1"/>
    <xf numFmtId="43" fontId="0" fillId="5" borderId="0" xfId="3" applyFont="1" applyFill="1"/>
    <xf numFmtId="9" fontId="0" fillId="5" borderId="0" xfId="2" applyFont="1" applyFill="1"/>
    <xf numFmtId="180" fontId="0" fillId="5" borderId="0" xfId="0" applyNumberFormat="1" applyFill="1"/>
    <xf numFmtId="167" fontId="3" fillId="5" borderId="0" xfId="20" applyNumberFormat="1" applyFont="1" applyFill="1"/>
    <xf numFmtId="9" fontId="46" fillId="5" borderId="0" xfId="2" applyFont="1" applyFill="1"/>
    <xf numFmtId="167" fontId="3" fillId="5" borderId="0" xfId="45306" applyNumberFormat="1" applyFont="1" applyFill="1" applyBorder="1" applyAlignment="1"/>
    <xf numFmtId="167" fontId="3" fillId="5" borderId="5" xfId="20" applyNumberFormat="1" applyFont="1" applyFill="1" applyBorder="1"/>
    <xf numFmtId="9" fontId="46" fillId="5" borderId="5" xfId="2" applyFont="1" applyFill="1" applyBorder="1"/>
    <xf numFmtId="167" fontId="3" fillId="5" borderId="5" xfId="45306" applyNumberFormat="1" applyFont="1" applyFill="1" applyBorder="1" applyAlignment="1"/>
    <xf numFmtId="0" fontId="43" fillId="16" borderId="0" xfId="0" applyFont="1" applyFill="1" applyAlignment="1">
      <alignment horizontal="center"/>
    </xf>
    <xf numFmtId="0" fontId="43" fillId="16" borderId="0" xfId="0" applyFont="1" applyFill="1" applyAlignment="1">
      <alignment horizontal="left"/>
    </xf>
    <xf numFmtId="167" fontId="45" fillId="16" borderId="0" xfId="20" applyNumberFormat="1" applyFont="1" applyFill="1" applyAlignment="1">
      <alignment horizontal="center"/>
    </xf>
    <xf numFmtId="9" fontId="43" fillId="16" borderId="0" xfId="2" applyFont="1" applyFill="1" applyAlignment="1">
      <alignment horizontal="center"/>
    </xf>
    <xf numFmtId="176" fontId="43" fillId="16" borderId="0" xfId="45306" applyNumberFormat="1" applyFont="1" applyFill="1" applyAlignment="1">
      <alignment horizontal="center"/>
    </xf>
    <xf numFmtId="14" fontId="43" fillId="16" borderId="0" xfId="0" applyNumberFormat="1" applyFont="1" applyFill="1" applyAlignment="1" applyProtection="1">
      <alignment horizontal="center" vertical="center"/>
      <protection locked="0"/>
    </xf>
    <xf numFmtId="1" fontId="46" fillId="5" borderId="0" xfId="0" applyNumberFormat="1" applyFont="1" applyFill="1"/>
    <xf numFmtId="14" fontId="46" fillId="5" borderId="0" xfId="0" applyNumberFormat="1" applyFont="1" applyFill="1" applyAlignment="1" applyProtection="1">
      <alignment horizontal="right" vertical="center"/>
      <protection locked="0"/>
    </xf>
    <xf numFmtId="176" fontId="46" fillId="5" borderId="0" xfId="91" applyNumberFormat="1" applyFont="1" applyFill="1" applyAlignment="1" applyProtection="1"/>
    <xf numFmtId="176" fontId="46" fillId="5" borderId="0" xfId="2021" applyNumberFormat="1" applyFont="1" applyFill="1" applyAlignment="1" applyProtection="1"/>
    <xf numFmtId="0" fontId="32" fillId="0" borderId="0" xfId="4" applyAlignment="1">
      <alignment horizontal="center"/>
    </xf>
    <xf numFmtId="167" fontId="3" fillId="0" borderId="0" xfId="45306" applyNumberFormat="1" applyFont="1" applyAlignment="1"/>
    <xf numFmtId="0" fontId="32" fillId="0" borderId="0" xfId="4" applyAlignment="1"/>
    <xf numFmtId="167" fontId="2" fillId="5" borderId="0" xfId="45306" applyNumberFormat="1" applyFont="1" applyFill="1"/>
    <xf numFmtId="0" fontId="32" fillId="0" borderId="0" xfId="4" applyBorder="1" applyAlignment="1">
      <alignment horizontal="center"/>
    </xf>
    <xf numFmtId="167" fontId="3" fillId="0" borderId="0" xfId="45306" applyNumberFormat="1" applyFont="1" applyBorder="1" applyAlignment="1"/>
    <xf numFmtId="167" fontId="138" fillId="0" borderId="0" xfId="45306" applyNumberFormat="1" applyFont="1" applyBorder="1" applyAlignment="1"/>
    <xf numFmtId="167" fontId="138" fillId="0" borderId="106" xfId="45306" applyNumberFormat="1" applyFont="1" applyBorder="1" applyAlignment="1">
      <alignment horizontal="center"/>
    </xf>
    <xf numFmtId="167" fontId="138" fillId="0" borderId="107" xfId="45306" applyNumberFormat="1" applyFont="1" applyBorder="1" applyAlignment="1"/>
    <xf numFmtId="167" fontId="138" fillId="0" borderId="108" xfId="45306" applyNumberFormat="1" applyFont="1" applyBorder="1" applyAlignment="1"/>
    <xf numFmtId="167" fontId="138" fillId="0" borderId="109" xfId="45306" applyNumberFormat="1" applyFont="1" applyBorder="1" applyAlignment="1">
      <alignment horizontal="center"/>
    </xf>
    <xf numFmtId="167" fontId="138" fillId="0" borderId="110" xfId="45306" applyNumberFormat="1" applyFont="1" applyBorder="1" applyAlignment="1"/>
    <xf numFmtId="167" fontId="138" fillId="0" borderId="111" xfId="45306" applyNumberFormat="1" applyFont="1" applyBorder="1" applyAlignment="1">
      <alignment horizontal="center"/>
    </xf>
    <xf numFmtId="167" fontId="138" fillId="0" borderId="112" xfId="45306" applyNumberFormat="1" applyFont="1" applyBorder="1" applyAlignment="1"/>
    <xf numFmtId="167" fontId="138" fillId="0" borderId="113" xfId="45306" applyNumberFormat="1" applyFont="1" applyBorder="1" applyAlignment="1"/>
    <xf numFmtId="167" fontId="138" fillId="0" borderId="106" xfId="45306" applyNumberFormat="1" applyFont="1" applyBorder="1" applyAlignment="1"/>
    <xf numFmtId="167" fontId="138" fillId="0" borderId="109" xfId="45306" applyNumberFormat="1" applyFont="1" applyBorder="1" applyAlignment="1"/>
    <xf numFmtId="167" fontId="138" fillId="0" borderId="111" xfId="45306" applyNumberFormat="1" applyFont="1" applyBorder="1" applyAlignment="1"/>
    <xf numFmtId="167" fontId="168" fillId="0" borderId="107" xfId="45306" applyNumberFormat="1" applyFont="1" applyBorder="1"/>
    <xf numFmtId="167" fontId="168" fillId="0" borderId="107" xfId="20" applyNumberFormat="1" applyFont="1" applyBorder="1"/>
    <xf numFmtId="167" fontId="168" fillId="0" borderId="0" xfId="45306" applyNumberFormat="1" applyFont="1" applyBorder="1"/>
    <xf numFmtId="167" fontId="168" fillId="0" borderId="0" xfId="20" applyNumberFormat="1" applyFont="1" applyBorder="1"/>
    <xf numFmtId="167" fontId="168" fillId="0" borderId="112" xfId="45306" applyNumberFormat="1" applyFont="1" applyBorder="1"/>
    <xf numFmtId="167" fontId="168" fillId="0" borderId="112" xfId="20" applyNumberFormat="1" applyFont="1" applyBorder="1"/>
    <xf numFmtId="172" fontId="98" fillId="0" borderId="96" xfId="0" applyNumberFormat="1" applyFont="1" applyFill="1" applyBorder="1" applyAlignment="1">
      <alignment horizontal="right"/>
    </xf>
    <xf numFmtId="172" fontId="98" fillId="0" borderId="96" xfId="0" applyNumberFormat="1" applyFont="1" applyFill="1" applyBorder="1"/>
    <xf numFmtId="172" fontId="98" fillId="5" borderId="96" xfId="0" applyNumberFormat="1" applyFont="1" applyFill="1" applyBorder="1"/>
    <xf numFmtId="183" fontId="44" fillId="2" borderId="30" xfId="3" applyNumberFormat="1" applyFont="1" applyFill="1" applyBorder="1" applyAlignment="1">
      <alignment horizontal="center"/>
    </xf>
    <xf numFmtId="183" fontId="44" fillId="2" borderId="46" xfId="3" applyNumberFormat="1" applyFont="1" applyFill="1" applyBorder="1" applyAlignment="1">
      <alignment horizontal="center"/>
    </xf>
    <xf numFmtId="183" fontId="44" fillId="2" borderId="2" xfId="3" applyNumberFormat="1" applyFont="1" applyFill="1" applyBorder="1" applyAlignment="1">
      <alignment horizontal="center"/>
    </xf>
    <xf numFmtId="183" fontId="44" fillId="2" borderId="8" xfId="3" applyNumberFormat="1" applyFont="1" applyFill="1" applyBorder="1" applyAlignment="1">
      <alignment horizontal="center"/>
    </xf>
    <xf numFmtId="183" fontId="44" fillId="2" borderId="6" xfId="3" applyNumberFormat="1" applyFont="1" applyFill="1" applyBorder="1" applyAlignment="1">
      <alignment horizontal="center"/>
    </xf>
    <xf numFmtId="183" fontId="44" fillId="2" borderId="7" xfId="3" applyNumberFormat="1" applyFont="1" applyFill="1" applyBorder="1" applyAlignment="1">
      <alignment horizontal="center"/>
    </xf>
    <xf numFmtId="183" fontId="53" fillId="4" borderId="44" xfId="3" applyNumberFormat="1" applyFont="1" applyFill="1" applyBorder="1" applyAlignment="1">
      <alignment horizontal="center"/>
    </xf>
    <xf numFmtId="183" fontId="53" fillId="4" borderId="7" xfId="3" applyNumberFormat="1" applyFont="1" applyFill="1" applyBorder="1" applyAlignment="1">
      <alignment horizontal="center"/>
    </xf>
    <xf numFmtId="184" fontId="44" fillId="2" borderId="30" xfId="3" applyNumberFormat="1" applyFont="1" applyFill="1" applyBorder="1" applyAlignment="1">
      <alignment horizontal="center"/>
    </xf>
    <xf numFmtId="184" fontId="44" fillId="2" borderId="46" xfId="3" applyNumberFormat="1" applyFont="1" applyFill="1" applyBorder="1" applyAlignment="1">
      <alignment horizontal="center"/>
    </xf>
    <xf numFmtId="184" fontId="44" fillId="2" borderId="2" xfId="3" applyNumberFormat="1" applyFont="1" applyFill="1" applyBorder="1" applyAlignment="1">
      <alignment horizontal="center"/>
    </xf>
    <xf numFmtId="184" fontId="44" fillId="2" borderId="8" xfId="3" applyNumberFormat="1" applyFont="1" applyFill="1" applyBorder="1" applyAlignment="1">
      <alignment horizontal="center"/>
    </xf>
    <xf numFmtId="184" fontId="44" fillId="2" borderId="6" xfId="3" applyNumberFormat="1" applyFont="1" applyFill="1" applyBorder="1" applyAlignment="1">
      <alignment horizontal="center"/>
    </xf>
    <xf numFmtId="184" fontId="44" fillId="2" borderId="7" xfId="3" applyNumberFormat="1" applyFont="1" applyFill="1" applyBorder="1" applyAlignment="1">
      <alignment horizontal="center"/>
    </xf>
    <xf numFmtId="184" fontId="53" fillId="4" borderId="44" xfId="3" applyNumberFormat="1" applyFont="1" applyFill="1" applyBorder="1" applyAlignment="1">
      <alignment horizontal="center"/>
    </xf>
    <xf numFmtId="184" fontId="53" fillId="4" borderId="7" xfId="3" applyNumberFormat="1" applyFont="1" applyFill="1" applyBorder="1" applyAlignment="1">
      <alignment horizontal="center"/>
    </xf>
    <xf numFmtId="184" fontId="44" fillId="2" borderId="0" xfId="3" applyNumberFormat="1" applyFont="1" applyFill="1" applyBorder="1" applyAlignment="1">
      <alignment horizontal="center"/>
    </xf>
    <xf numFmtId="184" fontId="53" fillId="4" borderId="11" xfId="3" applyNumberFormat="1" applyFont="1" applyFill="1" applyBorder="1" applyAlignment="1">
      <alignment horizontal="center"/>
    </xf>
    <xf numFmtId="184" fontId="53" fillId="4" borderId="9" xfId="3" applyNumberFormat="1" applyFont="1" applyFill="1" applyBorder="1" applyAlignment="1">
      <alignment horizontal="center"/>
    </xf>
    <xf numFmtId="186" fontId="44" fillId="2" borderId="2" xfId="3" applyNumberFormat="1" applyFont="1" applyFill="1" applyBorder="1" applyAlignment="1">
      <alignment horizontal="center"/>
    </xf>
    <xf numFmtId="186" fontId="44" fillId="2" borderId="8" xfId="3" applyNumberFormat="1" applyFont="1" applyFill="1" applyBorder="1" applyAlignment="1">
      <alignment horizontal="center"/>
    </xf>
    <xf numFmtId="186" fontId="53" fillId="4" borderId="11" xfId="3" applyNumberFormat="1" applyFont="1" applyFill="1" applyBorder="1" applyAlignment="1">
      <alignment horizontal="center"/>
    </xf>
    <xf numFmtId="186" fontId="53" fillId="4" borderId="9" xfId="3" applyNumberFormat="1" applyFont="1" applyFill="1" applyBorder="1" applyAlignment="1">
      <alignment horizontal="center"/>
    </xf>
    <xf numFmtId="184" fontId="44" fillId="2" borderId="10" xfId="3" applyNumberFormat="1" applyFont="1" applyFill="1" applyBorder="1" applyAlignment="1">
      <alignment horizontal="center"/>
    </xf>
    <xf numFmtId="184" fontId="44" fillId="2" borderId="77" xfId="3" applyNumberFormat="1" applyFont="1" applyFill="1" applyBorder="1" applyAlignment="1">
      <alignment horizontal="center"/>
    </xf>
    <xf numFmtId="184" fontId="53" fillId="4" borderId="4" xfId="3" applyNumberFormat="1" applyFont="1" applyFill="1" applyBorder="1" applyAlignment="1">
      <alignment horizontal="center"/>
    </xf>
    <xf numFmtId="184" fontId="53" fillId="4" borderId="78" xfId="3" applyNumberFormat="1" applyFont="1" applyFill="1" applyBorder="1" applyAlignment="1">
      <alignment horizontal="center"/>
    </xf>
    <xf numFmtId="184" fontId="53" fillId="4" borderId="77" xfId="3" applyNumberFormat="1" applyFont="1" applyFill="1" applyBorder="1" applyAlignment="1">
      <alignment horizontal="center"/>
    </xf>
    <xf numFmtId="184" fontId="53" fillId="4" borderId="5" xfId="3" applyNumberFormat="1" applyFont="1" applyFill="1" applyBorder="1" applyAlignment="1">
      <alignment horizontal="center"/>
    </xf>
    <xf numFmtId="184" fontId="44" fillId="2" borderId="35" xfId="3" applyNumberFormat="1" applyFont="1" applyFill="1" applyBorder="1" applyAlignment="1">
      <alignment horizontal="center"/>
    </xf>
    <xf numFmtId="184" fontId="44" fillId="2" borderId="17" xfId="3" applyNumberFormat="1" applyFont="1" applyFill="1" applyBorder="1" applyAlignment="1">
      <alignment horizontal="center"/>
    </xf>
    <xf numFmtId="184" fontId="53" fillId="4" borderId="75" xfId="3" applyNumberFormat="1" applyFont="1" applyFill="1" applyBorder="1" applyAlignment="1">
      <alignment horizontal="center"/>
    </xf>
    <xf numFmtId="184" fontId="44" fillId="2" borderId="5" xfId="3" applyNumberFormat="1" applyFont="1" applyFill="1" applyBorder="1" applyAlignment="1">
      <alignment horizontal="center"/>
    </xf>
    <xf numFmtId="183" fontId="0" fillId="0" borderId="0" xfId="0" applyNumberFormat="1"/>
    <xf numFmtId="184" fontId="0" fillId="0" borderId="0" xfId="0" applyNumberFormat="1"/>
    <xf numFmtId="170" fontId="0" fillId="4" borderId="0" xfId="0" applyNumberFormat="1" applyFill="1"/>
    <xf numFmtId="0" fontId="0" fillId="0" borderId="0" xfId="0" applyAlignment="1">
      <alignment wrapText="1"/>
    </xf>
    <xf numFmtId="0" fontId="0" fillId="15" borderId="0" xfId="0" applyFill="1" applyAlignment="1">
      <alignment wrapText="1"/>
    </xf>
    <xf numFmtId="170" fontId="0" fillId="0" borderId="0" xfId="0" applyNumberFormat="1" applyFill="1"/>
    <xf numFmtId="172" fontId="0" fillId="0" borderId="0" xfId="0" applyNumberFormat="1"/>
    <xf numFmtId="44" fontId="0" fillId="0" borderId="0" xfId="0" applyNumberFormat="1"/>
    <xf numFmtId="181" fontId="0" fillId="0" borderId="0" xfId="0" applyNumberFormat="1"/>
    <xf numFmtId="2" fontId="150" fillId="54" borderId="87" xfId="0" applyNumberFormat="1" applyFont="1" applyFill="1" applyBorder="1" applyAlignment="1">
      <alignment horizontal="center"/>
    </xf>
    <xf numFmtId="0" fontId="8" fillId="0" borderId="0" xfId="45290" applyFill="1"/>
    <xf numFmtId="0" fontId="0" fillId="0" borderId="0" xfId="0" applyAlignment="1">
      <alignment vertical="top" wrapText="1"/>
    </xf>
    <xf numFmtId="0" fontId="165" fillId="51" borderId="0" xfId="0" applyFont="1" applyFill="1" applyBorder="1" applyAlignment="1">
      <alignment wrapText="1"/>
    </xf>
    <xf numFmtId="0" fontId="0" fillId="0" borderId="0" xfId="0" applyAlignment="1">
      <alignment horizontal="center" vertical="center"/>
    </xf>
    <xf numFmtId="0" fontId="0" fillId="15" borderId="118" xfId="0" applyFill="1" applyBorder="1" applyAlignment="1">
      <alignment wrapText="1"/>
    </xf>
    <xf numFmtId="0" fontId="0" fillId="15" borderId="118" xfId="0" applyFill="1" applyBorder="1" applyAlignment="1">
      <alignment horizontal="center" vertical="center"/>
    </xf>
    <xf numFmtId="171" fontId="98" fillId="0" borderId="96" xfId="0" applyNumberFormat="1" applyFont="1" applyFill="1" applyBorder="1" applyAlignment="1">
      <alignment horizontal="right"/>
    </xf>
    <xf numFmtId="2" fontId="173" fillId="15" borderId="117" xfId="0" applyNumberFormat="1" applyFont="1" applyFill="1" applyBorder="1" applyAlignment="1">
      <alignment horizontal="center" vertical="center"/>
    </xf>
    <xf numFmtId="2" fontId="0" fillId="15" borderId="118" xfId="0" applyNumberFormat="1" applyFill="1" applyBorder="1" applyAlignment="1">
      <alignment horizontal="center" vertical="center"/>
    </xf>
    <xf numFmtId="0" fontId="173" fillId="53" borderId="123" xfId="0" applyFont="1" applyFill="1" applyBorder="1" applyAlignment="1">
      <alignment horizontal="center" vertical="center"/>
    </xf>
    <xf numFmtId="43" fontId="173" fillId="15" borderId="117" xfId="3" applyFont="1" applyFill="1" applyBorder="1" applyAlignment="1">
      <alignment horizontal="center" vertical="center"/>
    </xf>
    <xf numFmtId="9" fontId="0" fillId="15" borderId="118" xfId="2" applyFont="1" applyFill="1" applyBorder="1" applyAlignment="1">
      <alignment horizontal="center" vertical="center"/>
    </xf>
    <xf numFmtId="181" fontId="73" fillId="13" borderId="118" xfId="45289" applyNumberFormat="1" applyFont="1" applyFill="1" applyBorder="1" applyAlignment="1">
      <alignment horizontal="center" vertical="center"/>
    </xf>
    <xf numFmtId="43" fontId="0" fillId="15" borderId="118" xfId="3" applyFont="1" applyFill="1" applyBorder="1" applyAlignment="1">
      <alignment horizontal="center" vertical="center"/>
    </xf>
    <xf numFmtId="9" fontId="0" fillId="0" borderId="0" xfId="0" applyNumberFormat="1"/>
    <xf numFmtId="0" fontId="47" fillId="55" borderId="0" xfId="0" applyFont="1" applyFill="1" applyBorder="1" applyAlignment="1">
      <alignment wrapText="1"/>
    </xf>
    <xf numFmtId="0" fontId="47" fillId="57" borderId="0" xfId="0" applyFont="1" applyFill="1" applyBorder="1" applyAlignment="1">
      <alignment wrapText="1"/>
    </xf>
    <xf numFmtId="0" fontId="47" fillId="0" borderId="0" xfId="66" applyFont="1" applyFill="1" applyBorder="1" applyAlignment="1">
      <alignment wrapText="1"/>
    </xf>
    <xf numFmtId="0" fontId="180" fillId="0" borderId="0" xfId="0" applyFont="1" applyBorder="1" applyAlignment="1">
      <alignment horizontal="center" vertical="center"/>
    </xf>
    <xf numFmtId="0" fontId="179" fillId="0" borderId="0" xfId="0" applyFont="1" applyBorder="1" applyAlignment="1">
      <alignment horizontal="center" vertical="center"/>
    </xf>
    <xf numFmtId="0" fontId="47" fillId="55" borderId="125" xfId="66" applyFont="1" applyFill="1" applyBorder="1" applyAlignment="1">
      <alignment wrapText="1"/>
    </xf>
    <xf numFmtId="0" fontId="47" fillId="55" borderId="125" xfId="77" applyFont="1" applyFill="1" applyBorder="1" applyAlignment="1">
      <alignment wrapText="1"/>
    </xf>
    <xf numFmtId="0" fontId="47" fillId="37" borderId="125" xfId="77" applyFont="1" applyBorder="1" applyAlignment="1">
      <alignment wrapText="1"/>
    </xf>
    <xf numFmtId="0" fontId="47" fillId="55" borderId="125" xfId="0" applyFont="1" applyFill="1" applyBorder="1" applyAlignment="1">
      <alignment wrapText="1"/>
    </xf>
    <xf numFmtId="0" fontId="47" fillId="37" borderId="126" xfId="77" applyFont="1" applyBorder="1" applyAlignment="1">
      <alignment wrapText="1"/>
    </xf>
    <xf numFmtId="0" fontId="177" fillId="0" borderId="127" xfId="0" applyFont="1" applyBorder="1" applyAlignment="1">
      <alignment vertical="center"/>
    </xf>
    <xf numFmtId="0" fontId="47" fillId="0" borderId="128" xfId="66" applyFont="1" applyFill="1" applyBorder="1" applyAlignment="1">
      <alignment wrapText="1"/>
    </xf>
    <xf numFmtId="0" fontId="178" fillId="0" borderId="127" xfId="0" applyFont="1" applyBorder="1" applyAlignment="1">
      <alignment vertical="center" textRotation="90" wrapText="1"/>
    </xf>
    <xf numFmtId="0" fontId="179" fillId="0" borderId="128" xfId="0" applyFont="1" applyBorder="1" applyAlignment="1">
      <alignment horizontal="center" vertical="center"/>
    </xf>
    <xf numFmtId="0" fontId="178" fillId="0" borderId="129" xfId="0" applyFont="1" applyBorder="1" applyAlignment="1">
      <alignment vertical="center" textRotation="90" wrapText="1"/>
    </xf>
    <xf numFmtId="0" fontId="180" fillId="0" borderId="130" xfId="0" applyFont="1" applyBorder="1" applyAlignment="1">
      <alignment horizontal="center" vertical="center"/>
    </xf>
    <xf numFmtId="0" fontId="179" fillId="0" borderId="130" xfId="0" applyFont="1" applyBorder="1" applyAlignment="1">
      <alignment horizontal="center" vertical="center"/>
    </xf>
    <xf numFmtId="0" fontId="181" fillId="17" borderId="130" xfId="0" applyFont="1" applyFill="1" applyBorder="1" applyAlignment="1">
      <alignment horizontal="center" vertical="center"/>
    </xf>
    <xf numFmtId="0" fontId="180" fillId="0" borderId="131" xfId="0" applyFont="1" applyBorder="1" applyAlignment="1">
      <alignment horizontal="center" vertical="center"/>
    </xf>
    <xf numFmtId="0" fontId="47" fillId="0" borderId="130" xfId="66" applyFont="1" applyFill="1" applyBorder="1" applyAlignment="1">
      <alignment wrapText="1"/>
    </xf>
    <xf numFmtId="0" fontId="47" fillId="0" borderId="131" xfId="66" applyFont="1" applyFill="1" applyBorder="1" applyAlignment="1">
      <alignment wrapText="1"/>
    </xf>
    <xf numFmtId="0" fontId="0" fillId="0" borderId="127" xfId="0" applyFont="1" applyBorder="1" applyAlignment="1">
      <alignment vertical="center"/>
    </xf>
    <xf numFmtId="0" fontId="0" fillId="0" borderId="129" xfId="0" applyFont="1" applyBorder="1" applyAlignment="1">
      <alignment vertical="center"/>
    </xf>
    <xf numFmtId="0" fontId="0" fillId="15" borderId="117" xfId="0" applyFill="1" applyBorder="1" applyAlignment="1">
      <alignment horizontal="center" vertical="center" wrapText="1"/>
    </xf>
    <xf numFmtId="0" fontId="0" fillId="15" borderId="119" xfId="0" applyFill="1" applyBorder="1" applyAlignment="1">
      <alignment wrapText="1"/>
    </xf>
    <xf numFmtId="0" fontId="0" fillId="53" borderId="118" xfId="0" applyFill="1" applyBorder="1" applyAlignment="1">
      <alignment horizontal="center" vertical="center" wrapText="1"/>
    </xf>
    <xf numFmtId="0" fontId="0" fillId="0" borderId="132" xfId="0" applyBorder="1"/>
    <xf numFmtId="0" fontId="47" fillId="55" borderId="136" xfId="66" applyFont="1" applyFill="1" applyBorder="1" applyAlignment="1">
      <alignment wrapText="1"/>
    </xf>
    <xf numFmtId="0" fontId="47" fillId="55" borderId="136" xfId="77" applyFont="1" applyFill="1" applyBorder="1" applyAlignment="1">
      <alignment wrapText="1"/>
    </xf>
    <xf numFmtId="0" fontId="47" fillId="37" borderId="136" xfId="77" applyFont="1" applyBorder="1" applyAlignment="1">
      <alignment wrapText="1"/>
    </xf>
    <xf numFmtId="0" fontId="47" fillId="55" borderId="136" xfId="0" applyFont="1" applyFill="1" applyBorder="1" applyAlignment="1">
      <alignment wrapText="1"/>
    </xf>
    <xf numFmtId="0" fontId="47" fillId="37" borderId="133" xfId="77" applyFont="1" applyBorder="1" applyAlignment="1">
      <alignment wrapText="1"/>
    </xf>
    <xf numFmtId="0" fontId="0" fillId="0" borderId="124" xfId="0" applyFill="1" applyBorder="1"/>
    <xf numFmtId="0" fontId="0" fillId="0" borderId="137" xfId="0" applyBorder="1"/>
    <xf numFmtId="0" fontId="0" fillId="0" borderId="127" xfId="0" applyBorder="1"/>
    <xf numFmtId="165" fontId="53" fillId="3" borderId="11" xfId="0" applyNumberFormat="1" applyFont="1" applyFill="1" applyBorder="1" applyAlignment="1">
      <alignment horizontal="center"/>
    </xf>
    <xf numFmtId="172" fontId="122" fillId="18" borderId="72" xfId="48" applyNumberFormat="1" applyBorder="1" applyAlignment="1">
      <alignment horizontal="center" vertical="center"/>
    </xf>
    <xf numFmtId="9" fontId="83" fillId="16" borderId="6" xfId="2" applyFont="1" applyFill="1" applyBorder="1" applyAlignment="1">
      <alignment horizontal="center"/>
    </xf>
    <xf numFmtId="9" fontId="83" fillId="16" borderId="80" xfId="2" applyFont="1" applyFill="1" applyBorder="1" applyAlignment="1">
      <alignment horizontal="center"/>
    </xf>
    <xf numFmtId="9" fontId="83" fillId="16" borderId="77" xfId="2" applyFont="1" applyFill="1" applyBorder="1" applyAlignment="1">
      <alignment horizontal="center"/>
    </xf>
    <xf numFmtId="165" fontId="83" fillId="16" borderId="78" xfId="0" applyNumberFormat="1" applyFont="1" applyFill="1" applyBorder="1" applyAlignment="1">
      <alignment horizontal="center" vertical="center"/>
    </xf>
    <xf numFmtId="165" fontId="83" fillId="16" borderId="118" xfId="0" applyNumberFormat="1" applyFont="1" applyFill="1" applyBorder="1" applyAlignment="1">
      <alignment horizontal="center" vertical="center"/>
    </xf>
    <xf numFmtId="165" fontId="83" fillId="16" borderId="134" xfId="0" applyNumberFormat="1" applyFont="1" applyFill="1" applyBorder="1" applyAlignment="1">
      <alignment horizontal="center" vertical="center"/>
    </xf>
    <xf numFmtId="165" fontId="82" fillId="5" borderId="138" xfId="2" applyNumberFormat="1" applyFont="1" applyFill="1" applyBorder="1" applyAlignment="1">
      <alignment horizontal="center" vertical="center"/>
    </xf>
    <xf numFmtId="171" fontId="83" fillId="16" borderId="43" xfId="0" applyNumberFormat="1" applyFont="1" applyFill="1" applyBorder="1" applyAlignment="1">
      <alignment horizontal="center" vertical="center"/>
    </xf>
    <xf numFmtId="165" fontId="54" fillId="4" borderId="11" xfId="0" applyNumberFormat="1" applyFont="1" applyFill="1" applyBorder="1" applyAlignment="1">
      <alignment horizontal="center"/>
    </xf>
    <xf numFmtId="172" fontId="47" fillId="16" borderId="87" xfId="0" applyNumberFormat="1" applyFont="1" applyFill="1" applyBorder="1" applyAlignment="1">
      <alignment horizontal="center"/>
    </xf>
    <xf numFmtId="0" fontId="47" fillId="55" borderId="8" xfId="66" applyFont="1" applyFill="1" applyBorder="1" applyAlignment="1">
      <alignment wrapText="1"/>
    </xf>
    <xf numFmtId="0" fontId="0" fillId="0" borderId="12" xfId="0" applyFill="1" applyBorder="1"/>
    <xf numFmtId="0" fontId="0" fillId="0" borderId="10" xfId="0" applyBorder="1"/>
    <xf numFmtId="165" fontId="0" fillId="0" borderId="10" xfId="0" applyNumberFormat="1" applyBorder="1"/>
    <xf numFmtId="165" fontId="0" fillId="0" borderId="28" xfId="0" applyNumberFormat="1" applyBorder="1"/>
    <xf numFmtId="0" fontId="0" fillId="0" borderId="14" xfId="0" applyBorder="1"/>
    <xf numFmtId="0" fontId="47" fillId="57" borderId="15" xfId="0" applyFont="1" applyFill="1" applyBorder="1" applyAlignment="1">
      <alignment wrapText="1"/>
    </xf>
    <xf numFmtId="0" fontId="0" fillId="0" borderId="15" xfId="0" applyBorder="1"/>
    <xf numFmtId="0" fontId="0" fillId="0" borderId="13" xfId="0" applyBorder="1"/>
    <xf numFmtId="0" fontId="0" fillId="0" borderId="1" xfId="0" applyBorder="1"/>
    <xf numFmtId="0" fontId="0" fillId="0" borderId="29" xfId="0" applyBorder="1"/>
    <xf numFmtId="1" fontId="66" fillId="0" borderId="11" xfId="0" applyNumberFormat="1" applyFont="1" applyBorder="1" applyAlignment="1">
      <alignment horizontal="center"/>
    </xf>
    <xf numFmtId="175" fontId="66" fillId="0" borderId="11" xfId="0" applyNumberFormat="1" applyFont="1" applyBorder="1" applyAlignment="1">
      <alignment horizontal="center"/>
    </xf>
    <xf numFmtId="0" fontId="0" fillId="53" borderId="118" xfId="0" applyFill="1" applyBorder="1" applyAlignment="1">
      <alignment horizontal="center" vertical="center"/>
    </xf>
    <xf numFmtId="0" fontId="0" fillId="15" borderId="134" xfId="0" applyFill="1" applyBorder="1" applyAlignment="1">
      <alignment wrapText="1"/>
    </xf>
    <xf numFmtId="0" fontId="0" fillId="15" borderId="142" xfId="0" applyFont="1" applyFill="1" applyBorder="1" applyAlignment="1">
      <alignment horizontal="left" vertical="top" wrapText="1"/>
    </xf>
    <xf numFmtId="0" fontId="0" fillId="15" borderId="141" xfId="0" applyFont="1" applyFill="1" applyBorder="1" applyAlignment="1">
      <alignment horizontal="center" vertical="top" wrapText="1"/>
    </xf>
    <xf numFmtId="0" fontId="98" fillId="51" borderId="143" xfId="0" applyFont="1" applyFill="1" applyBorder="1"/>
    <xf numFmtId="0" fontId="98" fillId="0" borderId="0" xfId="0" applyFont="1" applyFill="1" applyBorder="1"/>
    <xf numFmtId="0" fontId="0" fillId="51" borderId="0" xfId="0" applyFill="1" applyBorder="1"/>
    <xf numFmtId="0" fontId="0" fillId="51" borderId="0" xfId="0" applyFill="1"/>
    <xf numFmtId="0" fontId="0" fillId="51" borderId="144" xfId="0" applyFill="1" applyBorder="1" applyAlignment="1">
      <alignment wrapText="1"/>
    </xf>
    <xf numFmtId="0" fontId="0" fillId="0" borderId="145" xfId="0" applyBorder="1" applyAlignment="1">
      <alignment horizontal="center" vertical="center"/>
    </xf>
    <xf numFmtId="0" fontId="0" fillId="51" borderId="146" xfId="0" applyFill="1" applyBorder="1"/>
    <xf numFmtId="0" fontId="0" fillId="0" borderId="145" xfId="0" applyBorder="1"/>
    <xf numFmtId="0" fontId="0" fillId="51" borderId="148" xfId="0" applyFill="1" applyBorder="1"/>
    <xf numFmtId="0" fontId="0" fillId="51" borderId="147" xfId="0" applyFill="1" applyBorder="1"/>
    <xf numFmtId="0" fontId="0" fillId="51" borderId="146" xfId="0" applyFill="1" applyBorder="1" applyAlignment="1">
      <alignment horizontal="center" vertical="center"/>
    </xf>
    <xf numFmtId="0" fontId="53" fillId="0" borderId="76" xfId="0" applyFont="1" applyBorder="1" applyAlignment="1">
      <alignment horizontal="center"/>
    </xf>
    <xf numFmtId="1" fontId="44" fillId="3" borderId="76" xfId="0" applyNumberFormat="1" applyFont="1" applyFill="1" applyBorder="1" applyAlignment="1">
      <alignment horizontal="center"/>
    </xf>
    <xf numFmtId="1" fontId="44" fillId="0" borderId="76" xfId="0" applyNumberFormat="1" applyFont="1" applyBorder="1" applyAlignment="1">
      <alignment horizontal="center"/>
    </xf>
    <xf numFmtId="1" fontId="44" fillId="0" borderId="78" xfId="0" applyNumberFormat="1" applyFont="1" applyFill="1" applyBorder="1" applyAlignment="1">
      <alignment horizontal="center"/>
    </xf>
    <xf numFmtId="165" fontId="53" fillId="3" borderId="75" xfId="0" applyNumberFormat="1" applyFont="1" applyFill="1" applyBorder="1" applyAlignment="1">
      <alignment horizontal="center"/>
    </xf>
    <xf numFmtId="1" fontId="53" fillId="3" borderId="75" xfId="0" applyNumberFormat="1" applyFont="1" applyFill="1" applyBorder="1" applyAlignment="1">
      <alignment horizontal="center"/>
    </xf>
    <xf numFmtId="1" fontId="44" fillId="3" borderId="75" xfId="0" applyNumberFormat="1" applyFont="1" applyFill="1" applyBorder="1" applyAlignment="1">
      <alignment horizontal="center"/>
    </xf>
    <xf numFmtId="165" fontId="44" fillId="3" borderId="75" xfId="0" applyNumberFormat="1" applyFont="1" applyFill="1" applyBorder="1" applyAlignment="1">
      <alignment horizontal="center"/>
    </xf>
    <xf numFmtId="0" fontId="40" fillId="0" borderId="149" xfId="0" applyFont="1" applyBorder="1" applyAlignment="1">
      <alignment horizontal="center"/>
    </xf>
    <xf numFmtId="0" fontId="44" fillId="0" borderId="149" xfId="0" applyFont="1" applyBorder="1" applyAlignment="1">
      <alignment horizontal="center"/>
    </xf>
    <xf numFmtId="1" fontId="44" fillId="3" borderId="150" xfId="0" applyNumberFormat="1" applyFont="1" applyFill="1" applyBorder="1" applyAlignment="1">
      <alignment horizontal="center"/>
    </xf>
    <xf numFmtId="165" fontId="54" fillId="4" borderId="150" xfId="0" applyNumberFormat="1" applyFont="1" applyFill="1" applyBorder="1" applyAlignment="1">
      <alignment horizontal="center"/>
    </xf>
    <xf numFmtId="165" fontId="44" fillId="3" borderId="152" xfId="0" applyNumberFormat="1" applyFont="1" applyFill="1" applyBorder="1" applyAlignment="1">
      <alignment horizontal="center"/>
    </xf>
    <xf numFmtId="1" fontId="44" fillId="3" borderId="152" xfId="0" applyNumberFormat="1" applyFont="1" applyFill="1" applyBorder="1" applyAlignment="1">
      <alignment horizontal="center"/>
    </xf>
    <xf numFmtId="1" fontId="44" fillId="3" borderId="153" xfId="0" applyNumberFormat="1" applyFont="1" applyFill="1" applyBorder="1" applyAlignment="1">
      <alignment horizontal="center"/>
    </xf>
    <xf numFmtId="165" fontId="44" fillId="3" borderId="76" xfId="0" applyNumberFormat="1" applyFont="1" applyFill="1" applyBorder="1" applyAlignment="1">
      <alignment horizontal="center"/>
    </xf>
    <xf numFmtId="165" fontId="44" fillId="3" borderId="154" xfId="0" applyNumberFormat="1" applyFont="1" applyFill="1" applyBorder="1" applyAlignment="1">
      <alignment horizontal="center"/>
    </xf>
    <xf numFmtId="1" fontId="53" fillId="3" borderId="76" xfId="0" applyNumberFormat="1" applyFont="1" applyFill="1" applyBorder="1" applyAlignment="1">
      <alignment horizontal="center"/>
    </xf>
    <xf numFmtId="1" fontId="44" fillId="0" borderId="150" xfId="0" applyNumberFormat="1" applyFont="1" applyBorder="1" applyAlignment="1">
      <alignment horizontal="center"/>
    </xf>
    <xf numFmtId="0" fontId="109" fillId="5" borderId="0" xfId="7" applyFont="1" applyFill="1" applyBorder="1" applyAlignment="1">
      <alignment horizontal="left" vertical="top" wrapText="1"/>
    </xf>
    <xf numFmtId="0" fontId="109" fillId="5" borderId="8" xfId="7" applyFont="1" applyFill="1" applyBorder="1" applyAlignment="1">
      <alignment horizontal="left" vertical="top" wrapText="1"/>
    </xf>
    <xf numFmtId="0" fontId="24" fillId="5" borderId="0" xfId="7" applyFont="1" applyFill="1" applyBorder="1" applyAlignment="1">
      <alignment horizontal="left" wrapText="1"/>
    </xf>
    <xf numFmtId="0" fontId="18" fillId="5" borderId="0" xfId="7" applyFont="1" applyFill="1" applyBorder="1" applyAlignment="1">
      <alignment horizontal="left" wrapText="1"/>
    </xf>
    <xf numFmtId="0" fontId="0" fillId="16" borderId="0" xfId="7" applyFont="1" applyFill="1" applyBorder="1" applyAlignment="1">
      <alignment horizontal="left" vertical="top" wrapText="1"/>
    </xf>
    <xf numFmtId="0" fontId="5" fillId="16" borderId="0" xfId="7" applyFont="1" applyFill="1" applyBorder="1" applyAlignment="1">
      <alignment horizontal="left" vertical="top" wrapText="1"/>
    </xf>
    <xf numFmtId="0" fontId="5" fillId="16" borderId="8" xfId="7" applyFont="1" applyFill="1" applyBorder="1" applyAlignment="1">
      <alignment horizontal="left" vertical="top" wrapText="1"/>
    </xf>
    <xf numFmtId="0" fontId="5" fillId="5" borderId="0" xfId="7" applyFont="1" applyFill="1" applyBorder="1" applyAlignment="1">
      <alignment horizontal="left" wrapText="1"/>
    </xf>
    <xf numFmtId="0" fontId="5" fillId="5" borderId="8" xfId="7" applyFont="1" applyFill="1" applyBorder="1" applyAlignment="1">
      <alignment horizontal="left" wrapText="1"/>
    </xf>
    <xf numFmtId="0" fontId="4" fillId="16" borderId="0" xfId="7" applyFont="1" applyFill="1" applyBorder="1" applyAlignment="1">
      <alignment horizontal="left" vertical="top" wrapText="1"/>
    </xf>
    <xf numFmtId="0" fontId="0" fillId="58" borderId="0" xfId="0" applyFill="1" applyAlignment="1">
      <alignment horizontal="left" vertical="top" wrapText="1"/>
    </xf>
    <xf numFmtId="0" fontId="175" fillId="56" borderId="121" xfId="0" applyFont="1" applyFill="1" applyBorder="1" applyAlignment="1">
      <alignment horizontal="center" wrapText="1"/>
    </xf>
    <xf numFmtId="0" fontId="174" fillId="56" borderId="122" xfId="0" applyFont="1" applyFill="1" applyBorder="1" applyAlignment="1">
      <alignment horizontal="center" wrapText="1"/>
    </xf>
    <xf numFmtId="0" fontId="45" fillId="55" borderId="119" xfId="0" applyFont="1" applyFill="1" applyBorder="1" applyAlignment="1">
      <alignment horizontal="center" vertical="top" wrapText="1"/>
    </xf>
    <xf numFmtId="0" fontId="45" fillId="55" borderId="120" xfId="0" applyFont="1" applyFill="1" applyBorder="1" applyAlignment="1">
      <alignment horizontal="center" vertical="top" wrapText="1"/>
    </xf>
    <xf numFmtId="0" fontId="175" fillId="56" borderId="119" xfId="0" applyFont="1" applyFill="1" applyBorder="1" applyAlignment="1">
      <alignment horizontal="center" wrapText="1"/>
    </xf>
    <xf numFmtId="0" fontId="175" fillId="56" borderId="120" xfId="0" applyFont="1" applyFill="1" applyBorder="1" applyAlignment="1">
      <alignment horizontal="center" wrapText="1"/>
    </xf>
    <xf numFmtId="0" fontId="45" fillId="5" borderId="97" xfId="0" applyFont="1" applyFill="1" applyBorder="1" applyAlignment="1"/>
    <xf numFmtId="0" fontId="45" fillId="5" borderId="99" xfId="0" applyFont="1" applyFill="1" applyBorder="1" applyAlignment="1"/>
    <xf numFmtId="0" fontId="45" fillId="5" borderId="98" xfId="0" applyFont="1" applyFill="1" applyBorder="1" applyAlignment="1"/>
    <xf numFmtId="0" fontId="98" fillId="51" borderId="0" xfId="0" applyFont="1" applyFill="1" applyBorder="1" applyAlignment="1">
      <alignment horizontal="left" vertical="top" wrapText="1"/>
    </xf>
    <xf numFmtId="181" fontId="98" fillId="0" borderId="96" xfId="45289" applyNumberFormat="1" applyFont="1" applyFill="1" applyBorder="1" applyAlignment="1">
      <alignment horizontal="center" vertical="center"/>
    </xf>
    <xf numFmtId="0" fontId="98" fillId="5" borderId="97" xfId="0" applyFont="1" applyFill="1" applyBorder="1" applyAlignment="1"/>
    <xf numFmtId="0" fontId="98" fillId="5" borderId="99" xfId="0" applyFont="1" applyFill="1" applyBorder="1" applyAlignment="1"/>
    <xf numFmtId="0" fontId="98" fillId="5" borderId="98" xfId="0" applyFont="1" applyFill="1" applyBorder="1" applyAlignment="1"/>
    <xf numFmtId="0" fontId="154" fillId="5" borderId="97" xfId="0" applyFont="1" applyFill="1" applyBorder="1" applyAlignment="1">
      <alignment horizontal="left"/>
    </xf>
    <xf numFmtId="0" fontId="154" fillId="5" borderId="99" xfId="0" applyFont="1" applyFill="1" applyBorder="1" applyAlignment="1">
      <alignment horizontal="left"/>
    </xf>
    <xf numFmtId="0" fontId="154" fillId="5" borderId="98" xfId="0" applyFont="1" applyFill="1" applyBorder="1" applyAlignment="1">
      <alignment horizontal="left"/>
    </xf>
    <xf numFmtId="0" fontId="0" fillId="0" borderId="45" xfId="0" applyBorder="1" applyAlignment="1">
      <alignment horizontal="center" wrapText="1"/>
    </xf>
    <xf numFmtId="0" fontId="0" fillId="0" borderId="53" xfId="0" applyBorder="1" applyAlignment="1">
      <alignment horizontal="center" wrapText="1"/>
    </xf>
    <xf numFmtId="0" fontId="0" fillId="0" borderId="124" xfId="0" applyBorder="1" applyAlignment="1">
      <alignment horizontal="center" wrapText="1"/>
    </xf>
    <xf numFmtId="0" fontId="0" fillId="0" borderId="135" xfId="0" applyBorder="1" applyAlignment="1">
      <alignment horizontal="center" wrapText="1"/>
    </xf>
    <xf numFmtId="0" fontId="148" fillId="51" borderId="80" xfId="0" applyFont="1" applyFill="1" applyBorder="1" applyAlignment="1">
      <alignment horizontal="center"/>
    </xf>
    <xf numFmtId="0" fontId="148" fillId="51" borderId="115" xfId="0" applyFont="1" applyFill="1" applyBorder="1" applyAlignment="1">
      <alignment horizontal="center"/>
    </xf>
    <xf numFmtId="0" fontId="148" fillId="51" borderId="76" xfId="0" applyFont="1" applyFill="1" applyBorder="1" applyAlignment="1">
      <alignment horizontal="center"/>
    </xf>
    <xf numFmtId="0" fontId="98" fillId="51" borderId="114" xfId="0" applyFont="1" applyFill="1" applyBorder="1" applyAlignment="1">
      <alignment wrapText="1"/>
    </xf>
    <xf numFmtId="0" fontId="98" fillId="51" borderId="84" xfId="0" applyFont="1" applyFill="1" applyBorder="1" applyAlignment="1">
      <alignment wrapText="1"/>
    </xf>
    <xf numFmtId="0" fontId="98" fillId="51" borderId="116" xfId="0" applyFont="1" applyFill="1" applyBorder="1" applyAlignment="1">
      <alignment wrapText="1"/>
    </xf>
    <xf numFmtId="0" fontId="98" fillId="51" borderId="6" xfId="0" applyFont="1" applyFill="1" applyBorder="1" applyAlignment="1">
      <alignment wrapText="1"/>
    </xf>
    <xf numFmtId="0" fontId="98" fillId="51" borderId="5" xfId="0" applyFont="1" applyFill="1" applyBorder="1" applyAlignment="1">
      <alignment wrapText="1"/>
    </xf>
    <xf numFmtId="0" fontId="98" fillId="51" borderId="77" xfId="0" applyFont="1" applyFill="1" applyBorder="1" applyAlignment="1">
      <alignment wrapText="1"/>
    </xf>
    <xf numFmtId="0" fontId="152" fillId="5" borderId="85" xfId="0" applyFont="1" applyFill="1" applyBorder="1" applyAlignment="1">
      <alignment horizontal="right"/>
    </xf>
    <xf numFmtId="0" fontId="149" fillId="0" borderId="88" xfId="0" applyFont="1" applyFill="1" applyBorder="1" applyAlignment="1">
      <alignment horizontal="center" vertical="center" wrapText="1"/>
    </xf>
    <xf numFmtId="0" fontId="149" fillId="0" borderId="89" xfId="0" applyFont="1" applyFill="1" applyBorder="1" applyAlignment="1">
      <alignment horizontal="center" vertical="center" wrapText="1"/>
    </xf>
    <xf numFmtId="0" fontId="167" fillId="5" borderId="86" xfId="0" applyFont="1" applyFill="1" applyBorder="1" applyAlignment="1">
      <alignment horizontal="center" vertical="center"/>
    </xf>
    <xf numFmtId="0" fontId="167" fillId="5" borderId="103" xfId="0" applyFont="1" applyFill="1" applyBorder="1" applyAlignment="1">
      <alignment horizontal="center" vertical="center"/>
    </xf>
    <xf numFmtId="0" fontId="167" fillId="5" borderId="89" xfId="0" applyFont="1" applyFill="1" applyBorder="1" applyAlignment="1">
      <alignment horizontal="center" vertical="center"/>
    </xf>
    <xf numFmtId="0" fontId="167" fillId="5" borderId="104" xfId="0" applyFont="1" applyFill="1" applyBorder="1" applyAlignment="1">
      <alignment horizontal="center" vertical="center"/>
    </xf>
    <xf numFmtId="0" fontId="98" fillId="5" borderId="95" xfId="0" applyFont="1" applyFill="1" applyBorder="1" applyAlignment="1">
      <alignment horizontal="left"/>
    </xf>
    <xf numFmtId="0" fontId="98" fillId="5" borderId="94" xfId="0" applyFont="1" applyFill="1" applyBorder="1" applyAlignment="1">
      <alignment horizontal="left"/>
    </xf>
    <xf numFmtId="0" fontId="165" fillId="51" borderId="0" xfId="0" applyFont="1" applyFill="1" applyBorder="1" applyAlignment="1">
      <alignment wrapText="1"/>
    </xf>
    <xf numFmtId="0" fontId="42" fillId="4" borderId="80" xfId="0" applyFont="1" applyFill="1" applyBorder="1" applyAlignment="1">
      <alignment horizontal="center" wrapText="1"/>
    </xf>
    <xf numFmtId="0" fontId="42" fillId="4" borderId="76" xfId="0" applyFont="1" applyFill="1" applyBorder="1" applyAlignment="1">
      <alignment horizontal="center" wrapText="1"/>
    </xf>
    <xf numFmtId="184" fontId="42" fillId="4" borderId="80" xfId="0" applyNumberFormat="1" applyFont="1" applyFill="1" applyBorder="1" applyAlignment="1">
      <alignment horizontal="center"/>
    </xf>
    <xf numFmtId="184" fontId="42" fillId="4" borderId="76" xfId="0" applyNumberFormat="1" applyFont="1" applyFill="1" applyBorder="1" applyAlignment="1">
      <alignment horizontal="center"/>
    </xf>
    <xf numFmtId="170" fontId="42" fillId="4" borderId="3" xfId="0" applyNumberFormat="1" applyFont="1" applyFill="1" applyBorder="1" applyAlignment="1">
      <alignment horizontal="center"/>
    </xf>
    <xf numFmtId="170" fontId="42" fillId="4" borderId="9" xfId="0" applyNumberFormat="1" applyFont="1" applyFill="1" applyBorder="1" applyAlignment="1">
      <alignment horizontal="center"/>
    </xf>
    <xf numFmtId="0" fontId="42" fillId="4" borderId="3" xfId="0" applyFont="1" applyFill="1" applyBorder="1" applyAlignment="1">
      <alignment horizontal="center"/>
    </xf>
    <xf numFmtId="0" fontId="42" fillId="4" borderId="9" xfId="0" applyFont="1" applyFill="1" applyBorder="1" applyAlignment="1">
      <alignment horizontal="center"/>
    </xf>
    <xf numFmtId="0" fontId="42" fillId="4" borderId="3" xfId="0" applyFont="1" applyFill="1" applyBorder="1" applyAlignment="1">
      <alignment horizontal="center" wrapText="1"/>
    </xf>
    <xf numFmtId="0" fontId="42" fillId="4" borderId="9" xfId="0" applyFont="1" applyFill="1" applyBorder="1" applyAlignment="1">
      <alignment horizontal="center" wrapText="1"/>
    </xf>
    <xf numFmtId="184" fontId="42" fillId="4" borderId="3" xfId="0" applyNumberFormat="1" applyFont="1" applyFill="1" applyBorder="1" applyAlignment="1">
      <alignment horizontal="center"/>
    </xf>
    <xf numFmtId="184" fontId="42" fillId="4" borderId="9" xfId="0" applyNumberFormat="1" applyFont="1" applyFill="1" applyBorder="1" applyAlignment="1">
      <alignment horizontal="center"/>
    </xf>
    <xf numFmtId="0" fontId="42" fillId="4" borderId="4" xfId="0" applyFont="1" applyFill="1" applyBorder="1" applyAlignment="1">
      <alignment horizontal="center" wrapText="1"/>
    </xf>
    <xf numFmtId="184" fontId="42" fillId="4" borderId="35" xfId="0" applyNumberFormat="1" applyFont="1" applyFill="1" applyBorder="1" applyAlignment="1">
      <alignment horizontal="center"/>
    </xf>
    <xf numFmtId="184" fontId="42" fillId="4" borderId="17" xfId="0" applyNumberFormat="1" applyFont="1" applyFill="1" applyBorder="1" applyAlignment="1">
      <alignment horizontal="center"/>
    </xf>
    <xf numFmtId="185" fontId="42" fillId="4" borderId="3" xfId="0" applyNumberFormat="1" applyFont="1" applyFill="1" applyBorder="1" applyAlignment="1">
      <alignment horizontal="center"/>
    </xf>
    <xf numFmtId="185" fontId="42" fillId="4" borderId="9" xfId="0" applyNumberFormat="1" applyFont="1" applyFill="1" applyBorder="1" applyAlignment="1">
      <alignment horizontal="center"/>
    </xf>
    <xf numFmtId="184" fontId="42" fillId="4" borderId="20" xfId="0" applyNumberFormat="1" applyFont="1" applyFill="1" applyBorder="1" applyAlignment="1">
      <alignment horizontal="center"/>
    </xf>
    <xf numFmtId="184" fontId="42" fillId="4" borderId="21" xfId="0" applyNumberFormat="1" applyFont="1" applyFill="1" applyBorder="1" applyAlignment="1">
      <alignment horizontal="center"/>
    </xf>
    <xf numFmtId="178" fontId="42" fillId="4" borderId="3" xfId="0" applyNumberFormat="1" applyFont="1" applyFill="1" applyBorder="1" applyAlignment="1">
      <alignment horizontal="center"/>
    </xf>
    <xf numFmtId="178" fontId="42" fillId="4" borderId="9" xfId="0" applyNumberFormat="1" applyFont="1" applyFill="1" applyBorder="1" applyAlignment="1">
      <alignment horizontal="center"/>
    </xf>
    <xf numFmtId="9" fontId="42" fillId="4" borderId="3" xfId="0" applyNumberFormat="1" applyFont="1" applyFill="1" applyBorder="1" applyAlignment="1">
      <alignment horizontal="center"/>
    </xf>
    <xf numFmtId="9" fontId="42" fillId="4" borderId="9" xfId="0" applyNumberFormat="1" applyFont="1" applyFill="1" applyBorder="1" applyAlignment="1">
      <alignment horizontal="center"/>
    </xf>
    <xf numFmtId="184" fontId="42" fillId="4" borderId="4" xfId="0" applyNumberFormat="1" applyFont="1" applyFill="1" applyBorder="1" applyAlignment="1">
      <alignment horizontal="center"/>
    </xf>
    <xf numFmtId="9" fontId="42" fillId="4" borderId="20" xfId="0" applyNumberFormat="1" applyFont="1" applyFill="1" applyBorder="1" applyAlignment="1">
      <alignment horizontal="center"/>
    </xf>
    <xf numFmtId="9" fontId="42" fillId="4" borderId="21" xfId="0" applyNumberFormat="1" applyFont="1" applyFill="1" applyBorder="1" applyAlignment="1">
      <alignment horizontal="center"/>
    </xf>
    <xf numFmtId="0" fontId="42" fillId="2" borderId="22" xfId="0" applyFont="1" applyFill="1" applyBorder="1" applyAlignment="1">
      <alignment horizontal="center" vertical="center" wrapText="1"/>
    </xf>
    <xf numFmtId="0" fontId="42" fillId="2" borderId="23" xfId="0" applyFont="1" applyFill="1" applyBorder="1" applyAlignment="1">
      <alignment horizontal="center" vertical="center" wrapText="1"/>
    </xf>
    <xf numFmtId="0" fontId="42" fillId="2" borderId="37" xfId="0" applyFont="1" applyFill="1" applyBorder="1" applyAlignment="1">
      <alignment horizontal="center" vertical="center" wrapText="1"/>
    </xf>
    <xf numFmtId="0" fontId="42" fillId="2" borderId="47" xfId="0" applyFont="1" applyFill="1" applyBorder="1" applyAlignment="1">
      <alignment horizontal="center" vertical="center" wrapText="1"/>
    </xf>
    <xf numFmtId="0" fontId="42" fillId="2" borderId="48" xfId="0" applyFont="1" applyFill="1" applyBorder="1" applyAlignment="1">
      <alignment horizontal="center" vertical="center" wrapText="1"/>
    </xf>
    <xf numFmtId="184" fontId="42" fillId="4" borderId="24" xfId="0" applyNumberFormat="1" applyFont="1" applyFill="1" applyBorder="1" applyAlignment="1">
      <alignment horizontal="center"/>
    </xf>
    <xf numFmtId="0" fontId="53" fillId="4" borderId="14" xfId="0" applyFont="1" applyFill="1" applyBorder="1" applyAlignment="1">
      <alignment horizontal="center" vertical="center"/>
    </xf>
    <xf numFmtId="0" fontId="53" fillId="4" borderId="16" xfId="0" applyFont="1" applyFill="1" applyBorder="1" applyAlignment="1">
      <alignment horizontal="center" vertical="center"/>
    </xf>
    <xf numFmtId="0" fontId="53" fillId="4" borderId="36" xfId="0" applyFont="1" applyFill="1" applyBorder="1" applyAlignment="1">
      <alignment horizontal="center" vertical="center"/>
    </xf>
    <xf numFmtId="0" fontId="53" fillId="4" borderId="13" xfId="0" applyFont="1" applyFill="1" applyBorder="1" applyAlignment="1">
      <alignment horizontal="center" vertical="center"/>
    </xf>
    <xf numFmtId="186" fontId="42" fillId="4" borderId="20" xfId="0" applyNumberFormat="1" applyFont="1" applyFill="1" applyBorder="1" applyAlignment="1">
      <alignment horizontal="center"/>
    </xf>
    <xf numFmtId="186" fontId="42" fillId="4" borderId="21" xfId="0" applyNumberFormat="1" applyFont="1" applyFill="1" applyBorder="1" applyAlignment="1">
      <alignment horizontal="center"/>
    </xf>
    <xf numFmtId="0" fontId="45" fillId="13" borderId="12" xfId="0" applyFont="1" applyFill="1" applyBorder="1" applyAlignment="1">
      <alignment horizontal="center" vertical="center" wrapText="1"/>
    </xf>
    <xf numFmtId="0" fontId="45" fillId="13" borderId="10" xfId="0" applyFont="1" applyFill="1" applyBorder="1" applyAlignment="1">
      <alignment horizontal="center" vertical="center" wrapText="1"/>
    </xf>
    <xf numFmtId="0" fontId="45" fillId="13" borderId="28" xfId="0" applyFont="1" applyFill="1" applyBorder="1" applyAlignment="1">
      <alignment horizontal="center" vertical="center" wrapText="1"/>
    </xf>
    <xf numFmtId="0" fontId="45" fillId="13" borderId="13" xfId="0" applyFont="1" applyFill="1" applyBorder="1" applyAlignment="1">
      <alignment horizontal="center" vertical="center" wrapText="1"/>
    </xf>
    <xf numFmtId="0" fontId="45" fillId="13" borderId="1" xfId="0" applyFont="1" applyFill="1" applyBorder="1" applyAlignment="1">
      <alignment horizontal="center" vertical="center" wrapText="1"/>
    </xf>
    <xf numFmtId="0" fontId="45" fillId="13" borderId="29" xfId="0" applyFont="1" applyFill="1" applyBorder="1" applyAlignment="1">
      <alignment horizontal="center" vertical="center" wrapText="1"/>
    </xf>
    <xf numFmtId="9" fontId="80" fillId="7" borderId="20" xfId="0" applyNumberFormat="1" applyFont="1" applyFill="1" applyBorder="1" applyAlignment="1">
      <alignment horizontal="center"/>
    </xf>
    <xf numFmtId="9" fontId="80" fillId="7" borderId="34" xfId="0" applyNumberFormat="1" applyFont="1" applyFill="1" applyBorder="1" applyAlignment="1">
      <alignment horizontal="center"/>
    </xf>
    <xf numFmtId="0" fontId="80" fillId="10" borderId="6" xfId="0" applyFont="1" applyFill="1" applyBorder="1" applyAlignment="1">
      <alignment horizontal="center" wrapText="1"/>
    </xf>
    <xf numFmtId="0" fontId="80" fillId="10" borderId="7" xfId="0" applyFont="1" applyFill="1" applyBorder="1" applyAlignment="1">
      <alignment horizontal="center" wrapText="1"/>
    </xf>
    <xf numFmtId="165" fontId="66" fillId="4" borderId="3" xfId="0" applyNumberFormat="1" applyFont="1" applyFill="1" applyBorder="1" applyAlignment="1">
      <alignment horizontal="center"/>
    </xf>
    <xf numFmtId="165" fontId="66" fillId="4" borderId="9" xfId="0" applyNumberFormat="1" applyFont="1" applyFill="1" applyBorder="1" applyAlignment="1">
      <alignment horizontal="center"/>
    </xf>
    <xf numFmtId="0" fontId="37" fillId="2" borderId="0" xfId="0" applyFont="1" applyFill="1" applyBorder="1" applyAlignment="1">
      <alignment horizontal="center"/>
    </xf>
    <xf numFmtId="0" fontId="79" fillId="4" borderId="3" xfId="0" applyFont="1" applyFill="1" applyBorder="1" applyAlignment="1">
      <alignment horizontal="center"/>
    </xf>
    <xf numFmtId="0" fontId="79" fillId="4" borderId="9" xfId="0" applyFont="1" applyFill="1" applyBorder="1" applyAlignment="1">
      <alignment horizontal="center"/>
    </xf>
    <xf numFmtId="0" fontId="80" fillId="10" borderId="6" xfId="0" applyFont="1" applyFill="1" applyBorder="1" applyAlignment="1">
      <alignment horizontal="center"/>
    </xf>
    <xf numFmtId="0" fontId="80" fillId="10" borderId="7" xfId="0" applyFont="1" applyFill="1" applyBorder="1" applyAlignment="1">
      <alignment horizontal="center"/>
    </xf>
    <xf numFmtId="169" fontId="93" fillId="11" borderId="0" xfId="3" applyNumberFormat="1" applyFont="1" applyFill="1" applyBorder="1" applyAlignment="1">
      <alignment horizontal="center"/>
    </xf>
    <xf numFmtId="170" fontId="37" fillId="11" borderId="0" xfId="0" applyNumberFormat="1" applyFont="1" applyFill="1" applyBorder="1" applyAlignment="1">
      <alignment horizontal="center"/>
    </xf>
    <xf numFmtId="9" fontId="80" fillId="7" borderId="21" xfId="0" applyNumberFormat="1" applyFont="1" applyFill="1" applyBorder="1" applyAlignment="1">
      <alignment horizontal="center"/>
    </xf>
    <xf numFmtId="0" fontId="78" fillId="13" borderId="18" xfId="0" applyFont="1" applyFill="1" applyBorder="1" applyAlignment="1">
      <alignment horizontal="center" vertical="center" wrapText="1"/>
    </xf>
    <xf numFmtId="0" fontId="78" fillId="13" borderId="8" xfId="0" applyFont="1" applyFill="1" applyBorder="1" applyAlignment="1">
      <alignment horizontal="center" vertical="center" wrapText="1"/>
    </xf>
    <xf numFmtId="0" fontId="78" fillId="13" borderId="7" xfId="0" applyFont="1" applyFill="1" applyBorder="1" applyAlignment="1">
      <alignment horizontal="center" vertical="center" wrapText="1"/>
    </xf>
    <xf numFmtId="0" fontId="74" fillId="13" borderId="12" xfId="0" applyFont="1" applyFill="1" applyBorder="1" applyAlignment="1">
      <alignment horizontal="center" vertical="center" wrapText="1"/>
    </xf>
    <xf numFmtId="0" fontId="74" fillId="13" borderId="10" xfId="0" applyFont="1" applyFill="1" applyBorder="1" applyAlignment="1">
      <alignment horizontal="center" vertical="center" wrapText="1"/>
    </xf>
    <xf numFmtId="0" fontId="74" fillId="13" borderId="28" xfId="0" applyFont="1" applyFill="1" applyBorder="1" applyAlignment="1">
      <alignment horizontal="center" vertical="center" wrapText="1"/>
    </xf>
    <xf numFmtId="0" fontId="74" fillId="13" borderId="13" xfId="0" applyFont="1" applyFill="1" applyBorder="1" applyAlignment="1">
      <alignment horizontal="center" vertical="center" wrapText="1"/>
    </xf>
    <xf numFmtId="0" fontId="74" fillId="13" borderId="1" xfId="0" applyFont="1" applyFill="1" applyBorder="1" applyAlignment="1">
      <alignment horizontal="center" vertical="center" wrapText="1"/>
    </xf>
    <xf numFmtId="0" fontId="74" fillId="13" borderId="29" xfId="0" applyFont="1" applyFill="1" applyBorder="1" applyAlignment="1">
      <alignment horizontal="center" vertical="center" wrapText="1"/>
    </xf>
    <xf numFmtId="0" fontId="78" fillId="15" borderId="11" xfId="0" applyFont="1" applyFill="1" applyBorder="1" applyAlignment="1">
      <alignment horizontal="center" wrapText="1"/>
    </xf>
    <xf numFmtId="167" fontId="78" fillId="5" borderId="3" xfId="3" applyNumberFormat="1" applyFont="1" applyFill="1" applyBorder="1" applyAlignment="1">
      <alignment horizontal="center"/>
    </xf>
    <xf numFmtId="167" fontId="78" fillId="5" borderId="9" xfId="3" applyNumberFormat="1" applyFont="1" applyFill="1" applyBorder="1" applyAlignment="1">
      <alignment horizontal="center"/>
    </xf>
    <xf numFmtId="165" fontId="66" fillId="16" borderId="3" xfId="0" applyNumberFormat="1" applyFont="1" applyFill="1" applyBorder="1" applyAlignment="1">
      <alignment horizontal="center"/>
    </xf>
    <xf numFmtId="165" fontId="66" fillId="16" borderId="9" xfId="0" applyNumberFormat="1" applyFont="1" applyFill="1" applyBorder="1" applyAlignment="1">
      <alignment horizontal="center"/>
    </xf>
    <xf numFmtId="165" fontId="88" fillId="12" borderId="3" xfId="6" applyNumberFormat="1" applyFont="1" applyBorder="1" applyAlignment="1">
      <alignment horizontal="center"/>
    </xf>
    <xf numFmtId="165" fontId="88" fillId="12" borderId="9" xfId="6" applyNumberFormat="1" applyFont="1" applyBorder="1" applyAlignment="1">
      <alignment horizontal="center"/>
    </xf>
    <xf numFmtId="0" fontId="33" fillId="4" borderId="0" xfId="0" applyFont="1" applyFill="1" applyAlignment="1">
      <alignment horizontal="center" wrapText="1"/>
    </xf>
    <xf numFmtId="0" fontId="74" fillId="13" borderId="35" xfId="0" applyFont="1" applyFill="1" applyBorder="1" applyAlignment="1">
      <alignment horizontal="center" vertical="center" wrapText="1"/>
    </xf>
    <xf numFmtId="0" fontId="74" fillId="13" borderId="17" xfId="0" applyFont="1" applyFill="1" applyBorder="1" applyAlignment="1">
      <alignment horizontal="center" vertical="center" wrapText="1"/>
    </xf>
    <xf numFmtId="0" fontId="74" fillId="13" borderId="6" xfId="0" applyFont="1" applyFill="1" applyBorder="1" applyAlignment="1">
      <alignment horizontal="center" vertical="center" wrapText="1"/>
    </xf>
    <xf numFmtId="0" fontId="74" fillId="13" borderId="5" xfId="0" applyFont="1" applyFill="1" applyBorder="1" applyAlignment="1">
      <alignment horizontal="center" vertical="center" wrapText="1"/>
    </xf>
    <xf numFmtId="0" fontId="79" fillId="14" borderId="3" xfId="0" applyFont="1" applyFill="1" applyBorder="1" applyAlignment="1">
      <alignment horizontal="center" wrapText="1"/>
    </xf>
    <xf numFmtId="0" fontId="79" fillId="14" borderId="9" xfId="0" applyFont="1" applyFill="1" applyBorder="1" applyAlignment="1">
      <alignment horizontal="center" wrapText="1"/>
    </xf>
    <xf numFmtId="0" fontId="75" fillId="4" borderId="0" xfId="0" applyFont="1" applyFill="1" applyBorder="1" applyAlignment="1">
      <alignment horizontal="center" vertical="center"/>
    </xf>
    <xf numFmtId="0" fontId="87" fillId="12" borderId="3" xfId="6" applyFont="1" applyBorder="1" applyAlignment="1">
      <alignment horizontal="center"/>
    </xf>
    <xf numFmtId="0" fontId="87" fillId="12" borderId="9" xfId="6" applyFont="1" applyBorder="1" applyAlignment="1">
      <alignment horizontal="center"/>
    </xf>
    <xf numFmtId="0" fontId="77" fillId="4" borderId="0" xfId="0" applyFont="1" applyFill="1" applyAlignment="1">
      <alignment horizontal="center" vertical="center"/>
    </xf>
    <xf numFmtId="0" fontId="78" fillId="15" borderId="17" xfId="0" applyFont="1" applyFill="1" applyBorder="1" applyAlignment="1">
      <alignment horizontal="center" wrapText="1"/>
    </xf>
    <xf numFmtId="9" fontId="78" fillId="5" borderId="45" xfId="2" applyFont="1" applyFill="1" applyBorder="1" applyAlignment="1">
      <alignment horizontal="center"/>
    </xf>
    <xf numFmtId="9" fontId="78" fillId="5" borderId="57" xfId="2" applyFont="1" applyFill="1" applyBorder="1" applyAlignment="1">
      <alignment horizontal="center"/>
    </xf>
    <xf numFmtId="2" fontId="66" fillId="5" borderId="3" xfId="2" applyNumberFormat="1" applyFont="1" applyFill="1" applyBorder="1" applyAlignment="1">
      <alignment horizontal="center"/>
    </xf>
    <xf numFmtId="2" fontId="66" fillId="5" borderId="9" xfId="2" applyNumberFormat="1" applyFont="1" applyFill="1" applyBorder="1" applyAlignment="1">
      <alignment horizontal="center"/>
    </xf>
    <xf numFmtId="0" fontId="78" fillId="15" borderId="35" xfId="0" applyFont="1" applyFill="1" applyBorder="1" applyAlignment="1">
      <alignment horizontal="center"/>
    </xf>
    <xf numFmtId="0" fontId="78" fillId="15" borderId="18" xfId="0" applyFont="1" applyFill="1" applyBorder="1" applyAlignment="1">
      <alignment horizontal="center"/>
    </xf>
    <xf numFmtId="165" fontId="104" fillId="12" borderId="3" xfId="6" applyNumberFormat="1" applyFont="1" applyBorder="1" applyAlignment="1">
      <alignment horizontal="center"/>
    </xf>
    <xf numFmtId="165" fontId="104" fillId="12" borderId="9" xfId="6" applyNumberFormat="1" applyFont="1" applyBorder="1" applyAlignment="1">
      <alignment horizontal="center"/>
    </xf>
    <xf numFmtId="165" fontId="66" fillId="4" borderId="3" xfId="2" applyNumberFormat="1" applyFont="1" applyFill="1" applyBorder="1" applyAlignment="1">
      <alignment horizontal="center"/>
    </xf>
    <xf numFmtId="165" fontId="66" fillId="4" borderId="9" xfId="2" applyNumberFormat="1" applyFont="1" applyFill="1" applyBorder="1" applyAlignment="1">
      <alignment horizontal="center"/>
    </xf>
    <xf numFmtId="0" fontId="82" fillId="15" borderId="14" xfId="0" applyFont="1" applyFill="1" applyBorder="1" applyAlignment="1">
      <alignment horizontal="center" vertical="top"/>
    </xf>
    <xf numFmtId="0" fontId="82" fillId="15" borderId="0" xfId="0" applyFont="1" applyFill="1" applyBorder="1" applyAlignment="1">
      <alignment horizontal="center" vertical="top"/>
    </xf>
    <xf numFmtId="0" fontId="82" fillId="15" borderId="13" xfId="0" applyFont="1" applyFill="1" applyBorder="1" applyAlignment="1">
      <alignment horizontal="center" vertical="top"/>
    </xf>
    <xf numFmtId="0" fontId="82" fillId="15" borderId="1" xfId="0" applyFont="1" applyFill="1" applyBorder="1" applyAlignment="1">
      <alignment horizontal="center" vertical="top"/>
    </xf>
    <xf numFmtId="2" fontId="66" fillId="5" borderId="35" xfId="2" applyNumberFormat="1" applyFont="1" applyFill="1" applyBorder="1" applyAlignment="1">
      <alignment horizontal="center"/>
    </xf>
    <xf numFmtId="2" fontId="66" fillId="5" borderId="18" xfId="2" applyNumberFormat="1" applyFont="1" applyFill="1" applyBorder="1" applyAlignment="1">
      <alignment horizontal="center"/>
    </xf>
    <xf numFmtId="9" fontId="78" fillId="5" borderId="53" xfId="2" applyFont="1" applyFill="1" applyBorder="1" applyAlignment="1">
      <alignment horizontal="center"/>
    </xf>
    <xf numFmtId="0" fontId="82" fillId="15" borderId="28" xfId="0" applyFont="1" applyFill="1" applyBorder="1" applyAlignment="1">
      <alignment horizontal="center" vertical="center"/>
    </xf>
    <xf numFmtId="0" fontId="82" fillId="15" borderId="29" xfId="0" applyFont="1" applyFill="1" applyBorder="1" applyAlignment="1">
      <alignment horizontal="center" vertical="center"/>
    </xf>
    <xf numFmtId="165" fontId="66" fillId="5" borderId="3" xfId="2" applyNumberFormat="1" applyFont="1" applyFill="1" applyBorder="1" applyAlignment="1">
      <alignment horizontal="center"/>
    </xf>
    <xf numFmtId="165" fontId="66" fillId="5" borderId="9" xfId="2" applyNumberFormat="1" applyFont="1" applyFill="1" applyBorder="1" applyAlignment="1">
      <alignment horizontal="center"/>
    </xf>
    <xf numFmtId="0" fontId="74" fillId="13" borderId="0" xfId="0" applyFont="1" applyFill="1" applyBorder="1" applyAlignment="1">
      <alignment horizontal="center" vertical="center" wrapText="1"/>
    </xf>
    <xf numFmtId="0" fontId="80" fillId="10" borderId="3" xfId="0" applyFont="1" applyFill="1" applyBorder="1" applyAlignment="1">
      <alignment horizontal="center" wrapText="1"/>
    </xf>
    <xf numFmtId="0" fontId="80" fillId="10" borderId="9" xfId="0" applyFont="1" applyFill="1" applyBorder="1" applyAlignment="1">
      <alignment horizontal="center" wrapText="1"/>
    </xf>
    <xf numFmtId="0" fontId="45" fillId="13" borderId="35"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5" fillId="13" borderId="18" xfId="0" applyFont="1" applyFill="1" applyBorder="1" applyAlignment="1">
      <alignment horizontal="center" vertical="center" wrapText="1"/>
    </xf>
    <xf numFmtId="0" fontId="45" fillId="13" borderId="6" xfId="0" applyFont="1" applyFill="1" applyBorder="1" applyAlignment="1">
      <alignment horizontal="center" vertical="center" wrapText="1"/>
    </xf>
    <xf numFmtId="0" fontId="45" fillId="13" borderId="5" xfId="0" applyFont="1" applyFill="1" applyBorder="1" applyAlignment="1">
      <alignment horizontal="center" vertical="center" wrapText="1"/>
    </xf>
    <xf numFmtId="0" fontId="45" fillId="13" borderId="7" xfId="0" applyFont="1" applyFill="1" applyBorder="1" applyAlignment="1">
      <alignment horizontal="center" vertical="center" wrapText="1"/>
    </xf>
    <xf numFmtId="0" fontId="86" fillId="4" borderId="11" xfId="0" applyFont="1" applyFill="1" applyBorder="1" applyAlignment="1">
      <alignment horizontal="center"/>
    </xf>
    <xf numFmtId="0" fontId="85" fillId="12" borderId="3" xfId="6" applyFont="1" applyBorder="1" applyAlignment="1">
      <alignment horizontal="center" wrapText="1"/>
    </xf>
    <xf numFmtId="0" fontId="85" fillId="12" borderId="9" xfId="6" applyFont="1" applyBorder="1" applyAlignment="1">
      <alignment horizontal="center" wrapText="1"/>
    </xf>
    <xf numFmtId="0" fontId="86" fillId="13" borderId="17" xfId="0" applyFont="1" applyFill="1" applyBorder="1" applyAlignment="1">
      <alignment horizontal="center" vertical="center" wrapText="1"/>
    </xf>
    <xf numFmtId="0" fontId="86" fillId="13" borderId="18" xfId="0" applyFont="1" applyFill="1" applyBorder="1" applyAlignment="1">
      <alignment horizontal="center" vertical="center" wrapText="1"/>
    </xf>
    <xf numFmtId="0" fontId="86" fillId="13" borderId="5" xfId="0" applyFont="1" applyFill="1" applyBorder="1" applyAlignment="1">
      <alignment horizontal="center" vertical="center" wrapText="1"/>
    </xf>
    <xf numFmtId="0" fontId="86" fillId="13" borderId="7" xfId="0" applyFont="1" applyFill="1" applyBorder="1" applyAlignment="1">
      <alignment horizontal="center" vertical="center" wrapText="1"/>
    </xf>
    <xf numFmtId="9" fontId="83" fillId="10" borderId="3" xfId="2" applyNumberFormat="1" applyFont="1" applyFill="1" applyBorder="1" applyAlignment="1">
      <alignment horizontal="center"/>
    </xf>
    <xf numFmtId="9" fontId="83" fillId="10" borderId="9" xfId="2" applyNumberFormat="1" applyFont="1" applyFill="1" applyBorder="1" applyAlignment="1">
      <alignment horizontal="center"/>
    </xf>
    <xf numFmtId="9" fontId="83" fillId="4" borderId="3" xfId="2" applyNumberFormat="1" applyFont="1" applyFill="1" applyBorder="1" applyAlignment="1">
      <alignment horizontal="center"/>
    </xf>
    <xf numFmtId="9" fontId="83" fillId="4" borderId="9" xfId="2" applyNumberFormat="1" applyFont="1" applyFill="1" applyBorder="1" applyAlignment="1">
      <alignment horizontal="center"/>
    </xf>
    <xf numFmtId="0" fontId="33" fillId="10" borderId="3" xfId="0" applyFont="1" applyFill="1" applyBorder="1" applyAlignment="1">
      <alignment horizontal="center"/>
    </xf>
    <xf numFmtId="0" fontId="33" fillId="10" borderId="9" xfId="0" applyFont="1" applyFill="1" applyBorder="1" applyAlignment="1">
      <alignment horizontal="center"/>
    </xf>
    <xf numFmtId="0" fontId="33" fillId="4" borderId="3" xfId="0" applyFont="1" applyFill="1" applyBorder="1" applyAlignment="1">
      <alignment horizontal="center"/>
    </xf>
    <xf numFmtId="0" fontId="33" fillId="4" borderId="9" xfId="0" applyFont="1" applyFill="1" applyBorder="1" applyAlignment="1">
      <alignment horizontal="center"/>
    </xf>
    <xf numFmtId="0" fontId="86" fillId="14" borderId="11" xfId="0" applyFont="1" applyFill="1" applyBorder="1" applyAlignment="1">
      <alignment horizontal="center"/>
    </xf>
    <xf numFmtId="0" fontId="80" fillId="10" borderId="3" xfId="0" applyFont="1" applyFill="1" applyBorder="1" applyAlignment="1">
      <alignment horizontal="center"/>
    </xf>
    <xf numFmtId="0" fontId="80" fillId="10" borderId="9" xfId="0" applyFont="1" applyFill="1" applyBorder="1" applyAlignment="1">
      <alignment horizontal="center"/>
    </xf>
    <xf numFmtId="9" fontId="83" fillId="4" borderId="11" xfId="2" applyNumberFormat="1" applyFont="1" applyFill="1" applyBorder="1" applyAlignment="1">
      <alignment horizontal="center"/>
    </xf>
    <xf numFmtId="9" fontId="83" fillId="10" borderId="11" xfId="2" applyNumberFormat="1" applyFont="1" applyFill="1" applyBorder="1" applyAlignment="1">
      <alignment horizontal="center"/>
    </xf>
    <xf numFmtId="165" fontId="83" fillId="0" borderId="75" xfId="92" applyNumberFormat="1" applyFont="1" applyBorder="1" applyAlignment="1">
      <alignment horizontal="center"/>
    </xf>
    <xf numFmtId="165" fontId="83" fillId="0" borderId="71" xfId="92" applyNumberFormat="1" applyFont="1" applyBorder="1" applyAlignment="1">
      <alignment horizontal="center"/>
    </xf>
    <xf numFmtId="165" fontId="83" fillId="16" borderId="73" xfId="92" applyNumberFormat="1" applyFont="1" applyFill="1" applyBorder="1" applyAlignment="1">
      <alignment horizontal="center"/>
    </xf>
    <xf numFmtId="165" fontId="83" fillId="16" borderId="76" xfId="92" applyNumberFormat="1" applyFont="1" applyFill="1" applyBorder="1" applyAlignment="1">
      <alignment horizontal="center"/>
    </xf>
    <xf numFmtId="165" fontId="83" fillId="16" borderId="75" xfId="92" applyNumberFormat="1" applyFont="1" applyFill="1" applyBorder="1" applyAlignment="1">
      <alignment horizontal="center"/>
    </xf>
    <xf numFmtId="0" fontId="82" fillId="13" borderId="12" xfId="0" applyFont="1" applyFill="1" applyBorder="1" applyAlignment="1">
      <alignment horizontal="center" vertical="center" wrapText="1"/>
    </xf>
    <xf numFmtId="0" fontId="82" fillId="13" borderId="14" xfId="0" applyFont="1" applyFill="1" applyBorder="1" applyAlignment="1">
      <alignment horizontal="center" vertical="center" wrapText="1"/>
    </xf>
    <xf numFmtId="165" fontId="83" fillId="16" borderId="139" xfId="92" applyNumberFormat="1" applyFont="1" applyFill="1" applyBorder="1" applyAlignment="1">
      <alignment horizontal="center"/>
    </xf>
    <xf numFmtId="165" fontId="83" fillId="16" borderId="105" xfId="92" applyNumberFormat="1" applyFont="1" applyFill="1" applyBorder="1" applyAlignment="1">
      <alignment horizontal="center"/>
    </xf>
    <xf numFmtId="165" fontId="83" fillId="0" borderId="82" xfId="92" applyNumberFormat="1" applyFont="1" applyBorder="1" applyAlignment="1">
      <alignment horizontal="center"/>
    </xf>
    <xf numFmtId="165" fontId="83" fillId="16" borderId="82" xfId="92" applyNumberFormat="1" applyFont="1" applyFill="1" applyBorder="1" applyAlignment="1">
      <alignment horizontal="center"/>
    </xf>
    <xf numFmtId="165" fontId="83" fillId="0" borderId="83" xfId="92" applyNumberFormat="1" applyFont="1" applyBorder="1" applyAlignment="1">
      <alignment horizontal="center"/>
    </xf>
    <xf numFmtId="0" fontId="82" fillId="13" borderId="13" xfId="0" applyFont="1" applyFill="1" applyBorder="1" applyAlignment="1">
      <alignment horizontal="center" vertical="center" wrapText="1"/>
    </xf>
    <xf numFmtId="1" fontId="83" fillId="0" borderId="11" xfId="0" applyNumberFormat="1" applyFont="1" applyBorder="1" applyAlignment="1">
      <alignment horizontal="center"/>
    </xf>
    <xf numFmtId="1" fontId="83" fillId="16" borderId="11" xfId="0" applyNumberFormat="1" applyFont="1" applyFill="1" applyBorder="1" applyAlignment="1">
      <alignment horizontal="center"/>
    </xf>
    <xf numFmtId="165" fontId="83" fillId="0" borderId="27" xfId="0" applyNumberFormat="1" applyFont="1" applyBorder="1" applyAlignment="1">
      <alignment horizontal="center"/>
    </xf>
    <xf numFmtId="0" fontId="83" fillId="0" borderId="27" xfId="0" applyFont="1" applyBorder="1" applyAlignment="1">
      <alignment horizontal="center"/>
    </xf>
    <xf numFmtId="165" fontId="83" fillId="16" borderId="27" xfId="0" applyNumberFormat="1" applyFont="1" applyFill="1" applyBorder="1" applyAlignment="1">
      <alignment horizontal="center"/>
    </xf>
    <xf numFmtId="165" fontId="83" fillId="16" borderId="74" xfId="92" applyNumberFormat="1" applyFont="1" applyFill="1" applyBorder="1" applyAlignment="1">
      <alignment horizontal="center"/>
    </xf>
    <xf numFmtId="165" fontId="83" fillId="16" borderId="38" xfId="92" applyNumberFormat="1" applyFont="1" applyFill="1" applyBorder="1" applyAlignment="1">
      <alignment horizontal="center"/>
    </xf>
    <xf numFmtId="165" fontId="83" fillId="0" borderId="38" xfId="0" applyNumberFormat="1" applyFont="1" applyBorder="1" applyAlignment="1">
      <alignment horizontal="center"/>
    </xf>
    <xf numFmtId="0" fontId="83" fillId="0" borderId="38" xfId="0" applyFont="1" applyBorder="1" applyAlignment="1">
      <alignment horizontal="center"/>
    </xf>
    <xf numFmtId="165" fontId="83" fillId="16" borderId="38" xfId="0" applyNumberFormat="1" applyFont="1" applyFill="1" applyBorder="1" applyAlignment="1">
      <alignment horizontal="center"/>
    </xf>
    <xf numFmtId="1" fontId="83" fillId="16" borderId="19" xfId="0" applyNumberFormat="1" applyFont="1" applyFill="1" applyBorder="1" applyAlignment="1">
      <alignment horizontal="center"/>
    </xf>
    <xf numFmtId="165" fontId="83" fillId="0" borderId="38" xfId="92" applyNumberFormat="1" applyFont="1" applyBorder="1" applyAlignment="1">
      <alignment horizontal="center"/>
    </xf>
    <xf numFmtId="165" fontId="83" fillId="0" borderId="39" xfId="92" applyNumberFormat="1" applyFont="1" applyBorder="1" applyAlignment="1">
      <alignment horizontal="center"/>
    </xf>
    <xf numFmtId="165" fontId="83" fillId="0" borderId="11" xfId="0" applyNumberFormat="1" applyFont="1" applyBorder="1" applyAlignment="1">
      <alignment horizontal="center"/>
    </xf>
    <xf numFmtId="0" fontId="83" fillId="0" borderId="11" xfId="0" applyFont="1" applyBorder="1" applyAlignment="1">
      <alignment horizontal="center"/>
    </xf>
    <xf numFmtId="165" fontId="83" fillId="16" borderId="11" xfId="0" applyNumberFormat="1" applyFont="1" applyFill="1" applyBorder="1" applyAlignment="1">
      <alignment horizontal="center"/>
    </xf>
    <xf numFmtId="165" fontId="83" fillId="16" borderId="19" xfId="0" applyNumberFormat="1" applyFont="1" applyFill="1" applyBorder="1" applyAlignment="1">
      <alignment horizontal="center"/>
    </xf>
    <xf numFmtId="165" fontId="83" fillId="16" borderId="61" xfId="0" applyNumberFormat="1" applyFont="1" applyFill="1" applyBorder="1" applyAlignment="1">
      <alignment horizontal="center"/>
    </xf>
    <xf numFmtId="165" fontId="83" fillId="16" borderId="39" xfId="0" applyNumberFormat="1" applyFont="1" applyFill="1" applyBorder="1" applyAlignment="1">
      <alignment horizontal="center"/>
    </xf>
    <xf numFmtId="1" fontId="83" fillId="0" borderId="3" xfId="0" applyNumberFormat="1" applyFont="1" applyBorder="1" applyAlignment="1">
      <alignment horizontal="center"/>
    </xf>
    <xf numFmtId="1" fontId="83" fillId="0" borderId="9" xfId="0" applyNumberFormat="1" applyFont="1" applyBorder="1" applyAlignment="1">
      <alignment horizontal="center"/>
    </xf>
    <xf numFmtId="1" fontId="83" fillId="16" borderId="3" xfId="0" applyNumberFormat="1" applyFont="1" applyFill="1" applyBorder="1" applyAlignment="1">
      <alignment horizontal="center"/>
    </xf>
    <xf numFmtId="1" fontId="83" fillId="16" borderId="9" xfId="0" applyNumberFormat="1" applyFont="1" applyFill="1" applyBorder="1" applyAlignment="1">
      <alignment horizontal="center"/>
    </xf>
    <xf numFmtId="1" fontId="83" fillId="16" borderId="42" xfId="0" applyNumberFormat="1" applyFont="1" applyFill="1" applyBorder="1" applyAlignment="1">
      <alignment horizontal="center"/>
    </xf>
    <xf numFmtId="0" fontId="73" fillId="14" borderId="10" xfId="0" applyFont="1" applyFill="1" applyBorder="1" applyAlignment="1">
      <alignment horizontal="center"/>
    </xf>
    <xf numFmtId="0" fontId="73" fillId="14" borderId="28" xfId="0" applyFont="1" applyFill="1" applyBorder="1" applyAlignment="1">
      <alignment horizontal="center"/>
    </xf>
    <xf numFmtId="0" fontId="45" fillId="14" borderId="0" xfId="0" applyFont="1" applyFill="1" applyBorder="1" applyAlignment="1">
      <alignment horizontal="center"/>
    </xf>
    <xf numFmtId="0" fontId="45" fillId="14" borderId="15" xfId="0" applyFont="1" applyFill="1" applyBorder="1" applyAlignment="1">
      <alignment horizontal="center"/>
    </xf>
    <xf numFmtId="165" fontId="83" fillId="16" borderId="140" xfId="92" applyNumberFormat="1" applyFont="1" applyFill="1" applyBorder="1" applyAlignment="1">
      <alignment horizontal="center"/>
    </xf>
    <xf numFmtId="165" fontId="83" fillId="16" borderId="72" xfId="92" applyNumberFormat="1" applyFont="1" applyFill="1" applyBorder="1" applyAlignment="1">
      <alignment horizontal="center"/>
    </xf>
    <xf numFmtId="165" fontId="83" fillId="0" borderId="80" xfId="92" applyNumberFormat="1" applyFont="1" applyBorder="1" applyAlignment="1">
      <alignment horizontal="center"/>
    </xf>
    <xf numFmtId="165" fontId="83" fillId="0" borderId="76" xfId="92" applyNumberFormat="1" applyFont="1" applyBorder="1" applyAlignment="1">
      <alignment horizontal="center"/>
    </xf>
    <xf numFmtId="165" fontId="83" fillId="16" borderId="80" xfId="92" applyNumberFormat="1" applyFont="1" applyFill="1" applyBorder="1" applyAlignment="1">
      <alignment horizontal="center"/>
    </xf>
    <xf numFmtId="0" fontId="44" fillId="2" borderId="14" xfId="0" applyFont="1" applyFill="1" applyBorder="1" applyAlignment="1">
      <alignment horizontal="left"/>
    </xf>
    <xf numFmtId="0" fontId="44" fillId="2" borderId="8" xfId="0" applyFont="1" applyFill="1" applyBorder="1" applyAlignment="1">
      <alignment horizontal="left"/>
    </xf>
    <xf numFmtId="165" fontId="33" fillId="0" borderId="10" xfId="0" applyNumberFormat="1" applyFont="1" applyFill="1" applyBorder="1" applyAlignment="1">
      <alignment horizontal="center"/>
    </xf>
    <xf numFmtId="165" fontId="33" fillId="0" borderId="28" xfId="0" applyNumberFormat="1" applyFont="1" applyFill="1" applyBorder="1" applyAlignment="1">
      <alignment horizontal="center"/>
    </xf>
    <xf numFmtId="165" fontId="33" fillId="0" borderId="12" xfId="0" applyNumberFormat="1" applyFont="1" applyFill="1" applyBorder="1" applyAlignment="1">
      <alignment horizontal="center"/>
    </xf>
    <xf numFmtId="0" fontId="53" fillId="3" borderId="76" xfId="0" applyFont="1" applyFill="1" applyBorder="1" applyAlignment="1">
      <alignment horizontal="center"/>
    </xf>
    <xf numFmtId="0" fontId="53" fillId="3" borderId="11" xfId="0" applyFont="1" applyFill="1" applyBorder="1" applyAlignment="1">
      <alignment horizontal="center"/>
    </xf>
    <xf numFmtId="1" fontId="53" fillId="3" borderId="75" xfId="0" applyNumberFormat="1" applyFont="1" applyFill="1" applyBorder="1" applyAlignment="1">
      <alignment horizontal="center"/>
    </xf>
    <xf numFmtId="0" fontId="53" fillId="3" borderId="3" xfId="0" applyFont="1" applyFill="1" applyBorder="1" applyAlignment="1">
      <alignment horizontal="center"/>
    </xf>
    <xf numFmtId="0" fontId="53" fillId="3" borderId="4" xfId="0" applyFont="1" applyFill="1" applyBorder="1" applyAlignment="1">
      <alignment horizontal="center"/>
    </xf>
    <xf numFmtId="0" fontId="53" fillId="3" borderId="9" xfId="0" applyFont="1" applyFill="1" applyBorder="1" applyAlignment="1">
      <alignment horizontal="center"/>
    </xf>
    <xf numFmtId="1" fontId="44" fillId="3" borderId="11" xfId="0" applyNumberFormat="1" applyFont="1" applyFill="1" applyBorder="1" applyAlignment="1">
      <alignment horizontal="center"/>
    </xf>
    <xf numFmtId="1" fontId="53" fillId="3" borderId="150" xfId="0" applyNumberFormat="1" applyFont="1" applyFill="1" applyBorder="1" applyAlignment="1">
      <alignment horizontal="center"/>
    </xf>
    <xf numFmtId="1" fontId="44" fillId="3" borderId="75" xfId="0" applyNumberFormat="1" applyFont="1" applyFill="1" applyBorder="1" applyAlignment="1">
      <alignment horizontal="center"/>
    </xf>
    <xf numFmtId="1" fontId="44" fillId="3" borderId="150" xfId="0" applyNumberFormat="1" applyFont="1" applyFill="1" applyBorder="1" applyAlignment="1">
      <alignment horizontal="center"/>
    </xf>
    <xf numFmtId="1" fontId="44" fillId="3" borderId="76" xfId="0" applyNumberFormat="1" applyFont="1" applyFill="1" applyBorder="1" applyAlignment="1">
      <alignment horizontal="center" wrapText="1"/>
    </xf>
    <xf numFmtId="1" fontId="44" fillId="3" borderId="75" xfId="0" applyNumberFormat="1" applyFont="1" applyFill="1" applyBorder="1" applyAlignment="1">
      <alignment horizontal="center" wrapText="1"/>
    </xf>
    <xf numFmtId="1" fontId="44" fillId="3" borderId="150" xfId="0" applyNumberFormat="1" applyFont="1" applyFill="1" applyBorder="1" applyAlignment="1">
      <alignment horizontal="center" wrapText="1"/>
    </xf>
    <xf numFmtId="1" fontId="44" fillId="3" borderId="76" xfId="0" applyNumberFormat="1" applyFont="1" applyFill="1" applyBorder="1" applyAlignment="1">
      <alignment horizontal="center"/>
    </xf>
    <xf numFmtId="0" fontId="53" fillId="3" borderId="77" xfId="0" applyFont="1" applyFill="1" applyBorder="1" applyAlignment="1">
      <alignment horizontal="center"/>
    </xf>
    <xf numFmtId="0" fontId="53" fillId="3" borderId="78" xfId="0" applyFont="1" applyFill="1" applyBorder="1" applyAlignment="1">
      <alignment horizontal="center"/>
    </xf>
    <xf numFmtId="0" fontId="53" fillId="3" borderId="151" xfId="0" applyFont="1" applyFill="1" applyBorder="1" applyAlignment="1">
      <alignment horizontal="center"/>
    </xf>
    <xf numFmtId="0" fontId="53" fillId="2" borderId="20" xfId="0" applyFont="1" applyFill="1" applyBorder="1" applyAlignment="1">
      <alignment horizontal="center"/>
    </xf>
    <xf numFmtId="0" fontId="53" fillId="2" borderId="24" xfId="0" applyFont="1" applyFill="1" applyBorder="1" applyAlignment="1">
      <alignment horizontal="center"/>
    </xf>
    <xf numFmtId="0" fontId="44" fillId="2" borderId="3" xfId="0" applyFont="1" applyFill="1" applyBorder="1" applyAlignment="1">
      <alignment horizontal="center"/>
    </xf>
    <xf numFmtId="0" fontId="44" fillId="2" borderId="4" xfId="0" applyFont="1" applyFill="1" applyBorder="1" applyAlignment="1">
      <alignment horizontal="center"/>
    </xf>
    <xf numFmtId="1" fontId="44" fillId="0" borderId="0" xfId="0" applyNumberFormat="1" applyFont="1" applyFill="1" applyBorder="1" applyAlignment="1">
      <alignment horizontal="center"/>
    </xf>
    <xf numFmtId="0" fontId="60" fillId="10" borderId="0" xfId="0" applyFont="1" applyFill="1" applyBorder="1" applyAlignment="1">
      <alignment horizontal="center"/>
    </xf>
    <xf numFmtId="0" fontId="53" fillId="3" borderId="75" xfId="0" applyFont="1" applyFill="1" applyBorder="1" applyAlignment="1">
      <alignment horizontal="center"/>
    </xf>
    <xf numFmtId="0" fontId="53" fillId="3" borderId="150" xfId="0" applyFont="1" applyFill="1" applyBorder="1" applyAlignment="1">
      <alignment horizontal="center"/>
    </xf>
    <xf numFmtId="0" fontId="44" fillId="2" borderId="14" xfId="0" applyFont="1" applyFill="1" applyBorder="1" applyAlignment="1">
      <alignment horizontal="center"/>
    </xf>
    <xf numFmtId="0" fontId="44" fillId="2" borderId="8" xfId="0" applyFont="1" applyFill="1" applyBorder="1" applyAlignment="1">
      <alignment horizontal="center"/>
    </xf>
    <xf numFmtId="0" fontId="55" fillId="2" borderId="14" xfId="0" applyFont="1" applyFill="1" applyBorder="1" applyAlignment="1">
      <alignment horizontal="center"/>
    </xf>
    <xf numFmtId="0" fontId="55" fillId="2" borderId="8" xfId="0" applyFont="1" applyFill="1" applyBorder="1" applyAlignment="1">
      <alignment horizontal="center"/>
    </xf>
    <xf numFmtId="1" fontId="53" fillId="3" borderId="11" xfId="0" applyNumberFormat="1" applyFont="1" applyFill="1" applyBorder="1" applyAlignment="1">
      <alignment horizontal="center"/>
    </xf>
    <xf numFmtId="2" fontId="44" fillId="4" borderId="58" xfId="0" applyNumberFormat="1" applyFont="1" applyFill="1" applyBorder="1" applyAlignment="1">
      <alignment horizontal="center"/>
    </xf>
    <xf numFmtId="2" fontId="44" fillId="4" borderId="42" xfId="0" applyNumberFormat="1" applyFont="1" applyFill="1" applyBorder="1" applyAlignment="1">
      <alignment horizontal="center"/>
    </xf>
    <xf numFmtId="1" fontId="44" fillId="8" borderId="3" xfId="0" applyNumberFormat="1" applyFont="1" applyFill="1" applyBorder="1" applyAlignment="1">
      <alignment horizontal="center"/>
    </xf>
    <xf numFmtId="1" fontId="44" fillId="8" borderId="42" xfId="0" applyNumberFormat="1" applyFont="1" applyFill="1" applyBorder="1" applyAlignment="1">
      <alignment horizontal="center"/>
    </xf>
    <xf numFmtId="165" fontId="53" fillId="10" borderId="16" xfId="0" applyNumberFormat="1" applyFont="1" applyFill="1" applyBorder="1" applyAlignment="1">
      <alignment horizontal="center" wrapText="1"/>
    </xf>
    <xf numFmtId="165" fontId="53" fillId="10" borderId="31" xfId="0" applyNumberFormat="1" applyFont="1" applyFill="1" applyBorder="1" applyAlignment="1">
      <alignment horizontal="center" wrapText="1"/>
    </xf>
    <xf numFmtId="0" fontId="56" fillId="8" borderId="58" xfId="0" applyFont="1" applyFill="1" applyBorder="1" applyAlignment="1">
      <alignment horizontal="center"/>
    </xf>
    <xf numFmtId="0" fontId="56" fillId="8" borderId="42" xfId="0" applyFont="1" applyFill="1" applyBorder="1" applyAlignment="1">
      <alignment horizontal="center"/>
    </xf>
    <xf numFmtId="171" fontId="89" fillId="4" borderId="3" xfId="0" applyNumberFormat="1" applyFont="1" applyFill="1" applyBorder="1" applyAlignment="1">
      <alignment horizontal="center"/>
    </xf>
    <xf numFmtId="171" fontId="89" fillId="4" borderId="42" xfId="0" applyNumberFormat="1" applyFont="1" applyFill="1" applyBorder="1" applyAlignment="1">
      <alignment horizontal="center"/>
    </xf>
    <xf numFmtId="165" fontId="53" fillId="10" borderId="4" xfId="0" applyNumberFormat="1" applyFont="1" applyFill="1" applyBorder="1" applyAlignment="1">
      <alignment horizontal="center"/>
    </xf>
    <xf numFmtId="165" fontId="53" fillId="10" borderId="9" xfId="0" applyNumberFormat="1" applyFont="1" applyFill="1" applyBorder="1" applyAlignment="1">
      <alignment horizontal="center"/>
    </xf>
    <xf numFmtId="0" fontId="44" fillId="2" borderId="9" xfId="0" applyFont="1" applyFill="1" applyBorder="1" applyAlignment="1">
      <alignment horizontal="center"/>
    </xf>
    <xf numFmtId="0" fontId="40" fillId="8" borderId="3" xfId="0" applyFont="1" applyFill="1" applyBorder="1" applyAlignment="1">
      <alignment horizontal="center"/>
    </xf>
    <xf numFmtId="0" fontId="40" fillId="8" borderId="9" xfId="0" applyFont="1" applyFill="1" applyBorder="1" applyAlignment="1">
      <alignment horizontal="center"/>
    </xf>
    <xf numFmtId="0" fontId="56" fillId="8" borderId="3" xfId="0" applyFont="1" applyFill="1" applyBorder="1" applyAlignment="1">
      <alignment horizontal="center"/>
    </xf>
    <xf numFmtId="0" fontId="56" fillId="8" borderId="9" xfId="0" applyFont="1" applyFill="1" applyBorder="1" applyAlignment="1">
      <alignment horizontal="center"/>
    </xf>
    <xf numFmtId="2" fontId="89" fillId="4" borderId="3" xfId="0" applyNumberFormat="1" applyFont="1" applyFill="1" applyBorder="1" applyAlignment="1">
      <alignment horizontal="center"/>
    </xf>
    <xf numFmtId="2" fontId="89" fillId="4" borderId="42" xfId="0" applyNumberFormat="1" applyFont="1" applyFill="1" applyBorder="1" applyAlignment="1">
      <alignment horizontal="center"/>
    </xf>
    <xf numFmtId="165" fontId="53" fillId="10" borderId="6" xfId="0" applyNumberFormat="1" applyFont="1" applyFill="1" applyBorder="1" applyAlignment="1">
      <alignment horizontal="center"/>
    </xf>
    <xf numFmtId="165" fontId="53" fillId="10" borderId="7" xfId="0" applyNumberFormat="1" applyFont="1" applyFill="1" applyBorder="1" applyAlignment="1">
      <alignment horizontal="center"/>
    </xf>
    <xf numFmtId="165" fontId="53" fillId="10" borderId="31" xfId="0" applyNumberFormat="1" applyFont="1" applyFill="1" applyBorder="1" applyAlignment="1">
      <alignment horizontal="center"/>
    </xf>
    <xf numFmtId="1" fontId="44" fillId="8" borderId="9" xfId="0" applyNumberFormat="1" applyFont="1" applyFill="1" applyBorder="1" applyAlignment="1">
      <alignment horizontal="center"/>
    </xf>
    <xf numFmtId="0" fontId="44" fillId="2" borderId="4" xfId="0" applyFont="1" applyFill="1" applyBorder="1" applyAlignment="1">
      <alignment horizontal="center" wrapText="1"/>
    </xf>
    <xf numFmtId="0" fontId="44" fillId="2" borderId="9" xfId="0" applyFont="1" applyFill="1" applyBorder="1" applyAlignment="1">
      <alignment horizontal="center" wrapText="1"/>
    </xf>
    <xf numFmtId="2" fontId="44" fillId="4" borderId="3" xfId="0" applyNumberFormat="1" applyFont="1" applyFill="1" applyBorder="1" applyAlignment="1">
      <alignment horizontal="center"/>
    </xf>
    <xf numFmtId="2" fontId="44" fillId="4" borderId="9" xfId="0" applyNumberFormat="1" applyFont="1" applyFill="1" applyBorder="1" applyAlignment="1">
      <alignment horizontal="center"/>
    </xf>
    <xf numFmtId="165" fontId="53" fillId="10" borderId="16" xfId="0" applyNumberFormat="1" applyFont="1" applyFill="1" applyBorder="1" applyAlignment="1">
      <alignment horizontal="center"/>
    </xf>
    <xf numFmtId="1" fontId="45" fillId="5" borderId="6" xfId="4" applyNumberFormat="1" applyFont="1" applyFill="1" applyBorder="1" applyAlignment="1">
      <alignment horizontal="center"/>
    </xf>
    <xf numFmtId="1" fontId="45" fillId="5" borderId="5" xfId="4" applyNumberFormat="1" applyFont="1" applyFill="1" applyBorder="1" applyAlignment="1">
      <alignment horizontal="center"/>
    </xf>
    <xf numFmtId="0" fontId="3" fillId="0" borderId="0" xfId="4" applyFont="1" applyAlignment="1">
      <alignment horizontal="center"/>
    </xf>
    <xf numFmtId="0" fontId="32" fillId="0" borderId="0" xfId="4" applyAlignment="1">
      <alignment horizontal="center"/>
    </xf>
    <xf numFmtId="167" fontId="3" fillId="0" borderId="0" xfId="45306" applyNumberFormat="1" applyFont="1" applyAlignment="1"/>
    <xf numFmtId="0" fontId="50" fillId="0" borderId="11" xfId="4" applyFont="1" applyBorder="1" applyAlignment="1">
      <alignment horizontal="center" wrapText="1"/>
    </xf>
    <xf numFmtId="1" fontId="50" fillId="0" borderId="11" xfId="4" applyNumberFormat="1" applyFont="1" applyBorder="1" applyAlignment="1">
      <alignment horizontal="center" wrapText="1"/>
    </xf>
    <xf numFmtId="2" fontId="50" fillId="0" borderId="11" xfId="4" applyNumberFormat="1" applyFont="1" applyBorder="1" applyAlignment="1">
      <alignment horizontal="center" wrapText="1"/>
    </xf>
    <xf numFmtId="0" fontId="50" fillId="0" borderId="11" xfId="4" applyFont="1" applyBorder="1" applyAlignment="1">
      <alignment horizontal="center"/>
    </xf>
    <xf numFmtId="0" fontId="121" fillId="0" borderId="11" xfId="4" applyFont="1" applyBorder="1" applyAlignment="1">
      <alignment horizontal="center" wrapText="1"/>
    </xf>
    <xf numFmtId="1" fontId="121" fillId="0" borderId="11" xfId="4" applyNumberFormat="1" applyFont="1" applyBorder="1" applyAlignment="1">
      <alignment horizontal="center" wrapText="1"/>
    </xf>
    <xf numFmtId="2" fontId="121" fillId="0" borderId="11" xfId="4" applyNumberFormat="1" applyFont="1" applyBorder="1" applyAlignment="1">
      <alignment horizontal="center" wrapText="1"/>
    </xf>
    <xf numFmtId="0" fontId="121" fillId="0" borderId="3" xfId="4" applyFont="1" applyBorder="1" applyAlignment="1">
      <alignment horizontal="center" wrapText="1"/>
    </xf>
    <xf numFmtId="0" fontId="121" fillId="0" borderId="4" xfId="4" applyFont="1" applyBorder="1" applyAlignment="1">
      <alignment horizontal="center" wrapText="1"/>
    </xf>
    <xf numFmtId="0" fontId="121" fillId="0" borderId="9" xfId="4" applyFont="1" applyBorder="1" applyAlignment="1">
      <alignment horizontal="center" wrapText="1"/>
    </xf>
    <xf numFmtId="165" fontId="121" fillId="0" borderId="11" xfId="4" applyNumberFormat="1" applyFont="1" applyBorder="1" applyAlignment="1">
      <alignment horizontal="center" wrapText="1"/>
    </xf>
    <xf numFmtId="0" fontId="50" fillId="0" borderId="11" xfId="18" applyFont="1" applyBorder="1" applyAlignment="1">
      <alignment horizontal="center" wrapText="1"/>
    </xf>
    <xf numFmtId="1" fontId="50" fillId="0" borderId="11" xfId="18" applyNumberFormat="1" applyFont="1" applyBorder="1" applyAlignment="1">
      <alignment horizontal="center" wrapText="1"/>
    </xf>
    <xf numFmtId="2" fontId="50" fillId="0" borderId="11" xfId="18" applyNumberFormat="1" applyFont="1" applyBorder="1" applyAlignment="1">
      <alignment horizontal="center" wrapText="1"/>
    </xf>
    <xf numFmtId="0" fontId="50" fillId="0" borderId="11" xfId="18" applyFont="1" applyBorder="1" applyAlignment="1">
      <alignment horizontal="center"/>
    </xf>
    <xf numFmtId="0" fontId="90" fillId="15" borderId="14" xfId="0" applyFont="1" applyFill="1" applyBorder="1" applyAlignment="1">
      <alignment horizontal="center"/>
    </xf>
    <xf numFmtId="0" fontId="90" fillId="15" borderId="13" xfId="0" applyFont="1" applyFill="1" applyBorder="1" applyAlignment="1">
      <alignment horizontal="center"/>
    </xf>
    <xf numFmtId="0" fontId="90" fillId="13" borderId="0" xfId="0" applyFont="1" applyFill="1" applyBorder="1" applyAlignment="1">
      <alignment horizontal="center" vertical="center" wrapText="1"/>
    </xf>
    <xf numFmtId="0" fontId="78" fillId="13" borderId="47" xfId="0" applyFont="1" applyFill="1" applyBorder="1" applyAlignment="1">
      <alignment horizontal="center" vertical="center"/>
    </xf>
    <xf numFmtId="0" fontId="78" fillId="13" borderId="23" xfId="0" applyFont="1" applyFill="1" applyBorder="1" applyAlignment="1">
      <alignment horizontal="center" vertical="center"/>
    </xf>
    <xf numFmtId="0" fontId="78" fillId="13" borderId="37" xfId="0" applyFont="1" applyFill="1" applyBorder="1" applyAlignment="1">
      <alignment horizontal="center" vertical="center"/>
    </xf>
    <xf numFmtId="0" fontId="90" fillId="15" borderId="13" xfId="0" applyFont="1" applyFill="1" applyBorder="1" applyAlignment="1">
      <alignment horizontal="center" wrapText="1"/>
    </xf>
    <xf numFmtId="0" fontId="90" fillId="15" borderId="29" xfId="0" applyFont="1" applyFill="1" applyBorder="1" applyAlignment="1">
      <alignment horizontal="center" wrapText="1"/>
    </xf>
    <xf numFmtId="0" fontId="43" fillId="4" borderId="12" xfId="0" applyFont="1" applyFill="1" applyBorder="1" applyAlignment="1">
      <alignment horizontal="center" wrapText="1"/>
    </xf>
    <xf numFmtId="0" fontId="43" fillId="4" borderId="28" xfId="0" applyFont="1" applyFill="1" applyBorder="1" applyAlignment="1">
      <alignment horizontal="center" wrapText="1"/>
    </xf>
    <xf numFmtId="0" fontId="43" fillId="4" borderId="14" xfId="0" applyFont="1" applyFill="1" applyBorder="1" applyAlignment="1">
      <alignment horizontal="center" wrapText="1"/>
    </xf>
    <xf numFmtId="0" fontId="43" fillId="4" borderId="15" xfId="0" applyFont="1" applyFill="1" applyBorder="1" applyAlignment="1">
      <alignment horizontal="center" wrapText="1"/>
    </xf>
    <xf numFmtId="0" fontId="43" fillId="4" borderId="13" xfId="0" applyFont="1" applyFill="1" applyBorder="1" applyAlignment="1">
      <alignment horizontal="center" wrapText="1"/>
    </xf>
    <xf numFmtId="0" fontId="43" fillId="4" borderId="29" xfId="0" applyFont="1" applyFill="1" applyBorder="1" applyAlignment="1">
      <alignment horizontal="center" wrapText="1"/>
    </xf>
    <xf numFmtId="0" fontId="78" fillId="13" borderId="45" xfId="0" applyFont="1" applyFill="1" applyBorder="1" applyAlignment="1">
      <alignment horizontal="center" vertical="center" wrapText="1"/>
    </xf>
    <xf numFmtId="0" fontId="78" fillId="13" borderId="57" xfId="0" applyFont="1" applyFill="1" applyBorder="1" applyAlignment="1">
      <alignment horizontal="center" vertical="center" wrapText="1"/>
    </xf>
    <xf numFmtId="0" fontId="78" fillId="13" borderId="53" xfId="0" applyFont="1" applyFill="1" applyBorder="1" applyAlignment="1">
      <alignment horizontal="center" vertical="center" wrapText="1"/>
    </xf>
    <xf numFmtId="0" fontId="97" fillId="4" borderId="1" xfId="0" applyFont="1" applyFill="1" applyBorder="1" applyAlignment="1">
      <alignment horizontal="center"/>
    </xf>
    <xf numFmtId="0" fontId="90" fillId="13" borderId="17" xfId="0" applyFont="1" applyFill="1" applyBorder="1" applyAlignment="1">
      <alignment horizontal="center" vertical="center" wrapText="1"/>
    </xf>
    <xf numFmtId="0" fontId="78" fillId="13" borderId="47" xfId="0" applyFont="1" applyFill="1" applyBorder="1" applyAlignment="1">
      <alignment horizontal="center" vertical="center" wrapText="1"/>
    </xf>
    <xf numFmtId="0" fontId="78" fillId="13" borderId="23" xfId="0" applyFont="1" applyFill="1" applyBorder="1" applyAlignment="1">
      <alignment horizontal="center" vertical="center" wrapText="1"/>
    </xf>
    <xf numFmtId="0" fontId="78" fillId="13" borderId="22" xfId="0" applyFont="1" applyFill="1" applyBorder="1" applyAlignment="1">
      <alignment horizontal="center" vertical="center" wrapText="1"/>
    </xf>
    <xf numFmtId="0" fontId="78" fillId="13" borderId="22" xfId="0" applyFont="1" applyFill="1" applyBorder="1" applyAlignment="1">
      <alignment horizontal="center" vertical="center"/>
    </xf>
    <xf numFmtId="0" fontId="90" fillId="15" borderId="0" xfId="0" applyFont="1" applyFill="1" applyBorder="1" applyAlignment="1">
      <alignment horizontal="center" wrapText="1"/>
    </xf>
    <xf numFmtId="0" fontId="90" fillId="15" borderId="15" xfId="0" applyFont="1" applyFill="1" applyBorder="1" applyAlignment="1">
      <alignment horizontal="center" wrapText="1"/>
    </xf>
    <xf numFmtId="166" fontId="78" fillId="13" borderId="45" xfId="0" applyNumberFormat="1" applyFont="1" applyFill="1" applyBorder="1" applyAlignment="1">
      <alignment horizontal="center" vertical="center" wrapText="1"/>
    </xf>
    <xf numFmtId="166" fontId="78" fillId="13" borderId="57" xfId="0" applyNumberFormat="1" applyFont="1" applyFill="1" applyBorder="1" applyAlignment="1">
      <alignment horizontal="center" vertical="center" wrapText="1"/>
    </xf>
    <xf numFmtId="166" fontId="78" fillId="13" borderId="53" xfId="0" applyNumberFormat="1" applyFont="1" applyFill="1" applyBorder="1" applyAlignment="1">
      <alignment horizontal="center" vertical="center" wrapText="1"/>
    </xf>
    <xf numFmtId="0" fontId="78" fillId="13" borderId="5" xfId="0" applyFont="1" applyFill="1" applyBorder="1" applyAlignment="1">
      <alignment horizontal="center" vertical="center" wrapText="1"/>
    </xf>
    <xf numFmtId="0" fontId="78" fillId="13" borderId="17" xfId="0" applyFont="1" applyFill="1" applyBorder="1" applyAlignment="1">
      <alignment horizontal="center" vertical="center" wrapText="1"/>
    </xf>
    <xf numFmtId="0" fontId="78" fillId="13" borderId="0" xfId="0" applyFont="1" applyFill="1" applyBorder="1" applyAlignment="1">
      <alignment horizontal="center" vertical="center" wrapText="1"/>
    </xf>
    <xf numFmtId="0" fontId="43" fillId="0" borderId="0" xfId="0" applyFont="1" applyAlignment="1">
      <alignment horizontal="center" wrapText="1"/>
    </xf>
    <xf numFmtId="0" fontId="43" fillId="0" borderId="5" xfId="0" applyFont="1" applyBorder="1" applyAlignment="1">
      <alignment horizontal="center" wrapText="1"/>
    </xf>
    <xf numFmtId="0" fontId="43" fillId="4" borderId="0" xfId="0" applyFont="1" applyFill="1" applyAlignment="1">
      <alignment horizontal="center" wrapText="1"/>
    </xf>
    <xf numFmtId="0" fontId="43" fillId="4" borderId="0" xfId="0" applyFont="1" applyFill="1" applyBorder="1" applyAlignment="1">
      <alignment horizontal="center" wrapText="1"/>
    </xf>
    <xf numFmtId="0" fontId="78" fillId="13" borderId="37" xfId="0" applyFont="1" applyFill="1" applyBorder="1" applyAlignment="1">
      <alignment horizontal="center" vertical="center" wrapText="1"/>
    </xf>
    <xf numFmtId="0" fontId="96" fillId="13" borderId="45" xfId="0" applyFont="1" applyFill="1" applyBorder="1" applyAlignment="1">
      <alignment horizontal="center" vertical="center" wrapText="1"/>
    </xf>
    <xf numFmtId="0" fontId="96" fillId="13" borderId="57" xfId="0" applyFont="1" applyFill="1" applyBorder="1" applyAlignment="1">
      <alignment horizontal="center" vertical="center" wrapText="1"/>
    </xf>
    <xf numFmtId="0" fontId="78" fillId="15" borderId="58" xfId="0" applyFont="1" applyFill="1" applyBorder="1" applyAlignment="1">
      <alignment horizontal="center"/>
    </xf>
    <xf numFmtId="0" fontId="78" fillId="15" borderId="42" xfId="0" applyFont="1" applyFill="1" applyBorder="1" applyAlignment="1">
      <alignment horizontal="center"/>
    </xf>
    <xf numFmtId="0" fontId="121" fillId="0" borderId="11" xfId="4" applyFont="1" applyBorder="1" applyAlignment="1">
      <alignment horizontal="center"/>
    </xf>
    <xf numFmtId="0" fontId="111" fillId="17" borderId="11" xfId="0" applyFont="1" applyFill="1" applyBorder="1" applyAlignment="1">
      <alignment vertical="center" wrapText="1"/>
    </xf>
    <xf numFmtId="0" fontId="50" fillId="17" borderId="27" xfId="0" applyFont="1" applyFill="1" applyBorder="1" applyAlignment="1">
      <alignment vertical="center" wrapText="1"/>
    </xf>
    <xf numFmtId="0" fontId="50" fillId="17" borderId="44" xfId="0" applyFont="1" applyFill="1" applyBorder="1" applyAlignment="1">
      <alignment vertical="center" wrapText="1"/>
    </xf>
  </cellXfs>
  <cellStyles count="60021">
    <cellStyle name="20% - Accent1" xfId="65" builtinId="30" customBuiltin="1"/>
    <cellStyle name="20% - Accent1 10" xfId="18319"/>
    <cellStyle name="20% - Accent1 10 2" xfId="53162"/>
    <cellStyle name="20% - Accent1 11" xfId="2732"/>
    <cellStyle name="20% - Accent1 11 2" xfId="47447"/>
    <cellStyle name="20% - Accent1 12" xfId="38440"/>
    <cellStyle name="20% - Accent1 12 2" xfId="53599"/>
    <cellStyle name="20% - Accent1 13" xfId="45292"/>
    <cellStyle name="20% - Accent1 2" xfId="183"/>
    <cellStyle name="20% - Accent1 2 10" xfId="45418"/>
    <cellStyle name="20% - Accent1 2 2" xfId="940"/>
    <cellStyle name="20% - Accent1 2 2 2" xfId="5289"/>
    <cellStyle name="20% - Accent1 2 2 2 2" xfId="49974"/>
    <cellStyle name="20% - Accent1 2 2 3" xfId="11750"/>
    <cellStyle name="20% - Accent1 2 2 3 2" xfId="52004"/>
    <cellStyle name="20% - Accent1 2 2 4" xfId="3175"/>
    <cellStyle name="20% - Accent1 2 2 4 2" xfId="47869"/>
    <cellStyle name="20% - Accent1 2 2 5" xfId="44126"/>
    <cellStyle name="20% - Accent1 2 2 5 2" xfId="59252"/>
    <cellStyle name="20% - Accent1 2 2 6" xfId="46170"/>
    <cellStyle name="20% - Accent1 2 3" xfId="1242"/>
    <cellStyle name="20% - Accent1 2 3 2" xfId="5591"/>
    <cellStyle name="20% - Accent1 2 3 2 2" xfId="50276"/>
    <cellStyle name="20% - Accent1 2 3 3" xfId="12052"/>
    <cellStyle name="20% - Accent1 2 3 3 2" xfId="52306"/>
    <cellStyle name="20% - Accent1 2 3 4" xfId="3525"/>
    <cellStyle name="20% - Accent1 2 3 4 2" xfId="48218"/>
    <cellStyle name="20% - Accent1 2 3 5" xfId="41890"/>
    <cellStyle name="20% - Accent1 2 3 5 2" xfId="57017"/>
    <cellStyle name="20% - Accent1 2 3 6" xfId="46472"/>
    <cellStyle name="20% - Accent1 2 4" xfId="1453"/>
    <cellStyle name="20% - Accent1 2 4 2" xfId="5802"/>
    <cellStyle name="20% - Accent1 2 4 2 2" xfId="50487"/>
    <cellStyle name="20% - Accent1 2 4 3" xfId="12263"/>
    <cellStyle name="20% - Accent1 2 4 3 2" xfId="52517"/>
    <cellStyle name="20% - Accent1 2 4 4" xfId="3752"/>
    <cellStyle name="20% - Accent1 2 4 4 2" xfId="48445"/>
    <cellStyle name="20% - Accent1 2 4 5" xfId="46683"/>
    <cellStyle name="20% - Accent1 2 5" xfId="608"/>
    <cellStyle name="20% - Accent1 2 5 2" xfId="4957"/>
    <cellStyle name="20% - Accent1 2 5 2 2" xfId="49642"/>
    <cellStyle name="20% - Accent1 2 5 3" xfId="11418"/>
    <cellStyle name="20% - Accent1 2 5 3 2" xfId="51672"/>
    <cellStyle name="20% - Accent1 2 5 4" xfId="4111"/>
    <cellStyle name="20% - Accent1 2 5 4 2" xfId="48801"/>
    <cellStyle name="20% - Accent1 2 5 5" xfId="45838"/>
    <cellStyle name="20% - Accent1 2 6" xfId="4532"/>
    <cellStyle name="20% - Accent1 2 6 2" xfId="49222"/>
    <cellStyle name="20% - Accent1 2 7" xfId="10998"/>
    <cellStyle name="20% - Accent1 2 7 2" xfId="51252"/>
    <cellStyle name="20% - Accent1 2 8" xfId="2842"/>
    <cellStyle name="20% - Accent1 2 8 2" xfId="47536"/>
    <cellStyle name="20% - Accent1 2 9" xfId="39610"/>
    <cellStyle name="20% - Accent1 2 9 2" xfId="54738"/>
    <cellStyle name="20% - Accent1 3" xfId="277"/>
    <cellStyle name="20% - Accent1 3 2" xfId="1331"/>
    <cellStyle name="20% - Accent1 3 2 2" xfId="5680"/>
    <cellStyle name="20% - Accent1 3 2 2 2" xfId="50365"/>
    <cellStyle name="20% - Accent1 3 2 3" xfId="12141"/>
    <cellStyle name="20% - Accent1 3 2 3 2" xfId="52395"/>
    <cellStyle name="20% - Accent1 3 2 4" xfId="3614"/>
    <cellStyle name="20% - Accent1 3 2 4 2" xfId="48307"/>
    <cellStyle name="20% - Accent1 3 2 5" xfId="46561"/>
    <cellStyle name="20% - Accent1 3 3" xfId="1542"/>
    <cellStyle name="20% - Accent1 3 3 2" xfId="5891"/>
    <cellStyle name="20% - Accent1 3 3 2 2" xfId="50576"/>
    <cellStyle name="20% - Accent1 3 3 3" xfId="12352"/>
    <cellStyle name="20% - Accent1 3 3 3 2" xfId="52606"/>
    <cellStyle name="20% - Accent1 3 3 4" xfId="3841"/>
    <cellStyle name="20% - Accent1 3 3 4 2" xfId="48534"/>
    <cellStyle name="20% - Accent1 3 3 5" xfId="46772"/>
    <cellStyle name="20% - Accent1 3 4" xfId="1029"/>
    <cellStyle name="20% - Accent1 3 4 2" xfId="5378"/>
    <cellStyle name="20% - Accent1 3 4 2 2" xfId="50063"/>
    <cellStyle name="20% - Accent1 3 4 3" xfId="11839"/>
    <cellStyle name="20% - Accent1 3 4 3 2" xfId="52093"/>
    <cellStyle name="20% - Accent1 3 4 4" xfId="4200"/>
    <cellStyle name="20% - Accent1 3 4 4 2" xfId="48890"/>
    <cellStyle name="20% - Accent1 3 4 5" xfId="46259"/>
    <cellStyle name="20% - Accent1 3 5" xfId="4626"/>
    <cellStyle name="20% - Accent1 3 5 2" xfId="49311"/>
    <cellStyle name="20% - Accent1 3 6" xfId="11087"/>
    <cellStyle name="20% - Accent1 3 6 2" xfId="51341"/>
    <cellStyle name="20% - Accent1 3 7" xfId="3264"/>
    <cellStyle name="20% - Accent1 3 7 2" xfId="47958"/>
    <cellStyle name="20% - Accent1 3 8" xfId="40328"/>
    <cellStyle name="20% - Accent1 3 8 2" xfId="55456"/>
    <cellStyle name="20% - Accent1 3 9" xfId="45507"/>
    <cellStyle name="20% - Accent1 4" xfId="398"/>
    <cellStyle name="20% - Accent1 4 2" xfId="1663"/>
    <cellStyle name="20% - Accent1 4 2 2" xfId="6012"/>
    <cellStyle name="20% - Accent1 4 2 2 2" xfId="50697"/>
    <cellStyle name="20% - Accent1 4 2 3" xfId="12473"/>
    <cellStyle name="20% - Accent1 4 2 3 2" xfId="52727"/>
    <cellStyle name="20% - Accent1 4 2 4" xfId="3962"/>
    <cellStyle name="20% - Accent1 4 2 4 2" xfId="48655"/>
    <cellStyle name="20% - Accent1 4 2 5" xfId="46893"/>
    <cellStyle name="20% - Accent1 4 3" xfId="1150"/>
    <cellStyle name="20% - Accent1 4 3 2" xfId="5499"/>
    <cellStyle name="20% - Accent1 4 3 2 2" xfId="50184"/>
    <cellStyle name="20% - Accent1 4 3 3" xfId="11960"/>
    <cellStyle name="20% - Accent1 4 3 3 2" xfId="52214"/>
    <cellStyle name="20% - Accent1 4 3 4" xfId="4321"/>
    <cellStyle name="20% - Accent1 4 3 4 2" xfId="49011"/>
    <cellStyle name="20% - Accent1 4 3 5" xfId="46380"/>
    <cellStyle name="20% - Accent1 4 4" xfId="4747"/>
    <cellStyle name="20% - Accent1 4 4 2" xfId="49432"/>
    <cellStyle name="20% - Accent1 4 5" xfId="11208"/>
    <cellStyle name="20% - Accent1 4 5 2" xfId="51462"/>
    <cellStyle name="20% - Accent1 4 6" xfId="3385"/>
    <cellStyle name="20% - Accent1 4 6 2" xfId="48079"/>
    <cellStyle name="20% - Accent1 4 7" xfId="45628"/>
    <cellStyle name="20% - Accent1 5" xfId="850"/>
    <cellStyle name="20% - Accent1 5 2" xfId="5199"/>
    <cellStyle name="20% - Accent1 5 2 2" xfId="49884"/>
    <cellStyle name="20% - Accent1 5 3" xfId="11660"/>
    <cellStyle name="20% - Accent1 5 3 2" xfId="51914"/>
    <cellStyle name="20% - Accent1 5 4" xfId="3085"/>
    <cellStyle name="20% - Accent1 5 4 2" xfId="47779"/>
    <cellStyle name="20% - Accent1 5 5" xfId="46080"/>
    <cellStyle name="20% - Accent1 6" xfId="729"/>
    <cellStyle name="20% - Accent1 6 2" xfId="5078"/>
    <cellStyle name="20% - Accent1 6 2 2" xfId="49763"/>
    <cellStyle name="20% - Accent1 6 3" xfId="11539"/>
    <cellStyle name="20% - Accent1 6 3 2" xfId="51793"/>
    <cellStyle name="20% - Accent1 6 4" xfId="2963"/>
    <cellStyle name="20% - Accent1 6 4 2" xfId="47657"/>
    <cellStyle name="20% - Accent1 6 5" xfId="45959"/>
    <cellStyle name="20% - Accent1 7" xfId="519"/>
    <cellStyle name="20% - Accent1 7 2" xfId="4868"/>
    <cellStyle name="20% - Accent1 7 2 2" xfId="49553"/>
    <cellStyle name="20% - Accent1 7 3" xfId="11329"/>
    <cellStyle name="20% - Accent1 7 3 2" xfId="51583"/>
    <cellStyle name="20% - Accent1 7 4" xfId="4068"/>
    <cellStyle name="20% - Accent1 7 4 2" xfId="48760"/>
    <cellStyle name="20% - Accent1 7 5" xfId="45749"/>
    <cellStyle name="20% - Accent1 8" xfId="2594"/>
    <cellStyle name="20% - Accent1 8 2" xfId="4442"/>
    <cellStyle name="20% - Accent1 8 2 2" xfId="49132"/>
    <cellStyle name="20% - Accent1 8 3" xfId="47326"/>
    <cellStyle name="20% - Accent1 9" xfId="10907"/>
    <cellStyle name="20% - Accent1 9 2" xfId="51162"/>
    <cellStyle name="20% - Accent2" xfId="69" builtinId="34" customBuiltin="1"/>
    <cellStyle name="20% - Accent2 10" xfId="18321"/>
    <cellStyle name="20% - Accent2 10 2" xfId="53164"/>
    <cellStyle name="20% - Accent2 11" xfId="2736"/>
    <cellStyle name="20% - Accent2 11 2" xfId="47449"/>
    <cellStyle name="20% - Accent2 12" xfId="38442"/>
    <cellStyle name="20% - Accent2 12 2" xfId="53601"/>
    <cellStyle name="20% - Accent2 13" xfId="45294"/>
    <cellStyle name="20% - Accent2 2" xfId="184"/>
    <cellStyle name="20% - Accent2 2 10" xfId="45419"/>
    <cellStyle name="20% - Accent2 2 2" xfId="941"/>
    <cellStyle name="20% - Accent2 2 2 2" xfId="5290"/>
    <cellStyle name="20% - Accent2 2 2 2 2" xfId="49975"/>
    <cellStyle name="20% - Accent2 2 2 3" xfId="11751"/>
    <cellStyle name="20% - Accent2 2 2 3 2" xfId="52005"/>
    <cellStyle name="20% - Accent2 2 2 4" xfId="3176"/>
    <cellStyle name="20% - Accent2 2 2 4 2" xfId="47870"/>
    <cellStyle name="20% - Accent2 2 2 5" xfId="44128"/>
    <cellStyle name="20% - Accent2 2 2 5 2" xfId="59254"/>
    <cellStyle name="20% - Accent2 2 2 6" xfId="46171"/>
    <cellStyle name="20% - Accent2 2 3" xfId="1243"/>
    <cellStyle name="20% - Accent2 2 3 2" xfId="5592"/>
    <cellStyle name="20% - Accent2 2 3 2 2" xfId="50277"/>
    <cellStyle name="20% - Accent2 2 3 3" xfId="12053"/>
    <cellStyle name="20% - Accent2 2 3 3 2" xfId="52307"/>
    <cellStyle name="20% - Accent2 2 3 4" xfId="3526"/>
    <cellStyle name="20% - Accent2 2 3 4 2" xfId="48219"/>
    <cellStyle name="20% - Accent2 2 3 5" xfId="41892"/>
    <cellStyle name="20% - Accent2 2 3 5 2" xfId="57019"/>
    <cellStyle name="20% - Accent2 2 3 6" xfId="46473"/>
    <cellStyle name="20% - Accent2 2 4" xfId="1454"/>
    <cellStyle name="20% - Accent2 2 4 2" xfId="5803"/>
    <cellStyle name="20% - Accent2 2 4 2 2" xfId="50488"/>
    <cellStyle name="20% - Accent2 2 4 3" xfId="12264"/>
    <cellStyle name="20% - Accent2 2 4 3 2" xfId="52518"/>
    <cellStyle name="20% - Accent2 2 4 4" xfId="3753"/>
    <cellStyle name="20% - Accent2 2 4 4 2" xfId="48446"/>
    <cellStyle name="20% - Accent2 2 4 5" xfId="46684"/>
    <cellStyle name="20% - Accent2 2 5" xfId="609"/>
    <cellStyle name="20% - Accent2 2 5 2" xfId="4958"/>
    <cellStyle name="20% - Accent2 2 5 2 2" xfId="49643"/>
    <cellStyle name="20% - Accent2 2 5 3" xfId="11419"/>
    <cellStyle name="20% - Accent2 2 5 3 2" xfId="51673"/>
    <cellStyle name="20% - Accent2 2 5 4" xfId="4112"/>
    <cellStyle name="20% - Accent2 2 5 4 2" xfId="48802"/>
    <cellStyle name="20% - Accent2 2 5 5" xfId="45839"/>
    <cellStyle name="20% - Accent2 2 6" xfId="4533"/>
    <cellStyle name="20% - Accent2 2 6 2" xfId="49223"/>
    <cellStyle name="20% - Accent2 2 7" xfId="10999"/>
    <cellStyle name="20% - Accent2 2 7 2" xfId="51253"/>
    <cellStyle name="20% - Accent2 2 8" xfId="2843"/>
    <cellStyle name="20% - Accent2 2 8 2" xfId="47537"/>
    <cellStyle name="20% - Accent2 2 9" xfId="39612"/>
    <cellStyle name="20% - Accent2 2 9 2" xfId="54740"/>
    <cellStyle name="20% - Accent2 3" xfId="278"/>
    <cellStyle name="20% - Accent2 3 2" xfId="1332"/>
    <cellStyle name="20% - Accent2 3 2 2" xfId="5681"/>
    <cellStyle name="20% - Accent2 3 2 2 2" xfId="50366"/>
    <cellStyle name="20% - Accent2 3 2 3" xfId="12142"/>
    <cellStyle name="20% - Accent2 3 2 3 2" xfId="52396"/>
    <cellStyle name="20% - Accent2 3 2 4" xfId="3615"/>
    <cellStyle name="20% - Accent2 3 2 4 2" xfId="48308"/>
    <cellStyle name="20% - Accent2 3 2 5" xfId="46562"/>
    <cellStyle name="20% - Accent2 3 3" xfId="1543"/>
    <cellStyle name="20% - Accent2 3 3 2" xfId="5892"/>
    <cellStyle name="20% - Accent2 3 3 2 2" xfId="50577"/>
    <cellStyle name="20% - Accent2 3 3 3" xfId="12353"/>
    <cellStyle name="20% - Accent2 3 3 3 2" xfId="52607"/>
    <cellStyle name="20% - Accent2 3 3 4" xfId="3842"/>
    <cellStyle name="20% - Accent2 3 3 4 2" xfId="48535"/>
    <cellStyle name="20% - Accent2 3 3 5" xfId="46773"/>
    <cellStyle name="20% - Accent2 3 4" xfId="1030"/>
    <cellStyle name="20% - Accent2 3 4 2" xfId="5379"/>
    <cellStyle name="20% - Accent2 3 4 2 2" xfId="50064"/>
    <cellStyle name="20% - Accent2 3 4 3" xfId="11840"/>
    <cellStyle name="20% - Accent2 3 4 3 2" xfId="52094"/>
    <cellStyle name="20% - Accent2 3 4 4" xfId="4201"/>
    <cellStyle name="20% - Accent2 3 4 4 2" xfId="48891"/>
    <cellStyle name="20% - Accent2 3 4 5" xfId="46260"/>
    <cellStyle name="20% - Accent2 3 5" xfId="4627"/>
    <cellStyle name="20% - Accent2 3 5 2" xfId="49312"/>
    <cellStyle name="20% - Accent2 3 6" xfId="11088"/>
    <cellStyle name="20% - Accent2 3 6 2" xfId="51342"/>
    <cellStyle name="20% - Accent2 3 7" xfId="3265"/>
    <cellStyle name="20% - Accent2 3 7 2" xfId="47959"/>
    <cellStyle name="20% - Accent2 3 8" xfId="40334"/>
    <cellStyle name="20% - Accent2 3 8 2" xfId="55462"/>
    <cellStyle name="20% - Accent2 3 9" xfId="45508"/>
    <cellStyle name="20% - Accent2 4" xfId="400"/>
    <cellStyle name="20% - Accent2 4 2" xfId="1665"/>
    <cellStyle name="20% - Accent2 4 2 2" xfId="6014"/>
    <cellStyle name="20% - Accent2 4 2 2 2" xfId="50699"/>
    <cellStyle name="20% - Accent2 4 2 3" xfId="12475"/>
    <cellStyle name="20% - Accent2 4 2 3 2" xfId="52729"/>
    <cellStyle name="20% - Accent2 4 2 4" xfId="3964"/>
    <cellStyle name="20% - Accent2 4 2 4 2" xfId="48657"/>
    <cellStyle name="20% - Accent2 4 2 5" xfId="46895"/>
    <cellStyle name="20% - Accent2 4 3" xfId="1152"/>
    <cellStyle name="20% - Accent2 4 3 2" xfId="5501"/>
    <cellStyle name="20% - Accent2 4 3 2 2" xfId="50186"/>
    <cellStyle name="20% - Accent2 4 3 3" xfId="11962"/>
    <cellStyle name="20% - Accent2 4 3 3 2" xfId="52216"/>
    <cellStyle name="20% - Accent2 4 3 4" xfId="4323"/>
    <cellStyle name="20% - Accent2 4 3 4 2" xfId="49013"/>
    <cellStyle name="20% - Accent2 4 3 5" xfId="46382"/>
    <cellStyle name="20% - Accent2 4 4" xfId="4749"/>
    <cellStyle name="20% - Accent2 4 4 2" xfId="49434"/>
    <cellStyle name="20% - Accent2 4 5" xfId="11210"/>
    <cellStyle name="20% - Accent2 4 5 2" xfId="51464"/>
    <cellStyle name="20% - Accent2 4 6" xfId="3387"/>
    <cellStyle name="20% - Accent2 4 6 2" xfId="48081"/>
    <cellStyle name="20% - Accent2 4 7" xfId="45630"/>
    <cellStyle name="20% - Accent2 5" xfId="852"/>
    <cellStyle name="20% - Accent2 5 2" xfId="5201"/>
    <cellStyle name="20% - Accent2 5 2 2" xfId="49886"/>
    <cellStyle name="20% - Accent2 5 3" xfId="11662"/>
    <cellStyle name="20% - Accent2 5 3 2" xfId="51916"/>
    <cellStyle name="20% - Accent2 5 4" xfId="3087"/>
    <cellStyle name="20% - Accent2 5 4 2" xfId="47781"/>
    <cellStyle name="20% - Accent2 5 5" xfId="46082"/>
    <cellStyle name="20% - Accent2 6" xfId="731"/>
    <cellStyle name="20% - Accent2 6 2" xfId="5080"/>
    <cellStyle name="20% - Accent2 6 2 2" xfId="49765"/>
    <cellStyle name="20% - Accent2 6 3" xfId="11541"/>
    <cellStyle name="20% - Accent2 6 3 2" xfId="51795"/>
    <cellStyle name="20% - Accent2 6 4" xfId="2965"/>
    <cellStyle name="20% - Accent2 6 4 2" xfId="47659"/>
    <cellStyle name="20% - Accent2 6 5" xfId="45961"/>
    <cellStyle name="20% - Accent2 7" xfId="521"/>
    <cellStyle name="20% - Accent2 7 2" xfId="4870"/>
    <cellStyle name="20% - Accent2 7 2 2" xfId="49555"/>
    <cellStyle name="20% - Accent2 7 3" xfId="11331"/>
    <cellStyle name="20% - Accent2 7 3 2" xfId="51585"/>
    <cellStyle name="20% - Accent2 7 4" xfId="4080"/>
    <cellStyle name="20% - Accent2 7 4 2" xfId="48772"/>
    <cellStyle name="20% - Accent2 7 5" xfId="45751"/>
    <cellStyle name="20% - Accent2 8" xfId="2595"/>
    <cellStyle name="20% - Accent2 8 2" xfId="4444"/>
    <cellStyle name="20% - Accent2 8 2 2" xfId="49134"/>
    <cellStyle name="20% - Accent2 8 3" xfId="47327"/>
    <cellStyle name="20% - Accent2 9" xfId="10909"/>
    <cellStyle name="20% - Accent2 9 2" xfId="51164"/>
    <cellStyle name="20% - Accent3" xfId="73" builtinId="38" customBuiltin="1"/>
    <cellStyle name="20% - Accent3 10" xfId="18323"/>
    <cellStyle name="20% - Accent3 10 2" xfId="53166"/>
    <cellStyle name="20% - Accent3 11" xfId="2739"/>
    <cellStyle name="20% - Accent3 11 2" xfId="47451"/>
    <cellStyle name="20% - Accent3 12" xfId="38445"/>
    <cellStyle name="20% - Accent3 12 2" xfId="53603"/>
    <cellStyle name="20% - Accent3 13" xfId="45296"/>
    <cellStyle name="20% - Accent3 2" xfId="185"/>
    <cellStyle name="20% - Accent3 2 10" xfId="45420"/>
    <cellStyle name="20% - Accent3 2 2" xfId="942"/>
    <cellStyle name="20% - Accent3 2 2 2" xfId="5291"/>
    <cellStyle name="20% - Accent3 2 2 2 2" xfId="49976"/>
    <cellStyle name="20% - Accent3 2 2 3" xfId="11752"/>
    <cellStyle name="20% - Accent3 2 2 3 2" xfId="52006"/>
    <cellStyle name="20% - Accent3 2 2 4" xfId="3177"/>
    <cellStyle name="20% - Accent3 2 2 4 2" xfId="47871"/>
    <cellStyle name="20% - Accent3 2 2 5" xfId="44130"/>
    <cellStyle name="20% - Accent3 2 2 5 2" xfId="59256"/>
    <cellStyle name="20% - Accent3 2 2 6" xfId="46172"/>
    <cellStyle name="20% - Accent3 2 3" xfId="1244"/>
    <cellStyle name="20% - Accent3 2 3 2" xfId="5593"/>
    <cellStyle name="20% - Accent3 2 3 2 2" xfId="50278"/>
    <cellStyle name="20% - Accent3 2 3 3" xfId="12054"/>
    <cellStyle name="20% - Accent3 2 3 3 2" xfId="52308"/>
    <cellStyle name="20% - Accent3 2 3 4" xfId="3527"/>
    <cellStyle name="20% - Accent3 2 3 4 2" xfId="48220"/>
    <cellStyle name="20% - Accent3 2 3 5" xfId="41894"/>
    <cellStyle name="20% - Accent3 2 3 5 2" xfId="57021"/>
    <cellStyle name="20% - Accent3 2 3 6" xfId="46474"/>
    <cellStyle name="20% - Accent3 2 4" xfId="1455"/>
    <cellStyle name="20% - Accent3 2 4 2" xfId="5804"/>
    <cellStyle name="20% - Accent3 2 4 2 2" xfId="50489"/>
    <cellStyle name="20% - Accent3 2 4 3" xfId="12265"/>
    <cellStyle name="20% - Accent3 2 4 3 2" xfId="52519"/>
    <cellStyle name="20% - Accent3 2 4 4" xfId="3754"/>
    <cellStyle name="20% - Accent3 2 4 4 2" xfId="48447"/>
    <cellStyle name="20% - Accent3 2 4 5" xfId="46685"/>
    <cellStyle name="20% - Accent3 2 5" xfId="610"/>
    <cellStyle name="20% - Accent3 2 5 2" xfId="4959"/>
    <cellStyle name="20% - Accent3 2 5 2 2" xfId="49644"/>
    <cellStyle name="20% - Accent3 2 5 3" xfId="11420"/>
    <cellStyle name="20% - Accent3 2 5 3 2" xfId="51674"/>
    <cellStyle name="20% - Accent3 2 5 4" xfId="4113"/>
    <cellStyle name="20% - Accent3 2 5 4 2" xfId="48803"/>
    <cellStyle name="20% - Accent3 2 5 5" xfId="45840"/>
    <cellStyle name="20% - Accent3 2 6" xfId="4534"/>
    <cellStyle name="20% - Accent3 2 6 2" xfId="49224"/>
    <cellStyle name="20% - Accent3 2 7" xfId="11000"/>
    <cellStyle name="20% - Accent3 2 7 2" xfId="51254"/>
    <cellStyle name="20% - Accent3 2 8" xfId="2844"/>
    <cellStyle name="20% - Accent3 2 8 2" xfId="47538"/>
    <cellStyle name="20% - Accent3 2 9" xfId="39614"/>
    <cellStyle name="20% - Accent3 2 9 2" xfId="54742"/>
    <cellStyle name="20% - Accent3 3" xfId="279"/>
    <cellStyle name="20% - Accent3 3 2" xfId="1333"/>
    <cellStyle name="20% - Accent3 3 2 2" xfId="5682"/>
    <cellStyle name="20% - Accent3 3 2 2 2" xfId="50367"/>
    <cellStyle name="20% - Accent3 3 2 3" xfId="12143"/>
    <cellStyle name="20% - Accent3 3 2 3 2" xfId="52397"/>
    <cellStyle name="20% - Accent3 3 2 4" xfId="3616"/>
    <cellStyle name="20% - Accent3 3 2 4 2" xfId="48309"/>
    <cellStyle name="20% - Accent3 3 2 5" xfId="46563"/>
    <cellStyle name="20% - Accent3 3 3" xfId="1544"/>
    <cellStyle name="20% - Accent3 3 3 2" xfId="5893"/>
    <cellStyle name="20% - Accent3 3 3 2 2" xfId="50578"/>
    <cellStyle name="20% - Accent3 3 3 3" xfId="12354"/>
    <cellStyle name="20% - Accent3 3 3 3 2" xfId="52608"/>
    <cellStyle name="20% - Accent3 3 3 4" xfId="3843"/>
    <cellStyle name="20% - Accent3 3 3 4 2" xfId="48536"/>
    <cellStyle name="20% - Accent3 3 3 5" xfId="46774"/>
    <cellStyle name="20% - Accent3 3 4" xfId="1031"/>
    <cellStyle name="20% - Accent3 3 4 2" xfId="5380"/>
    <cellStyle name="20% - Accent3 3 4 2 2" xfId="50065"/>
    <cellStyle name="20% - Accent3 3 4 3" xfId="11841"/>
    <cellStyle name="20% - Accent3 3 4 3 2" xfId="52095"/>
    <cellStyle name="20% - Accent3 3 4 4" xfId="4202"/>
    <cellStyle name="20% - Accent3 3 4 4 2" xfId="48892"/>
    <cellStyle name="20% - Accent3 3 4 5" xfId="46261"/>
    <cellStyle name="20% - Accent3 3 5" xfId="4628"/>
    <cellStyle name="20% - Accent3 3 5 2" xfId="49313"/>
    <cellStyle name="20% - Accent3 3 6" xfId="11089"/>
    <cellStyle name="20% - Accent3 3 6 2" xfId="51343"/>
    <cellStyle name="20% - Accent3 3 7" xfId="3266"/>
    <cellStyle name="20% - Accent3 3 7 2" xfId="47960"/>
    <cellStyle name="20% - Accent3 3 8" xfId="40324"/>
    <cellStyle name="20% - Accent3 3 8 2" xfId="55452"/>
    <cellStyle name="20% - Accent3 3 9" xfId="45509"/>
    <cellStyle name="20% - Accent3 4" xfId="402"/>
    <cellStyle name="20% - Accent3 4 2" xfId="1667"/>
    <cellStyle name="20% - Accent3 4 2 2" xfId="6016"/>
    <cellStyle name="20% - Accent3 4 2 2 2" xfId="50701"/>
    <cellStyle name="20% - Accent3 4 2 3" xfId="12477"/>
    <cellStyle name="20% - Accent3 4 2 3 2" xfId="52731"/>
    <cellStyle name="20% - Accent3 4 2 4" xfId="3966"/>
    <cellStyle name="20% - Accent3 4 2 4 2" xfId="48659"/>
    <cellStyle name="20% - Accent3 4 2 5" xfId="46897"/>
    <cellStyle name="20% - Accent3 4 3" xfId="1154"/>
    <cellStyle name="20% - Accent3 4 3 2" xfId="5503"/>
    <cellStyle name="20% - Accent3 4 3 2 2" xfId="50188"/>
    <cellStyle name="20% - Accent3 4 3 3" xfId="11964"/>
    <cellStyle name="20% - Accent3 4 3 3 2" xfId="52218"/>
    <cellStyle name="20% - Accent3 4 3 4" xfId="4325"/>
    <cellStyle name="20% - Accent3 4 3 4 2" xfId="49015"/>
    <cellStyle name="20% - Accent3 4 3 5" xfId="46384"/>
    <cellStyle name="20% - Accent3 4 4" xfId="4751"/>
    <cellStyle name="20% - Accent3 4 4 2" xfId="49436"/>
    <cellStyle name="20% - Accent3 4 5" xfId="11212"/>
    <cellStyle name="20% - Accent3 4 5 2" xfId="51466"/>
    <cellStyle name="20% - Accent3 4 6" xfId="3389"/>
    <cellStyle name="20% - Accent3 4 6 2" xfId="48083"/>
    <cellStyle name="20% - Accent3 4 7" xfId="45632"/>
    <cellStyle name="20% - Accent3 5" xfId="854"/>
    <cellStyle name="20% - Accent3 5 2" xfId="5203"/>
    <cellStyle name="20% - Accent3 5 2 2" xfId="49888"/>
    <cellStyle name="20% - Accent3 5 3" xfId="11664"/>
    <cellStyle name="20% - Accent3 5 3 2" xfId="51918"/>
    <cellStyle name="20% - Accent3 5 4" xfId="3089"/>
    <cellStyle name="20% - Accent3 5 4 2" xfId="47783"/>
    <cellStyle name="20% - Accent3 5 5" xfId="46084"/>
    <cellStyle name="20% - Accent3 6" xfId="733"/>
    <cellStyle name="20% - Accent3 6 2" xfId="5082"/>
    <cellStyle name="20% - Accent3 6 2 2" xfId="49767"/>
    <cellStyle name="20% - Accent3 6 3" xfId="11543"/>
    <cellStyle name="20% - Accent3 6 3 2" xfId="51797"/>
    <cellStyle name="20% - Accent3 6 4" xfId="2967"/>
    <cellStyle name="20% - Accent3 6 4 2" xfId="47661"/>
    <cellStyle name="20% - Accent3 6 5" xfId="45963"/>
    <cellStyle name="20% - Accent3 7" xfId="523"/>
    <cellStyle name="20% - Accent3 7 2" xfId="4872"/>
    <cellStyle name="20% - Accent3 7 2 2" xfId="49557"/>
    <cellStyle name="20% - Accent3 7 3" xfId="11333"/>
    <cellStyle name="20% - Accent3 7 3 2" xfId="51587"/>
    <cellStyle name="20% - Accent3 7 4" xfId="3523"/>
    <cellStyle name="20% - Accent3 7 4 2" xfId="48216"/>
    <cellStyle name="20% - Accent3 7 5" xfId="45753"/>
    <cellStyle name="20% - Accent3 8" xfId="2596"/>
    <cellStyle name="20% - Accent3 8 2" xfId="4446"/>
    <cellStyle name="20% - Accent3 8 2 2" xfId="49136"/>
    <cellStyle name="20% - Accent3 8 3" xfId="47328"/>
    <cellStyle name="20% - Accent3 9" xfId="10911"/>
    <cellStyle name="20% - Accent3 9 2" xfId="51166"/>
    <cellStyle name="20% - Accent4" xfId="77" builtinId="42" customBuiltin="1"/>
    <cellStyle name="20% - Accent4 10" xfId="18325"/>
    <cellStyle name="20% - Accent4 10 2" xfId="53168"/>
    <cellStyle name="20% - Accent4 11" xfId="2743"/>
    <cellStyle name="20% - Accent4 11 2" xfId="47453"/>
    <cellStyle name="20% - Accent4 12" xfId="38447"/>
    <cellStyle name="20% - Accent4 12 2" xfId="53605"/>
    <cellStyle name="20% - Accent4 13" xfId="45298"/>
    <cellStyle name="20% - Accent4 2" xfId="186"/>
    <cellStyle name="20% - Accent4 2 10" xfId="45421"/>
    <cellStyle name="20% - Accent4 2 2" xfId="943"/>
    <cellStyle name="20% - Accent4 2 2 2" xfId="5292"/>
    <cellStyle name="20% - Accent4 2 2 2 2" xfId="49977"/>
    <cellStyle name="20% - Accent4 2 2 3" xfId="11753"/>
    <cellStyle name="20% - Accent4 2 2 3 2" xfId="52007"/>
    <cellStyle name="20% - Accent4 2 2 4" xfId="3178"/>
    <cellStyle name="20% - Accent4 2 2 4 2" xfId="47872"/>
    <cellStyle name="20% - Accent4 2 2 5" xfId="44132"/>
    <cellStyle name="20% - Accent4 2 2 5 2" xfId="59258"/>
    <cellStyle name="20% - Accent4 2 2 6" xfId="46173"/>
    <cellStyle name="20% - Accent4 2 3" xfId="1245"/>
    <cellStyle name="20% - Accent4 2 3 2" xfId="5594"/>
    <cellStyle name="20% - Accent4 2 3 2 2" xfId="50279"/>
    <cellStyle name="20% - Accent4 2 3 3" xfId="12055"/>
    <cellStyle name="20% - Accent4 2 3 3 2" xfId="52309"/>
    <cellStyle name="20% - Accent4 2 3 4" xfId="3528"/>
    <cellStyle name="20% - Accent4 2 3 4 2" xfId="48221"/>
    <cellStyle name="20% - Accent4 2 3 5" xfId="41896"/>
    <cellStyle name="20% - Accent4 2 3 5 2" xfId="57023"/>
    <cellStyle name="20% - Accent4 2 3 6" xfId="46475"/>
    <cellStyle name="20% - Accent4 2 4" xfId="1456"/>
    <cellStyle name="20% - Accent4 2 4 2" xfId="5805"/>
    <cellStyle name="20% - Accent4 2 4 2 2" xfId="50490"/>
    <cellStyle name="20% - Accent4 2 4 3" xfId="12266"/>
    <cellStyle name="20% - Accent4 2 4 3 2" xfId="52520"/>
    <cellStyle name="20% - Accent4 2 4 4" xfId="3755"/>
    <cellStyle name="20% - Accent4 2 4 4 2" xfId="48448"/>
    <cellStyle name="20% - Accent4 2 4 5" xfId="46686"/>
    <cellStyle name="20% - Accent4 2 5" xfId="611"/>
    <cellStyle name="20% - Accent4 2 5 2" xfId="4960"/>
    <cellStyle name="20% - Accent4 2 5 2 2" xfId="49645"/>
    <cellStyle name="20% - Accent4 2 5 3" xfId="11421"/>
    <cellStyle name="20% - Accent4 2 5 3 2" xfId="51675"/>
    <cellStyle name="20% - Accent4 2 5 4" xfId="4114"/>
    <cellStyle name="20% - Accent4 2 5 4 2" xfId="48804"/>
    <cellStyle name="20% - Accent4 2 5 5" xfId="45841"/>
    <cellStyle name="20% - Accent4 2 6" xfId="4535"/>
    <cellStyle name="20% - Accent4 2 6 2" xfId="49225"/>
    <cellStyle name="20% - Accent4 2 7" xfId="11001"/>
    <cellStyle name="20% - Accent4 2 7 2" xfId="51255"/>
    <cellStyle name="20% - Accent4 2 8" xfId="2845"/>
    <cellStyle name="20% - Accent4 2 8 2" xfId="47539"/>
    <cellStyle name="20% - Accent4 2 9" xfId="39616"/>
    <cellStyle name="20% - Accent4 2 9 2" xfId="54744"/>
    <cellStyle name="20% - Accent4 3" xfId="280"/>
    <cellStyle name="20% - Accent4 3 2" xfId="1334"/>
    <cellStyle name="20% - Accent4 3 2 2" xfId="5683"/>
    <cellStyle name="20% - Accent4 3 2 2 2" xfId="50368"/>
    <cellStyle name="20% - Accent4 3 2 3" xfId="12144"/>
    <cellStyle name="20% - Accent4 3 2 3 2" xfId="52398"/>
    <cellStyle name="20% - Accent4 3 2 4" xfId="3617"/>
    <cellStyle name="20% - Accent4 3 2 4 2" xfId="48310"/>
    <cellStyle name="20% - Accent4 3 2 5" xfId="46564"/>
    <cellStyle name="20% - Accent4 3 3" xfId="1545"/>
    <cellStyle name="20% - Accent4 3 3 2" xfId="5894"/>
    <cellStyle name="20% - Accent4 3 3 2 2" xfId="50579"/>
    <cellStyle name="20% - Accent4 3 3 3" xfId="12355"/>
    <cellStyle name="20% - Accent4 3 3 3 2" xfId="52609"/>
    <cellStyle name="20% - Accent4 3 3 4" xfId="3844"/>
    <cellStyle name="20% - Accent4 3 3 4 2" xfId="48537"/>
    <cellStyle name="20% - Accent4 3 3 5" xfId="46775"/>
    <cellStyle name="20% - Accent4 3 4" xfId="1032"/>
    <cellStyle name="20% - Accent4 3 4 2" xfId="5381"/>
    <cellStyle name="20% - Accent4 3 4 2 2" xfId="50066"/>
    <cellStyle name="20% - Accent4 3 4 3" xfId="11842"/>
    <cellStyle name="20% - Accent4 3 4 3 2" xfId="52096"/>
    <cellStyle name="20% - Accent4 3 4 4" xfId="4203"/>
    <cellStyle name="20% - Accent4 3 4 4 2" xfId="48893"/>
    <cellStyle name="20% - Accent4 3 4 5" xfId="46262"/>
    <cellStyle name="20% - Accent4 3 5" xfId="4629"/>
    <cellStyle name="20% - Accent4 3 5 2" xfId="49314"/>
    <cellStyle name="20% - Accent4 3 6" xfId="11090"/>
    <cellStyle name="20% - Accent4 3 6 2" xfId="51344"/>
    <cellStyle name="20% - Accent4 3 7" xfId="3267"/>
    <cellStyle name="20% - Accent4 3 7 2" xfId="47961"/>
    <cellStyle name="20% - Accent4 3 8" xfId="40359"/>
    <cellStyle name="20% - Accent4 3 8 2" xfId="55487"/>
    <cellStyle name="20% - Accent4 3 9" xfId="45510"/>
    <cellStyle name="20% - Accent4 4" xfId="404"/>
    <cellStyle name="20% - Accent4 4 2" xfId="1669"/>
    <cellStyle name="20% - Accent4 4 2 2" xfId="6018"/>
    <cellStyle name="20% - Accent4 4 2 2 2" xfId="50703"/>
    <cellStyle name="20% - Accent4 4 2 3" xfId="12479"/>
    <cellStyle name="20% - Accent4 4 2 3 2" xfId="52733"/>
    <cellStyle name="20% - Accent4 4 2 4" xfId="3968"/>
    <cellStyle name="20% - Accent4 4 2 4 2" xfId="48661"/>
    <cellStyle name="20% - Accent4 4 2 5" xfId="46899"/>
    <cellStyle name="20% - Accent4 4 3" xfId="1156"/>
    <cellStyle name="20% - Accent4 4 3 2" xfId="5505"/>
    <cellStyle name="20% - Accent4 4 3 2 2" xfId="50190"/>
    <cellStyle name="20% - Accent4 4 3 3" xfId="11966"/>
    <cellStyle name="20% - Accent4 4 3 3 2" xfId="52220"/>
    <cellStyle name="20% - Accent4 4 3 4" xfId="4327"/>
    <cellStyle name="20% - Accent4 4 3 4 2" xfId="49017"/>
    <cellStyle name="20% - Accent4 4 3 5" xfId="46386"/>
    <cellStyle name="20% - Accent4 4 4" xfId="4753"/>
    <cellStyle name="20% - Accent4 4 4 2" xfId="49438"/>
    <cellStyle name="20% - Accent4 4 5" xfId="11214"/>
    <cellStyle name="20% - Accent4 4 5 2" xfId="51468"/>
    <cellStyle name="20% - Accent4 4 6" xfId="3391"/>
    <cellStyle name="20% - Accent4 4 6 2" xfId="48085"/>
    <cellStyle name="20% - Accent4 4 7" xfId="45634"/>
    <cellStyle name="20% - Accent4 5" xfId="856"/>
    <cellStyle name="20% - Accent4 5 2" xfId="5205"/>
    <cellStyle name="20% - Accent4 5 2 2" xfId="49890"/>
    <cellStyle name="20% - Accent4 5 3" xfId="11666"/>
    <cellStyle name="20% - Accent4 5 3 2" xfId="51920"/>
    <cellStyle name="20% - Accent4 5 4" xfId="3091"/>
    <cellStyle name="20% - Accent4 5 4 2" xfId="47785"/>
    <cellStyle name="20% - Accent4 5 5" xfId="46086"/>
    <cellStyle name="20% - Accent4 6" xfId="735"/>
    <cellStyle name="20% - Accent4 6 2" xfId="5084"/>
    <cellStyle name="20% - Accent4 6 2 2" xfId="49769"/>
    <cellStyle name="20% - Accent4 6 3" xfId="11545"/>
    <cellStyle name="20% - Accent4 6 3 2" xfId="51799"/>
    <cellStyle name="20% - Accent4 6 4" xfId="2969"/>
    <cellStyle name="20% - Accent4 6 4 2" xfId="47663"/>
    <cellStyle name="20% - Accent4 6 5" xfId="45965"/>
    <cellStyle name="20% - Accent4 7" xfId="525"/>
    <cellStyle name="20% - Accent4 7 2" xfId="4874"/>
    <cellStyle name="20% - Accent4 7 2 2" xfId="49559"/>
    <cellStyle name="20% - Accent4 7 3" xfId="11335"/>
    <cellStyle name="20% - Accent4 7 3 2" xfId="51589"/>
    <cellStyle name="20% - Accent4 7 4" xfId="3508"/>
    <cellStyle name="20% - Accent4 7 4 2" xfId="48202"/>
    <cellStyle name="20% - Accent4 7 5" xfId="45755"/>
    <cellStyle name="20% - Accent4 8" xfId="2597"/>
    <cellStyle name="20% - Accent4 8 2" xfId="4448"/>
    <cellStyle name="20% - Accent4 8 2 2" xfId="49138"/>
    <cellStyle name="20% - Accent4 8 3" xfId="47329"/>
    <cellStyle name="20% - Accent4 9" xfId="10913"/>
    <cellStyle name="20% - Accent4 9 2" xfId="51168"/>
    <cellStyle name="20% - Accent5" xfId="81" builtinId="46" customBuiltin="1"/>
    <cellStyle name="20% - Accent5 10" xfId="18327"/>
    <cellStyle name="20% - Accent5 10 2" xfId="53170"/>
    <cellStyle name="20% - Accent5 11" xfId="2747"/>
    <cellStyle name="20% - Accent5 11 2" xfId="47455"/>
    <cellStyle name="20% - Accent5 12" xfId="38449"/>
    <cellStyle name="20% - Accent5 12 2" xfId="53607"/>
    <cellStyle name="20% - Accent5 13" xfId="45300"/>
    <cellStyle name="20% - Accent5 2" xfId="187"/>
    <cellStyle name="20% - Accent5 2 10" xfId="45422"/>
    <cellStyle name="20% - Accent5 2 2" xfId="944"/>
    <cellStyle name="20% - Accent5 2 2 2" xfId="5293"/>
    <cellStyle name="20% - Accent5 2 2 2 2" xfId="49978"/>
    <cellStyle name="20% - Accent5 2 2 3" xfId="11754"/>
    <cellStyle name="20% - Accent5 2 2 3 2" xfId="52008"/>
    <cellStyle name="20% - Accent5 2 2 4" xfId="3179"/>
    <cellStyle name="20% - Accent5 2 2 4 2" xfId="47873"/>
    <cellStyle name="20% - Accent5 2 2 5" xfId="44134"/>
    <cellStyle name="20% - Accent5 2 2 5 2" xfId="59260"/>
    <cellStyle name="20% - Accent5 2 2 6" xfId="46174"/>
    <cellStyle name="20% - Accent5 2 3" xfId="1246"/>
    <cellStyle name="20% - Accent5 2 3 2" xfId="5595"/>
    <cellStyle name="20% - Accent5 2 3 2 2" xfId="50280"/>
    <cellStyle name="20% - Accent5 2 3 3" xfId="12056"/>
    <cellStyle name="20% - Accent5 2 3 3 2" xfId="52310"/>
    <cellStyle name="20% - Accent5 2 3 4" xfId="3529"/>
    <cellStyle name="20% - Accent5 2 3 4 2" xfId="48222"/>
    <cellStyle name="20% - Accent5 2 3 5" xfId="41898"/>
    <cellStyle name="20% - Accent5 2 3 5 2" xfId="57025"/>
    <cellStyle name="20% - Accent5 2 3 6" xfId="46476"/>
    <cellStyle name="20% - Accent5 2 4" xfId="1457"/>
    <cellStyle name="20% - Accent5 2 4 2" xfId="5806"/>
    <cellStyle name="20% - Accent5 2 4 2 2" xfId="50491"/>
    <cellStyle name="20% - Accent5 2 4 3" xfId="12267"/>
    <cellStyle name="20% - Accent5 2 4 3 2" xfId="52521"/>
    <cellStyle name="20% - Accent5 2 4 4" xfId="3756"/>
    <cellStyle name="20% - Accent5 2 4 4 2" xfId="48449"/>
    <cellStyle name="20% - Accent5 2 4 5" xfId="46687"/>
    <cellStyle name="20% - Accent5 2 5" xfId="612"/>
    <cellStyle name="20% - Accent5 2 5 2" xfId="4961"/>
    <cellStyle name="20% - Accent5 2 5 2 2" xfId="49646"/>
    <cellStyle name="20% - Accent5 2 5 3" xfId="11422"/>
    <cellStyle name="20% - Accent5 2 5 3 2" xfId="51676"/>
    <cellStyle name="20% - Accent5 2 5 4" xfId="4115"/>
    <cellStyle name="20% - Accent5 2 5 4 2" xfId="48805"/>
    <cellStyle name="20% - Accent5 2 5 5" xfId="45842"/>
    <cellStyle name="20% - Accent5 2 6" xfId="4536"/>
    <cellStyle name="20% - Accent5 2 6 2" xfId="49226"/>
    <cellStyle name="20% - Accent5 2 7" xfId="11002"/>
    <cellStyle name="20% - Accent5 2 7 2" xfId="51256"/>
    <cellStyle name="20% - Accent5 2 8" xfId="2846"/>
    <cellStyle name="20% - Accent5 2 8 2" xfId="47540"/>
    <cellStyle name="20% - Accent5 2 9" xfId="39618"/>
    <cellStyle name="20% - Accent5 2 9 2" xfId="54746"/>
    <cellStyle name="20% - Accent5 3" xfId="281"/>
    <cellStyle name="20% - Accent5 3 2" xfId="1335"/>
    <cellStyle name="20% - Accent5 3 2 2" xfId="5684"/>
    <cellStyle name="20% - Accent5 3 2 2 2" xfId="50369"/>
    <cellStyle name="20% - Accent5 3 2 3" xfId="12145"/>
    <cellStyle name="20% - Accent5 3 2 3 2" xfId="52399"/>
    <cellStyle name="20% - Accent5 3 2 4" xfId="3618"/>
    <cellStyle name="20% - Accent5 3 2 4 2" xfId="48311"/>
    <cellStyle name="20% - Accent5 3 2 5" xfId="46565"/>
    <cellStyle name="20% - Accent5 3 3" xfId="1546"/>
    <cellStyle name="20% - Accent5 3 3 2" xfId="5895"/>
    <cellStyle name="20% - Accent5 3 3 2 2" xfId="50580"/>
    <cellStyle name="20% - Accent5 3 3 3" xfId="12356"/>
    <cellStyle name="20% - Accent5 3 3 3 2" xfId="52610"/>
    <cellStyle name="20% - Accent5 3 3 4" xfId="3845"/>
    <cellStyle name="20% - Accent5 3 3 4 2" xfId="48538"/>
    <cellStyle name="20% - Accent5 3 3 5" xfId="46776"/>
    <cellStyle name="20% - Accent5 3 4" xfId="1033"/>
    <cellStyle name="20% - Accent5 3 4 2" xfId="5382"/>
    <cellStyle name="20% - Accent5 3 4 2 2" xfId="50067"/>
    <cellStyle name="20% - Accent5 3 4 3" xfId="11843"/>
    <cellStyle name="20% - Accent5 3 4 3 2" xfId="52097"/>
    <cellStyle name="20% - Accent5 3 4 4" xfId="4204"/>
    <cellStyle name="20% - Accent5 3 4 4 2" xfId="48894"/>
    <cellStyle name="20% - Accent5 3 4 5" xfId="46263"/>
    <cellStyle name="20% - Accent5 3 5" xfId="4630"/>
    <cellStyle name="20% - Accent5 3 5 2" xfId="49315"/>
    <cellStyle name="20% - Accent5 3 6" xfId="11091"/>
    <cellStyle name="20% - Accent5 3 6 2" xfId="51345"/>
    <cellStyle name="20% - Accent5 3 7" xfId="3268"/>
    <cellStyle name="20% - Accent5 3 7 2" xfId="47962"/>
    <cellStyle name="20% - Accent5 3 8" xfId="40360"/>
    <cellStyle name="20% - Accent5 3 8 2" xfId="55488"/>
    <cellStyle name="20% - Accent5 3 9" xfId="45511"/>
    <cellStyle name="20% - Accent5 4" xfId="406"/>
    <cellStyle name="20% - Accent5 4 2" xfId="1671"/>
    <cellStyle name="20% - Accent5 4 2 2" xfId="6020"/>
    <cellStyle name="20% - Accent5 4 2 2 2" xfId="50705"/>
    <cellStyle name="20% - Accent5 4 2 3" xfId="12481"/>
    <cellStyle name="20% - Accent5 4 2 3 2" xfId="52735"/>
    <cellStyle name="20% - Accent5 4 2 4" xfId="3970"/>
    <cellStyle name="20% - Accent5 4 2 4 2" xfId="48663"/>
    <cellStyle name="20% - Accent5 4 2 5" xfId="46901"/>
    <cellStyle name="20% - Accent5 4 3" xfId="1158"/>
    <cellStyle name="20% - Accent5 4 3 2" xfId="5507"/>
    <cellStyle name="20% - Accent5 4 3 2 2" xfId="50192"/>
    <cellStyle name="20% - Accent5 4 3 3" xfId="11968"/>
    <cellStyle name="20% - Accent5 4 3 3 2" xfId="52222"/>
    <cellStyle name="20% - Accent5 4 3 4" xfId="4329"/>
    <cellStyle name="20% - Accent5 4 3 4 2" xfId="49019"/>
    <cellStyle name="20% - Accent5 4 3 5" xfId="46388"/>
    <cellStyle name="20% - Accent5 4 4" xfId="4755"/>
    <cellStyle name="20% - Accent5 4 4 2" xfId="49440"/>
    <cellStyle name="20% - Accent5 4 5" xfId="11216"/>
    <cellStyle name="20% - Accent5 4 5 2" xfId="51470"/>
    <cellStyle name="20% - Accent5 4 6" xfId="3393"/>
    <cellStyle name="20% - Accent5 4 6 2" xfId="48087"/>
    <cellStyle name="20% - Accent5 4 7" xfId="45636"/>
    <cellStyle name="20% - Accent5 5" xfId="858"/>
    <cellStyle name="20% - Accent5 5 2" xfId="5207"/>
    <cellStyle name="20% - Accent5 5 2 2" xfId="49892"/>
    <cellStyle name="20% - Accent5 5 3" xfId="11668"/>
    <cellStyle name="20% - Accent5 5 3 2" xfId="51922"/>
    <cellStyle name="20% - Accent5 5 4" xfId="3093"/>
    <cellStyle name="20% - Accent5 5 4 2" xfId="47787"/>
    <cellStyle name="20% - Accent5 5 5" xfId="46088"/>
    <cellStyle name="20% - Accent5 6" xfId="737"/>
    <cellStyle name="20% - Accent5 6 2" xfId="5086"/>
    <cellStyle name="20% - Accent5 6 2 2" xfId="49771"/>
    <cellStyle name="20% - Accent5 6 3" xfId="11547"/>
    <cellStyle name="20% - Accent5 6 3 2" xfId="51801"/>
    <cellStyle name="20% - Accent5 6 4" xfId="2971"/>
    <cellStyle name="20% - Accent5 6 4 2" xfId="47665"/>
    <cellStyle name="20% - Accent5 6 5" xfId="45967"/>
    <cellStyle name="20% - Accent5 7" xfId="527"/>
    <cellStyle name="20% - Accent5 7 2" xfId="4876"/>
    <cellStyle name="20% - Accent5 7 2 2" xfId="49561"/>
    <cellStyle name="20% - Accent5 7 3" xfId="11337"/>
    <cellStyle name="20% - Accent5 7 3 2" xfId="51591"/>
    <cellStyle name="20% - Accent5 7 4" xfId="4093"/>
    <cellStyle name="20% - Accent5 7 4 2" xfId="48784"/>
    <cellStyle name="20% - Accent5 7 5" xfId="45757"/>
    <cellStyle name="20% - Accent5 8" xfId="2598"/>
    <cellStyle name="20% - Accent5 8 2" xfId="4450"/>
    <cellStyle name="20% - Accent5 8 2 2" xfId="49140"/>
    <cellStyle name="20% - Accent5 8 3" xfId="47330"/>
    <cellStyle name="20% - Accent5 9" xfId="10915"/>
    <cellStyle name="20% - Accent5 9 2" xfId="51170"/>
    <cellStyle name="20% - Accent6" xfId="85" builtinId="50" customBuiltin="1"/>
    <cellStyle name="20% - Accent6 10" xfId="18329"/>
    <cellStyle name="20% - Accent6 10 2" xfId="53172"/>
    <cellStyle name="20% - Accent6 11" xfId="2750"/>
    <cellStyle name="20% - Accent6 11 2" xfId="47457"/>
    <cellStyle name="20% - Accent6 12" xfId="38451"/>
    <cellStyle name="20% - Accent6 12 2" xfId="53609"/>
    <cellStyle name="20% - Accent6 13" xfId="45302"/>
    <cellStyle name="20% - Accent6 2" xfId="188"/>
    <cellStyle name="20% - Accent6 2 10" xfId="45423"/>
    <cellStyle name="20% - Accent6 2 2" xfId="945"/>
    <cellStyle name="20% - Accent6 2 2 2" xfId="5294"/>
    <cellStyle name="20% - Accent6 2 2 2 2" xfId="49979"/>
    <cellStyle name="20% - Accent6 2 2 3" xfId="11755"/>
    <cellStyle name="20% - Accent6 2 2 3 2" xfId="52009"/>
    <cellStyle name="20% - Accent6 2 2 4" xfId="3180"/>
    <cellStyle name="20% - Accent6 2 2 4 2" xfId="47874"/>
    <cellStyle name="20% - Accent6 2 2 5" xfId="44136"/>
    <cellStyle name="20% - Accent6 2 2 5 2" xfId="59262"/>
    <cellStyle name="20% - Accent6 2 2 6" xfId="46175"/>
    <cellStyle name="20% - Accent6 2 3" xfId="1247"/>
    <cellStyle name="20% - Accent6 2 3 2" xfId="5596"/>
    <cellStyle name="20% - Accent6 2 3 2 2" xfId="50281"/>
    <cellStyle name="20% - Accent6 2 3 3" xfId="12057"/>
    <cellStyle name="20% - Accent6 2 3 3 2" xfId="52311"/>
    <cellStyle name="20% - Accent6 2 3 4" xfId="3530"/>
    <cellStyle name="20% - Accent6 2 3 4 2" xfId="48223"/>
    <cellStyle name="20% - Accent6 2 3 5" xfId="41900"/>
    <cellStyle name="20% - Accent6 2 3 5 2" xfId="57027"/>
    <cellStyle name="20% - Accent6 2 3 6" xfId="46477"/>
    <cellStyle name="20% - Accent6 2 4" xfId="1458"/>
    <cellStyle name="20% - Accent6 2 4 2" xfId="5807"/>
    <cellStyle name="20% - Accent6 2 4 2 2" xfId="50492"/>
    <cellStyle name="20% - Accent6 2 4 3" xfId="12268"/>
    <cellStyle name="20% - Accent6 2 4 3 2" xfId="52522"/>
    <cellStyle name="20% - Accent6 2 4 4" xfId="3757"/>
    <cellStyle name="20% - Accent6 2 4 4 2" xfId="48450"/>
    <cellStyle name="20% - Accent6 2 4 5" xfId="46688"/>
    <cellStyle name="20% - Accent6 2 5" xfId="613"/>
    <cellStyle name="20% - Accent6 2 5 2" xfId="4962"/>
    <cellStyle name="20% - Accent6 2 5 2 2" xfId="49647"/>
    <cellStyle name="20% - Accent6 2 5 3" xfId="11423"/>
    <cellStyle name="20% - Accent6 2 5 3 2" xfId="51677"/>
    <cellStyle name="20% - Accent6 2 5 4" xfId="4116"/>
    <cellStyle name="20% - Accent6 2 5 4 2" xfId="48806"/>
    <cellStyle name="20% - Accent6 2 5 5" xfId="45843"/>
    <cellStyle name="20% - Accent6 2 6" xfId="4537"/>
    <cellStyle name="20% - Accent6 2 6 2" xfId="49227"/>
    <cellStyle name="20% - Accent6 2 7" xfId="11003"/>
    <cellStyle name="20% - Accent6 2 7 2" xfId="51257"/>
    <cellStyle name="20% - Accent6 2 8" xfId="2847"/>
    <cellStyle name="20% - Accent6 2 8 2" xfId="47541"/>
    <cellStyle name="20% - Accent6 2 9" xfId="39620"/>
    <cellStyle name="20% - Accent6 2 9 2" xfId="54748"/>
    <cellStyle name="20% - Accent6 3" xfId="282"/>
    <cellStyle name="20% - Accent6 3 2" xfId="1336"/>
    <cellStyle name="20% - Accent6 3 2 2" xfId="5685"/>
    <cellStyle name="20% - Accent6 3 2 2 2" xfId="50370"/>
    <cellStyle name="20% - Accent6 3 2 3" xfId="12146"/>
    <cellStyle name="20% - Accent6 3 2 3 2" xfId="52400"/>
    <cellStyle name="20% - Accent6 3 2 4" xfId="3619"/>
    <cellStyle name="20% - Accent6 3 2 4 2" xfId="48312"/>
    <cellStyle name="20% - Accent6 3 2 5" xfId="46566"/>
    <cellStyle name="20% - Accent6 3 3" xfId="1547"/>
    <cellStyle name="20% - Accent6 3 3 2" xfId="5896"/>
    <cellStyle name="20% - Accent6 3 3 2 2" xfId="50581"/>
    <cellStyle name="20% - Accent6 3 3 3" xfId="12357"/>
    <cellStyle name="20% - Accent6 3 3 3 2" xfId="52611"/>
    <cellStyle name="20% - Accent6 3 3 4" xfId="3846"/>
    <cellStyle name="20% - Accent6 3 3 4 2" xfId="48539"/>
    <cellStyle name="20% - Accent6 3 3 5" xfId="46777"/>
    <cellStyle name="20% - Accent6 3 4" xfId="1034"/>
    <cellStyle name="20% - Accent6 3 4 2" xfId="5383"/>
    <cellStyle name="20% - Accent6 3 4 2 2" xfId="50068"/>
    <cellStyle name="20% - Accent6 3 4 3" xfId="11844"/>
    <cellStyle name="20% - Accent6 3 4 3 2" xfId="52098"/>
    <cellStyle name="20% - Accent6 3 4 4" xfId="4205"/>
    <cellStyle name="20% - Accent6 3 4 4 2" xfId="48895"/>
    <cellStyle name="20% - Accent6 3 4 5" xfId="46264"/>
    <cellStyle name="20% - Accent6 3 5" xfId="4631"/>
    <cellStyle name="20% - Accent6 3 5 2" xfId="49316"/>
    <cellStyle name="20% - Accent6 3 6" xfId="11092"/>
    <cellStyle name="20% - Accent6 3 6 2" xfId="51346"/>
    <cellStyle name="20% - Accent6 3 7" xfId="3269"/>
    <cellStyle name="20% - Accent6 3 7 2" xfId="47963"/>
    <cellStyle name="20% - Accent6 3 8" xfId="40361"/>
    <cellStyle name="20% - Accent6 3 8 2" xfId="55489"/>
    <cellStyle name="20% - Accent6 3 9" xfId="45512"/>
    <cellStyle name="20% - Accent6 4" xfId="408"/>
    <cellStyle name="20% - Accent6 4 2" xfId="1673"/>
    <cellStyle name="20% - Accent6 4 2 2" xfId="6022"/>
    <cellStyle name="20% - Accent6 4 2 2 2" xfId="50707"/>
    <cellStyle name="20% - Accent6 4 2 3" xfId="12483"/>
    <cellStyle name="20% - Accent6 4 2 3 2" xfId="52737"/>
    <cellStyle name="20% - Accent6 4 2 4" xfId="3972"/>
    <cellStyle name="20% - Accent6 4 2 4 2" xfId="48665"/>
    <cellStyle name="20% - Accent6 4 2 5" xfId="46903"/>
    <cellStyle name="20% - Accent6 4 3" xfId="1160"/>
    <cellStyle name="20% - Accent6 4 3 2" xfId="5509"/>
    <cellStyle name="20% - Accent6 4 3 2 2" xfId="50194"/>
    <cellStyle name="20% - Accent6 4 3 3" xfId="11970"/>
    <cellStyle name="20% - Accent6 4 3 3 2" xfId="52224"/>
    <cellStyle name="20% - Accent6 4 3 4" xfId="4331"/>
    <cellStyle name="20% - Accent6 4 3 4 2" xfId="49021"/>
    <cellStyle name="20% - Accent6 4 3 5" xfId="46390"/>
    <cellStyle name="20% - Accent6 4 4" xfId="4757"/>
    <cellStyle name="20% - Accent6 4 4 2" xfId="49442"/>
    <cellStyle name="20% - Accent6 4 5" xfId="11218"/>
    <cellStyle name="20% - Accent6 4 5 2" xfId="51472"/>
    <cellStyle name="20% - Accent6 4 6" xfId="3395"/>
    <cellStyle name="20% - Accent6 4 6 2" xfId="48089"/>
    <cellStyle name="20% - Accent6 4 7" xfId="45638"/>
    <cellStyle name="20% - Accent6 5" xfId="860"/>
    <cellStyle name="20% - Accent6 5 2" xfId="5209"/>
    <cellStyle name="20% - Accent6 5 2 2" xfId="49894"/>
    <cellStyle name="20% - Accent6 5 3" xfId="11670"/>
    <cellStyle name="20% - Accent6 5 3 2" xfId="51924"/>
    <cellStyle name="20% - Accent6 5 4" xfId="3095"/>
    <cellStyle name="20% - Accent6 5 4 2" xfId="47789"/>
    <cellStyle name="20% - Accent6 5 5" xfId="46090"/>
    <cellStyle name="20% - Accent6 6" xfId="739"/>
    <cellStyle name="20% - Accent6 6 2" xfId="5088"/>
    <cellStyle name="20% - Accent6 6 2 2" xfId="49773"/>
    <cellStyle name="20% - Accent6 6 3" xfId="11549"/>
    <cellStyle name="20% - Accent6 6 3 2" xfId="51803"/>
    <cellStyle name="20% - Accent6 6 4" xfId="2973"/>
    <cellStyle name="20% - Accent6 6 4 2" xfId="47667"/>
    <cellStyle name="20% - Accent6 6 5" xfId="45969"/>
    <cellStyle name="20% - Accent6 7" xfId="529"/>
    <cellStyle name="20% - Accent6 7 2" xfId="4878"/>
    <cellStyle name="20% - Accent6 7 2 2" xfId="49563"/>
    <cellStyle name="20% - Accent6 7 3" xfId="11339"/>
    <cellStyle name="20% - Accent6 7 3 2" xfId="51593"/>
    <cellStyle name="20% - Accent6 7 4" xfId="3740"/>
    <cellStyle name="20% - Accent6 7 4 2" xfId="48433"/>
    <cellStyle name="20% - Accent6 7 5" xfId="45759"/>
    <cellStyle name="20% - Accent6 8" xfId="2599"/>
    <cellStyle name="20% - Accent6 8 2" xfId="4452"/>
    <cellStyle name="20% - Accent6 8 2 2" xfId="49142"/>
    <cellStyle name="20% - Accent6 8 3" xfId="47331"/>
    <cellStyle name="20% - Accent6 9" xfId="10918"/>
    <cellStyle name="20% - Accent6 9 2" xfId="51172"/>
    <cellStyle name="40% - Accent1" xfId="66" builtinId="31" customBuiltin="1"/>
    <cellStyle name="40% - Accent1 10" xfId="18320"/>
    <cellStyle name="40% - Accent1 10 2" xfId="53163"/>
    <cellStyle name="40% - Accent1 11" xfId="2733"/>
    <cellStyle name="40% - Accent1 11 2" xfId="47448"/>
    <cellStyle name="40% - Accent1 12" xfId="38441"/>
    <cellStyle name="40% - Accent1 12 2" xfId="53600"/>
    <cellStyle name="40% - Accent1 13" xfId="45293"/>
    <cellStyle name="40% - Accent1 2" xfId="189"/>
    <cellStyle name="40% - Accent1 2 10" xfId="45424"/>
    <cellStyle name="40% - Accent1 2 2" xfId="946"/>
    <cellStyle name="40% - Accent1 2 2 2" xfId="5295"/>
    <cellStyle name="40% - Accent1 2 2 2 2" xfId="49980"/>
    <cellStyle name="40% - Accent1 2 2 3" xfId="11756"/>
    <cellStyle name="40% - Accent1 2 2 3 2" xfId="52010"/>
    <cellStyle name="40% - Accent1 2 2 4" xfId="3181"/>
    <cellStyle name="40% - Accent1 2 2 4 2" xfId="47875"/>
    <cellStyle name="40% - Accent1 2 2 5" xfId="44127"/>
    <cellStyle name="40% - Accent1 2 2 5 2" xfId="59253"/>
    <cellStyle name="40% - Accent1 2 2 6" xfId="46176"/>
    <cellStyle name="40% - Accent1 2 3" xfId="1248"/>
    <cellStyle name="40% - Accent1 2 3 2" xfId="5597"/>
    <cellStyle name="40% - Accent1 2 3 2 2" xfId="50282"/>
    <cellStyle name="40% - Accent1 2 3 3" xfId="12058"/>
    <cellStyle name="40% - Accent1 2 3 3 2" xfId="52312"/>
    <cellStyle name="40% - Accent1 2 3 4" xfId="3531"/>
    <cellStyle name="40% - Accent1 2 3 4 2" xfId="48224"/>
    <cellStyle name="40% - Accent1 2 3 5" xfId="41891"/>
    <cellStyle name="40% - Accent1 2 3 5 2" xfId="57018"/>
    <cellStyle name="40% - Accent1 2 3 6" xfId="46478"/>
    <cellStyle name="40% - Accent1 2 4" xfId="1459"/>
    <cellStyle name="40% - Accent1 2 4 2" xfId="5808"/>
    <cellStyle name="40% - Accent1 2 4 2 2" xfId="50493"/>
    <cellStyle name="40% - Accent1 2 4 3" xfId="12269"/>
    <cellStyle name="40% - Accent1 2 4 3 2" xfId="52523"/>
    <cellStyle name="40% - Accent1 2 4 4" xfId="3758"/>
    <cellStyle name="40% - Accent1 2 4 4 2" xfId="48451"/>
    <cellStyle name="40% - Accent1 2 4 5" xfId="46689"/>
    <cellStyle name="40% - Accent1 2 5" xfId="614"/>
    <cellStyle name="40% - Accent1 2 5 2" xfId="4963"/>
    <cellStyle name="40% - Accent1 2 5 2 2" xfId="49648"/>
    <cellStyle name="40% - Accent1 2 5 3" xfId="11424"/>
    <cellStyle name="40% - Accent1 2 5 3 2" xfId="51678"/>
    <cellStyle name="40% - Accent1 2 5 4" xfId="4117"/>
    <cellStyle name="40% - Accent1 2 5 4 2" xfId="48807"/>
    <cellStyle name="40% - Accent1 2 5 5" xfId="45844"/>
    <cellStyle name="40% - Accent1 2 6" xfId="4538"/>
    <cellStyle name="40% - Accent1 2 6 2" xfId="49228"/>
    <cellStyle name="40% - Accent1 2 7" xfId="11004"/>
    <cellStyle name="40% - Accent1 2 7 2" xfId="51258"/>
    <cellStyle name="40% - Accent1 2 8" xfId="2848"/>
    <cellStyle name="40% - Accent1 2 8 2" xfId="47542"/>
    <cellStyle name="40% - Accent1 2 9" xfId="39611"/>
    <cellStyle name="40% - Accent1 2 9 2" xfId="54739"/>
    <cellStyle name="40% - Accent1 3" xfId="283"/>
    <cellStyle name="40% - Accent1 3 2" xfId="1337"/>
    <cellStyle name="40% - Accent1 3 2 2" xfId="5686"/>
    <cellStyle name="40% - Accent1 3 2 2 2" xfId="50371"/>
    <cellStyle name="40% - Accent1 3 2 3" xfId="12147"/>
    <cellStyle name="40% - Accent1 3 2 3 2" xfId="52401"/>
    <cellStyle name="40% - Accent1 3 2 4" xfId="3620"/>
    <cellStyle name="40% - Accent1 3 2 4 2" xfId="48313"/>
    <cellStyle name="40% - Accent1 3 2 5" xfId="46567"/>
    <cellStyle name="40% - Accent1 3 3" xfId="1548"/>
    <cellStyle name="40% - Accent1 3 3 2" xfId="5897"/>
    <cellStyle name="40% - Accent1 3 3 2 2" xfId="50582"/>
    <cellStyle name="40% - Accent1 3 3 3" xfId="12358"/>
    <cellStyle name="40% - Accent1 3 3 3 2" xfId="52612"/>
    <cellStyle name="40% - Accent1 3 3 4" xfId="3847"/>
    <cellStyle name="40% - Accent1 3 3 4 2" xfId="48540"/>
    <cellStyle name="40% - Accent1 3 3 5" xfId="46778"/>
    <cellStyle name="40% - Accent1 3 4" xfId="1035"/>
    <cellStyle name="40% - Accent1 3 4 2" xfId="5384"/>
    <cellStyle name="40% - Accent1 3 4 2 2" xfId="50069"/>
    <cellStyle name="40% - Accent1 3 4 3" xfId="11845"/>
    <cellStyle name="40% - Accent1 3 4 3 2" xfId="52099"/>
    <cellStyle name="40% - Accent1 3 4 4" xfId="4206"/>
    <cellStyle name="40% - Accent1 3 4 4 2" xfId="48896"/>
    <cellStyle name="40% - Accent1 3 4 5" xfId="46265"/>
    <cellStyle name="40% - Accent1 3 5" xfId="4632"/>
    <cellStyle name="40% - Accent1 3 5 2" xfId="49317"/>
    <cellStyle name="40% - Accent1 3 6" xfId="11093"/>
    <cellStyle name="40% - Accent1 3 6 2" xfId="51347"/>
    <cellStyle name="40% - Accent1 3 7" xfId="3270"/>
    <cellStyle name="40% - Accent1 3 7 2" xfId="47964"/>
    <cellStyle name="40% - Accent1 3 8" xfId="40362"/>
    <cellStyle name="40% - Accent1 3 8 2" xfId="55490"/>
    <cellStyle name="40% - Accent1 3 9" xfId="45513"/>
    <cellStyle name="40% - Accent1 4" xfId="399"/>
    <cellStyle name="40% - Accent1 4 2" xfId="1664"/>
    <cellStyle name="40% - Accent1 4 2 2" xfId="6013"/>
    <cellStyle name="40% - Accent1 4 2 2 2" xfId="50698"/>
    <cellStyle name="40% - Accent1 4 2 3" xfId="12474"/>
    <cellStyle name="40% - Accent1 4 2 3 2" xfId="52728"/>
    <cellStyle name="40% - Accent1 4 2 4" xfId="3963"/>
    <cellStyle name="40% - Accent1 4 2 4 2" xfId="48656"/>
    <cellStyle name="40% - Accent1 4 2 5" xfId="46894"/>
    <cellStyle name="40% - Accent1 4 3" xfId="1151"/>
    <cellStyle name="40% - Accent1 4 3 2" xfId="5500"/>
    <cellStyle name="40% - Accent1 4 3 2 2" xfId="50185"/>
    <cellStyle name="40% - Accent1 4 3 3" xfId="11961"/>
    <cellStyle name="40% - Accent1 4 3 3 2" xfId="52215"/>
    <cellStyle name="40% - Accent1 4 3 4" xfId="4322"/>
    <cellStyle name="40% - Accent1 4 3 4 2" xfId="49012"/>
    <cellStyle name="40% - Accent1 4 3 5" xfId="46381"/>
    <cellStyle name="40% - Accent1 4 4" xfId="4748"/>
    <cellStyle name="40% - Accent1 4 4 2" xfId="49433"/>
    <cellStyle name="40% - Accent1 4 5" xfId="11209"/>
    <cellStyle name="40% - Accent1 4 5 2" xfId="51463"/>
    <cellStyle name="40% - Accent1 4 6" xfId="3386"/>
    <cellStyle name="40% - Accent1 4 6 2" xfId="48080"/>
    <cellStyle name="40% - Accent1 4 7" xfId="45629"/>
    <cellStyle name="40% - Accent1 5" xfId="851"/>
    <cellStyle name="40% - Accent1 5 2" xfId="5200"/>
    <cellStyle name="40% - Accent1 5 2 2" xfId="49885"/>
    <cellStyle name="40% - Accent1 5 3" xfId="11661"/>
    <cellStyle name="40% - Accent1 5 3 2" xfId="51915"/>
    <cellStyle name="40% - Accent1 5 4" xfId="3086"/>
    <cellStyle name="40% - Accent1 5 4 2" xfId="47780"/>
    <cellStyle name="40% - Accent1 5 5" xfId="46081"/>
    <cellStyle name="40% - Accent1 6" xfId="730"/>
    <cellStyle name="40% - Accent1 6 2" xfId="5079"/>
    <cellStyle name="40% - Accent1 6 2 2" xfId="49764"/>
    <cellStyle name="40% - Accent1 6 3" xfId="11540"/>
    <cellStyle name="40% - Accent1 6 3 2" xfId="51794"/>
    <cellStyle name="40% - Accent1 6 4" xfId="2964"/>
    <cellStyle name="40% - Accent1 6 4 2" xfId="47658"/>
    <cellStyle name="40% - Accent1 6 5" xfId="45960"/>
    <cellStyle name="40% - Accent1 7" xfId="520"/>
    <cellStyle name="40% - Accent1 7 2" xfId="4869"/>
    <cellStyle name="40% - Accent1 7 2 2" xfId="49554"/>
    <cellStyle name="40% - Accent1 7 3" xfId="11330"/>
    <cellStyle name="40% - Accent1 7 3 2" xfId="51584"/>
    <cellStyle name="40% - Accent1 7 4" xfId="3490"/>
    <cellStyle name="40% - Accent1 7 4 2" xfId="48184"/>
    <cellStyle name="40% - Accent1 7 5" xfId="45750"/>
    <cellStyle name="40% - Accent1 8" xfId="2600"/>
    <cellStyle name="40% - Accent1 8 2" xfId="4443"/>
    <cellStyle name="40% - Accent1 8 2 2" xfId="49133"/>
    <cellStyle name="40% - Accent1 8 3" xfId="47332"/>
    <cellStyle name="40% - Accent1 9" xfId="10908"/>
    <cellStyle name="40% - Accent1 9 2" xfId="51163"/>
    <cellStyle name="40% - Accent2" xfId="70" builtinId="35" customBuiltin="1"/>
    <cellStyle name="40% - Accent2 10" xfId="18322"/>
    <cellStyle name="40% - Accent2 10 2" xfId="53165"/>
    <cellStyle name="40% - Accent2 11" xfId="2737"/>
    <cellStyle name="40% - Accent2 11 2" xfId="47450"/>
    <cellStyle name="40% - Accent2 12" xfId="38443"/>
    <cellStyle name="40% - Accent2 12 2" xfId="53602"/>
    <cellStyle name="40% - Accent2 13" xfId="45295"/>
    <cellStyle name="40% - Accent2 2" xfId="190"/>
    <cellStyle name="40% - Accent2 2 10" xfId="45425"/>
    <cellStyle name="40% - Accent2 2 2" xfId="947"/>
    <cellStyle name="40% - Accent2 2 2 2" xfId="5296"/>
    <cellStyle name="40% - Accent2 2 2 2 2" xfId="49981"/>
    <cellStyle name="40% - Accent2 2 2 3" xfId="11757"/>
    <cellStyle name="40% - Accent2 2 2 3 2" xfId="52011"/>
    <cellStyle name="40% - Accent2 2 2 4" xfId="3182"/>
    <cellStyle name="40% - Accent2 2 2 4 2" xfId="47876"/>
    <cellStyle name="40% - Accent2 2 2 5" xfId="44129"/>
    <cellStyle name="40% - Accent2 2 2 5 2" xfId="59255"/>
    <cellStyle name="40% - Accent2 2 2 6" xfId="46177"/>
    <cellStyle name="40% - Accent2 2 3" xfId="1249"/>
    <cellStyle name="40% - Accent2 2 3 2" xfId="5598"/>
    <cellStyle name="40% - Accent2 2 3 2 2" xfId="50283"/>
    <cellStyle name="40% - Accent2 2 3 3" xfId="12059"/>
    <cellStyle name="40% - Accent2 2 3 3 2" xfId="52313"/>
    <cellStyle name="40% - Accent2 2 3 4" xfId="3532"/>
    <cellStyle name="40% - Accent2 2 3 4 2" xfId="48225"/>
    <cellStyle name="40% - Accent2 2 3 5" xfId="41893"/>
    <cellStyle name="40% - Accent2 2 3 5 2" xfId="57020"/>
    <cellStyle name="40% - Accent2 2 3 6" xfId="46479"/>
    <cellStyle name="40% - Accent2 2 4" xfId="1460"/>
    <cellStyle name="40% - Accent2 2 4 2" xfId="5809"/>
    <cellStyle name="40% - Accent2 2 4 2 2" xfId="50494"/>
    <cellStyle name="40% - Accent2 2 4 3" xfId="12270"/>
    <cellStyle name="40% - Accent2 2 4 3 2" xfId="52524"/>
    <cellStyle name="40% - Accent2 2 4 4" xfId="3759"/>
    <cellStyle name="40% - Accent2 2 4 4 2" xfId="48452"/>
    <cellStyle name="40% - Accent2 2 4 5" xfId="46690"/>
    <cellStyle name="40% - Accent2 2 5" xfId="615"/>
    <cellStyle name="40% - Accent2 2 5 2" xfId="4964"/>
    <cellStyle name="40% - Accent2 2 5 2 2" xfId="49649"/>
    <cellStyle name="40% - Accent2 2 5 3" xfId="11425"/>
    <cellStyle name="40% - Accent2 2 5 3 2" xfId="51679"/>
    <cellStyle name="40% - Accent2 2 5 4" xfId="4118"/>
    <cellStyle name="40% - Accent2 2 5 4 2" xfId="48808"/>
    <cellStyle name="40% - Accent2 2 5 5" xfId="45845"/>
    <cellStyle name="40% - Accent2 2 6" xfId="4539"/>
    <cellStyle name="40% - Accent2 2 6 2" xfId="49229"/>
    <cellStyle name="40% - Accent2 2 7" xfId="11005"/>
    <cellStyle name="40% - Accent2 2 7 2" xfId="51259"/>
    <cellStyle name="40% - Accent2 2 8" xfId="2849"/>
    <cellStyle name="40% - Accent2 2 8 2" xfId="47543"/>
    <cellStyle name="40% - Accent2 2 9" xfId="39613"/>
    <cellStyle name="40% - Accent2 2 9 2" xfId="54741"/>
    <cellStyle name="40% - Accent2 3" xfId="284"/>
    <cellStyle name="40% - Accent2 3 2" xfId="1338"/>
    <cellStyle name="40% - Accent2 3 2 2" xfId="5687"/>
    <cellStyle name="40% - Accent2 3 2 2 2" xfId="50372"/>
    <cellStyle name="40% - Accent2 3 2 3" xfId="12148"/>
    <cellStyle name="40% - Accent2 3 2 3 2" xfId="52402"/>
    <cellStyle name="40% - Accent2 3 2 4" xfId="3621"/>
    <cellStyle name="40% - Accent2 3 2 4 2" xfId="48314"/>
    <cellStyle name="40% - Accent2 3 2 5" xfId="46568"/>
    <cellStyle name="40% - Accent2 3 3" xfId="1549"/>
    <cellStyle name="40% - Accent2 3 3 2" xfId="5898"/>
    <cellStyle name="40% - Accent2 3 3 2 2" xfId="50583"/>
    <cellStyle name="40% - Accent2 3 3 3" xfId="12359"/>
    <cellStyle name="40% - Accent2 3 3 3 2" xfId="52613"/>
    <cellStyle name="40% - Accent2 3 3 4" xfId="3848"/>
    <cellStyle name="40% - Accent2 3 3 4 2" xfId="48541"/>
    <cellStyle name="40% - Accent2 3 3 5" xfId="46779"/>
    <cellStyle name="40% - Accent2 3 4" xfId="1036"/>
    <cellStyle name="40% - Accent2 3 4 2" xfId="5385"/>
    <cellStyle name="40% - Accent2 3 4 2 2" xfId="50070"/>
    <cellStyle name="40% - Accent2 3 4 3" xfId="11846"/>
    <cellStyle name="40% - Accent2 3 4 3 2" xfId="52100"/>
    <cellStyle name="40% - Accent2 3 4 4" xfId="4207"/>
    <cellStyle name="40% - Accent2 3 4 4 2" xfId="48897"/>
    <cellStyle name="40% - Accent2 3 4 5" xfId="46266"/>
    <cellStyle name="40% - Accent2 3 5" xfId="4633"/>
    <cellStyle name="40% - Accent2 3 5 2" xfId="49318"/>
    <cellStyle name="40% - Accent2 3 6" xfId="11094"/>
    <cellStyle name="40% - Accent2 3 6 2" xfId="51348"/>
    <cellStyle name="40% - Accent2 3 7" xfId="3271"/>
    <cellStyle name="40% - Accent2 3 7 2" xfId="47965"/>
    <cellStyle name="40% - Accent2 3 8" xfId="40363"/>
    <cellStyle name="40% - Accent2 3 8 2" xfId="55491"/>
    <cellStyle name="40% - Accent2 3 9" xfId="45514"/>
    <cellStyle name="40% - Accent2 4" xfId="401"/>
    <cellStyle name="40% - Accent2 4 2" xfId="1666"/>
    <cellStyle name="40% - Accent2 4 2 2" xfId="6015"/>
    <cellStyle name="40% - Accent2 4 2 2 2" xfId="50700"/>
    <cellStyle name="40% - Accent2 4 2 3" xfId="12476"/>
    <cellStyle name="40% - Accent2 4 2 3 2" xfId="52730"/>
    <cellStyle name="40% - Accent2 4 2 4" xfId="3965"/>
    <cellStyle name="40% - Accent2 4 2 4 2" xfId="48658"/>
    <cellStyle name="40% - Accent2 4 2 5" xfId="46896"/>
    <cellStyle name="40% - Accent2 4 3" xfId="1153"/>
    <cellStyle name="40% - Accent2 4 3 2" xfId="5502"/>
    <cellStyle name="40% - Accent2 4 3 2 2" xfId="50187"/>
    <cellStyle name="40% - Accent2 4 3 3" xfId="11963"/>
    <cellStyle name="40% - Accent2 4 3 3 2" xfId="52217"/>
    <cellStyle name="40% - Accent2 4 3 4" xfId="4324"/>
    <cellStyle name="40% - Accent2 4 3 4 2" xfId="49014"/>
    <cellStyle name="40% - Accent2 4 3 5" xfId="46383"/>
    <cellStyle name="40% - Accent2 4 4" xfId="4750"/>
    <cellStyle name="40% - Accent2 4 4 2" xfId="49435"/>
    <cellStyle name="40% - Accent2 4 5" xfId="11211"/>
    <cellStyle name="40% - Accent2 4 5 2" xfId="51465"/>
    <cellStyle name="40% - Accent2 4 6" xfId="3388"/>
    <cellStyle name="40% - Accent2 4 6 2" xfId="48082"/>
    <cellStyle name="40% - Accent2 4 7" xfId="45631"/>
    <cellStyle name="40% - Accent2 5" xfId="853"/>
    <cellStyle name="40% - Accent2 5 2" xfId="5202"/>
    <cellStyle name="40% - Accent2 5 2 2" xfId="49887"/>
    <cellStyle name="40% - Accent2 5 3" xfId="11663"/>
    <cellStyle name="40% - Accent2 5 3 2" xfId="51917"/>
    <cellStyle name="40% - Accent2 5 4" xfId="3088"/>
    <cellStyle name="40% - Accent2 5 4 2" xfId="47782"/>
    <cellStyle name="40% - Accent2 5 5" xfId="46083"/>
    <cellStyle name="40% - Accent2 6" xfId="732"/>
    <cellStyle name="40% - Accent2 6 2" xfId="5081"/>
    <cellStyle name="40% - Accent2 6 2 2" xfId="49766"/>
    <cellStyle name="40% - Accent2 6 3" xfId="11542"/>
    <cellStyle name="40% - Accent2 6 3 2" xfId="51796"/>
    <cellStyle name="40% - Accent2 6 4" xfId="2966"/>
    <cellStyle name="40% - Accent2 6 4 2" xfId="47660"/>
    <cellStyle name="40% - Accent2 6 5" xfId="45962"/>
    <cellStyle name="40% - Accent2 7" xfId="522"/>
    <cellStyle name="40% - Accent2 7 2" xfId="4871"/>
    <cellStyle name="40% - Accent2 7 2 2" xfId="49556"/>
    <cellStyle name="40% - Accent2 7 3" xfId="11332"/>
    <cellStyle name="40% - Accent2 7 3 2" xfId="51586"/>
    <cellStyle name="40% - Accent2 7 4" xfId="4065"/>
    <cellStyle name="40% - Accent2 7 4 2" xfId="48757"/>
    <cellStyle name="40% - Accent2 7 5" xfId="45752"/>
    <cellStyle name="40% - Accent2 8" xfId="2601"/>
    <cellStyle name="40% - Accent2 8 2" xfId="4445"/>
    <cellStyle name="40% - Accent2 8 2 2" xfId="49135"/>
    <cellStyle name="40% - Accent2 8 3" xfId="47333"/>
    <cellStyle name="40% - Accent2 9" xfId="10910"/>
    <cellStyle name="40% - Accent2 9 2" xfId="51165"/>
    <cellStyle name="40% - Accent3" xfId="74" builtinId="39" customBuiltin="1"/>
    <cellStyle name="40% - Accent3 10" xfId="18324"/>
    <cellStyle name="40% - Accent3 10 2" xfId="53167"/>
    <cellStyle name="40% - Accent3 11" xfId="2740"/>
    <cellStyle name="40% - Accent3 11 2" xfId="47452"/>
    <cellStyle name="40% - Accent3 12" xfId="38446"/>
    <cellStyle name="40% - Accent3 12 2" xfId="53604"/>
    <cellStyle name="40% - Accent3 13" xfId="45297"/>
    <cellStyle name="40% - Accent3 2" xfId="191"/>
    <cellStyle name="40% - Accent3 2 10" xfId="45426"/>
    <cellStyle name="40% - Accent3 2 2" xfId="948"/>
    <cellStyle name="40% - Accent3 2 2 2" xfId="5297"/>
    <cellStyle name="40% - Accent3 2 2 2 2" xfId="49982"/>
    <cellStyle name="40% - Accent3 2 2 3" xfId="11758"/>
    <cellStyle name="40% - Accent3 2 2 3 2" xfId="52012"/>
    <cellStyle name="40% - Accent3 2 2 4" xfId="3183"/>
    <cellStyle name="40% - Accent3 2 2 4 2" xfId="47877"/>
    <cellStyle name="40% - Accent3 2 2 5" xfId="44131"/>
    <cellStyle name="40% - Accent3 2 2 5 2" xfId="59257"/>
    <cellStyle name="40% - Accent3 2 2 6" xfId="46178"/>
    <cellStyle name="40% - Accent3 2 3" xfId="1250"/>
    <cellStyle name="40% - Accent3 2 3 2" xfId="5599"/>
    <cellStyle name="40% - Accent3 2 3 2 2" xfId="50284"/>
    <cellStyle name="40% - Accent3 2 3 3" xfId="12060"/>
    <cellStyle name="40% - Accent3 2 3 3 2" xfId="52314"/>
    <cellStyle name="40% - Accent3 2 3 4" xfId="3533"/>
    <cellStyle name="40% - Accent3 2 3 4 2" xfId="48226"/>
    <cellStyle name="40% - Accent3 2 3 5" xfId="41895"/>
    <cellStyle name="40% - Accent3 2 3 5 2" xfId="57022"/>
    <cellStyle name="40% - Accent3 2 3 6" xfId="46480"/>
    <cellStyle name="40% - Accent3 2 4" xfId="1461"/>
    <cellStyle name="40% - Accent3 2 4 2" xfId="5810"/>
    <cellStyle name="40% - Accent3 2 4 2 2" xfId="50495"/>
    <cellStyle name="40% - Accent3 2 4 3" xfId="12271"/>
    <cellStyle name="40% - Accent3 2 4 3 2" xfId="52525"/>
    <cellStyle name="40% - Accent3 2 4 4" xfId="3760"/>
    <cellStyle name="40% - Accent3 2 4 4 2" xfId="48453"/>
    <cellStyle name="40% - Accent3 2 4 5" xfId="46691"/>
    <cellStyle name="40% - Accent3 2 5" xfId="616"/>
    <cellStyle name="40% - Accent3 2 5 2" xfId="4965"/>
    <cellStyle name="40% - Accent3 2 5 2 2" xfId="49650"/>
    <cellStyle name="40% - Accent3 2 5 3" xfId="11426"/>
    <cellStyle name="40% - Accent3 2 5 3 2" xfId="51680"/>
    <cellStyle name="40% - Accent3 2 5 4" xfId="4119"/>
    <cellStyle name="40% - Accent3 2 5 4 2" xfId="48809"/>
    <cellStyle name="40% - Accent3 2 5 5" xfId="45846"/>
    <cellStyle name="40% - Accent3 2 6" xfId="4540"/>
    <cellStyle name="40% - Accent3 2 6 2" xfId="49230"/>
    <cellStyle name="40% - Accent3 2 7" xfId="11006"/>
    <cellStyle name="40% - Accent3 2 7 2" xfId="51260"/>
    <cellStyle name="40% - Accent3 2 8" xfId="2850"/>
    <cellStyle name="40% - Accent3 2 8 2" xfId="47544"/>
    <cellStyle name="40% - Accent3 2 9" xfId="39615"/>
    <cellStyle name="40% - Accent3 2 9 2" xfId="54743"/>
    <cellStyle name="40% - Accent3 3" xfId="285"/>
    <cellStyle name="40% - Accent3 3 2" xfId="1339"/>
    <cellStyle name="40% - Accent3 3 2 2" xfId="5688"/>
    <cellStyle name="40% - Accent3 3 2 2 2" xfId="50373"/>
    <cellStyle name="40% - Accent3 3 2 3" xfId="12149"/>
    <cellStyle name="40% - Accent3 3 2 3 2" xfId="52403"/>
    <cellStyle name="40% - Accent3 3 2 4" xfId="3622"/>
    <cellStyle name="40% - Accent3 3 2 4 2" xfId="48315"/>
    <cellStyle name="40% - Accent3 3 2 5" xfId="46569"/>
    <cellStyle name="40% - Accent3 3 3" xfId="1550"/>
    <cellStyle name="40% - Accent3 3 3 2" xfId="5899"/>
    <cellStyle name="40% - Accent3 3 3 2 2" xfId="50584"/>
    <cellStyle name="40% - Accent3 3 3 3" xfId="12360"/>
    <cellStyle name="40% - Accent3 3 3 3 2" xfId="52614"/>
    <cellStyle name="40% - Accent3 3 3 4" xfId="3849"/>
    <cellStyle name="40% - Accent3 3 3 4 2" xfId="48542"/>
    <cellStyle name="40% - Accent3 3 3 5" xfId="46780"/>
    <cellStyle name="40% - Accent3 3 4" xfId="1037"/>
    <cellStyle name="40% - Accent3 3 4 2" xfId="5386"/>
    <cellStyle name="40% - Accent3 3 4 2 2" xfId="50071"/>
    <cellStyle name="40% - Accent3 3 4 3" xfId="11847"/>
    <cellStyle name="40% - Accent3 3 4 3 2" xfId="52101"/>
    <cellStyle name="40% - Accent3 3 4 4" xfId="4208"/>
    <cellStyle name="40% - Accent3 3 4 4 2" xfId="48898"/>
    <cellStyle name="40% - Accent3 3 4 5" xfId="46267"/>
    <cellStyle name="40% - Accent3 3 5" xfId="4634"/>
    <cellStyle name="40% - Accent3 3 5 2" xfId="49319"/>
    <cellStyle name="40% - Accent3 3 6" xfId="11095"/>
    <cellStyle name="40% - Accent3 3 6 2" xfId="51349"/>
    <cellStyle name="40% - Accent3 3 7" xfId="3272"/>
    <cellStyle name="40% - Accent3 3 7 2" xfId="47966"/>
    <cellStyle name="40% - Accent3 3 8" xfId="40364"/>
    <cellStyle name="40% - Accent3 3 8 2" xfId="55492"/>
    <cellStyle name="40% - Accent3 3 9" xfId="45515"/>
    <cellStyle name="40% - Accent3 4" xfId="403"/>
    <cellStyle name="40% - Accent3 4 2" xfId="1668"/>
    <cellStyle name="40% - Accent3 4 2 2" xfId="6017"/>
    <cellStyle name="40% - Accent3 4 2 2 2" xfId="50702"/>
    <cellStyle name="40% - Accent3 4 2 3" xfId="12478"/>
    <cellStyle name="40% - Accent3 4 2 3 2" xfId="52732"/>
    <cellStyle name="40% - Accent3 4 2 4" xfId="3967"/>
    <cellStyle name="40% - Accent3 4 2 4 2" xfId="48660"/>
    <cellStyle name="40% - Accent3 4 2 5" xfId="46898"/>
    <cellStyle name="40% - Accent3 4 3" xfId="1155"/>
    <cellStyle name="40% - Accent3 4 3 2" xfId="5504"/>
    <cellStyle name="40% - Accent3 4 3 2 2" xfId="50189"/>
    <cellStyle name="40% - Accent3 4 3 3" xfId="11965"/>
    <cellStyle name="40% - Accent3 4 3 3 2" xfId="52219"/>
    <cellStyle name="40% - Accent3 4 3 4" xfId="4326"/>
    <cellStyle name="40% - Accent3 4 3 4 2" xfId="49016"/>
    <cellStyle name="40% - Accent3 4 3 5" xfId="46385"/>
    <cellStyle name="40% - Accent3 4 4" xfId="4752"/>
    <cellStyle name="40% - Accent3 4 4 2" xfId="49437"/>
    <cellStyle name="40% - Accent3 4 5" xfId="11213"/>
    <cellStyle name="40% - Accent3 4 5 2" xfId="51467"/>
    <cellStyle name="40% - Accent3 4 6" xfId="3390"/>
    <cellStyle name="40% - Accent3 4 6 2" xfId="48084"/>
    <cellStyle name="40% - Accent3 4 7" xfId="45633"/>
    <cellStyle name="40% - Accent3 5" xfId="855"/>
    <cellStyle name="40% - Accent3 5 2" xfId="5204"/>
    <cellStyle name="40% - Accent3 5 2 2" xfId="49889"/>
    <cellStyle name="40% - Accent3 5 3" xfId="11665"/>
    <cellStyle name="40% - Accent3 5 3 2" xfId="51919"/>
    <cellStyle name="40% - Accent3 5 4" xfId="3090"/>
    <cellStyle name="40% - Accent3 5 4 2" xfId="47784"/>
    <cellStyle name="40% - Accent3 5 5" xfId="46085"/>
    <cellStyle name="40% - Accent3 6" xfId="734"/>
    <cellStyle name="40% - Accent3 6 2" xfId="5083"/>
    <cellStyle name="40% - Accent3 6 2 2" xfId="49768"/>
    <cellStyle name="40% - Accent3 6 3" xfId="11544"/>
    <cellStyle name="40% - Accent3 6 3 2" xfId="51798"/>
    <cellStyle name="40% - Accent3 6 4" xfId="2968"/>
    <cellStyle name="40% - Accent3 6 4 2" xfId="47662"/>
    <cellStyle name="40% - Accent3 6 5" xfId="45964"/>
    <cellStyle name="40% - Accent3 7" xfId="524"/>
    <cellStyle name="40% - Accent3 7 2" xfId="4873"/>
    <cellStyle name="40% - Accent3 7 2 2" xfId="49558"/>
    <cellStyle name="40% - Accent3 7 3" xfId="11334"/>
    <cellStyle name="40% - Accent3 7 3 2" xfId="51588"/>
    <cellStyle name="40% - Accent3 7 4" xfId="3739"/>
    <cellStyle name="40% - Accent3 7 4 2" xfId="48432"/>
    <cellStyle name="40% - Accent3 7 5" xfId="45754"/>
    <cellStyle name="40% - Accent3 8" xfId="2602"/>
    <cellStyle name="40% - Accent3 8 2" xfId="4447"/>
    <cellStyle name="40% - Accent3 8 2 2" xfId="49137"/>
    <cellStyle name="40% - Accent3 8 3" xfId="47334"/>
    <cellStyle name="40% - Accent3 9" xfId="10912"/>
    <cellStyle name="40% - Accent3 9 2" xfId="51167"/>
    <cellStyle name="40% - Accent4" xfId="78" builtinId="43" customBuiltin="1"/>
    <cellStyle name="40% - Accent4 10" xfId="18326"/>
    <cellStyle name="40% - Accent4 10 2" xfId="53169"/>
    <cellStyle name="40% - Accent4 11" xfId="2744"/>
    <cellStyle name="40% - Accent4 11 2" xfId="47454"/>
    <cellStyle name="40% - Accent4 12" xfId="38448"/>
    <cellStyle name="40% - Accent4 12 2" xfId="53606"/>
    <cellStyle name="40% - Accent4 13" xfId="45299"/>
    <cellStyle name="40% - Accent4 2" xfId="192"/>
    <cellStyle name="40% - Accent4 2 10" xfId="45427"/>
    <cellStyle name="40% - Accent4 2 2" xfId="949"/>
    <cellStyle name="40% - Accent4 2 2 2" xfId="5298"/>
    <cellStyle name="40% - Accent4 2 2 2 2" xfId="49983"/>
    <cellStyle name="40% - Accent4 2 2 3" xfId="11759"/>
    <cellStyle name="40% - Accent4 2 2 3 2" xfId="52013"/>
    <cellStyle name="40% - Accent4 2 2 4" xfId="3184"/>
    <cellStyle name="40% - Accent4 2 2 4 2" xfId="47878"/>
    <cellStyle name="40% - Accent4 2 2 5" xfId="44133"/>
    <cellStyle name="40% - Accent4 2 2 5 2" xfId="59259"/>
    <cellStyle name="40% - Accent4 2 2 6" xfId="46179"/>
    <cellStyle name="40% - Accent4 2 3" xfId="1251"/>
    <cellStyle name="40% - Accent4 2 3 2" xfId="5600"/>
    <cellStyle name="40% - Accent4 2 3 2 2" xfId="50285"/>
    <cellStyle name="40% - Accent4 2 3 3" xfId="12061"/>
    <cellStyle name="40% - Accent4 2 3 3 2" xfId="52315"/>
    <cellStyle name="40% - Accent4 2 3 4" xfId="3534"/>
    <cellStyle name="40% - Accent4 2 3 4 2" xfId="48227"/>
    <cellStyle name="40% - Accent4 2 3 5" xfId="41897"/>
    <cellStyle name="40% - Accent4 2 3 5 2" xfId="57024"/>
    <cellStyle name="40% - Accent4 2 3 6" xfId="46481"/>
    <cellStyle name="40% - Accent4 2 4" xfId="1462"/>
    <cellStyle name="40% - Accent4 2 4 2" xfId="5811"/>
    <cellStyle name="40% - Accent4 2 4 2 2" xfId="50496"/>
    <cellStyle name="40% - Accent4 2 4 3" xfId="12272"/>
    <cellStyle name="40% - Accent4 2 4 3 2" xfId="52526"/>
    <cellStyle name="40% - Accent4 2 4 4" xfId="3761"/>
    <cellStyle name="40% - Accent4 2 4 4 2" xfId="48454"/>
    <cellStyle name="40% - Accent4 2 4 5" xfId="46692"/>
    <cellStyle name="40% - Accent4 2 5" xfId="617"/>
    <cellStyle name="40% - Accent4 2 5 2" xfId="4966"/>
    <cellStyle name="40% - Accent4 2 5 2 2" xfId="49651"/>
    <cellStyle name="40% - Accent4 2 5 3" xfId="11427"/>
    <cellStyle name="40% - Accent4 2 5 3 2" xfId="51681"/>
    <cellStyle name="40% - Accent4 2 5 4" xfId="4120"/>
    <cellStyle name="40% - Accent4 2 5 4 2" xfId="48810"/>
    <cellStyle name="40% - Accent4 2 5 5" xfId="45847"/>
    <cellStyle name="40% - Accent4 2 6" xfId="4541"/>
    <cellStyle name="40% - Accent4 2 6 2" xfId="49231"/>
    <cellStyle name="40% - Accent4 2 7" xfId="11007"/>
    <cellStyle name="40% - Accent4 2 7 2" xfId="51261"/>
    <cellStyle name="40% - Accent4 2 8" xfId="2851"/>
    <cellStyle name="40% - Accent4 2 8 2" xfId="47545"/>
    <cellStyle name="40% - Accent4 2 9" xfId="39617"/>
    <cellStyle name="40% - Accent4 2 9 2" xfId="54745"/>
    <cellStyle name="40% - Accent4 3" xfId="286"/>
    <cellStyle name="40% - Accent4 3 2" xfId="1340"/>
    <cellStyle name="40% - Accent4 3 2 2" xfId="5689"/>
    <cellStyle name="40% - Accent4 3 2 2 2" xfId="50374"/>
    <cellStyle name="40% - Accent4 3 2 3" xfId="12150"/>
    <cellStyle name="40% - Accent4 3 2 3 2" xfId="52404"/>
    <cellStyle name="40% - Accent4 3 2 4" xfId="3623"/>
    <cellStyle name="40% - Accent4 3 2 4 2" xfId="48316"/>
    <cellStyle name="40% - Accent4 3 2 5" xfId="46570"/>
    <cellStyle name="40% - Accent4 3 3" xfId="1551"/>
    <cellStyle name="40% - Accent4 3 3 2" xfId="5900"/>
    <cellStyle name="40% - Accent4 3 3 2 2" xfId="50585"/>
    <cellStyle name="40% - Accent4 3 3 3" xfId="12361"/>
    <cellStyle name="40% - Accent4 3 3 3 2" xfId="52615"/>
    <cellStyle name="40% - Accent4 3 3 4" xfId="3850"/>
    <cellStyle name="40% - Accent4 3 3 4 2" xfId="48543"/>
    <cellStyle name="40% - Accent4 3 3 5" xfId="46781"/>
    <cellStyle name="40% - Accent4 3 4" xfId="1038"/>
    <cellStyle name="40% - Accent4 3 4 2" xfId="5387"/>
    <cellStyle name="40% - Accent4 3 4 2 2" xfId="50072"/>
    <cellStyle name="40% - Accent4 3 4 3" xfId="11848"/>
    <cellStyle name="40% - Accent4 3 4 3 2" xfId="52102"/>
    <cellStyle name="40% - Accent4 3 4 4" xfId="4209"/>
    <cellStyle name="40% - Accent4 3 4 4 2" xfId="48899"/>
    <cellStyle name="40% - Accent4 3 4 5" xfId="46268"/>
    <cellStyle name="40% - Accent4 3 5" xfId="4635"/>
    <cellStyle name="40% - Accent4 3 5 2" xfId="49320"/>
    <cellStyle name="40% - Accent4 3 6" xfId="11096"/>
    <cellStyle name="40% - Accent4 3 6 2" xfId="51350"/>
    <cellStyle name="40% - Accent4 3 7" xfId="3273"/>
    <cellStyle name="40% - Accent4 3 7 2" xfId="47967"/>
    <cellStyle name="40% - Accent4 3 8" xfId="40365"/>
    <cellStyle name="40% - Accent4 3 8 2" xfId="55493"/>
    <cellStyle name="40% - Accent4 3 9" xfId="45516"/>
    <cellStyle name="40% - Accent4 4" xfId="405"/>
    <cellStyle name="40% - Accent4 4 2" xfId="1670"/>
    <cellStyle name="40% - Accent4 4 2 2" xfId="6019"/>
    <cellStyle name="40% - Accent4 4 2 2 2" xfId="50704"/>
    <cellStyle name="40% - Accent4 4 2 3" xfId="12480"/>
    <cellStyle name="40% - Accent4 4 2 3 2" xfId="52734"/>
    <cellStyle name="40% - Accent4 4 2 4" xfId="3969"/>
    <cellStyle name="40% - Accent4 4 2 4 2" xfId="48662"/>
    <cellStyle name="40% - Accent4 4 2 5" xfId="46900"/>
    <cellStyle name="40% - Accent4 4 3" xfId="1157"/>
    <cellStyle name="40% - Accent4 4 3 2" xfId="5506"/>
    <cellStyle name="40% - Accent4 4 3 2 2" xfId="50191"/>
    <cellStyle name="40% - Accent4 4 3 3" xfId="11967"/>
    <cellStyle name="40% - Accent4 4 3 3 2" xfId="52221"/>
    <cellStyle name="40% - Accent4 4 3 4" xfId="4328"/>
    <cellStyle name="40% - Accent4 4 3 4 2" xfId="49018"/>
    <cellStyle name="40% - Accent4 4 3 5" xfId="46387"/>
    <cellStyle name="40% - Accent4 4 4" xfId="4754"/>
    <cellStyle name="40% - Accent4 4 4 2" xfId="49439"/>
    <cellStyle name="40% - Accent4 4 5" xfId="11215"/>
    <cellStyle name="40% - Accent4 4 5 2" xfId="51469"/>
    <cellStyle name="40% - Accent4 4 6" xfId="3392"/>
    <cellStyle name="40% - Accent4 4 6 2" xfId="48086"/>
    <cellStyle name="40% - Accent4 4 7" xfId="45635"/>
    <cellStyle name="40% - Accent4 5" xfId="857"/>
    <cellStyle name="40% - Accent4 5 2" xfId="5206"/>
    <cellStyle name="40% - Accent4 5 2 2" xfId="49891"/>
    <cellStyle name="40% - Accent4 5 3" xfId="11667"/>
    <cellStyle name="40% - Accent4 5 3 2" xfId="51921"/>
    <cellStyle name="40% - Accent4 5 4" xfId="3092"/>
    <cellStyle name="40% - Accent4 5 4 2" xfId="47786"/>
    <cellStyle name="40% - Accent4 5 5" xfId="46087"/>
    <cellStyle name="40% - Accent4 6" xfId="736"/>
    <cellStyle name="40% - Accent4 6 2" xfId="5085"/>
    <cellStyle name="40% - Accent4 6 2 2" xfId="49770"/>
    <cellStyle name="40% - Accent4 6 3" xfId="11546"/>
    <cellStyle name="40% - Accent4 6 3 2" xfId="51800"/>
    <cellStyle name="40% - Accent4 6 4" xfId="2970"/>
    <cellStyle name="40% - Accent4 6 4 2" xfId="47664"/>
    <cellStyle name="40% - Accent4 6 5" xfId="45966"/>
    <cellStyle name="40% - Accent4 7" xfId="526"/>
    <cellStyle name="40% - Accent4 7 2" xfId="4875"/>
    <cellStyle name="40% - Accent4 7 2 2" xfId="49560"/>
    <cellStyle name="40% - Accent4 7 3" xfId="11336"/>
    <cellStyle name="40% - Accent4 7 3 2" xfId="51590"/>
    <cellStyle name="40% - Accent4 7 4" xfId="4101"/>
    <cellStyle name="40% - Accent4 7 4 2" xfId="48791"/>
    <cellStyle name="40% - Accent4 7 5" xfId="45756"/>
    <cellStyle name="40% - Accent4 8" xfId="2603"/>
    <cellStyle name="40% - Accent4 8 2" xfId="4449"/>
    <cellStyle name="40% - Accent4 8 2 2" xfId="49139"/>
    <cellStyle name="40% - Accent4 8 3" xfId="47335"/>
    <cellStyle name="40% - Accent4 9" xfId="10914"/>
    <cellStyle name="40% - Accent4 9 2" xfId="51169"/>
    <cellStyle name="40% - Accent5" xfId="82" builtinId="47" customBuiltin="1"/>
    <cellStyle name="40% - Accent5 10" xfId="18328"/>
    <cellStyle name="40% - Accent5 10 2" xfId="53171"/>
    <cellStyle name="40% - Accent5 11" xfId="2748"/>
    <cellStyle name="40% - Accent5 11 2" xfId="47456"/>
    <cellStyle name="40% - Accent5 12" xfId="38450"/>
    <cellStyle name="40% - Accent5 12 2" xfId="53608"/>
    <cellStyle name="40% - Accent5 13" xfId="45301"/>
    <cellStyle name="40% - Accent5 2" xfId="193"/>
    <cellStyle name="40% - Accent5 2 10" xfId="45428"/>
    <cellStyle name="40% - Accent5 2 2" xfId="950"/>
    <cellStyle name="40% - Accent5 2 2 2" xfId="5299"/>
    <cellStyle name="40% - Accent5 2 2 2 2" xfId="49984"/>
    <cellStyle name="40% - Accent5 2 2 3" xfId="11760"/>
    <cellStyle name="40% - Accent5 2 2 3 2" xfId="52014"/>
    <cellStyle name="40% - Accent5 2 2 4" xfId="3185"/>
    <cellStyle name="40% - Accent5 2 2 4 2" xfId="47879"/>
    <cellStyle name="40% - Accent5 2 2 5" xfId="44135"/>
    <cellStyle name="40% - Accent5 2 2 5 2" xfId="59261"/>
    <cellStyle name="40% - Accent5 2 2 6" xfId="46180"/>
    <cellStyle name="40% - Accent5 2 3" xfId="1252"/>
    <cellStyle name="40% - Accent5 2 3 2" xfId="5601"/>
    <cellStyle name="40% - Accent5 2 3 2 2" xfId="50286"/>
    <cellStyle name="40% - Accent5 2 3 3" xfId="12062"/>
    <cellStyle name="40% - Accent5 2 3 3 2" xfId="52316"/>
    <cellStyle name="40% - Accent5 2 3 4" xfId="3535"/>
    <cellStyle name="40% - Accent5 2 3 4 2" xfId="48228"/>
    <cellStyle name="40% - Accent5 2 3 5" xfId="41899"/>
    <cellStyle name="40% - Accent5 2 3 5 2" xfId="57026"/>
    <cellStyle name="40% - Accent5 2 3 6" xfId="46482"/>
    <cellStyle name="40% - Accent5 2 4" xfId="1463"/>
    <cellStyle name="40% - Accent5 2 4 2" xfId="5812"/>
    <cellStyle name="40% - Accent5 2 4 2 2" xfId="50497"/>
    <cellStyle name="40% - Accent5 2 4 3" xfId="12273"/>
    <cellStyle name="40% - Accent5 2 4 3 2" xfId="52527"/>
    <cellStyle name="40% - Accent5 2 4 4" xfId="3762"/>
    <cellStyle name="40% - Accent5 2 4 4 2" xfId="48455"/>
    <cellStyle name="40% - Accent5 2 4 5" xfId="46693"/>
    <cellStyle name="40% - Accent5 2 5" xfId="618"/>
    <cellStyle name="40% - Accent5 2 5 2" xfId="4967"/>
    <cellStyle name="40% - Accent5 2 5 2 2" xfId="49652"/>
    <cellStyle name="40% - Accent5 2 5 3" xfId="11428"/>
    <cellStyle name="40% - Accent5 2 5 3 2" xfId="51682"/>
    <cellStyle name="40% - Accent5 2 5 4" xfId="4121"/>
    <cellStyle name="40% - Accent5 2 5 4 2" xfId="48811"/>
    <cellStyle name="40% - Accent5 2 5 5" xfId="45848"/>
    <cellStyle name="40% - Accent5 2 6" xfId="4542"/>
    <cellStyle name="40% - Accent5 2 6 2" xfId="49232"/>
    <cellStyle name="40% - Accent5 2 7" xfId="11008"/>
    <cellStyle name="40% - Accent5 2 7 2" xfId="51262"/>
    <cellStyle name="40% - Accent5 2 8" xfId="2852"/>
    <cellStyle name="40% - Accent5 2 8 2" xfId="47546"/>
    <cellStyle name="40% - Accent5 2 9" xfId="39619"/>
    <cellStyle name="40% - Accent5 2 9 2" xfId="54747"/>
    <cellStyle name="40% - Accent5 3" xfId="287"/>
    <cellStyle name="40% - Accent5 3 2" xfId="1341"/>
    <cellStyle name="40% - Accent5 3 2 2" xfId="5690"/>
    <cellStyle name="40% - Accent5 3 2 2 2" xfId="50375"/>
    <cellStyle name="40% - Accent5 3 2 3" xfId="12151"/>
    <cellStyle name="40% - Accent5 3 2 3 2" xfId="52405"/>
    <cellStyle name="40% - Accent5 3 2 4" xfId="3624"/>
    <cellStyle name="40% - Accent5 3 2 4 2" xfId="48317"/>
    <cellStyle name="40% - Accent5 3 2 5" xfId="46571"/>
    <cellStyle name="40% - Accent5 3 3" xfId="1552"/>
    <cellStyle name="40% - Accent5 3 3 2" xfId="5901"/>
    <cellStyle name="40% - Accent5 3 3 2 2" xfId="50586"/>
    <cellStyle name="40% - Accent5 3 3 3" xfId="12362"/>
    <cellStyle name="40% - Accent5 3 3 3 2" xfId="52616"/>
    <cellStyle name="40% - Accent5 3 3 4" xfId="3851"/>
    <cellStyle name="40% - Accent5 3 3 4 2" xfId="48544"/>
    <cellStyle name="40% - Accent5 3 3 5" xfId="46782"/>
    <cellStyle name="40% - Accent5 3 4" xfId="1039"/>
    <cellStyle name="40% - Accent5 3 4 2" xfId="5388"/>
    <cellStyle name="40% - Accent5 3 4 2 2" xfId="50073"/>
    <cellStyle name="40% - Accent5 3 4 3" xfId="11849"/>
    <cellStyle name="40% - Accent5 3 4 3 2" xfId="52103"/>
    <cellStyle name="40% - Accent5 3 4 4" xfId="4210"/>
    <cellStyle name="40% - Accent5 3 4 4 2" xfId="48900"/>
    <cellStyle name="40% - Accent5 3 4 5" xfId="46269"/>
    <cellStyle name="40% - Accent5 3 5" xfId="4636"/>
    <cellStyle name="40% - Accent5 3 5 2" xfId="49321"/>
    <cellStyle name="40% - Accent5 3 6" xfId="11097"/>
    <cellStyle name="40% - Accent5 3 6 2" xfId="51351"/>
    <cellStyle name="40% - Accent5 3 7" xfId="3274"/>
    <cellStyle name="40% - Accent5 3 7 2" xfId="47968"/>
    <cellStyle name="40% - Accent5 3 8" xfId="40366"/>
    <cellStyle name="40% - Accent5 3 8 2" xfId="55494"/>
    <cellStyle name="40% - Accent5 3 9" xfId="45517"/>
    <cellStyle name="40% - Accent5 4" xfId="407"/>
    <cellStyle name="40% - Accent5 4 2" xfId="1672"/>
    <cellStyle name="40% - Accent5 4 2 2" xfId="6021"/>
    <cellStyle name="40% - Accent5 4 2 2 2" xfId="50706"/>
    <cellStyle name="40% - Accent5 4 2 3" xfId="12482"/>
    <cellStyle name="40% - Accent5 4 2 3 2" xfId="52736"/>
    <cellStyle name="40% - Accent5 4 2 4" xfId="3971"/>
    <cellStyle name="40% - Accent5 4 2 4 2" xfId="48664"/>
    <cellStyle name="40% - Accent5 4 2 5" xfId="46902"/>
    <cellStyle name="40% - Accent5 4 3" xfId="1159"/>
    <cellStyle name="40% - Accent5 4 3 2" xfId="5508"/>
    <cellStyle name="40% - Accent5 4 3 2 2" xfId="50193"/>
    <cellStyle name="40% - Accent5 4 3 3" xfId="11969"/>
    <cellStyle name="40% - Accent5 4 3 3 2" xfId="52223"/>
    <cellStyle name="40% - Accent5 4 3 4" xfId="4330"/>
    <cellStyle name="40% - Accent5 4 3 4 2" xfId="49020"/>
    <cellStyle name="40% - Accent5 4 3 5" xfId="46389"/>
    <cellStyle name="40% - Accent5 4 4" xfId="4756"/>
    <cellStyle name="40% - Accent5 4 4 2" xfId="49441"/>
    <cellStyle name="40% - Accent5 4 5" xfId="11217"/>
    <cellStyle name="40% - Accent5 4 5 2" xfId="51471"/>
    <cellStyle name="40% - Accent5 4 6" xfId="3394"/>
    <cellStyle name="40% - Accent5 4 6 2" xfId="48088"/>
    <cellStyle name="40% - Accent5 4 7" xfId="45637"/>
    <cellStyle name="40% - Accent5 5" xfId="859"/>
    <cellStyle name="40% - Accent5 5 2" xfId="5208"/>
    <cellStyle name="40% - Accent5 5 2 2" xfId="49893"/>
    <cellStyle name="40% - Accent5 5 3" xfId="11669"/>
    <cellStyle name="40% - Accent5 5 3 2" xfId="51923"/>
    <cellStyle name="40% - Accent5 5 4" xfId="3094"/>
    <cellStyle name="40% - Accent5 5 4 2" xfId="47788"/>
    <cellStyle name="40% - Accent5 5 5" xfId="46089"/>
    <cellStyle name="40% - Accent5 6" xfId="738"/>
    <cellStyle name="40% - Accent5 6 2" xfId="5087"/>
    <cellStyle name="40% - Accent5 6 2 2" xfId="49772"/>
    <cellStyle name="40% - Accent5 6 3" xfId="11548"/>
    <cellStyle name="40% - Accent5 6 3 2" xfId="51802"/>
    <cellStyle name="40% - Accent5 6 4" xfId="2972"/>
    <cellStyle name="40% - Accent5 6 4 2" xfId="47666"/>
    <cellStyle name="40% - Accent5 6 5" xfId="45968"/>
    <cellStyle name="40% - Accent5 7" xfId="528"/>
    <cellStyle name="40% - Accent5 7 2" xfId="4877"/>
    <cellStyle name="40% - Accent5 7 2 2" xfId="49562"/>
    <cellStyle name="40% - Accent5 7 3" xfId="11338"/>
    <cellStyle name="40% - Accent5 7 3 2" xfId="51592"/>
    <cellStyle name="40% - Accent5 7 4" xfId="3496"/>
    <cellStyle name="40% - Accent5 7 4 2" xfId="48190"/>
    <cellStyle name="40% - Accent5 7 5" xfId="45758"/>
    <cellStyle name="40% - Accent5 8" xfId="2604"/>
    <cellStyle name="40% - Accent5 8 2" xfId="4451"/>
    <cellStyle name="40% - Accent5 8 2 2" xfId="49141"/>
    <cellStyle name="40% - Accent5 8 3" xfId="47336"/>
    <cellStyle name="40% - Accent5 9" xfId="10916"/>
    <cellStyle name="40% - Accent5 9 2" xfId="51171"/>
    <cellStyle name="40% - Accent6" xfId="86" builtinId="51" customBuiltin="1"/>
    <cellStyle name="40% - Accent6 10" xfId="18330"/>
    <cellStyle name="40% - Accent6 10 2" xfId="53173"/>
    <cellStyle name="40% - Accent6 11" xfId="2751"/>
    <cellStyle name="40% - Accent6 11 2" xfId="47458"/>
    <cellStyle name="40% - Accent6 12" xfId="38452"/>
    <cellStyle name="40% - Accent6 12 2" xfId="53610"/>
    <cellStyle name="40% - Accent6 13" xfId="45303"/>
    <cellStyle name="40% - Accent6 2" xfId="194"/>
    <cellStyle name="40% - Accent6 2 10" xfId="45429"/>
    <cellStyle name="40% - Accent6 2 2" xfId="951"/>
    <cellStyle name="40% - Accent6 2 2 2" xfId="5300"/>
    <cellStyle name="40% - Accent6 2 2 2 2" xfId="49985"/>
    <cellStyle name="40% - Accent6 2 2 3" xfId="11761"/>
    <cellStyle name="40% - Accent6 2 2 3 2" xfId="52015"/>
    <cellStyle name="40% - Accent6 2 2 4" xfId="3186"/>
    <cellStyle name="40% - Accent6 2 2 4 2" xfId="47880"/>
    <cellStyle name="40% - Accent6 2 2 5" xfId="44137"/>
    <cellStyle name="40% - Accent6 2 2 5 2" xfId="59263"/>
    <cellStyle name="40% - Accent6 2 2 6" xfId="46181"/>
    <cellStyle name="40% - Accent6 2 3" xfId="1253"/>
    <cellStyle name="40% - Accent6 2 3 2" xfId="5602"/>
    <cellStyle name="40% - Accent6 2 3 2 2" xfId="50287"/>
    <cellStyle name="40% - Accent6 2 3 3" xfId="12063"/>
    <cellStyle name="40% - Accent6 2 3 3 2" xfId="52317"/>
    <cellStyle name="40% - Accent6 2 3 4" xfId="3536"/>
    <cellStyle name="40% - Accent6 2 3 4 2" xfId="48229"/>
    <cellStyle name="40% - Accent6 2 3 5" xfId="41901"/>
    <cellStyle name="40% - Accent6 2 3 5 2" xfId="57028"/>
    <cellStyle name="40% - Accent6 2 3 6" xfId="46483"/>
    <cellStyle name="40% - Accent6 2 4" xfId="1464"/>
    <cellStyle name="40% - Accent6 2 4 2" xfId="5813"/>
    <cellStyle name="40% - Accent6 2 4 2 2" xfId="50498"/>
    <cellStyle name="40% - Accent6 2 4 3" xfId="12274"/>
    <cellStyle name="40% - Accent6 2 4 3 2" xfId="52528"/>
    <cellStyle name="40% - Accent6 2 4 4" xfId="3763"/>
    <cellStyle name="40% - Accent6 2 4 4 2" xfId="48456"/>
    <cellStyle name="40% - Accent6 2 4 5" xfId="46694"/>
    <cellStyle name="40% - Accent6 2 5" xfId="619"/>
    <cellStyle name="40% - Accent6 2 5 2" xfId="4968"/>
    <cellStyle name="40% - Accent6 2 5 2 2" xfId="49653"/>
    <cellStyle name="40% - Accent6 2 5 3" xfId="11429"/>
    <cellStyle name="40% - Accent6 2 5 3 2" xfId="51683"/>
    <cellStyle name="40% - Accent6 2 5 4" xfId="4122"/>
    <cellStyle name="40% - Accent6 2 5 4 2" xfId="48812"/>
    <cellStyle name="40% - Accent6 2 5 5" xfId="45849"/>
    <cellStyle name="40% - Accent6 2 6" xfId="4543"/>
    <cellStyle name="40% - Accent6 2 6 2" xfId="49233"/>
    <cellStyle name="40% - Accent6 2 7" xfId="11009"/>
    <cellStyle name="40% - Accent6 2 7 2" xfId="51263"/>
    <cellStyle name="40% - Accent6 2 8" xfId="2853"/>
    <cellStyle name="40% - Accent6 2 8 2" xfId="47547"/>
    <cellStyle name="40% - Accent6 2 9" xfId="39621"/>
    <cellStyle name="40% - Accent6 2 9 2" xfId="54749"/>
    <cellStyle name="40% - Accent6 3" xfId="288"/>
    <cellStyle name="40% - Accent6 3 2" xfId="1342"/>
    <cellStyle name="40% - Accent6 3 2 2" xfId="5691"/>
    <cellStyle name="40% - Accent6 3 2 2 2" xfId="50376"/>
    <cellStyle name="40% - Accent6 3 2 3" xfId="12152"/>
    <cellStyle name="40% - Accent6 3 2 3 2" xfId="52406"/>
    <cellStyle name="40% - Accent6 3 2 4" xfId="3625"/>
    <cellStyle name="40% - Accent6 3 2 4 2" xfId="48318"/>
    <cellStyle name="40% - Accent6 3 2 5" xfId="46572"/>
    <cellStyle name="40% - Accent6 3 3" xfId="1553"/>
    <cellStyle name="40% - Accent6 3 3 2" xfId="5902"/>
    <cellStyle name="40% - Accent6 3 3 2 2" xfId="50587"/>
    <cellStyle name="40% - Accent6 3 3 3" xfId="12363"/>
    <cellStyle name="40% - Accent6 3 3 3 2" xfId="52617"/>
    <cellStyle name="40% - Accent6 3 3 4" xfId="3852"/>
    <cellStyle name="40% - Accent6 3 3 4 2" xfId="48545"/>
    <cellStyle name="40% - Accent6 3 3 5" xfId="46783"/>
    <cellStyle name="40% - Accent6 3 4" xfId="1040"/>
    <cellStyle name="40% - Accent6 3 4 2" xfId="5389"/>
    <cellStyle name="40% - Accent6 3 4 2 2" xfId="50074"/>
    <cellStyle name="40% - Accent6 3 4 3" xfId="11850"/>
    <cellStyle name="40% - Accent6 3 4 3 2" xfId="52104"/>
    <cellStyle name="40% - Accent6 3 4 4" xfId="4211"/>
    <cellStyle name="40% - Accent6 3 4 4 2" xfId="48901"/>
    <cellStyle name="40% - Accent6 3 4 5" xfId="46270"/>
    <cellStyle name="40% - Accent6 3 5" xfId="4637"/>
    <cellStyle name="40% - Accent6 3 5 2" xfId="49322"/>
    <cellStyle name="40% - Accent6 3 6" xfId="11098"/>
    <cellStyle name="40% - Accent6 3 6 2" xfId="51352"/>
    <cellStyle name="40% - Accent6 3 7" xfId="3275"/>
    <cellStyle name="40% - Accent6 3 7 2" xfId="47969"/>
    <cellStyle name="40% - Accent6 3 8" xfId="40367"/>
    <cellStyle name="40% - Accent6 3 8 2" xfId="55495"/>
    <cellStyle name="40% - Accent6 3 9" xfId="45518"/>
    <cellStyle name="40% - Accent6 4" xfId="409"/>
    <cellStyle name="40% - Accent6 4 2" xfId="1674"/>
    <cellStyle name="40% - Accent6 4 2 2" xfId="6023"/>
    <cellStyle name="40% - Accent6 4 2 2 2" xfId="50708"/>
    <cellStyle name="40% - Accent6 4 2 3" xfId="12484"/>
    <cellStyle name="40% - Accent6 4 2 3 2" xfId="52738"/>
    <cellStyle name="40% - Accent6 4 2 4" xfId="3973"/>
    <cellStyle name="40% - Accent6 4 2 4 2" xfId="48666"/>
    <cellStyle name="40% - Accent6 4 2 5" xfId="46904"/>
    <cellStyle name="40% - Accent6 4 3" xfId="1161"/>
    <cellStyle name="40% - Accent6 4 3 2" xfId="5510"/>
    <cellStyle name="40% - Accent6 4 3 2 2" xfId="50195"/>
    <cellStyle name="40% - Accent6 4 3 3" xfId="11971"/>
    <cellStyle name="40% - Accent6 4 3 3 2" xfId="52225"/>
    <cellStyle name="40% - Accent6 4 3 4" xfId="4332"/>
    <cellStyle name="40% - Accent6 4 3 4 2" xfId="49022"/>
    <cellStyle name="40% - Accent6 4 3 5" xfId="46391"/>
    <cellStyle name="40% - Accent6 4 4" xfId="4758"/>
    <cellStyle name="40% - Accent6 4 4 2" xfId="49443"/>
    <cellStyle name="40% - Accent6 4 5" xfId="11219"/>
    <cellStyle name="40% - Accent6 4 5 2" xfId="51473"/>
    <cellStyle name="40% - Accent6 4 6" xfId="3396"/>
    <cellStyle name="40% - Accent6 4 6 2" xfId="48090"/>
    <cellStyle name="40% - Accent6 4 7" xfId="45639"/>
    <cellStyle name="40% - Accent6 5" xfId="861"/>
    <cellStyle name="40% - Accent6 5 2" xfId="5210"/>
    <cellStyle name="40% - Accent6 5 2 2" xfId="49895"/>
    <cellStyle name="40% - Accent6 5 3" xfId="11671"/>
    <cellStyle name="40% - Accent6 5 3 2" xfId="51925"/>
    <cellStyle name="40% - Accent6 5 4" xfId="3096"/>
    <cellStyle name="40% - Accent6 5 4 2" xfId="47790"/>
    <cellStyle name="40% - Accent6 5 5" xfId="46091"/>
    <cellStyle name="40% - Accent6 6" xfId="740"/>
    <cellStyle name="40% - Accent6 6 2" xfId="5089"/>
    <cellStyle name="40% - Accent6 6 2 2" xfId="49774"/>
    <cellStyle name="40% - Accent6 6 3" xfId="11550"/>
    <cellStyle name="40% - Accent6 6 3 2" xfId="51804"/>
    <cellStyle name="40% - Accent6 6 4" xfId="2974"/>
    <cellStyle name="40% - Accent6 6 4 2" xfId="47668"/>
    <cellStyle name="40% - Accent6 6 5" xfId="45970"/>
    <cellStyle name="40% - Accent6 7" xfId="530"/>
    <cellStyle name="40% - Accent6 7 2" xfId="4879"/>
    <cellStyle name="40% - Accent6 7 2 2" xfId="49564"/>
    <cellStyle name="40% - Accent6 7 3" xfId="11340"/>
    <cellStyle name="40% - Accent6 7 3 2" xfId="51594"/>
    <cellStyle name="40% - Accent6 7 4" xfId="3513"/>
    <cellStyle name="40% - Accent6 7 4 2" xfId="48206"/>
    <cellStyle name="40% - Accent6 7 5" xfId="45760"/>
    <cellStyle name="40% - Accent6 8" xfId="2605"/>
    <cellStyle name="40% - Accent6 8 2" xfId="4453"/>
    <cellStyle name="40% - Accent6 8 2 2" xfId="49143"/>
    <cellStyle name="40% - Accent6 8 3" xfId="47337"/>
    <cellStyle name="40% - Accent6 9" xfId="10919"/>
    <cellStyle name="40% - Accent6 9 2" xfId="51173"/>
    <cellStyle name="60% - Accent1" xfId="67" builtinId="32" customBuiltin="1"/>
    <cellStyle name="60% - Accent2" xfId="71" builtinId="36" customBuiltin="1"/>
    <cellStyle name="60% - Accent3" xfId="75" builtinId="40" customBuiltin="1"/>
    <cellStyle name="60% - Accent4" xfId="79" builtinId="44" customBuiltin="1"/>
    <cellStyle name="60% - Accent5" xfId="83" builtinId="48" customBuiltin="1"/>
    <cellStyle name="60% - Accent6" xfId="87" builtinId="52" customBuiltin="1"/>
    <cellStyle name="Accent1" xfId="64" builtinId="29" customBuiltin="1"/>
    <cellStyle name="Accent2" xfId="68" builtinId="33" customBuiltin="1"/>
    <cellStyle name="Accent2 2" xfId="59969"/>
    <cellStyle name="Accent3" xfId="72" builtinId="37" customBuiltin="1"/>
    <cellStyle name="Accent4" xfId="76" builtinId="41" customBuiltin="1"/>
    <cellStyle name="Accent5" xfId="80" builtinId="45" customBuiltin="1"/>
    <cellStyle name="Accent5 2" xfId="59970"/>
    <cellStyle name="Accent6" xfId="84" builtinId="49" customBuiltin="1"/>
    <cellStyle name="Bad" xfId="56" builtinId="27" customBuiltin="1"/>
    <cellStyle name="Bad 2" xfId="59971"/>
    <cellStyle name="Bad 2 2" xfId="59972"/>
    <cellStyle name="Bad 3" xfId="59973"/>
    <cellStyle name="Bad 4" xfId="59974"/>
    <cellStyle name="Bad 5" xfId="59975"/>
    <cellStyle name="Calculation" xfId="48" builtinId="22" customBuiltin="1"/>
    <cellStyle name="Calculation 2" xfId="59976"/>
    <cellStyle name="Calculation 3" xfId="59977"/>
    <cellStyle name="Check Cell" xfId="60" builtinId="23" customBuiltin="1"/>
    <cellStyle name="Comma" xfId="3" builtinId="3" customBuiltin="1"/>
    <cellStyle name="Comma 10" xfId="45306"/>
    <cellStyle name="Comma 11" xfId="59978"/>
    <cellStyle name="Comma 2" xfId="20"/>
    <cellStyle name="Comma 2 2" xfId="38814"/>
    <cellStyle name="Comma 2 2 2" xfId="59980"/>
    <cellStyle name="Comma 2 3" xfId="59981"/>
    <cellStyle name="Comma 2 4" xfId="59979"/>
    <cellStyle name="Comma 3" xfId="49"/>
    <cellStyle name="Comma 3 2" xfId="38816"/>
    <cellStyle name="Comma 3 2 2" xfId="59983"/>
    <cellStyle name="Comma 3 3" xfId="59982"/>
    <cellStyle name="Comma 4" xfId="90"/>
    <cellStyle name="Comma 4 2" xfId="38818"/>
    <cellStyle name="Comma 4 3" xfId="59984"/>
    <cellStyle name="Comma 5" xfId="91"/>
    <cellStyle name="Comma 5 2" xfId="2146"/>
    <cellStyle name="Comma 5 2 2" xfId="6491"/>
    <cellStyle name="Comma 5 2 3" xfId="59986"/>
    <cellStyle name="Comma 5 3" xfId="38944"/>
    <cellStyle name="Comma 5 4" xfId="38571"/>
    <cellStyle name="Comma 5 5" xfId="59985"/>
    <cellStyle name="Comma 6" xfId="197"/>
    <cellStyle name="Comma 6 2" xfId="2021"/>
    <cellStyle name="Comma 6 3" xfId="4546"/>
    <cellStyle name="Comma 7" xfId="38455"/>
    <cellStyle name="Comma 7 2" xfId="38830"/>
    <cellStyle name="Comma 7 3" xfId="59987"/>
    <cellStyle name="Comma 8" xfId="38809"/>
    <cellStyle name="Comma 8 2" xfId="59988"/>
    <cellStyle name="Comma 9" xfId="44840"/>
    <cellStyle name="Comma 9 2" xfId="59966"/>
    <cellStyle name="Currency" xfId="45289" builtinId="4"/>
    <cellStyle name="Currency 2" xfId="31"/>
    <cellStyle name="Currency 3" xfId="59967"/>
    <cellStyle name="Explanatory Text" xfId="62" builtinId="53" customBuiltin="1"/>
    <cellStyle name="Followed Hyperlink" xfId="2100" builtinId="9" hidden="1"/>
    <cellStyle name="Followed Hyperlink" xfId="2101" builtinId="9" hidden="1"/>
    <cellStyle name="Followed Hyperlink" xfId="2102" builtinId="9" hidden="1"/>
    <cellStyle name="Followed Hyperlink" xfId="2103" builtinId="9" hidden="1"/>
    <cellStyle name="Followed Hyperlink" xfId="2104" builtinId="9" hidden="1"/>
    <cellStyle name="Followed Hyperlink" xfId="2105" builtinId="9" hidden="1"/>
    <cellStyle name="Followed Hyperlink" xfId="2106" builtinId="9" hidden="1"/>
    <cellStyle name="Followed Hyperlink" xfId="2107" builtinId="9" hidden="1"/>
    <cellStyle name="Followed Hyperlink" xfId="2108" builtinId="9" hidden="1"/>
    <cellStyle name="Followed Hyperlink" xfId="2109" builtinId="9" hidden="1"/>
    <cellStyle name="Followed Hyperlink" xfId="2110" builtinId="9" hidden="1"/>
    <cellStyle name="Followed Hyperlink" xfId="2111" builtinId="9" hidden="1"/>
    <cellStyle name="Followed Hyperlink" xfId="2112" builtinId="9" hidden="1"/>
    <cellStyle name="Followed Hyperlink" xfId="2113" builtinId="9" hidden="1"/>
    <cellStyle name="Followed Hyperlink" xfId="2114" builtinId="9" hidden="1"/>
    <cellStyle name="Followed Hyperlink" xfId="2115" builtinId="9" hidden="1"/>
    <cellStyle name="Followed Hyperlink" xfId="2116" builtinId="9" hidden="1"/>
    <cellStyle name="Followed Hyperlink" xfId="2117" builtinId="9" hidden="1"/>
    <cellStyle name="Followed Hyperlink" xfId="2118" builtinId="9" hidden="1"/>
    <cellStyle name="Followed Hyperlink" xfId="2119" builtinId="9" hidden="1"/>
    <cellStyle name="Followed Hyperlink" xfId="2120" builtinId="9" hidden="1"/>
    <cellStyle name="Followed Hyperlink" xfId="2121" builtinId="9" hidden="1"/>
    <cellStyle name="Followed Hyperlink" xfId="2122" builtinId="9" hidden="1"/>
    <cellStyle name="Followed Hyperlink" xfId="2123" builtinId="9" hidden="1"/>
    <cellStyle name="Followed Hyperlink" xfId="2124" builtinId="9" hidden="1"/>
    <cellStyle name="Followed Hyperlink" xfId="2125" builtinId="9" hidden="1"/>
    <cellStyle name="Followed Hyperlink" xfId="2126" builtinId="9" hidden="1"/>
    <cellStyle name="Followed Hyperlink" xfId="2127" builtinId="9" hidden="1"/>
    <cellStyle name="Followed Hyperlink" xfId="2128" builtinId="9" hidden="1"/>
    <cellStyle name="Followed Hyperlink" xfId="2129" builtinId="9" hidden="1"/>
    <cellStyle name="Followed Hyperlink" xfId="2130" builtinId="9" hidden="1"/>
    <cellStyle name="Followed Hyperlink" xfId="2131" builtinId="9" hidden="1"/>
    <cellStyle name="Followed Hyperlink" xfId="2132" builtinId="9" hidden="1"/>
    <cellStyle name="Followed Hyperlink" xfId="2133" builtinId="9" hidden="1"/>
    <cellStyle name="Followed Hyperlink" xfId="2134" builtinId="9" hidden="1"/>
    <cellStyle name="Followed Hyperlink" xfId="2135" builtinId="9" hidden="1"/>
    <cellStyle name="Followed Hyperlink" xfId="2136" builtinId="9" hidden="1"/>
    <cellStyle name="Followed Hyperlink" xfId="2137" builtinId="9" hidden="1"/>
    <cellStyle name="Followed Hyperlink" xfId="2138" builtinId="9" hidden="1"/>
    <cellStyle name="Followed Hyperlink" xfId="2139" builtinId="9" hidden="1"/>
    <cellStyle name="Followed Hyperlink" xfId="2140" builtinId="9" hidden="1"/>
    <cellStyle name="Followed Hyperlink" xfId="2152" builtinId="9" hidden="1"/>
    <cellStyle name="Followed Hyperlink" xfId="2153" builtinId="9" hidden="1"/>
    <cellStyle name="Followed Hyperlink" xfId="2154" builtinId="9" hidden="1"/>
    <cellStyle name="Followed Hyperlink" xfId="2155" builtinId="9" hidden="1"/>
    <cellStyle name="Followed Hyperlink" xfId="2156" builtinId="9" hidden="1"/>
    <cellStyle name="Followed Hyperlink" xfId="2157" builtinId="9" hidden="1"/>
    <cellStyle name="Followed Hyperlink" xfId="2158" builtinId="9" hidden="1"/>
    <cellStyle name="Followed Hyperlink" xfId="2159" builtinId="9" hidden="1"/>
    <cellStyle name="Followed Hyperlink" xfId="2160" builtinId="9" hidden="1"/>
    <cellStyle name="Followed Hyperlink" xfId="2161" builtinId="9" hidden="1"/>
    <cellStyle name="Followed Hyperlink" xfId="2162" builtinId="9" hidden="1"/>
    <cellStyle name="Followed Hyperlink" xfId="2163" builtinId="9" hidden="1"/>
    <cellStyle name="Followed Hyperlink" xfId="2164" builtinId="9" hidden="1"/>
    <cellStyle name="Followed Hyperlink" xfId="2165" builtinId="9" hidden="1"/>
    <cellStyle name="Followed Hyperlink" xfId="2166" builtinId="9" hidden="1"/>
    <cellStyle name="Followed Hyperlink" xfId="2167" builtinId="9" hidden="1"/>
    <cellStyle name="Followed Hyperlink" xfId="2168" builtinId="9" hidden="1"/>
    <cellStyle name="Followed Hyperlink" xfId="2169" builtinId="9" hidden="1"/>
    <cellStyle name="Followed Hyperlink" xfId="2170" builtinId="9" hidden="1"/>
    <cellStyle name="Followed Hyperlink" xfId="2171" builtinId="9" hidden="1"/>
    <cellStyle name="Followed Hyperlink" xfId="2172" builtinId="9" hidden="1"/>
    <cellStyle name="Followed Hyperlink" xfId="2173" builtinId="9" hidden="1"/>
    <cellStyle name="Followed Hyperlink" xfId="2174" builtinId="9" hidden="1"/>
    <cellStyle name="Followed Hyperlink" xfId="2175" builtinId="9" hidden="1"/>
    <cellStyle name="Followed Hyperlink" xfId="2176" builtinId="9" hidden="1"/>
    <cellStyle name="Followed Hyperlink" xfId="2177" builtinId="9" hidden="1"/>
    <cellStyle name="Followed Hyperlink" xfId="2178" builtinId="9" hidden="1"/>
    <cellStyle name="Followed Hyperlink" xfId="2179" builtinId="9" hidden="1"/>
    <cellStyle name="Followed Hyperlink" xfId="2180" builtinId="9" hidden="1"/>
    <cellStyle name="Followed Hyperlink" xfId="2181" builtinId="9" hidden="1"/>
    <cellStyle name="Followed Hyperlink" xfId="2182" builtinId="9" hidden="1"/>
    <cellStyle name="Followed Hyperlink" xfId="2183" builtinId="9" hidden="1"/>
    <cellStyle name="Followed Hyperlink" xfId="2184" builtinId="9" hidden="1"/>
    <cellStyle name="Followed Hyperlink" xfId="2185" builtinId="9" hidden="1"/>
    <cellStyle name="Followed Hyperlink" xfId="2186" builtinId="9" hidden="1"/>
    <cellStyle name="Followed Hyperlink" xfId="2187" builtinId="9" hidden="1"/>
    <cellStyle name="Followed Hyperlink" xfId="2188" builtinId="9" hidden="1"/>
    <cellStyle name="Followed Hyperlink" xfId="2189" builtinId="9" hidden="1"/>
    <cellStyle name="Followed Hyperlink" xfId="2190" builtinId="9" hidden="1"/>
    <cellStyle name="Followed Hyperlink" xfId="2191" builtinId="9" hidden="1"/>
    <cellStyle name="Followed Hyperlink" xfId="2192" builtinId="9" hidden="1"/>
    <cellStyle name="Followed Hyperlink" xfId="2193" builtinId="9" hidden="1"/>
    <cellStyle name="Followed Hyperlink" xfId="2194" builtinId="9" hidden="1"/>
    <cellStyle name="Followed Hyperlink" xfId="2195" builtinId="9" hidden="1"/>
    <cellStyle name="Followed Hyperlink" xfId="2196" builtinId="9" hidden="1"/>
    <cellStyle name="Followed Hyperlink" xfId="2197" builtinId="9" hidden="1"/>
    <cellStyle name="Followed Hyperlink" xfId="2198" builtinId="9" hidden="1"/>
    <cellStyle name="Followed Hyperlink" xfId="2199" builtinId="9" hidden="1"/>
    <cellStyle name="Followed Hyperlink" xfId="2200" builtinId="9" hidden="1"/>
    <cellStyle name="Followed Hyperlink" xfId="2201" builtinId="9" hidden="1"/>
    <cellStyle name="Followed Hyperlink" xfId="2202" builtinId="9" hidden="1"/>
    <cellStyle name="Followed Hyperlink" xfId="2203" builtinId="9" hidden="1"/>
    <cellStyle name="Followed Hyperlink" xfId="2204" builtinId="9" hidden="1"/>
    <cellStyle name="Followed Hyperlink" xfId="2205" builtinId="9" hidden="1"/>
    <cellStyle name="Followed Hyperlink" xfId="2206" builtinId="9" hidden="1"/>
    <cellStyle name="Followed Hyperlink" xfId="2207" builtinId="9" hidden="1"/>
    <cellStyle name="Followed Hyperlink" xfId="2208" builtinId="9" hidden="1"/>
    <cellStyle name="Followed Hyperlink" xfId="2209" builtinId="9" hidden="1"/>
    <cellStyle name="Followed Hyperlink" xfId="2210" builtinId="9" hidden="1"/>
    <cellStyle name="Followed Hyperlink" xfId="2211" builtinId="9" hidden="1"/>
    <cellStyle name="Followed Hyperlink" xfId="2212" builtinId="9" hidden="1"/>
    <cellStyle name="Followed Hyperlink" xfId="2213" builtinId="9" hidden="1"/>
    <cellStyle name="Followed Hyperlink" xfId="2214" builtinId="9" hidden="1"/>
    <cellStyle name="Followed Hyperlink" xfId="2215" builtinId="9" hidden="1"/>
    <cellStyle name="Followed Hyperlink" xfId="2216" builtinId="9" hidden="1"/>
    <cellStyle name="Followed Hyperlink" xfId="2217" builtinId="9" hidden="1"/>
    <cellStyle name="Followed Hyperlink" xfId="2218" builtinId="9" hidden="1"/>
    <cellStyle name="Followed Hyperlink" xfId="2219" builtinId="9" hidden="1"/>
    <cellStyle name="Followed Hyperlink" xfId="2220" builtinId="9" hidden="1"/>
    <cellStyle name="Followed Hyperlink" xfId="2221" builtinId="9" hidden="1"/>
    <cellStyle name="Followed Hyperlink" xfId="2222" builtinId="9" hidden="1"/>
    <cellStyle name="Followed Hyperlink" xfId="2223" builtinId="9" hidden="1"/>
    <cellStyle name="Followed Hyperlink" xfId="2224" builtinId="9" hidden="1"/>
    <cellStyle name="Followed Hyperlink" xfId="2225" builtinId="9" hidden="1"/>
    <cellStyle name="Followed Hyperlink" xfId="2226" builtinId="9" hidden="1"/>
    <cellStyle name="Followed Hyperlink" xfId="2227" builtinId="9" hidden="1"/>
    <cellStyle name="Followed Hyperlink" xfId="2228" builtinId="9" hidden="1"/>
    <cellStyle name="Followed Hyperlink" xfId="2229" builtinId="9" hidden="1"/>
    <cellStyle name="Followed Hyperlink" xfId="2230" builtinId="9" hidden="1"/>
    <cellStyle name="Followed Hyperlink" xfId="2231" builtinId="9" hidden="1"/>
    <cellStyle name="Followed Hyperlink" xfId="2232" builtinId="9" hidden="1"/>
    <cellStyle name="Followed Hyperlink" xfId="2233" builtinId="9" hidden="1"/>
    <cellStyle name="Followed Hyperlink" xfId="2234" builtinId="9" hidden="1"/>
    <cellStyle name="Followed Hyperlink" xfId="2235" builtinId="9" hidden="1"/>
    <cellStyle name="Followed Hyperlink" xfId="2236" builtinId="9" hidden="1"/>
    <cellStyle name="Followed Hyperlink" xfId="2237" builtinId="9" hidden="1"/>
    <cellStyle name="Followed Hyperlink" xfId="2238" builtinId="9" hidden="1"/>
    <cellStyle name="Followed Hyperlink" xfId="2239" builtinId="9" hidden="1"/>
    <cellStyle name="Followed Hyperlink" xfId="2240" builtinId="9" hidden="1"/>
    <cellStyle name="Followed Hyperlink" xfId="2241" builtinId="9" hidden="1"/>
    <cellStyle name="Followed Hyperlink" xfId="2242" builtinId="9" hidden="1"/>
    <cellStyle name="Followed Hyperlink" xfId="2243" builtinId="9" hidden="1"/>
    <cellStyle name="Followed Hyperlink" xfId="2244" builtinId="9" hidden="1"/>
    <cellStyle name="Followed Hyperlink" xfId="2245" builtinId="9" hidden="1"/>
    <cellStyle name="Followed Hyperlink" xfId="2246" builtinId="9" hidden="1"/>
    <cellStyle name="Followed Hyperlink" xfId="2247" builtinId="9" hidden="1"/>
    <cellStyle name="Followed Hyperlink" xfId="2248" builtinId="9" hidden="1"/>
    <cellStyle name="Followed Hyperlink" xfId="2249" builtinId="9" hidden="1"/>
    <cellStyle name="Followed Hyperlink" xfId="2250" builtinId="9" hidden="1"/>
    <cellStyle name="Followed Hyperlink" xfId="2251" builtinId="9" hidden="1"/>
    <cellStyle name="Followed Hyperlink" xfId="2252" builtinId="9" hidden="1"/>
    <cellStyle name="Followed Hyperlink" xfId="2253" builtinId="9" hidden="1"/>
    <cellStyle name="Followed Hyperlink" xfId="2254" builtinId="9" hidden="1"/>
    <cellStyle name="Followed Hyperlink" xfId="2255" builtinId="9" hidden="1"/>
    <cellStyle name="Followed Hyperlink" xfId="2256" builtinId="9" hidden="1"/>
    <cellStyle name="Followed Hyperlink" xfId="2257" builtinId="9" hidden="1"/>
    <cellStyle name="Followed Hyperlink" xfId="2258" builtinId="9" hidden="1"/>
    <cellStyle name="Followed Hyperlink" xfId="2259" builtinId="9" hidden="1"/>
    <cellStyle name="Followed Hyperlink" xfId="2260" builtinId="9" hidden="1"/>
    <cellStyle name="Followed Hyperlink" xfId="2261" builtinId="9" hidden="1"/>
    <cellStyle name="Followed Hyperlink" xfId="2262" builtinId="9" hidden="1"/>
    <cellStyle name="Followed Hyperlink" xfId="2263" builtinId="9" hidden="1"/>
    <cellStyle name="Followed Hyperlink" xfId="2264" builtinId="9" hidden="1"/>
    <cellStyle name="Followed Hyperlink" xfId="2265" builtinId="9" hidden="1"/>
    <cellStyle name="Followed Hyperlink" xfId="2266" builtinId="9" hidden="1"/>
    <cellStyle name="Followed Hyperlink" xfId="2267" builtinId="9" hidden="1"/>
    <cellStyle name="Followed Hyperlink" xfId="2268" builtinId="9" hidden="1"/>
    <cellStyle name="Followed Hyperlink" xfId="2269" builtinId="9" hidden="1"/>
    <cellStyle name="Followed Hyperlink" xfId="2270" builtinId="9" hidden="1"/>
    <cellStyle name="Followed Hyperlink" xfId="2271" builtinId="9" hidden="1"/>
    <cellStyle name="Followed Hyperlink" xfId="2272" builtinId="9" hidden="1"/>
    <cellStyle name="Followed Hyperlink" xfId="2273" builtinId="9" hidden="1"/>
    <cellStyle name="Followed Hyperlink" xfId="2274" builtinId="9" hidden="1"/>
    <cellStyle name="Followed Hyperlink" xfId="2142" builtinId="9" hidden="1"/>
    <cellStyle name="Followed Hyperlink" xfId="1870" builtinId="9" hidden="1"/>
    <cellStyle name="Followed Hyperlink" xfId="2276" builtinId="9" hidden="1"/>
    <cellStyle name="Followed Hyperlink" xfId="2277" builtinId="9" hidden="1"/>
    <cellStyle name="Followed Hyperlink" xfId="2278" builtinId="9" hidden="1"/>
    <cellStyle name="Followed Hyperlink" xfId="2279" builtinId="9" hidden="1"/>
    <cellStyle name="Followed Hyperlink" xfId="2280" builtinId="9" hidden="1"/>
    <cellStyle name="Followed Hyperlink" xfId="2281" builtinId="9" hidden="1"/>
    <cellStyle name="Followed Hyperlink" xfId="2282" builtinId="9" hidden="1"/>
    <cellStyle name="Followed Hyperlink" xfId="2283" builtinId="9" hidden="1"/>
    <cellStyle name="Followed Hyperlink" xfId="2284" builtinId="9" hidden="1"/>
    <cellStyle name="Followed Hyperlink" xfId="2285" builtinId="9" hidden="1"/>
    <cellStyle name="Followed Hyperlink" xfId="2286" builtinId="9" hidden="1"/>
    <cellStyle name="Followed Hyperlink" xfId="2287" builtinId="9" hidden="1"/>
    <cellStyle name="Followed Hyperlink" xfId="2288" builtinId="9" hidden="1"/>
    <cellStyle name="Followed Hyperlink" xfId="2289" builtinId="9" hidden="1"/>
    <cellStyle name="Followed Hyperlink" xfId="2290" builtinId="9" hidden="1"/>
    <cellStyle name="Followed Hyperlink" xfId="2291" builtinId="9" hidden="1"/>
    <cellStyle name="Followed Hyperlink" xfId="2292" builtinId="9" hidden="1"/>
    <cellStyle name="Followed Hyperlink" xfId="2293" builtinId="9" hidden="1"/>
    <cellStyle name="Followed Hyperlink" xfId="2294" builtinId="9" hidden="1"/>
    <cellStyle name="Followed Hyperlink" xfId="2295" builtinId="9" hidden="1"/>
    <cellStyle name="Followed Hyperlink" xfId="2296" builtinId="9" hidden="1"/>
    <cellStyle name="Followed Hyperlink" xfId="2297" builtinId="9" hidden="1"/>
    <cellStyle name="Followed Hyperlink" xfId="2298" builtinId="9" hidden="1"/>
    <cellStyle name="Followed Hyperlink" xfId="2299" builtinId="9" hidden="1"/>
    <cellStyle name="Followed Hyperlink" xfId="2300" builtinId="9" hidden="1"/>
    <cellStyle name="Followed Hyperlink" xfId="2301" builtinId="9" hidden="1"/>
    <cellStyle name="Followed Hyperlink" xfId="2302" builtinId="9" hidden="1"/>
    <cellStyle name="Followed Hyperlink" xfId="2303" builtinId="9" hidden="1"/>
    <cellStyle name="Followed Hyperlink" xfId="2304" builtinId="9" hidden="1"/>
    <cellStyle name="Followed Hyperlink" xfId="2305" builtinId="9" hidden="1"/>
    <cellStyle name="Followed Hyperlink" xfId="2306" builtinId="9" hidden="1"/>
    <cellStyle name="Followed Hyperlink" xfId="2307" builtinId="9" hidden="1"/>
    <cellStyle name="Followed Hyperlink" xfId="2308" builtinId="9" hidden="1"/>
    <cellStyle name="Followed Hyperlink" xfId="2309" builtinId="9" hidden="1"/>
    <cellStyle name="Followed Hyperlink" xfId="2310" builtinId="9" hidden="1"/>
    <cellStyle name="Followed Hyperlink" xfId="2311" builtinId="9" hidden="1"/>
    <cellStyle name="Followed Hyperlink" xfId="2312" builtinId="9" hidden="1"/>
    <cellStyle name="Followed Hyperlink" xfId="2313" builtinId="9" hidden="1"/>
    <cellStyle name="Followed Hyperlink" xfId="2314" builtinId="9" hidden="1"/>
    <cellStyle name="Followed Hyperlink" xfId="2149" builtinId="9" hidden="1"/>
    <cellStyle name="Followed Hyperlink" xfId="2275" builtinId="9" hidden="1"/>
    <cellStyle name="Followed Hyperlink" xfId="2316" builtinId="9" hidden="1"/>
    <cellStyle name="Followed Hyperlink" xfId="2317" builtinId="9" hidden="1"/>
    <cellStyle name="Followed Hyperlink" xfId="2318" builtinId="9" hidden="1"/>
    <cellStyle name="Followed Hyperlink" xfId="2319" builtinId="9" hidden="1"/>
    <cellStyle name="Followed Hyperlink" xfId="2320" builtinId="9" hidden="1"/>
    <cellStyle name="Followed Hyperlink" xfId="2321" builtinId="9" hidden="1"/>
    <cellStyle name="Followed Hyperlink" xfId="2322" builtinId="9" hidden="1"/>
    <cellStyle name="Followed Hyperlink" xfId="2323" builtinId="9" hidden="1"/>
    <cellStyle name="Followed Hyperlink" xfId="2324" builtinId="9" hidden="1"/>
    <cellStyle name="Followed Hyperlink" xfId="2325" builtinId="9" hidden="1"/>
    <cellStyle name="Followed Hyperlink" xfId="2326" builtinId="9" hidden="1"/>
    <cellStyle name="Followed Hyperlink" xfId="2327" builtinId="9" hidden="1"/>
    <cellStyle name="Followed Hyperlink" xfId="2328" builtinId="9" hidden="1"/>
    <cellStyle name="Followed Hyperlink" xfId="2329" builtinId="9" hidden="1"/>
    <cellStyle name="Followed Hyperlink" xfId="2330" builtinId="9" hidden="1"/>
    <cellStyle name="Followed Hyperlink" xfId="2331" builtinId="9" hidden="1"/>
    <cellStyle name="Followed Hyperlink" xfId="2332" builtinId="9" hidden="1"/>
    <cellStyle name="Followed Hyperlink" xfId="2333" builtinId="9" hidden="1"/>
    <cellStyle name="Followed Hyperlink" xfId="2334" builtinId="9" hidden="1"/>
    <cellStyle name="Followed Hyperlink" xfId="2335" builtinId="9" hidden="1"/>
    <cellStyle name="Followed Hyperlink" xfId="2336" builtinId="9" hidden="1"/>
    <cellStyle name="Followed Hyperlink" xfId="2337" builtinId="9" hidden="1"/>
    <cellStyle name="Followed Hyperlink" xfId="2338" builtinId="9" hidden="1"/>
    <cellStyle name="Followed Hyperlink" xfId="2339" builtinId="9" hidden="1"/>
    <cellStyle name="Followed Hyperlink" xfId="2340" builtinId="9" hidden="1"/>
    <cellStyle name="Followed Hyperlink" xfId="2341" builtinId="9" hidden="1"/>
    <cellStyle name="Followed Hyperlink" xfId="2342" builtinId="9" hidden="1"/>
    <cellStyle name="Followed Hyperlink" xfId="2343" builtinId="9" hidden="1"/>
    <cellStyle name="Followed Hyperlink" xfId="2344" builtinId="9" hidden="1"/>
    <cellStyle name="Followed Hyperlink" xfId="2345" builtinId="9" hidden="1"/>
    <cellStyle name="Followed Hyperlink" xfId="2346" builtinId="9" hidden="1"/>
    <cellStyle name="Followed Hyperlink" xfId="2347" builtinId="9" hidden="1"/>
    <cellStyle name="Followed Hyperlink" xfId="2348" builtinId="9" hidden="1"/>
    <cellStyle name="Followed Hyperlink" xfId="2349" builtinId="9" hidden="1"/>
    <cellStyle name="Followed Hyperlink" xfId="2350" builtinId="9" hidden="1"/>
    <cellStyle name="Followed Hyperlink" xfId="2351" builtinId="9" hidden="1"/>
    <cellStyle name="Followed Hyperlink" xfId="2352" builtinId="9" hidden="1"/>
    <cellStyle name="Followed Hyperlink" xfId="2353" builtinId="9" hidden="1"/>
    <cellStyle name="Followed Hyperlink" xfId="2354" builtinId="9" hidden="1"/>
    <cellStyle name="Followed Hyperlink" xfId="2151" builtinId="9" hidden="1"/>
    <cellStyle name="Followed Hyperlink" xfId="2315" builtinId="9" hidden="1"/>
    <cellStyle name="Followed Hyperlink" xfId="2356" builtinId="9" hidden="1"/>
    <cellStyle name="Followed Hyperlink" xfId="2357" builtinId="9" hidden="1"/>
    <cellStyle name="Followed Hyperlink" xfId="2358" builtinId="9" hidden="1"/>
    <cellStyle name="Followed Hyperlink" xfId="2359" builtinId="9" hidden="1"/>
    <cellStyle name="Followed Hyperlink" xfId="2360" builtinId="9" hidden="1"/>
    <cellStyle name="Followed Hyperlink" xfId="2361" builtinId="9" hidden="1"/>
    <cellStyle name="Followed Hyperlink" xfId="2362" builtinId="9" hidden="1"/>
    <cellStyle name="Followed Hyperlink" xfId="2363" builtinId="9" hidden="1"/>
    <cellStyle name="Followed Hyperlink" xfId="2364" builtinId="9" hidden="1"/>
    <cellStyle name="Followed Hyperlink" xfId="2365" builtinId="9" hidden="1"/>
    <cellStyle name="Followed Hyperlink" xfId="2366" builtinId="9" hidden="1"/>
    <cellStyle name="Followed Hyperlink" xfId="2367" builtinId="9" hidden="1"/>
    <cellStyle name="Followed Hyperlink" xfId="2368" builtinId="9" hidden="1"/>
    <cellStyle name="Followed Hyperlink" xfId="2369" builtinId="9" hidden="1"/>
    <cellStyle name="Followed Hyperlink" xfId="2370" builtinId="9" hidden="1"/>
    <cellStyle name="Followed Hyperlink" xfId="2371" builtinId="9" hidden="1"/>
    <cellStyle name="Followed Hyperlink" xfId="2372" builtinId="9" hidden="1"/>
    <cellStyle name="Followed Hyperlink" xfId="2373" builtinId="9" hidden="1"/>
    <cellStyle name="Followed Hyperlink" xfId="2374" builtinId="9" hidden="1"/>
    <cellStyle name="Followed Hyperlink" xfId="2375" builtinId="9" hidden="1"/>
    <cellStyle name="Followed Hyperlink" xfId="2376" builtinId="9" hidden="1"/>
    <cellStyle name="Followed Hyperlink" xfId="2377" builtinId="9" hidden="1"/>
    <cellStyle name="Followed Hyperlink" xfId="2378" builtinId="9" hidden="1"/>
    <cellStyle name="Followed Hyperlink" xfId="2379" builtinId="9" hidden="1"/>
    <cellStyle name="Followed Hyperlink" xfId="2380" builtinId="9" hidden="1"/>
    <cellStyle name="Followed Hyperlink" xfId="2381" builtinId="9" hidden="1"/>
    <cellStyle name="Followed Hyperlink" xfId="2382" builtinId="9" hidden="1"/>
    <cellStyle name="Followed Hyperlink" xfId="2383" builtinId="9" hidden="1"/>
    <cellStyle name="Followed Hyperlink" xfId="2384" builtinId="9" hidden="1"/>
    <cellStyle name="Followed Hyperlink" xfId="2385" builtinId="9" hidden="1"/>
    <cellStyle name="Followed Hyperlink" xfId="2386" builtinId="9" hidden="1"/>
    <cellStyle name="Followed Hyperlink" xfId="2387" builtinId="9" hidden="1"/>
    <cellStyle name="Followed Hyperlink" xfId="2388" builtinId="9" hidden="1"/>
    <cellStyle name="Followed Hyperlink" xfId="2389" builtinId="9" hidden="1"/>
    <cellStyle name="Followed Hyperlink" xfId="2390" builtinId="9" hidden="1"/>
    <cellStyle name="Followed Hyperlink" xfId="2391" builtinId="9" hidden="1"/>
    <cellStyle name="Followed Hyperlink" xfId="2392" builtinId="9" hidden="1"/>
    <cellStyle name="Followed Hyperlink" xfId="2393" builtinId="9" hidden="1"/>
    <cellStyle name="Followed Hyperlink" xfId="2394" builtinId="9" hidden="1"/>
    <cellStyle name="Followed Hyperlink" xfId="2143" builtinId="9" hidden="1"/>
    <cellStyle name="Followed Hyperlink" xfId="2355" builtinId="9" hidden="1"/>
    <cellStyle name="Followed Hyperlink" xfId="2396" builtinId="9" hidden="1"/>
    <cellStyle name="Followed Hyperlink" xfId="2397" builtinId="9" hidden="1"/>
    <cellStyle name="Followed Hyperlink" xfId="2398" builtinId="9" hidden="1"/>
    <cellStyle name="Followed Hyperlink" xfId="2399" builtinId="9" hidden="1"/>
    <cellStyle name="Followed Hyperlink" xfId="2400" builtinId="9" hidden="1"/>
    <cellStyle name="Followed Hyperlink" xfId="2401" builtinId="9" hidden="1"/>
    <cellStyle name="Followed Hyperlink" xfId="2402" builtinId="9" hidden="1"/>
    <cellStyle name="Followed Hyperlink" xfId="2403" builtinId="9" hidden="1"/>
    <cellStyle name="Followed Hyperlink" xfId="2404" builtinId="9" hidden="1"/>
    <cellStyle name="Followed Hyperlink" xfId="2405" builtinId="9" hidden="1"/>
    <cellStyle name="Followed Hyperlink" xfId="2406" builtinId="9" hidden="1"/>
    <cellStyle name="Followed Hyperlink" xfId="2407" builtinId="9" hidden="1"/>
    <cellStyle name="Followed Hyperlink" xfId="2408" builtinId="9" hidden="1"/>
    <cellStyle name="Followed Hyperlink" xfId="2409" builtinId="9" hidden="1"/>
    <cellStyle name="Followed Hyperlink" xfId="2410" builtinId="9" hidden="1"/>
    <cellStyle name="Followed Hyperlink" xfId="2411" builtinId="9" hidden="1"/>
    <cellStyle name="Followed Hyperlink" xfId="2412" builtinId="9" hidden="1"/>
    <cellStyle name="Followed Hyperlink" xfId="2413" builtinId="9" hidden="1"/>
    <cellStyle name="Followed Hyperlink" xfId="2414" builtinId="9" hidden="1"/>
    <cellStyle name="Followed Hyperlink" xfId="2415" builtinId="9" hidden="1"/>
    <cellStyle name="Followed Hyperlink" xfId="2416" builtinId="9" hidden="1"/>
    <cellStyle name="Followed Hyperlink" xfId="2417" builtinId="9" hidden="1"/>
    <cellStyle name="Followed Hyperlink" xfId="2418" builtinId="9" hidden="1"/>
    <cellStyle name="Followed Hyperlink" xfId="2419" builtinId="9" hidden="1"/>
    <cellStyle name="Followed Hyperlink" xfId="2420" builtinId="9" hidden="1"/>
    <cellStyle name="Followed Hyperlink" xfId="2421" builtinId="9" hidden="1"/>
    <cellStyle name="Followed Hyperlink" xfId="2422" builtinId="9" hidden="1"/>
    <cellStyle name="Followed Hyperlink" xfId="2423" builtinId="9" hidden="1"/>
    <cellStyle name="Followed Hyperlink" xfId="2424" builtinId="9" hidden="1"/>
    <cellStyle name="Followed Hyperlink" xfId="2425" builtinId="9" hidden="1"/>
    <cellStyle name="Followed Hyperlink" xfId="2426" builtinId="9" hidden="1"/>
    <cellStyle name="Followed Hyperlink" xfId="2427" builtinId="9" hidden="1"/>
    <cellStyle name="Followed Hyperlink" xfId="2428" builtinId="9" hidden="1"/>
    <cellStyle name="Followed Hyperlink" xfId="2429" builtinId="9" hidden="1"/>
    <cellStyle name="Followed Hyperlink" xfId="2430" builtinId="9" hidden="1"/>
    <cellStyle name="Followed Hyperlink" xfId="2431" builtinId="9" hidden="1"/>
    <cellStyle name="Followed Hyperlink" xfId="2432" builtinId="9" hidden="1"/>
    <cellStyle name="Followed Hyperlink" xfId="2433" builtinId="9" hidden="1"/>
    <cellStyle name="Followed Hyperlink" xfId="2434" builtinId="9" hidden="1"/>
    <cellStyle name="Followed Hyperlink" xfId="2147" builtinId="9" hidden="1"/>
    <cellStyle name="Followed Hyperlink" xfId="2395" builtinId="9" hidden="1"/>
    <cellStyle name="Followed Hyperlink" xfId="2436" builtinId="9" hidden="1"/>
    <cellStyle name="Followed Hyperlink" xfId="2437" builtinId="9" hidden="1"/>
    <cellStyle name="Followed Hyperlink" xfId="2438" builtinId="9" hidden="1"/>
    <cellStyle name="Followed Hyperlink" xfId="2439" builtinId="9" hidden="1"/>
    <cellStyle name="Followed Hyperlink" xfId="2440" builtinId="9" hidden="1"/>
    <cellStyle name="Followed Hyperlink" xfId="2441" builtinId="9" hidden="1"/>
    <cellStyle name="Followed Hyperlink" xfId="2442" builtinId="9" hidden="1"/>
    <cellStyle name="Followed Hyperlink" xfId="2443" builtinId="9" hidden="1"/>
    <cellStyle name="Followed Hyperlink" xfId="2444" builtinId="9" hidden="1"/>
    <cellStyle name="Followed Hyperlink" xfId="2445" builtinId="9" hidden="1"/>
    <cellStyle name="Followed Hyperlink" xfId="2446" builtinId="9" hidden="1"/>
    <cellStyle name="Followed Hyperlink" xfId="2447" builtinId="9" hidden="1"/>
    <cellStyle name="Followed Hyperlink" xfId="2448" builtinId="9" hidden="1"/>
    <cellStyle name="Followed Hyperlink" xfId="2449" builtinId="9" hidden="1"/>
    <cellStyle name="Followed Hyperlink" xfId="2450" builtinId="9" hidden="1"/>
    <cellStyle name="Followed Hyperlink" xfId="2451" builtinId="9" hidden="1"/>
    <cellStyle name="Followed Hyperlink" xfId="2452" builtinId="9" hidden="1"/>
    <cellStyle name="Followed Hyperlink" xfId="2453" builtinId="9" hidden="1"/>
    <cellStyle name="Followed Hyperlink" xfId="2454" builtinId="9" hidden="1"/>
    <cellStyle name="Followed Hyperlink" xfId="2455" builtinId="9" hidden="1"/>
    <cellStyle name="Followed Hyperlink" xfId="2456" builtinId="9" hidden="1"/>
    <cellStyle name="Followed Hyperlink" xfId="2457" builtinId="9" hidden="1"/>
    <cellStyle name="Followed Hyperlink" xfId="2458" builtinId="9" hidden="1"/>
    <cellStyle name="Followed Hyperlink" xfId="2459" builtinId="9" hidden="1"/>
    <cellStyle name="Followed Hyperlink" xfId="2460" builtinId="9" hidden="1"/>
    <cellStyle name="Followed Hyperlink" xfId="2461" builtinId="9" hidden="1"/>
    <cellStyle name="Followed Hyperlink" xfId="2462" builtinId="9" hidden="1"/>
    <cellStyle name="Followed Hyperlink" xfId="2463" builtinId="9" hidden="1"/>
    <cellStyle name="Followed Hyperlink" xfId="2464" builtinId="9" hidden="1"/>
    <cellStyle name="Followed Hyperlink" xfId="2465" builtinId="9" hidden="1"/>
    <cellStyle name="Followed Hyperlink" xfId="2466" builtinId="9" hidden="1"/>
    <cellStyle name="Followed Hyperlink" xfId="2467" builtinId="9" hidden="1"/>
    <cellStyle name="Followed Hyperlink" xfId="2468" builtinId="9" hidden="1"/>
    <cellStyle name="Followed Hyperlink" xfId="2469" builtinId="9" hidden="1"/>
    <cellStyle name="Followed Hyperlink" xfId="2470" builtinId="9" hidden="1"/>
    <cellStyle name="Followed Hyperlink" xfId="2471" builtinId="9" hidden="1"/>
    <cellStyle name="Followed Hyperlink" xfId="2472" builtinId="9" hidden="1"/>
    <cellStyle name="Followed Hyperlink" xfId="2473" builtinId="9" hidden="1"/>
    <cellStyle name="Followed Hyperlink" xfId="2474" builtinId="9" hidden="1"/>
    <cellStyle name="Followed Hyperlink" xfId="2148" builtinId="9" hidden="1"/>
    <cellStyle name="Followed Hyperlink" xfId="2435" builtinId="9" hidden="1"/>
    <cellStyle name="Followed Hyperlink" xfId="2476" builtinId="9" hidden="1"/>
    <cellStyle name="Followed Hyperlink" xfId="2477" builtinId="9" hidden="1"/>
    <cellStyle name="Followed Hyperlink" xfId="2478" builtinId="9" hidden="1"/>
    <cellStyle name="Followed Hyperlink" xfId="2479" builtinId="9" hidden="1"/>
    <cellStyle name="Followed Hyperlink" xfId="2480" builtinId="9" hidden="1"/>
    <cellStyle name="Followed Hyperlink" xfId="2481" builtinId="9" hidden="1"/>
    <cellStyle name="Followed Hyperlink" xfId="2482" builtinId="9" hidden="1"/>
    <cellStyle name="Followed Hyperlink" xfId="2483" builtinId="9" hidden="1"/>
    <cellStyle name="Followed Hyperlink" xfId="2484" builtinId="9" hidden="1"/>
    <cellStyle name="Followed Hyperlink" xfId="2485" builtinId="9" hidden="1"/>
    <cellStyle name="Followed Hyperlink" xfId="2486" builtinId="9" hidden="1"/>
    <cellStyle name="Followed Hyperlink" xfId="2487" builtinId="9" hidden="1"/>
    <cellStyle name="Followed Hyperlink" xfId="2488" builtinId="9" hidden="1"/>
    <cellStyle name="Followed Hyperlink" xfId="2489" builtinId="9" hidden="1"/>
    <cellStyle name="Followed Hyperlink" xfId="2490" builtinId="9" hidden="1"/>
    <cellStyle name="Followed Hyperlink" xfId="2491" builtinId="9" hidden="1"/>
    <cellStyle name="Followed Hyperlink" xfId="2492" builtinId="9" hidden="1"/>
    <cellStyle name="Followed Hyperlink" xfId="2493" builtinId="9" hidden="1"/>
    <cellStyle name="Followed Hyperlink" xfId="2494" builtinId="9" hidden="1"/>
    <cellStyle name="Followed Hyperlink" xfId="2495" builtinId="9" hidden="1"/>
    <cellStyle name="Followed Hyperlink" xfId="2496" builtinId="9" hidden="1"/>
    <cellStyle name="Followed Hyperlink" xfId="2497" builtinId="9" hidden="1"/>
    <cellStyle name="Followed Hyperlink" xfId="2498" builtinId="9" hidden="1"/>
    <cellStyle name="Followed Hyperlink" xfId="2499" builtinId="9" hidden="1"/>
    <cellStyle name="Followed Hyperlink" xfId="2500" builtinId="9" hidden="1"/>
    <cellStyle name="Followed Hyperlink" xfId="2501" builtinId="9" hidden="1"/>
    <cellStyle name="Followed Hyperlink" xfId="2502" builtinId="9" hidden="1"/>
    <cellStyle name="Followed Hyperlink" xfId="2503" builtinId="9" hidden="1"/>
    <cellStyle name="Followed Hyperlink" xfId="2504" builtinId="9" hidden="1"/>
    <cellStyle name="Followed Hyperlink" xfId="2505" builtinId="9" hidden="1"/>
    <cellStyle name="Followed Hyperlink" xfId="2506" builtinId="9" hidden="1"/>
    <cellStyle name="Followed Hyperlink" xfId="2507" builtinId="9" hidden="1"/>
    <cellStyle name="Followed Hyperlink" xfId="2508" builtinId="9" hidden="1"/>
    <cellStyle name="Followed Hyperlink" xfId="2509" builtinId="9" hidden="1"/>
    <cellStyle name="Followed Hyperlink" xfId="2510" builtinId="9" hidden="1"/>
    <cellStyle name="Followed Hyperlink" xfId="2511" builtinId="9" hidden="1"/>
    <cellStyle name="Followed Hyperlink" xfId="2512" builtinId="9" hidden="1"/>
    <cellStyle name="Followed Hyperlink" xfId="2513" builtinId="9" hidden="1"/>
    <cellStyle name="Followed Hyperlink" xfId="2514" builtinId="9" hidden="1"/>
    <cellStyle name="Followed Hyperlink" xfId="2150" builtinId="9" hidden="1"/>
    <cellStyle name="Followed Hyperlink" xfId="2475" builtinId="9" hidden="1"/>
    <cellStyle name="Followed Hyperlink" xfId="2516" builtinId="9" hidden="1"/>
    <cellStyle name="Followed Hyperlink" xfId="2517" builtinId="9" hidden="1"/>
    <cellStyle name="Followed Hyperlink" xfId="2518" builtinId="9" hidden="1"/>
    <cellStyle name="Followed Hyperlink" xfId="2519" builtinId="9" hidden="1"/>
    <cellStyle name="Followed Hyperlink" xfId="2520" builtinId="9" hidden="1"/>
    <cellStyle name="Followed Hyperlink" xfId="2521" builtinId="9" hidden="1"/>
    <cellStyle name="Followed Hyperlink" xfId="2522" builtinId="9" hidden="1"/>
    <cellStyle name="Followed Hyperlink" xfId="2523" builtinId="9" hidden="1"/>
    <cellStyle name="Followed Hyperlink" xfId="2524" builtinId="9" hidden="1"/>
    <cellStyle name="Followed Hyperlink" xfId="2525" builtinId="9" hidden="1"/>
    <cellStyle name="Followed Hyperlink" xfId="2526" builtinId="9" hidden="1"/>
    <cellStyle name="Followed Hyperlink" xfId="2527" builtinId="9" hidden="1"/>
    <cellStyle name="Followed Hyperlink" xfId="2528" builtinId="9" hidden="1"/>
    <cellStyle name="Followed Hyperlink" xfId="2529" builtinId="9" hidden="1"/>
    <cellStyle name="Followed Hyperlink" xfId="2530" builtinId="9" hidden="1"/>
    <cellStyle name="Followed Hyperlink" xfId="2531" builtinId="9" hidden="1"/>
    <cellStyle name="Followed Hyperlink" xfId="2532" builtinId="9" hidden="1"/>
    <cellStyle name="Followed Hyperlink" xfId="2533" builtinId="9" hidden="1"/>
    <cellStyle name="Followed Hyperlink" xfId="2534" builtinId="9" hidden="1"/>
    <cellStyle name="Followed Hyperlink" xfId="2535" builtinId="9" hidden="1"/>
    <cellStyle name="Followed Hyperlink" xfId="2536" builtinId="9" hidden="1"/>
    <cellStyle name="Followed Hyperlink" xfId="2537" builtinId="9" hidden="1"/>
    <cellStyle name="Followed Hyperlink" xfId="2538" builtinId="9" hidden="1"/>
    <cellStyle name="Followed Hyperlink" xfId="2539" builtinId="9" hidden="1"/>
    <cellStyle name="Followed Hyperlink" xfId="2540" builtinId="9" hidden="1"/>
    <cellStyle name="Followed Hyperlink" xfId="2541" builtinId="9" hidden="1"/>
    <cellStyle name="Followed Hyperlink" xfId="2542" builtinId="9" hidden="1"/>
    <cellStyle name="Followed Hyperlink" xfId="2543" builtinId="9" hidden="1"/>
    <cellStyle name="Followed Hyperlink" xfId="2544" builtinId="9" hidden="1"/>
    <cellStyle name="Followed Hyperlink" xfId="2545" builtinId="9" hidden="1"/>
    <cellStyle name="Followed Hyperlink" xfId="2546" builtinId="9" hidden="1"/>
    <cellStyle name="Followed Hyperlink" xfId="2547" builtinId="9" hidden="1"/>
    <cellStyle name="Followed Hyperlink" xfId="2548" builtinId="9" hidden="1"/>
    <cellStyle name="Followed Hyperlink" xfId="2549" builtinId="9" hidden="1"/>
    <cellStyle name="Followed Hyperlink" xfId="2550" builtinId="9" hidden="1"/>
    <cellStyle name="Followed Hyperlink" xfId="2551" builtinId="9" hidden="1"/>
    <cellStyle name="Followed Hyperlink" xfId="2552" builtinId="9" hidden="1"/>
    <cellStyle name="Followed Hyperlink" xfId="2553" builtinId="9" hidden="1"/>
    <cellStyle name="Followed Hyperlink" xfId="2554" builtinId="9" hidden="1"/>
    <cellStyle name="Followed Hyperlink" xfId="2145" builtinId="9" hidden="1"/>
    <cellStyle name="Followed Hyperlink" xfId="2515" builtinId="9" hidden="1"/>
    <cellStyle name="Followed Hyperlink" xfId="2555" builtinId="9" hidden="1"/>
    <cellStyle name="Followed Hyperlink" xfId="2556" builtinId="9" hidden="1"/>
    <cellStyle name="Followed Hyperlink" xfId="2557" builtinId="9" hidden="1"/>
    <cellStyle name="Followed Hyperlink" xfId="2558" builtinId="9" hidden="1"/>
    <cellStyle name="Followed Hyperlink" xfId="2559" builtinId="9" hidden="1"/>
    <cellStyle name="Followed Hyperlink" xfId="2560" builtinId="9" hidden="1"/>
    <cellStyle name="Followed Hyperlink" xfId="2561" builtinId="9" hidden="1"/>
    <cellStyle name="Followed Hyperlink" xfId="2562" builtinId="9" hidden="1"/>
    <cellStyle name="Followed Hyperlink" xfId="2563" builtinId="9" hidden="1"/>
    <cellStyle name="Followed Hyperlink" xfId="2564" builtinId="9" hidden="1"/>
    <cellStyle name="Followed Hyperlink" xfId="2565" builtinId="9" hidden="1"/>
    <cellStyle name="Followed Hyperlink" xfId="2566" builtinId="9" hidden="1"/>
    <cellStyle name="Followed Hyperlink" xfId="2567" builtinId="9" hidden="1"/>
    <cellStyle name="Followed Hyperlink" xfId="2568" builtinId="9" hidden="1"/>
    <cellStyle name="Followed Hyperlink" xfId="2569" builtinId="9" hidden="1"/>
    <cellStyle name="Followed Hyperlink" xfId="2570" builtinId="9" hidden="1"/>
    <cellStyle name="Followed Hyperlink" xfId="2571" builtinId="9" hidden="1"/>
    <cellStyle name="Followed Hyperlink" xfId="2572" builtinId="9" hidden="1"/>
    <cellStyle name="Followed Hyperlink" xfId="2573" builtinId="9" hidden="1"/>
    <cellStyle name="Followed Hyperlink" xfId="2574" builtinId="9" hidden="1"/>
    <cellStyle name="Followed Hyperlink" xfId="2575" builtinId="9" hidden="1"/>
    <cellStyle name="Followed Hyperlink" xfId="2576" builtinId="9" hidden="1"/>
    <cellStyle name="Followed Hyperlink" xfId="2577" builtinId="9" hidden="1"/>
    <cellStyle name="Followed Hyperlink" xfId="2578" builtinId="9" hidden="1"/>
    <cellStyle name="Followed Hyperlink" xfId="2579" builtinId="9" hidden="1"/>
    <cellStyle name="Followed Hyperlink" xfId="2580" builtinId="9" hidden="1"/>
    <cellStyle name="Followed Hyperlink" xfId="2581" builtinId="9" hidden="1"/>
    <cellStyle name="Followed Hyperlink" xfId="2582" builtinId="9" hidden="1"/>
    <cellStyle name="Followed Hyperlink" xfId="2583" builtinId="9" hidden="1"/>
    <cellStyle name="Followed Hyperlink" xfId="2584" builtinId="9" hidden="1"/>
    <cellStyle name="Followed Hyperlink" xfId="2585" builtinId="9" hidden="1"/>
    <cellStyle name="Followed Hyperlink" xfId="2586" builtinId="9" hidden="1"/>
    <cellStyle name="Followed Hyperlink" xfId="2587" builtinId="9" hidden="1"/>
    <cellStyle name="Followed Hyperlink" xfId="2588" builtinId="9" hidden="1"/>
    <cellStyle name="Followed Hyperlink" xfId="2589" builtinId="9" hidden="1"/>
    <cellStyle name="Followed Hyperlink" xfId="2590" builtinId="9" hidden="1"/>
    <cellStyle name="Followed Hyperlink" xfId="2591" builtinId="9" hidden="1"/>
    <cellStyle name="Followed Hyperlink" xfId="2592" builtinId="9" hidden="1"/>
    <cellStyle name="Followed Hyperlink" xfId="2593"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488" builtinId="9" hidden="1"/>
    <cellStyle name="Followed Hyperlink" xfId="6217"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494" builtinId="9" hidden="1"/>
    <cellStyle name="Followed Hyperlink" xfId="662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496" builtinId="9" hidden="1"/>
    <cellStyle name="Followed Hyperlink" xfId="666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489" builtinId="9" hidden="1"/>
    <cellStyle name="Followed Hyperlink" xfId="670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492" builtinId="9" hidden="1"/>
    <cellStyle name="Followed Hyperlink" xfId="674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493" builtinId="9" hidden="1"/>
    <cellStyle name="Followed Hyperlink" xfId="678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495" builtinId="9" hidden="1"/>
    <cellStyle name="Followed Hyperlink" xfId="6820" builtinId="9" hidden="1"/>
    <cellStyle name="Followed Hyperlink" xfId="6861" builtinId="9" hidden="1"/>
    <cellStyle name="Followed Hyperlink" xfId="6862" builtinId="9" hidden="1"/>
    <cellStyle name="Followed Hyperlink" xfId="6863" builtinId="9" hidden="1"/>
    <cellStyle name="Followed Hyperlink" xfId="6864" builtinId="9" hidden="1"/>
    <cellStyle name="Followed Hyperlink" xfId="6865" builtinId="9" hidden="1"/>
    <cellStyle name="Followed Hyperlink" xfId="6866" builtinId="9" hidden="1"/>
    <cellStyle name="Followed Hyperlink" xfId="6867" builtinId="9" hidden="1"/>
    <cellStyle name="Followed Hyperlink" xfId="6868" builtinId="9" hidden="1"/>
    <cellStyle name="Followed Hyperlink" xfId="6869" builtinId="9" hidden="1"/>
    <cellStyle name="Followed Hyperlink" xfId="6870" builtinId="9" hidden="1"/>
    <cellStyle name="Followed Hyperlink" xfId="6871" builtinId="9" hidden="1"/>
    <cellStyle name="Followed Hyperlink" xfId="6872" builtinId="9" hidden="1"/>
    <cellStyle name="Followed Hyperlink" xfId="6873" builtinId="9" hidden="1"/>
    <cellStyle name="Followed Hyperlink" xfId="6874" builtinId="9" hidden="1"/>
    <cellStyle name="Followed Hyperlink" xfId="6875" builtinId="9" hidden="1"/>
    <cellStyle name="Followed Hyperlink" xfId="6876" builtinId="9" hidden="1"/>
    <cellStyle name="Followed Hyperlink" xfId="6877" builtinId="9" hidden="1"/>
    <cellStyle name="Followed Hyperlink" xfId="6878" builtinId="9" hidden="1"/>
    <cellStyle name="Followed Hyperlink" xfId="6879" builtinId="9" hidden="1"/>
    <cellStyle name="Followed Hyperlink" xfId="6880" builtinId="9" hidden="1"/>
    <cellStyle name="Followed Hyperlink" xfId="6881" builtinId="9" hidden="1"/>
    <cellStyle name="Followed Hyperlink" xfId="6882" builtinId="9" hidden="1"/>
    <cellStyle name="Followed Hyperlink" xfId="6883" builtinId="9" hidden="1"/>
    <cellStyle name="Followed Hyperlink" xfId="6884" builtinId="9" hidden="1"/>
    <cellStyle name="Followed Hyperlink" xfId="6885" builtinId="9" hidden="1"/>
    <cellStyle name="Followed Hyperlink" xfId="6886" builtinId="9" hidden="1"/>
    <cellStyle name="Followed Hyperlink" xfId="6887" builtinId="9" hidden="1"/>
    <cellStyle name="Followed Hyperlink" xfId="6888" builtinId="9" hidden="1"/>
    <cellStyle name="Followed Hyperlink" xfId="6889" builtinId="9" hidden="1"/>
    <cellStyle name="Followed Hyperlink" xfId="6890" builtinId="9" hidden="1"/>
    <cellStyle name="Followed Hyperlink" xfId="6891" builtinId="9" hidden="1"/>
    <cellStyle name="Followed Hyperlink" xfId="6892" builtinId="9" hidden="1"/>
    <cellStyle name="Followed Hyperlink" xfId="6893" builtinId="9" hidden="1"/>
    <cellStyle name="Followed Hyperlink" xfId="6894" builtinId="9" hidden="1"/>
    <cellStyle name="Followed Hyperlink" xfId="6895" builtinId="9" hidden="1"/>
    <cellStyle name="Followed Hyperlink" xfId="6896" builtinId="9" hidden="1"/>
    <cellStyle name="Followed Hyperlink" xfId="6897" builtinId="9" hidden="1"/>
    <cellStyle name="Followed Hyperlink" xfId="6898" builtinId="9" hidden="1"/>
    <cellStyle name="Followed Hyperlink" xfId="6899" builtinId="9" hidden="1"/>
    <cellStyle name="Followed Hyperlink" xfId="6490" builtinId="9" hidden="1"/>
    <cellStyle name="Followed Hyperlink" xfId="6860" builtinId="9" hidden="1"/>
    <cellStyle name="Followed Hyperlink" xfId="6900" builtinId="9" hidden="1"/>
    <cellStyle name="Followed Hyperlink" xfId="6901" builtinId="9" hidden="1"/>
    <cellStyle name="Followed Hyperlink" xfId="6902" builtinId="9" hidden="1"/>
    <cellStyle name="Followed Hyperlink" xfId="6903" builtinId="9" hidden="1"/>
    <cellStyle name="Followed Hyperlink" xfId="6904" builtinId="9" hidden="1"/>
    <cellStyle name="Followed Hyperlink" xfId="6905" builtinId="9" hidden="1"/>
    <cellStyle name="Followed Hyperlink" xfId="6906" builtinId="9" hidden="1"/>
    <cellStyle name="Followed Hyperlink" xfId="6907" builtinId="9" hidden="1"/>
    <cellStyle name="Followed Hyperlink" xfId="6908" builtinId="9" hidden="1"/>
    <cellStyle name="Followed Hyperlink" xfId="6909" builtinId="9" hidden="1"/>
    <cellStyle name="Followed Hyperlink" xfId="6910" builtinId="9" hidden="1"/>
    <cellStyle name="Followed Hyperlink" xfId="6911" builtinId="9" hidden="1"/>
    <cellStyle name="Followed Hyperlink" xfId="6912" builtinId="9" hidden="1"/>
    <cellStyle name="Followed Hyperlink" xfId="6913" builtinId="9" hidden="1"/>
    <cellStyle name="Followed Hyperlink" xfId="6914" builtinId="9" hidden="1"/>
    <cellStyle name="Followed Hyperlink" xfId="6915" builtinId="9" hidden="1"/>
    <cellStyle name="Followed Hyperlink" xfId="6916" builtinId="9" hidden="1"/>
    <cellStyle name="Followed Hyperlink" xfId="6917" builtinId="9" hidden="1"/>
    <cellStyle name="Followed Hyperlink" xfId="6918" builtinId="9" hidden="1"/>
    <cellStyle name="Followed Hyperlink" xfId="6919" builtinId="9" hidden="1"/>
    <cellStyle name="Followed Hyperlink" xfId="6920" builtinId="9" hidden="1"/>
    <cellStyle name="Followed Hyperlink" xfId="6921" builtinId="9" hidden="1"/>
    <cellStyle name="Followed Hyperlink" xfId="6922" builtinId="9" hidden="1"/>
    <cellStyle name="Followed Hyperlink" xfId="6923" builtinId="9" hidden="1"/>
    <cellStyle name="Followed Hyperlink" xfId="6924" builtinId="9" hidden="1"/>
    <cellStyle name="Followed Hyperlink" xfId="6925" builtinId="9" hidden="1"/>
    <cellStyle name="Followed Hyperlink" xfId="6926" builtinId="9" hidden="1"/>
    <cellStyle name="Followed Hyperlink" xfId="6927" builtinId="9" hidden="1"/>
    <cellStyle name="Followed Hyperlink" xfId="6928" builtinId="9" hidden="1"/>
    <cellStyle name="Followed Hyperlink" xfId="6929" builtinId="9" hidden="1"/>
    <cellStyle name="Followed Hyperlink" xfId="6930" builtinId="9" hidden="1"/>
    <cellStyle name="Followed Hyperlink" xfId="6931" builtinId="9" hidden="1"/>
    <cellStyle name="Followed Hyperlink" xfId="6932" builtinId="9" hidden="1"/>
    <cellStyle name="Followed Hyperlink" xfId="6933" builtinId="9" hidden="1"/>
    <cellStyle name="Followed Hyperlink" xfId="6934" builtinId="9" hidden="1"/>
    <cellStyle name="Followed Hyperlink" xfId="6935" builtinId="9" hidden="1"/>
    <cellStyle name="Followed Hyperlink" xfId="6936" builtinId="9" hidden="1"/>
    <cellStyle name="Followed Hyperlink" xfId="6937" builtinId="9" hidden="1"/>
    <cellStyle name="Followed Hyperlink" xfId="6938" builtinId="9" hidden="1"/>
    <cellStyle name="Followed Hyperlink" xfId="6957" builtinId="9" hidden="1"/>
    <cellStyle name="Followed Hyperlink" xfId="6958" builtinId="9" hidden="1"/>
    <cellStyle name="Followed Hyperlink" xfId="6959" builtinId="9" hidden="1"/>
    <cellStyle name="Followed Hyperlink" xfId="6960" builtinId="9" hidden="1"/>
    <cellStyle name="Followed Hyperlink" xfId="6961" builtinId="9" hidden="1"/>
    <cellStyle name="Followed Hyperlink" xfId="6962" builtinId="9" hidden="1"/>
    <cellStyle name="Followed Hyperlink" xfId="6963" builtinId="9" hidden="1"/>
    <cellStyle name="Followed Hyperlink" xfId="6964" builtinId="9" hidden="1"/>
    <cellStyle name="Followed Hyperlink" xfId="6965" builtinId="9" hidden="1"/>
    <cellStyle name="Followed Hyperlink" xfId="6966" builtinId="9" hidden="1"/>
    <cellStyle name="Followed Hyperlink" xfId="6967" builtinId="9" hidden="1"/>
    <cellStyle name="Followed Hyperlink" xfId="6968" builtinId="9" hidden="1"/>
    <cellStyle name="Followed Hyperlink" xfId="6969" builtinId="9" hidden="1"/>
    <cellStyle name="Followed Hyperlink" xfId="6970" builtinId="9" hidden="1"/>
    <cellStyle name="Followed Hyperlink" xfId="6971" builtinId="9" hidden="1"/>
    <cellStyle name="Followed Hyperlink" xfId="6972" builtinId="9" hidden="1"/>
    <cellStyle name="Followed Hyperlink" xfId="6973" builtinId="9" hidden="1"/>
    <cellStyle name="Followed Hyperlink" xfId="6974" builtinId="9" hidden="1"/>
    <cellStyle name="Followed Hyperlink" xfId="6975" builtinId="9" hidden="1"/>
    <cellStyle name="Followed Hyperlink" xfId="6976" builtinId="9" hidden="1"/>
    <cellStyle name="Followed Hyperlink" xfId="6977" builtinId="9" hidden="1"/>
    <cellStyle name="Followed Hyperlink" xfId="6978" builtinId="9" hidden="1"/>
    <cellStyle name="Followed Hyperlink" xfId="6979" builtinId="9" hidden="1"/>
    <cellStyle name="Followed Hyperlink" xfId="6980" builtinId="9" hidden="1"/>
    <cellStyle name="Followed Hyperlink" xfId="6981" builtinId="9" hidden="1"/>
    <cellStyle name="Followed Hyperlink" xfId="6982" builtinId="9" hidden="1"/>
    <cellStyle name="Followed Hyperlink" xfId="6983" builtinId="9" hidden="1"/>
    <cellStyle name="Followed Hyperlink" xfId="6984" builtinId="9" hidden="1"/>
    <cellStyle name="Followed Hyperlink" xfId="6985" builtinId="9" hidden="1"/>
    <cellStyle name="Followed Hyperlink" xfId="6986" builtinId="9" hidden="1"/>
    <cellStyle name="Followed Hyperlink" xfId="6987" builtinId="9" hidden="1"/>
    <cellStyle name="Followed Hyperlink" xfId="6988" builtinId="9" hidden="1"/>
    <cellStyle name="Followed Hyperlink" xfId="6989" builtinId="9" hidden="1"/>
    <cellStyle name="Followed Hyperlink" xfId="6990" builtinId="9" hidden="1"/>
    <cellStyle name="Followed Hyperlink" xfId="6991" builtinId="9" hidden="1"/>
    <cellStyle name="Followed Hyperlink" xfId="6992" builtinId="9" hidden="1"/>
    <cellStyle name="Followed Hyperlink" xfId="6993" builtinId="9" hidden="1"/>
    <cellStyle name="Followed Hyperlink" xfId="6994" builtinId="9" hidden="1"/>
    <cellStyle name="Followed Hyperlink" xfId="6995" builtinId="9" hidden="1"/>
    <cellStyle name="Followed Hyperlink" xfId="6996" builtinId="9" hidden="1"/>
    <cellStyle name="Followed Hyperlink" xfId="6997" builtinId="9" hidden="1"/>
    <cellStyle name="Followed Hyperlink" xfId="7006" builtinId="9" hidden="1"/>
    <cellStyle name="Followed Hyperlink" xfId="7007" builtinId="9" hidden="1"/>
    <cellStyle name="Followed Hyperlink" xfId="7008" builtinId="9" hidden="1"/>
    <cellStyle name="Followed Hyperlink" xfId="7009" builtinId="9" hidden="1"/>
    <cellStyle name="Followed Hyperlink" xfId="7010" builtinId="9" hidden="1"/>
    <cellStyle name="Followed Hyperlink" xfId="7011" builtinId="9" hidden="1"/>
    <cellStyle name="Followed Hyperlink" xfId="7012" builtinId="9" hidden="1"/>
    <cellStyle name="Followed Hyperlink" xfId="7013" builtinId="9" hidden="1"/>
    <cellStyle name="Followed Hyperlink" xfId="7014" builtinId="9" hidden="1"/>
    <cellStyle name="Followed Hyperlink" xfId="7015" builtinId="9" hidden="1"/>
    <cellStyle name="Followed Hyperlink" xfId="7016" builtinId="9" hidden="1"/>
    <cellStyle name="Followed Hyperlink" xfId="7017" builtinId="9" hidden="1"/>
    <cellStyle name="Followed Hyperlink" xfId="7018" builtinId="9" hidden="1"/>
    <cellStyle name="Followed Hyperlink" xfId="7019" builtinId="9" hidden="1"/>
    <cellStyle name="Followed Hyperlink" xfId="7020" builtinId="9" hidden="1"/>
    <cellStyle name="Followed Hyperlink" xfId="7021" builtinId="9" hidden="1"/>
    <cellStyle name="Followed Hyperlink" xfId="7022" builtinId="9" hidden="1"/>
    <cellStyle name="Followed Hyperlink" xfId="7023" builtinId="9" hidden="1"/>
    <cellStyle name="Followed Hyperlink" xfId="7024" builtinId="9" hidden="1"/>
    <cellStyle name="Followed Hyperlink" xfId="7025" builtinId="9" hidden="1"/>
    <cellStyle name="Followed Hyperlink" xfId="7026" builtinId="9" hidden="1"/>
    <cellStyle name="Followed Hyperlink" xfId="7027" builtinId="9" hidden="1"/>
    <cellStyle name="Followed Hyperlink" xfId="7028" builtinId="9" hidden="1"/>
    <cellStyle name="Followed Hyperlink" xfId="7029" builtinId="9" hidden="1"/>
    <cellStyle name="Followed Hyperlink" xfId="7030" builtinId="9" hidden="1"/>
    <cellStyle name="Followed Hyperlink" xfId="7031" builtinId="9" hidden="1"/>
    <cellStyle name="Followed Hyperlink" xfId="7032" builtinId="9" hidden="1"/>
    <cellStyle name="Followed Hyperlink" xfId="7033" builtinId="9" hidden="1"/>
    <cellStyle name="Followed Hyperlink" xfId="7034" builtinId="9" hidden="1"/>
    <cellStyle name="Followed Hyperlink" xfId="7035" builtinId="9" hidden="1"/>
    <cellStyle name="Followed Hyperlink" xfId="7036" builtinId="9" hidden="1"/>
    <cellStyle name="Followed Hyperlink" xfId="7037" builtinId="9" hidden="1"/>
    <cellStyle name="Followed Hyperlink" xfId="7038" builtinId="9" hidden="1"/>
    <cellStyle name="Followed Hyperlink" xfId="7039" builtinId="9" hidden="1"/>
    <cellStyle name="Followed Hyperlink" xfId="7040" builtinId="9" hidden="1"/>
    <cellStyle name="Followed Hyperlink" xfId="7041" builtinId="9" hidden="1"/>
    <cellStyle name="Followed Hyperlink" xfId="7042" builtinId="9" hidden="1"/>
    <cellStyle name="Followed Hyperlink" xfId="7043" builtinId="9" hidden="1"/>
    <cellStyle name="Followed Hyperlink" xfId="7044" builtinId="9" hidden="1"/>
    <cellStyle name="Followed Hyperlink" xfId="7045" builtinId="9" hidden="1"/>
    <cellStyle name="Followed Hyperlink" xfId="7046" builtinId="9" hidden="1"/>
    <cellStyle name="Followed Hyperlink" xfId="7047" builtinId="9" hidden="1"/>
    <cellStyle name="Followed Hyperlink" xfId="7048" builtinId="9" hidden="1"/>
    <cellStyle name="Followed Hyperlink" xfId="7049" builtinId="9" hidden="1"/>
    <cellStyle name="Followed Hyperlink" xfId="7050" builtinId="9" hidden="1"/>
    <cellStyle name="Followed Hyperlink" xfId="7051" builtinId="9" hidden="1"/>
    <cellStyle name="Followed Hyperlink" xfId="7052" builtinId="9" hidden="1"/>
    <cellStyle name="Followed Hyperlink" xfId="7053" builtinId="9" hidden="1"/>
    <cellStyle name="Followed Hyperlink" xfId="7054" builtinId="9" hidden="1"/>
    <cellStyle name="Followed Hyperlink" xfId="7055" builtinId="9" hidden="1"/>
    <cellStyle name="Followed Hyperlink" xfId="7056" builtinId="9" hidden="1"/>
    <cellStyle name="Followed Hyperlink" xfId="7057" builtinId="9" hidden="1"/>
    <cellStyle name="Followed Hyperlink" xfId="7058" builtinId="9" hidden="1"/>
    <cellStyle name="Followed Hyperlink" xfId="7059" builtinId="9" hidden="1"/>
    <cellStyle name="Followed Hyperlink" xfId="7060" builtinId="9" hidden="1"/>
    <cellStyle name="Followed Hyperlink" xfId="7061" builtinId="9" hidden="1"/>
    <cellStyle name="Followed Hyperlink" xfId="7062" builtinId="9" hidden="1"/>
    <cellStyle name="Followed Hyperlink" xfId="7063" builtinId="9" hidden="1"/>
    <cellStyle name="Followed Hyperlink" xfId="7064" builtinId="9" hidden="1"/>
    <cellStyle name="Followed Hyperlink" xfId="7065" builtinId="9" hidden="1"/>
    <cellStyle name="Followed Hyperlink" xfId="7066" builtinId="9" hidden="1"/>
    <cellStyle name="Followed Hyperlink" xfId="7067" builtinId="9" hidden="1"/>
    <cellStyle name="Followed Hyperlink" xfId="7068" builtinId="9" hidden="1"/>
    <cellStyle name="Followed Hyperlink" xfId="7069" builtinId="9" hidden="1"/>
    <cellStyle name="Followed Hyperlink" xfId="7070" builtinId="9" hidden="1"/>
    <cellStyle name="Followed Hyperlink" xfId="7071" builtinId="9" hidden="1"/>
    <cellStyle name="Followed Hyperlink" xfId="7072" builtinId="9" hidden="1"/>
    <cellStyle name="Followed Hyperlink" xfId="7073" builtinId="9" hidden="1"/>
    <cellStyle name="Followed Hyperlink" xfId="7074" builtinId="9" hidden="1"/>
    <cellStyle name="Followed Hyperlink" xfId="7075" builtinId="9" hidden="1"/>
    <cellStyle name="Followed Hyperlink" xfId="7076" builtinId="9" hidden="1"/>
    <cellStyle name="Followed Hyperlink" xfId="7077" builtinId="9" hidden="1"/>
    <cellStyle name="Followed Hyperlink" xfId="7078" builtinId="9" hidden="1"/>
    <cellStyle name="Followed Hyperlink" xfId="7079" builtinId="9" hidden="1"/>
    <cellStyle name="Followed Hyperlink" xfId="7080" builtinId="9" hidden="1"/>
    <cellStyle name="Followed Hyperlink" xfId="7081" builtinId="9" hidden="1"/>
    <cellStyle name="Followed Hyperlink" xfId="7082" builtinId="9" hidden="1"/>
    <cellStyle name="Followed Hyperlink" xfId="7083" builtinId="9" hidden="1"/>
    <cellStyle name="Followed Hyperlink" xfId="7084" builtinId="9" hidden="1"/>
    <cellStyle name="Followed Hyperlink" xfId="7085" builtinId="9" hidden="1"/>
    <cellStyle name="Followed Hyperlink" xfId="7086" builtinId="9" hidden="1"/>
    <cellStyle name="Followed Hyperlink" xfId="7087" builtinId="9" hidden="1"/>
    <cellStyle name="Followed Hyperlink" xfId="7088" builtinId="9" hidden="1"/>
    <cellStyle name="Followed Hyperlink" xfId="7089" builtinId="9" hidden="1"/>
    <cellStyle name="Followed Hyperlink" xfId="7090" builtinId="9" hidden="1"/>
    <cellStyle name="Followed Hyperlink" xfId="7091" builtinId="9" hidden="1"/>
    <cellStyle name="Followed Hyperlink" xfId="7092" builtinId="9" hidden="1"/>
    <cellStyle name="Followed Hyperlink" xfId="7093" builtinId="9" hidden="1"/>
    <cellStyle name="Followed Hyperlink" xfId="7094" builtinId="9" hidden="1"/>
    <cellStyle name="Followed Hyperlink" xfId="7095" builtinId="9" hidden="1"/>
    <cellStyle name="Followed Hyperlink" xfId="7096" builtinId="9" hidden="1"/>
    <cellStyle name="Followed Hyperlink" xfId="7097" builtinId="9" hidden="1"/>
    <cellStyle name="Followed Hyperlink" xfId="7098" builtinId="9" hidden="1"/>
    <cellStyle name="Followed Hyperlink" xfId="7099" builtinId="9" hidden="1"/>
    <cellStyle name="Followed Hyperlink" xfId="7100" builtinId="9" hidden="1"/>
    <cellStyle name="Followed Hyperlink" xfId="7101" builtinId="9" hidden="1"/>
    <cellStyle name="Followed Hyperlink" xfId="7102" builtinId="9" hidden="1"/>
    <cellStyle name="Followed Hyperlink" xfId="7103" builtinId="9" hidden="1"/>
    <cellStyle name="Followed Hyperlink" xfId="7104" builtinId="9" hidden="1"/>
    <cellStyle name="Followed Hyperlink" xfId="7105" builtinId="9" hidden="1"/>
    <cellStyle name="Followed Hyperlink" xfId="7106" builtinId="9" hidden="1"/>
    <cellStyle name="Followed Hyperlink" xfId="7107" builtinId="9" hidden="1"/>
    <cellStyle name="Followed Hyperlink" xfId="7108" builtinId="9" hidden="1"/>
    <cellStyle name="Followed Hyperlink" xfId="7109" builtinId="9" hidden="1"/>
    <cellStyle name="Followed Hyperlink" xfId="7110" builtinId="9" hidden="1"/>
    <cellStyle name="Followed Hyperlink" xfId="7111" builtinId="9" hidden="1"/>
    <cellStyle name="Followed Hyperlink" xfId="7112" builtinId="9" hidden="1"/>
    <cellStyle name="Followed Hyperlink" xfId="7113" builtinId="9" hidden="1"/>
    <cellStyle name="Followed Hyperlink" xfId="7114" builtinId="9" hidden="1"/>
    <cellStyle name="Followed Hyperlink" xfId="7115" builtinId="9" hidden="1"/>
    <cellStyle name="Followed Hyperlink" xfId="7116" builtinId="9" hidden="1"/>
    <cellStyle name="Followed Hyperlink" xfId="7117" builtinId="9" hidden="1"/>
    <cellStyle name="Followed Hyperlink" xfId="7118" builtinId="9" hidden="1"/>
    <cellStyle name="Followed Hyperlink" xfId="7119" builtinId="9" hidden="1"/>
    <cellStyle name="Followed Hyperlink" xfId="7120" builtinId="9" hidden="1"/>
    <cellStyle name="Followed Hyperlink" xfId="7121" builtinId="9" hidden="1"/>
    <cellStyle name="Followed Hyperlink" xfId="7122" builtinId="9" hidden="1"/>
    <cellStyle name="Followed Hyperlink" xfId="7123" builtinId="9" hidden="1"/>
    <cellStyle name="Followed Hyperlink" xfId="7124" builtinId="9" hidden="1"/>
    <cellStyle name="Followed Hyperlink" xfId="7125" builtinId="9" hidden="1"/>
    <cellStyle name="Followed Hyperlink" xfId="7126" builtinId="9" hidden="1"/>
    <cellStyle name="Followed Hyperlink" xfId="7127" builtinId="9" hidden="1"/>
    <cellStyle name="Followed Hyperlink" xfId="7128" builtinId="9" hidden="1"/>
    <cellStyle name="Followed Hyperlink" xfId="6998" builtinId="9" hidden="1"/>
    <cellStyle name="Followed Hyperlink" xfId="6953" builtinId="9" hidden="1"/>
    <cellStyle name="Followed Hyperlink" xfId="7130" builtinId="9" hidden="1"/>
    <cellStyle name="Followed Hyperlink" xfId="7131" builtinId="9" hidden="1"/>
    <cellStyle name="Followed Hyperlink" xfId="7132" builtinId="9" hidden="1"/>
    <cellStyle name="Followed Hyperlink" xfId="7133" builtinId="9" hidden="1"/>
    <cellStyle name="Followed Hyperlink" xfId="7134" builtinId="9" hidden="1"/>
    <cellStyle name="Followed Hyperlink" xfId="7135" builtinId="9" hidden="1"/>
    <cellStyle name="Followed Hyperlink" xfId="7136" builtinId="9" hidden="1"/>
    <cellStyle name="Followed Hyperlink" xfId="7137" builtinId="9" hidden="1"/>
    <cellStyle name="Followed Hyperlink" xfId="7138" builtinId="9" hidden="1"/>
    <cellStyle name="Followed Hyperlink" xfId="7139" builtinId="9" hidden="1"/>
    <cellStyle name="Followed Hyperlink" xfId="7140" builtinId="9" hidden="1"/>
    <cellStyle name="Followed Hyperlink" xfId="7141" builtinId="9" hidden="1"/>
    <cellStyle name="Followed Hyperlink" xfId="7142" builtinId="9" hidden="1"/>
    <cellStyle name="Followed Hyperlink" xfId="7143" builtinId="9" hidden="1"/>
    <cellStyle name="Followed Hyperlink" xfId="7144" builtinId="9" hidden="1"/>
    <cellStyle name="Followed Hyperlink" xfId="7145" builtinId="9" hidden="1"/>
    <cellStyle name="Followed Hyperlink" xfId="7146" builtinId="9" hidden="1"/>
    <cellStyle name="Followed Hyperlink" xfId="7147" builtinId="9" hidden="1"/>
    <cellStyle name="Followed Hyperlink" xfId="7148" builtinId="9" hidden="1"/>
    <cellStyle name="Followed Hyperlink" xfId="7149" builtinId="9" hidden="1"/>
    <cellStyle name="Followed Hyperlink" xfId="7150" builtinId="9" hidden="1"/>
    <cellStyle name="Followed Hyperlink" xfId="7151" builtinId="9" hidden="1"/>
    <cellStyle name="Followed Hyperlink" xfId="7152" builtinId="9" hidden="1"/>
    <cellStyle name="Followed Hyperlink" xfId="7153" builtinId="9" hidden="1"/>
    <cellStyle name="Followed Hyperlink" xfId="7154" builtinId="9" hidden="1"/>
    <cellStyle name="Followed Hyperlink" xfId="7155" builtinId="9" hidden="1"/>
    <cellStyle name="Followed Hyperlink" xfId="7156" builtinId="9" hidden="1"/>
    <cellStyle name="Followed Hyperlink" xfId="7157" builtinId="9" hidden="1"/>
    <cellStyle name="Followed Hyperlink" xfId="7158" builtinId="9" hidden="1"/>
    <cellStyle name="Followed Hyperlink" xfId="7159" builtinId="9" hidden="1"/>
    <cellStyle name="Followed Hyperlink" xfId="7160" builtinId="9" hidden="1"/>
    <cellStyle name="Followed Hyperlink" xfId="7161" builtinId="9" hidden="1"/>
    <cellStyle name="Followed Hyperlink" xfId="7162" builtinId="9" hidden="1"/>
    <cellStyle name="Followed Hyperlink" xfId="7163" builtinId="9" hidden="1"/>
    <cellStyle name="Followed Hyperlink" xfId="7164" builtinId="9" hidden="1"/>
    <cellStyle name="Followed Hyperlink" xfId="7165" builtinId="9" hidden="1"/>
    <cellStyle name="Followed Hyperlink" xfId="7166" builtinId="9" hidden="1"/>
    <cellStyle name="Followed Hyperlink" xfId="7167" builtinId="9" hidden="1"/>
    <cellStyle name="Followed Hyperlink" xfId="7168" builtinId="9" hidden="1"/>
    <cellStyle name="Followed Hyperlink" xfId="7003" builtinId="9" hidden="1"/>
    <cellStyle name="Followed Hyperlink" xfId="7129" builtinId="9" hidden="1"/>
    <cellStyle name="Followed Hyperlink" xfId="7170" builtinId="9" hidden="1"/>
    <cellStyle name="Followed Hyperlink" xfId="7171" builtinId="9" hidden="1"/>
    <cellStyle name="Followed Hyperlink" xfId="7172" builtinId="9" hidden="1"/>
    <cellStyle name="Followed Hyperlink" xfId="7173" builtinId="9" hidden="1"/>
    <cellStyle name="Followed Hyperlink" xfId="7174" builtinId="9" hidden="1"/>
    <cellStyle name="Followed Hyperlink" xfId="7175" builtinId="9" hidden="1"/>
    <cellStyle name="Followed Hyperlink" xfId="7176" builtinId="9" hidden="1"/>
    <cellStyle name="Followed Hyperlink" xfId="7177" builtinId="9" hidden="1"/>
    <cellStyle name="Followed Hyperlink" xfId="7178" builtinId="9" hidden="1"/>
    <cellStyle name="Followed Hyperlink" xfId="7179" builtinId="9" hidden="1"/>
    <cellStyle name="Followed Hyperlink" xfId="7180" builtinId="9" hidden="1"/>
    <cellStyle name="Followed Hyperlink" xfId="7181" builtinId="9" hidden="1"/>
    <cellStyle name="Followed Hyperlink" xfId="7182" builtinId="9" hidden="1"/>
    <cellStyle name="Followed Hyperlink" xfId="7183" builtinId="9" hidden="1"/>
    <cellStyle name="Followed Hyperlink" xfId="7184" builtinId="9" hidden="1"/>
    <cellStyle name="Followed Hyperlink" xfId="7185" builtinId="9" hidden="1"/>
    <cellStyle name="Followed Hyperlink" xfId="7186" builtinId="9" hidden="1"/>
    <cellStyle name="Followed Hyperlink" xfId="7187" builtinId="9" hidden="1"/>
    <cellStyle name="Followed Hyperlink" xfId="7188" builtinId="9" hidden="1"/>
    <cellStyle name="Followed Hyperlink" xfId="7189" builtinId="9" hidden="1"/>
    <cellStyle name="Followed Hyperlink" xfId="7190" builtinId="9" hidden="1"/>
    <cellStyle name="Followed Hyperlink" xfId="7191" builtinId="9" hidden="1"/>
    <cellStyle name="Followed Hyperlink" xfId="7192" builtinId="9" hidden="1"/>
    <cellStyle name="Followed Hyperlink" xfId="7193" builtinId="9" hidden="1"/>
    <cellStyle name="Followed Hyperlink" xfId="7194" builtinId="9" hidden="1"/>
    <cellStyle name="Followed Hyperlink" xfId="7195" builtinId="9" hidden="1"/>
    <cellStyle name="Followed Hyperlink" xfId="7196" builtinId="9" hidden="1"/>
    <cellStyle name="Followed Hyperlink" xfId="7197" builtinId="9" hidden="1"/>
    <cellStyle name="Followed Hyperlink" xfId="7198" builtinId="9" hidden="1"/>
    <cellStyle name="Followed Hyperlink" xfId="7199" builtinId="9" hidden="1"/>
    <cellStyle name="Followed Hyperlink" xfId="7200" builtinId="9" hidden="1"/>
    <cellStyle name="Followed Hyperlink" xfId="7201" builtinId="9" hidden="1"/>
    <cellStyle name="Followed Hyperlink" xfId="7202" builtinId="9" hidden="1"/>
    <cellStyle name="Followed Hyperlink" xfId="7203" builtinId="9" hidden="1"/>
    <cellStyle name="Followed Hyperlink" xfId="7204" builtinId="9" hidden="1"/>
    <cellStyle name="Followed Hyperlink" xfId="7205" builtinId="9" hidden="1"/>
    <cellStyle name="Followed Hyperlink" xfId="7206" builtinId="9" hidden="1"/>
    <cellStyle name="Followed Hyperlink" xfId="7207" builtinId="9" hidden="1"/>
    <cellStyle name="Followed Hyperlink" xfId="7208" builtinId="9" hidden="1"/>
    <cellStyle name="Followed Hyperlink" xfId="7005" builtinId="9" hidden="1"/>
    <cellStyle name="Followed Hyperlink" xfId="7169" builtinId="9" hidden="1"/>
    <cellStyle name="Followed Hyperlink" xfId="7210" builtinId="9" hidden="1"/>
    <cellStyle name="Followed Hyperlink" xfId="7211" builtinId="9" hidden="1"/>
    <cellStyle name="Followed Hyperlink" xfId="7212" builtinId="9" hidden="1"/>
    <cellStyle name="Followed Hyperlink" xfId="7213" builtinId="9" hidden="1"/>
    <cellStyle name="Followed Hyperlink" xfId="7214" builtinId="9" hidden="1"/>
    <cellStyle name="Followed Hyperlink" xfId="7215" builtinId="9" hidden="1"/>
    <cellStyle name="Followed Hyperlink" xfId="7216" builtinId="9" hidden="1"/>
    <cellStyle name="Followed Hyperlink" xfId="7217" builtinId="9" hidden="1"/>
    <cellStyle name="Followed Hyperlink" xfId="7218" builtinId="9" hidden="1"/>
    <cellStyle name="Followed Hyperlink" xfId="7219" builtinId="9" hidden="1"/>
    <cellStyle name="Followed Hyperlink" xfId="7220" builtinId="9" hidden="1"/>
    <cellStyle name="Followed Hyperlink" xfId="7221" builtinId="9" hidden="1"/>
    <cellStyle name="Followed Hyperlink" xfId="7222" builtinId="9" hidden="1"/>
    <cellStyle name="Followed Hyperlink" xfId="7223" builtinId="9" hidden="1"/>
    <cellStyle name="Followed Hyperlink" xfId="7224" builtinId="9" hidden="1"/>
    <cellStyle name="Followed Hyperlink" xfId="7225" builtinId="9" hidden="1"/>
    <cellStyle name="Followed Hyperlink" xfId="7226" builtinId="9" hidden="1"/>
    <cellStyle name="Followed Hyperlink" xfId="7227" builtinId="9" hidden="1"/>
    <cellStyle name="Followed Hyperlink" xfId="7228" builtinId="9" hidden="1"/>
    <cellStyle name="Followed Hyperlink" xfId="7229" builtinId="9" hidden="1"/>
    <cellStyle name="Followed Hyperlink" xfId="7230" builtinId="9" hidden="1"/>
    <cellStyle name="Followed Hyperlink" xfId="7231" builtinId="9" hidden="1"/>
    <cellStyle name="Followed Hyperlink" xfId="7232" builtinId="9" hidden="1"/>
    <cellStyle name="Followed Hyperlink" xfId="7233" builtinId="9" hidden="1"/>
    <cellStyle name="Followed Hyperlink" xfId="7234" builtinId="9" hidden="1"/>
    <cellStyle name="Followed Hyperlink" xfId="7235" builtinId="9" hidden="1"/>
    <cellStyle name="Followed Hyperlink" xfId="7236" builtinId="9" hidden="1"/>
    <cellStyle name="Followed Hyperlink" xfId="7237" builtinId="9" hidden="1"/>
    <cellStyle name="Followed Hyperlink" xfId="7238" builtinId="9" hidden="1"/>
    <cellStyle name="Followed Hyperlink" xfId="7239" builtinId="9" hidden="1"/>
    <cellStyle name="Followed Hyperlink" xfId="7240" builtinId="9" hidden="1"/>
    <cellStyle name="Followed Hyperlink" xfId="7241" builtinId="9" hidden="1"/>
    <cellStyle name="Followed Hyperlink" xfId="7242" builtinId="9" hidden="1"/>
    <cellStyle name="Followed Hyperlink" xfId="7243" builtinId="9" hidden="1"/>
    <cellStyle name="Followed Hyperlink" xfId="7244" builtinId="9" hidden="1"/>
    <cellStyle name="Followed Hyperlink" xfId="7245" builtinId="9" hidden="1"/>
    <cellStyle name="Followed Hyperlink" xfId="7246" builtinId="9" hidden="1"/>
    <cellStyle name="Followed Hyperlink" xfId="7247" builtinId="9" hidden="1"/>
    <cellStyle name="Followed Hyperlink" xfId="7248" builtinId="9" hidden="1"/>
    <cellStyle name="Followed Hyperlink" xfId="6999" builtinId="9" hidden="1"/>
    <cellStyle name="Followed Hyperlink" xfId="7209" builtinId="9" hidden="1"/>
    <cellStyle name="Followed Hyperlink" xfId="7250" builtinId="9" hidden="1"/>
    <cellStyle name="Followed Hyperlink" xfId="7251" builtinId="9" hidden="1"/>
    <cellStyle name="Followed Hyperlink" xfId="7252" builtinId="9" hidden="1"/>
    <cellStyle name="Followed Hyperlink" xfId="7253" builtinId="9" hidden="1"/>
    <cellStyle name="Followed Hyperlink" xfId="7254" builtinId="9" hidden="1"/>
    <cellStyle name="Followed Hyperlink" xfId="7255" builtinId="9" hidden="1"/>
    <cellStyle name="Followed Hyperlink" xfId="7256" builtinId="9" hidden="1"/>
    <cellStyle name="Followed Hyperlink" xfId="7257" builtinId="9" hidden="1"/>
    <cellStyle name="Followed Hyperlink" xfId="7258" builtinId="9" hidden="1"/>
    <cellStyle name="Followed Hyperlink" xfId="7259" builtinId="9" hidden="1"/>
    <cellStyle name="Followed Hyperlink" xfId="7260" builtinId="9" hidden="1"/>
    <cellStyle name="Followed Hyperlink" xfId="7261" builtinId="9" hidden="1"/>
    <cellStyle name="Followed Hyperlink" xfId="7262" builtinId="9" hidden="1"/>
    <cellStyle name="Followed Hyperlink" xfId="7263" builtinId="9" hidden="1"/>
    <cellStyle name="Followed Hyperlink" xfId="7264" builtinId="9" hidden="1"/>
    <cellStyle name="Followed Hyperlink" xfId="7265" builtinId="9" hidden="1"/>
    <cellStyle name="Followed Hyperlink" xfId="7266" builtinId="9" hidden="1"/>
    <cellStyle name="Followed Hyperlink" xfId="7267" builtinId="9" hidden="1"/>
    <cellStyle name="Followed Hyperlink" xfId="7268" builtinId="9" hidden="1"/>
    <cellStyle name="Followed Hyperlink" xfId="7269" builtinId="9" hidden="1"/>
    <cellStyle name="Followed Hyperlink" xfId="7270" builtinId="9" hidden="1"/>
    <cellStyle name="Followed Hyperlink" xfId="7271" builtinId="9" hidden="1"/>
    <cellStyle name="Followed Hyperlink" xfId="7272" builtinId="9" hidden="1"/>
    <cellStyle name="Followed Hyperlink" xfId="7273" builtinId="9" hidden="1"/>
    <cellStyle name="Followed Hyperlink" xfId="7274" builtinId="9" hidden="1"/>
    <cellStyle name="Followed Hyperlink" xfId="7275" builtinId="9" hidden="1"/>
    <cellStyle name="Followed Hyperlink" xfId="7276" builtinId="9" hidden="1"/>
    <cellStyle name="Followed Hyperlink" xfId="7277" builtinId="9" hidden="1"/>
    <cellStyle name="Followed Hyperlink" xfId="7278" builtinId="9" hidden="1"/>
    <cellStyle name="Followed Hyperlink" xfId="7279" builtinId="9" hidden="1"/>
    <cellStyle name="Followed Hyperlink" xfId="7280" builtinId="9" hidden="1"/>
    <cellStyle name="Followed Hyperlink" xfId="7281" builtinId="9" hidden="1"/>
    <cellStyle name="Followed Hyperlink" xfId="7282" builtinId="9" hidden="1"/>
    <cellStyle name="Followed Hyperlink" xfId="7283" builtinId="9" hidden="1"/>
    <cellStyle name="Followed Hyperlink" xfId="7284" builtinId="9" hidden="1"/>
    <cellStyle name="Followed Hyperlink" xfId="7285" builtinId="9" hidden="1"/>
    <cellStyle name="Followed Hyperlink" xfId="7286" builtinId="9" hidden="1"/>
    <cellStyle name="Followed Hyperlink" xfId="7287" builtinId="9" hidden="1"/>
    <cellStyle name="Followed Hyperlink" xfId="7288" builtinId="9" hidden="1"/>
    <cellStyle name="Followed Hyperlink" xfId="7001" builtinId="9" hidden="1"/>
    <cellStyle name="Followed Hyperlink" xfId="7249" builtinId="9" hidden="1"/>
    <cellStyle name="Followed Hyperlink" xfId="7290" builtinId="9" hidden="1"/>
    <cellStyle name="Followed Hyperlink" xfId="7291" builtinId="9" hidden="1"/>
    <cellStyle name="Followed Hyperlink" xfId="7292" builtinId="9" hidden="1"/>
    <cellStyle name="Followed Hyperlink" xfId="7293" builtinId="9" hidden="1"/>
    <cellStyle name="Followed Hyperlink" xfId="7294" builtinId="9" hidden="1"/>
    <cellStyle name="Followed Hyperlink" xfId="7295" builtinId="9" hidden="1"/>
    <cellStyle name="Followed Hyperlink" xfId="7296" builtinId="9" hidden="1"/>
    <cellStyle name="Followed Hyperlink" xfId="7297" builtinId="9" hidden="1"/>
    <cellStyle name="Followed Hyperlink" xfId="7298" builtinId="9" hidden="1"/>
    <cellStyle name="Followed Hyperlink" xfId="7299" builtinId="9" hidden="1"/>
    <cellStyle name="Followed Hyperlink" xfId="7300" builtinId="9" hidden="1"/>
    <cellStyle name="Followed Hyperlink" xfId="7301" builtinId="9" hidden="1"/>
    <cellStyle name="Followed Hyperlink" xfId="7302" builtinId="9" hidden="1"/>
    <cellStyle name="Followed Hyperlink" xfId="7303" builtinId="9" hidden="1"/>
    <cellStyle name="Followed Hyperlink" xfId="7304" builtinId="9" hidden="1"/>
    <cellStyle name="Followed Hyperlink" xfId="7305" builtinId="9" hidden="1"/>
    <cellStyle name="Followed Hyperlink" xfId="7306" builtinId="9" hidden="1"/>
    <cellStyle name="Followed Hyperlink" xfId="7307" builtinId="9" hidden="1"/>
    <cellStyle name="Followed Hyperlink" xfId="7308" builtinId="9" hidden="1"/>
    <cellStyle name="Followed Hyperlink" xfId="7309" builtinId="9" hidden="1"/>
    <cellStyle name="Followed Hyperlink" xfId="7310" builtinId="9" hidden="1"/>
    <cellStyle name="Followed Hyperlink" xfId="7311" builtinId="9" hidden="1"/>
    <cellStyle name="Followed Hyperlink" xfId="7312" builtinId="9" hidden="1"/>
    <cellStyle name="Followed Hyperlink" xfId="7313" builtinId="9" hidden="1"/>
    <cellStyle name="Followed Hyperlink" xfId="7314" builtinId="9" hidden="1"/>
    <cellStyle name="Followed Hyperlink" xfId="7315" builtinId="9" hidden="1"/>
    <cellStyle name="Followed Hyperlink" xfId="7316" builtinId="9" hidden="1"/>
    <cellStyle name="Followed Hyperlink" xfId="7317" builtinId="9" hidden="1"/>
    <cellStyle name="Followed Hyperlink" xfId="7318" builtinId="9" hidden="1"/>
    <cellStyle name="Followed Hyperlink" xfId="7319" builtinId="9" hidden="1"/>
    <cellStyle name="Followed Hyperlink" xfId="7320" builtinId="9" hidden="1"/>
    <cellStyle name="Followed Hyperlink" xfId="7321" builtinId="9" hidden="1"/>
    <cellStyle name="Followed Hyperlink" xfId="7322" builtinId="9" hidden="1"/>
    <cellStyle name="Followed Hyperlink" xfId="7323" builtinId="9" hidden="1"/>
    <cellStyle name="Followed Hyperlink" xfId="7324" builtinId="9" hidden="1"/>
    <cellStyle name="Followed Hyperlink" xfId="7325" builtinId="9" hidden="1"/>
    <cellStyle name="Followed Hyperlink" xfId="7326" builtinId="9" hidden="1"/>
    <cellStyle name="Followed Hyperlink" xfId="7327" builtinId="9" hidden="1"/>
    <cellStyle name="Followed Hyperlink" xfId="7328" builtinId="9" hidden="1"/>
    <cellStyle name="Followed Hyperlink" xfId="7002" builtinId="9" hidden="1"/>
    <cellStyle name="Followed Hyperlink" xfId="7289" builtinId="9" hidden="1"/>
    <cellStyle name="Followed Hyperlink" xfId="7330" builtinId="9" hidden="1"/>
    <cellStyle name="Followed Hyperlink" xfId="7331" builtinId="9" hidden="1"/>
    <cellStyle name="Followed Hyperlink" xfId="7332" builtinId="9" hidden="1"/>
    <cellStyle name="Followed Hyperlink" xfId="7333" builtinId="9" hidden="1"/>
    <cellStyle name="Followed Hyperlink" xfId="7334" builtinId="9" hidden="1"/>
    <cellStyle name="Followed Hyperlink" xfId="7335" builtinId="9" hidden="1"/>
    <cellStyle name="Followed Hyperlink" xfId="7336" builtinId="9" hidden="1"/>
    <cellStyle name="Followed Hyperlink" xfId="7337" builtinId="9" hidden="1"/>
    <cellStyle name="Followed Hyperlink" xfId="7338" builtinId="9" hidden="1"/>
    <cellStyle name="Followed Hyperlink" xfId="7339" builtinId="9" hidden="1"/>
    <cellStyle name="Followed Hyperlink" xfId="7340" builtinId="9" hidden="1"/>
    <cellStyle name="Followed Hyperlink" xfId="7341" builtinId="9" hidden="1"/>
    <cellStyle name="Followed Hyperlink" xfId="7342" builtinId="9" hidden="1"/>
    <cellStyle name="Followed Hyperlink" xfId="7343" builtinId="9" hidden="1"/>
    <cellStyle name="Followed Hyperlink" xfId="7344" builtinId="9" hidden="1"/>
    <cellStyle name="Followed Hyperlink" xfId="7345" builtinId="9" hidden="1"/>
    <cellStyle name="Followed Hyperlink" xfId="7346" builtinId="9" hidden="1"/>
    <cellStyle name="Followed Hyperlink" xfId="7347" builtinId="9" hidden="1"/>
    <cellStyle name="Followed Hyperlink" xfId="7348" builtinId="9" hidden="1"/>
    <cellStyle name="Followed Hyperlink" xfId="7349" builtinId="9" hidden="1"/>
    <cellStyle name="Followed Hyperlink" xfId="7350" builtinId="9" hidden="1"/>
    <cellStyle name="Followed Hyperlink" xfId="7351" builtinId="9" hidden="1"/>
    <cellStyle name="Followed Hyperlink" xfId="7352" builtinId="9" hidden="1"/>
    <cellStyle name="Followed Hyperlink" xfId="7353" builtinId="9" hidden="1"/>
    <cellStyle name="Followed Hyperlink" xfId="7354" builtinId="9" hidden="1"/>
    <cellStyle name="Followed Hyperlink" xfId="7355" builtinId="9" hidden="1"/>
    <cellStyle name="Followed Hyperlink" xfId="7356" builtinId="9" hidden="1"/>
    <cellStyle name="Followed Hyperlink" xfId="7357" builtinId="9" hidden="1"/>
    <cellStyle name="Followed Hyperlink" xfId="7358" builtinId="9" hidden="1"/>
    <cellStyle name="Followed Hyperlink" xfId="7359" builtinId="9" hidden="1"/>
    <cellStyle name="Followed Hyperlink" xfId="7360" builtinId="9" hidden="1"/>
    <cellStyle name="Followed Hyperlink" xfId="7361" builtinId="9" hidden="1"/>
    <cellStyle name="Followed Hyperlink" xfId="7362" builtinId="9" hidden="1"/>
    <cellStyle name="Followed Hyperlink" xfId="7363" builtinId="9" hidden="1"/>
    <cellStyle name="Followed Hyperlink" xfId="7364" builtinId="9" hidden="1"/>
    <cellStyle name="Followed Hyperlink" xfId="7365" builtinId="9" hidden="1"/>
    <cellStyle name="Followed Hyperlink" xfId="7366" builtinId="9" hidden="1"/>
    <cellStyle name="Followed Hyperlink" xfId="7367" builtinId="9" hidden="1"/>
    <cellStyle name="Followed Hyperlink" xfId="7368" builtinId="9" hidden="1"/>
    <cellStyle name="Followed Hyperlink" xfId="7004" builtinId="9" hidden="1"/>
    <cellStyle name="Followed Hyperlink" xfId="7329" builtinId="9" hidden="1"/>
    <cellStyle name="Followed Hyperlink" xfId="7370" builtinId="9" hidden="1"/>
    <cellStyle name="Followed Hyperlink" xfId="7371" builtinId="9" hidden="1"/>
    <cellStyle name="Followed Hyperlink" xfId="7372" builtinId="9" hidden="1"/>
    <cellStyle name="Followed Hyperlink" xfId="7373" builtinId="9" hidden="1"/>
    <cellStyle name="Followed Hyperlink" xfId="7374" builtinId="9" hidden="1"/>
    <cellStyle name="Followed Hyperlink" xfId="7375" builtinId="9" hidden="1"/>
    <cellStyle name="Followed Hyperlink" xfId="7376" builtinId="9" hidden="1"/>
    <cellStyle name="Followed Hyperlink" xfId="7377" builtinId="9" hidden="1"/>
    <cellStyle name="Followed Hyperlink" xfId="7378" builtinId="9" hidden="1"/>
    <cellStyle name="Followed Hyperlink" xfId="7379" builtinId="9" hidden="1"/>
    <cellStyle name="Followed Hyperlink" xfId="7380" builtinId="9" hidden="1"/>
    <cellStyle name="Followed Hyperlink" xfId="7381" builtinId="9" hidden="1"/>
    <cellStyle name="Followed Hyperlink" xfId="7382" builtinId="9" hidden="1"/>
    <cellStyle name="Followed Hyperlink" xfId="7383" builtinId="9" hidden="1"/>
    <cellStyle name="Followed Hyperlink" xfId="7384" builtinId="9" hidden="1"/>
    <cellStyle name="Followed Hyperlink" xfId="7385" builtinId="9" hidden="1"/>
    <cellStyle name="Followed Hyperlink" xfId="7386" builtinId="9" hidden="1"/>
    <cellStyle name="Followed Hyperlink" xfId="7387" builtinId="9" hidden="1"/>
    <cellStyle name="Followed Hyperlink" xfId="7388"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000" builtinId="9" hidden="1"/>
    <cellStyle name="Followed Hyperlink" xfId="7369"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6941" builtinId="9" hidden="1"/>
    <cellStyle name="Followed Hyperlink" xfId="6939"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487" builtinId="9" hidden="1"/>
    <cellStyle name="Followed Hyperlink" xfId="6942"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492" builtinId="9" hidden="1"/>
    <cellStyle name="Followed Hyperlink" xfId="761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494" builtinId="9" hidden="1"/>
    <cellStyle name="Followed Hyperlink" xfId="765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488" builtinId="9" hidden="1"/>
    <cellStyle name="Followed Hyperlink" xfId="769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490" builtinId="9" hidden="1"/>
    <cellStyle name="Followed Hyperlink" xfId="773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491" builtinId="9" hidden="1"/>
    <cellStyle name="Followed Hyperlink" xfId="777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493" builtinId="9" hidden="1"/>
    <cellStyle name="Followed Hyperlink" xfId="781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489" builtinId="9" hidden="1"/>
    <cellStyle name="Followed Hyperlink" xfId="7858"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6945" builtinId="9" hidden="1"/>
    <cellStyle name="Followed Hyperlink" xfId="6951"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7964" builtinId="9" hidden="1"/>
    <cellStyle name="Followed Hyperlink" xfId="7965" builtinId="9" hidden="1"/>
    <cellStyle name="Followed Hyperlink" xfId="7966" builtinId="9" hidden="1"/>
    <cellStyle name="Followed Hyperlink" xfId="7967" builtinId="9" hidden="1"/>
    <cellStyle name="Followed Hyperlink" xfId="7968" builtinId="9" hidden="1"/>
    <cellStyle name="Followed Hyperlink" xfId="7969" builtinId="9" hidden="1"/>
    <cellStyle name="Followed Hyperlink" xfId="7970" builtinId="9" hidden="1"/>
    <cellStyle name="Followed Hyperlink" xfId="7971" builtinId="9" hidden="1"/>
    <cellStyle name="Followed Hyperlink" xfId="7972" builtinId="9" hidden="1"/>
    <cellStyle name="Followed Hyperlink" xfId="7973" builtinId="9" hidden="1"/>
    <cellStyle name="Followed Hyperlink" xfId="7974" builtinId="9" hidden="1"/>
    <cellStyle name="Followed Hyperlink" xfId="7975" builtinId="9" hidden="1"/>
    <cellStyle name="Followed Hyperlink" xfId="7984" builtinId="9" hidden="1"/>
    <cellStyle name="Followed Hyperlink" xfId="7985" builtinId="9" hidden="1"/>
    <cellStyle name="Followed Hyperlink" xfId="7986" builtinId="9" hidden="1"/>
    <cellStyle name="Followed Hyperlink" xfId="7987" builtinId="9" hidden="1"/>
    <cellStyle name="Followed Hyperlink" xfId="7988" builtinId="9" hidden="1"/>
    <cellStyle name="Followed Hyperlink" xfId="7989" builtinId="9" hidden="1"/>
    <cellStyle name="Followed Hyperlink" xfId="7990" builtinId="9" hidden="1"/>
    <cellStyle name="Followed Hyperlink" xfId="7991" builtinId="9" hidden="1"/>
    <cellStyle name="Followed Hyperlink" xfId="7992" builtinId="9" hidden="1"/>
    <cellStyle name="Followed Hyperlink" xfId="7993" builtinId="9" hidden="1"/>
    <cellStyle name="Followed Hyperlink" xfId="7994" builtinId="9" hidden="1"/>
    <cellStyle name="Followed Hyperlink" xfId="7995" builtinId="9" hidden="1"/>
    <cellStyle name="Followed Hyperlink" xfId="7996" builtinId="9" hidden="1"/>
    <cellStyle name="Followed Hyperlink" xfId="7997" builtinId="9" hidden="1"/>
    <cellStyle name="Followed Hyperlink" xfId="7998" builtinId="9" hidden="1"/>
    <cellStyle name="Followed Hyperlink" xfId="7999" builtinId="9" hidden="1"/>
    <cellStyle name="Followed Hyperlink" xfId="8000" builtinId="9" hidden="1"/>
    <cellStyle name="Followed Hyperlink" xfId="8001" builtinId="9" hidden="1"/>
    <cellStyle name="Followed Hyperlink" xfId="8002" builtinId="9" hidden="1"/>
    <cellStyle name="Followed Hyperlink" xfId="8003" builtinId="9" hidden="1"/>
    <cellStyle name="Followed Hyperlink" xfId="8004" builtinId="9" hidden="1"/>
    <cellStyle name="Followed Hyperlink" xfId="8005" builtinId="9" hidden="1"/>
    <cellStyle name="Followed Hyperlink" xfId="8006" builtinId="9" hidden="1"/>
    <cellStyle name="Followed Hyperlink" xfId="8007" builtinId="9" hidden="1"/>
    <cellStyle name="Followed Hyperlink" xfId="8008" builtinId="9" hidden="1"/>
    <cellStyle name="Followed Hyperlink" xfId="8009" builtinId="9" hidden="1"/>
    <cellStyle name="Followed Hyperlink" xfId="8010" builtinId="9" hidden="1"/>
    <cellStyle name="Followed Hyperlink" xfId="8011" builtinId="9" hidden="1"/>
    <cellStyle name="Followed Hyperlink" xfId="8012" builtinId="9" hidden="1"/>
    <cellStyle name="Followed Hyperlink" xfId="8013" builtinId="9" hidden="1"/>
    <cellStyle name="Followed Hyperlink" xfId="8014" builtinId="9" hidden="1"/>
    <cellStyle name="Followed Hyperlink" xfId="8015" builtinId="9" hidden="1"/>
    <cellStyle name="Followed Hyperlink" xfId="8016" builtinId="9" hidden="1"/>
    <cellStyle name="Followed Hyperlink" xfId="8017" builtinId="9" hidden="1"/>
    <cellStyle name="Followed Hyperlink" xfId="8018" builtinId="9" hidden="1"/>
    <cellStyle name="Followed Hyperlink" xfId="8019" builtinId="9" hidden="1"/>
    <cellStyle name="Followed Hyperlink" xfId="8020" builtinId="9" hidden="1"/>
    <cellStyle name="Followed Hyperlink" xfId="8021" builtinId="9" hidden="1"/>
    <cellStyle name="Followed Hyperlink" xfId="8022" builtinId="9" hidden="1"/>
    <cellStyle name="Followed Hyperlink" xfId="8023" builtinId="9" hidden="1"/>
    <cellStyle name="Followed Hyperlink" xfId="8024" builtinId="9" hidden="1"/>
    <cellStyle name="Followed Hyperlink" xfId="8025" builtinId="9" hidden="1"/>
    <cellStyle name="Followed Hyperlink" xfId="8026" builtinId="9" hidden="1"/>
    <cellStyle name="Followed Hyperlink" xfId="8027" builtinId="9" hidden="1"/>
    <cellStyle name="Followed Hyperlink" xfId="8028" builtinId="9" hidden="1"/>
    <cellStyle name="Followed Hyperlink" xfId="8029" builtinId="9" hidden="1"/>
    <cellStyle name="Followed Hyperlink" xfId="8030" builtinId="9" hidden="1"/>
    <cellStyle name="Followed Hyperlink" xfId="8031" builtinId="9" hidden="1"/>
    <cellStyle name="Followed Hyperlink" xfId="8032" builtinId="9" hidden="1"/>
    <cellStyle name="Followed Hyperlink" xfId="8033" builtinId="9" hidden="1"/>
    <cellStyle name="Followed Hyperlink" xfId="8034" builtinId="9" hidden="1"/>
    <cellStyle name="Followed Hyperlink" xfId="8035" builtinId="9" hidden="1"/>
    <cellStyle name="Followed Hyperlink" xfId="8036" builtinId="9" hidden="1"/>
    <cellStyle name="Followed Hyperlink" xfId="8037" builtinId="9" hidden="1"/>
    <cellStyle name="Followed Hyperlink" xfId="8038" builtinId="9" hidden="1"/>
    <cellStyle name="Followed Hyperlink" xfId="8039" builtinId="9" hidden="1"/>
    <cellStyle name="Followed Hyperlink" xfId="8040" builtinId="9" hidden="1"/>
    <cellStyle name="Followed Hyperlink" xfId="8041" builtinId="9" hidden="1"/>
    <cellStyle name="Followed Hyperlink" xfId="8042" builtinId="9" hidden="1"/>
    <cellStyle name="Followed Hyperlink" xfId="8043" builtinId="9" hidden="1"/>
    <cellStyle name="Followed Hyperlink" xfId="8044" builtinId="9" hidden="1"/>
    <cellStyle name="Followed Hyperlink" xfId="8045" builtinId="9" hidden="1"/>
    <cellStyle name="Followed Hyperlink" xfId="8046" builtinId="9" hidden="1"/>
    <cellStyle name="Followed Hyperlink" xfId="8047" builtinId="9" hidden="1"/>
    <cellStyle name="Followed Hyperlink" xfId="8048" builtinId="9" hidden="1"/>
    <cellStyle name="Followed Hyperlink" xfId="8049" builtinId="9" hidden="1"/>
    <cellStyle name="Followed Hyperlink" xfId="8050" builtinId="9" hidden="1"/>
    <cellStyle name="Followed Hyperlink" xfId="8051" builtinId="9" hidden="1"/>
    <cellStyle name="Followed Hyperlink" xfId="8052" builtinId="9" hidden="1"/>
    <cellStyle name="Followed Hyperlink" xfId="8053" builtinId="9" hidden="1"/>
    <cellStyle name="Followed Hyperlink" xfId="8054" builtinId="9" hidden="1"/>
    <cellStyle name="Followed Hyperlink" xfId="8055" builtinId="9" hidden="1"/>
    <cellStyle name="Followed Hyperlink" xfId="8056" builtinId="9" hidden="1"/>
    <cellStyle name="Followed Hyperlink" xfId="8057" builtinId="9" hidden="1"/>
    <cellStyle name="Followed Hyperlink" xfId="8058" builtinId="9" hidden="1"/>
    <cellStyle name="Followed Hyperlink" xfId="8059" builtinId="9" hidden="1"/>
    <cellStyle name="Followed Hyperlink" xfId="8060" builtinId="9" hidden="1"/>
    <cellStyle name="Followed Hyperlink" xfId="8061" builtinId="9" hidden="1"/>
    <cellStyle name="Followed Hyperlink" xfId="8062" builtinId="9" hidden="1"/>
    <cellStyle name="Followed Hyperlink" xfId="8063" builtinId="9" hidden="1"/>
    <cellStyle name="Followed Hyperlink" xfId="8064" builtinId="9" hidden="1"/>
    <cellStyle name="Followed Hyperlink" xfId="8065" builtinId="9" hidden="1"/>
    <cellStyle name="Followed Hyperlink" xfId="8066" builtinId="9" hidden="1"/>
    <cellStyle name="Followed Hyperlink" xfId="8067" builtinId="9" hidden="1"/>
    <cellStyle name="Followed Hyperlink" xfId="8068" builtinId="9" hidden="1"/>
    <cellStyle name="Followed Hyperlink" xfId="8069" builtinId="9" hidden="1"/>
    <cellStyle name="Followed Hyperlink" xfId="8070" builtinId="9" hidden="1"/>
    <cellStyle name="Followed Hyperlink" xfId="8071" builtinId="9" hidden="1"/>
    <cellStyle name="Followed Hyperlink" xfId="8072" builtinId="9" hidden="1"/>
    <cellStyle name="Followed Hyperlink" xfId="8073" builtinId="9" hidden="1"/>
    <cellStyle name="Followed Hyperlink" xfId="8074" builtinId="9" hidden="1"/>
    <cellStyle name="Followed Hyperlink" xfId="8075" builtinId="9" hidden="1"/>
    <cellStyle name="Followed Hyperlink" xfId="8076" builtinId="9" hidden="1"/>
    <cellStyle name="Followed Hyperlink" xfId="8077" builtinId="9" hidden="1"/>
    <cellStyle name="Followed Hyperlink" xfId="8078" builtinId="9" hidden="1"/>
    <cellStyle name="Followed Hyperlink" xfId="8079" builtinId="9" hidden="1"/>
    <cellStyle name="Followed Hyperlink" xfId="8080" builtinId="9" hidden="1"/>
    <cellStyle name="Followed Hyperlink" xfId="8081" builtinId="9" hidden="1"/>
    <cellStyle name="Followed Hyperlink" xfId="8082" builtinId="9" hidden="1"/>
    <cellStyle name="Followed Hyperlink" xfId="8083" builtinId="9" hidden="1"/>
    <cellStyle name="Followed Hyperlink" xfId="8084" builtinId="9" hidden="1"/>
    <cellStyle name="Followed Hyperlink" xfId="8085" builtinId="9" hidden="1"/>
    <cellStyle name="Followed Hyperlink" xfId="8086" builtinId="9" hidden="1"/>
    <cellStyle name="Followed Hyperlink" xfId="8087" builtinId="9" hidden="1"/>
    <cellStyle name="Followed Hyperlink" xfId="8088" builtinId="9" hidden="1"/>
    <cellStyle name="Followed Hyperlink" xfId="8089" builtinId="9" hidden="1"/>
    <cellStyle name="Followed Hyperlink" xfId="8090" builtinId="9" hidden="1"/>
    <cellStyle name="Followed Hyperlink" xfId="8091" builtinId="9" hidden="1"/>
    <cellStyle name="Followed Hyperlink" xfId="8092" builtinId="9" hidden="1"/>
    <cellStyle name="Followed Hyperlink" xfId="8093" builtinId="9" hidden="1"/>
    <cellStyle name="Followed Hyperlink" xfId="8094" builtinId="9" hidden="1"/>
    <cellStyle name="Followed Hyperlink" xfId="8095" builtinId="9" hidden="1"/>
    <cellStyle name="Followed Hyperlink" xfId="8096" builtinId="9" hidden="1"/>
    <cellStyle name="Followed Hyperlink" xfId="8097" builtinId="9" hidden="1"/>
    <cellStyle name="Followed Hyperlink" xfId="8098" builtinId="9" hidden="1"/>
    <cellStyle name="Followed Hyperlink" xfId="8099" builtinId="9" hidden="1"/>
    <cellStyle name="Followed Hyperlink" xfId="8100" builtinId="9" hidden="1"/>
    <cellStyle name="Followed Hyperlink" xfId="8101" builtinId="9" hidden="1"/>
    <cellStyle name="Followed Hyperlink" xfId="8102" builtinId="9" hidden="1"/>
    <cellStyle name="Followed Hyperlink" xfId="8103" builtinId="9" hidden="1"/>
    <cellStyle name="Followed Hyperlink" xfId="8104" builtinId="9" hidden="1"/>
    <cellStyle name="Followed Hyperlink" xfId="8105" builtinId="9" hidden="1"/>
    <cellStyle name="Followed Hyperlink" xfId="8106" builtinId="9" hidden="1"/>
    <cellStyle name="Followed Hyperlink" xfId="7976" builtinId="9" hidden="1"/>
    <cellStyle name="Followed Hyperlink" xfId="6949" builtinId="9" hidden="1"/>
    <cellStyle name="Followed Hyperlink" xfId="8108" builtinId="9" hidden="1"/>
    <cellStyle name="Followed Hyperlink" xfId="8109" builtinId="9" hidden="1"/>
    <cellStyle name="Followed Hyperlink" xfId="8110" builtinId="9" hidden="1"/>
    <cellStyle name="Followed Hyperlink" xfId="8111" builtinId="9" hidden="1"/>
    <cellStyle name="Followed Hyperlink" xfId="8112" builtinId="9" hidden="1"/>
    <cellStyle name="Followed Hyperlink" xfId="8113" builtinId="9" hidden="1"/>
    <cellStyle name="Followed Hyperlink" xfId="8114" builtinId="9" hidden="1"/>
    <cellStyle name="Followed Hyperlink" xfId="8115" builtinId="9" hidden="1"/>
    <cellStyle name="Followed Hyperlink" xfId="8116" builtinId="9" hidden="1"/>
    <cellStyle name="Followed Hyperlink" xfId="8117" builtinId="9" hidden="1"/>
    <cellStyle name="Followed Hyperlink" xfId="8118" builtinId="9" hidden="1"/>
    <cellStyle name="Followed Hyperlink" xfId="8119" builtinId="9" hidden="1"/>
    <cellStyle name="Followed Hyperlink" xfId="8120" builtinId="9" hidden="1"/>
    <cellStyle name="Followed Hyperlink" xfId="8121" builtinId="9" hidden="1"/>
    <cellStyle name="Followed Hyperlink" xfId="8122" builtinId="9" hidden="1"/>
    <cellStyle name="Followed Hyperlink" xfId="8123" builtinId="9" hidden="1"/>
    <cellStyle name="Followed Hyperlink" xfId="8124" builtinId="9" hidden="1"/>
    <cellStyle name="Followed Hyperlink" xfId="8125" builtinId="9" hidden="1"/>
    <cellStyle name="Followed Hyperlink" xfId="8126" builtinId="9" hidden="1"/>
    <cellStyle name="Followed Hyperlink" xfId="8127" builtinId="9" hidden="1"/>
    <cellStyle name="Followed Hyperlink" xfId="8128" builtinId="9" hidden="1"/>
    <cellStyle name="Followed Hyperlink" xfId="8129" builtinId="9" hidden="1"/>
    <cellStyle name="Followed Hyperlink" xfId="8130" builtinId="9" hidden="1"/>
    <cellStyle name="Followed Hyperlink" xfId="8131" builtinId="9" hidden="1"/>
    <cellStyle name="Followed Hyperlink" xfId="8132" builtinId="9" hidden="1"/>
    <cellStyle name="Followed Hyperlink" xfId="8133" builtinId="9" hidden="1"/>
    <cellStyle name="Followed Hyperlink" xfId="8134" builtinId="9" hidden="1"/>
    <cellStyle name="Followed Hyperlink" xfId="8135" builtinId="9" hidden="1"/>
    <cellStyle name="Followed Hyperlink" xfId="8136" builtinId="9" hidden="1"/>
    <cellStyle name="Followed Hyperlink" xfId="8137" builtinId="9" hidden="1"/>
    <cellStyle name="Followed Hyperlink" xfId="8138" builtinId="9" hidden="1"/>
    <cellStyle name="Followed Hyperlink" xfId="8139" builtinId="9" hidden="1"/>
    <cellStyle name="Followed Hyperlink" xfId="8140" builtinId="9" hidden="1"/>
    <cellStyle name="Followed Hyperlink" xfId="8141" builtinId="9" hidden="1"/>
    <cellStyle name="Followed Hyperlink" xfId="8142" builtinId="9" hidden="1"/>
    <cellStyle name="Followed Hyperlink" xfId="8143" builtinId="9" hidden="1"/>
    <cellStyle name="Followed Hyperlink" xfId="8144" builtinId="9" hidden="1"/>
    <cellStyle name="Followed Hyperlink" xfId="8145" builtinId="9" hidden="1"/>
    <cellStyle name="Followed Hyperlink" xfId="8146" builtinId="9" hidden="1"/>
    <cellStyle name="Followed Hyperlink" xfId="7981" builtinId="9" hidden="1"/>
    <cellStyle name="Followed Hyperlink" xfId="8107" builtinId="9" hidden="1"/>
    <cellStyle name="Followed Hyperlink" xfId="8148" builtinId="9" hidden="1"/>
    <cellStyle name="Followed Hyperlink" xfId="8149" builtinId="9" hidden="1"/>
    <cellStyle name="Followed Hyperlink" xfId="8150" builtinId="9" hidden="1"/>
    <cellStyle name="Followed Hyperlink" xfId="8151" builtinId="9" hidden="1"/>
    <cellStyle name="Followed Hyperlink" xfId="8152" builtinId="9" hidden="1"/>
    <cellStyle name="Followed Hyperlink" xfId="8153" builtinId="9" hidden="1"/>
    <cellStyle name="Followed Hyperlink" xfId="8154" builtinId="9" hidden="1"/>
    <cellStyle name="Followed Hyperlink" xfId="8155" builtinId="9" hidden="1"/>
    <cellStyle name="Followed Hyperlink" xfId="8156" builtinId="9" hidden="1"/>
    <cellStyle name="Followed Hyperlink" xfId="8157" builtinId="9" hidden="1"/>
    <cellStyle name="Followed Hyperlink" xfId="8158" builtinId="9" hidden="1"/>
    <cellStyle name="Followed Hyperlink" xfId="8159" builtinId="9" hidden="1"/>
    <cellStyle name="Followed Hyperlink" xfId="8160" builtinId="9" hidden="1"/>
    <cellStyle name="Followed Hyperlink" xfId="8161" builtinId="9" hidden="1"/>
    <cellStyle name="Followed Hyperlink" xfId="8162" builtinId="9" hidden="1"/>
    <cellStyle name="Followed Hyperlink" xfId="8163" builtinId="9" hidden="1"/>
    <cellStyle name="Followed Hyperlink" xfId="8164" builtinId="9" hidden="1"/>
    <cellStyle name="Followed Hyperlink" xfId="8165" builtinId="9" hidden="1"/>
    <cellStyle name="Followed Hyperlink" xfId="8166" builtinId="9" hidden="1"/>
    <cellStyle name="Followed Hyperlink" xfId="8167" builtinId="9" hidden="1"/>
    <cellStyle name="Followed Hyperlink" xfId="8168" builtinId="9" hidden="1"/>
    <cellStyle name="Followed Hyperlink" xfId="8169" builtinId="9" hidden="1"/>
    <cellStyle name="Followed Hyperlink" xfId="8170" builtinId="9" hidden="1"/>
    <cellStyle name="Followed Hyperlink" xfId="8171" builtinId="9" hidden="1"/>
    <cellStyle name="Followed Hyperlink" xfId="8172" builtinId="9" hidden="1"/>
    <cellStyle name="Followed Hyperlink" xfId="8173" builtinId="9" hidden="1"/>
    <cellStyle name="Followed Hyperlink" xfId="8174" builtinId="9" hidden="1"/>
    <cellStyle name="Followed Hyperlink" xfId="8175" builtinId="9" hidden="1"/>
    <cellStyle name="Followed Hyperlink" xfId="8176" builtinId="9" hidden="1"/>
    <cellStyle name="Followed Hyperlink" xfId="8177" builtinId="9" hidden="1"/>
    <cellStyle name="Followed Hyperlink" xfId="8178" builtinId="9" hidden="1"/>
    <cellStyle name="Followed Hyperlink" xfId="8179" builtinId="9" hidden="1"/>
    <cellStyle name="Followed Hyperlink" xfId="8180" builtinId="9" hidden="1"/>
    <cellStyle name="Followed Hyperlink" xfId="8181" builtinId="9" hidden="1"/>
    <cellStyle name="Followed Hyperlink" xfId="8182" builtinId="9" hidden="1"/>
    <cellStyle name="Followed Hyperlink" xfId="8183" builtinId="9" hidden="1"/>
    <cellStyle name="Followed Hyperlink" xfId="8184" builtinId="9" hidden="1"/>
    <cellStyle name="Followed Hyperlink" xfId="8185" builtinId="9" hidden="1"/>
    <cellStyle name="Followed Hyperlink" xfId="8186" builtinId="9" hidden="1"/>
    <cellStyle name="Followed Hyperlink" xfId="7983" builtinId="9" hidden="1"/>
    <cellStyle name="Followed Hyperlink" xfId="8147" builtinId="9" hidden="1"/>
    <cellStyle name="Followed Hyperlink" xfId="8188" builtinId="9" hidden="1"/>
    <cellStyle name="Followed Hyperlink" xfId="8189" builtinId="9" hidden="1"/>
    <cellStyle name="Followed Hyperlink" xfId="8190" builtinId="9" hidden="1"/>
    <cellStyle name="Followed Hyperlink" xfId="8191" builtinId="9" hidden="1"/>
    <cellStyle name="Followed Hyperlink" xfId="8192" builtinId="9" hidden="1"/>
    <cellStyle name="Followed Hyperlink" xfId="8193" builtinId="9" hidden="1"/>
    <cellStyle name="Followed Hyperlink" xfId="8194" builtinId="9" hidden="1"/>
    <cellStyle name="Followed Hyperlink" xfId="8195" builtinId="9" hidden="1"/>
    <cellStyle name="Followed Hyperlink" xfId="8196" builtinId="9" hidden="1"/>
    <cellStyle name="Followed Hyperlink" xfId="8197" builtinId="9" hidden="1"/>
    <cellStyle name="Followed Hyperlink" xfId="8198" builtinId="9" hidden="1"/>
    <cellStyle name="Followed Hyperlink" xfId="8199" builtinId="9" hidden="1"/>
    <cellStyle name="Followed Hyperlink" xfId="8200" builtinId="9" hidden="1"/>
    <cellStyle name="Followed Hyperlink" xfId="8201" builtinId="9" hidden="1"/>
    <cellStyle name="Followed Hyperlink" xfId="8202" builtinId="9" hidden="1"/>
    <cellStyle name="Followed Hyperlink" xfId="8203" builtinId="9" hidden="1"/>
    <cellStyle name="Followed Hyperlink" xfId="8204" builtinId="9" hidden="1"/>
    <cellStyle name="Followed Hyperlink" xfId="8205" builtinId="9" hidden="1"/>
    <cellStyle name="Followed Hyperlink" xfId="8206" builtinId="9" hidden="1"/>
    <cellStyle name="Followed Hyperlink" xfId="8207" builtinId="9" hidden="1"/>
    <cellStyle name="Followed Hyperlink" xfId="8208" builtinId="9" hidden="1"/>
    <cellStyle name="Followed Hyperlink" xfId="8209" builtinId="9" hidden="1"/>
    <cellStyle name="Followed Hyperlink" xfId="8210" builtinId="9" hidden="1"/>
    <cellStyle name="Followed Hyperlink" xfId="8211" builtinId="9" hidden="1"/>
    <cellStyle name="Followed Hyperlink" xfId="8212" builtinId="9" hidden="1"/>
    <cellStyle name="Followed Hyperlink" xfId="8213" builtinId="9" hidden="1"/>
    <cellStyle name="Followed Hyperlink" xfId="8214" builtinId="9" hidden="1"/>
    <cellStyle name="Followed Hyperlink" xfId="8215" builtinId="9" hidden="1"/>
    <cellStyle name="Followed Hyperlink" xfId="8216" builtinId="9" hidden="1"/>
    <cellStyle name="Followed Hyperlink" xfId="8217" builtinId="9" hidden="1"/>
    <cellStyle name="Followed Hyperlink" xfId="8218" builtinId="9" hidden="1"/>
    <cellStyle name="Followed Hyperlink" xfId="8219" builtinId="9" hidden="1"/>
    <cellStyle name="Followed Hyperlink" xfId="8220" builtinId="9" hidden="1"/>
    <cellStyle name="Followed Hyperlink" xfId="8221" builtinId="9" hidden="1"/>
    <cellStyle name="Followed Hyperlink" xfId="8222" builtinId="9" hidden="1"/>
    <cellStyle name="Followed Hyperlink" xfId="8223" builtinId="9" hidden="1"/>
    <cellStyle name="Followed Hyperlink" xfId="8224" builtinId="9" hidden="1"/>
    <cellStyle name="Followed Hyperlink" xfId="8225" builtinId="9" hidden="1"/>
    <cellStyle name="Followed Hyperlink" xfId="8226" builtinId="9" hidden="1"/>
    <cellStyle name="Followed Hyperlink" xfId="7977" builtinId="9" hidden="1"/>
    <cellStyle name="Followed Hyperlink" xfId="8187" builtinId="9" hidden="1"/>
    <cellStyle name="Followed Hyperlink" xfId="8228" builtinId="9" hidden="1"/>
    <cellStyle name="Followed Hyperlink" xfId="8229" builtinId="9" hidden="1"/>
    <cellStyle name="Followed Hyperlink" xfId="8230" builtinId="9" hidden="1"/>
    <cellStyle name="Followed Hyperlink" xfId="8231" builtinId="9" hidden="1"/>
    <cellStyle name="Followed Hyperlink" xfId="8232" builtinId="9" hidden="1"/>
    <cellStyle name="Followed Hyperlink" xfId="8233" builtinId="9" hidden="1"/>
    <cellStyle name="Followed Hyperlink" xfId="8234" builtinId="9" hidden="1"/>
    <cellStyle name="Followed Hyperlink" xfId="8235" builtinId="9" hidden="1"/>
    <cellStyle name="Followed Hyperlink" xfId="8236" builtinId="9" hidden="1"/>
    <cellStyle name="Followed Hyperlink" xfId="8237" builtinId="9" hidden="1"/>
    <cellStyle name="Followed Hyperlink" xfId="8238" builtinId="9" hidden="1"/>
    <cellStyle name="Followed Hyperlink" xfId="8239" builtinId="9" hidden="1"/>
    <cellStyle name="Followed Hyperlink" xfId="8240" builtinId="9" hidden="1"/>
    <cellStyle name="Followed Hyperlink" xfId="8241" builtinId="9" hidden="1"/>
    <cellStyle name="Followed Hyperlink" xfId="8242" builtinId="9" hidden="1"/>
    <cellStyle name="Followed Hyperlink" xfId="8243" builtinId="9" hidden="1"/>
    <cellStyle name="Followed Hyperlink" xfId="8244" builtinId="9" hidden="1"/>
    <cellStyle name="Followed Hyperlink" xfId="8245" builtinId="9" hidden="1"/>
    <cellStyle name="Followed Hyperlink" xfId="8246" builtinId="9" hidden="1"/>
    <cellStyle name="Followed Hyperlink" xfId="8247" builtinId="9" hidden="1"/>
    <cellStyle name="Followed Hyperlink" xfId="8248" builtinId="9" hidden="1"/>
    <cellStyle name="Followed Hyperlink" xfId="8249" builtinId="9" hidden="1"/>
    <cellStyle name="Followed Hyperlink" xfId="8250" builtinId="9" hidden="1"/>
    <cellStyle name="Followed Hyperlink" xfId="8251" builtinId="9" hidden="1"/>
    <cellStyle name="Followed Hyperlink" xfId="8252" builtinId="9" hidden="1"/>
    <cellStyle name="Followed Hyperlink" xfId="8253" builtinId="9" hidden="1"/>
    <cellStyle name="Followed Hyperlink" xfId="8254" builtinId="9" hidden="1"/>
    <cellStyle name="Followed Hyperlink" xfId="8255" builtinId="9" hidden="1"/>
    <cellStyle name="Followed Hyperlink" xfId="8256" builtinId="9" hidden="1"/>
    <cellStyle name="Followed Hyperlink" xfId="8257" builtinId="9" hidden="1"/>
    <cellStyle name="Followed Hyperlink" xfId="8258" builtinId="9" hidden="1"/>
    <cellStyle name="Followed Hyperlink" xfId="8259" builtinId="9" hidden="1"/>
    <cellStyle name="Followed Hyperlink" xfId="8260" builtinId="9" hidden="1"/>
    <cellStyle name="Followed Hyperlink" xfId="8261" builtinId="9" hidden="1"/>
    <cellStyle name="Followed Hyperlink" xfId="8262" builtinId="9" hidden="1"/>
    <cellStyle name="Followed Hyperlink" xfId="8263" builtinId="9" hidden="1"/>
    <cellStyle name="Followed Hyperlink" xfId="8264" builtinId="9" hidden="1"/>
    <cellStyle name="Followed Hyperlink" xfId="8265" builtinId="9" hidden="1"/>
    <cellStyle name="Followed Hyperlink" xfId="8266" builtinId="9" hidden="1"/>
    <cellStyle name="Followed Hyperlink" xfId="7979" builtinId="9" hidden="1"/>
    <cellStyle name="Followed Hyperlink" xfId="8227" builtinId="9" hidden="1"/>
    <cellStyle name="Followed Hyperlink" xfId="8268" builtinId="9" hidden="1"/>
    <cellStyle name="Followed Hyperlink" xfId="8269" builtinId="9" hidden="1"/>
    <cellStyle name="Followed Hyperlink" xfId="8270" builtinId="9" hidden="1"/>
    <cellStyle name="Followed Hyperlink" xfId="8271" builtinId="9" hidden="1"/>
    <cellStyle name="Followed Hyperlink" xfId="8272" builtinId="9" hidden="1"/>
    <cellStyle name="Followed Hyperlink" xfId="8273" builtinId="9" hidden="1"/>
    <cellStyle name="Followed Hyperlink" xfId="8274" builtinId="9" hidden="1"/>
    <cellStyle name="Followed Hyperlink" xfId="8275" builtinId="9" hidden="1"/>
    <cellStyle name="Followed Hyperlink" xfId="8276" builtinId="9" hidden="1"/>
    <cellStyle name="Followed Hyperlink" xfId="8277" builtinId="9" hidden="1"/>
    <cellStyle name="Followed Hyperlink" xfId="8278" builtinId="9" hidden="1"/>
    <cellStyle name="Followed Hyperlink" xfId="8279" builtinId="9" hidden="1"/>
    <cellStyle name="Followed Hyperlink" xfId="8280" builtinId="9" hidden="1"/>
    <cellStyle name="Followed Hyperlink" xfId="8281" builtinId="9" hidden="1"/>
    <cellStyle name="Followed Hyperlink" xfId="8282" builtinId="9" hidden="1"/>
    <cellStyle name="Followed Hyperlink" xfId="8283" builtinId="9" hidden="1"/>
    <cellStyle name="Followed Hyperlink" xfId="8284" builtinId="9" hidden="1"/>
    <cellStyle name="Followed Hyperlink" xfId="8285" builtinId="9" hidden="1"/>
    <cellStyle name="Followed Hyperlink" xfId="8286" builtinId="9" hidden="1"/>
    <cellStyle name="Followed Hyperlink" xfId="8287" builtinId="9" hidden="1"/>
    <cellStyle name="Followed Hyperlink" xfId="8288" builtinId="9" hidden="1"/>
    <cellStyle name="Followed Hyperlink" xfId="8289" builtinId="9" hidden="1"/>
    <cellStyle name="Followed Hyperlink" xfId="8290" builtinId="9" hidden="1"/>
    <cellStyle name="Followed Hyperlink" xfId="8291" builtinId="9" hidden="1"/>
    <cellStyle name="Followed Hyperlink" xfId="8292" builtinId="9" hidden="1"/>
    <cellStyle name="Followed Hyperlink" xfId="8293" builtinId="9" hidden="1"/>
    <cellStyle name="Followed Hyperlink" xfId="8294" builtinId="9" hidden="1"/>
    <cellStyle name="Followed Hyperlink" xfId="8295" builtinId="9" hidden="1"/>
    <cellStyle name="Followed Hyperlink" xfId="8296" builtinId="9" hidden="1"/>
    <cellStyle name="Followed Hyperlink" xfId="8297" builtinId="9" hidden="1"/>
    <cellStyle name="Followed Hyperlink" xfId="8298" builtinId="9" hidden="1"/>
    <cellStyle name="Followed Hyperlink" xfId="8299" builtinId="9" hidden="1"/>
    <cellStyle name="Followed Hyperlink" xfId="8300" builtinId="9" hidden="1"/>
    <cellStyle name="Followed Hyperlink" xfId="8301" builtinId="9" hidden="1"/>
    <cellStyle name="Followed Hyperlink" xfId="8302" builtinId="9" hidden="1"/>
    <cellStyle name="Followed Hyperlink" xfId="8303" builtinId="9" hidden="1"/>
    <cellStyle name="Followed Hyperlink" xfId="8304" builtinId="9" hidden="1"/>
    <cellStyle name="Followed Hyperlink" xfId="8305" builtinId="9" hidden="1"/>
    <cellStyle name="Followed Hyperlink" xfId="8306" builtinId="9" hidden="1"/>
    <cellStyle name="Followed Hyperlink" xfId="7980" builtinId="9" hidden="1"/>
    <cellStyle name="Followed Hyperlink" xfId="8267" builtinId="9" hidden="1"/>
    <cellStyle name="Followed Hyperlink" xfId="8308" builtinId="9" hidden="1"/>
    <cellStyle name="Followed Hyperlink" xfId="8309" builtinId="9" hidden="1"/>
    <cellStyle name="Followed Hyperlink" xfId="8310" builtinId="9" hidden="1"/>
    <cellStyle name="Followed Hyperlink" xfId="8311" builtinId="9" hidden="1"/>
    <cellStyle name="Followed Hyperlink" xfId="8312" builtinId="9" hidden="1"/>
    <cellStyle name="Followed Hyperlink" xfId="8313" builtinId="9" hidden="1"/>
    <cellStyle name="Followed Hyperlink" xfId="8314" builtinId="9" hidden="1"/>
    <cellStyle name="Followed Hyperlink" xfId="8315" builtinId="9" hidden="1"/>
    <cellStyle name="Followed Hyperlink" xfId="8316" builtinId="9" hidden="1"/>
    <cellStyle name="Followed Hyperlink" xfId="8317" builtinId="9" hidden="1"/>
    <cellStyle name="Followed Hyperlink" xfId="8318" builtinId="9" hidden="1"/>
    <cellStyle name="Followed Hyperlink" xfId="8319" builtinId="9" hidden="1"/>
    <cellStyle name="Followed Hyperlink" xfId="8320" builtinId="9" hidden="1"/>
    <cellStyle name="Followed Hyperlink" xfId="8321" builtinId="9" hidden="1"/>
    <cellStyle name="Followed Hyperlink" xfId="8322" builtinId="9" hidden="1"/>
    <cellStyle name="Followed Hyperlink" xfId="8323" builtinId="9" hidden="1"/>
    <cellStyle name="Followed Hyperlink" xfId="8324" builtinId="9" hidden="1"/>
    <cellStyle name="Followed Hyperlink" xfId="8325" builtinId="9" hidden="1"/>
    <cellStyle name="Followed Hyperlink" xfId="8326" builtinId="9" hidden="1"/>
    <cellStyle name="Followed Hyperlink" xfId="8327" builtinId="9" hidden="1"/>
    <cellStyle name="Followed Hyperlink" xfId="8328" builtinId="9" hidden="1"/>
    <cellStyle name="Followed Hyperlink" xfId="8329" builtinId="9" hidden="1"/>
    <cellStyle name="Followed Hyperlink" xfId="8330" builtinId="9" hidden="1"/>
    <cellStyle name="Followed Hyperlink" xfId="8331" builtinId="9" hidden="1"/>
    <cellStyle name="Followed Hyperlink" xfId="8332" builtinId="9" hidden="1"/>
    <cellStyle name="Followed Hyperlink" xfId="8333" builtinId="9" hidden="1"/>
    <cellStyle name="Followed Hyperlink" xfId="8334" builtinId="9" hidden="1"/>
    <cellStyle name="Followed Hyperlink" xfId="8335" builtinId="9" hidden="1"/>
    <cellStyle name="Followed Hyperlink" xfId="8336" builtinId="9" hidden="1"/>
    <cellStyle name="Followed Hyperlink" xfId="8337" builtinId="9" hidden="1"/>
    <cellStyle name="Followed Hyperlink" xfId="8338" builtinId="9" hidden="1"/>
    <cellStyle name="Followed Hyperlink" xfId="8339" builtinId="9" hidden="1"/>
    <cellStyle name="Followed Hyperlink" xfId="8340" builtinId="9" hidden="1"/>
    <cellStyle name="Followed Hyperlink" xfId="8341" builtinId="9" hidden="1"/>
    <cellStyle name="Followed Hyperlink" xfId="8342" builtinId="9" hidden="1"/>
    <cellStyle name="Followed Hyperlink" xfId="8343" builtinId="9" hidden="1"/>
    <cellStyle name="Followed Hyperlink" xfId="8344" builtinId="9" hidden="1"/>
    <cellStyle name="Followed Hyperlink" xfId="8345" builtinId="9" hidden="1"/>
    <cellStyle name="Followed Hyperlink" xfId="8346" builtinId="9" hidden="1"/>
    <cellStyle name="Followed Hyperlink" xfId="7982" builtinId="9" hidden="1"/>
    <cellStyle name="Followed Hyperlink" xfId="8307" builtinId="9" hidden="1"/>
    <cellStyle name="Followed Hyperlink" xfId="8348" builtinId="9" hidden="1"/>
    <cellStyle name="Followed Hyperlink" xfId="8349" builtinId="9" hidden="1"/>
    <cellStyle name="Followed Hyperlink" xfId="8350" builtinId="9" hidden="1"/>
    <cellStyle name="Followed Hyperlink" xfId="8351" builtinId="9" hidden="1"/>
    <cellStyle name="Followed Hyperlink" xfId="8352" builtinId="9" hidden="1"/>
    <cellStyle name="Followed Hyperlink" xfId="8353" builtinId="9" hidden="1"/>
    <cellStyle name="Followed Hyperlink" xfId="8354" builtinId="9" hidden="1"/>
    <cellStyle name="Followed Hyperlink" xfId="8355" builtinId="9" hidden="1"/>
    <cellStyle name="Followed Hyperlink" xfId="8356" builtinId="9" hidden="1"/>
    <cellStyle name="Followed Hyperlink" xfId="8357" builtinId="9" hidden="1"/>
    <cellStyle name="Followed Hyperlink" xfId="8358" builtinId="9" hidden="1"/>
    <cellStyle name="Followed Hyperlink" xfId="8359" builtinId="9" hidden="1"/>
    <cellStyle name="Followed Hyperlink" xfId="8360" builtinId="9" hidden="1"/>
    <cellStyle name="Followed Hyperlink" xfId="8361" builtinId="9" hidden="1"/>
    <cellStyle name="Followed Hyperlink" xfId="8362" builtinId="9" hidden="1"/>
    <cellStyle name="Followed Hyperlink" xfId="8363" builtinId="9" hidden="1"/>
    <cellStyle name="Followed Hyperlink" xfId="8364" builtinId="9" hidden="1"/>
    <cellStyle name="Followed Hyperlink" xfId="8365" builtinId="9" hidden="1"/>
    <cellStyle name="Followed Hyperlink" xfId="8366" builtinId="9" hidden="1"/>
    <cellStyle name="Followed Hyperlink" xfId="8367" builtinId="9" hidden="1"/>
    <cellStyle name="Followed Hyperlink" xfId="8368" builtinId="9" hidden="1"/>
    <cellStyle name="Followed Hyperlink" xfId="8369" builtinId="9" hidden="1"/>
    <cellStyle name="Followed Hyperlink" xfId="8370" builtinId="9" hidden="1"/>
    <cellStyle name="Followed Hyperlink" xfId="8371" builtinId="9" hidden="1"/>
    <cellStyle name="Followed Hyperlink" xfId="8372" builtinId="9" hidden="1"/>
    <cellStyle name="Followed Hyperlink" xfId="8373" builtinId="9" hidden="1"/>
    <cellStyle name="Followed Hyperlink" xfId="8374" builtinId="9" hidden="1"/>
    <cellStyle name="Followed Hyperlink" xfId="8375" builtinId="9" hidden="1"/>
    <cellStyle name="Followed Hyperlink" xfId="8376" builtinId="9" hidden="1"/>
    <cellStyle name="Followed Hyperlink" xfId="8377" builtinId="9" hidden="1"/>
    <cellStyle name="Followed Hyperlink" xfId="8378" builtinId="9" hidden="1"/>
    <cellStyle name="Followed Hyperlink" xfId="8379" builtinId="9" hidden="1"/>
    <cellStyle name="Followed Hyperlink" xfId="8380" builtinId="9" hidden="1"/>
    <cellStyle name="Followed Hyperlink" xfId="8381" builtinId="9" hidden="1"/>
    <cellStyle name="Followed Hyperlink" xfId="8382" builtinId="9" hidden="1"/>
    <cellStyle name="Followed Hyperlink" xfId="8383" builtinId="9" hidden="1"/>
    <cellStyle name="Followed Hyperlink" xfId="8384" builtinId="9" hidden="1"/>
    <cellStyle name="Followed Hyperlink" xfId="8385" builtinId="9" hidden="1"/>
    <cellStyle name="Followed Hyperlink" xfId="8386" builtinId="9" hidden="1"/>
    <cellStyle name="Followed Hyperlink" xfId="7978" builtinId="9" hidden="1"/>
    <cellStyle name="Followed Hyperlink" xfId="8347" builtinId="9" hidden="1"/>
    <cellStyle name="Followed Hyperlink" xfId="8387" builtinId="9" hidden="1"/>
    <cellStyle name="Followed Hyperlink" xfId="8388" builtinId="9" hidden="1"/>
    <cellStyle name="Followed Hyperlink" xfId="8389" builtinId="9" hidden="1"/>
    <cellStyle name="Followed Hyperlink" xfId="8390" builtinId="9" hidden="1"/>
    <cellStyle name="Followed Hyperlink" xfId="8391" builtinId="9" hidden="1"/>
    <cellStyle name="Followed Hyperlink" xfId="8392" builtinId="9" hidden="1"/>
    <cellStyle name="Followed Hyperlink" xfId="8393" builtinId="9" hidden="1"/>
    <cellStyle name="Followed Hyperlink" xfId="8394" builtinId="9" hidden="1"/>
    <cellStyle name="Followed Hyperlink" xfId="8395" builtinId="9" hidden="1"/>
    <cellStyle name="Followed Hyperlink" xfId="8396" builtinId="9" hidden="1"/>
    <cellStyle name="Followed Hyperlink" xfId="8397" builtinId="9" hidden="1"/>
    <cellStyle name="Followed Hyperlink" xfId="8398" builtinId="9" hidden="1"/>
    <cellStyle name="Followed Hyperlink" xfId="8399" builtinId="9" hidden="1"/>
    <cellStyle name="Followed Hyperlink" xfId="8400" builtinId="9" hidden="1"/>
    <cellStyle name="Followed Hyperlink" xfId="8401" builtinId="9" hidden="1"/>
    <cellStyle name="Followed Hyperlink" xfId="8402" builtinId="9" hidden="1"/>
    <cellStyle name="Followed Hyperlink" xfId="8403" builtinId="9" hidden="1"/>
    <cellStyle name="Followed Hyperlink" xfId="8404" builtinId="9" hidden="1"/>
    <cellStyle name="Followed Hyperlink" xfId="8405" builtinId="9" hidden="1"/>
    <cellStyle name="Followed Hyperlink" xfId="8406" builtinId="9" hidden="1"/>
    <cellStyle name="Followed Hyperlink" xfId="8407" builtinId="9" hidden="1"/>
    <cellStyle name="Followed Hyperlink" xfId="8408" builtinId="9" hidden="1"/>
    <cellStyle name="Followed Hyperlink" xfId="8409" builtinId="9" hidden="1"/>
    <cellStyle name="Followed Hyperlink" xfId="8410" builtinId="9" hidden="1"/>
    <cellStyle name="Followed Hyperlink" xfId="8411" builtinId="9" hidden="1"/>
    <cellStyle name="Followed Hyperlink" xfId="8412" builtinId="9" hidden="1"/>
    <cellStyle name="Followed Hyperlink" xfId="8413" builtinId="9" hidden="1"/>
    <cellStyle name="Followed Hyperlink" xfId="8414" builtinId="9" hidden="1"/>
    <cellStyle name="Followed Hyperlink" xfId="8415" builtinId="9" hidden="1"/>
    <cellStyle name="Followed Hyperlink" xfId="8416" builtinId="9" hidden="1"/>
    <cellStyle name="Followed Hyperlink" xfId="8417" builtinId="9" hidden="1"/>
    <cellStyle name="Followed Hyperlink" xfId="8418" builtinId="9" hidden="1"/>
    <cellStyle name="Followed Hyperlink" xfId="8419" builtinId="9" hidden="1"/>
    <cellStyle name="Followed Hyperlink" xfId="8420" builtinId="9" hidden="1"/>
    <cellStyle name="Followed Hyperlink" xfId="8421" builtinId="9" hidden="1"/>
    <cellStyle name="Followed Hyperlink" xfId="8422" builtinId="9" hidden="1"/>
    <cellStyle name="Followed Hyperlink" xfId="8423" builtinId="9" hidden="1"/>
    <cellStyle name="Followed Hyperlink" xfId="8424" builtinId="9" hidden="1"/>
    <cellStyle name="Followed Hyperlink" xfId="8425" builtinId="9" hidden="1"/>
    <cellStyle name="Followed Hyperlink" xfId="8426" builtinId="9" hidden="1"/>
    <cellStyle name="Followed Hyperlink" xfId="8427" builtinId="9" hidden="1"/>
    <cellStyle name="Followed Hyperlink" xfId="8428" builtinId="9" hidden="1"/>
    <cellStyle name="Followed Hyperlink" xfId="8429" builtinId="9" hidden="1"/>
    <cellStyle name="Followed Hyperlink" xfId="8430" builtinId="9" hidden="1"/>
    <cellStyle name="Followed Hyperlink" xfId="8431" builtinId="9" hidden="1"/>
    <cellStyle name="Followed Hyperlink" xfId="8432" builtinId="9" hidden="1"/>
    <cellStyle name="Followed Hyperlink" xfId="8433" builtinId="9" hidden="1"/>
    <cellStyle name="Followed Hyperlink" xfId="8434" builtinId="9" hidden="1"/>
    <cellStyle name="Followed Hyperlink" xfId="8435" builtinId="9" hidden="1"/>
    <cellStyle name="Followed Hyperlink" xfId="8436" builtinId="9" hidden="1"/>
    <cellStyle name="Followed Hyperlink" xfId="8437" builtinId="9" hidden="1"/>
    <cellStyle name="Followed Hyperlink" xfId="8438" builtinId="9" hidden="1"/>
    <cellStyle name="Followed Hyperlink" xfId="8439" builtinId="9" hidden="1"/>
    <cellStyle name="Followed Hyperlink" xfId="8440" builtinId="9" hidden="1"/>
    <cellStyle name="Followed Hyperlink" xfId="8441" builtinId="9" hidden="1"/>
    <cellStyle name="Followed Hyperlink" xfId="8442" builtinId="9" hidden="1"/>
    <cellStyle name="Followed Hyperlink" xfId="8443" builtinId="9" hidden="1"/>
    <cellStyle name="Followed Hyperlink" xfId="8444" builtinId="9" hidden="1"/>
    <cellStyle name="Followed Hyperlink" xfId="8445" builtinId="9" hidden="1"/>
    <cellStyle name="Followed Hyperlink" xfId="8446" builtinId="9" hidden="1"/>
    <cellStyle name="Followed Hyperlink" xfId="8447" builtinId="9" hidden="1"/>
    <cellStyle name="Followed Hyperlink" xfId="8448" builtinId="9" hidden="1"/>
    <cellStyle name="Followed Hyperlink" xfId="8449" builtinId="9" hidden="1"/>
    <cellStyle name="Followed Hyperlink" xfId="8450" builtinId="9" hidden="1"/>
    <cellStyle name="Followed Hyperlink" xfId="8451" builtinId="9" hidden="1"/>
    <cellStyle name="Followed Hyperlink" xfId="8452" builtinId="9" hidden="1"/>
    <cellStyle name="Followed Hyperlink" xfId="8453" builtinId="9" hidden="1"/>
    <cellStyle name="Followed Hyperlink" xfId="8454" builtinId="9" hidden="1"/>
    <cellStyle name="Followed Hyperlink" xfId="8455" builtinId="9" hidden="1"/>
    <cellStyle name="Followed Hyperlink" xfId="8456" builtinId="9" hidden="1"/>
    <cellStyle name="Followed Hyperlink" xfId="8457" builtinId="9" hidden="1"/>
    <cellStyle name="Followed Hyperlink" xfId="8458" builtinId="9" hidden="1"/>
    <cellStyle name="Followed Hyperlink" xfId="8459" builtinId="9" hidden="1"/>
    <cellStyle name="Followed Hyperlink" xfId="8460" builtinId="9" hidden="1"/>
    <cellStyle name="Followed Hyperlink" xfId="8461" builtinId="9" hidden="1"/>
    <cellStyle name="Followed Hyperlink" xfId="8462" builtinId="9" hidden="1"/>
    <cellStyle name="Followed Hyperlink" xfId="8463" builtinId="9" hidden="1"/>
    <cellStyle name="Followed Hyperlink" xfId="8464" builtinId="9" hidden="1"/>
    <cellStyle name="Followed Hyperlink" xfId="8465" builtinId="9" hidden="1"/>
    <cellStyle name="Followed Hyperlink" xfId="8466"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8566" builtinId="9" hidden="1"/>
    <cellStyle name="Followed Hyperlink" xfId="8567"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467" builtinId="9" hidden="1"/>
    <cellStyle name="Followed Hyperlink" xfId="6954"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472" builtinId="9" hidden="1"/>
    <cellStyle name="Followed Hyperlink" xfId="859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474" builtinId="9" hidden="1"/>
    <cellStyle name="Followed Hyperlink" xfId="863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468" builtinId="9" hidden="1"/>
    <cellStyle name="Followed Hyperlink" xfId="867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470" builtinId="9" hidden="1"/>
    <cellStyle name="Followed Hyperlink" xfId="871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471" builtinId="9" hidden="1"/>
    <cellStyle name="Followed Hyperlink" xfId="875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473" builtinId="9" hidden="1"/>
    <cellStyle name="Followed Hyperlink" xfId="879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469" builtinId="9" hidden="1"/>
    <cellStyle name="Followed Hyperlink" xfId="8838"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6950" builtinId="9" hidden="1"/>
    <cellStyle name="Followed Hyperlink" xfId="6948"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8956" builtinId="9" hidden="1"/>
    <cellStyle name="Followed Hyperlink" xfId="6956"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8961" builtinId="9" hidden="1"/>
    <cellStyle name="Followed Hyperlink" xfId="908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143" builtinId="9" hidden="1"/>
    <cellStyle name="Followed Hyperlink" xfId="9144" builtinId="9" hidden="1"/>
    <cellStyle name="Followed Hyperlink" xfId="9145" builtinId="9" hidden="1"/>
    <cellStyle name="Followed Hyperlink" xfId="9146" builtinId="9" hidden="1"/>
    <cellStyle name="Followed Hyperlink" xfId="9147" builtinId="9" hidden="1"/>
    <cellStyle name="Followed Hyperlink" xfId="9148" builtinId="9" hidden="1"/>
    <cellStyle name="Followed Hyperlink" xfId="9149" builtinId="9" hidden="1"/>
    <cellStyle name="Followed Hyperlink" xfId="9150" builtinId="9" hidden="1"/>
    <cellStyle name="Followed Hyperlink" xfId="9151" builtinId="9" hidden="1"/>
    <cellStyle name="Followed Hyperlink" xfId="9152" builtinId="9" hidden="1"/>
    <cellStyle name="Followed Hyperlink" xfId="9153" builtinId="9" hidden="1"/>
    <cellStyle name="Followed Hyperlink" xfId="9154" builtinId="9" hidden="1"/>
    <cellStyle name="Followed Hyperlink" xfId="9155" builtinId="9" hidden="1"/>
    <cellStyle name="Followed Hyperlink" xfId="9156" builtinId="9" hidden="1"/>
    <cellStyle name="Followed Hyperlink" xfId="9157" builtinId="9" hidden="1"/>
    <cellStyle name="Followed Hyperlink" xfId="9158" builtinId="9" hidden="1"/>
    <cellStyle name="Followed Hyperlink" xfId="9159" builtinId="9" hidden="1"/>
    <cellStyle name="Followed Hyperlink" xfId="9160" builtinId="9" hidden="1"/>
    <cellStyle name="Followed Hyperlink" xfId="9161" builtinId="9" hidden="1"/>
    <cellStyle name="Followed Hyperlink" xfId="9162" builtinId="9" hidden="1"/>
    <cellStyle name="Followed Hyperlink" xfId="9163" builtinId="9" hidden="1"/>
    <cellStyle name="Followed Hyperlink" xfId="9164" builtinId="9" hidden="1"/>
    <cellStyle name="Followed Hyperlink" xfId="9165" builtinId="9" hidden="1"/>
    <cellStyle name="Followed Hyperlink" xfId="9166" builtinId="9" hidden="1"/>
    <cellStyle name="Followed Hyperlink" xfId="8963" builtinId="9" hidden="1"/>
    <cellStyle name="Followed Hyperlink" xfId="9127" builtinId="9" hidden="1"/>
    <cellStyle name="Followed Hyperlink" xfId="9168" builtinId="9" hidden="1"/>
    <cellStyle name="Followed Hyperlink" xfId="9169" builtinId="9" hidden="1"/>
    <cellStyle name="Followed Hyperlink" xfId="9170" builtinId="9" hidden="1"/>
    <cellStyle name="Followed Hyperlink" xfId="9171" builtinId="9" hidden="1"/>
    <cellStyle name="Followed Hyperlink" xfId="9172" builtinId="9" hidden="1"/>
    <cellStyle name="Followed Hyperlink" xfId="9173" builtinId="9" hidden="1"/>
    <cellStyle name="Followed Hyperlink" xfId="9174" builtinId="9" hidden="1"/>
    <cellStyle name="Followed Hyperlink" xfId="9175" builtinId="9" hidden="1"/>
    <cellStyle name="Followed Hyperlink" xfId="9176" builtinId="9" hidden="1"/>
    <cellStyle name="Followed Hyperlink" xfId="9177" builtinId="9" hidden="1"/>
    <cellStyle name="Followed Hyperlink" xfId="9178" builtinId="9" hidden="1"/>
    <cellStyle name="Followed Hyperlink" xfId="9179" builtinId="9" hidden="1"/>
    <cellStyle name="Followed Hyperlink" xfId="9180" builtinId="9" hidden="1"/>
    <cellStyle name="Followed Hyperlink" xfId="9181" builtinId="9" hidden="1"/>
    <cellStyle name="Followed Hyperlink" xfId="9182" builtinId="9" hidden="1"/>
    <cellStyle name="Followed Hyperlink" xfId="9183" builtinId="9" hidden="1"/>
    <cellStyle name="Followed Hyperlink" xfId="9184" builtinId="9" hidden="1"/>
    <cellStyle name="Followed Hyperlink" xfId="9185" builtinId="9" hidden="1"/>
    <cellStyle name="Followed Hyperlink" xfId="9186" builtinId="9" hidden="1"/>
    <cellStyle name="Followed Hyperlink" xfId="9187" builtinId="9" hidden="1"/>
    <cellStyle name="Followed Hyperlink" xfId="9188" builtinId="9" hidden="1"/>
    <cellStyle name="Followed Hyperlink" xfId="9189" builtinId="9" hidden="1"/>
    <cellStyle name="Followed Hyperlink" xfId="9190" builtinId="9" hidden="1"/>
    <cellStyle name="Followed Hyperlink" xfId="9191" builtinId="9" hidden="1"/>
    <cellStyle name="Followed Hyperlink" xfId="9192" builtinId="9" hidden="1"/>
    <cellStyle name="Followed Hyperlink" xfId="9193" builtinId="9" hidden="1"/>
    <cellStyle name="Followed Hyperlink" xfId="9194" builtinId="9" hidden="1"/>
    <cellStyle name="Followed Hyperlink" xfId="9195" builtinId="9" hidden="1"/>
    <cellStyle name="Followed Hyperlink" xfId="9196" builtinId="9" hidden="1"/>
    <cellStyle name="Followed Hyperlink" xfId="9197" builtinId="9" hidden="1"/>
    <cellStyle name="Followed Hyperlink" xfId="9198" builtinId="9" hidden="1"/>
    <cellStyle name="Followed Hyperlink" xfId="9199" builtinId="9" hidden="1"/>
    <cellStyle name="Followed Hyperlink" xfId="9200" builtinId="9" hidden="1"/>
    <cellStyle name="Followed Hyperlink" xfId="9201" builtinId="9" hidden="1"/>
    <cellStyle name="Followed Hyperlink" xfId="9202" builtinId="9" hidden="1"/>
    <cellStyle name="Followed Hyperlink" xfId="9203" builtinId="9" hidden="1"/>
    <cellStyle name="Followed Hyperlink" xfId="9204" builtinId="9" hidden="1"/>
    <cellStyle name="Followed Hyperlink" xfId="9205" builtinId="9" hidden="1"/>
    <cellStyle name="Followed Hyperlink" xfId="9206" builtinId="9" hidden="1"/>
    <cellStyle name="Followed Hyperlink" xfId="8957" builtinId="9" hidden="1"/>
    <cellStyle name="Followed Hyperlink" xfId="9167" builtinId="9" hidden="1"/>
    <cellStyle name="Followed Hyperlink" xfId="9208" builtinId="9" hidden="1"/>
    <cellStyle name="Followed Hyperlink" xfId="9209" builtinId="9" hidden="1"/>
    <cellStyle name="Followed Hyperlink" xfId="9210" builtinId="9" hidden="1"/>
    <cellStyle name="Followed Hyperlink" xfId="9211" builtinId="9" hidden="1"/>
    <cellStyle name="Followed Hyperlink" xfId="9212" builtinId="9" hidden="1"/>
    <cellStyle name="Followed Hyperlink" xfId="9213" builtinId="9" hidden="1"/>
    <cellStyle name="Followed Hyperlink" xfId="9214" builtinId="9" hidden="1"/>
    <cellStyle name="Followed Hyperlink" xfId="9215" builtinId="9" hidden="1"/>
    <cellStyle name="Followed Hyperlink" xfId="9216" builtinId="9" hidden="1"/>
    <cellStyle name="Followed Hyperlink" xfId="9217" builtinId="9" hidden="1"/>
    <cellStyle name="Followed Hyperlink" xfId="9218" builtinId="9" hidden="1"/>
    <cellStyle name="Followed Hyperlink" xfId="9219" builtinId="9" hidden="1"/>
    <cellStyle name="Followed Hyperlink" xfId="9220" builtinId="9" hidden="1"/>
    <cellStyle name="Followed Hyperlink" xfId="9221" builtinId="9" hidden="1"/>
    <cellStyle name="Followed Hyperlink" xfId="9222" builtinId="9" hidden="1"/>
    <cellStyle name="Followed Hyperlink" xfId="9223" builtinId="9" hidden="1"/>
    <cellStyle name="Followed Hyperlink" xfId="9224" builtinId="9" hidden="1"/>
    <cellStyle name="Followed Hyperlink" xfId="9225" builtinId="9" hidden="1"/>
    <cellStyle name="Followed Hyperlink" xfId="9226" builtinId="9" hidden="1"/>
    <cellStyle name="Followed Hyperlink" xfId="9227" builtinId="9" hidden="1"/>
    <cellStyle name="Followed Hyperlink" xfId="9228" builtinId="9" hidden="1"/>
    <cellStyle name="Followed Hyperlink" xfId="9229" builtinId="9" hidden="1"/>
    <cellStyle name="Followed Hyperlink" xfId="9230" builtinId="9" hidden="1"/>
    <cellStyle name="Followed Hyperlink" xfId="9231" builtinId="9" hidden="1"/>
    <cellStyle name="Followed Hyperlink" xfId="9232" builtinId="9" hidden="1"/>
    <cellStyle name="Followed Hyperlink" xfId="9233" builtinId="9" hidden="1"/>
    <cellStyle name="Followed Hyperlink" xfId="9234" builtinId="9" hidden="1"/>
    <cellStyle name="Followed Hyperlink" xfId="9235" builtinId="9" hidden="1"/>
    <cellStyle name="Followed Hyperlink" xfId="9236" builtinId="9" hidden="1"/>
    <cellStyle name="Followed Hyperlink" xfId="9237" builtinId="9" hidden="1"/>
    <cellStyle name="Followed Hyperlink" xfId="9238" builtinId="9" hidden="1"/>
    <cellStyle name="Followed Hyperlink" xfId="9239" builtinId="9" hidden="1"/>
    <cellStyle name="Followed Hyperlink" xfId="9240" builtinId="9" hidden="1"/>
    <cellStyle name="Followed Hyperlink" xfId="9241" builtinId="9" hidden="1"/>
    <cellStyle name="Followed Hyperlink" xfId="9242" builtinId="9" hidden="1"/>
    <cellStyle name="Followed Hyperlink" xfId="9243" builtinId="9" hidden="1"/>
    <cellStyle name="Followed Hyperlink" xfId="9244" builtinId="9" hidden="1"/>
    <cellStyle name="Followed Hyperlink" xfId="9245" builtinId="9" hidden="1"/>
    <cellStyle name="Followed Hyperlink" xfId="9246" builtinId="9" hidden="1"/>
    <cellStyle name="Followed Hyperlink" xfId="8959" builtinId="9" hidden="1"/>
    <cellStyle name="Followed Hyperlink" xfId="9207" builtinId="9" hidden="1"/>
    <cellStyle name="Followed Hyperlink" xfId="9248" builtinId="9" hidden="1"/>
    <cellStyle name="Followed Hyperlink" xfId="9249" builtinId="9" hidden="1"/>
    <cellStyle name="Followed Hyperlink" xfId="9250" builtinId="9" hidden="1"/>
    <cellStyle name="Followed Hyperlink" xfId="9251" builtinId="9" hidden="1"/>
    <cellStyle name="Followed Hyperlink" xfId="9252" builtinId="9" hidden="1"/>
    <cellStyle name="Followed Hyperlink" xfId="9253" builtinId="9" hidden="1"/>
    <cellStyle name="Followed Hyperlink" xfId="9254" builtinId="9" hidden="1"/>
    <cellStyle name="Followed Hyperlink" xfId="9255" builtinId="9" hidden="1"/>
    <cellStyle name="Followed Hyperlink" xfId="9256" builtinId="9" hidden="1"/>
    <cellStyle name="Followed Hyperlink" xfId="9257" builtinId="9" hidden="1"/>
    <cellStyle name="Followed Hyperlink" xfId="9258" builtinId="9" hidden="1"/>
    <cellStyle name="Followed Hyperlink" xfId="9259" builtinId="9" hidden="1"/>
    <cellStyle name="Followed Hyperlink" xfId="9260" builtinId="9" hidden="1"/>
    <cellStyle name="Followed Hyperlink" xfId="9261" builtinId="9" hidden="1"/>
    <cellStyle name="Followed Hyperlink" xfId="9262" builtinId="9" hidden="1"/>
    <cellStyle name="Followed Hyperlink" xfId="9263" builtinId="9" hidden="1"/>
    <cellStyle name="Followed Hyperlink" xfId="9264" builtinId="9" hidden="1"/>
    <cellStyle name="Followed Hyperlink" xfId="9265" builtinId="9" hidden="1"/>
    <cellStyle name="Followed Hyperlink" xfId="9266" builtinId="9" hidden="1"/>
    <cellStyle name="Followed Hyperlink" xfId="9267" builtinId="9" hidden="1"/>
    <cellStyle name="Followed Hyperlink" xfId="9268" builtinId="9" hidden="1"/>
    <cellStyle name="Followed Hyperlink" xfId="9269" builtinId="9" hidden="1"/>
    <cellStyle name="Followed Hyperlink" xfId="9270" builtinId="9" hidden="1"/>
    <cellStyle name="Followed Hyperlink" xfId="9271" builtinId="9" hidden="1"/>
    <cellStyle name="Followed Hyperlink" xfId="9272" builtinId="9" hidden="1"/>
    <cellStyle name="Followed Hyperlink" xfId="9273" builtinId="9" hidden="1"/>
    <cellStyle name="Followed Hyperlink" xfId="9274" builtinId="9" hidden="1"/>
    <cellStyle name="Followed Hyperlink" xfId="9275" builtinId="9" hidden="1"/>
    <cellStyle name="Followed Hyperlink" xfId="9276" builtinId="9" hidden="1"/>
    <cellStyle name="Followed Hyperlink" xfId="9277" builtinId="9" hidden="1"/>
    <cellStyle name="Followed Hyperlink" xfId="9278" builtinId="9" hidden="1"/>
    <cellStyle name="Followed Hyperlink" xfId="9279" builtinId="9" hidden="1"/>
    <cellStyle name="Followed Hyperlink" xfId="9280" builtinId="9" hidden="1"/>
    <cellStyle name="Followed Hyperlink" xfId="9281" builtinId="9" hidden="1"/>
    <cellStyle name="Followed Hyperlink" xfId="9282" builtinId="9" hidden="1"/>
    <cellStyle name="Followed Hyperlink" xfId="9283" builtinId="9" hidden="1"/>
    <cellStyle name="Followed Hyperlink" xfId="9284" builtinId="9" hidden="1"/>
    <cellStyle name="Followed Hyperlink" xfId="9285" builtinId="9" hidden="1"/>
    <cellStyle name="Followed Hyperlink" xfId="9286" builtinId="9" hidden="1"/>
    <cellStyle name="Followed Hyperlink" xfId="8960" builtinId="9" hidden="1"/>
    <cellStyle name="Followed Hyperlink" xfId="9247" builtinId="9" hidden="1"/>
    <cellStyle name="Followed Hyperlink" xfId="9288" builtinId="9" hidden="1"/>
    <cellStyle name="Followed Hyperlink" xfId="9289" builtinId="9" hidden="1"/>
    <cellStyle name="Followed Hyperlink" xfId="9290" builtinId="9" hidden="1"/>
    <cellStyle name="Followed Hyperlink" xfId="9291" builtinId="9" hidden="1"/>
    <cellStyle name="Followed Hyperlink" xfId="9292" builtinId="9" hidden="1"/>
    <cellStyle name="Followed Hyperlink" xfId="9293" builtinId="9" hidden="1"/>
    <cellStyle name="Followed Hyperlink" xfId="9294" builtinId="9" hidden="1"/>
    <cellStyle name="Followed Hyperlink" xfId="9295" builtinId="9" hidden="1"/>
    <cellStyle name="Followed Hyperlink" xfId="9296" builtinId="9" hidden="1"/>
    <cellStyle name="Followed Hyperlink" xfId="9297" builtinId="9" hidden="1"/>
    <cellStyle name="Followed Hyperlink" xfId="9298" builtinId="9" hidden="1"/>
    <cellStyle name="Followed Hyperlink" xfId="9299" builtinId="9" hidden="1"/>
    <cellStyle name="Followed Hyperlink" xfId="9300" builtinId="9" hidden="1"/>
    <cellStyle name="Followed Hyperlink" xfId="9301" builtinId="9" hidden="1"/>
    <cellStyle name="Followed Hyperlink" xfId="9302" builtinId="9" hidden="1"/>
    <cellStyle name="Followed Hyperlink" xfId="9303" builtinId="9" hidden="1"/>
    <cellStyle name="Followed Hyperlink" xfId="9304" builtinId="9" hidden="1"/>
    <cellStyle name="Followed Hyperlink" xfId="9305" builtinId="9" hidden="1"/>
    <cellStyle name="Followed Hyperlink" xfId="9306" builtinId="9" hidden="1"/>
    <cellStyle name="Followed Hyperlink" xfId="9307" builtinId="9" hidden="1"/>
    <cellStyle name="Followed Hyperlink" xfId="9308" builtinId="9" hidden="1"/>
    <cellStyle name="Followed Hyperlink" xfId="9309" builtinId="9" hidden="1"/>
    <cellStyle name="Followed Hyperlink" xfId="9310" builtinId="9" hidden="1"/>
    <cellStyle name="Followed Hyperlink" xfId="9311" builtinId="9" hidden="1"/>
    <cellStyle name="Followed Hyperlink" xfId="9312" builtinId="9" hidden="1"/>
    <cellStyle name="Followed Hyperlink" xfId="9313" builtinId="9" hidden="1"/>
    <cellStyle name="Followed Hyperlink" xfId="9314" builtinId="9" hidden="1"/>
    <cellStyle name="Followed Hyperlink" xfId="9315" builtinId="9" hidden="1"/>
    <cellStyle name="Followed Hyperlink" xfId="9316" builtinId="9" hidden="1"/>
    <cellStyle name="Followed Hyperlink" xfId="9317" builtinId="9" hidden="1"/>
    <cellStyle name="Followed Hyperlink" xfId="9318" builtinId="9" hidden="1"/>
    <cellStyle name="Followed Hyperlink" xfId="9319" builtinId="9" hidden="1"/>
    <cellStyle name="Followed Hyperlink" xfId="9320" builtinId="9" hidden="1"/>
    <cellStyle name="Followed Hyperlink" xfId="9321" builtinId="9" hidden="1"/>
    <cellStyle name="Followed Hyperlink" xfId="9322" builtinId="9" hidden="1"/>
    <cellStyle name="Followed Hyperlink" xfId="9323" builtinId="9" hidden="1"/>
    <cellStyle name="Followed Hyperlink" xfId="9324" builtinId="9" hidden="1"/>
    <cellStyle name="Followed Hyperlink" xfId="9325" builtinId="9" hidden="1"/>
    <cellStyle name="Followed Hyperlink" xfId="9326" builtinId="9" hidden="1"/>
    <cellStyle name="Followed Hyperlink" xfId="8962" builtinId="9" hidden="1"/>
    <cellStyle name="Followed Hyperlink" xfId="9287" builtinId="9" hidden="1"/>
    <cellStyle name="Followed Hyperlink" xfId="9328" builtinId="9" hidden="1"/>
    <cellStyle name="Followed Hyperlink" xfId="9329" builtinId="9" hidden="1"/>
    <cellStyle name="Followed Hyperlink" xfId="9330" builtinId="9" hidden="1"/>
    <cellStyle name="Followed Hyperlink" xfId="9331" builtinId="9" hidden="1"/>
    <cellStyle name="Followed Hyperlink" xfId="9332" builtinId="9" hidden="1"/>
    <cellStyle name="Followed Hyperlink" xfId="9333" builtinId="9" hidden="1"/>
    <cellStyle name="Followed Hyperlink" xfId="9334" builtinId="9" hidden="1"/>
    <cellStyle name="Followed Hyperlink" xfId="9335" builtinId="9" hidden="1"/>
    <cellStyle name="Followed Hyperlink" xfId="9336" builtinId="9" hidden="1"/>
    <cellStyle name="Followed Hyperlink" xfId="9337" builtinId="9" hidden="1"/>
    <cellStyle name="Followed Hyperlink" xfId="9338" builtinId="9" hidden="1"/>
    <cellStyle name="Followed Hyperlink" xfId="9339" builtinId="9" hidden="1"/>
    <cellStyle name="Followed Hyperlink" xfId="9340" builtinId="9" hidden="1"/>
    <cellStyle name="Followed Hyperlink" xfId="9341" builtinId="9" hidden="1"/>
    <cellStyle name="Followed Hyperlink" xfId="9342" builtinId="9" hidden="1"/>
    <cellStyle name="Followed Hyperlink" xfId="9343" builtinId="9" hidden="1"/>
    <cellStyle name="Followed Hyperlink" xfId="9344" builtinId="9" hidden="1"/>
    <cellStyle name="Followed Hyperlink" xfId="9345" builtinId="9" hidden="1"/>
    <cellStyle name="Followed Hyperlink" xfId="9346" builtinId="9" hidden="1"/>
    <cellStyle name="Followed Hyperlink" xfId="9347" builtinId="9" hidden="1"/>
    <cellStyle name="Followed Hyperlink" xfId="9348" builtinId="9" hidden="1"/>
    <cellStyle name="Followed Hyperlink" xfId="9349" builtinId="9" hidden="1"/>
    <cellStyle name="Followed Hyperlink" xfId="9350" builtinId="9" hidden="1"/>
    <cellStyle name="Followed Hyperlink" xfId="9351" builtinId="9" hidden="1"/>
    <cellStyle name="Followed Hyperlink" xfId="9352" builtinId="9" hidden="1"/>
    <cellStyle name="Followed Hyperlink" xfId="9353" builtinId="9" hidden="1"/>
    <cellStyle name="Followed Hyperlink" xfId="9354" builtinId="9" hidden="1"/>
    <cellStyle name="Followed Hyperlink" xfId="9355" builtinId="9" hidden="1"/>
    <cellStyle name="Followed Hyperlink" xfId="9356" builtinId="9" hidden="1"/>
    <cellStyle name="Followed Hyperlink" xfId="9357" builtinId="9" hidden="1"/>
    <cellStyle name="Followed Hyperlink" xfId="9358" builtinId="9" hidden="1"/>
    <cellStyle name="Followed Hyperlink" xfId="9359" builtinId="9" hidden="1"/>
    <cellStyle name="Followed Hyperlink" xfId="9360" builtinId="9" hidden="1"/>
    <cellStyle name="Followed Hyperlink" xfId="9361" builtinId="9" hidden="1"/>
    <cellStyle name="Followed Hyperlink" xfId="9362" builtinId="9" hidden="1"/>
    <cellStyle name="Followed Hyperlink" xfId="9363" builtinId="9" hidden="1"/>
    <cellStyle name="Followed Hyperlink" xfId="9364" builtinId="9" hidden="1"/>
    <cellStyle name="Followed Hyperlink" xfId="9365" builtinId="9" hidden="1"/>
    <cellStyle name="Followed Hyperlink" xfId="9366" builtinId="9" hidden="1"/>
    <cellStyle name="Followed Hyperlink" xfId="8958" builtinId="9" hidden="1"/>
    <cellStyle name="Followed Hyperlink" xfId="9327" builtinId="9" hidden="1"/>
    <cellStyle name="Followed Hyperlink" xfId="9367" builtinId="9" hidden="1"/>
    <cellStyle name="Followed Hyperlink" xfId="9368" builtinId="9" hidden="1"/>
    <cellStyle name="Followed Hyperlink" xfId="9369" builtinId="9" hidden="1"/>
    <cellStyle name="Followed Hyperlink" xfId="9370" builtinId="9" hidden="1"/>
    <cellStyle name="Followed Hyperlink" xfId="9371" builtinId="9" hidden="1"/>
    <cellStyle name="Followed Hyperlink" xfId="9372" builtinId="9" hidden="1"/>
    <cellStyle name="Followed Hyperlink" xfId="9373" builtinId="9" hidden="1"/>
    <cellStyle name="Followed Hyperlink" xfId="9374" builtinId="9" hidden="1"/>
    <cellStyle name="Followed Hyperlink" xfId="9375" builtinId="9" hidden="1"/>
    <cellStyle name="Followed Hyperlink" xfId="9376" builtinId="9" hidden="1"/>
    <cellStyle name="Followed Hyperlink" xfId="9377" builtinId="9" hidden="1"/>
    <cellStyle name="Followed Hyperlink" xfId="9378" builtinId="9" hidden="1"/>
    <cellStyle name="Followed Hyperlink" xfId="9379" builtinId="9" hidden="1"/>
    <cellStyle name="Followed Hyperlink" xfId="9380" builtinId="9" hidden="1"/>
    <cellStyle name="Followed Hyperlink" xfId="9381" builtinId="9" hidden="1"/>
    <cellStyle name="Followed Hyperlink" xfId="9382" builtinId="9" hidden="1"/>
    <cellStyle name="Followed Hyperlink" xfId="9383" builtinId="9" hidden="1"/>
    <cellStyle name="Followed Hyperlink" xfId="9384" builtinId="9" hidden="1"/>
    <cellStyle name="Followed Hyperlink" xfId="9385" builtinId="9" hidden="1"/>
    <cellStyle name="Followed Hyperlink" xfId="9386" builtinId="9" hidden="1"/>
    <cellStyle name="Followed Hyperlink" xfId="9387" builtinId="9" hidden="1"/>
    <cellStyle name="Followed Hyperlink" xfId="9388" builtinId="9" hidden="1"/>
    <cellStyle name="Followed Hyperlink" xfId="9389" builtinId="9" hidden="1"/>
    <cellStyle name="Followed Hyperlink" xfId="9390" builtinId="9" hidden="1"/>
    <cellStyle name="Followed Hyperlink" xfId="9391" builtinId="9" hidden="1"/>
    <cellStyle name="Followed Hyperlink" xfId="9392" builtinId="9" hidden="1"/>
    <cellStyle name="Followed Hyperlink" xfId="9393" builtinId="9" hidden="1"/>
    <cellStyle name="Followed Hyperlink" xfId="9394" builtinId="9" hidden="1"/>
    <cellStyle name="Followed Hyperlink" xfId="9395" builtinId="9" hidden="1"/>
    <cellStyle name="Followed Hyperlink" xfId="9396" builtinId="9" hidden="1"/>
    <cellStyle name="Followed Hyperlink" xfId="9397" builtinId="9" hidden="1"/>
    <cellStyle name="Followed Hyperlink" xfId="9398" builtinId="9" hidden="1"/>
    <cellStyle name="Followed Hyperlink" xfId="9399" builtinId="9" hidden="1"/>
    <cellStyle name="Followed Hyperlink" xfId="9400" builtinId="9" hidden="1"/>
    <cellStyle name="Followed Hyperlink" xfId="9401" builtinId="9" hidden="1"/>
    <cellStyle name="Followed Hyperlink" xfId="9402" builtinId="9" hidden="1"/>
    <cellStyle name="Followed Hyperlink" xfId="9403" builtinId="9" hidden="1"/>
    <cellStyle name="Followed Hyperlink" xfId="9404" builtinId="9" hidden="1"/>
    <cellStyle name="Followed Hyperlink" xfId="9405" builtinId="9" hidden="1"/>
    <cellStyle name="Followed Hyperlink" xfId="6940" builtinId="9" hidden="1"/>
    <cellStyle name="Followed Hyperlink" xfId="6944" builtinId="9" hidden="1"/>
    <cellStyle name="Followed Hyperlink" xfId="9406" builtinId="9" hidden="1"/>
    <cellStyle name="Followed Hyperlink" xfId="9407" builtinId="9" hidden="1"/>
    <cellStyle name="Followed Hyperlink" xfId="9408" builtinId="9" hidden="1"/>
    <cellStyle name="Followed Hyperlink" xfId="9409" builtinId="9" hidden="1"/>
    <cellStyle name="Followed Hyperlink" xfId="9410" builtinId="9" hidden="1"/>
    <cellStyle name="Followed Hyperlink" xfId="9411" builtinId="9" hidden="1"/>
    <cellStyle name="Followed Hyperlink" xfId="9412" builtinId="9" hidden="1"/>
    <cellStyle name="Followed Hyperlink" xfId="9413" builtinId="9" hidden="1"/>
    <cellStyle name="Followed Hyperlink" xfId="9414" builtinId="9" hidden="1"/>
    <cellStyle name="Followed Hyperlink" xfId="9415" builtinId="9" hidden="1"/>
    <cellStyle name="Followed Hyperlink" xfId="9416" builtinId="9" hidden="1"/>
    <cellStyle name="Followed Hyperlink" xfId="9417" builtinId="9" hidden="1"/>
    <cellStyle name="Followed Hyperlink" xfId="9418" builtinId="9" hidden="1"/>
    <cellStyle name="Followed Hyperlink" xfId="9419" builtinId="9" hidden="1"/>
    <cellStyle name="Followed Hyperlink" xfId="9420" builtinId="9" hidden="1"/>
    <cellStyle name="Followed Hyperlink" xfId="9421" builtinId="9" hidden="1"/>
    <cellStyle name="Followed Hyperlink" xfId="9422" builtinId="9" hidden="1"/>
    <cellStyle name="Followed Hyperlink" xfId="9423" builtinId="9" hidden="1"/>
    <cellStyle name="Followed Hyperlink" xfId="9424" builtinId="9" hidden="1"/>
    <cellStyle name="Followed Hyperlink" xfId="9425" builtinId="9" hidden="1"/>
    <cellStyle name="Followed Hyperlink" xfId="9426" builtinId="9" hidden="1"/>
    <cellStyle name="Followed Hyperlink" xfId="9427" builtinId="9" hidden="1"/>
    <cellStyle name="Followed Hyperlink" xfId="9428" builtinId="9" hidden="1"/>
    <cellStyle name="Followed Hyperlink" xfId="9429" builtinId="9" hidden="1"/>
    <cellStyle name="Followed Hyperlink" xfId="9430" builtinId="9" hidden="1"/>
    <cellStyle name="Followed Hyperlink" xfId="9431" builtinId="9" hidden="1"/>
    <cellStyle name="Followed Hyperlink" xfId="9432" builtinId="9" hidden="1"/>
    <cellStyle name="Followed Hyperlink" xfId="9433" builtinId="9" hidden="1"/>
    <cellStyle name="Followed Hyperlink" xfId="9434" builtinId="9" hidden="1"/>
    <cellStyle name="Followed Hyperlink" xfId="9435" builtinId="9" hidden="1"/>
    <cellStyle name="Followed Hyperlink" xfId="9436" builtinId="9" hidden="1"/>
    <cellStyle name="Followed Hyperlink" xfId="9437" builtinId="9" hidden="1"/>
    <cellStyle name="Followed Hyperlink" xfId="9438" builtinId="9" hidden="1"/>
    <cellStyle name="Followed Hyperlink" xfId="9439" builtinId="9" hidden="1"/>
    <cellStyle name="Followed Hyperlink" xfId="9440" builtinId="9" hidden="1"/>
    <cellStyle name="Followed Hyperlink" xfId="9441" builtinId="9" hidden="1"/>
    <cellStyle name="Followed Hyperlink" xfId="9442" builtinId="9" hidden="1"/>
    <cellStyle name="Followed Hyperlink" xfId="9443" builtinId="9" hidden="1"/>
    <cellStyle name="Followed Hyperlink" xfId="9444" builtinId="9" hidden="1"/>
    <cellStyle name="Followed Hyperlink" xfId="9453" builtinId="9" hidden="1"/>
    <cellStyle name="Followed Hyperlink" xfId="9454" builtinId="9" hidden="1"/>
    <cellStyle name="Followed Hyperlink" xfId="9455" builtinId="9" hidden="1"/>
    <cellStyle name="Followed Hyperlink" xfId="9456" builtinId="9" hidden="1"/>
    <cellStyle name="Followed Hyperlink" xfId="9457" builtinId="9" hidden="1"/>
    <cellStyle name="Followed Hyperlink" xfId="9458" builtinId="9" hidden="1"/>
    <cellStyle name="Followed Hyperlink" xfId="9459" builtinId="9" hidden="1"/>
    <cellStyle name="Followed Hyperlink" xfId="9460" builtinId="9" hidden="1"/>
    <cellStyle name="Followed Hyperlink" xfId="9461" builtinId="9" hidden="1"/>
    <cellStyle name="Followed Hyperlink" xfId="9462" builtinId="9" hidden="1"/>
    <cellStyle name="Followed Hyperlink" xfId="9463" builtinId="9" hidden="1"/>
    <cellStyle name="Followed Hyperlink" xfId="9464" builtinId="9" hidden="1"/>
    <cellStyle name="Followed Hyperlink" xfId="9465" builtinId="9" hidden="1"/>
    <cellStyle name="Followed Hyperlink" xfId="9466" builtinId="9" hidden="1"/>
    <cellStyle name="Followed Hyperlink" xfId="9467" builtinId="9" hidden="1"/>
    <cellStyle name="Followed Hyperlink" xfId="9468" builtinId="9" hidden="1"/>
    <cellStyle name="Followed Hyperlink" xfId="9469" builtinId="9" hidden="1"/>
    <cellStyle name="Followed Hyperlink" xfId="9470" builtinId="9" hidden="1"/>
    <cellStyle name="Followed Hyperlink" xfId="9471" builtinId="9" hidden="1"/>
    <cellStyle name="Followed Hyperlink" xfId="9472" builtinId="9" hidden="1"/>
    <cellStyle name="Followed Hyperlink" xfId="9473" builtinId="9" hidden="1"/>
    <cellStyle name="Followed Hyperlink" xfId="9474" builtinId="9" hidden="1"/>
    <cellStyle name="Followed Hyperlink" xfId="9475" builtinId="9" hidden="1"/>
    <cellStyle name="Followed Hyperlink" xfId="9476" builtinId="9" hidden="1"/>
    <cellStyle name="Followed Hyperlink" xfId="9477" builtinId="9" hidden="1"/>
    <cellStyle name="Followed Hyperlink" xfId="9478" builtinId="9" hidden="1"/>
    <cellStyle name="Followed Hyperlink" xfId="9479" builtinId="9" hidden="1"/>
    <cellStyle name="Followed Hyperlink" xfId="9480" builtinId="9" hidden="1"/>
    <cellStyle name="Followed Hyperlink" xfId="9481" builtinId="9" hidden="1"/>
    <cellStyle name="Followed Hyperlink" xfId="9482" builtinId="9" hidden="1"/>
    <cellStyle name="Followed Hyperlink" xfId="9483" builtinId="9" hidden="1"/>
    <cellStyle name="Followed Hyperlink" xfId="9484" builtinId="9" hidden="1"/>
    <cellStyle name="Followed Hyperlink" xfId="9485" builtinId="9" hidden="1"/>
    <cellStyle name="Followed Hyperlink" xfId="9486" builtinId="9" hidden="1"/>
    <cellStyle name="Followed Hyperlink" xfId="9487" builtinId="9" hidden="1"/>
    <cellStyle name="Followed Hyperlink" xfId="9488" builtinId="9" hidden="1"/>
    <cellStyle name="Followed Hyperlink" xfId="9489" builtinId="9" hidden="1"/>
    <cellStyle name="Followed Hyperlink" xfId="9490" builtinId="9" hidden="1"/>
    <cellStyle name="Followed Hyperlink" xfId="9491" builtinId="9" hidden="1"/>
    <cellStyle name="Followed Hyperlink" xfId="9492" builtinId="9" hidden="1"/>
    <cellStyle name="Followed Hyperlink" xfId="9493" builtinId="9" hidden="1"/>
    <cellStyle name="Followed Hyperlink" xfId="9494" builtinId="9" hidden="1"/>
    <cellStyle name="Followed Hyperlink" xfId="9495" builtinId="9" hidden="1"/>
    <cellStyle name="Followed Hyperlink" xfId="9496" builtinId="9" hidden="1"/>
    <cellStyle name="Followed Hyperlink" xfId="9497" builtinId="9" hidden="1"/>
    <cellStyle name="Followed Hyperlink" xfId="9498" builtinId="9" hidden="1"/>
    <cellStyle name="Followed Hyperlink" xfId="9499" builtinId="9" hidden="1"/>
    <cellStyle name="Followed Hyperlink" xfId="9500" builtinId="9" hidden="1"/>
    <cellStyle name="Followed Hyperlink" xfId="9501" builtinId="9" hidden="1"/>
    <cellStyle name="Followed Hyperlink" xfId="9502" builtinId="9" hidden="1"/>
    <cellStyle name="Followed Hyperlink" xfId="9503" builtinId="9" hidden="1"/>
    <cellStyle name="Followed Hyperlink" xfId="9504" builtinId="9" hidden="1"/>
    <cellStyle name="Followed Hyperlink" xfId="9505" builtinId="9" hidden="1"/>
    <cellStyle name="Followed Hyperlink" xfId="9506" builtinId="9" hidden="1"/>
    <cellStyle name="Followed Hyperlink" xfId="9507" builtinId="9" hidden="1"/>
    <cellStyle name="Followed Hyperlink" xfId="9508" builtinId="9" hidden="1"/>
    <cellStyle name="Followed Hyperlink" xfId="9509" builtinId="9" hidden="1"/>
    <cellStyle name="Followed Hyperlink" xfId="9510" builtinId="9" hidden="1"/>
    <cellStyle name="Followed Hyperlink" xfId="9511" builtinId="9" hidden="1"/>
    <cellStyle name="Followed Hyperlink" xfId="9512" builtinId="9" hidden="1"/>
    <cellStyle name="Followed Hyperlink" xfId="9513" builtinId="9" hidden="1"/>
    <cellStyle name="Followed Hyperlink" xfId="9514" builtinId="9" hidden="1"/>
    <cellStyle name="Followed Hyperlink" xfId="9515" builtinId="9" hidden="1"/>
    <cellStyle name="Followed Hyperlink" xfId="9516" builtinId="9" hidden="1"/>
    <cellStyle name="Followed Hyperlink" xfId="9517" builtinId="9" hidden="1"/>
    <cellStyle name="Followed Hyperlink" xfId="9518" builtinId="9" hidden="1"/>
    <cellStyle name="Followed Hyperlink" xfId="9519" builtinId="9" hidden="1"/>
    <cellStyle name="Followed Hyperlink" xfId="9520" builtinId="9" hidden="1"/>
    <cellStyle name="Followed Hyperlink" xfId="9521" builtinId="9" hidden="1"/>
    <cellStyle name="Followed Hyperlink" xfId="9522" builtinId="9" hidden="1"/>
    <cellStyle name="Followed Hyperlink" xfId="9523" builtinId="9" hidden="1"/>
    <cellStyle name="Followed Hyperlink" xfId="9524" builtinId="9" hidden="1"/>
    <cellStyle name="Followed Hyperlink" xfId="9525" builtinId="9" hidden="1"/>
    <cellStyle name="Followed Hyperlink" xfId="9526" builtinId="9" hidden="1"/>
    <cellStyle name="Followed Hyperlink" xfId="9527" builtinId="9" hidden="1"/>
    <cellStyle name="Followed Hyperlink" xfId="9528" builtinId="9" hidden="1"/>
    <cellStyle name="Followed Hyperlink" xfId="9529" builtinId="9" hidden="1"/>
    <cellStyle name="Followed Hyperlink" xfId="9530" builtinId="9" hidden="1"/>
    <cellStyle name="Followed Hyperlink" xfId="9531" builtinId="9" hidden="1"/>
    <cellStyle name="Followed Hyperlink" xfId="9532" builtinId="9" hidden="1"/>
    <cellStyle name="Followed Hyperlink" xfId="9533" builtinId="9" hidden="1"/>
    <cellStyle name="Followed Hyperlink" xfId="9534" builtinId="9" hidden="1"/>
    <cellStyle name="Followed Hyperlink" xfId="9535" builtinId="9" hidden="1"/>
    <cellStyle name="Followed Hyperlink" xfId="9536" builtinId="9" hidden="1"/>
    <cellStyle name="Followed Hyperlink" xfId="9537" builtinId="9" hidden="1"/>
    <cellStyle name="Followed Hyperlink" xfId="9538" builtinId="9" hidden="1"/>
    <cellStyle name="Followed Hyperlink" xfId="9539" builtinId="9" hidden="1"/>
    <cellStyle name="Followed Hyperlink" xfId="9540" builtinId="9" hidden="1"/>
    <cellStyle name="Followed Hyperlink" xfId="9541" builtinId="9" hidden="1"/>
    <cellStyle name="Followed Hyperlink" xfId="9542" builtinId="9" hidden="1"/>
    <cellStyle name="Followed Hyperlink" xfId="9543" builtinId="9" hidden="1"/>
    <cellStyle name="Followed Hyperlink" xfId="9544" builtinId="9" hidden="1"/>
    <cellStyle name="Followed Hyperlink" xfId="9545" builtinId="9" hidden="1"/>
    <cellStyle name="Followed Hyperlink" xfId="9546" builtinId="9" hidden="1"/>
    <cellStyle name="Followed Hyperlink" xfId="9547" builtinId="9" hidden="1"/>
    <cellStyle name="Followed Hyperlink" xfId="9548" builtinId="9" hidden="1"/>
    <cellStyle name="Followed Hyperlink" xfId="9549" builtinId="9" hidden="1"/>
    <cellStyle name="Followed Hyperlink" xfId="9550" builtinId="9" hidden="1"/>
    <cellStyle name="Followed Hyperlink" xfId="9551" builtinId="9" hidden="1"/>
    <cellStyle name="Followed Hyperlink" xfId="9552" builtinId="9" hidden="1"/>
    <cellStyle name="Followed Hyperlink" xfId="9553" builtinId="9" hidden="1"/>
    <cellStyle name="Followed Hyperlink" xfId="9554" builtinId="9" hidden="1"/>
    <cellStyle name="Followed Hyperlink" xfId="9555" builtinId="9" hidden="1"/>
    <cellStyle name="Followed Hyperlink" xfId="9556" builtinId="9" hidden="1"/>
    <cellStyle name="Followed Hyperlink" xfId="9557" builtinId="9" hidden="1"/>
    <cellStyle name="Followed Hyperlink" xfId="9558" builtinId="9" hidden="1"/>
    <cellStyle name="Followed Hyperlink" xfId="9559" builtinId="9" hidden="1"/>
    <cellStyle name="Followed Hyperlink" xfId="9560" builtinId="9" hidden="1"/>
    <cellStyle name="Followed Hyperlink" xfId="9561" builtinId="9" hidden="1"/>
    <cellStyle name="Followed Hyperlink" xfId="9562" builtinId="9" hidden="1"/>
    <cellStyle name="Followed Hyperlink" xfId="9563" builtinId="9" hidden="1"/>
    <cellStyle name="Followed Hyperlink" xfId="9564" builtinId="9" hidden="1"/>
    <cellStyle name="Followed Hyperlink" xfId="9565" builtinId="9" hidden="1"/>
    <cellStyle name="Followed Hyperlink" xfId="9566" builtinId="9" hidden="1"/>
    <cellStyle name="Followed Hyperlink" xfId="9567" builtinId="9" hidden="1"/>
    <cellStyle name="Followed Hyperlink" xfId="9568" builtinId="9" hidden="1"/>
    <cellStyle name="Followed Hyperlink" xfId="9569" builtinId="9" hidden="1"/>
    <cellStyle name="Followed Hyperlink" xfId="9570" builtinId="9" hidden="1"/>
    <cellStyle name="Followed Hyperlink" xfId="9571" builtinId="9" hidden="1"/>
    <cellStyle name="Followed Hyperlink" xfId="9572" builtinId="9" hidden="1"/>
    <cellStyle name="Followed Hyperlink" xfId="9573" builtinId="9" hidden="1"/>
    <cellStyle name="Followed Hyperlink" xfId="9574" builtinId="9" hidden="1"/>
    <cellStyle name="Followed Hyperlink" xfId="9575" builtinId="9" hidden="1"/>
    <cellStyle name="Followed Hyperlink" xfId="9445" builtinId="9" hidden="1"/>
    <cellStyle name="Followed Hyperlink" xfId="6952" builtinId="9" hidden="1"/>
    <cellStyle name="Followed Hyperlink" xfId="9577" builtinId="9" hidden="1"/>
    <cellStyle name="Followed Hyperlink" xfId="9578" builtinId="9" hidden="1"/>
    <cellStyle name="Followed Hyperlink" xfId="9579" builtinId="9" hidden="1"/>
    <cellStyle name="Followed Hyperlink" xfId="9580" builtinId="9" hidden="1"/>
    <cellStyle name="Followed Hyperlink" xfId="9581" builtinId="9" hidden="1"/>
    <cellStyle name="Followed Hyperlink" xfId="9582" builtinId="9" hidden="1"/>
    <cellStyle name="Followed Hyperlink" xfId="9583" builtinId="9" hidden="1"/>
    <cellStyle name="Followed Hyperlink" xfId="9584" builtinId="9" hidden="1"/>
    <cellStyle name="Followed Hyperlink" xfId="9585" builtinId="9" hidden="1"/>
    <cellStyle name="Followed Hyperlink" xfId="9586" builtinId="9" hidden="1"/>
    <cellStyle name="Followed Hyperlink" xfId="9587" builtinId="9" hidden="1"/>
    <cellStyle name="Followed Hyperlink" xfId="9588" builtinId="9" hidden="1"/>
    <cellStyle name="Followed Hyperlink" xfId="9589" builtinId="9" hidden="1"/>
    <cellStyle name="Followed Hyperlink" xfId="9590" builtinId="9" hidden="1"/>
    <cellStyle name="Followed Hyperlink" xfId="9591" builtinId="9" hidden="1"/>
    <cellStyle name="Followed Hyperlink" xfId="9592" builtinId="9" hidden="1"/>
    <cellStyle name="Followed Hyperlink" xfId="9593" builtinId="9" hidden="1"/>
    <cellStyle name="Followed Hyperlink" xfId="9594" builtinId="9" hidden="1"/>
    <cellStyle name="Followed Hyperlink" xfId="9595" builtinId="9" hidden="1"/>
    <cellStyle name="Followed Hyperlink" xfId="9596" builtinId="9" hidden="1"/>
    <cellStyle name="Followed Hyperlink" xfId="9597" builtinId="9" hidden="1"/>
    <cellStyle name="Followed Hyperlink" xfId="9598" builtinId="9" hidden="1"/>
    <cellStyle name="Followed Hyperlink" xfId="9599" builtinId="9" hidden="1"/>
    <cellStyle name="Followed Hyperlink" xfId="9600" builtinId="9" hidden="1"/>
    <cellStyle name="Followed Hyperlink" xfId="9601" builtinId="9" hidden="1"/>
    <cellStyle name="Followed Hyperlink" xfId="9602" builtinId="9" hidden="1"/>
    <cellStyle name="Followed Hyperlink" xfId="9603" builtinId="9" hidden="1"/>
    <cellStyle name="Followed Hyperlink" xfId="9604" builtinId="9" hidden="1"/>
    <cellStyle name="Followed Hyperlink" xfId="9605" builtinId="9" hidden="1"/>
    <cellStyle name="Followed Hyperlink" xfId="9606" builtinId="9" hidden="1"/>
    <cellStyle name="Followed Hyperlink" xfId="9607" builtinId="9" hidden="1"/>
    <cellStyle name="Followed Hyperlink" xfId="9608" builtinId="9" hidden="1"/>
    <cellStyle name="Followed Hyperlink" xfId="9609" builtinId="9" hidden="1"/>
    <cellStyle name="Followed Hyperlink" xfId="9610" builtinId="9" hidden="1"/>
    <cellStyle name="Followed Hyperlink" xfId="9611" builtinId="9" hidden="1"/>
    <cellStyle name="Followed Hyperlink" xfId="9612" builtinId="9" hidden="1"/>
    <cellStyle name="Followed Hyperlink" xfId="9613" builtinId="9" hidden="1"/>
    <cellStyle name="Followed Hyperlink" xfId="9614" builtinId="9" hidden="1"/>
    <cellStyle name="Followed Hyperlink" xfId="9615" builtinId="9" hidden="1"/>
    <cellStyle name="Followed Hyperlink" xfId="9450" builtinId="9" hidden="1"/>
    <cellStyle name="Followed Hyperlink" xfId="9576" builtinId="9" hidden="1"/>
    <cellStyle name="Followed Hyperlink" xfId="9617" builtinId="9" hidden="1"/>
    <cellStyle name="Followed Hyperlink" xfId="9618" builtinId="9" hidden="1"/>
    <cellStyle name="Followed Hyperlink" xfId="9619" builtinId="9" hidden="1"/>
    <cellStyle name="Followed Hyperlink" xfId="9620" builtinId="9" hidden="1"/>
    <cellStyle name="Followed Hyperlink" xfId="9621" builtinId="9" hidden="1"/>
    <cellStyle name="Followed Hyperlink" xfId="9622" builtinId="9" hidden="1"/>
    <cellStyle name="Followed Hyperlink" xfId="9623" builtinId="9" hidden="1"/>
    <cellStyle name="Followed Hyperlink" xfId="9624" builtinId="9" hidden="1"/>
    <cellStyle name="Followed Hyperlink" xfId="9625" builtinId="9" hidden="1"/>
    <cellStyle name="Followed Hyperlink" xfId="9626" builtinId="9" hidden="1"/>
    <cellStyle name="Followed Hyperlink" xfId="9627" builtinId="9" hidden="1"/>
    <cellStyle name="Followed Hyperlink" xfId="9628" builtinId="9" hidden="1"/>
    <cellStyle name="Followed Hyperlink" xfId="9629" builtinId="9" hidden="1"/>
    <cellStyle name="Followed Hyperlink" xfId="9630" builtinId="9" hidden="1"/>
    <cellStyle name="Followed Hyperlink" xfId="9631" builtinId="9" hidden="1"/>
    <cellStyle name="Followed Hyperlink" xfId="9632" builtinId="9" hidden="1"/>
    <cellStyle name="Followed Hyperlink" xfId="9633" builtinId="9" hidden="1"/>
    <cellStyle name="Followed Hyperlink" xfId="9634" builtinId="9" hidden="1"/>
    <cellStyle name="Followed Hyperlink" xfId="9635" builtinId="9" hidden="1"/>
    <cellStyle name="Followed Hyperlink" xfId="9636" builtinId="9" hidden="1"/>
    <cellStyle name="Followed Hyperlink" xfId="9637" builtinId="9" hidden="1"/>
    <cellStyle name="Followed Hyperlink" xfId="9638" builtinId="9" hidden="1"/>
    <cellStyle name="Followed Hyperlink" xfId="9639" builtinId="9" hidden="1"/>
    <cellStyle name="Followed Hyperlink" xfId="9640" builtinId="9" hidden="1"/>
    <cellStyle name="Followed Hyperlink" xfId="9641" builtinId="9" hidden="1"/>
    <cellStyle name="Followed Hyperlink" xfId="9642" builtinId="9" hidden="1"/>
    <cellStyle name="Followed Hyperlink" xfId="9643" builtinId="9" hidden="1"/>
    <cellStyle name="Followed Hyperlink" xfId="9644" builtinId="9" hidden="1"/>
    <cellStyle name="Followed Hyperlink" xfId="9645" builtinId="9" hidden="1"/>
    <cellStyle name="Followed Hyperlink" xfId="9646" builtinId="9" hidden="1"/>
    <cellStyle name="Followed Hyperlink" xfId="9647" builtinId="9" hidden="1"/>
    <cellStyle name="Followed Hyperlink" xfId="9648" builtinId="9" hidden="1"/>
    <cellStyle name="Followed Hyperlink" xfId="9649" builtinId="9" hidden="1"/>
    <cellStyle name="Followed Hyperlink" xfId="9650"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452" builtinId="9" hidden="1"/>
    <cellStyle name="Followed Hyperlink" xfId="961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446" builtinId="9" hidden="1"/>
    <cellStyle name="Followed Hyperlink" xfId="9656" builtinId="9" hidden="1"/>
    <cellStyle name="Followed Hyperlink" xfId="9697"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448" builtinId="9" hidden="1"/>
    <cellStyle name="Followed Hyperlink" xfId="969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xfId="9745" builtinId="9" hidden="1"/>
    <cellStyle name="Followed Hyperlink" xfId="9746" builtinId="9" hidden="1"/>
    <cellStyle name="Followed Hyperlink" xfId="9747" builtinId="9" hidden="1"/>
    <cellStyle name="Followed Hyperlink" xfId="9748" builtinId="9" hidden="1"/>
    <cellStyle name="Followed Hyperlink" xfId="9749" builtinId="9" hidden="1"/>
    <cellStyle name="Followed Hyperlink" xfId="9750" builtinId="9" hidden="1"/>
    <cellStyle name="Followed Hyperlink" xfId="9751" builtinId="9" hidden="1"/>
    <cellStyle name="Followed Hyperlink" xfId="9752" builtinId="9" hidden="1"/>
    <cellStyle name="Followed Hyperlink" xfId="9753" builtinId="9" hidden="1"/>
    <cellStyle name="Followed Hyperlink" xfId="9754" builtinId="9" hidden="1"/>
    <cellStyle name="Followed Hyperlink" xfId="9755" builtinId="9" hidden="1"/>
    <cellStyle name="Followed Hyperlink" xfId="9756" builtinId="9" hidden="1"/>
    <cellStyle name="Followed Hyperlink" xfId="9757" builtinId="9" hidden="1"/>
    <cellStyle name="Followed Hyperlink" xfId="9758" builtinId="9" hidden="1"/>
    <cellStyle name="Followed Hyperlink" xfId="9759" builtinId="9" hidden="1"/>
    <cellStyle name="Followed Hyperlink" xfId="9760" builtinId="9" hidden="1"/>
    <cellStyle name="Followed Hyperlink" xfId="9761" builtinId="9" hidden="1"/>
    <cellStyle name="Followed Hyperlink" xfId="9762" builtinId="9" hidden="1"/>
    <cellStyle name="Followed Hyperlink" xfId="9763" builtinId="9" hidden="1"/>
    <cellStyle name="Followed Hyperlink" xfId="9764" builtinId="9" hidden="1"/>
    <cellStyle name="Followed Hyperlink" xfId="9765" builtinId="9" hidden="1"/>
    <cellStyle name="Followed Hyperlink" xfId="9766" builtinId="9" hidden="1"/>
    <cellStyle name="Followed Hyperlink" xfId="9767" builtinId="9" hidden="1"/>
    <cellStyle name="Followed Hyperlink" xfId="9768" builtinId="9" hidden="1"/>
    <cellStyle name="Followed Hyperlink" xfId="9769" builtinId="9" hidden="1"/>
    <cellStyle name="Followed Hyperlink" xfId="9770" builtinId="9" hidden="1"/>
    <cellStyle name="Followed Hyperlink" xfId="9771" builtinId="9" hidden="1"/>
    <cellStyle name="Followed Hyperlink" xfId="9772" builtinId="9" hidden="1"/>
    <cellStyle name="Followed Hyperlink" xfId="9773" builtinId="9" hidden="1"/>
    <cellStyle name="Followed Hyperlink" xfId="9774" builtinId="9" hidden="1"/>
    <cellStyle name="Followed Hyperlink" xfId="9775" builtinId="9" hidden="1"/>
    <cellStyle name="Followed Hyperlink" xfId="9449" builtinId="9" hidden="1"/>
    <cellStyle name="Followed Hyperlink" xfId="9736" builtinId="9" hidden="1"/>
    <cellStyle name="Followed Hyperlink" xfId="9777" builtinId="9" hidden="1"/>
    <cellStyle name="Followed Hyperlink" xfId="9778" builtinId="9" hidden="1"/>
    <cellStyle name="Followed Hyperlink" xfId="9779" builtinId="9" hidden="1"/>
    <cellStyle name="Followed Hyperlink" xfId="9780" builtinId="9" hidden="1"/>
    <cellStyle name="Followed Hyperlink" xfId="9781" builtinId="9" hidden="1"/>
    <cellStyle name="Followed Hyperlink" xfId="9782" builtinId="9" hidden="1"/>
    <cellStyle name="Followed Hyperlink" xfId="9783" builtinId="9" hidden="1"/>
    <cellStyle name="Followed Hyperlink" xfId="9784" builtinId="9" hidden="1"/>
    <cellStyle name="Followed Hyperlink" xfId="9785" builtinId="9" hidden="1"/>
    <cellStyle name="Followed Hyperlink" xfId="9786" builtinId="9" hidden="1"/>
    <cellStyle name="Followed Hyperlink" xfId="9787" builtinId="9" hidden="1"/>
    <cellStyle name="Followed Hyperlink" xfId="9788" builtinId="9" hidden="1"/>
    <cellStyle name="Followed Hyperlink" xfId="9789" builtinId="9" hidden="1"/>
    <cellStyle name="Followed Hyperlink" xfId="9790" builtinId="9" hidden="1"/>
    <cellStyle name="Followed Hyperlink" xfId="9791" builtinId="9" hidden="1"/>
    <cellStyle name="Followed Hyperlink" xfId="9792" builtinId="9" hidden="1"/>
    <cellStyle name="Followed Hyperlink" xfId="9793" builtinId="9" hidden="1"/>
    <cellStyle name="Followed Hyperlink" xfId="9794" builtinId="9" hidden="1"/>
    <cellStyle name="Followed Hyperlink" xfId="9795" builtinId="9" hidden="1"/>
    <cellStyle name="Followed Hyperlink" xfId="9796" builtinId="9" hidden="1"/>
    <cellStyle name="Followed Hyperlink" xfId="9797" builtinId="9" hidden="1"/>
    <cellStyle name="Followed Hyperlink" xfId="9798" builtinId="9" hidden="1"/>
    <cellStyle name="Followed Hyperlink" xfId="9799" builtinId="9" hidden="1"/>
    <cellStyle name="Followed Hyperlink" xfId="9800" builtinId="9" hidden="1"/>
    <cellStyle name="Followed Hyperlink" xfId="9801" builtinId="9" hidden="1"/>
    <cellStyle name="Followed Hyperlink" xfId="9802" builtinId="9" hidden="1"/>
    <cellStyle name="Followed Hyperlink" xfId="9803" builtinId="9" hidden="1"/>
    <cellStyle name="Followed Hyperlink" xfId="9804" builtinId="9" hidden="1"/>
    <cellStyle name="Followed Hyperlink" xfId="9805" builtinId="9" hidden="1"/>
    <cellStyle name="Followed Hyperlink" xfId="9806" builtinId="9" hidden="1"/>
    <cellStyle name="Followed Hyperlink" xfId="9807" builtinId="9" hidden="1"/>
    <cellStyle name="Followed Hyperlink" xfId="9808" builtinId="9" hidden="1"/>
    <cellStyle name="Followed Hyperlink" xfId="9809" builtinId="9" hidden="1"/>
    <cellStyle name="Followed Hyperlink" xfId="9810" builtinId="9" hidden="1"/>
    <cellStyle name="Followed Hyperlink" xfId="9811" builtinId="9" hidden="1"/>
    <cellStyle name="Followed Hyperlink" xfId="9812" builtinId="9" hidden="1"/>
    <cellStyle name="Followed Hyperlink" xfId="9813" builtinId="9" hidden="1"/>
    <cellStyle name="Followed Hyperlink" xfId="9814" builtinId="9" hidden="1"/>
    <cellStyle name="Followed Hyperlink" xfId="9815" builtinId="9" hidden="1"/>
    <cellStyle name="Followed Hyperlink" xfId="9451" builtinId="9" hidden="1"/>
    <cellStyle name="Followed Hyperlink" xfId="9776" builtinId="9" hidden="1"/>
    <cellStyle name="Followed Hyperlink" xfId="9817" builtinId="9" hidden="1"/>
    <cellStyle name="Followed Hyperlink" xfId="9818" builtinId="9" hidden="1"/>
    <cellStyle name="Followed Hyperlink" xfId="9819" builtinId="9" hidden="1"/>
    <cellStyle name="Followed Hyperlink" xfId="9820" builtinId="9" hidden="1"/>
    <cellStyle name="Followed Hyperlink" xfId="9821" builtinId="9" hidden="1"/>
    <cellStyle name="Followed Hyperlink" xfId="9822" builtinId="9" hidden="1"/>
    <cellStyle name="Followed Hyperlink" xfId="9823" builtinId="9" hidden="1"/>
    <cellStyle name="Followed Hyperlink" xfId="9824" builtinId="9" hidden="1"/>
    <cellStyle name="Followed Hyperlink" xfId="9825" builtinId="9" hidden="1"/>
    <cellStyle name="Followed Hyperlink" xfId="9826" builtinId="9" hidden="1"/>
    <cellStyle name="Followed Hyperlink" xfId="9827" builtinId="9" hidden="1"/>
    <cellStyle name="Followed Hyperlink" xfId="9828" builtinId="9" hidden="1"/>
    <cellStyle name="Followed Hyperlink" xfId="9829" builtinId="9" hidden="1"/>
    <cellStyle name="Followed Hyperlink" xfId="9830" builtinId="9" hidden="1"/>
    <cellStyle name="Followed Hyperlink" xfId="9831" builtinId="9" hidden="1"/>
    <cellStyle name="Followed Hyperlink" xfId="9832" builtinId="9" hidden="1"/>
    <cellStyle name="Followed Hyperlink" xfId="9833" builtinId="9" hidden="1"/>
    <cellStyle name="Followed Hyperlink" xfId="9834" builtinId="9" hidden="1"/>
    <cellStyle name="Followed Hyperlink" xfId="9835" builtinId="9" hidden="1"/>
    <cellStyle name="Followed Hyperlink" xfId="9836" builtinId="9" hidden="1"/>
    <cellStyle name="Followed Hyperlink" xfId="9837" builtinId="9" hidden="1"/>
    <cellStyle name="Followed Hyperlink" xfId="9838" builtinId="9" hidden="1"/>
    <cellStyle name="Followed Hyperlink" xfId="9839" builtinId="9" hidden="1"/>
    <cellStyle name="Followed Hyperlink" xfId="9840" builtinId="9" hidden="1"/>
    <cellStyle name="Followed Hyperlink" xfId="9841" builtinId="9" hidden="1"/>
    <cellStyle name="Followed Hyperlink" xfId="9842" builtinId="9" hidden="1"/>
    <cellStyle name="Followed Hyperlink" xfId="9843" builtinId="9" hidden="1"/>
    <cellStyle name="Followed Hyperlink" xfId="9844" builtinId="9" hidden="1"/>
    <cellStyle name="Followed Hyperlink" xfId="9845" builtinId="9" hidden="1"/>
    <cellStyle name="Followed Hyperlink" xfId="9846" builtinId="9" hidden="1"/>
    <cellStyle name="Followed Hyperlink" xfId="9847" builtinId="9" hidden="1"/>
    <cellStyle name="Followed Hyperlink" xfId="9848" builtinId="9" hidden="1"/>
    <cellStyle name="Followed Hyperlink" xfId="9849" builtinId="9" hidden="1"/>
    <cellStyle name="Followed Hyperlink" xfId="9850" builtinId="9" hidden="1"/>
    <cellStyle name="Followed Hyperlink" xfId="9851" builtinId="9" hidden="1"/>
    <cellStyle name="Followed Hyperlink" xfId="9852" builtinId="9" hidden="1"/>
    <cellStyle name="Followed Hyperlink" xfId="9853" builtinId="9" hidden="1"/>
    <cellStyle name="Followed Hyperlink" xfId="9854" builtinId="9" hidden="1"/>
    <cellStyle name="Followed Hyperlink" xfId="9855" builtinId="9" hidden="1"/>
    <cellStyle name="Followed Hyperlink" xfId="9447" builtinId="9" hidden="1"/>
    <cellStyle name="Followed Hyperlink" xfId="9816" builtinId="9" hidden="1"/>
    <cellStyle name="Followed Hyperlink" xfId="9856" builtinId="9" hidden="1"/>
    <cellStyle name="Followed Hyperlink" xfId="9857" builtinId="9" hidden="1"/>
    <cellStyle name="Followed Hyperlink" xfId="9858" builtinId="9" hidden="1"/>
    <cellStyle name="Followed Hyperlink" xfId="9859" builtinId="9" hidden="1"/>
    <cellStyle name="Followed Hyperlink" xfId="9860" builtinId="9" hidden="1"/>
    <cellStyle name="Followed Hyperlink" xfId="9861" builtinId="9" hidden="1"/>
    <cellStyle name="Followed Hyperlink" xfId="9862" builtinId="9" hidden="1"/>
    <cellStyle name="Followed Hyperlink" xfId="9863" builtinId="9" hidden="1"/>
    <cellStyle name="Followed Hyperlink" xfId="9864" builtinId="9" hidden="1"/>
    <cellStyle name="Followed Hyperlink" xfId="9865" builtinId="9" hidden="1"/>
    <cellStyle name="Followed Hyperlink" xfId="9866" builtinId="9" hidden="1"/>
    <cellStyle name="Followed Hyperlink" xfId="9867" builtinId="9" hidden="1"/>
    <cellStyle name="Followed Hyperlink" xfId="9868" builtinId="9" hidden="1"/>
    <cellStyle name="Followed Hyperlink" xfId="9869" builtinId="9" hidden="1"/>
    <cellStyle name="Followed Hyperlink" xfId="9870" builtinId="9" hidden="1"/>
    <cellStyle name="Followed Hyperlink" xfId="9871" builtinId="9" hidden="1"/>
    <cellStyle name="Followed Hyperlink" xfId="9872" builtinId="9" hidden="1"/>
    <cellStyle name="Followed Hyperlink" xfId="9873" builtinId="9" hidden="1"/>
    <cellStyle name="Followed Hyperlink" xfId="9874" builtinId="9" hidden="1"/>
    <cellStyle name="Followed Hyperlink" xfId="9875" builtinId="9" hidden="1"/>
    <cellStyle name="Followed Hyperlink" xfId="9876" builtinId="9" hidden="1"/>
    <cellStyle name="Followed Hyperlink" xfId="9877" builtinId="9" hidden="1"/>
    <cellStyle name="Followed Hyperlink" xfId="9878" builtinId="9" hidden="1"/>
    <cellStyle name="Followed Hyperlink" xfId="9879" builtinId="9" hidden="1"/>
    <cellStyle name="Followed Hyperlink" xfId="9880" builtinId="9" hidden="1"/>
    <cellStyle name="Followed Hyperlink" xfId="9881" builtinId="9" hidden="1"/>
    <cellStyle name="Followed Hyperlink" xfId="9882" builtinId="9" hidden="1"/>
    <cellStyle name="Followed Hyperlink" xfId="9883" builtinId="9" hidden="1"/>
    <cellStyle name="Followed Hyperlink" xfId="9884" builtinId="9" hidden="1"/>
    <cellStyle name="Followed Hyperlink" xfId="9885" builtinId="9" hidden="1"/>
    <cellStyle name="Followed Hyperlink" xfId="9886" builtinId="9" hidden="1"/>
    <cellStyle name="Followed Hyperlink" xfId="9887" builtinId="9" hidden="1"/>
    <cellStyle name="Followed Hyperlink" xfId="9888" builtinId="9" hidden="1"/>
    <cellStyle name="Followed Hyperlink" xfId="9889" builtinId="9" hidden="1"/>
    <cellStyle name="Followed Hyperlink" xfId="9890" builtinId="9" hidden="1"/>
    <cellStyle name="Followed Hyperlink" xfId="9891" builtinId="9" hidden="1"/>
    <cellStyle name="Followed Hyperlink" xfId="9892" builtinId="9" hidden="1"/>
    <cellStyle name="Followed Hyperlink" xfId="9893" builtinId="9" hidden="1"/>
    <cellStyle name="Followed Hyperlink" xfId="9894" builtinId="9" hidden="1"/>
    <cellStyle name="Followed Hyperlink" xfId="6947" builtinId="9" hidden="1"/>
    <cellStyle name="Followed Hyperlink" xfId="6946" builtinId="9" hidden="1"/>
    <cellStyle name="Followed Hyperlink" xfId="9895" builtinId="9" hidden="1"/>
    <cellStyle name="Followed Hyperlink" xfId="9896" builtinId="9" hidden="1"/>
    <cellStyle name="Followed Hyperlink" xfId="9897" builtinId="9" hidden="1"/>
    <cellStyle name="Followed Hyperlink" xfId="9898" builtinId="9" hidden="1"/>
    <cellStyle name="Followed Hyperlink" xfId="9899" builtinId="9" hidden="1"/>
    <cellStyle name="Followed Hyperlink" xfId="9900" builtinId="9" hidden="1"/>
    <cellStyle name="Followed Hyperlink" xfId="9901" builtinId="9" hidden="1"/>
    <cellStyle name="Followed Hyperlink" xfId="9902" builtinId="9" hidden="1"/>
    <cellStyle name="Followed Hyperlink" xfId="9903" builtinId="9" hidden="1"/>
    <cellStyle name="Followed Hyperlink" xfId="9904" builtinId="9" hidden="1"/>
    <cellStyle name="Followed Hyperlink" xfId="9905" builtinId="9" hidden="1"/>
    <cellStyle name="Followed Hyperlink" xfId="9906" builtinId="9" hidden="1"/>
    <cellStyle name="Followed Hyperlink" xfId="9907" builtinId="9" hidden="1"/>
    <cellStyle name="Followed Hyperlink" xfId="9908" builtinId="9" hidden="1"/>
    <cellStyle name="Followed Hyperlink" xfId="9909" builtinId="9" hidden="1"/>
    <cellStyle name="Followed Hyperlink" xfId="9910" builtinId="9" hidden="1"/>
    <cellStyle name="Followed Hyperlink" xfId="9911" builtinId="9" hidden="1"/>
    <cellStyle name="Followed Hyperlink" xfId="9912" builtinId="9" hidden="1"/>
    <cellStyle name="Followed Hyperlink" xfId="9913" builtinId="9" hidden="1"/>
    <cellStyle name="Followed Hyperlink" xfId="9914" builtinId="9" hidden="1"/>
    <cellStyle name="Followed Hyperlink" xfId="9915" builtinId="9" hidden="1"/>
    <cellStyle name="Followed Hyperlink" xfId="9916" builtinId="9" hidden="1"/>
    <cellStyle name="Followed Hyperlink" xfId="9917" builtinId="9" hidden="1"/>
    <cellStyle name="Followed Hyperlink" xfId="9918" builtinId="9" hidden="1"/>
    <cellStyle name="Followed Hyperlink" xfId="9919" builtinId="9" hidden="1"/>
    <cellStyle name="Followed Hyperlink" xfId="9920" builtinId="9" hidden="1"/>
    <cellStyle name="Followed Hyperlink" xfId="9921" builtinId="9" hidden="1"/>
    <cellStyle name="Followed Hyperlink" xfId="9922" builtinId="9" hidden="1"/>
    <cellStyle name="Followed Hyperlink" xfId="9923" builtinId="9" hidden="1"/>
    <cellStyle name="Followed Hyperlink" xfId="9924" builtinId="9" hidden="1"/>
    <cellStyle name="Followed Hyperlink" xfId="9925" builtinId="9" hidden="1"/>
    <cellStyle name="Followed Hyperlink" xfId="9926" builtinId="9" hidden="1"/>
    <cellStyle name="Followed Hyperlink" xfId="9927" builtinId="9" hidden="1"/>
    <cellStyle name="Followed Hyperlink" xfId="9928" builtinId="9" hidden="1"/>
    <cellStyle name="Followed Hyperlink" xfId="9929" builtinId="9" hidden="1"/>
    <cellStyle name="Followed Hyperlink" xfId="9930" builtinId="9" hidden="1"/>
    <cellStyle name="Followed Hyperlink" xfId="9931" builtinId="9" hidden="1"/>
    <cellStyle name="Followed Hyperlink" xfId="9932" builtinId="9" hidden="1"/>
    <cellStyle name="Followed Hyperlink" xfId="9933" builtinId="9" hidden="1"/>
    <cellStyle name="Followed Hyperlink" xfId="9942" builtinId="9" hidden="1"/>
    <cellStyle name="Followed Hyperlink" xfId="9943" builtinId="9" hidden="1"/>
    <cellStyle name="Followed Hyperlink" xfId="9944" builtinId="9" hidden="1"/>
    <cellStyle name="Followed Hyperlink" xfId="9945" builtinId="9" hidden="1"/>
    <cellStyle name="Followed Hyperlink" xfId="9946" builtinId="9" hidden="1"/>
    <cellStyle name="Followed Hyperlink" xfId="9947" builtinId="9" hidden="1"/>
    <cellStyle name="Followed Hyperlink" xfId="9948" builtinId="9" hidden="1"/>
    <cellStyle name="Followed Hyperlink" xfId="9949" builtinId="9" hidden="1"/>
    <cellStyle name="Followed Hyperlink" xfId="9950" builtinId="9" hidden="1"/>
    <cellStyle name="Followed Hyperlink" xfId="9951" builtinId="9" hidden="1"/>
    <cellStyle name="Followed Hyperlink" xfId="9952" builtinId="9" hidden="1"/>
    <cellStyle name="Followed Hyperlink" xfId="9953" builtinId="9" hidden="1"/>
    <cellStyle name="Followed Hyperlink" xfId="9954" builtinId="9" hidden="1"/>
    <cellStyle name="Followed Hyperlink" xfId="9955" builtinId="9" hidden="1"/>
    <cellStyle name="Followed Hyperlink" xfId="9956" builtinId="9" hidden="1"/>
    <cellStyle name="Followed Hyperlink" xfId="9957" builtinId="9" hidden="1"/>
    <cellStyle name="Followed Hyperlink" xfId="9958" builtinId="9" hidden="1"/>
    <cellStyle name="Followed Hyperlink" xfId="9959" builtinId="9" hidden="1"/>
    <cellStyle name="Followed Hyperlink" xfId="9960" builtinId="9" hidden="1"/>
    <cellStyle name="Followed Hyperlink" xfId="9961" builtinId="9" hidden="1"/>
    <cellStyle name="Followed Hyperlink" xfId="9962" builtinId="9" hidden="1"/>
    <cellStyle name="Followed Hyperlink" xfId="9963" builtinId="9" hidden="1"/>
    <cellStyle name="Followed Hyperlink" xfId="9964" builtinId="9" hidden="1"/>
    <cellStyle name="Followed Hyperlink" xfId="9965" builtinId="9" hidden="1"/>
    <cellStyle name="Followed Hyperlink" xfId="9966" builtinId="9" hidden="1"/>
    <cellStyle name="Followed Hyperlink" xfId="9967" builtinId="9" hidden="1"/>
    <cellStyle name="Followed Hyperlink" xfId="9968" builtinId="9" hidden="1"/>
    <cellStyle name="Followed Hyperlink" xfId="9969" builtinId="9" hidden="1"/>
    <cellStyle name="Followed Hyperlink" xfId="9970" builtinId="9" hidden="1"/>
    <cellStyle name="Followed Hyperlink" xfId="9971" builtinId="9" hidden="1"/>
    <cellStyle name="Followed Hyperlink" xfId="9972" builtinId="9" hidden="1"/>
    <cellStyle name="Followed Hyperlink" xfId="9973" builtinId="9" hidden="1"/>
    <cellStyle name="Followed Hyperlink" xfId="9974" builtinId="9" hidden="1"/>
    <cellStyle name="Followed Hyperlink" xfId="9975" builtinId="9" hidden="1"/>
    <cellStyle name="Followed Hyperlink" xfId="9976" builtinId="9" hidden="1"/>
    <cellStyle name="Followed Hyperlink" xfId="9977" builtinId="9" hidden="1"/>
    <cellStyle name="Followed Hyperlink" xfId="9978" builtinId="9" hidden="1"/>
    <cellStyle name="Followed Hyperlink" xfId="9979" builtinId="9" hidden="1"/>
    <cellStyle name="Followed Hyperlink" xfId="9980" builtinId="9" hidden="1"/>
    <cellStyle name="Followed Hyperlink" xfId="9981" builtinId="9" hidden="1"/>
    <cellStyle name="Followed Hyperlink" xfId="9982" builtinId="9" hidden="1"/>
    <cellStyle name="Followed Hyperlink" xfId="9983" builtinId="9" hidden="1"/>
    <cellStyle name="Followed Hyperlink" xfId="9984" builtinId="9" hidden="1"/>
    <cellStyle name="Followed Hyperlink" xfId="9985" builtinId="9" hidden="1"/>
    <cellStyle name="Followed Hyperlink" xfId="9986" builtinId="9" hidden="1"/>
    <cellStyle name="Followed Hyperlink" xfId="9987" builtinId="9" hidden="1"/>
    <cellStyle name="Followed Hyperlink" xfId="9988" builtinId="9" hidden="1"/>
    <cellStyle name="Followed Hyperlink" xfId="9989" builtinId="9" hidden="1"/>
    <cellStyle name="Followed Hyperlink" xfId="9990" builtinId="9" hidden="1"/>
    <cellStyle name="Followed Hyperlink" xfId="9991" builtinId="9" hidden="1"/>
    <cellStyle name="Followed Hyperlink" xfId="9992" builtinId="9" hidden="1"/>
    <cellStyle name="Followed Hyperlink" xfId="9993" builtinId="9" hidden="1"/>
    <cellStyle name="Followed Hyperlink" xfId="9994" builtinId="9" hidden="1"/>
    <cellStyle name="Followed Hyperlink" xfId="9995" builtinId="9" hidden="1"/>
    <cellStyle name="Followed Hyperlink" xfId="9996" builtinId="9" hidden="1"/>
    <cellStyle name="Followed Hyperlink" xfId="9997" builtinId="9" hidden="1"/>
    <cellStyle name="Followed Hyperlink" xfId="9998" builtinId="9" hidden="1"/>
    <cellStyle name="Followed Hyperlink" xfId="9999" builtinId="9" hidden="1"/>
    <cellStyle name="Followed Hyperlink" xfId="10000" builtinId="9" hidden="1"/>
    <cellStyle name="Followed Hyperlink" xfId="10001" builtinId="9" hidden="1"/>
    <cellStyle name="Followed Hyperlink" xfId="10002" builtinId="9" hidden="1"/>
    <cellStyle name="Followed Hyperlink" xfId="10003" builtinId="9" hidden="1"/>
    <cellStyle name="Followed Hyperlink" xfId="10004" builtinId="9" hidden="1"/>
    <cellStyle name="Followed Hyperlink" xfId="10005" builtinId="9" hidden="1"/>
    <cellStyle name="Followed Hyperlink" xfId="10006" builtinId="9" hidden="1"/>
    <cellStyle name="Followed Hyperlink" xfId="10007" builtinId="9" hidden="1"/>
    <cellStyle name="Followed Hyperlink" xfId="10008" builtinId="9" hidden="1"/>
    <cellStyle name="Followed Hyperlink" xfId="10009" builtinId="9" hidden="1"/>
    <cellStyle name="Followed Hyperlink" xfId="10010" builtinId="9" hidden="1"/>
    <cellStyle name="Followed Hyperlink" xfId="10011" builtinId="9" hidden="1"/>
    <cellStyle name="Followed Hyperlink" xfId="10012" builtinId="9" hidden="1"/>
    <cellStyle name="Followed Hyperlink" xfId="10013" builtinId="9" hidden="1"/>
    <cellStyle name="Followed Hyperlink" xfId="10014" builtinId="9" hidden="1"/>
    <cellStyle name="Followed Hyperlink" xfId="10015" builtinId="9" hidden="1"/>
    <cellStyle name="Followed Hyperlink" xfId="10016" builtinId="9" hidden="1"/>
    <cellStyle name="Followed Hyperlink" xfId="10017" builtinId="9" hidden="1"/>
    <cellStyle name="Followed Hyperlink" xfId="10018" builtinId="9" hidden="1"/>
    <cellStyle name="Followed Hyperlink" xfId="10019" builtinId="9" hidden="1"/>
    <cellStyle name="Followed Hyperlink" xfId="10020" builtinId="9" hidden="1"/>
    <cellStyle name="Followed Hyperlink" xfId="10021" builtinId="9" hidden="1"/>
    <cellStyle name="Followed Hyperlink" xfId="10022" builtinId="9" hidden="1"/>
    <cellStyle name="Followed Hyperlink" xfId="10023" builtinId="9" hidden="1"/>
    <cellStyle name="Followed Hyperlink" xfId="10024" builtinId="9" hidden="1"/>
    <cellStyle name="Followed Hyperlink" xfId="10025" builtinId="9" hidden="1"/>
    <cellStyle name="Followed Hyperlink" xfId="10026" builtinId="9" hidden="1"/>
    <cellStyle name="Followed Hyperlink" xfId="10027" builtinId="9" hidden="1"/>
    <cellStyle name="Followed Hyperlink" xfId="10028" builtinId="9" hidden="1"/>
    <cellStyle name="Followed Hyperlink" xfId="10029" builtinId="9" hidden="1"/>
    <cellStyle name="Followed Hyperlink" xfId="10030" builtinId="9" hidden="1"/>
    <cellStyle name="Followed Hyperlink" xfId="10031" builtinId="9" hidden="1"/>
    <cellStyle name="Followed Hyperlink" xfId="10032" builtinId="9" hidden="1"/>
    <cellStyle name="Followed Hyperlink" xfId="10033" builtinId="9" hidden="1"/>
    <cellStyle name="Followed Hyperlink" xfId="10034" builtinId="9" hidden="1"/>
    <cellStyle name="Followed Hyperlink" xfId="10035" builtinId="9" hidden="1"/>
    <cellStyle name="Followed Hyperlink" xfId="10036" builtinId="9" hidden="1"/>
    <cellStyle name="Followed Hyperlink" xfId="10037" builtinId="9" hidden="1"/>
    <cellStyle name="Followed Hyperlink" xfId="10038" builtinId="9" hidden="1"/>
    <cellStyle name="Followed Hyperlink" xfId="10039" builtinId="9" hidden="1"/>
    <cellStyle name="Followed Hyperlink" xfId="10040" builtinId="9" hidden="1"/>
    <cellStyle name="Followed Hyperlink" xfId="10041" builtinId="9" hidden="1"/>
    <cellStyle name="Followed Hyperlink" xfId="10042" builtinId="9" hidden="1"/>
    <cellStyle name="Followed Hyperlink" xfId="10043" builtinId="9" hidden="1"/>
    <cellStyle name="Followed Hyperlink" xfId="10044" builtinId="9" hidden="1"/>
    <cellStyle name="Followed Hyperlink" xfId="10045" builtinId="9" hidden="1"/>
    <cellStyle name="Followed Hyperlink" xfId="10046" builtinId="9" hidden="1"/>
    <cellStyle name="Followed Hyperlink" xfId="10047" builtinId="9" hidden="1"/>
    <cellStyle name="Followed Hyperlink" xfId="10048" builtinId="9" hidden="1"/>
    <cellStyle name="Followed Hyperlink" xfId="10049" builtinId="9" hidden="1"/>
    <cellStyle name="Followed Hyperlink" xfId="10050" builtinId="9" hidden="1"/>
    <cellStyle name="Followed Hyperlink" xfId="10051" builtinId="9" hidden="1"/>
    <cellStyle name="Followed Hyperlink" xfId="10052" builtinId="9" hidden="1"/>
    <cellStyle name="Followed Hyperlink" xfId="10053" builtinId="9" hidden="1"/>
    <cellStyle name="Followed Hyperlink" xfId="10054" builtinId="9" hidden="1"/>
    <cellStyle name="Followed Hyperlink" xfId="10055" builtinId="9" hidden="1"/>
    <cellStyle name="Followed Hyperlink" xfId="10056" builtinId="9" hidden="1"/>
    <cellStyle name="Followed Hyperlink" xfId="10057" builtinId="9" hidden="1"/>
    <cellStyle name="Followed Hyperlink" xfId="10058" builtinId="9" hidden="1"/>
    <cellStyle name="Followed Hyperlink" xfId="10059" builtinId="9" hidden="1"/>
    <cellStyle name="Followed Hyperlink" xfId="10060" builtinId="9" hidden="1"/>
    <cellStyle name="Followed Hyperlink" xfId="10061" builtinId="9" hidden="1"/>
    <cellStyle name="Followed Hyperlink" xfId="10062" builtinId="9" hidden="1"/>
    <cellStyle name="Followed Hyperlink" xfId="10063" builtinId="9" hidden="1"/>
    <cellStyle name="Followed Hyperlink" xfId="10064" builtinId="9" hidden="1"/>
    <cellStyle name="Followed Hyperlink" xfId="9934" builtinId="9" hidden="1"/>
    <cellStyle name="Followed Hyperlink" xfId="6943" builtinId="9" hidden="1"/>
    <cellStyle name="Followed Hyperlink" xfId="10066" builtinId="9" hidden="1"/>
    <cellStyle name="Followed Hyperlink" xfId="10067" builtinId="9" hidden="1"/>
    <cellStyle name="Followed Hyperlink" xfId="10068" builtinId="9" hidden="1"/>
    <cellStyle name="Followed Hyperlink" xfId="10069" builtinId="9" hidden="1"/>
    <cellStyle name="Followed Hyperlink" xfId="10070" builtinId="9" hidden="1"/>
    <cellStyle name="Followed Hyperlink" xfId="10071" builtinId="9" hidden="1"/>
    <cellStyle name="Followed Hyperlink" xfId="10072" builtinId="9" hidden="1"/>
    <cellStyle name="Followed Hyperlink" xfId="10073" builtinId="9" hidden="1"/>
    <cellStyle name="Followed Hyperlink" xfId="10074" builtinId="9" hidden="1"/>
    <cellStyle name="Followed Hyperlink" xfId="10075" builtinId="9" hidden="1"/>
    <cellStyle name="Followed Hyperlink" xfId="10076" builtinId="9" hidden="1"/>
    <cellStyle name="Followed Hyperlink" xfId="10077" builtinId="9" hidden="1"/>
    <cellStyle name="Followed Hyperlink" xfId="10078" builtinId="9" hidden="1"/>
    <cellStyle name="Followed Hyperlink" xfId="10079" builtinId="9" hidden="1"/>
    <cellStyle name="Followed Hyperlink" xfId="10080" builtinId="9" hidden="1"/>
    <cellStyle name="Followed Hyperlink" xfId="10081" builtinId="9" hidden="1"/>
    <cellStyle name="Followed Hyperlink" xfId="10082" builtinId="9" hidden="1"/>
    <cellStyle name="Followed Hyperlink" xfId="10083" builtinId="9" hidden="1"/>
    <cellStyle name="Followed Hyperlink" xfId="10084" builtinId="9" hidden="1"/>
    <cellStyle name="Followed Hyperlink" xfId="10085" builtinId="9" hidden="1"/>
    <cellStyle name="Followed Hyperlink" xfId="10086" builtinId="9" hidden="1"/>
    <cellStyle name="Followed Hyperlink" xfId="10087" builtinId="9" hidden="1"/>
    <cellStyle name="Followed Hyperlink" xfId="10088" builtinId="9" hidden="1"/>
    <cellStyle name="Followed Hyperlink" xfId="10089" builtinId="9" hidden="1"/>
    <cellStyle name="Followed Hyperlink" xfId="10090" builtinId="9" hidden="1"/>
    <cellStyle name="Followed Hyperlink" xfId="10091" builtinId="9" hidden="1"/>
    <cellStyle name="Followed Hyperlink" xfId="10092" builtinId="9" hidden="1"/>
    <cellStyle name="Followed Hyperlink" xfId="10093" builtinId="9" hidden="1"/>
    <cellStyle name="Followed Hyperlink" xfId="10094" builtinId="9" hidden="1"/>
    <cellStyle name="Followed Hyperlink" xfId="10095" builtinId="9" hidden="1"/>
    <cellStyle name="Followed Hyperlink" xfId="10096" builtinId="9" hidden="1"/>
    <cellStyle name="Followed Hyperlink" xfId="10097" builtinId="9" hidden="1"/>
    <cellStyle name="Followed Hyperlink" xfId="10098" builtinId="9" hidden="1"/>
    <cellStyle name="Followed Hyperlink" xfId="10099" builtinId="9" hidden="1"/>
    <cellStyle name="Followed Hyperlink" xfId="10100" builtinId="9" hidden="1"/>
    <cellStyle name="Followed Hyperlink" xfId="10101" builtinId="9" hidden="1"/>
    <cellStyle name="Followed Hyperlink" xfId="10102" builtinId="9" hidden="1"/>
    <cellStyle name="Followed Hyperlink" xfId="10103" builtinId="9" hidden="1"/>
    <cellStyle name="Followed Hyperlink" xfId="10104" builtinId="9" hidden="1"/>
    <cellStyle name="Followed Hyperlink" xfId="9939" builtinId="9" hidden="1"/>
    <cellStyle name="Followed Hyperlink" xfId="10065" builtinId="9" hidden="1"/>
    <cellStyle name="Followed Hyperlink" xfId="10106" builtinId="9" hidden="1"/>
    <cellStyle name="Followed Hyperlink" xfId="10107" builtinId="9" hidden="1"/>
    <cellStyle name="Followed Hyperlink" xfId="10108" builtinId="9" hidden="1"/>
    <cellStyle name="Followed Hyperlink" xfId="10109" builtinId="9" hidden="1"/>
    <cellStyle name="Followed Hyperlink" xfId="10110" builtinId="9" hidden="1"/>
    <cellStyle name="Followed Hyperlink" xfId="10111" builtinId="9" hidden="1"/>
    <cellStyle name="Followed Hyperlink" xfId="10112" builtinId="9" hidden="1"/>
    <cellStyle name="Followed Hyperlink" xfId="10113" builtinId="9" hidden="1"/>
    <cellStyle name="Followed Hyperlink" xfId="10114" builtinId="9" hidden="1"/>
    <cellStyle name="Followed Hyperlink" xfId="10115" builtinId="9" hidden="1"/>
    <cellStyle name="Followed Hyperlink" xfId="10116" builtinId="9" hidden="1"/>
    <cellStyle name="Followed Hyperlink" xfId="10117" builtinId="9" hidden="1"/>
    <cellStyle name="Followed Hyperlink" xfId="10118" builtinId="9" hidden="1"/>
    <cellStyle name="Followed Hyperlink" xfId="10119" builtinId="9" hidden="1"/>
    <cellStyle name="Followed Hyperlink" xfId="10120" builtinId="9" hidden="1"/>
    <cellStyle name="Followed Hyperlink" xfId="10121" builtinId="9" hidden="1"/>
    <cellStyle name="Followed Hyperlink" xfId="10122" builtinId="9" hidden="1"/>
    <cellStyle name="Followed Hyperlink" xfId="10123" builtinId="9" hidden="1"/>
    <cellStyle name="Followed Hyperlink" xfId="10124" builtinId="9" hidden="1"/>
    <cellStyle name="Followed Hyperlink" xfId="10125" builtinId="9" hidden="1"/>
    <cellStyle name="Followed Hyperlink" xfId="10126" builtinId="9" hidden="1"/>
    <cellStyle name="Followed Hyperlink" xfId="10127" builtinId="9" hidden="1"/>
    <cellStyle name="Followed Hyperlink" xfId="10128" builtinId="9" hidden="1"/>
    <cellStyle name="Followed Hyperlink" xfId="10129" builtinId="9" hidden="1"/>
    <cellStyle name="Followed Hyperlink" xfId="10130" builtinId="9" hidden="1"/>
    <cellStyle name="Followed Hyperlink" xfId="10131" builtinId="9" hidden="1"/>
    <cellStyle name="Followed Hyperlink" xfId="10132" builtinId="9" hidden="1"/>
    <cellStyle name="Followed Hyperlink" xfId="10133" builtinId="9" hidden="1"/>
    <cellStyle name="Followed Hyperlink" xfId="10134" builtinId="9" hidden="1"/>
    <cellStyle name="Followed Hyperlink" xfId="10135" builtinId="9" hidden="1"/>
    <cellStyle name="Followed Hyperlink" xfId="10136" builtinId="9" hidden="1"/>
    <cellStyle name="Followed Hyperlink" xfId="10137" builtinId="9" hidden="1"/>
    <cellStyle name="Followed Hyperlink" xfId="10138" builtinId="9" hidden="1"/>
    <cellStyle name="Followed Hyperlink" xfId="10139" builtinId="9" hidden="1"/>
    <cellStyle name="Followed Hyperlink" xfId="10140" builtinId="9" hidden="1"/>
    <cellStyle name="Followed Hyperlink" xfId="10141" builtinId="9" hidden="1"/>
    <cellStyle name="Followed Hyperlink" xfId="10142" builtinId="9" hidden="1"/>
    <cellStyle name="Followed Hyperlink" xfId="10143" builtinId="9" hidden="1"/>
    <cellStyle name="Followed Hyperlink" xfId="10144" builtinId="9" hidden="1"/>
    <cellStyle name="Followed Hyperlink" xfId="9941" builtinId="9" hidden="1"/>
    <cellStyle name="Followed Hyperlink" xfId="10105" builtinId="9" hidden="1"/>
    <cellStyle name="Followed Hyperlink" xfId="10146" builtinId="9" hidden="1"/>
    <cellStyle name="Followed Hyperlink" xfId="10147" builtinId="9" hidden="1"/>
    <cellStyle name="Followed Hyperlink" xfId="10148" builtinId="9" hidden="1"/>
    <cellStyle name="Followed Hyperlink" xfId="10149" builtinId="9" hidden="1"/>
    <cellStyle name="Followed Hyperlink" xfId="10150" builtinId="9" hidden="1"/>
    <cellStyle name="Followed Hyperlink" xfId="10151" builtinId="9" hidden="1"/>
    <cellStyle name="Followed Hyperlink" xfId="10152" builtinId="9" hidden="1"/>
    <cellStyle name="Followed Hyperlink" xfId="10153" builtinId="9" hidden="1"/>
    <cellStyle name="Followed Hyperlink" xfId="10154" builtinId="9" hidden="1"/>
    <cellStyle name="Followed Hyperlink" xfId="10155" builtinId="9" hidden="1"/>
    <cellStyle name="Followed Hyperlink" xfId="10156" builtinId="9" hidden="1"/>
    <cellStyle name="Followed Hyperlink" xfId="10157" builtinId="9" hidden="1"/>
    <cellStyle name="Followed Hyperlink" xfId="10158" builtinId="9" hidden="1"/>
    <cellStyle name="Followed Hyperlink" xfId="10159" builtinId="9" hidden="1"/>
    <cellStyle name="Followed Hyperlink" xfId="10160" builtinId="9" hidden="1"/>
    <cellStyle name="Followed Hyperlink" xfId="10161" builtinId="9" hidden="1"/>
    <cellStyle name="Followed Hyperlink" xfId="10162" builtinId="9" hidden="1"/>
    <cellStyle name="Followed Hyperlink" xfId="10163" builtinId="9" hidden="1"/>
    <cellStyle name="Followed Hyperlink" xfId="10164" builtinId="9" hidden="1"/>
    <cellStyle name="Followed Hyperlink" xfId="10165" builtinId="9" hidden="1"/>
    <cellStyle name="Followed Hyperlink" xfId="10166" builtinId="9" hidden="1"/>
    <cellStyle name="Followed Hyperlink" xfId="10167" builtinId="9" hidden="1"/>
    <cellStyle name="Followed Hyperlink" xfId="10168" builtinId="9" hidden="1"/>
    <cellStyle name="Followed Hyperlink" xfId="10169" builtinId="9" hidden="1"/>
    <cellStyle name="Followed Hyperlink" xfId="10170" builtinId="9" hidden="1"/>
    <cellStyle name="Followed Hyperlink" xfId="10171" builtinId="9" hidden="1"/>
    <cellStyle name="Followed Hyperlink" xfId="10172" builtinId="9" hidden="1"/>
    <cellStyle name="Followed Hyperlink" xfId="10173" builtinId="9" hidden="1"/>
    <cellStyle name="Followed Hyperlink" xfId="10174" builtinId="9" hidden="1"/>
    <cellStyle name="Followed Hyperlink" xfId="10175" builtinId="9" hidden="1"/>
    <cellStyle name="Followed Hyperlink" xfId="10176" builtinId="9" hidden="1"/>
    <cellStyle name="Followed Hyperlink" xfId="10177" builtinId="9" hidden="1"/>
    <cellStyle name="Followed Hyperlink" xfId="10178" builtinId="9" hidden="1"/>
    <cellStyle name="Followed Hyperlink" xfId="10179" builtinId="9" hidden="1"/>
    <cellStyle name="Followed Hyperlink" xfId="10180" builtinId="9" hidden="1"/>
    <cellStyle name="Followed Hyperlink" xfId="10181" builtinId="9" hidden="1"/>
    <cellStyle name="Followed Hyperlink" xfId="10182" builtinId="9" hidden="1"/>
    <cellStyle name="Followed Hyperlink" xfId="10183" builtinId="9" hidden="1"/>
    <cellStyle name="Followed Hyperlink" xfId="10184" builtinId="9" hidden="1"/>
    <cellStyle name="Followed Hyperlink" xfId="9935" builtinId="9" hidden="1"/>
    <cellStyle name="Followed Hyperlink" xfId="10145" builtinId="9" hidden="1"/>
    <cellStyle name="Followed Hyperlink" xfId="10186" builtinId="9" hidden="1"/>
    <cellStyle name="Followed Hyperlink" xfId="10187" builtinId="9" hidden="1"/>
    <cellStyle name="Followed Hyperlink" xfId="10188" builtinId="9" hidden="1"/>
    <cellStyle name="Followed Hyperlink" xfId="10189" builtinId="9" hidden="1"/>
    <cellStyle name="Followed Hyperlink" xfId="10190" builtinId="9" hidden="1"/>
    <cellStyle name="Followed Hyperlink" xfId="10191" builtinId="9" hidden="1"/>
    <cellStyle name="Followed Hyperlink" xfId="10192" builtinId="9" hidden="1"/>
    <cellStyle name="Followed Hyperlink" xfId="10193" builtinId="9" hidden="1"/>
    <cellStyle name="Followed Hyperlink" xfId="10194" builtinId="9" hidden="1"/>
    <cellStyle name="Followed Hyperlink" xfId="10195" builtinId="9" hidden="1"/>
    <cellStyle name="Followed Hyperlink" xfId="10196" builtinId="9" hidden="1"/>
    <cellStyle name="Followed Hyperlink" xfId="10197" builtinId="9" hidden="1"/>
    <cellStyle name="Followed Hyperlink" xfId="10198" builtinId="9" hidden="1"/>
    <cellStyle name="Followed Hyperlink" xfId="10199" builtinId="9" hidden="1"/>
    <cellStyle name="Followed Hyperlink" xfId="10200" builtinId="9" hidden="1"/>
    <cellStyle name="Followed Hyperlink" xfId="10201" builtinId="9" hidden="1"/>
    <cellStyle name="Followed Hyperlink" xfId="10202" builtinId="9" hidden="1"/>
    <cellStyle name="Followed Hyperlink" xfId="10203" builtinId="9" hidden="1"/>
    <cellStyle name="Followed Hyperlink" xfId="10204" builtinId="9" hidden="1"/>
    <cellStyle name="Followed Hyperlink" xfId="10205" builtinId="9" hidden="1"/>
    <cellStyle name="Followed Hyperlink" xfId="10206" builtinId="9" hidden="1"/>
    <cellStyle name="Followed Hyperlink" xfId="10207" builtinId="9" hidden="1"/>
    <cellStyle name="Followed Hyperlink" xfId="10208" builtinId="9" hidden="1"/>
    <cellStyle name="Followed Hyperlink" xfId="10209" builtinId="9" hidden="1"/>
    <cellStyle name="Followed Hyperlink" xfId="10210" builtinId="9" hidden="1"/>
    <cellStyle name="Followed Hyperlink" xfId="10211" builtinId="9" hidden="1"/>
    <cellStyle name="Followed Hyperlink" xfId="10212" builtinId="9" hidden="1"/>
    <cellStyle name="Followed Hyperlink" xfId="10213" builtinId="9" hidden="1"/>
    <cellStyle name="Followed Hyperlink" xfId="10214" builtinId="9" hidden="1"/>
    <cellStyle name="Followed Hyperlink" xfId="10215" builtinId="9" hidden="1"/>
    <cellStyle name="Followed Hyperlink" xfId="10216" builtinId="9" hidden="1"/>
    <cellStyle name="Followed Hyperlink" xfId="10217" builtinId="9" hidden="1"/>
    <cellStyle name="Followed Hyperlink" xfId="10218" builtinId="9" hidden="1"/>
    <cellStyle name="Followed Hyperlink" xfId="10219" builtinId="9" hidden="1"/>
    <cellStyle name="Followed Hyperlink" xfId="10220" builtinId="9" hidden="1"/>
    <cellStyle name="Followed Hyperlink" xfId="10221" builtinId="9" hidden="1"/>
    <cellStyle name="Followed Hyperlink" xfId="10222" builtinId="9" hidden="1"/>
    <cellStyle name="Followed Hyperlink" xfId="10223" builtinId="9" hidden="1"/>
    <cellStyle name="Followed Hyperlink" xfId="10224" builtinId="9" hidden="1"/>
    <cellStyle name="Followed Hyperlink" xfId="9937" builtinId="9" hidden="1"/>
    <cellStyle name="Followed Hyperlink" xfId="10185" builtinId="9" hidden="1"/>
    <cellStyle name="Followed Hyperlink" xfId="10226" builtinId="9" hidden="1"/>
    <cellStyle name="Followed Hyperlink" xfId="10227" builtinId="9" hidden="1"/>
    <cellStyle name="Followed Hyperlink" xfId="10228" builtinId="9" hidden="1"/>
    <cellStyle name="Followed Hyperlink" xfId="10229" builtinId="9" hidden="1"/>
    <cellStyle name="Followed Hyperlink" xfId="10230" builtinId="9" hidden="1"/>
    <cellStyle name="Followed Hyperlink" xfId="10231" builtinId="9" hidden="1"/>
    <cellStyle name="Followed Hyperlink" xfId="10232" builtinId="9" hidden="1"/>
    <cellStyle name="Followed Hyperlink" xfId="10233" builtinId="9" hidden="1"/>
    <cellStyle name="Followed Hyperlink" xfId="10234" builtinId="9" hidden="1"/>
    <cellStyle name="Followed Hyperlink" xfId="10235" builtinId="9" hidden="1"/>
    <cellStyle name="Followed Hyperlink" xfId="10236" builtinId="9" hidden="1"/>
    <cellStyle name="Followed Hyperlink" xfId="10237" builtinId="9" hidden="1"/>
    <cellStyle name="Followed Hyperlink" xfId="10238" builtinId="9" hidden="1"/>
    <cellStyle name="Followed Hyperlink" xfId="10239" builtinId="9" hidden="1"/>
    <cellStyle name="Followed Hyperlink" xfId="10240" builtinId="9" hidden="1"/>
    <cellStyle name="Followed Hyperlink" xfId="10241" builtinId="9" hidden="1"/>
    <cellStyle name="Followed Hyperlink" xfId="10242" builtinId="9" hidden="1"/>
    <cellStyle name="Followed Hyperlink" xfId="10243" builtinId="9" hidden="1"/>
    <cellStyle name="Followed Hyperlink" xfId="10244" builtinId="9" hidden="1"/>
    <cellStyle name="Followed Hyperlink" xfId="10245" builtinId="9" hidden="1"/>
    <cellStyle name="Followed Hyperlink" xfId="10246" builtinId="9" hidden="1"/>
    <cellStyle name="Followed Hyperlink" xfId="10247" builtinId="9" hidden="1"/>
    <cellStyle name="Followed Hyperlink" xfId="10248" builtinId="9" hidden="1"/>
    <cellStyle name="Followed Hyperlink" xfId="10249" builtinId="9" hidden="1"/>
    <cellStyle name="Followed Hyperlink" xfId="10250" builtinId="9" hidden="1"/>
    <cellStyle name="Followed Hyperlink" xfId="10251" builtinId="9" hidden="1"/>
    <cellStyle name="Followed Hyperlink" xfId="10252" builtinId="9" hidden="1"/>
    <cellStyle name="Followed Hyperlink" xfId="10253" builtinId="9" hidden="1"/>
    <cellStyle name="Followed Hyperlink" xfId="10254" builtinId="9" hidden="1"/>
    <cellStyle name="Followed Hyperlink" xfId="10255" builtinId="9" hidden="1"/>
    <cellStyle name="Followed Hyperlink" xfId="10256" builtinId="9" hidden="1"/>
    <cellStyle name="Followed Hyperlink" xfId="10257" builtinId="9" hidden="1"/>
    <cellStyle name="Followed Hyperlink" xfId="10258" builtinId="9" hidden="1"/>
    <cellStyle name="Followed Hyperlink" xfId="10259" builtinId="9" hidden="1"/>
    <cellStyle name="Followed Hyperlink" xfId="10260" builtinId="9" hidden="1"/>
    <cellStyle name="Followed Hyperlink" xfId="10261" builtinId="9" hidden="1"/>
    <cellStyle name="Followed Hyperlink" xfId="10262" builtinId="9" hidden="1"/>
    <cellStyle name="Followed Hyperlink" xfId="10263" builtinId="9" hidden="1"/>
    <cellStyle name="Followed Hyperlink" xfId="10264" builtinId="9" hidden="1"/>
    <cellStyle name="Followed Hyperlink" xfId="9938" builtinId="9" hidden="1"/>
    <cellStyle name="Followed Hyperlink" xfId="10225" builtinId="9" hidden="1"/>
    <cellStyle name="Followed Hyperlink" xfId="10266" builtinId="9" hidden="1"/>
    <cellStyle name="Followed Hyperlink" xfId="10267" builtinId="9" hidden="1"/>
    <cellStyle name="Followed Hyperlink" xfId="10268" builtinId="9" hidden="1"/>
    <cellStyle name="Followed Hyperlink" xfId="10269" builtinId="9" hidden="1"/>
    <cellStyle name="Followed Hyperlink" xfId="10270" builtinId="9" hidden="1"/>
    <cellStyle name="Followed Hyperlink" xfId="10271" builtinId="9" hidden="1"/>
    <cellStyle name="Followed Hyperlink" xfId="10272" builtinId="9" hidden="1"/>
    <cellStyle name="Followed Hyperlink" xfId="10273" builtinId="9" hidden="1"/>
    <cellStyle name="Followed Hyperlink" xfId="10274" builtinId="9" hidden="1"/>
    <cellStyle name="Followed Hyperlink" xfId="10275" builtinId="9" hidden="1"/>
    <cellStyle name="Followed Hyperlink" xfId="10276" builtinId="9" hidden="1"/>
    <cellStyle name="Followed Hyperlink" xfId="10277" builtinId="9" hidden="1"/>
    <cellStyle name="Followed Hyperlink" xfId="10278" builtinId="9" hidden="1"/>
    <cellStyle name="Followed Hyperlink" xfId="10279" builtinId="9" hidden="1"/>
    <cellStyle name="Followed Hyperlink" xfId="10280" builtinId="9" hidden="1"/>
    <cellStyle name="Followed Hyperlink" xfId="10281" builtinId="9" hidden="1"/>
    <cellStyle name="Followed Hyperlink" xfId="10282" builtinId="9" hidden="1"/>
    <cellStyle name="Followed Hyperlink" xfId="10283" builtinId="9" hidden="1"/>
    <cellStyle name="Followed Hyperlink" xfId="10284" builtinId="9" hidden="1"/>
    <cellStyle name="Followed Hyperlink" xfId="10285" builtinId="9" hidden="1"/>
    <cellStyle name="Followed Hyperlink" xfId="10286" builtinId="9" hidden="1"/>
    <cellStyle name="Followed Hyperlink" xfId="10287" builtinId="9" hidden="1"/>
    <cellStyle name="Followed Hyperlink" xfId="10288" builtinId="9" hidden="1"/>
    <cellStyle name="Followed Hyperlink" xfId="10289" builtinId="9" hidden="1"/>
    <cellStyle name="Followed Hyperlink" xfId="10290" builtinId="9" hidden="1"/>
    <cellStyle name="Followed Hyperlink" xfId="10291" builtinId="9" hidden="1"/>
    <cellStyle name="Followed Hyperlink" xfId="10292" builtinId="9" hidden="1"/>
    <cellStyle name="Followed Hyperlink" xfId="10293" builtinId="9" hidden="1"/>
    <cellStyle name="Followed Hyperlink" xfId="10294" builtinId="9" hidden="1"/>
    <cellStyle name="Followed Hyperlink" xfId="10295" builtinId="9" hidden="1"/>
    <cellStyle name="Followed Hyperlink" xfId="10296" builtinId="9" hidden="1"/>
    <cellStyle name="Followed Hyperlink" xfId="10297" builtinId="9" hidden="1"/>
    <cellStyle name="Followed Hyperlink" xfId="10298" builtinId="9" hidden="1"/>
    <cellStyle name="Followed Hyperlink" xfId="10299" builtinId="9" hidden="1"/>
    <cellStyle name="Followed Hyperlink" xfId="10300" builtinId="9" hidden="1"/>
    <cellStyle name="Followed Hyperlink" xfId="10301" builtinId="9" hidden="1"/>
    <cellStyle name="Followed Hyperlink" xfId="10302" builtinId="9" hidden="1"/>
    <cellStyle name="Followed Hyperlink" xfId="10303" builtinId="9" hidden="1"/>
    <cellStyle name="Followed Hyperlink" xfId="10304" builtinId="9" hidden="1"/>
    <cellStyle name="Followed Hyperlink" xfId="9940" builtinId="9" hidden="1"/>
    <cellStyle name="Followed Hyperlink" xfId="10265" builtinId="9" hidden="1"/>
    <cellStyle name="Followed Hyperlink" xfId="10306" builtinId="9" hidden="1"/>
    <cellStyle name="Followed Hyperlink" xfId="10307" builtinId="9" hidden="1"/>
    <cellStyle name="Followed Hyperlink" xfId="10308" builtinId="9" hidden="1"/>
    <cellStyle name="Followed Hyperlink" xfId="10309" builtinId="9" hidden="1"/>
    <cellStyle name="Followed Hyperlink" xfId="10310" builtinId="9" hidden="1"/>
    <cellStyle name="Followed Hyperlink" xfId="10311" builtinId="9" hidden="1"/>
    <cellStyle name="Followed Hyperlink" xfId="10312" builtinId="9" hidden="1"/>
    <cellStyle name="Followed Hyperlink" xfId="10313" builtinId="9" hidden="1"/>
    <cellStyle name="Followed Hyperlink" xfId="10314" builtinId="9" hidden="1"/>
    <cellStyle name="Followed Hyperlink" xfId="10315" builtinId="9" hidden="1"/>
    <cellStyle name="Followed Hyperlink" xfId="10316" builtinId="9" hidden="1"/>
    <cellStyle name="Followed Hyperlink" xfId="10317" builtinId="9" hidden="1"/>
    <cellStyle name="Followed Hyperlink" xfId="10318" builtinId="9" hidden="1"/>
    <cellStyle name="Followed Hyperlink" xfId="10319" builtinId="9" hidden="1"/>
    <cellStyle name="Followed Hyperlink" xfId="10320" builtinId="9" hidden="1"/>
    <cellStyle name="Followed Hyperlink" xfId="10321" builtinId="9" hidden="1"/>
    <cellStyle name="Followed Hyperlink" xfId="10322" builtinId="9" hidden="1"/>
    <cellStyle name="Followed Hyperlink" xfId="10323" builtinId="9" hidden="1"/>
    <cellStyle name="Followed Hyperlink" xfId="10324" builtinId="9" hidden="1"/>
    <cellStyle name="Followed Hyperlink" xfId="10325" builtinId="9" hidden="1"/>
    <cellStyle name="Followed Hyperlink" xfId="10326" builtinId="9" hidden="1"/>
    <cellStyle name="Followed Hyperlink" xfId="10327" builtinId="9" hidden="1"/>
    <cellStyle name="Followed Hyperlink" xfId="10328" builtinId="9" hidden="1"/>
    <cellStyle name="Followed Hyperlink" xfId="10329" builtinId="9" hidden="1"/>
    <cellStyle name="Followed Hyperlink" xfId="10330" builtinId="9" hidden="1"/>
    <cellStyle name="Followed Hyperlink" xfId="10331" builtinId="9" hidden="1"/>
    <cellStyle name="Followed Hyperlink" xfId="10332" builtinId="9" hidden="1"/>
    <cellStyle name="Followed Hyperlink" xfId="10333" builtinId="9" hidden="1"/>
    <cellStyle name="Followed Hyperlink" xfId="10334" builtinId="9" hidden="1"/>
    <cellStyle name="Followed Hyperlink" xfId="10335" builtinId="9" hidden="1"/>
    <cellStyle name="Followed Hyperlink" xfId="10336" builtinId="9" hidden="1"/>
    <cellStyle name="Followed Hyperlink" xfId="10337" builtinId="9" hidden="1"/>
    <cellStyle name="Followed Hyperlink" xfId="10338" builtinId="9" hidden="1"/>
    <cellStyle name="Followed Hyperlink" xfId="10339" builtinId="9" hidden="1"/>
    <cellStyle name="Followed Hyperlink" xfId="10340" builtinId="9" hidden="1"/>
    <cellStyle name="Followed Hyperlink" xfId="10341" builtinId="9" hidden="1"/>
    <cellStyle name="Followed Hyperlink" xfId="10342" builtinId="9" hidden="1"/>
    <cellStyle name="Followed Hyperlink" xfId="10343" builtinId="9" hidden="1"/>
    <cellStyle name="Followed Hyperlink" xfId="10344" builtinId="9" hidden="1"/>
    <cellStyle name="Followed Hyperlink" xfId="9936" builtinId="9" hidden="1"/>
    <cellStyle name="Followed Hyperlink" xfId="10305" builtinId="9" hidden="1"/>
    <cellStyle name="Followed Hyperlink" xfId="10345" builtinId="9" hidden="1"/>
    <cellStyle name="Followed Hyperlink" xfId="10346" builtinId="9" hidden="1"/>
    <cellStyle name="Followed Hyperlink" xfId="10347" builtinId="9" hidden="1"/>
    <cellStyle name="Followed Hyperlink" xfId="10348" builtinId="9" hidden="1"/>
    <cellStyle name="Followed Hyperlink" xfId="10349" builtinId="9" hidden="1"/>
    <cellStyle name="Followed Hyperlink" xfId="10350" builtinId="9" hidden="1"/>
    <cellStyle name="Followed Hyperlink" xfId="10351" builtinId="9" hidden="1"/>
    <cellStyle name="Followed Hyperlink" xfId="10352" builtinId="9" hidden="1"/>
    <cellStyle name="Followed Hyperlink" xfId="10353" builtinId="9" hidden="1"/>
    <cellStyle name="Followed Hyperlink" xfId="10354" builtinId="9" hidden="1"/>
    <cellStyle name="Followed Hyperlink" xfId="10355" builtinId="9" hidden="1"/>
    <cellStyle name="Followed Hyperlink" xfId="10356" builtinId="9" hidden="1"/>
    <cellStyle name="Followed Hyperlink" xfId="10357" builtinId="9" hidden="1"/>
    <cellStyle name="Followed Hyperlink" xfId="10358" builtinId="9" hidden="1"/>
    <cellStyle name="Followed Hyperlink" xfId="10359" builtinId="9" hidden="1"/>
    <cellStyle name="Followed Hyperlink" xfId="10360" builtinId="9" hidden="1"/>
    <cellStyle name="Followed Hyperlink" xfId="10361" builtinId="9" hidden="1"/>
    <cellStyle name="Followed Hyperlink" xfId="10362" builtinId="9" hidden="1"/>
    <cellStyle name="Followed Hyperlink" xfId="10363" builtinId="9" hidden="1"/>
    <cellStyle name="Followed Hyperlink" xfId="10364" builtinId="9" hidden="1"/>
    <cellStyle name="Followed Hyperlink" xfId="10365" builtinId="9" hidden="1"/>
    <cellStyle name="Followed Hyperlink" xfId="10366" builtinId="9" hidden="1"/>
    <cellStyle name="Followed Hyperlink" xfId="10367" builtinId="9" hidden="1"/>
    <cellStyle name="Followed Hyperlink" xfId="10368" builtinId="9" hidden="1"/>
    <cellStyle name="Followed Hyperlink" xfId="10369" builtinId="9" hidden="1"/>
    <cellStyle name="Followed Hyperlink" xfId="10370" builtinId="9" hidden="1"/>
    <cellStyle name="Followed Hyperlink" xfId="10371" builtinId="9" hidden="1"/>
    <cellStyle name="Followed Hyperlink" xfId="10372" builtinId="9" hidden="1"/>
    <cellStyle name="Followed Hyperlink" xfId="10373" builtinId="9" hidden="1"/>
    <cellStyle name="Followed Hyperlink" xfId="10374" builtinId="9" hidden="1"/>
    <cellStyle name="Followed Hyperlink" xfId="10375" builtinId="9" hidden="1"/>
    <cellStyle name="Followed Hyperlink" xfId="10376" builtinId="9" hidden="1"/>
    <cellStyle name="Followed Hyperlink" xfId="10377" builtinId="9" hidden="1"/>
    <cellStyle name="Followed Hyperlink" xfId="10378" builtinId="9" hidden="1"/>
    <cellStyle name="Followed Hyperlink" xfId="10379" builtinId="9" hidden="1"/>
    <cellStyle name="Followed Hyperlink" xfId="10380" builtinId="9" hidden="1"/>
    <cellStyle name="Followed Hyperlink" xfId="10381" builtinId="9" hidden="1"/>
    <cellStyle name="Followed Hyperlink" xfId="10382" builtinId="9" hidden="1"/>
    <cellStyle name="Followed Hyperlink" xfId="10383" builtinId="9" hidden="1"/>
    <cellStyle name="Followed Hyperlink" xfId="10384" builtinId="9" hidden="1"/>
    <cellStyle name="Followed Hyperlink" xfId="10385" builtinId="9" hidden="1"/>
    <cellStyle name="Followed Hyperlink" xfId="10386" builtinId="9" hidden="1"/>
    <cellStyle name="Followed Hyperlink" xfId="10387" builtinId="9" hidden="1"/>
    <cellStyle name="Followed Hyperlink" xfId="10388" builtinId="9" hidden="1"/>
    <cellStyle name="Followed Hyperlink" xfId="10389" builtinId="9" hidden="1"/>
    <cellStyle name="Followed Hyperlink" xfId="10390" builtinId="9" hidden="1"/>
    <cellStyle name="Followed Hyperlink" xfId="10391" builtinId="9" hidden="1"/>
    <cellStyle name="Followed Hyperlink" xfId="10392" builtinId="9" hidden="1"/>
    <cellStyle name="Followed Hyperlink" xfId="10393" builtinId="9" hidden="1"/>
    <cellStyle name="Followed Hyperlink" xfId="10394" builtinId="9" hidden="1"/>
    <cellStyle name="Followed Hyperlink" xfId="10395" builtinId="9" hidden="1"/>
    <cellStyle name="Followed Hyperlink" xfId="10396" builtinId="9" hidden="1"/>
    <cellStyle name="Followed Hyperlink" xfId="10397" builtinId="9" hidden="1"/>
    <cellStyle name="Followed Hyperlink" xfId="10398" builtinId="9" hidden="1"/>
    <cellStyle name="Followed Hyperlink" xfId="10399" builtinId="9" hidden="1"/>
    <cellStyle name="Followed Hyperlink" xfId="10400" builtinId="9" hidden="1"/>
    <cellStyle name="Followed Hyperlink" xfId="10401" builtinId="9" hidden="1"/>
    <cellStyle name="Followed Hyperlink" xfId="10402" builtinId="9" hidden="1"/>
    <cellStyle name="Followed Hyperlink" xfId="10403" builtinId="9" hidden="1"/>
    <cellStyle name="Followed Hyperlink" xfId="10404" builtinId="9" hidden="1"/>
    <cellStyle name="Followed Hyperlink" xfId="10405" builtinId="9" hidden="1"/>
    <cellStyle name="Followed Hyperlink" xfId="10406" builtinId="9" hidden="1"/>
    <cellStyle name="Followed Hyperlink" xfId="10407" builtinId="9" hidden="1"/>
    <cellStyle name="Followed Hyperlink" xfId="10408" builtinId="9" hidden="1"/>
    <cellStyle name="Followed Hyperlink" xfId="10409" builtinId="9" hidden="1"/>
    <cellStyle name="Followed Hyperlink" xfId="10410" builtinId="9" hidden="1"/>
    <cellStyle name="Followed Hyperlink" xfId="10411" builtinId="9" hidden="1"/>
    <cellStyle name="Followed Hyperlink" xfId="10412" builtinId="9" hidden="1"/>
    <cellStyle name="Followed Hyperlink" xfId="10413" builtinId="9" hidden="1"/>
    <cellStyle name="Followed Hyperlink" xfId="10414" builtinId="9" hidden="1"/>
    <cellStyle name="Followed Hyperlink" xfId="10415" builtinId="9" hidden="1"/>
    <cellStyle name="Followed Hyperlink" xfId="10416" builtinId="9" hidden="1"/>
    <cellStyle name="Followed Hyperlink" xfId="10417" builtinId="9" hidden="1"/>
    <cellStyle name="Followed Hyperlink" xfId="10418" builtinId="9" hidden="1"/>
    <cellStyle name="Followed Hyperlink" xfId="10419" builtinId="9" hidden="1"/>
    <cellStyle name="Followed Hyperlink" xfId="10420" builtinId="9" hidden="1"/>
    <cellStyle name="Followed Hyperlink" xfId="10421" builtinId="9" hidden="1"/>
    <cellStyle name="Followed Hyperlink" xfId="10422" builtinId="9" hidden="1"/>
    <cellStyle name="Followed Hyperlink" xfId="10423" builtinId="9" hidden="1"/>
    <cellStyle name="Followed Hyperlink" xfId="10424" builtinId="9" hidden="1"/>
    <cellStyle name="Followed Hyperlink" xfId="10433" builtinId="9" hidden="1"/>
    <cellStyle name="Followed Hyperlink" xfId="10434" builtinId="9" hidden="1"/>
    <cellStyle name="Followed Hyperlink" xfId="10435" builtinId="9" hidden="1"/>
    <cellStyle name="Followed Hyperlink" xfId="10436" builtinId="9" hidden="1"/>
    <cellStyle name="Followed Hyperlink" xfId="10437" builtinId="9" hidden="1"/>
    <cellStyle name="Followed Hyperlink" xfId="10438" builtinId="9" hidden="1"/>
    <cellStyle name="Followed Hyperlink" xfId="10439" builtinId="9" hidden="1"/>
    <cellStyle name="Followed Hyperlink" xfId="10440" builtinId="9" hidden="1"/>
    <cellStyle name="Followed Hyperlink" xfId="10441" builtinId="9" hidden="1"/>
    <cellStyle name="Followed Hyperlink" xfId="10442" builtinId="9" hidden="1"/>
    <cellStyle name="Followed Hyperlink" xfId="10443" builtinId="9" hidden="1"/>
    <cellStyle name="Followed Hyperlink" xfId="10444" builtinId="9" hidden="1"/>
    <cellStyle name="Followed Hyperlink" xfId="10445" builtinId="9" hidden="1"/>
    <cellStyle name="Followed Hyperlink" xfId="10446" builtinId="9" hidden="1"/>
    <cellStyle name="Followed Hyperlink" xfId="10447" builtinId="9" hidden="1"/>
    <cellStyle name="Followed Hyperlink" xfId="10448" builtinId="9" hidden="1"/>
    <cellStyle name="Followed Hyperlink" xfId="10449" builtinId="9" hidden="1"/>
    <cellStyle name="Followed Hyperlink" xfId="10450" builtinId="9" hidden="1"/>
    <cellStyle name="Followed Hyperlink" xfId="10451" builtinId="9" hidden="1"/>
    <cellStyle name="Followed Hyperlink" xfId="10452" builtinId="9" hidden="1"/>
    <cellStyle name="Followed Hyperlink" xfId="10453" builtinId="9" hidden="1"/>
    <cellStyle name="Followed Hyperlink" xfId="10454" builtinId="9" hidden="1"/>
    <cellStyle name="Followed Hyperlink" xfId="10455" builtinId="9" hidden="1"/>
    <cellStyle name="Followed Hyperlink" xfId="10456" builtinId="9" hidden="1"/>
    <cellStyle name="Followed Hyperlink" xfId="10457" builtinId="9" hidden="1"/>
    <cellStyle name="Followed Hyperlink" xfId="10458" builtinId="9" hidden="1"/>
    <cellStyle name="Followed Hyperlink" xfId="10459" builtinId="9" hidden="1"/>
    <cellStyle name="Followed Hyperlink" xfId="10460" builtinId="9" hidden="1"/>
    <cellStyle name="Followed Hyperlink" xfId="10461" builtinId="9" hidden="1"/>
    <cellStyle name="Followed Hyperlink" xfId="10462" builtinId="9" hidden="1"/>
    <cellStyle name="Followed Hyperlink" xfId="10463" builtinId="9" hidden="1"/>
    <cellStyle name="Followed Hyperlink" xfId="10464" builtinId="9" hidden="1"/>
    <cellStyle name="Followed Hyperlink" xfId="10465" builtinId="9" hidden="1"/>
    <cellStyle name="Followed Hyperlink" xfId="10466" builtinId="9" hidden="1"/>
    <cellStyle name="Followed Hyperlink" xfId="10467" builtinId="9" hidden="1"/>
    <cellStyle name="Followed Hyperlink" xfId="10468" builtinId="9" hidden="1"/>
    <cellStyle name="Followed Hyperlink" xfId="10469" builtinId="9" hidden="1"/>
    <cellStyle name="Followed Hyperlink" xfId="10470" builtinId="9" hidden="1"/>
    <cellStyle name="Followed Hyperlink" xfId="10471" builtinId="9" hidden="1"/>
    <cellStyle name="Followed Hyperlink" xfId="10472" builtinId="9" hidden="1"/>
    <cellStyle name="Followed Hyperlink" xfId="10473" builtinId="9" hidden="1"/>
    <cellStyle name="Followed Hyperlink" xfId="10474" builtinId="9" hidden="1"/>
    <cellStyle name="Followed Hyperlink" xfId="10475" builtinId="9" hidden="1"/>
    <cellStyle name="Followed Hyperlink" xfId="10476" builtinId="9" hidden="1"/>
    <cellStyle name="Followed Hyperlink" xfId="10477" builtinId="9" hidden="1"/>
    <cellStyle name="Followed Hyperlink" xfId="10478" builtinId="9" hidden="1"/>
    <cellStyle name="Followed Hyperlink" xfId="10479" builtinId="9" hidden="1"/>
    <cellStyle name="Followed Hyperlink" xfId="10480" builtinId="9" hidden="1"/>
    <cellStyle name="Followed Hyperlink" xfId="10481" builtinId="9" hidden="1"/>
    <cellStyle name="Followed Hyperlink" xfId="10482" builtinId="9" hidden="1"/>
    <cellStyle name="Followed Hyperlink" xfId="10483" builtinId="9" hidden="1"/>
    <cellStyle name="Followed Hyperlink" xfId="10484" builtinId="9" hidden="1"/>
    <cellStyle name="Followed Hyperlink" xfId="10485" builtinId="9" hidden="1"/>
    <cellStyle name="Followed Hyperlink" xfId="10486" builtinId="9" hidden="1"/>
    <cellStyle name="Followed Hyperlink" xfId="10487" builtinId="9" hidden="1"/>
    <cellStyle name="Followed Hyperlink" xfId="10488" builtinId="9" hidden="1"/>
    <cellStyle name="Followed Hyperlink" xfId="10489" builtinId="9" hidden="1"/>
    <cellStyle name="Followed Hyperlink" xfId="10490" builtinId="9" hidden="1"/>
    <cellStyle name="Followed Hyperlink" xfId="10491" builtinId="9" hidden="1"/>
    <cellStyle name="Followed Hyperlink" xfId="10492" builtinId="9" hidden="1"/>
    <cellStyle name="Followed Hyperlink" xfId="10493" builtinId="9" hidden="1"/>
    <cellStyle name="Followed Hyperlink" xfId="10494" builtinId="9" hidden="1"/>
    <cellStyle name="Followed Hyperlink" xfId="10495" builtinId="9" hidden="1"/>
    <cellStyle name="Followed Hyperlink" xfId="10496" builtinId="9" hidden="1"/>
    <cellStyle name="Followed Hyperlink" xfId="10497" builtinId="9" hidden="1"/>
    <cellStyle name="Followed Hyperlink" xfId="10498" builtinId="9" hidden="1"/>
    <cellStyle name="Followed Hyperlink" xfId="10499" builtinId="9" hidden="1"/>
    <cellStyle name="Followed Hyperlink" xfId="10500" builtinId="9" hidden="1"/>
    <cellStyle name="Followed Hyperlink" xfId="10501" builtinId="9" hidden="1"/>
    <cellStyle name="Followed Hyperlink" xfId="10502" builtinId="9" hidden="1"/>
    <cellStyle name="Followed Hyperlink" xfId="10503" builtinId="9" hidden="1"/>
    <cellStyle name="Followed Hyperlink" xfId="10504" builtinId="9" hidden="1"/>
    <cellStyle name="Followed Hyperlink" xfId="10505" builtinId="9" hidden="1"/>
    <cellStyle name="Followed Hyperlink" xfId="10506" builtinId="9" hidden="1"/>
    <cellStyle name="Followed Hyperlink" xfId="10507" builtinId="9" hidden="1"/>
    <cellStyle name="Followed Hyperlink" xfId="10508" builtinId="9" hidden="1"/>
    <cellStyle name="Followed Hyperlink" xfId="10509" builtinId="9" hidden="1"/>
    <cellStyle name="Followed Hyperlink" xfId="10510" builtinId="9" hidden="1"/>
    <cellStyle name="Followed Hyperlink" xfId="10511" builtinId="9" hidden="1"/>
    <cellStyle name="Followed Hyperlink" xfId="10512" builtinId="9" hidden="1"/>
    <cellStyle name="Followed Hyperlink" xfId="10513" builtinId="9" hidden="1"/>
    <cellStyle name="Followed Hyperlink" xfId="10514" builtinId="9" hidden="1"/>
    <cellStyle name="Followed Hyperlink" xfId="10515" builtinId="9" hidden="1"/>
    <cellStyle name="Followed Hyperlink" xfId="10516" builtinId="9" hidden="1"/>
    <cellStyle name="Followed Hyperlink" xfId="10517" builtinId="9" hidden="1"/>
    <cellStyle name="Followed Hyperlink" xfId="10518" builtinId="9" hidden="1"/>
    <cellStyle name="Followed Hyperlink" xfId="10519" builtinId="9" hidden="1"/>
    <cellStyle name="Followed Hyperlink" xfId="10520" builtinId="9" hidden="1"/>
    <cellStyle name="Followed Hyperlink" xfId="10521" builtinId="9" hidden="1"/>
    <cellStyle name="Followed Hyperlink" xfId="10522" builtinId="9" hidden="1"/>
    <cellStyle name="Followed Hyperlink" xfId="10523" builtinId="9" hidden="1"/>
    <cellStyle name="Followed Hyperlink" xfId="10524" builtinId="9" hidden="1"/>
    <cellStyle name="Followed Hyperlink" xfId="10525" builtinId="9" hidden="1"/>
    <cellStyle name="Followed Hyperlink" xfId="10526" builtinId="9" hidden="1"/>
    <cellStyle name="Followed Hyperlink" xfId="10527" builtinId="9" hidden="1"/>
    <cellStyle name="Followed Hyperlink" xfId="10528" builtinId="9" hidden="1"/>
    <cellStyle name="Followed Hyperlink" xfId="10529" builtinId="9" hidden="1"/>
    <cellStyle name="Followed Hyperlink" xfId="10530" builtinId="9" hidden="1"/>
    <cellStyle name="Followed Hyperlink" xfId="10531" builtinId="9" hidden="1"/>
    <cellStyle name="Followed Hyperlink" xfId="10532" builtinId="9" hidden="1"/>
    <cellStyle name="Followed Hyperlink" xfId="10533" builtinId="9" hidden="1"/>
    <cellStyle name="Followed Hyperlink" xfId="10534" builtinId="9" hidden="1"/>
    <cellStyle name="Followed Hyperlink" xfId="10535" builtinId="9" hidden="1"/>
    <cellStyle name="Followed Hyperlink" xfId="10536" builtinId="9" hidden="1"/>
    <cellStyle name="Followed Hyperlink" xfId="10537" builtinId="9" hidden="1"/>
    <cellStyle name="Followed Hyperlink" xfId="10538" builtinId="9" hidden="1"/>
    <cellStyle name="Followed Hyperlink" xfId="10539" builtinId="9" hidden="1"/>
    <cellStyle name="Followed Hyperlink" xfId="10540" builtinId="9" hidden="1"/>
    <cellStyle name="Followed Hyperlink" xfId="10541" builtinId="9" hidden="1"/>
    <cellStyle name="Followed Hyperlink" xfId="10542" builtinId="9" hidden="1"/>
    <cellStyle name="Followed Hyperlink" xfId="10543" builtinId="9" hidden="1"/>
    <cellStyle name="Followed Hyperlink" xfId="10544" builtinId="9" hidden="1"/>
    <cellStyle name="Followed Hyperlink" xfId="10545" builtinId="9" hidden="1"/>
    <cellStyle name="Followed Hyperlink" xfId="10546" builtinId="9" hidden="1"/>
    <cellStyle name="Followed Hyperlink" xfId="10547" builtinId="9" hidden="1"/>
    <cellStyle name="Followed Hyperlink" xfId="10548" builtinId="9" hidden="1"/>
    <cellStyle name="Followed Hyperlink" xfId="10549" builtinId="9" hidden="1"/>
    <cellStyle name="Followed Hyperlink" xfId="10550" builtinId="9" hidden="1"/>
    <cellStyle name="Followed Hyperlink" xfId="10551" builtinId="9" hidden="1"/>
    <cellStyle name="Followed Hyperlink" xfId="10552" builtinId="9" hidden="1"/>
    <cellStyle name="Followed Hyperlink" xfId="10553" builtinId="9" hidden="1"/>
    <cellStyle name="Followed Hyperlink" xfId="10554" builtinId="9" hidden="1"/>
    <cellStyle name="Followed Hyperlink" xfId="10555" builtinId="9" hidden="1"/>
    <cellStyle name="Followed Hyperlink" xfId="10425" builtinId="9" hidden="1"/>
    <cellStyle name="Followed Hyperlink" xfId="6955" builtinId="9" hidden="1"/>
    <cellStyle name="Followed Hyperlink" xfId="10557" builtinId="9" hidden="1"/>
    <cellStyle name="Followed Hyperlink" xfId="10558" builtinId="9" hidden="1"/>
    <cellStyle name="Followed Hyperlink" xfId="10559" builtinId="9" hidden="1"/>
    <cellStyle name="Followed Hyperlink" xfId="10560" builtinId="9" hidden="1"/>
    <cellStyle name="Followed Hyperlink" xfId="10561" builtinId="9" hidden="1"/>
    <cellStyle name="Followed Hyperlink" xfId="10562" builtinId="9" hidden="1"/>
    <cellStyle name="Followed Hyperlink" xfId="10563" builtinId="9" hidden="1"/>
    <cellStyle name="Followed Hyperlink" xfId="10564" builtinId="9" hidden="1"/>
    <cellStyle name="Followed Hyperlink" xfId="10565" builtinId="9" hidden="1"/>
    <cellStyle name="Followed Hyperlink" xfId="10566" builtinId="9" hidden="1"/>
    <cellStyle name="Followed Hyperlink" xfId="10567" builtinId="9" hidden="1"/>
    <cellStyle name="Followed Hyperlink" xfId="10568" builtinId="9" hidden="1"/>
    <cellStyle name="Followed Hyperlink" xfId="10569" builtinId="9" hidden="1"/>
    <cellStyle name="Followed Hyperlink" xfId="10570" builtinId="9" hidden="1"/>
    <cellStyle name="Followed Hyperlink" xfId="10571" builtinId="9" hidden="1"/>
    <cellStyle name="Followed Hyperlink" xfId="10572" builtinId="9" hidden="1"/>
    <cellStyle name="Followed Hyperlink" xfId="10573" builtinId="9" hidden="1"/>
    <cellStyle name="Followed Hyperlink" xfId="10574" builtinId="9" hidden="1"/>
    <cellStyle name="Followed Hyperlink" xfId="10575" builtinId="9" hidden="1"/>
    <cellStyle name="Followed Hyperlink" xfId="10576" builtinId="9" hidden="1"/>
    <cellStyle name="Followed Hyperlink" xfId="10577" builtinId="9" hidden="1"/>
    <cellStyle name="Followed Hyperlink" xfId="10578" builtinId="9" hidden="1"/>
    <cellStyle name="Followed Hyperlink" xfId="10579" builtinId="9" hidden="1"/>
    <cellStyle name="Followed Hyperlink" xfId="10580" builtinId="9" hidden="1"/>
    <cellStyle name="Followed Hyperlink" xfId="10581" builtinId="9" hidden="1"/>
    <cellStyle name="Followed Hyperlink" xfId="10582" builtinId="9" hidden="1"/>
    <cellStyle name="Followed Hyperlink" xfId="10583" builtinId="9" hidden="1"/>
    <cellStyle name="Followed Hyperlink" xfId="10584" builtinId="9" hidden="1"/>
    <cellStyle name="Followed Hyperlink" xfId="10585" builtinId="9" hidden="1"/>
    <cellStyle name="Followed Hyperlink" xfId="10586" builtinId="9" hidden="1"/>
    <cellStyle name="Followed Hyperlink" xfId="10587" builtinId="9" hidden="1"/>
    <cellStyle name="Followed Hyperlink" xfId="10588" builtinId="9" hidden="1"/>
    <cellStyle name="Followed Hyperlink" xfId="10589" builtinId="9" hidden="1"/>
    <cellStyle name="Followed Hyperlink" xfId="10590" builtinId="9" hidden="1"/>
    <cellStyle name="Followed Hyperlink" xfId="10591" builtinId="9" hidden="1"/>
    <cellStyle name="Followed Hyperlink" xfId="10592" builtinId="9" hidden="1"/>
    <cellStyle name="Followed Hyperlink" xfId="10593" builtinId="9" hidden="1"/>
    <cellStyle name="Followed Hyperlink" xfId="10594" builtinId="9" hidden="1"/>
    <cellStyle name="Followed Hyperlink" xfId="10595" builtinId="9" hidden="1"/>
    <cellStyle name="Followed Hyperlink" xfId="10430" builtinId="9" hidden="1"/>
    <cellStyle name="Followed Hyperlink" xfId="10556" builtinId="9" hidden="1"/>
    <cellStyle name="Followed Hyperlink" xfId="10597" builtinId="9" hidden="1"/>
    <cellStyle name="Followed Hyperlink" xfId="10598" builtinId="9" hidden="1"/>
    <cellStyle name="Followed Hyperlink" xfId="10599" builtinId="9" hidden="1"/>
    <cellStyle name="Followed Hyperlink" xfId="10600" builtinId="9" hidden="1"/>
    <cellStyle name="Followed Hyperlink" xfId="10601" builtinId="9" hidden="1"/>
    <cellStyle name="Followed Hyperlink" xfId="10602" builtinId="9" hidden="1"/>
    <cellStyle name="Followed Hyperlink" xfId="10603" builtinId="9" hidden="1"/>
    <cellStyle name="Followed Hyperlink" xfId="10604" builtinId="9" hidden="1"/>
    <cellStyle name="Followed Hyperlink" xfId="10605" builtinId="9" hidden="1"/>
    <cellStyle name="Followed Hyperlink" xfId="10606" builtinId="9" hidden="1"/>
    <cellStyle name="Followed Hyperlink" xfId="10607" builtinId="9" hidden="1"/>
    <cellStyle name="Followed Hyperlink" xfId="10608" builtinId="9" hidden="1"/>
    <cellStyle name="Followed Hyperlink" xfId="10609" builtinId="9" hidden="1"/>
    <cellStyle name="Followed Hyperlink" xfId="10610" builtinId="9" hidden="1"/>
    <cellStyle name="Followed Hyperlink" xfId="10611" builtinId="9" hidden="1"/>
    <cellStyle name="Followed Hyperlink" xfId="10612" builtinId="9" hidden="1"/>
    <cellStyle name="Followed Hyperlink" xfId="10613" builtinId="9" hidden="1"/>
    <cellStyle name="Followed Hyperlink" xfId="10614" builtinId="9" hidden="1"/>
    <cellStyle name="Followed Hyperlink" xfId="10615" builtinId="9" hidden="1"/>
    <cellStyle name="Followed Hyperlink" xfId="10616" builtinId="9" hidden="1"/>
    <cellStyle name="Followed Hyperlink" xfId="10617" builtinId="9" hidden="1"/>
    <cellStyle name="Followed Hyperlink" xfId="10618" builtinId="9" hidden="1"/>
    <cellStyle name="Followed Hyperlink" xfId="10619" builtinId="9" hidden="1"/>
    <cellStyle name="Followed Hyperlink" xfId="10620" builtinId="9" hidden="1"/>
    <cellStyle name="Followed Hyperlink" xfId="10621" builtinId="9" hidden="1"/>
    <cellStyle name="Followed Hyperlink" xfId="10622" builtinId="9" hidden="1"/>
    <cellStyle name="Followed Hyperlink" xfId="10623" builtinId="9" hidden="1"/>
    <cellStyle name="Followed Hyperlink" xfId="10624" builtinId="9" hidden="1"/>
    <cellStyle name="Followed Hyperlink" xfId="10625" builtinId="9" hidden="1"/>
    <cellStyle name="Followed Hyperlink" xfId="10626" builtinId="9" hidden="1"/>
    <cellStyle name="Followed Hyperlink" xfId="10627" builtinId="9" hidden="1"/>
    <cellStyle name="Followed Hyperlink" xfId="10628" builtinId="9" hidden="1"/>
    <cellStyle name="Followed Hyperlink" xfId="10629" builtinId="9" hidden="1"/>
    <cellStyle name="Followed Hyperlink" xfId="10630" builtinId="9" hidden="1"/>
    <cellStyle name="Followed Hyperlink" xfId="10631" builtinId="9" hidden="1"/>
    <cellStyle name="Followed Hyperlink" xfId="10632" builtinId="9" hidden="1"/>
    <cellStyle name="Followed Hyperlink" xfId="10633" builtinId="9" hidden="1"/>
    <cellStyle name="Followed Hyperlink" xfId="10634" builtinId="9" hidden="1"/>
    <cellStyle name="Followed Hyperlink" xfId="10635" builtinId="9" hidden="1"/>
    <cellStyle name="Followed Hyperlink" xfId="10432" builtinId="9" hidden="1"/>
    <cellStyle name="Followed Hyperlink" xfId="10596" builtinId="9" hidden="1"/>
    <cellStyle name="Followed Hyperlink" xfId="10637" builtinId="9" hidden="1"/>
    <cellStyle name="Followed Hyperlink" xfId="10638" builtinId="9" hidden="1"/>
    <cellStyle name="Followed Hyperlink" xfId="10639" builtinId="9" hidden="1"/>
    <cellStyle name="Followed Hyperlink" xfId="10640" builtinId="9" hidden="1"/>
    <cellStyle name="Followed Hyperlink" xfId="10641" builtinId="9" hidden="1"/>
    <cellStyle name="Followed Hyperlink" xfId="10642" builtinId="9" hidden="1"/>
    <cellStyle name="Followed Hyperlink" xfId="10643" builtinId="9" hidden="1"/>
    <cellStyle name="Followed Hyperlink" xfId="10644" builtinId="9" hidden="1"/>
    <cellStyle name="Followed Hyperlink" xfId="10645" builtinId="9" hidden="1"/>
    <cellStyle name="Followed Hyperlink" xfId="10646" builtinId="9" hidden="1"/>
    <cellStyle name="Followed Hyperlink" xfId="10647" builtinId="9" hidden="1"/>
    <cellStyle name="Followed Hyperlink" xfId="10648" builtinId="9" hidden="1"/>
    <cellStyle name="Followed Hyperlink" xfId="10649" builtinId="9" hidden="1"/>
    <cellStyle name="Followed Hyperlink" xfId="10650" builtinId="9" hidden="1"/>
    <cellStyle name="Followed Hyperlink" xfId="10651" builtinId="9" hidden="1"/>
    <cellStyle name="Followed Hyperlink" xfId="10652" builtinId="9" hidden="1"/>
    <cellStyle name="Followed Hyperlink" xfId="10653" builtinId="9" hidden="1"/>
    <cellStyle name="Followed Hyperlink" xfId="10654" builtinId="9" hidden="1"/>
    <cellStyle name="Followed Hyperlink" xfId="10655" builtinId="9" hidden="1"/>
    <cellStyle name="Followed Hyperlink" xfId="10656" builtinId="9" hidden="1"/>
    <cellStyle name="Followed Hyperlink" xfId="10657" builtinId="9" hidden="1"/>
    <cellStyle name="Followed Hyperlink" xfId="10658" builtinId="9" hidden="1"/>
    <cellStyle name="Followed Hyperlink" xfId="10659" builtinId="9" hidden="1"/>
    <cellStyle name="Followed Hyperlink" xfId="10660" builtinId="9" hidden="1"/>
    <cellStyle name="Followed Hyperlink" xfId="10661" builtinId="9" hidden="1"/>
    <cellStyle name="Followed Hyperlink" xfId="10662" builtinId="9" hidden="1"/>
    <cellStyle name="Followed Hyperlink" xfId="10663" builtinId="9" hidden="1"/>
    <cellStyle name="Followed Hyperlink" xfId="10664" builtinId="9" hidden="1"/>
    <cellStyle name="Followed Hyperlink" xfId="10665" builtinId="9" hidden="1"/>
    <cellStyle name="Followed Hyperlink" xfId="10666" builtinId="9" hidden="1"/>
    <cellStyle name="Followed Hyperlink" xfId="10667" builtinId="9" hidden="1"/>
    <cellStyle name="Followed Hyperlink" xfId="10668" builtinId="9" hidden="1"/>
    <cellStyle name="Followed Hyperlink" xfId="10669" builtinId="9" hidden="1"/>
    <cellStyle name="Followed Hyperlink" xfId="10670" builtinId="9" hidden="1"/>
    <cellStyle name="Followed Hyperlink" xfId="10671" builtinId="9" hidden="1"/>
    <cellStyle name="Followed Hyperlink" xfId="10672" builtinId="9" hidden="1"/>
    <cellStyle name="Followed Hyperlink" xfId="10673" builtinId="9" hidden="1"/>
    <cellStyle name="Followed Hyperlink" xfId="10674" builtinId="9" hidden="1"/>
    <cellStyle name="Followed Hyperlink" xfId="10675" builtinId="9" hidden="1"/>
    <cellStyle name="Followed Hyperlink" xfId="10426" builtinId="9" hidden="1"/>
    <cellStyle name="Followed Hyperlink" xfId="10636" builtinId="9" hidden="1"/>
    <cellStyle name="Followed Hyperlink" xfId="10677" builtinId="9" hidden="1"/>
    <cellStyle name="Followed Hyperlink" xfId="10678" builtinId="9" hidden="1"/>
    <cellStyle name="Followed Hyperlink" xfId="10679" builtinId="9" hidden="1"/>
    <cellStyle name="Followed Hyperlink" xfId="10680" builtinId="9" hidden="1"/>
    <cellStyle name="Followed Hyperlink" xfId="10681" builtinId="9" hidden="1"/>
    <cellStyle name="Followed Hyperlink" xfId="10682" builtinId="9" hidden="1"/>
    <cellStyle name="Followed Hyperlink" xfId="10683" builtinId="9" hidden="1"/>
    <cellStyle name="Followed Hyperlink" xfId="10684" builtinId="9" hidden="1"/>
    <cellStyle name="Followed Hyperlink" xfId="10685" builtinId="9" hidden="1"/>
    <cellStyle name="Followed Hyperlink" xfId="10686" builtinId="9" hidden="1"/>
    <cellStyle name="Followed Hyperlink" xfId="10687" builtinId="9" hidden="1"/>
    <cellStyle name="Followed Hyperlink" xfId="10688" builtinId="9" hidden="1"/>
    <cellStyle name="Followed Hyperlink" xfId="10689" builtinId="9" hidden="1"/>
    <cellStyle name="Followed Hyperlink" xfId="10690" builtinId="9" hidden="1"/>
    <cellStyle name="Followed Hyperlink" xfId="10691" builtinId="9" hidden="1"/>
    <cellStyle name="Followed Hyperlink" xfId="10692" builtinId="9" hidden="1"/>
    <cellStyle name="Followed Hyperlink" xfId="10693" builtinId="9" hidden="1"/>
    <cellStyle name="Followed Hyperlink" xfId="10694" builtinId="9" hidden="1"/>
    <cellStyle name="Followed Hyperlink" xfId="10695" builtinId="9" hidden="1"/>
    <cellStyle name="Followed Hyperlink" xfId="10696" builtinId="9" hidden="1"/>
    <cellStyle name="Followed Hyperlink" xfId="10697" builtinId="9" hidden="1"/>
    <cellStyle name="Followed Hyperlink" xfId="10698" builtinId="9" hidden="1"/>
    <cellStyle name="Followed Hyperlink" xfId="10699" builtinId="9" hidden="1"/>
    <cellStyle name="Followed Hyperlink" xfId="10700" builtinId="9" hidden="1"/>
    <cellStyle name="Followed Hyperlink" xfId="10701" builtinId="9" hidden="1"/>
    <cellStyle name="Followed Hyperlink" xfId="10702" builtinId="9" hidden="1"/>
    <cellStyle name="Followed Hyperlink" xfId="10703" builtinId="9" hidden="1"/>
    <cellStyle name="Followed Hyperlink" xfId="10704" builtinId="9" hidden="1"/>
    <cellStyle name="Followed Hyperlink" xfId="10705" builtinId="9" hidden="1"/>
    <cellStyle name="Followed Hyperlink" xfId="10706" builtinId="9" hidden="1"/>
    <cellStyle name="Followed Hyperlink" xfId="10707" builtinId="9" hidden="1"/>
    <cellStyle name="Followed Hyperlink" xfId="10708" builtinId="9" hidden="1"/>
    <cellStyle name="Followed Hyperlink" xfId="10709" builtinId="9" hidden="1"/>
    <cellStyle name="Followed Hyperlink" xfId="10710" builtinId="9" hidden="1"/>
    <cellStyle name="Followed Hyperlink" xfId="10711" builtinId="9" hidden="1"/>
    <cellStyle name="Followed Hyperlink" xfId="10712" builtinId="9" hidden="1"/>
    <cellStyle name="Followed Hyperlink" xfId="10713" builtinId="9" hidden="1"/>
    <cellStyle name="Followed Hyperlink" xfId="10714" builtinId="9" hidden="1"/>
    <cellStyle name="Followed Hyperlink" xfId="10715" builtinId="9" hidden="1"/>
    <cellStyle name="Followed Hyperlink" xfId="10428" builtinId="9" hidden="1"/>
    <cellStyle name="Followed Hyperlink" xfId="10676" builtinId="9" hidden="1"/>
    <cellStyle name="Followed Hyperlink" xfId="10717" builtinId="9" hidden="1"/>
    <cellStyle name="Followed Hyperlink" xfId="10718" builtinId="9" hidden="1"/>
    <cellStyle name="Followed Hyperlink" xfId="10719" builtinId="9" hidden="1"/>
    <cellStyle name="Followed Hyperlink" xfId="10720" builtinId="9" hidden="1"/>
    <cellStyle name="Followed Hyperlink" xfId="10721" builtinId="9" hidden="1"/>
    <cellStyle name="Followed Hyperlink" xfId="10722" builtinId="9" hidden="1"/>
    <cellStyle name="Followed Hyperlink" xfId="10723" builtinId="9" hidden="1"/>
    <cellStyle name="Followed Hyperlink" xfId="10724" builtinId="9" hidden="1"/>
    <cellStyle name="Followed Hyperlink" xfId="10725" builtinId="9" hidden="1"/>
    <cellStyle name="Followed Hyperlink" xfId="10726" builtinId="9" hidden="1"/>
    <cellStyle name="Followed Hyperlink" xfId="10727" builtinId="9" hidden="1"/>
    <cellStyle name="Followed Hyperlink" xfId="10728" builtinId="9" hidden="1"/>
    <cellStyle name="Followed Hyperlink" xfId="10729" builtinId="9" hidden="1"/>
    <cellStyle name="Followed Hyperlink" xfId="10730" builtinId="9" hidden="1"/>
    <cellStyle name="Followed Hyperlink" xfId="10731" builtinId="9" hidden="1"/>
    <cellStyle name="Followed Hyperlink" xfId="10732" builtinId="9" hidden="1"/>
    <cellStyle name="Followed Hyperlink" xfId="10733" builtinId="9" hidden="1"/>
    <cellStyle name="Followed Hyperlink" xfId="10734" builtinId="9" hidden="1"/>
    <cellStyle name="Followed Hyperlink" xfId="10735" builtinId="9" hidden="1"/>
    <cellStyle name="Followed Hyperlink" xfId="10736" builtinId="9" hidden="1"/>
    <cellStyle name="Followed Hyperlink" xfId="10737" builtinId="9" hidden="1"/>
    <cellStyle name="Followed Hyperlink" xfId="10738" builtinId="9" hidden="1"/>
    <cellStyle name="Followed Hyperlink" xfId="10739" builtinId="9" hidden="1"/>
    <cellStyle name="Followed Hyperlink" xfId="10740" builtinId="9" hidden="1"/>
    <cellStyle name="Followed Hyperlink" xfId="10741" builtinId="9" hidden="1"/>
    <cellStyle name="Followed Hyperlink" xfId="10742" builtinId="9" hidden="1"/>
    <cellStyle name="Followed Hyperlink" xfId="10743" builtinId="9" hidden="1"/>
    <cellStyle name="Followed Hyperlink" xfId="10744" builtinId="9" hidden="1"/>
    <cellStyle name="Followed Hyperlink" xfId="10745" builtinId="9" hidden="1"/>
    <cellStyle name="Followed Hyperlink" xfId="10746" builtinId="9" hidden="1"/>
    <cellStyle name="Followed Hyperlink" xfId="10747" builtinId="9" hidden="1"/>
    <cellStyle name="Followed Hyperlink" xfId="10748" builtinId="9" hidden="1"/>
    <cellStyle name="Followed Hyperlink" xfId="10749" builtinId="9" hidden="1"/>
    <cellStyle name="Followed Hyperlink" xfId="10750" builtinId="9" hidden="1"/>
    <cellStyle name="Followed Hyperlink" xfId="10751" builtinId="9" hidden="1"/>
    <cellStyle name="Followed Hyperlink" xfId="10752" builtinId="9" hidden="1"/>
    <cellStyle name="Followed Hyperlink" xfId="10753" builtinId="9" hidden="1"/>
    <cellStyle name="Followed Hyperlink" xfId="10754" builtinId="9" hidden="1"/>
    <cellStyle name="Followed Hyperlink" xfId="10755" builtinId="9" hidden="1"/>
    <cellStyle name="Followed Hyperlink" xfId="10429" builtinId="9" hidden="1"/>
    <cellStyle name="Followed Hyperlink" xfId="10716" builtinId="9" hidden="1"/>
    <cellStyle name="Followed Hyperlink" xfId="10757" builtinId="9" hidden="1"/>
    <cellStyle name="Followed Hyperlink" xfId="10758" builtinId="9" hidden="1"/>
    <cellStyle name="Followed Hyperlink" xfId="10759" builtinId="9" hidden="1"/>
    <cellStyle name="Followed Hyperlink" xfId="10760" builtinId="9" hidden="1"/>
    <cellStyle name="Followed Hyperlink" xfId="10761" builtinId="9" hidden="1"/>
    <cellStyle name="Followed Hyperlink" xfId="10762" builtinId="9" hidden="1"/>
    <cellStyle name="Followed Hyperlink" xfId="10763" builtinId="9" hidden="1"/>
    <cellStyle name="Followed Hyperlink" xfId="10764" builtinId="9" hidden="1"/>
    <cellStyle name="Followed Hyperlink" xfId="10765" builtinId="9" hidden="1"/>
    <cellStyle name="Followed Hyperlink" xfId="10766" builtinId="9" hidden="1"/>
    <cellStyle name="Followed Hyperlink" xfId="10767" builtinId="9" hidden="1"/>
    <cellStyle name="Followed Hyperlink" xfId="10768" builtinId="9" hidden="1"/>
    <cellStyle name="Followed Hyperlink" xfId="10769" builtinId="9" hidden="1"/>
    <cellStyle name="Followed Hyperlink" xfId="10770" builtinId="9" hidden="1"/>
    <cellStyle name="Followed Hyperlink" xfId="10771" builtinId="9" hidden="1"/>
    <cellStyle name="Followed Hyperlink" xfId="10772" builtinId="9" hidden="1"/>
    <cellStyle name="Followed Hyperlink" xfId="10773" builtinId="9" hidden="1"/>
    <cellStyle name="Followed Hyperlink" xfId="10774" builtinId="9" hidden="1"/>
    <cellStyle name="Followed Hyperlink" xfId="10775" builtinId="9" hidden="1"/>
    <cellStyle name="Followed Hyperlink" xfId="10776" builtinId="9" hidden="1"/>
    <cellStyle name="Followed Hyperlink" xfId="10777" builtinId="9" hidden="1"/>
    <cellStyle name="Followed Hyperlink" xfId="10778" builtinId="9" hidden="1"/>
    <cellStyle name="Followed Hyperlink" xfId="10779" builtinId="9" hidden="1"/>
    <cellStyle name="Followed Hyperlink" xfId="10780" builtinId="9" hidden="1"/>
    <cellStyle name="Followed Hyperlink" xfId="10781" builtinId="9" hidden="1"/>
    <cellStyle name="Followed Hyperlink" xfId="10782" builtinId="9" hidden="1"/>
    <cellStyle name="Followed Hyperlink" xfId="10783" builtinId="9" hidden="1"/>
    <cellStyle name="Followed Hyperlink" xfId="10784" builtinId="9" hidden="1"/>
    <cellStyle name="Followed Hyperlink" xfId="10785" builtinId="9" hidden="1"/>
    <cellStyle name="Followed Hyperlink" xfId="10786" builtinId="9" hidden="1"/>
    <cellStyle name="Followed Hyperlink" xfId="10787" builtinId="9" hidden="1"/>
    <cellStyle name="Followed Hyperlink" xfId="10788" builtinId="9" hidden="1"/>
    <cellStyle name="Followed Hyperlink" xfId="10789" builtinId="9" hidden="1"/>
    <cellStyle name="Followed Hyperlink" xfId="10790" builtinId="9" hidden="1"/>
    <cellStyle name="Followed Hyperlink" xfId="10791" builtinId="9" hidden="1"/>
    <cellStyle name="Followed Hyperlink" xfId="10792" builtinId="9" hidden="1"/>
    <cellStyle name="Followed Hyperlink" xfId="10793" builtinId="9" hidden="1"/>
    <cellStyle name="Followed Hyperlink" xfId="10794" builtinId="9" hidden="1"/>
    <cellStyle name="Followed Hyperlink" xfId="10795" builtinId="9" hidden="1"/>
    <cellStyle name="Followed Hyperlink" xfId="10431" builtinId="9" hidden="1"/>
    <cellStyle name="Followed Hyperlink" xfId="10756" builtinId="9" hidden="1"/>
    <cellStyle name="Followed Hyperlink" xfId="10797" builtinId="9" hidden="1"/>
    <cellStyle name="Followed Hyperlink" xfId="10798" builtinId="9" hidden="1"/>
    <cellStyle name="Followed Hyperlink" xfId="10799" builtinId="9" hidden="1"/>
    <cellStyle name="Followed Hyperlink" xfId="10800" builtinId="9" hidden="1"/>
    <cellStyle name="Followed Hyperlink" xfId="10801" builtinId="9" hidden="1"/>
    <cellStyle name="Followed Hyperlink" xfId="10802" builtinId="9" hidden="1"/>
    <cellStyle name="Followed Hyperlink" xfId="10803" builtinId="9" hidden="1"/>
    <cellStyle name="Followed Hyperlink" xfId="10804" builtinId="9" hidden="1"/>
    <cellStyle name="Followed Hyperlink" xfId="10805" builtinId="9" hidden="1"/>
    <cellStyle name="Followed Hyperlink" xfId="10806" builtinId="9" hidden="1"/>
    <cellStyle name="Followed Hyperlink" xfId="10807" builtinId="9" hidden="1"/>
    <cellStyle name="Followed Hyperlink" xfId="10808" builtinId="9" hidden="1"/>
    <cellStyle name="Followed Hyperlink" xfId="10809" builtinId="9" hidden="1"/>
    <cellStyle name="Followed Hyperlink" xfId="10810" builtinId="9" hidden="1"/>
    <cellStyle name="Followed Hyperlink" xfId="10811" builtinId="9" hidden="1"/>
    <cellStyle name="Followed Hyperlink" xfId="10812" builtinId="9" hidden="1"/>
    <cellStyle name="Followed Hyperlink" xfId="10813" builtinId="9" hidden="1"/>
    <cellStyle name="Followed Hyperlink" xfId="10814" builtinId="9" hidden="1"/>
    <cellStyle name="Followed Hyperlink" xfId="10815" builtinId="9" hidden="1"/>
    <cellStyle name="Followed Hyperlink" xfId="10816" builtinId="9" hidden="1"/>
    <cellStyle name="Followed Hyperlink" xfId="10817" builtinId="9" hidden="1"/>
    <cellStyle name="Followed Hyperlink" xfId="10818" builtinId="9" hidden="1"/>
    <cellStyle name="Followed Hyperlink" xfId="10819" builtinId="9" hidden="1"/>
    <cellStyle name="Followed Hyperlink" xfId="10820" builtinId="9" hidden="1"/>
    <cellStyle name="Followed Hyperlink" xfId="10821" builtinId="9" hidden="1"/>
    <cellStyle name="Followed Hyperlink" xfId="10822" builtinId="9" hidden="1"/>
    <cellStyle name="Followed Hyperlink" xfId="10823" builtinId="9" hidden="1"/>
    <cellStyle name="Followed Hyperlink" xfId="10824" builtinId="9" hidden="1"/>
    <cellStyle name="Followed Hyperlink" xfId="10825" builtinId="9" hidden="1"/>
    <cellStyle name="Followed Hyperlink" xfId="10826" builtinId="9" hidden="1"/>
    <cellStyle name="Followed Hyperlink" xfId="10827" builtinId="9" hidden="1"/>
    <cellStyle name="Followed Hyperlink" xfId="10828" builtinId="9" hidden="1"/>
    <cellStyle name="Followed Hyperlink" xfId="10829" builtinId="9" hidden="1"/>
    <cellStyle name="Followed Hyperlink" xfId="10830" builtinId="9" hidden="1"/>
    <cellStyle name="Followed Hyperlink" xfId="10831" builtinId="9" hidden="1"/>
    <cellStyle name="Followed Hyperlink" xfId="10832" builtinId="9" hidden="1"/>
    <cellStyle name="Followed Hyperlink" xfId="10833" builtinId="9" hidden="1"/>
    <cellStyle name="Followed Hyperlink" xfId="10834" builtinId="9" hidden="1"/>
    <cellStyle name="Followed Hyperlink" xfId="10835" builtinId="9" hidden="1"/>
    <cellStyle name="Followed Hyperlink" xfId="10427" builtinId="9" hidden="1"/>
    <cellStyle name="Followed Hyperlink" xfId="10796" builtinId="9" hidden="1"/>
    <cellStyle name="Followed Hyperlink" xfId="10836" builtinId="9" hidden="1"/>
    <cellStyle name="Followed Hyperlink" xfId="10837" builtinId="9" hidden="1"/>
    <cellStyle name="Followed Hyperlink" xfId="10838" builtinId="9" hidden="1"/>
    <cellStyle name="Followed Hyperlink" xfId="10839" builtinId="9" hidden="1"/>
    <cellStyle name="Followed Hyperlink" xfId="10840" builtinId="9" hidden="1"/>
    <cellStyle name="Followed Hyperlink" xfId="10841" builtinId="9" hidden="1"/>
    <cellStyle name="Followed Hyperlink" xfId="10842" builtinId="9" hidden="1"/>
    <cellStyle name="Followed Hyperlink" xfId="10843" builtinId="9" hidden="1"/>
    <cellStyle name="Followed Hyperlink" xfId="10844" builtinId="9" hidden="1"/>
    <cellStyle name="Followed Hyperlink" xfId="10845" builtinId="9" hidden="1"/>
    <cellStyle name="Followed Hyperlink" xfId="10846" builtinId="9" hidden="1"/>
    <cellStyle name="Followed Hyperlink" xfId="10847" builtinId="9" hidden="1"/>
    <cellStyle name="Followed Hyperlink" xfId="10848" builtinId="9" hidden="1"/>
    <cellStyle name="Followed Hyperlink" xfId="10849" builtinId="9" hidden="1"/>
    <cellStyle name="Followed Hyperlink" xfId="10850" builtinId="9" hidden="1"/>
    <cellStyle name="Followed Hyperlink" xfId="10851" builtinId="9" hidden="1"/>
    <cellStyle name="Followed Hyperlink" xfId="10852" builtinId="9" hidden="1"/>
    <cellStyle name="Followed Hyperlink" xfId="10853" builtinId="9" hidden="1"/>
    <cellStyle name="Followed Hyperlink" xfId="10854" builtinId="9" hidden="1"/>
    <cellStyle name="Followed Hyperlink" xfId="10855" builtinId="9" hidden="1"/>
    <cellStyle name="Followed Hyperlink" xfId="10856" builtinId="9" hidden="1"/>
    <cellStyle name="Followed Hyperlink" xfId="10857" builtinId="9" hidden="1"/>
    <cellStyle name="Followed Hyperlink" xfId="10858" builtinId="9" hidden="1"/>
    <cellStyle name="Followed Hyperlink" xfId="10859" builtinId="9" hidden="1"/>
    <cellStyle name="Followed Hyperlink" xfId="10860" builtinId="9" hidden="1"/>
    <cellStyle name="Followed Hyperlink" xfId="10861" builtinId="9" hidden="1"/>
    <cellStyle name="Followed Hyperlink" xfId="10862" builtinId="9" hidden="1"/>
    <cellStyle name="Followed Hyperlink" xfId="10863" builtinId="9" hidden="1"/>
    <cellStyle name="Followed Hyperlink" xfId="10864" builtinId="9" hidden="1"/>
    <cellStyle name="Followed Hyperlink" xfId="10865" builtinId="9" hidden="1"/>
    <cellStyle name="Followed Hyperlink" xfId="10866" builtinId="9" hidden="1"/>
    <cellStyle name="Followed Hyperlink" xfId="10867" builtinId="9" hidden="1"/>
    <cellStyle name="Followed Hyperlink" xfId="10868" builtinId="9" hidden="1"/>
    <cellStyle name="Followed Hyperlink" xfId="10869" builtinId="9" hidden="1"/>
    <cellStyle name="Followed Hyperlink" xfId="10870" builtinId="9" hidden="1"/>
    <cellStyle name="Followed Hyperlink" xfId="10871" builtinId="9" hidden="1"/>
    <cellStyle name="Followed Hyperlink" xfId="10872" builtinId="9" hidden="1"/>
    <cellStyle name="Followed Hyperlink" xfId="10873" builtinId="9" hidden="1"/>
    <cellStyle name="Followed Hyperlink" xfId="10874" builtinId="9" hidden="1"/>
    <cellStyle name="Followed Hyperlink" xfId="12906" builtinId="9" hidden="1"/>
    <cellStyle name="Followed Hyperlink" xfId="12907" builtinId="9" hidden="1"/>
    <cellStyle name="Followed Hyperlink" xfId="12908" builtinId="9" hidden="1"/>
    <cellStyle name="Followed Hyperlink" xfId="12909" builtinId="9" hidden="1"/>
    <cellStyle name="Followed Hyperlink" xfId="12910" builtinId="9" hidden="1"/>
    <cellStyle name="Followed Hyperlink" xfId="12911" builtinId="9" hidden="1"/>
    <cellStyle name="Followed Hyperlink" xfId="12912" builtinId="9" hidden="1"/>
    <cellStyle name="Followed Hyperlink" xfId="12913" builtinId="9" hidden="1"/>
    <cellStyle name="Followed Hyperlink" xfId="12914" builtinId="9" hidden="1"/>
    <cellStyle name="Followed Hyperlink" xfId="12915" builtinId="9" hidden="1"/>
    <cellStyle name="Followed Hyperlink" xfId="12916" builtinId="9" hidden="1"/>
    <cellStyle name="Followed Hyperlink" xfId="12917" builtinId="9" hidden="1"/>
    <cellStyle name="Followed Hyperlink" xfId="12918" builtinId="9" hidden="1"/>
    <cellStyle name="Followed Hyperlink" xfId="12919" builtinId="9" hidden="1"/>
    <cellStyle name="Followed Hyperlink" xfId="12920" builtinId="9" hidden="1"/>
    <cellStyle name="Followed Hyperlink" xfId="12921" builtinId="9" hidden="1"/>
    <cellStyle name="Followed Hyperlink" xfId="12922" builtinId="9" hidden="1"/>
    <cellStyle name="Followed Hyperlink" xfId="12923" builtinId="9" hidden="1"/>
    <cellStyle name="Followed Hyperlink" xfId="12924" builtinId="9" hidden="1"/>
    <cellStyle name="Followed Hyperlink" xfId="12925" builtinId="9" hidden="1"/>
    <cellStyle name="Followed Hyperlink" xfId="12926" builtinId="9" hidden="1"/>
    <cellStyle name="Followed Hyperlink" xfId="12927" builtinId="9" hidden="1"/>
    <cellStyle name="Followed Hyperlink" xfId="12928" builtinId="9" hidden="1"/>
    <cellStyle name="Followed Hyperlink" xfId="12929" builtinId="9" hidden="1"/>
    <cellStyle name="Followed Hyperlink" xfId="12930" builtinId="9" hidden="1"/>
    <cellStyle name="Followed Hyperlink" xfId="12931" builtinId="9" hidden="1"/>
    <cellStyle name="Followed Hyperlink" xfId="12932" builtinId="9" hidden="1"/>
    <cellStyle name="Followed Hyperlink" xfId="12933" builtinId="9" hidden="1"/>
    <cellStyle name="Followed Hyperlink" xfId="12934" builtinId="9" hidden="1"/>
    <cellStyle name="Followed Hyperlink" xfId="12935" builtinId="9" hidden="1"/>
    <cellStyle name="Followed Hyperlink" xfId="12936" builtinId="9" hidden="1"/>
    <cellStyle name="Followed Hyperlink" xfId="12937" builtinId="9" hidden="1"/>
    <cellStyle name="Followed Hyperlink" xfId="12938" builtinId="9" hidden="1"/>
    <cellStyle name="Followed Hyperlink" xfId="12939" builtinId="9" hidden="1"/>
    <cellStyle name="Followed Hyperlink" xfId="12940" builtinId="9" hidden="1"/>
    <cellStyle name="Followed Hyperlink" xfId="12941" builtinId="9" hidden="1"/>
    <cellStyle name="Followed Hyperlink" xfId="12942" builtinId="9" hidden="1"/>
    <cellStyle name="Followed Hyperlink" xfId="12943" builtinId="9" hidden="1"/>
    <cellStyle name="Followed Hyperlink" xfId="12944" builtinId="9" hidden="1"/>
    <cellStyle name="Followed Hyperlink" xfId="12945" builtinId="9" hidden="1"/>
    <cellStyle name="Followed Hyperlink" xfId="12946" builtinId="9" hidden="1"/>
    <cellStyle name="Followed Hyperlink" xfId="12956" builtinId="9" hidden="1"/>
    <cellStyle name="Followed Hyperlink" xfId="12957" builtinId="9" hidden="1"/>
    <cellStyle name="Followed Hyperlink" xfId="12958" builtinId="9" hidden="1"/>
    <cellStyle name="Followed Hyperlink" xfId="12959" builtinId="9" hidden="1"/>
    <cellStyle name="Followed Hyperlink" xfId="12960" builtinId="9" hidden="1"/>
    <cellStyle name="Followed Hyperlink" xfId="12961" builtinId="9" hidden="1"/>
    <cellStyle name="Followed Hyperlink" xfId="12962" builtinId="9" hidden="1"/>
    <cellStyle name="Followed Hyperlink" xfId="12963" builtinId="9" hidden="1"/>
    <cellStyle name="Followed Hyperlink" xfId="12964" builtinId="9" hidden="1"/>
    <cellStyle name="Followed Hyperlink" xfId="12965" builtinId="9" hidden="1"/>
    <cellStyle name="Followed Hyperlink" xfId="12966" builtinId="9" hidden="1"/>
    <cellStyle name="Followed Hyperlink" xfId="12967" builtinId="9" hidden="1"/>
    <cellStyle name="Followed Hyperlink" xfId="12968" builtinId="9" hidden="1"/>
    <cellStyle name="Followed Hyperlink" xfId="12969" builtinId="9" hidden="1"/>
    <cellStyle name="Followed Hyperlink" xfId="12970" builtinId="9" hidden="1"/>
    <cellStyle name="Followed Hyperlink" xfId="12971" builtinId="9" hidden="1"/>
    <cellStyle name="Followed Hyperlink" xfId="12972" builtinId="9" hidden="1"/>
    <cellStyle name="Followed Hyperlink" xfId="12973" builtinId="9" hidden="1"/>
    <cellStyle name="Followed Hyperlink" xfId="12974" builtinId="9" hidden="1"/>
    <cellStyle name="Followed Hyperlink" xfId="12975" builtinId="9" hidden="1"/>
    <cellStyle name="Followed Hyperlink" xfId="12976" builtinId="9" hidden="1"/>
    <cellStyle name="Followed Hyperlink" xfId="12977" builtinId="9" hidden="1"/>
    <cellStyle name="Followed Hyperlink" xfId="12978" builtinId="9" hidden="1"/>
    <cellStyle name="Followed Hyperlink" xfId="12979" builtinId="9" hidden="1"/>
    <cellStyle name="Followed Hyperlink" xfId="12980" builtinId="9" hidden="1"/>
    <cellStyle name="Followed Hyperlink" xfId="12981" builtinId="9" hidden="1"/>
    <cellStyle name="Followed Hyperlink" xfId="12982" builtinId="9" hidden="1"/>
    <cellStyle name="Followed Hyperlink" xfId="12983" builtinId="9" hidden="1"/>
    <cellStyle name="Followed Hyperlink" xfId="12984" builtinId="9" hidden="1"/>
    <cellStyle name="Followed Hyperlink" xfId="12985" builtinId="9" hidden="1"/>
    <cellStyle name="Followed Hyperlink" xfId="12986" builtinId="9" hidden="1"/>
    <cellStyle name="Followed Hyperlink" xfId="12987" builtinId="9" hidden="1"/>
    <cellStyle name="Followed Hyperlink" xfId="12988" builtinId="9" hidden="1"/>
    <cellStyle name="Followed Hyperlink" xfId="12989" builtinId="9" hidden="1"/>
    <cellStyle name="Followed Hyperlink" xfId="12990" builtinId="9" hidden="1"/>
    <cellStyle name="Followed Hyperlink" xfId="12991" builtinId="9" hidden="1"/>
    <cellStyle name="Followed Hyperlink" xfId="12992" builtinId="9" hidden="1"/>
    <cellStyle name="Followed Hyperlink" xfId="12993" builtinId="9" hidden="1"/>
    <cellStyle name="Followed Hyperlink" xfId="12994" builtinId="9" hidden="1"/>
    <cellStyle name="Followed Hyperlink" xfId="12995" builtinId="9" hidden="1"/>
    <cellStyle name="Followed Hyperlink" xfId="12996" builtinId="9" hidden="1"/>
    <cellStyle name="Followed Hyperlink" xfId="12997" builtinId="9" hidden="1"/>
    <cellStyle name="Followed Hyperlink" xfId="12998" builtinId="9" hidden="1"/>
    <cellStyle name="Followed Hyperlink" xfId="12999" builtinId="9" hidden="1"/>
    <cellStyle name="Followed Hyperlink" xfId="13000" builtinId="9" hidden="1"/>
    <cellStyle name="Followed Hyperlink" xfId="13001" builtinId="9" hidden="1"/>
    <cellStyle name="Followed Hyperlink" xfId="13002" builtinId="9" hidden="1"/>
    <cellStyle name="Followed Hyperlink" xfId="13003" builtinId="9" hidden="1"/>
    <cellStyle name="Followed Hyperlink" xfId="13004" builtinId="9" hidden="1"/>
    <cellStyle name="Followed Hyperlink" xfId="13005" builtinId="9" hidden="1"/>
    <cellStyle name="Followed Hyperlink" xfId="13006" builtinId="9" hidden="1"/>
    <cellStyle name="Followed Hyperlink" xfId="13007" builtinId="9" hidden="1"/>
    <cellStyle name="Followed Hyperlink" xfId="13008" builtinId="9" hidden="1"/>
    <cellStyle name="Followed Hyperlink" xfId="13009" builtinId="9" hidden="1"/>
    <cellStyle name="Followed Hyperlink" xfId="13010" builtinId="9" hidden="1"/>
    <cellStyle name="Followed Hyperlink" xfId="13011" builtinId="9" hidden="1"/>
    <cellStyle name="Followed Hyperlink" xfId="13012" builtinId="9" hidden="1"/>
    <cellStyle name="Followed Hyperlink" xfId="13013" builtinId="9" hidden="1"/>
    <cellStyle name="Followed Hyperlink" xfId="13014" builtinId="9" hidden="1"/>
    <cellStyle name="Followed Hyperlink" xfId="13015" builtinId="9" hidden="1"/>
    <cellStyle name="Followed Hyperlink" xfId="13016" builtinId="9" hidden="1"/>
    <cellStyle name="Followed Hyperlink" xfId="13017" builtinId="9" hidden="1"/>
    <cellStyle name="Followed Hyperlink" xfId="13018" builtinId="9" hidden="1"/>
    <cellStyle name="Followed Hyperlink" xfId="13019" builtinId="9" hidden="1"/>
    <cellStyle name="Followed Hyperlink" xfId="13020" builtinId="9" hidden="1"/>
    <cellStyle name="Followed Hyperlink" xfId="13021" builtinId="9" hidden="1"/>
    <cellStyle name="Followed Hyperlink" xfId="13022" builtinId="9" hidden="1"/>
    <cellStyle name="Followed Hyperlink" xfId="13023" builtinId="9" hidden="1"/>
    <cellStyle name="Followed Hyperlink" xfId="13024" builtinId="9" hidden="1"/>
    <cellStyle name="Followed Hyperlink" xfId="13025" builtinId="9" hidden="1"/>
    <cellStyle name="Followed Hyperlink" xfId="13026" builtinId="9" hidden="1"/>
    <cellStyle name="Followed Hyperlink" xfId="13027" builtinId="9" hidden="1"/>
    <cellStyle name="Followed Hyperlink" xfId="13028" builtinId="9" hidden="1"/>
    <cellStyle name="Followed Hyperlink" xfId="13029" builtinId="9" hidden="1"/>
    <cellStyle name="Followed Hyperlink" xfId="13030" builtinId="9" hidden="1"/>
    <cellStyle name="Followed Hyperlink" xfId="13031" builtinId="9" hidden="1"/>
    <cellStyle name="Followed Hyperlink" xfId="13032" builtinId="9" hidden="1"/>
    <cellStyle name="Followed Hyperlink" xfId="13033" builtinId="9" hidden="1"/>
    <cellStyle name="Followed Hyperlink" xfId="13034" builtinId="9" hidden="1"/>
    <cellStyle name="Followed Hyperlink" xfId="13035" builtinId="9" hidden="1"/>
    <cellStyle name="Followed Hyperlink" xfId="13036" builtinId="9" hidden="1"/>
    <cellStyle name="Followed Hyperlink" xfId="13037" builtinId="9" hidden="1"/>
    <cellStyle name="Followed Hyperlink" xfId="13038" builtinId="9" hidden="1"/>
    <cellStyle name="Followed Hyperlink" xfId="13039" builtinId="9" hidden="1"/>
    <cellStyle name="Followed Hyperlink" xfId="13040" builtinId="9" hidden="1"/>
    <cellStyle name="Followed Hyperlink" xfId="13041" builtinId="9" hidden="1"/>
    <cellStyle name="Followed Hyperlink" xfId="13042" builtinId="9" hidden="1"/>
    <cellStyle name="Followed Hyperlink" xfId="13043" builtinId="9" hidden="1"/>
    <cellStyle name="Followed Hyperlink" xfId="13044" builtinId="9" hidden="1"/>
    <cellStyle name="Followed Hyperlink" xfId="13045" builtinId="9" hidden="1"/>
    <cellStyle name="Followed Hyperlink" xfId="13046" builtinId="9" hidden="1"/>
    <cellStyle name="Followed Hyperlink" xfId="13047" builtinId="9" hidden="1"/>
    <cellStyle name="Followed Hyperlink" xfId="13048" builtinId="9" hidden="1"/>
    <cellStyle name="Followed Hyperlink" xfId="13049" builtinId="9" hidden="1"/>
    <cellStyle name="Followed Hyperlink" xfId="13050" builtinId="9" hidden="1"/>
    <cellStyle name="Followed Hyperlink" xfId="13051" builtinId="9" hidden="1"/>
    <cellStyle name="Followed Hyperlink" xfId="13052" builtinId="9" hidden="1"/>
    <cellStyle name="Followed Hyperlink" xfId="13053" builtinId="9" hidden="1"/>
    <cellStyle name="Followed Hyperlink" xfId="13054" builtinId="9" hidden="1"/>
    <cellStyle name="Followed Hyperlink" xfId="13055" builtinId="9" hidden="1"/>
    <cellStyle name="Followed Hyperlink" xfId="13056" builtinId="9" hidden="1"/>
    <cellStyle name="Followed Hyperlink" xfId="13057" builtinId="9" hidden="1"/>
    <cellStyle name="Followed Hyperlink" xfId="13058" builtinId="9" hidden="1"/>
    <cellStyle name="Followed Hyperlink" xfId="13059" builtinId="9" hidden="1"/>
    <cellStyle name="Followed Hyperlink" xfId="13060" builtinId="9" hidden="1"/>
    <cellStyle name="Followed Hyperlink" xfId="13061" builtinId="9" hidden="1"/>
    <cellStyle name="Followed Hyperlink" xfId="13062" builtinId="9" hidden="1"/>
    <cellStyle name="Followed Hyperlink" xfId="13063" builtinId="9" hidden="1"/>
    <cellStyle name="Followed Hyperlink" xfId="13064" builtinId="9" hidden="1"/>
    <cellStyle name="Followed Hyperlink" xfId="13065" builtinId="9" hidden="1"/>
    <cellStyle name="Followed Hyperlink" xfId="13066" builtinId="9" hidden="1"/>
    <cellStyle name="Followed Hyperlink" xfId="13067" builtinId="9" hidden="1"/>
    <cellStyle name="Followed Hyperlink" xfId="13068" builtinId="9" hidden="1"/>
    <cellStyle name="Followed Hyperlink" xfId="13069" builtinId="9" hidden="1"/>
    <cellStyle name="Followed Hyperlink" xfId="13070" builtinId="9" hidden="1"/>
    <cellStyle name="Followed Hyperlink" xfId="13071" builtinId="9" hidden="1"/>
    <cellStyle name="Followed Hyperlink" xfId="13072" builtinId="9" hidden="1"/>
    <cellStyle name="Followed Hyperlink" xfId="13073" builtinId="9" hidden="1"/>
    <cellStyle name="Followed Hyperlink" xfId="13074" builtinId="9" hidden="1"/>
    <cellStyle name="Followed Hyperlink" xfId="13075" builtinId="9" hidden="1"/>
    <cellStyle name="Followed Hyperlink" xfId="13076" builtinId="9" hidden="1"/>
    <cellStyle name="Followed Hyperlink" xfId="13077" builtinId="9" hidden="1"/>
    <cellStyle name="Followed Hyperlink" xfId="13078" builtinId="9" hidden="1"/>
    <cellStyle name="Followed Hyperlink" xfId="12948" builtinId="9" hidden="1"/>
    <cellStyle name="Followed Hyperlink" xfId="12677" builtinId="9" hidden="1"/>
    <cellStyle name="Followed Hyperlink" xfId="13080" builtinId="9" hidden="1"/>
    <cellStyle name="Followed Hyperlink" xfId="13081" builtinId="9" hidden="1"/>
    <cellStyle name="Followed Hyperlink" xfId="13082" builtinId="9" hidden="1"/>
    <cellStyle name="Followed Hyperlink" xfId="13083" builtinId="9" hidden="1"/>
    <cellStyle name="Followed Hyperlink" xfId="13084" builtinId="9" hidden="1"/>
    <cellStyle name="Followed Hyperlink" xfId="13085" builtinId="9" hidden="1"/>
    <cellStyle name="Followed Hyperlink" xfId="13086" builtinId="9" hidden="1"/>
    <cellStyle name="Followed Hyperlink" xfId="13087" builtinId="9" hidden="1"/>
    <cellStyle name="Followed Hyperlink" xfId="13088" builtinId="9" hidden="1"/>
    <cellStyle name="Followed Hyperlink" xfId="13089" builtinId="9" hidden="1"/>
    <cellStyle name="Followed Hyperlink" xfId="13090" builtinId="9" hidden="1"/>
    <cellStyle name="Followed Hyperlink" xfId="13091" builtinId="9" hidden="1"/>
    <cellStyle name="Followed Hyperlink" xfId="13092" builtinId="9" hidden="1"/>
    <cellStyle name="Followed Hyperlink" xfId="13093" builtinId="9" hidden="1"/>
    <cellStyle name="Followed Hyperlink" xfId="13094" builtinId="9" hidden="1"/>
    <cellStyle name="Followed Hyperlink" xfId="13095" builtinId="9" hidden="1"/>
    <cellStyle name="Followed Hyperlink" xfId="13096" builtinId="9" hidden="1"/>
    <cellStyle name="Followed Hyperlink" xfId="13097" builtinId="9" hidden="1"/>
    <cellStyle name="Followed Hyperlink" xfId="13098" builtinId="9" hidden="1"/>
    <cellStyle name="Followed Hyperlink" xfId="13099" builtinId="9" hidden="1"/>
    <cellStyle name="Followed Hyperlink" xfId="13100" builtinId="9" hidden="1"/>
    <cellStyle name="Followed Hyperlink" xfId="13101" builtinId="9" hidden="1"/>
    <cellStyle name="Followed Hyperlink" xfId="13102" builtinId="9" hidden="1"/>
    <cellStyle name="Followed Hyperlink" xfId="13103" builtinId="9" hidden="1"/>
    <cellStyle name="Followed Hyperlink" xfId="13104" builtinId="9" hidden="1"/>
    <cellStyle name="Followed Hyperlink" xfId="13105" builtinId="9" hidden="1"/>
    <cellStyle name="Followed Hyperlink" xfId="13106" builtinId="9" hidden="1"/>
    <cellStyle name="Followed Hyperlink" xfId="13107" builtinId="9" hidden="1"/>
    <cellStyle name="Followed Hyperlink" xfId="13108" builtinId="9" hidden="1"/>
    <cellStyle name="Followed Hyperlink" xfId="13109" builtinId="9" hidden="1"/>
    <cellStyle name="Followed Hyperlink" xfId="13110" builtinId="9" hidden="1"/>
    <cellStyle name="Followed Hyperlink" xfId="13111" builtinId="9" hidden="1"/>
    <cellStyle name="Followed Hyperlink" xfId="13112" builtinId="9" hidden="1"/>
    <cellStyle name="Followed Hyperlink" xfId="13113" builtinId="9" hidden="1"/>
    <cellStyle name="Followed Hyperlink" xfId="13114" builtinId="9" hidden="1"/>
    <cellStyle name="Followed Hyperlink" xfId="13115" builtinId="9" hidden="1"/>
    <cellStyle name="Followed Hyperlink" xfId="13116" builtinId="9" hidden="1"/>
    <cellStyle name="Followed Hyperlink" xfId="13117" builtinId="9" hidden="1"/>
    <cellStyle name="Followed Hyperlink" xfId="13118" builtinId="9" hidden="1"/>
    <cellStyle name="Followed Hyperlink" xfId="12953" builtinId="9" hidden="1"/>
    <cellStyle name="Followed Hyperlink" xfId="13079" builtinId="9" hidden="1"/>
    <cellStyle name="Followed Hyperlink" xfId="13120" builtinId="9" hidden="1"/>
    <cellStyle name="Followed Hyperlink" xfId="13121" builtinId="9" hidden="1"/>
    <cellStyle name="Followed Hyperlink" xfId="13122" builtinId="9" hidden="1"/>
    <cellStyle name="Followed Hyperlink" xfId="13123" builtinId="9" hidden="1"/>
    <cellStyle name="Followed Hyperlink" xfId="13124" builtinId="9" hidden="1"/>
    <cellStyle name="Followed Hyperlink" xfId="13125" builtinId="9" hidden="1"/>
    <cellStyle name="Followed Hyperlink" xfId="13126" builtinId="9" hidden="1"/>
    <cellStyle name="Followed Hyperlink" xfId="13127" builtinId="9" hidden="1"/>
    <cellStyle name="Followed Hyperlink" xfId="13128" builtinId="9" hidden="1"/>
    <cellStyle name="Followed Hyperlink" xfId="13129" builtinId="9" hidden="1"/>
    <cellStyle name="Followed Hyperlink" xfId="13130" builtinId="9" hidden="1"/>
    <cellStyle name="Followed Hyperlink" xfId="13131" builtinId="9" hidden="1"/>
    <cellStyle name="Followed Hyperlink" xfId="13132" builtinId="9" hidden="1"/>
    <cellStyle name="Followed Hyperlink" xfId="13133" builtinId="9" hidden="1"/>
    <cellStyle name="Followed Hyperlink" xfId="13134" builtinId="9" hidden="1"/>
    <cellStyle name="Followed Hyperlink" xfId="13135" builtinId="9" hidden="1"/>
    <cellStyle name="Followed Hyperlink" xfId="13136" builtinId="9" hidden="1"/>
    <cellStyle name="Followed Hyperlink" xfId="13137" builtinId="9" hidden="1"/>
    <cellStyle name="Followed Hyperlink" xfId="13138" builtinId="9" hidden="1"/>
    <cellStyle name="Followed Hyperlink" xfId="13139" builtinId="9" hidden="1"/>
    <cellStyle name="Followed Hyperlink" xfId="13140" builtinId="9" hidden="1"/>
    <cellStyle name="Followed Hyperlink" xfId="13141" builtinId="9" hidden="1"/>
    <cellStyle name="Followed Hyperlink" xfId="13142" builtinId="9" hidden="1"/>
    <cellStyle name="Followed Hyperlink" xfId="13143" builtinId="9" hidden="1"/>
    <cellStyle name="Followed Hyperlink" xfId="13144" builtinId="9" hidden="1"/>
    <cellStyle name="Followed Hyperlink" xfId="13145" builtinId="9" hidden="1"/>
    <cellStyle name="Followed Hyperlink" xfId="13146" builtinId="9" hidden="1"/>
    <cellStyle name="Followed Hyperlink" xfId="13147" builtinId="9" hidden="1"/>
    <cellStyle name="Followed Hyperlink" xfId="13148" builtinId="9" hidden="1"/>
    <cellStyle name="Followed Hyperlink" xfId="13149" builtinId="9" hidden="1"/>
    <cellStyle name="Followed Hyperlink" xfId="13150" builtinId="9" hidden="1"/>
    <cellStyle name="Followed Hyperlink" xfId="13151" builtinId="9" hidden="1"/>
    <cellStyle name="Followed Hyperlink" xfId="13152" builtinId="9" hidden="1"/>
    <cellStyle name="Followed Hyperlink" xfId="13153" builtinId="9" hidden="1"/>
    <cellStyle name="Followed Hyperlink" xfId="13154" builtinId="9" hidden="1"/>
    <cellStyle name="Followed Hyperlink" xfId="13155" builtinId="9" hidden="1"/>
    <cellStyle name="Followed Hyperlink" xfId="13156" builtinId="9" hidden="1"/>
    <cellStyle name="Followed Hyperlink" xfId="13157" builtinId="9" hidden="1"/>
    <cellStyle name="Followed Hyperlink" xfId="13158" builtinId="9" hidden="1"/>
    <cellStyle name="Followed Hyperlink" xfId="12955" builtinId="9" hidden="1"/>
    <cellStyle name="Followed Hyperlink" xfId="13119" builtinId="9" hidden="1"/>
    <cellStyle name="Followed Hyperlink" xfId="13160" builtinId="9" hidden="1"/>
    <cellStyle name="Followed Hyperlink" xfId="13161" builtinId="9" hidden="1"/>
    <cellStyle name="Followed Hyperlink" xfId="13162" builtinId="9" hidden="1"/>
    <cellStyle name="Followed Hyperlink" xfId="13163" builtinId="9" hidden="1"/>
    <cellStyle name="Followed Hyperlink" xfId="13164" builtinId="9" hidden="1"/>
    <cellStyle name="Followed Hyperlink" xfId="13165" builtinId="9" hidden="1"/>
    <cellStyle name="Followed Hyperlink" xfId="13166" builtinId="9" hidden="1"/>
    <cellStyle name="Followed Hyperlink" xfId="13167" builtinId="9" hidden="1"/>
    <cellStyle name="Followed Hyperlink" xfId="13168" builtinId="9" hidden="1"/>
    <cellStyle name="Followed Hyperlink" xfId="13169" builtinId="9" hidden="1"/>
    <cellStyle name="Followed Hyperlink" xfId="13170" builtinId="9" hidden="1"/>
    <cellStyle name="Followed Hyperlink" xfId="13171" builtinId="9" hidden="1"/>
    <cellStyle name="Followed Hyperlink" xfId="13172" builtinId="9" hidden="1"/>
    <cellStyle name="Followed Hyperlink" xfId="13173" builtinId="9" hidden="1"/>
    <cellStyle name="Followed Hyperlink" xfId="13174" builtinId="9" hidden="1"/>
    <cellStyle name="Followed Hyperlink" xfId="13175" builtinId="9" hidden="1"/>
    <cellStyle name="Followed Hyperlink" xfId="13176" builtinId="9" hidden="1"/>
    <cellStyle name="Followed Hyperlink" xfId="13177" builtinId="9" hidden="1"/>
    <cellStyle name="Followed Hyperlink" xfId="13178" builtinId="9" hidden="1"/>
    <cellStyle name="Followed Hyperlink" xfId="13179" builtinId="9" hidden="1"/>
    <cellStyle name="Followed Hyperlink" xfId="13180" builtinId="9" hidden="1"/>
    <cellStyle name="Followed Hyperlink" xfId="13181" builtinId="9" hidden="1"/>
    <cellStyle name="Followed Hyperlink" xfId="13182" builtinId="9" hidden="1"/>
    <cellStyle name="Followed Hyperlink" xfId="13183" builtinId="9" hidden="1"/>
    <cellStyle name="Followed Hyperlink" xfId="13184" builtinId="9" hidden="1"/>
    <cellStyle name="Followed Hyperlink" xfId="13185" builtinId="9" hidden="1"/>
    <cellStyle name="Followed Hyperlink" xfId="13186" builtinId="9" hidden="1"/>
    <cellStyle name="Followed Hyperlink" xfId="13187" builtinId="9" hidden="1"/>
    <cellStyle name="Followed Hyperlink" xfId="13188" builtinId="9" hidden="1"/>
    <cellStyle name="Followed Hyperlink" xfId="13189" builtinId="9" hidden="1"/>
    <cellStyle name="Followed Hyperlink" xfId="13190" builtinId="9" hidden="1"/>
    <cellStyle name="Followed Hyperlink" xfId="13191" builtinId="9" hidden="1"/>
    <cellStyle name="Followed Hyperlink" xfId="13192" builtinId="9" hidden="1"/>
    <cellStyle name="Followed Hyperlink" xfId="13193" builtinId="9" hidden="1"/>
    <cellStyle name="Followed Hyperlink" xfId="13194" builtinId="9" hidden="1"/>
    <cellStyle name="Followed Hyperlink" xfId="13195" builtinId="9" hidden="1"/>
    <cellStyle name="Followed Hyperlink" xfId="13196" builtinId="9" hidden="1"/>
    <cellStyle name="Followed Hyperlink" xfId="13197" builtinId="9" hidden="1"/>
    <cellStyle name="Followed Hyperlink" xfId="13198" builtinId="9" hidden="1"/>
    <cellStyle name="Followed Hyperlink" xfId="12949" builtinId="9" hidden="1"/>
    <cellStyle name="Followed Hyperlink" xfId="13159" builtinId="9" hidden="1"/>
    <cellStyle name="Followed Hyperlink" xfId="13200" builtinId="9" hidden="1"/>
    <cellStyle name="Followed Hyperlink" xfId="13201" builtinId="9" hidden="1"/>
    <cellStyle name="Followed Hyperlink" xfId="13202" builtinId="9" hidden="1"/>
    <cellStyle name="Followed Hyperlink" xfId="13203" builtinId="9" hidden="1"/>
    <cellStyle name="Followed Hyperlink" xfId="13204" builtinId="9" hidden="1"/>
    <cellStyle name="Followed Hyperlink" xfId="13205" builtinId="9" hidden="1"/>
    <cellStyle name="Followed Hyperlink" xfId="13206" builtinId="9" hidden="1"/>
    <cellStyle name="Followed Hyperlink" xfId="13207" builtinId="9" hidden="1"/>
    <cellStyle name="Followed Hyperlink" xfId="13208" builtinId="9" hidden="1"/>
    <cellStyle name="Followed Hyperlink" xfId="13209" builtinId="9" hidden="1"/>
    <cellStyle name="Followed Hyperlink" xfId="13210" builtinId="9" hidden="1"/>
    <cellStyle name="Followed Hyperlink" xfId="13211" builtinId="9" hidden="1"/>
    <cellStyle name="Followed Hyperlink" xfId="13212" builtinId="9" hidden="1"/>
    <cellStyle name="Followed Hyperlink" xfId="13213" builtinId="9" hidden="1"/>
    <cellStyle name="Followed Hyperlink" xfId="13214" builtinId="9" hidden="1"/>
    <cellStyle name="Followed Hyperlink" xfId="13215" builtinId="9" hidden="1"/>
    <cellStyle name="Followed Hyperlink" xfId="13216" builtinId="9" hidden="1"/>
    <cellStyle name="Followed Hyperlink" xfId="13217" builtinId="9" hidden="1"/>
    <cellStyle name="Followed Hyperlink" xfId="13218" builtinId="9" hidden="1"/>
    <cellStyle name="Followed Hyperlink" xfId="13219" builtinId="9" hidden="1"/>
    <cellStyle name="Followed Hyperlink" xfId="13220" builtinId="9" hidden="1"/>
    <cellStyle name="Followed Hyperlink" xfId="13221" builtinId="9" hidden="1"/>
    <cellStyle name="Followed Hyperlink" xfId="13222" builtinId="9" hidden="1"/>
    <cellStyle name="Followed Hyperlink" xfId="13223" builtinId="9" hidden="1"/>
    <cellStyle name="Followed Hyperlink" xfId="13224" builtinId="9" hidden="1"/>
    <cellStyle name="Followed Hyperlink" xfId="13225" builtinId="9" hidden="1"/>
    <cellStyle name="Followed Hyperlink" xfId="13226" builtinId="9" hidden="1"/>
    <cellStyle name="Followed Hyperlink" xfId="13227" builtinId="9" hidden="1"/>
    <cellStyle name="Followed Hyperlink" xfId="13228" builtinId="9" hidden="1"/>
    <cellStyle name="Followed Hyperlink" xfId="13229" builtinId="9" hidden="1"/>
    <cellStyle name="Followed Hyperlink" xfId="13230" builtinId="9" hidden="1"/>
    <cellStyle name="Followed Hyperlink" xfId="13231" builtinId="9" hidden="1"/>
    <cellStyle name="Followed Hyperlink" xfId="13232" builtinId="9" hidden="1"/>
    <cellStyle name="Followed Hyperlink" xfId="13233" builtinId="9" hidden="1"/>
    <cellStyle name="Followed Hyperlink" xfId="13234" builtinId="9" hidden="1"/>
    <cellStyle name="Followed Hyperlink" xfId="13235" builtinId="9" hidden="1"/>
    <cellStyle name="Followed Hyperlink" xfId="13236" builtinId="9" hidden="1"/>
    <cellStyle name="Followed Hyperlink" xfId="13237" builtinId="9" hidden="1"/>
    <cellStyle name="Followed Hyperlink" xfId="13238" builtinId="9" hidden="1"/>
    <cellStyle name="Followed Hyperlink" xfId="12951" builtinId="9" hidden="1"/>
    <cellStyle name="Followed Hyperlink" xfId="13199" builtinId="9" hidden="1"/>
    <cellStyle name="Followed Hyperlink" xfId="13240" builtinId="9" hidden="1"/>
    <cellStyle name="Followed Hyperlink" xfId="13241" builtinId="9" hidden="1"/>
    <cellStyle name="Followed Hyperlink" xfId="13242" builtinId="9" hidden="1"/>
    <cellStyle name="Followed Hyperlink" xfId="13243" builtinId="9" hidden="1"/>
    <cellStyle name="Followed Hyperlink" xfId="13244" builtinId="9" hidden="1"/>
    <cellStyle name="Followed Hyperlink" xfId="13245" builtinId="9" hidden="1"/>
    <cellStyle name="Followed Hyperlink" xfId="13246" builtinId="9" hidden="1"/>
    <cellStyle name="Followed Hyperlink" xfId="13247" builtinId="9" hidden="1"/>
    <cellStyle name="Followed Hyperlink" xfId="13248" builtinId="9" hidden="1"/>
    <cellStyle name="Followed Hyperlink" xfId="13249" builtinId="9" hidden="1"/>
    <cellStyle name="Followed Hyperlink" xfId="13250" builtinId="9" hidden="1"/>
    <cellStyle name="Followed Hyperlink" xfId="13251" builtinId="9" hidden="1"/>
    <cellStyle name="Followed Hyperlink" xfId="13252" builtinId="9" hidden="1"/>
    <cellStyle name="Followed Hyperlink" xfId="13253" builtinId="9" hidden="1"/>
    <cellStyle name="Followed Hyperlink" xfId="13254" builtinId="9" hidden="1"/>
    <cellStyle name="Followed Hyperlink" xfId="13255" builtinId="9" hidden="1"/>
    <cellStyle name="Followed Hyperlink" xfId="13256" builtinId="9" hidden="1"/>
    <cellStyle name="Followed Hyperlink" xfId="13257" builtinId="9" hidden="1"/>
    <cellStyle name="Followed Hyperlink" xfId="13258" builtinId="9" hidden="1"/>
    <cellStyle name="Followed Hyperlink" xfId="13259" builtinId="9" hidden="1"/>
    <cellStyle name="Followed Hyperlink" xfId="13260" builtinId="9" hidden="1"/>
    <cellStyle name="Followed Hyperlink" xfId="13261" builtinId="9" hidden="1"/>
    <cellStyle name="Followed Hyperlink" xfId="13262" builtinId="9" hidden="1"/>
    <cellStyle name="Followed Hyperlink" xfId="13263" builtinId="9" hidden="1"/>
    <cellStyle name="Followed Hyperlink" xfId="13264" builtinId="9" hidden="1"/>
    <cellStyle name="Followed Hyperlink" xfId="13265" builtinId="9" hidden="1"/>
    <cellStyle name="Followed Hyperlink" xfId="13266" builtinId="9" hidden="1"/>
    <cellStyle name="Followed Hyperlink" xfId="13267" builtinId="9" hidden="1"/>
    <cellStyle name="Followed Hyperlink" xfId="13268" builtinId="9" hidden="1"/>
    <cellStyle name="Followed Hyperlink" xfId="13269" builtinId="9" hidden="1"/>
    <cellStyle name="Followed Hyperlink" xfId="13270" builtinId="9" hidden="1"/>
    <cellStyle name="Followed Hyperlink" xfId="13271" builtinId="9" hidden="1"/>
    <cellStyle name="Followed Hyperlink" xfId="13272" builtinId="9" hidden="1"/>
    <cellStyle name="Followed Hyperlink" xfId="13273" builtinId="9" hidden="1"/>
    <cellStyle name="Followed Hyperlink" xfId="13274" builtinId="9" hidden="1"/>
    <cellStyle name="Followed Hyperlink" xfId="13275" builtinId="9" hidden="1"/>
    <cellStyle name="Followed Hyperlink" xfId="13276" builtinId="9" hidden="1"/>
    <cellStyle name="Followed Hyperlink" xfId="13277" builtinId="9" hidden="1"/>
    <cellStyle name="Followed Hyperlink" xfId="13278" builtinId="9" hidden="1"/>
    <cellStyle name="Followed Hyperlink" xfId="12952" builtinId="9" hidden="1"/>
    <cellStyle name="Followed Hyperlink" xfId="13239" builtinId="9" hidden="1"/>
    <cellStyle name="Followed Hyperlink" xfId="13280" builtinId="9" hidden="1"/>
    <cellStyle name="Followed Hyperlink" xfId="13281" builtinId="9" hidden="1"/>
    <cellStyle name="Followed Hyperlink" xfId="13282" builtinId="9" hidden="1"/>
    <cellStyle name="Followed Hyperlink" xfId="13283" builtinId="9" hidden="1"/>
    <cellStyle name="Followed Hyperlink" xfId="13284" builtinId="9" hidden="1"/>
    <cellStyle name="Followed Hyperlink" xfId="13285" builtinId="9" hidden="1"/>
    <cellStyle name="Followed Hyperlink" xfId="13286" builtinId="9" hidden="1"/>
    <cellStyle name="Followed Hyperlink" xfId="13287" builtinId="9" hidden="1"/>
    <cellStyle name="Followed Hyperlink" xfId="13288" builtinId="9" hidden="1"/>
    <cellStyle name="Followed Hyperlink" xfId="13289" builtinId="9" hidden="1"/>
    <cellStyle name="Followed Hyperlink" xfId="13290" builtinId="9" hidden="1"/>
    <cellStyle name="Followed Hyperlink" xfId="13291" builtinId="9" hidden="1"/>
    <cellStyle name="Followed Hyperlink" xfId="13292" builtinId="9" hidden="1"/>
    <cellStyle name="Followed Hyperlink" xfId="13293" builtinId="9" hidden="1"/>
    <cellStyle name="Followed Hyperlink" xfId="13294" builtinId="9" hidden="1"/>
    <cellStyle name="Followed Hyperlink" xfId="13295" builtinId="9" hidden="1"/>
    <cellStyle name="Followed Hyperlink" xfId="13296" builtinId="9" hidden="1"/>
    <cellStyle name="Followed Hyperlink" xfId="13297" builtinId="9" hidden="1"/>
    <cellStyle name="Followed Hyperlink" xfId="13298" builtinId="9" hidden="1"/>
    <cellStyle name="Followed Hyperlink" xfId="13299" builtinId="9" hidden="1"/>
    <cellStyle name="Followed Hyperlink" xfId="13300" builtinId="9" hidden="1"/>
    <cellStyle name="Followed Hyperlink" xfId="13301" builtinId="9" hidden="1"/>
    <cellStyle name="Followed Hyperlink" xfId="13302" builtinId="9" hidden="1"/>
    <cellStyle name="Followed Hyperlink" xfId="13303" builtinId="9" hidden="1"/>
    <cellStyle name="Followed Hyperlink" xfId="13304" builtinId="9" hidden="1"/>
    <cellStyle name="Followed Hyperlink" xfId="13305" builtinId="9" hidden="1"/>
    <cellStyle name="Followed Hyperlink" xfId="13306" builtinId="9" hidden="1"/>
    <cellStyle name="Followed Hyperlink" xfId="13307" builtinId="9" hidden="1"/>
    <cellStyle name="Followed Hyperlink" xfId="13308" builtinId="9" hidden="1"/>
    <cellStyle name="Followed Hyperlink" xfId="13309" builtinId="9" hidden="1"/>
    <cellStyle name="Followed Hyperlink" xfId="13310" builtinId="9" hidden="1"/>
    <cellStyle name="Followed Hyperlink" xfId="13311" builtinId="9" hidden="1"/>
    <cellStyle name="Followed Hyperlink" xfId="13312" builtinId="9" hidden="1"/>
    <cellStyle name="Followed Hyperlink" xfId="13313" builtinId="9" hidden="1"/>
    <cellStyle name="Followed Hyperlink" xfId="13314" builtinId="9" hidden="1"/>
    <cellStyle name="Followed Hyperlink" xfId="13315" builtinId="9" hidden="1"/>
    <cellStyle name="Followed Hyperlink" xfId="13316" builtinId="9" hidden="1"/>
    <cellStyle name="Followed Hyperlink" xfId="13317" builtinId="9" hidden="1"/>
    <cellStyle name="Followed Hyperlink" xfId="13318" builtinId="9" hidden="1"/>
    <cellStyle name="Followed Hyperlink" xfId="12954" builtinId="9" hidden="1"/>
    <cellStyle name="Followed Hyperlink" xfId="13279" builtinId="9" hidden="1"/>
    <cellStyle name="Followed Hyperlink" xfId="13320" builtinId="9" hidden="1"/>
    <cellStyle name="Followed Hyperlink" xfId="13321" builtinId="9" hidden="1"/>
    <cellStyle name="Followed Hyperlink" xfId="13322" builtinId="9" hidden="1"/>
    <cellStyle name="Followed Hyperlink" xfId="13323" builtinId="9" hidden="1"/>
    <cellStyle name="Followed Hyperlink" xfId="13324" builtinId="9" hidden="1"/>
    <cellStyle name="Followed Hyperlink" xfId="13325" builtinId="9" hidden="1"/>
    <cellStyle name="Followed Hyperlink" xfId="13326" builtinId="9" hidden="1"/>
    <cellStyle name="Followed Hyperlink" xfId="13327" builtinId="9" hidden="1"/>
    <cellStyle name="Followed Hyperlink" xfId="13328" builtinId="9" hidden="1"/>
    <cellStyle name="Followed Hyperlink" xfId="13329" builtinId="9" hidden="1"/>
    <cellStyle name="Followed Hyperlink" xfId="13330" builtinId="9" hidden="1"/>
    <cellStyle name="Followed Hyperlink" xfId="13331" builtinId="9" hidden="1"/>
    <cellStyle name="Followed Hyperlink" xfId="13332" builtinId="9" hidden="1"/>
    <cellStyle name="Followed Hyperlink" xfId="13333" builtinId="9" hidden="1"/>
    <cellStyle name="Followed Hyperlink" xfId="13334" builtinId="9" hidden="1"/>
    <cellStyle name="Followed Hyperlink" xfId="13335" builtinId="9" hidden="1"/>
    <cellStyle name="Followed Hyperlink" xfId="13336" builtinId="9" hidden="1"/>
    <cellStyle name="Followed Hyperlink" xfId="13337" builtinId="9" hidden="1"/>
    <cellStyle name="Followed Hyperlink" xfId="13338" builtinId="9" hidden="1"/>
    <cellStyle name="Followed Hyperlink" xfId="13339" builtinId="9" hidden="1"/>
    <cellStyle name="Followed Hyperlink" xfId="13340" builtinId="9" hidden="1"/>
    <cellStyle name="Followed Hyperlink" xfId="13341" builtinId="9" hidden="1"/>
    <cellStyle name="Followed Hyperlink" xfId="13342" builtinId="9" hidden="1"/>
    <cellStyle name="Followed Hyperlink" xfId="13343" builtinId="9" hidden="1"/>
    <cellStyle name="Followed Hyperlink" xfId="13344" builtinId="9" hidden="1"/>
    <cellStyle name="Followed Hyperlink" xfId="13345" builtinId="9" hidden="1"/>
    <cellStyle name="Followed Hyperlink" xfId="13346" builtinId="9" hidden="1"/>
    <cellStyle name="Followed Hyperlink" xfId="13347" builtinId="9" hidden="1"/>
    <cellStyle name="Followed Hyperlink" xfId="13348" builtinId="9" hidden="1"/>
    <cellStyle name="Followed Hyperlink" xfId="13349" builtinId="9" hidden="1"/>
    <cellStyle name="Followed Hyperlink" xfId="13350" builtinId="9" hidden="1"/>
    <cellStyle name="Followed Hyperlink" xfId="13351" builtinId="9" hidden="1"/>
    <cellStyle name="Followed Hyperlink" xfId="13352" builtinId="9" hidden="1"/>
    <cellStyle name="Followed Hyperlink" xfId="13353" builtinId="9" hidden="1"/>
    <cellStyle name="Followed Hyperlink" xfId="13354" builtinId="9" hidden="1"/>
    <cellStyle name="Followed Hyperlink" xfId="13355" builtinId="9" hidden="1"/>
    <cellStyle name="Followed Hyperlink" xfId="13356" builtinId="9" hidden="1"/>
    <cellStyle name="Followed Hyperlink" xfId="13357" builtinId="9" hidden="1"/>
    <cellStyle name="Followed Hyperlink" xfId="13358" builtinId="9" hidden="1"/>
    <cellStyle name="Followed Hyperlink" xfId="12950" builtinId="9" hidden="1"/>
    <cellStyle name="Followed Hyperlink" xfId="13319" builtinId="9" hidden="1"/>
    <cellStyle name="Followed Hyperlink" xfId="13359" builtinId="9" hidden="1"/>
    <cellStyle name="Followed Hyperlink" xfId="13360" builtinId="9" hidden="1"/>
    <cellStyle name="Followed Hyperlink" xfId="13361" builtinId="9" hidden="1"/>
    <cellStyle name="Followed Hyperlink" xfId="13362" builtinId="9" hidden="1"/>
    <cellStyle name="Followed Hyperlink" xfId="13363" builtinId="9" hidden="1"/>
    <cellStyle name="Followed Hyperlink" xfId="13364" builtinId="9" hidden="1"/>
    <cellStyle name="Followed Hyperlink" xfId="13365" builtinId="9" hidden="1"/>
    <cellStyle name="Followed Hyperlink" xfId="13366" builtinId="9" hidden="1"/>
    <cellStyle name="Followed Hyperlink" xfId="13367" builtinId="9" hidden="1"/>
    <cellStyle name="Followed Hyperlink" xfId="13368" builtinId="9" hidden="1"/>
    <cellStyle name="Followed Hyperlink" xfId="13369" builtinId="9" hidden="1"/>
    <cellStyle name="Followed Hyperlink" xfId="13370" builtinId="9" hidden="1"/>
    <cellStyle name="Followed Hyperlink" xfId="13371" builtinId="9" hidden="1"/>
    <cellStyle name="Followed Hyperlink" xfId="13372" builtinId="9" hidden="1"/>
    <cellStyle name="Followed Hyperlink" xfId="13373" builtinId="9" hidden="1"/>
    <cellStyle name="Followed Hyperlink" xfId="13374" builtinId="9" hidden="1"/>
    <cellStyle name="Followed Hyperlink" xfId="13375" builtinId="9" hidden="1"/>
    <cellStyle name="Followed Hyperlink" xfId="13376" builtinId="9" hidden="1"/>
    <cellStyle name="Followed Hyperlink" xfId="13377" builtinId="9" hidden="1"/>
    <cellStyle name="Followed Hyperlink" xfId="13378" builtinId="9" hidden="1"/>
    <cellStyle name="Followed Hyperlink" xfId="13379" builtinId="9" hidden="1"/>
    <cellStyle name="Followed Hyperlink" xfId="13380" builtinId="9" hidden="1"/>
    <cellStyle name="Followed Hyperlink" xfId="13381" builtinId="9" hidden="1"/>
    <cellStyle name="Followed Hyperlink" xfId="13382" builtinId="9" hidden="1"/>
    <cellStyle name="Followed Hyperlink" xfId="13383" builtinId="9" hidden="1"/>
    <cellStyle name="Followed Hyperlink" xfId="13384" builtinId="9" hidden="1"/>
    <cellStyle name="Followed Hyperlink" xfId="13385" builtinId="9" hidden="1"/>
    <cellStyle name="Followed Hyperlink" xfId="13386" builtinId="9" hidden="1"/>
    <cellStyle name="Followed Hyperlink" xfId="13387" builtinId="9" hidden="1"/>
    <cellStyle name="Followed Hyperlink" xfId="13388" builtinId="9" hidden="1"/>
    <cellStyle name="Followed Hyperlink" xfId="13389" builtinId="9" hidden="1"/>
    <cellStyle name="Followed Hyperlink" xfId="13390" builtinId="9" hidden="1"/>
    <cellStyle name="Followed Hyperlink" xfId="13391" builtinId="9" hidden="1"/>
    <cellStyle name="Followed Hyperlink" xfId="13392" builtinId="9" hidden="1"/>
    <cellStyle name="Followed Hyperlink" xfId="13393" builtinId="9" hidden="1"/>
    <cellStyle name="Followed Hyperlink" xfId="13394" builtinId="9" hidden="1"/>
    <cellStyle name="Followed Hyperlink" xfId="13395" builtinId="9" hidden="1"/>
    <cellStyle name="Followed Hyperlink" xfId="13396" builtinId="9" hidden="1"/>
    <cellStyle name="Followed Hyperlink" xfId="13397" builtinId="9" hidden="1"/>
    <cellStyle name="Followed Hyperlink" xfId="13423" builtinId="9" hidden="1"/>
    <cellStyle name="Followed Hyperlink" xfId="13424" builtinId="9" hidden="1"/>
    <cellStyle name="Followed Hyperlink" xfId="13425" builtinId="9" hidden="1"/>
    <cellStyle name="Followed Hyperlink" xfId="13426" builtinId="9" hidden="1"/>
    <cellStyle name="Followed Hyperlink" xfId="13427" builtinId="9" hidden="1"/>
    <cellStyle name="Followed Hyperlink" xfId="13428" builtinId="9" hidden="1"/>
    <cellStyle name="Followed Hyperlink" xfId="13429" builtinId="9" hidden="1"/>
    <cellStyle name="Followed Hyperlink" xfId="13430" builtinId="9" hidden="1"/>
    <cellStyle name="Followed Hyperlink" xfId="13431" builtinId="9" hidden="1"/>
    <cellStyle name="Followed Hyperlink" xfId="13432" builtinId="9" hidden="1"/>
    <cellStyle name="Followed Hyperlink" xfId="13433" builtinId="9" hidden="1"/>
    <cellStyle name="Followed Hyperlink" xfId="13434" builtinId="9" hidden="1"/>
    <cellStyle name="Followed Hyperlink" xfId="13435" builtinId="9" hidden="1"/>
    <cellStyle name="Followed Hyperlink" xfId="13436" builtinId="9" hidden="1"/>
    <cellStyle name="Followed Hyperlink" xfId="13437" builtinId="9" hidden="1"/>
    <cellStyle name="Followed Hyperlink" xfId="13438" builtinId="9" hidden="1"/>
    <cellStyle name="Followed Hyperlink" xfId="13439" builtinId="9" hidden="1"/>
    <cellStyle name="Followed Hyperlink" xfId="13440" builtinId="9" hidden="1"/>
    <cellStyle name="Followed Hyperlink" xfId="13441" builtinId="9" hidden="1"/>
    <cellStyle name="Followed Hyperlink" xfId="13442" builtinId="9" hidden="1"/>
    <cellStyle name="Followed Hyperlink" xfId="13443" builtinId="9" hidden="1"/>
    <cellStyle name="Followed Hyperlink" xfId="13444" builtinId="9" hidden="1"/>
    <cellStyle name="Followed Hyperlink" xfId="13445" builtinId="9" hidden="1"/>
    <cellStyle name="Followed Hyperlink" xfId="13446" builtinId="9" hidden="1"/>
    <cellStyle name="Followed Hyperlink" xfId="13447" builtinId="9" hidden="1"/>
    <cellStyle name="Followed Hyperlink" xfId="13448" builtinId="9" hidden="1"/>
    <cellStyle name="Followed Hyperlink" xfId="13449" builtinId="9" hidden="1"/>
    <cellStyle name="Followed Hyperlink" xfId="13450" builtinId="9" hidden="1"/>
    <cellStyle name="Followed Hyperlink" xfId="13451" builtinId="9" hidden="1"/>
    <cellStyle name="Followed Hyperlink" xfId="13452" builtinId="9" hidden="1"/>
    <cellStyle name="Followed Hyperlink" xfId="13453" builtinId="9" hidden="1"/>
    <cellStyle name="Followed Hyperlink" xfId="13454" builtinId="9" hidden="1"/>
    <cellStyle name="Followed Hyperlink" xfId="13455" builtinId="9" hidden="1"/>
    <cellStyle name="Followed Hyperlink" xfId="13456" builtinId="9" hidden="1"/>
    <cellStyle name="Followed Hyperlink" xfId="13457" builtinId="9" hidden="1"/>
    <cellStyle name="Followed Hyperlink" xfId="13458" builtinId="9" hidden="1"/>
    <cellStyle name="Followed Hyperlink" xfId="13459" builtinId="9" hidden="1"/>
    <cellStyle name="Followed Hyperlink" xfId="13460" builtinId="9" hidden="1"/>
    <cellStyle name="Followed Hyperlink" xfId="13461" builtinId="9" hidden="1"/>
    <cellStyle name="Followed Hyperlink" xfId="13462" builtinId="9" hidden="1"/>
    <cellStyle name="Followed Hyperlink" xfId="13463" builtinId="9" hidden="1"/>
    <cellStyle name="Followed Hyperlink" xfId="13472" builtinId="9" hidden="1"/>
    <cellStyle name="Followed Hyperlink" xfId="13473" builtinId="9" hidden="1"/>
    <cellStyle name="Followed Hyperlink" xfId="13474" builtinId="9" hidden="1"/>
    <cellStyle name="Followed Hyperlink" xfId="13475" builtinId="9" hidden="1"/>
    <cellStyle name="Followed Hyperlink" xfId="13476" builtinId="9" hidden="1"/>
    <cellStyle name="Followed Hyperlink" xfId="13477" builtinId="9" hidden="1"/>
    <cellStyle name="Followed Hyperlink" xfId="13478" builtinId="9" hidden="1"/>
    <cellStyle name="Followed Hyperlink" xfId="13479" builtinId="9" hidden="1"/>
    <cellStyle name="Followed Hyperlink" xfId="13480" builtinId="9" hidden="1"/>
    <cellStyle name="Followed Hyperlink" xfId="13481" builtinId="9" hidden="1"/>
    <cellStyle name="Followed Hyperlink" xfId="13482" builtinId="9" hidden="1"/>
    <cellStyle name="Followed Hyperlink" xfId="13483" builtinId="9" hidden="1"/>
    <cellStyle name="Followed Hyperlink" xfId="13484" builtinId="9" hidden="1"/>
    <cellStyle name="Followed Hyperlink" xfId="13485" builtinId="9" hidden="1"/>
    <cellStyle name="Followed Hyperlink" xfId="13486" builtinId="9" hidden="1"/>
    <cellStyle name="Followed Hyperlink" xfId="13487" builtinId="9" hidden="1"/>
    <cellStyle name="Followed Hyperlink" xfId="13488" builtinId="9" hidden="1"/>
    <cellStyle name="Followed Hyperlink" xfId="13489" builtinId="9" hidden="1"/>
    <cellStyle name="Followed Hyperlink" xfId="13490" builtinId="9" hidden="1"/>
    <cellStyle name="Followed Hyperlink" xfId="13491" builtinId="9" hidden="1"/>
    <cellStyle name="Followed Hyperlink" xfId="13492" builtinId="9" hidden="1"/>
    <cellStyle name="Followed Hyperlink" xfId="13493" builtinId="9" hidden="1"/>
    <cellStyle name="Followed Hyperlink" xfId="13494" builtinId="9" hidden="1"/>
    <cellStyle name="Followed Hyperlink" xfId="13495" builtinId="9" hidden="1"/>
    <cellStyle name="Followed Hyperlink" xfId="13496" builtinId="9" hidden="1"/>
    <cellStyle name="Followed Hyperlink" xfId="13497" builtinId="9" hidden="1"/>
    <cellStyle name="Followed Hyperlink" xfId="13498" builtinId="9" hidden="1"/>
    <cellStyle name="Followed Hyperlink" xfId="13499" builtinId="9" hidden="1"/>
    <cellStyle name="Followed Hyperlink" xfId="13500" builtinId="9" hidden="1"/>
    <cellStyle name="Followed Hyperlink" xfId="13501" builtinId="9" hidden="1"/>
    <cellStyle name="Followed Hyperlink" xfId="13502" builtinId="9" hidden="1"/>
    <cellStyle name="Followed Hyperlink" xfId="13503" builtinId="9" hidden="1"/>
    <cellStyle name="Followed Hyperlink" xfId="13504" builtinId="9" hidden="1"/>
    <cellStyle name="Followed Hyperlink" xfId="13505" builtinId="9" hidden="1"/>
    <cellStyle name="Followed Hyperlink" xfId="13506" builtinId="9" hidden="1"/>
    <cellStyle name="Followed Hyperlink" xfId="13507" builtinId="9" hidden="1"/>
    <cellStyle name="Followed Hyperlink" xfId="13508" builtinId="9" hidden="1"/>
    <cellStyle name="Followed Hyperlink" xfId="13509" builtinId="9" hidden="1"/>
    <cellStyle name="Followed Hyperlink" xfId="13510" builtinId="9" hidden="1"/>
    <cellStyle name="Followed Hyperlink" xfId="13511" builtinId="9" hidden="1"/>
    <cellStyle name="Followed Hyperlink" xfId="13512" builtinId="9" hidden="1"/>
    <cellStyle name="Followed Hyperlink" xfId="13513" builtinId="9" hidden="1"/>
    <cellStyle name="Followed Hyperlink" xfId="13514" builtinId="9" hidden="1"/>
    <cellStyle name="Followed Hyperlink" xfId="13515" builtinId="9" hidden="1"/>
    <cellStyle name="Followed Hyperlink" xfId="13516" builtinId="9" hidden="1"/>
    <cellStyle name="Followed Hyperlink" xfId="13517" builtinId="9" hidden="1"/>
    <cellStyle name="Followed Hyperlink" xfId="13518" builtinId="9" hidden="1"/>
    <cellStyle name="Followed Hyperlink" xfId="13519" builtinId="9" hidden="1"/>
    <cellStyle name="Followed Hyperlink" xfId="13520" builtinId="9" hidden="1"/>
    <cellStyle name="Followed Hyperlink" xfId="13521" builtinId="9" hidden="1"/>
    <cellStyle name="Followed Hyperlink" xfId="13522" builtinId="9" hidden="1"/>
    <cellStyle name="Followed Hyperlink" xfId="13523" builtinId="9" hidden="1"/>
    <cellStyle name="Followed Hyperlink" xfId="13524" builtinId="9" hidden="1"/>
    <cellStyle name="Followed Hyperlink" xfId="13525" builtinId="9" hidden="1"/>
    <cellStyle name="Followed Hyperlink" xfId="13526" builtinId="9" hidden="1"/>
    <cellStyle name="Followed Hyperlink" xfId="13527" builtinId="9" hidden="1"/>
    <cellStyle name="Followed Hyperlink" xfId="13528" builtinId="9" hidden="1"/>
    <cellStyle name="Followed Hyperlink" xfId="13529" builtinId="9" hidden="1"/>
    <cellStyle name="Followed Hyperlink" xfId="13530" builtinId="9" hidden="1"/>
    <cellStyle name="Followed Hyperlink" xfId="13531" builtinId="9" hidden="1"/>
    <cellStyle name="Followed Hyperlink" xfId="13532" builtinId="9" hidden="1"/>
    <cellStyle name="Followed Hyperlink" xfId="13533" builtinId="9" hidden="1"/>
    <cellStyle name="Followed Hyperlink" xfId="13534" builtinId="9" hidden="1"/>
    <cellStyle name="Followed Hyperlink" xfId="13535" builtinId="9" hidden="1"/>
    <cellStyle name="Followed Hyperlink" xfId="13536" builtinId="9" hidden="1"/>
    <cellStyle name="Followed Hyperlink" xfId="13537" builtinId="9" hidden="1"/>
    <cellStyle name="Followed Hyperlink" xfId="13538" builtinId="9" hidden="1"/>
    <cellStyle name="Followed Hyperlink" xfId="13539" builtinId="9" hidden="1"/>
    <cellStyle name="Followed Hyperlink" xfId="13540" builtinId="9" hidden="1"/>
    <cellStyle name="Followed Hyperlink" xfId="13541" builtinId="9" hidden="1"/>
    <cellStyle name="Followed Hyperlink" xfId="13542" builtinId="9" hidden="1"/>
    <cellStyle name="Followed Hyperlink" xfId="13543" builtinId="9" hidden="1"/>
    <cellStyle name="Followed Hyperlink" xfId="13544" builtinId="9" hidden="1"/>
    <cellStyle name="Followed Hyperlink" xfId="13545" builtinId="9" hidden="1"/>
    <cellStyle name="Followed Hyperlink" xfId="13546" builtinId="9" hidden="1"/>
    <cellStyle name="Followed Hyperlink" xfId="13547" builtinId="9" hidden="1"/>
    <cellStyle name="Followed Hyperlink" xfId="13548" builtinId="9" hidden="1"/>
    <cellStyle name="Followed Hyperlink" xfId="13549" builtinId="9" hidden="1"/>
    <cellStyle name="Followed Hyperlink" xfId="13550" builtinId="9" hidden="1"/>
    <cellStyle name="Followed Hyperlink" xfId="13551" builtinId="9" hidden="1"/>
    <cellStyle name="Followed Hyperlink" xfId="13552" builtinId="9" hidden="1"/>
    <cellStyle name="Followed Hyperlink" xfId="13553" builtinId="9" hidden="1"/>
    <cellStyle name="Followed Hyperlink" xfId="13554" builtinId="9" hidden="1"/>
    <cellStyle name="Followed Hyperlink" xfId="13555" builtinId="9" hidden="1"/>
    <cellStyle name="Followed Hyperlink" xfId="13556" builtinId="9" hidden="1"/>
    <cellStyle name="Followed Hyperlink" xfId="13557" builtinId="9" hidden="1"/>
    <cellStyle name="Followed Hyperlink" xfId="13558" builtinId="9" hidden="1"/>
    <cellStyle name="Followed Hyperlink" xfId="13559" builtinId="9" hidden="1"/>
    <cellStyle name="Followed Hyperlink" xfId="13560" builtinId="9" hidden="1"/>
    <cellStyle name="Followed Hyperlink" xfId="13561" builtinId="9" hidden="1"/>
    <cellStyle name="Followed Hyperlink" xfId="13562" builtinId="9" hidden="1"/>
    <cellStyle name="Followed Hyperlink" xfId="13563" builtinId="9" hidden="1"/>
    <cellStyle name="Followed Hyperlink" xfId="13564" builtinId="9" hidden="1"/>
    <cellStyle name="Followed Hyperlink" xfId="13565" builtinId="9" hidden="1"/>
    <cellStyle name="Followed Hyperlink" xfId="13566" builtinId="9" hidden="1"/>
    <cellStyle name="Followed Hyperlink" xfId="13567" builtinId="9" hidden="1"/>
    <cellStyle name="Followed Hyperlink" xfId="13568" builtinId="9" hidden="1"/>
    <cellStyle name="Followed Hyperlink" xfId="13569" builtinId="9" hidden="1"/>
    <cellStyle name="Followed Hyperlink" xfId="13570" builtinId="9" hidden="1"/>
    <cellStyle name="Followed Hyperlink" xfId="13571" builtinId="9" hidden="1"/>
    <cellStyle name="Followed Hyperlink" xfId="13572" builtinId="9" hidden="1"/>
    <cellStyle name="Followed Hyperlink" xfId="13573" builtinId="9" hidden="1"/>
    <cellStyle name="Followed Hyperlink" xfId="13574" builtinId="9" hidden="1"/>
    <cellStyle name="Followed Hyperlink" xfId="13575" builtinId="9" hidden="1"/>
    <cellStyle name="Followed Hyperlink" xfId="13576" builtinId="9" hidden="1"/>
    <cellStyle name="Followed Hyperlink" xfId="13577" builtinId="9" hidden="1"/>
    <cellStyle name="Followed Hyperlink" xfId="13578" builtinId="9" hidden="1"/>
    <cellStyle name="Followed Hyperlink" xfId="13579" builtinId="9" hidden="1"/>
    <cellStyle name="Followed Hyperlink" xfId="13580" builtinId="9" hidden="1"/>
    <cellStyle name="Followed Hyperlink" xfId="13581" builtinId="9" hidden="1"/>
    <cellStyle name="Followed Hyperlink" xfId="13582" builtinId="9" hidden="1"/>
    <cellStyle name="Followed Hyperlink" xfId="13583" builtinId="9" hidden="1"/>
    <cellStyle name="Followed Hyperlink" xfId="13584" builtinId="9" hidden="1"/>
    <cellStyle name="Followed Hyperlink" xfId="13585" builtinId="9" hidden="1"/>
    <cellStyle name="Followed Hyperlink" xfId="13586" builtinId="9" hidden="1"/>
    <cellStyle name="Followed Hyperlink" xfId="13587" builtinId="9" hidden="1"/>
    <cellStyle name="Followed Hyperlink" xfId="13588" builtinId="9" hidden="1"/>
    <cellStyle name="Followed Hyperlink" xfId="13589" builtinId="9" hidden="1"/>
    <cellStyle name="Followed Hyperlink" xfId="13590" builtinId="9" hidden="1"/>
    <cellStyle name="Followed Hyperlink" xfId="13591" builtinId="9" hidden="1"/>
    <cellStyle name="Followed Hyperlink" xfId="13592" builtinId="9" hidden="1"/>
    <cellStyle name="Followed Hyperlink" xfId="13593" builtinId="9" hidden="1"/>
    <cellStyle name="Followed Hyperlink" xfId="13594" builtinId="9" hidden="1"/>
    <cellStyle name="Followed Hyperlink" xfId="13464" builtinId="9" hidden="1"/>
    <cellStyle name="Followed Hyperlink" xfId="13422" builtinId="9" hidden="1"/>
    <cellStyle name="Followed Hyperlink" xfId="13596" builtinId="9" hidden="1"/>
    <cellStyle name="Followed Hyperlink" xfId="13597" builtinId="9" hidden="1"/>
    <cellStyle name="Followed Hyperlink" xfId="13598" builtinId="9" hidden="1"/>
    <cellStyle name="Followed Hyperlink" xfId="13599" builtinId="9" hidden="1"/>
    <cellStyle name="Followed Hyperlink" xfId="13600" builtinId="9" hidden="1"/>
    <cellStyle name="Followed Hyperlink" xfId="13601" builtinId="9" hidden="1"/>
    <cellStyle name="Followed Hyperlink" xfId="13602" builtinId="9" hidden="1"/>
    <cellStyle name="Followed Hyperlink" xfId="13603" builtinId="9" hidden="1"/>
    <cellStyle name="Followed Hyperlink" xfId="13604" builtinId="9" hidden="1"/>
    <cellStyle name="Followed Hyperlink" xfId="13605" builtinId="9" hidden="1"/>
    <cellStyle name="Followed Hyperlink" xfId="13606" builtinId="9" hidden="1"/>
    <cellStyle name="Followed Hyperlink" xfId="13607" builtinId="9" hidden="1"/>
    <cellStyle name="Followed Hyperlink" xfId="13608" builtinId="9" hidden="1"/>
    <cellStyle name="Followed Hyperlink" xfId="13609" builtinId="9" hidden="1"/>
    <cellStyle name="Followed Hyperlink" xfId="13610" builtinId="9" hidden="1"/>
    <cellStyle name="Followed Hyperlink" xfId="13611" builtinId="9" hidden="1"/>
    <cellStyle name="Followed Hyperlink" xfId="13612" builtinId="9" hidden="1"/>
    <cellStyle name="Followed Hyperlink" xfId="13613" builtinId="9" hidden="1"/>
    <cellStyle name="Followed Hyperlink" xfId="13614" builtinId="9" hidden="1"/>
    <cellStyle name="Followed Hyperlink" xfId="13615" builtinId="9" hidden="1"/>
    <cellStyle name="Followed Hyperlink" xfId="13616" builtinId="9" hidden="1"/>
    <cellStyle name="Followed Hyperlink" xfId="13617" builtinId="9" hidden="1"/>
    <cellStyle name="Followed Hyperlink" xfId="13618" builtinId="9" hidden="1"/>
    <cellStyle name="Followed Hyperlink" xfId="13619" builtinId="9" hidden="1"/>
    <cellStyle name="Followed Hyperlink" xfId="13620" builtinId="9" hidden="1"/>
    <cellStyle name="Followed Hyperlink" xfId="13621" builtinId="9" hidden="1"/>
    <cellStyle name="Followed Hyperlink" xfId="13622" builtinId="9" hidden="1"/>
    <cellStyle name="Followed Hyperlink" xfId="13623" builtinId="9" hidden="1"/>
    <cellStyle name="Followed Hyperlink" xfId="13624" builtinId="9" hidden="1"/>
    <cellStyle name="Followed Hyperlink" xfId="13625" builtinId="9" hidden="1"/>
    <cellStyle name="Followed Hyperlink" xfId="13626" builtinId="9" hidden="1"/>
    <cellStyle name="Followed Hyperlink" xfId="13627" builtinId="9" hidden="1"/>
    <cellStyle name="Followed Hyperlink" xfId="13628" builtinId="9" hidden="1"/>
    <cellStyle name="Followed Hyperlink" xfId="13629" builtinId="9" hidden="1"/>
    <cellStyle name="Followed Hyperlink" xfId="13630" builtinId="9" hidden="1"/>
    <cellStyle name="Followed Hyperlink" xfId="13631" builtinId="9" hidden="1"/>
    <cellStyle name="Followed Hyperlink" xfId="13632" builtinId="9" hidden="1"/>
    <cellStyle name="Followed Hyperlink" xfId="13633" builtinId="9" hidden="1"/>
    <cellStyle name="Followed Hyperlink" xfId="13634" builtinId="9" hidden="1"/>
    <cellStyle name="Followed Hyperlink" xfId="13469" builtinId="9" hidden="1"/>
    <cellStyle name="Followed Hyperlink" xfId="13595" builtinId="9" hidden="1"/>
    <cellStyle name="Followed Hyperlink" xfId="13636" builtinId="9" hidden="1"/>
    <cellStyle name="Followed Hyperlink" xfId="13637" builtinId="9" hidden="1"/>
    <cellStyle name="Followed Hyperlink" xfId="13638" builtinId="9" hidden="1"/>
    <cellStyle name="Followed Hyperlink" xfId="13639" builtinId="9" hidden="1"/>
    <cellStyle name="Followed Hyperlink" xfId="13640" builtinId="9" hidden="1"/>
    <cellStyle name="Followed Hyperlink" xfId="13641" builtinId="9" hidden="1"/>
    <cellStyle name="Followed Hyperlink" xfId="13642" builtinId="9" hidden="1"/>
    <cellStyle name="Followed Hyperlink" xfId="13643" builtinId="9" hidden="1"/>
    <cellStyle name="Followed Hyperlink" xfId="13644" builtinId="9" hidden="1"/>
    <cellStyle name="Followed Hyperlink" xfId="13645" builtinId="9" hidden="1"/>
    <cellStyle name="Followed Hyperlink" xfId="13646" builtinId="9" hidden="1"/>
    <cellStyle name="Followed Hyperlink" xfId="13647" builtinId="9" hidden="1"/>
    <cellStyle name="Followed Hyperlink" xfId="13648" builtinId="9" hidden="1"/>
    <cellStyle name="Followed Hyperlink" xfId="13649" builtinId="9" hidden="1"/>
    <cellStyle name="Followed Hyperlink" xfId="13650" builtinId="9" hidden="1"/>
    <cellStyle name="Followed Hyperlink" xfId="13651" builtinId="9" hidden="1"/>
    <cellStyle name="Followed Hyperlink" xfId="13652" builtinId="9" hidden="1"/>
    <cellStyle name="Followed Hyperlink" xfId="13653" builtinId="9" hidden="1"/>
    <cellStyle name="Followed Hyperlink" xfId="13654" builtinId="9" hidden="1"/>
    <cellStyle name="Followed Hyperlink" xfId="13655" builtinId="9" hidden="1"/>
    <cellStyle name="Followed Hyperlink" xfId="13656" builtinId="9" hidden="1"/>
    <cellStyle name="Followed Hyperlink" xfId="13657" builtinId="9" hidden="1"/>
    <cellStyle name="Followed Hyperlink" xfId="13658" builtinId="9" hidden="1"/>
    <cellStyle name="Followed Hyperlink" xfId="13659" builtinId="9" hidden="1"/>
    <cellStyle name="Followed Hyperlink" xfId="13660" builtinId="9" hidden="1"/>
    <cellStyle name="Followed Hyperlink" xfId="13661" builtinId="9" hidden="1"/>
    <cellStyle name="Followed Hyperlink" xfId="13662" builtinId="9" hidden="1"/>
    <cellStyle name="Followed Hyperlink" xfId="13663" builtinId="9" hidden="1"/>
    <cellStyle name="Followed Hyperlink" xfId="13664" builtinId="9" hidden="1"/>
    <cellStyle name="Followed Hyperlink" xfId="13665" builtinId="9" hidden="1"/>
    <cellStyle name="Followed Hyperlink" xfId="13666" builtinId="9" hidden="1"/>
    <cellStyle name="Followed Hyperlink" xfId="13667" builtinId="9" hidden="1"/>
    <cellStyle name="Followed Hyperlink" xfId="13668" builtinId="9" hidden="1"/>
    <cellStyle name="Followed Hyperlink" xfId="13669" builtinId="9" hidden="1"/>
    <cellStyle name="Followed Hyperlink" xfId="13670" builtinId="9" hidden="1"/>
    <cellStyle name="Followed Hyperlink" xfId="13671" builtinId="9" hidden="1"/>
    <cellStyle name="Followed Hyperlink" xfId="13672" builtinId="9" hidden="1"/>
    <cellStyle name="Followed Hyperlink" xfId="13673" builtinId="9" hidden="1"/>
    <cellStyle name="Followed Hyperlink" xfId="13674" builtinId="9" hidden="1"/>
    <cellStyle name="Followed Hyperlink" xfId="13471" builtinId="9" hidden="1"/>
    <cellStyle name="Followed Hyperlink" xfId="13635" builtinId="9" hidden="1"/>
    <cellStyle name="Followed Hyperlink" xfId="13676" builtinId="9" hidden="1"/>
    <cellStyle name="Followed Hyperlink" xfId="13677" builtinId="9" hidden="1"/>
    <cellStyle name="Followed Hyperlink" xfId="13678" builtinId="9" hidden="1"/>
    <cellStyle name="Followed Hyperlink" xfId="13679" builtinId="9" hidden="1"/>
    <cellStyle name="Followed Hyperlink" xfId="13680" builtinId="9" hidden="1"/>
    <cellStyle name="Followed Hyperlink" xfId="13681" builtinId="9" hidden="1"/>
    <cellStyle name="Followed Hyperlink" xfId="13682" builtinId="9" hidden="1"/>
    <cellStyle name="Followed Hyperlink" xfId="13683" builtinId="9" hidden="1"/>
    <cellStyle name="Followed Hyperlink" xfId="13684" builtinId="9" hidden="1"/>
    <cellStyle name="Followed Hyperlink" xfId="13685" builtinId="9" hidden="1"/>
    <cellStyle name="Followed Hyperlink" xfId="13686" builtinId="9" hidden="1"/>
    <cellStyle name="Followed Hyperlink" xfId="13687" builtinId="9" hidden="1"/>
    <cellStyle name="Followed Hyperlink" xfId="13688" builtinId="9" hidden="1"/>
    <cellStyle name="Followed Hyperlink" xfId="13689" builtinId="9" hidden="1"/>
    <cellStyle name="Followed Hyperlink" xfId="13690" builtinId="9" hidden="1"/>
    <cellStyle name="Followed Hyperlink" xfId="13691" builtinId="9" hidden="1"/>
    <cellStyle name="Followed Hyperlink" xfId="13692" builtinId="9" hidden="1"/>
    <cellStyle name="Followed Hyperlink" xfId="13693" builtinId="9" hidden="1"/>
    <cellStyle name="Followed Hyperlink" xfId="13694" builtinId="9" hidden="1"/>
    <cellStyle name="Followed Hyperlink" xfId="13695" builtinId="9" hidden="1"/>
    <cellStyle name="Followed Hyperlink" xfId="13696" builtinId="9" hidden="1"/>
    <cellStyle name="Followed Hyperlink" xfId="13697" builtinId="9" hidden="1"/>
    <cellStyle name="Followed Hyperlink" xfId="13698" builtinId="9" hidden="1"/>
    <cellStyle name="Followed Hyperlink" xfId="13699" builtinId="9" hidden="1"/>
    <cellStyle name="Followed Hyperlink" xfId="13700" builtinId="9" hidden="1"/>
    <cellStyle name="Followed Hyperlink" xfId="13701" builtinId="9" hidden="1"/>
    <cellStyle name="Followed Hyperlink" xfId="13702" builtinId="9" hidden="1"/>
    <cellStyle name="Followed Hyperlink" xfId="13703" builtinId="9" hidden="1"/>
    <cellStyle name="Followed Hyperlink" xfId="13704" builtinId="9" hidden="1"/>
    <cellStyle name="Followed Hyperlink" xfId="13705" builtinId="9" hidden="1"/>
    <cellStyle name="Followed Hyperlink" xfId="13706" builtinId="9" hidden="1"/>
    <cellStyle name="Followed Hyperlink" xfId="13707" builtinId="9" hidden="1"/>
    <cellStyle name="Followed Hyperlink" xfId="13708" builtinId="9" hidden="1"/>
    <cellStyle name="Followed Hyperlink" xfId="13709" builtinId="9" hidden="1"/>
    <cellStyle name="Followed Hyperlink" xfId="13710" builtinId="9" hidden="1"/>
    <cellStyle name="Followed Hyperlink" xfId="13711" builtinId="9" hidden="1"/>
    <cellStyle name="Followed Hyperlink" xfId="13712" builtinId="9" hidden="1"/>
    <cellStyle name="Followed Hyperlink" xfId="13713" builtinId="9" hidden="1"/>
    <cellStyle name="Followed Hyperlink" xfId="13714" builtinId="9" hidden="1"/>
    <cellStyle name="Followed Hyperlink" xfId="13465" builtinId="9" hidden="1"/>
    <cellStyle name="Followed Hyperlink" xfId="13675" builtinId="9" hidden="1"/>
    <cellStyle name="Followed Hyperlink" xfId="13716" builtinId="9" hidden="1"/>
    <cellStyle name="Followed Hyperlink" xfId="13717" builtinId="9" hidden="1"/>
    <cellStyle name="Followed Hyperlink" xfId="13718" builtinId="9" hidden="1"/>
    <cellStyle name="Followed Hyperlink" xfId="13719" builtinId="9" hidden="1"/>
    <cellStyle name="Followed Hyperlink" xfId="13720" builtinId="9" hidden="1"/>
    <cellStyle name="Followed Hyperlink" xfId="13721" builtinId="9" hidden="1"/>
    <cellStyle name="Followed Hyperlink" xfId="13722" builtinId="9" hidden="1"/>
    <cellStyle name="Followed Hyperlink" xfId="13723" builtinId="9" hidden="1"/>
    <cellStyle name="Followed Hyperlink" xfId="13724" builtinId="9" hidden="1"/>
    <cellStyle name="Followed Hyperlink" xfId="13725" builtinId="9" hidden="1"/>
    <cellStyle name="Followed Hyperlink" xfId="13726" builtinId="9" hidden="1"/>
    <cellStyle name="Followed Hyperlink" xfId="13727" builtinId="9" hidden="1"/>
    <cellStyle name="Followed Hyperlink" xfId="13728" builtinId="9" hidden="1"/>
    <cellStyle name="Followed Hyperlink" xfId="13729" builtinId="9" hidden="1"/>
    <cellStyle name="Followed Hyperlink" xfId="13730" builtinId="9" hidden="1"/>
    <cellStyle name="Followed Hyperlink" xfId="13731" builtinId="9" hidden="1"/>
    <cellStyle name="Followed Hyperlink" xfId="13732" builtinId="9" hidden="1"/>
    <cellStyle name="Followed Hyperlink" xfId="13733" builtinId="9" hidden="1"/>
    <cellStyle name="Followed Hyperlink" xfId="13734" builtinId="9" hidden="1"/>
    <cellStyle name="Followed Hyperlink" xfId="13735" builtinId="9" hidden="1"/>
    <cellStyle name="Followed Hyperlink" xfId="13736" builtinId="9" hidden="1"/>
    <cellStyle name="Followed Hyperlink" xfId="13737" builtinId="9" hidden="1"/>
    <cellStyle name="Followed Hyperlink" xfId="13738" builtinId="9" hidden="1"/>
    <cellStyle name="Followed Hyperlink" xfId="13739" builtinId="9" hidden="1"/>
    <cellStyle name="Followed Hyperlink" xfId="13740" builtinId="9" hidden="1"/>
    <cellStyle name="Followed Hyperlink" xfId="13741" builtinId="9" hidden="1"/>
    <cellStyle name="Followed Hyperlink" xfId="13742" builtinId="9" hidden="1"/>
    <cellStyle name="Followed Hyperlink" xfId="13743" builtinId="9" hidden="1"/>
    <cellStyle name="Followed Hyperlink" xfId="13744" builtinId="9" hidden="1"/>
    <cellStyle name="Followed Hyperlink" xfId="13745" builtinId="9" hidden="1"/>
    <cellStyle name="Followed Hyperlink" xfId="13746" builtinId="9" hidden="1"/>
    <cellStyle name="Followed Hyperlink" xfId="13747" builtinId="9" hidden="1"/>
    <cellStyle name="Followed Hyperlink" xfId="13748" builtinId="9" hidden="1"/>
    <cellStyle name="Followed Hyperlink" xfId="13749" builtinId="9" hidden="1"/>
    <cellStyle name="Followed Hyperlink" xfId="13750" builtinId="9" hidden="1"/>
    <cellStyle name="Followed Hyperlink" xfId="13751" builtinId="9" hidden="1"/>
    <cellStyle name="Followed Hyperlink" xfId="13752" builtinId="9" hidden="1"/>
    <cellStyle name="Followed Hyperlink" xfId="13753" builtinId="9" hidden="1"/>
    <cellStyle name="Followed Hyperlink" xfId="13754" builtinId="9" hidden="1"/>
    <cellStyle name="Followed Hyperlink" xfId="13467" builtinId="9" hidden="1"/>
    <cellStyle name="Followed Hyperlink" xfId="13715" builtinId="9" hidden="1"/>
    <cellStyle name="Followed Hyperlink" xfId="13756" builtinId="9" hidden="1"/>
    <cellStyle name="Followed Hyperlink" xfId="13757" builtinId="9" hidden="1"/>
    <cellStyle name="Followed Hyperlink" xfId="13758" builtinId="9" hidden="1"/>
    <cellStyle name="Followed Hyperlink" xfId="13759" builtinId="9" hidden="1"/>
    <cellStyle name="Followed Hyperlink" xfId="13760" builtinId="9" hidden="1"/>
    <cellStyle name="Followed Hyperlink" xfId="13761" builtinId="9" hidden="1"/>
    <cellStyle name="Followed Hyperlink" xfId="13762" builtinId="9" hidden="1"/>
    <cellStyle name="Followed Hyperlink" xfId="13763" builtinId="9" hidden="1"/>
    <cellStyle name="Followed Hyperlink" xfId="13764" builtinId="9" hidden="1"/>
    <cellStyle name="Followed Hyperlink" xfId="13765" builtinId="9" hidden="1"/>
    <cellStyle name="Followed Hyperlink" xfId="13766" builtinId="9" hidden="1"/>
    <cellStyle name="Followed Hyperlink" xfId="13767" builtinId="9" hidden="1"/>
    <cellStyle name="Followed Hyperlink" xfId="13768" builtinId="9" hidden="1"/>
    <cellStyle name="Followed Hyperlink" xfId="13769" builtinId="9" hidden="1"/>
    <cellStyle name="Followed Hyperlink" xfId="13770" builtinId="9" hidden="1"/>
    <cellStyle name="Followed Hyperlink" xfId="13771" builtinId="9" hidden="1"/>
    <cellStyle name="Followed Hyperlink" xfId="13772" builtinId="9" hidden="1"/>
    <cellStyle name="Followed Hyperlink" xfId="13773" builtinId="9" hidden="1"/>
    <cellStyle name="Followed Hyperlink" xfId="13774" builtinId="9" hidden="1"/>
    <cellStyle name="Followed Hyperlink" xfId="13775" builtinId="9" hidden="1"/>
    <cellStyle name="Followed Hyperlink" xfId="13776" builtinId="9" hidden="1"/>
    <cellStyle name="Followed Hyperlink" xfId="13777" builtinId="9" hidden="1"/>
    <cellStyle name="Followed Hyperlink" xfId="13778" builtinId="9" hidden="1"/>
    <cellStyle name="Followed Hyperlink" xfId="13779" builtinId="9" hidden="1"/>
    <cellStyle name="Followed Hyperlink" xfId="13780" builtinId="9" hidden="1"/>
    <cellStyle name="Followed Hyperlink" xfId="13781" builtinId="9" hidden="1"/>
    <cellStyle name="Followed Hyperlink" xfId="13782" builtinId="9" hidden="1"/>
    <cellStyle name="Followed Hyperlink" xfId="13783" builtinId="9" hidden="1"/>
    <cellStyle name="Followed Hyperlink" xfId="13784" builtinId="9" hidden="1"/>
    <cellStyle name="Followed Hyperlink" xfId="13785" builtinId="9" hidden="1"/>
    <cellStyle name="Followed Hyperlink" xfId="13786" builtinId="9" hidden="1"/>
    <cellStyle name="Followed Hyperlink" xfId="13787" builtinId="9" hidden="1"/>
    <cellStyle name="Followed Hyperlink" xfId="13788" builtinId="9" hidden="1"/>
    <cellStyle name="Followed Hyperlink" xfId="13789" builtinId="9" hidden="1"/>
    <cellStyle name="Followed Hyperlink" xfId="13790" builtinId="9" hidden="1"/>
    <cellStyle name="Followed Hyperlink" xfId="13791" builtinId="9" hidden="1"/>
    <cellStyle name="Followed Hyperlink" xfId="13792" builtinId="9" hidden="1"/>
    <cellStyle name="Followed Hyperlink" xfId="13793" builtinId="9" hidden="1"/>
    <cellStyle name="Followed Hyperlink" xfId="13794" builtinId="9" hidden="1"/>
    <cellStyle name="Followed Hyperlink" xfId="13468" builtinId="9" hidden="1"/>
    <cellStyle name="Followed Hyperlink" xfId="13755" builtinId="9" hidden="1"/>
    <cellStyle name="Followed Hyperlink" xfId="13796" builtinId="9" hidden="1"/>
    <cellStyle name="Followed Hyperlink" xfId="13797" builtinId="9" hidden="1"/>
    <cellStyle name="Followed Hyperlink" xfId="13798" builtinId="9" hidden="1"/>
    <cellStyle name="Followed Hyperlink" xfId="13799" builtinId="9" hidden="1"/>
    <cellStyle name="Followed Hyperlink" xfId="13800" builtinId="9" hidden="1"/>
    <cellStyle name="Followed Hyperlink" xfId="13801" builtinId="9" hidden="1"/>
    <cellStyle name="Followed Hyperlink" xfId="13802" builtinId="9" hidden="1"/>
    <cellStyle name="Followed Hyperlink" xfId="13803" builtinId="9" hidden="1"/>
    <cellStyle name="Followed Hyperlink" xfId="13804" builtinId="9" hidden="1"/>
    <cellStyle name="Followed Hyperlink" xfId="13805" builtinId="9" hidden="1"/>
    <cellStyle name="Followed Hyperlink" xfId="13806" builtinId="9" hidden="1"/>
    <cellStyle name="Followed Hyperlink" xfId="13807" builtinId="9" hidden="1"/>
    <cellStyle name="Followed Hyperlink" xfId="13808" builtinId="9" hidden="1"/>
    <cellStyle name="Followed Hyperlink" xfId="13809" builtinId="9" hidden="1"/>
    <cellStyle name="Followed Hyperlink" xfId="13810" builtinId="9" hidden="1"/>
    <cellStyle name="Followed Hyperlink" xfId="13811" builtinId="9" hidden="1"/>
    <cellStyle name="Followed Hyperlink" xfId="13812" builtinId="9" hidden="1"/>
    <cellStyle name="Followed Hyperlink" xfId="13813" builtinId="9" hidden="1"/>
    <cellStyle name="Followed Hyperlink" xfId="13814" builtinId="9" hidden="1"/>
    <cellStyle name="Followed Hyperlink" xfId="13815" builtinId="9" hidden="1"/>
    <cellStyle name="Followed Hyperlink" xfId="13816" builtinId="9" hidden="1"/>
    <cellStyle name="Followed Hyperlink" xfId="13817" builtinId="9" hidden="1"/>
    <cellStyle name="Followed Hyperlink" xfId="13818" builtinId="9" hidden="1"/>
    <cellStyle name="Followed Hyperlink" xfId="13819" builtinId="9" hidden="1"/>
    <cellStyle name="Followed Hyperlink" xfId="13820" builtinId="9" hidden="1"/>
    <cellStyle name="Followed Hyperlink" xfId="13821" builtinId="9" hidden="1"/>
    <cellStyle name="Followed Hyperlink" xfId="13822" builtinId="9" hidden="1"/>
    <cellStyle name="Followed Hyperlink" xfId="13823" builtinId="9" hidden="1"/>
    <cellStyle name="Followed Hyperlink" xfId="13824" builtinId="9" hidden="1"/>
    <cellStyle name="Followed Hyperlink" xfId="13825" builtinId="9" hidden="1"/>
    <cellStyle name="Followed Hyperlink" xfId="13826" builtinId="9" hidden="1"/>
    <cellStyle name="Followed Hyperlink" xfId="13827" builtinId="9" hidden="1"/>
    <cellStyle name="Followed Hyperlink" xfId="13828" builtinId="9" hidden="1"/>
    <cellStyle name="Followed Hyperlink" xfId="13829" builtinId="9" hidden="1"/>
    <cellStyle name="Followed Hyperlink" xfId="13830" builtinId="9" hidden="1"/>
    <cellStyle name="Followed Hyperlink" xfId="13831" builtinId="9" hidden="1"/>
    <cellStyle name="Followed Hyperlink" xfId="13832" builtinId="9" hidden="1"/>
    <cellStyle name="Followed Hyperlink" xfId="13833" builtinId="9" hidden="1"/>
    <cellStyle name="Followed Hyperlink" xfId="13834" builtinId="9" hidden="1"/>
    <cellStyle name="Followed Hyperlink" xfId="13470" builtinId="9" hidden="1"/>
    <cellStyle name="Followed Hyperlink" xfId="13795" builtinId="9" hidden="1"/>
    <cellStyle name="Followed Hyperlink" xfId="13836" builtinId="9" hidden="1"/>
    <cellStyle name="Followed Hyperlink" xfId="13837" builtinId="9" hidden="1"/>
    <cellStyle name="Followed Hyperlink" xfId="13838" builtinId="9" hidden="1"/>
    <cellStyle name="Followed Hyperlink" xfId="13839" builtinId="9" hidden="1"/>
    <cellStyle name="Followed Hyperlink" xfId="13840" builtinId="9" hidden="1"/>
    <cellStyle name="Followed Hyperlink" xfId="13841" builtinId="9" hidden="1"/>
    <cellStyle name="Followed Hyperlink" xfId="13842" builtinId="9" hidden="1"/>
    <cellStyle name="Followed Hyperlink" xfId="13843" builtinId="9" hidden="1"/>
    <cellStyle name="Followed Hyperlink" xfId="13844" builtinId="9" hidden="1"/>
    <cellStyle name="Followed Hyperlink" xfId="13845" builtinId="9" hidden="1"/>
    <cellStyle name="Followed Hyperlink" xfId="13846" builtinId="9" hidden="1"/>
    <cellStyle name="Followed Hyperlink" xfId="13847" builtinId="9" hidden="1"/>
    <cellStyle name="Followed Hyperlink" xfId="13848" builtinId="9" hidden="1"/>
    <cellStyle name="Followed Hyperlink" xfId="13849" builtinId="9" hidden="1"/>
    <cellStyle name="Followed Hyperlink" xfId="13850" builtinId="9" hidden="1"/>
    <cellStyle name="Followed Hyperlink" xfId="13851" builtinId="9" hidden="1"/>
    <cellStyle name="Followed Hyperlink" xfId="13852" builtinId="9" hidden="1"/>
    <cellStyle name="Followed Hyperlink" xfId="13853" builtinId="9" hidden="1"/>
    <cellStyle name="Followed Hyperlink" xfId="13854" builtinId="9" hidden="1"/>
    <cellStyle name="Followed Hyperlink" xfId="13855" builtinId="9" hidden="1"/>
    <cellStyle name="Followed Hyperlink" xfId="13856" builtinId="9" hidden="1"/>
    <cellStyle name="Followed Hyperlink" xfId="13857" builtinId="9" hidden="1"/>
    <cellStyle name="Followed Hyperlink" xfId="13858" builtinId="9" hidden="1"/>
    <cellStyle name="Followed Hyperlink" xfId="13859" builtinId="9" hidden="1"/>
    <cellStyle name="Followed Hyperlink" xfId="13860" builtinId="9" hidden="1"/>
    <cellStyle name="Followed Hyperlink" xfId="13861" builtinId="9" hidden="1"/>
    <cellStyle name="Followed Hyperlink" xfId="13862" builtinId="9" hidden="1"/>
    <cellStyle name="Followed Hyperlink" xfId="13863" builtinId="9" hidden="1"/>
    <cellStyle name="Followed Hyperlink" xfId="13864" builtinId="9" hidden="1"/>
    <cellStyle name="Followed Hyperlink" xfId="13865" builtinId="9" hidden="1"/>
    <cellStyle name="Followed Hyperlink" xfId="13866" builtinId="9" hidden="1"/>
    <cellStyle name="Followed Hyperlink" xfId="13867" builtinId="9" hidden="1"/>
    <cellStyle name="Followed Hyperlink" xfId="13868" builtinId="9" hidden="1"/>
    <cellStyle name="Followed Hyperlink" xfId="13869" builtinId="9" hidden="1"/>
    <cellStyle name="Followed Hyperlink" xfId="13870" builtinId="9" hidden="1"/>
    <cellStyle name="Followed Hyperlink" xfId="13871" builtinId="9" hidden="1"/>
    <cellStyle name="Followed Hyperlink" xfId="13872" builtinId="9" hidden="1"/>
    <cellStyle name="Followed Hyperlink" xfId="13873" builtinId="9" hidden="1"/>
    <cellStyle name="Followed Hyperlink" xfId="13874" builtinId="9" hidden="1"/>
    <cellStyle name="Followed Hyperlink" xfId="13466" builtinId="9" hidden="1"/>
    <cellStyle name="Followed Hyperlink" xfId="13835" builtinId="9" hidden="1"/>
    <cellStyle name="Followed Hyperlink" xfId="13875" builtinId="9" hidden="1"/>
    <cellStyle name="Followed Hyperlink" xfId="13876" builtinId="9" hidden="1"/>
    <cellStyle name="Followed Hyperlink" xfId="13877" builtinId="9" hidden="1"/>
    <cellStyle name="Followed Hyperlink" xfId="13878" builtinId="9" hidden="1"/>
    <cellStyle name="Followed Hyperlink" xfId="13879" builtinId="9" hidden="1"/>
    <cellStyle name="Followed Hyperlink" xfId="13880" builtinId="9" hidden="1"/>
    <cellStyle name="Followed Hyperlink" xfId="13881" builtinId="9" hidden="1"/>
    <cellStyle name="Followed Hyperlink" xfId="13882" builtinId="9" hidden="1"/>
    <cellStyle name="Followed Hyperlink" xfId="13883" builtinId="9" hidden="1"/>
    <cellStyle name="Followed Hyperlink" xfId="13884" builtinId="9" hidden="1"/>
    <cellStyle name="Followed Hyperlink" xfId="13885" builtinId="9" hidden="1"/>
    <cellStyle name="Followed Hyperlink" xfId="13886" builtinId="9" hidden="1"/>
    <cellStyle name="Followed Hyperlink" xfId="13887" builtinId="9" hidden="1"/>
    <cellStyle name="Followed Hyperlink" xfId="13888" builtinId="9" hidden="1"/>
    <cellStyle name="Followed Hyperlink" xfId="13889" builtinId="9" hidden="1"/>
    <cellStyle name="Followed Hyperlink" xfId="13890" builtinId="9" hidden="1"/>
    <cellStyle name="Followed Hyperlink" xfId="13891" builtinId="9" hidden="1"/>
    <cellStyle name="Followed Hyperlink" xfId="13892" builtinId="9" hidden="1"/>
    <cellStyle name="Followed Hyperlink" xfId="13893" builtinId="9" hidden="1"/>
    <cellStyle name="Followed Hyperlink" xfId="13894" builtinId="9" hidden="1"/>
    <cellStyle name="Followed Hyperlink" xfId="13895" builtinId="9" hidden="1"/>
    <cellStyle name="Followed Hyperlink" xfId="13896" builtinId="9" hidden="1"/>
    <cellStyle name="Followed Hyperlink" xfId="13897" builtinId="9" hidden="1"/>
    <cellStyle name="Followed Hyperlink" xfId="13898" builtinId="9" hidden="1"/>
    <cellStyle name="Followed Hyperlink" xfId="13899" builtinId="9" hidden="1"/>
    <cellStyle name="Followed Hyperlink" xfId="13900" builtinId="9" hidden="1"/>
    <cellStyle name="Followed Hyperlink" xfId="13901" builtinId="9" hidden="1"/>
    <cellStyle name="Followed Hyperlink" xfId="13902" builtinId="9" hidden="1"/>
    <cellStyle name="Followed Hyperlink" xfId="13903" builtinId="9" hidden="1"/>
    <cellStyle name="Followed Hyperlink" xfId="13904" builtinId="9" hidden="1"/>
    <cellStyle name="Followed Hyperlink" xfId="13905" builtinId="9" hidden="1"/>
    <cellStyle name="Followed Hyperlink" xfId="13906" builtinId="9" hidden="1"/>
    <cellStyle name="Followed Hyperlink" xfId="13907" builtinId="9" hidden="1"/>
    <cellStyle name="Followed Hyperlink" xfId="13908" builtinId="9" hidden="1"/>
    <cellStyle name="Followed Hyperlink" xfId="13909" builtinId="9" hidden="1"/>
    <cellStyle name="Followed Hyperlink" xfId="13910" builtinId="9" hidden="1"/>
    <cellStyle name="Followed Hyperlink" xfId="13911" builtinId="9" hidden="1"/>
    <cellStyle name="Followed Hyperlink" xfId="13912" builtinId="9" hidden="1"/>
    <cellStyle name="Followed Hyperlink" xfId="13913" builtinId="9" hidden="1"/>
    <cellStyle name="Followed Hyperlink" xfId="13401" builtinId="9" hidden="1"/>
    <cellStyle name="Followed Hyperlink" xfId="10917" builtinId="9" hidden="1"/>
    <cellStyle name="Followed Hyperlink" xfId="13914" builtinId="9" hidden="1"/>
    <cellStyle name="Followed Hyperlink" xfId="13915" builtinId="9" hidden="1"/>
    <cellStyle name="Followed Hyperlink" xfId="13916" builtinId="9" hidden="1"/>
    <cellStyle name="Followed Hyperlink" xfId="13917" builtinId="9" hidden="1"/>
    <cellStyle name="Followed Hyperlink" xfId="13918" builtinId="9" hidden="1"/>
    <cellStyle name="Followed Hyperlink" xfId="13919" builtinId="9" hidden="1"/>
    <cellStyle name="Followed Hyperlink" xfId="13920" builtinId="9" hidden="1"/>
    <cellStyle name="Followed Hyperlink" xfId="13921" builtinId="9" hidden="1"/>
    <cellStyle name="Followed Hyperlink" xfId="13922" builtinId="9" hidden="1"/>
    <cellStyle name="Followed Hyperlink" xfId="13923" builtinId="9" hidden="1"/>
    <cellStyle name="Followed Hyperlink" xfId="13924" builtinId="9" hidden="1"/>
    <cellStyle name="Followed Hyperlink" xfId="13925" builtinId="9" hidden="1"/>
    <cellStyle name="Followed Hyperlink" xfId="13926" builtinId="9" hidden="1"/>
    <cellStyle name="Followed Hyperlink" xfId="13927" builtinId="9" hidden="1"/>
    <cellStyle name="Followed Hyperlink" xfId="13928" builtinId="9" hidden="1"/>
    <cellStyle name="Followed Hyperlink" xfId="13929" builtinId="9" hidden="1"/>
    <cellStyle name="Followed Hyperlink" xfId="13930" builtinId="9" hidden="1"/>
    <cellStyle name="Followed Hyperlink" xfId="13931" builtinId="9" hidden="1"/>
    <cellStyle name="Followed Hyperlink" xfId="13932" builtinId="9" hidden="1"/>
    <cellStyle name="Followed Hyperlink" xfId="13933" builtinId="9" hidden="1"/>
    <cellStyle name="Followed Hyperlink" xfId="13934" builtinId="9" hidden="1"/>
    <cellStyle name="Followed Hyperlink" xfId="13935" builtinId="9" hidden="1"/>
    <cellStyle name="Followed Hyperlink" xfId="13936" builtinId="9" hidden="1"/>
    <cellStyle name="Followed Hyperlink" xfId="13937" builtinId="9" hidden="1"/>
    <cellStyle name="Followed Hyperlink" xfId="13938" builtinId="9" hidden="1"/>
    <cellStyle name="Followed Hyperlink" xfId="13939" builtinId="9" hidden="1"/>
    <cellStyle name="Followed Hyperlink" xfId="13940" builtinId="9" hidden="1"/>
    <cellStyle name="Followed Hyperlink" xfId="13941" builtinId="9" hidden="1"/>
    <cellStyle name="Followed Hyperlink" xfId="13942" builtinId="9" hidden="1"/>
    <cellStyle name="Followed Hyperlink" xfId="13943" builtinId="9" hidden="1"/>
    <cellStyle name="Followed Hyperlink" xfId="13944" builtinId="9" hidden="1"/>
    <cellStyle name="Followed Hyperlink" xfId="13945" builtinId="9" hidden="1"/>
    <cellStyle name="Followed Hyperlink" xfId="13946" builtinId="9" hidden="1"/>
    <cellStyle name="Followed Hyperlink" xfId="13947" builtinId="9" hidden="1"/>
    <cellStyle name="Followed Hyperlink" xfId="13948" builtinId="9" hidden="1"/>
    <cellStyle name="Followed Hyperlink" xfId="13949" builtinId="9" hidden="1"/>
    <cellStyle name="Followed Hyperlink" xfId="13950" builtinId="9" hidden="1"/>
    <cellStyle name="Followed Hyperlink" xfId="13951" builtinId="9" hidden="1"/>
    <cellStyle name="Followed Hyperlink" xfId="13952" builtinId="9" hidden="1"/>
    <cellStyle name="Followed Hyperlink" xfId="13961" builtinId="9" hidden="1"/>
    <cellStyle name="Followed Hyperlink" xfId="13962" builtinId="9" hidden="1"/>
    <cellStyle name="Followed Hyperlink" xfId="13963" builtinId="9" hidden="1"/>
    <cellStyle name="Followed Hyperlink" xfId="13964" builtinId="9" hidden="1"/>
    <cellStyle name="Followed Hyperlink" xfId="13965" builtinId="9" hidden="1"/>
    <cellStyle name="Followed Hyperlink" xfId="13966" builtinId="9" hidden="1"/>
    <cellStyle name="Followed Hyperlink" xfId="13967" builtinId="9" hidden="1"/>
    <cellStyle name="Followed Hyperlink" xfId="13968" builtinId="9" hidden="1"/>
    <cellStyle name="Followed Hyperlink" xfId="13969" builtinId="9" hidden="1"/>
    <cellStyle name="Followed Hyperlink" xfId="13970" builtinId="9" hidden="1"/>
    <cellStyle name="Followed Hyperlink" xfId="13971" builtinId="9" hidden="1"/>
    <cellStyle name="Followed Hyperlink" xfId="13972" builtinId="9" hidden="1"/>
    <cellStyle name="Followed Hyperlink" xfId="13973" builtinId="9" hidden="1"/>
    <cellStyle name="Followed Hyperlink" xfId="13974" builtinId="9" hidden="1"/>
    <cellStyle name="Followed Hyperlink" xfId="13975" builtinId="9" hidden="1"/>
    <cellStyle name="Followed Hyperlink" xfId="13976" builtinId="9" hidden="1"/>
    <cellStyle name="Followed Hyperlink" xfId="13977" builtinId="9" hidden="1"/>
    <cellStyle name="Followed Hyperlink" xfId="13978" builtinId="9" hidden="1"/>
    <cellStyle name="Followed Hyperlink" xfId="13979" builtinId="9" hidden="1"/>
    <cellStyle name="Followed Hyperlink" xfId="13980" builtinId="9" hidden="1"/>
    <cellStyle name="Followed Hyperlink" xfId="13981" builtinId="9" hidden="1"/>
    <cellStyle name="Followed Hyperlink" xfId="13982" builtinId="9" hidden="1"/>
    <cellStyle name="Followed Hyperlink" xfId="13983" builtinId="9" hidden="1"/>
    <cellStyle name="Followed Hyperlink" xfId="13984" builtinId="9" hidden="1"/>
    <cellStyle name="Followed Hyperlink" xfId="13985" builtinId="9" hidden="1"/>
    <cellStyle name="Followed Hyperlink" xfId="13986" builtinId="9" hidden="1"/>
    <cellStyle name="Followed Hyperlink" xfId="13987" builtinId="9" hidden="1"/>
    <cellStyle name="Followed Hyperlink" xfId="13988" builtinId="9" hidden="1"/>
    <cellStyle name="Followed Hyperlink" xfId="13989" builtinId="9" hidden="1"/>
    <cellStyle name="Followed Hyperlink" xfId="13990" builtinId="9" hidden="1"/>
    <cellStyle name="Followed Hyperlink" xfId="13991" builtinId="9" hidden="1"/>
    <cellStyle name="Followed Hyperlink" xfId="13992" builtinId="9" hidden="1"/>
    <cellStyle name="Followed Hyperlink" xfId="13993" builtinId="9" hidden="1"/>
    <cellStyle name="Followed Hyperlink" xfId="13994" builtinId="9" hidden="1"/>
    <cellStyle name="Followed Hyperlink" xfId="13995" builtinId="9" hidden="1"/>
    <cellStyle name="Followed Hyperlink" xfId="13996" builtinId="9" hidden="1"/>
    <cellStyle name="Followed Hyperlink" xfId="13997" builtinId="9" hidden="1"/>
    <cellStyle name="Followed Hyperlink" xfId="13998" builtinId="9" hidden="1"/>
    <cellStyle name="Followed Hyperlink" xfId="13999" builtinId="9" hidden="1"/>
    <cellStyle name="Followed Hyperlink" xfId="14000" builtinId="9" hidden="1"/>
    <cellStyle name="Followed Hyperlink" xfId="14001" builtinId="9" hidden="1"/>
    <cellStyle name="Followed Hyperlink" xfId="14002" builtinId="9" hidden="1"/>
    <cellStyle name="Followed Hyperlink" xfId="14003" builtinId="9" hidden="1"/>
    <cellStyle name="Followed Hyperlink" xfId="14004" builtinId="9" hidden="1"/>
    <cellStyle name="Followed Hyperlink" xfId="14005" builtinId="9" hidden="1"/>
    <cellStyle name="Followed Hyperlink" xfId="14006" builtinId="9" hidden="1"/>
    <cellStyle name="Followed Hyperlink" xfId="14007" builtinId="9" hidden="1"/>
    <cellStyle name="Followed Hyperlink" xfId="14008" builtinId="9" hidden="1"/>
    <cellStyle name="Followed Hyperlink" xfId="14009" builtinId="9" hidden="1"/>
    <cellStyle name="Followed Hyperlink" xfId="14010" builtinId="9" hidden="1"/>
    <cellStyle name="Followed Hyperlink" xfId="14011" builtinId="9" hidden="1"/>
    <cellStyle name="Followed Hyperlink" xfId="14012" builtinId="9" hidden="1"/>
    <cellStyle name="Followed Hyperlink" xfId="14013" builtinId="9" hidden="1"/>
    <cellStyle name="Followed Hyperlink" xfId="14014" builtinId="9" hidden="1"/>
    <cellStyle name="Followed Hyperlink" xfId="14015" builtinId="9" hidden="1"/>
    <cellStyle name="Followed Hyperlink" xfId="14016" builtinId="9" hidden="1"/>
    <cellStyle name="Followed Hyperlink" xfId="14017" builtinId="9" hidden="1"/>
    <cellStyle name="Followed Hyperlink" xfId="14018" builtinId="9" hidden="1"/>
    <cellStyle name="Followed Hyperlink" xfId="14019" builtinId="9" hidden="1"/>
    <cellStyle name="Followed Hyperlink" xfId="14020" builtinId="9" hidden="1"/>
    <cellStyle name="Followed Hyperlink" xfId="14021" builtinId="9" hidden="1"/>
    <cellStyle name="Followed Hyperlink" xfId="14022" builtinId="9" hidden="1"/>
    <cellStyle name="Followed Hyperlink" xfId="14023" builtinId="9" hidden="1"/>
    <cellStyle name="Followed Hyperlink" xfId="14024" builtinId="9" hidden="1"/>
    <cellStyle name="Followed Hyperlink" xfId="14025" builtinId="9" hidden="1"/>
    <cellStyle name="Followed Hyperlink" xfId="14026" builtinId="9" hidden="1"/>
    <cellStyle name="Followed Hyperlink" xfId="14027" builtinId="9" hidden="1"/>
    <cellStyle name="Followed Hyperlink" xfId="14028" builtinId="9" hidden="1"/>
    <cellStyle name="Followed Hyperlink" xfId="14029" builtinId="9" hidden="1"/>
    <cellStyle name="Followed Hyperlink" xfId="14030" builtinId="9" hidden="1"/>
    <cellStyle name="Followed Hyperlink" xfId="14031" builtinId="9" hidden="1"/>
    <cellStyle name="Followed Hyperlink" xfId="14032" builtinId="9" hidden="1"/>
    <cellStyle name="Followed Hyperlink" xfId="14033" builtinId="9" hidden="1"/>
    <cellStyle name="Followed Hyperlink" xfId="14034" builtinId="9" hidden="1"/>
    <cellStyle name="Followed Hyperlink" xfId="14035" builtinId="9" hidden="1"/>
    <cellStyle name="Followed Hyperlink" xfId="14036" builtinId="9" hidden="1"/>
    <cellStyle name="Followed Hyperlink" xfId="14037" builtinId="9" hidden="1"/>
    <cellStyle name="Followed Hyperlink" xfId="14038" builtinId="9" hidden="1"/>
    <cellStyle name="Followed Hyperlink" xfId="14039" builtinId="9" hidden="1"/>
    <cellStyle name="Followed Hyperlink" xfId="14040" builtinId="9" hidden="1"/>
    <cellStyle name="Followed Hyperlink" xfId="14041" builtinId="9" hidden="1"/>
    <cellStyle name="Followed Hyperlink" xfId="14042" builtinId="9" hidden="1"/>
    <cellStyle name="Followed Hyperlink" xfId="14043" builtinId="9" hidden="1"/>
    <cellStyle name="Followed Hyperlink" xfId="14044" builtinId="9" hidden="1"/>
    <cellStyle name="Followed Hyperlink" xfId="14045" builtinId="9" hidden="1"/>
    <cellStyle name="Followed Hyperlink" xfId="14046" builtinId="9" hidden="1"/>
    <cellStyle name="Followed Hyperlink" xfId="14047" builtinId="9" hidden="1"/>
    <cellStyle name="Followed Hyperlink" xfId="14048" builtinId="9" hidden="1"/>
    <cellStyle name="Followed Hyperlink" xfId="14049" builtinId="9" hidden="1"/>
    <cellStyle name="Followed Hyperlink" xfId="14050" builtinId="9" hidden="1"/>
    <cellStyle name="Followed Hyperlink" xfId="14051" builtinId="9" hidden="1"/>
    <cellStyle name="Followed Hyperlink" xfId="14052" builtinId="9" hidden="1"/>
    <cellStyle name="Followed Hyperlink" xfId="14053" builtinId="9" hidden="1"/>
    <cellStyle name="Followed Hyperlink" xfId="14054" builtinId="9" hidden="1"/>
    <cellStyle name="Followed Hyperlink" xfId="14055" builtinId="9" hidden="1"/>
    <cellStyle name="Followed Hyperlink" xfId="14056" builtinId="9" hidden="1"/>
    <cellStyle name="Followed Hyperlink" xfId="14057" builtinId="9" hidden="1"/>
    <cellStyle name="Followed Hyperlink" xfId="14058" builtinId="9" hidden="1"/>
    <cellStyle name="Followed Hyperlink" xfId="14059" builtinId="9" hidden="1"/>
    <cellStyle name="Followed Hyperlink" xfId="14060" builtinId="9" hidden="1"/>
    <cellStyle name="Followed Hyperlink" xfId="14061" builtinId="9" hidden="1"/>
    <cellStyle name="Followed Hyperlink" xfId="14062" builtinId="9" hidden="1"/>
    <cellStyle name="Followed Hyperlink" xfId="14063" builtinId="9" hidden="1"/>
    <cellStyle name="Followed Hyperlink" xfId="14064" builtinId="9" hidden="1"/>
    <cellStyle name="Followed Hyperlink" xfId="14065" builtinId="9" hidden="1"/>
    <cellStyle name="Followed Hyperlink" xfId="14066" builtinId="9" hidden="1"/>
    <cellStyle name="Followed Hyperlink" xfId="14067" builtinId="9" hidden="1"/>
    <cellStyle name="Followed Hyperlink" xfId="14068" builtinId="9" hidden="1"/>
    <cellStyle name="Followed Hyperlink" xfId="14069" builtinId="9" hidden="1"/>
    <cellStyle name="Followed Hyperlink" xfId="14070" builtinId="9" hidden="1"/>
    <cellStyle name="Followed Hyperlink" xfId="14071" builtinId="9" hidden="1"/>
    <cellStyle name="Followed Hyperlink" xfId="14072" builtinId="9" hidden="1"/>
    <cellStyle name="Followed Hyperlink" xfId="14073" builtinId="9" hidden="1"/>
    <cellStyle name="Followed Hyperlink" xfId="14074" builtinId="9" hidden="1"/>
    <cellStyle name="Followed Hyperlink" xfId="14075" builtinId="9" hidden="1"/>
    <cellStyle name="Followed Hyperlink" xfId="14076" builtinId="9" hidden="1"/>
    <cellStyle name="Followed Hyperlink" xfId="14077" builtinId="9" hidden="1"/>
    <cellStyle name="Followed Hyperlink" xfId="14078" builtinId="9" hidden="1"/>
    <cellStyle name="Followed Hyperlink" xfId="14079" builtinId="9" hidden="1"/>
    <cellStyle name="Followed Hyperlink" xfId="14080" builtinId="9" hidden="1"/>
    <cellStyle name="Followed Hyperlink" xfId="14081" builtinId="9" hidden="1"/>
    <cellStyle name="Followed Hyperlink" xfId="14082" builtinId="9" hidden="1"/>
    <cellStyle name="Followed Hyperlink" xfId="14083" builtinId="9" hidden="1"/>
    <cellStyle name="Followed Hyperlink" xfId="13953" builtinId="9" hidden="1"/>
    <cellStyle name="Followed Hyperlink" xfId="13402" builtinId="9" hidden="1"/>
    <cellStyle name="Followed Hyperlink" xfId="14085" builtinId="9" hidden="1"/>
    <cellStyle name="Followed Hyperlink" xfId="14086" builtinId="9" hidden="1"/>
    <cellStyle name="Followed Hyperlink" xfId="14087" builtinId="9" hidden="1"/>
    <cellStyle name="Followed Hyperlink" xfId="14088" builtinId="9" hidden="1"/>
    <cellStyle name="Followed Hyperlink" xfId="14089" builtinId="9" hidden="1"/>
    <cellStyle name="Followed Hyperlink" xfId="14090" builtinId="9" hidden="1"/>
    <cellStyle name="Followed Hyperlink" xfId="14091" builtinId="9" hidden="1"/>
    <cellStyle name="Followed Hyperlink" xfId="14092" builtinId="9" hidden="1"/>
    <cellStyle name="Followed Hyperlink" xfId="14093" builtinId="9" hidden="1"/>
    <cellStyle name="Followed Hyperlink" xfId="14094" builtinId="9" hidden="1"/>
    <cellStyle name="Followed Hyperlink" xfId="14095" builtinId="9" hidden="1"/>
    <cellStyle name="Followed Hyperlink" xfId="14096" builtinId="9" hidden="1"/>
    <cellStyle name="Followed Hyperlink" xfId="14097" builtinId="9" hidden="1"/>
    <cellStyle name="Followed Hyperlink" xfId="14098" builtinId="9" hidden="1"/>
    <cellStyle name="Followed Hyperlink" xfId="14099" builtinId="9" hidden="1"/>
    <cellStyle name="Followed Hyperlink" xfId="14100" builtinId="9" hidden="1"/>
    <cellStyle name="Followed Hyperlink" xfId="14101" builtinId="9" hidden="1"/>
    <cellStyle name="Followed Hyperlink" xfId="14102" builtinId="9" hidden="1"/>
    <cellStyle name="Followed Hyperlink" xfId="14103" builtinId="9" hidden="1"/>
    <cellStyle name="Followed Hyperlink" xfId="14104" builtinId="9" hidden="1"/>
    <cellStyle name="Followed Hyperlink" xfId="14105" builtinId="9" hidden="1"/>
    <cellStyle name="Followed Hyperlink" xfId="14106" builtinId="9" hidden="1"/>
    <cellStyle name="Followed Hyperlink" xfId="14107" builtinId="9" hidden="1"/>
    <cellStyle name="Followed Hyperlink" xfId="14108" builtinId="9" hidden="1"/>
    <cellStyle name="Followed Hyperlink" xfId="14109" builtinId="9" hidden="1"/>
    <cellStyle name="Followed Hyperlink" xfId="14110" builtinId="9" hidden="1"/>
    <cellStyle name="Followed Hyperlink" xfId="14111" builtinId="9" hidden="1"/>
    <cellStyle name="Followed Hyperlink" xfId="14112" builtinId="9" hidden="1"/>
    <cellStyle name="Followed Hyperlink" xfId="14113" builtinId="9" hidden="1"/>
    <cellStyle name="Followed Hyperlink" xfId="14114" builtinId="9" hidden="1"/>
    <cellStyle name="Followed Hyperlink" xfId="14115" builtinId="9" hidden="1"/>
    <cellStyle name="Followed Hyperlink" xfId="14116" builtinId="9" hidden="1"/>
    <cellStyle name="Followed Hyperlink" xfId="14117" builtinId="9" hidden="1"/>
    <cellStyle name="Followed Hyperlink" xfId="14118" builtinId="9" hidden="1"/>
    <cellStyle name="Followed Hyperlink" xfId="14119" builtinId="9" hidden="1"/>
    <cellStyle name="Followed Hyperlink" xfId="14120" builtinId="9" hidden="1"/>
    <cellStyle name="Followed Hyperlink" xfId="14121" builtinId="9" hidden="1"/>
    <cellStyle name="Followed Hyperlink" xfId="14122" builtinId="9" hidden="1"/>
    <cellStyle name="Followed Hyperlink" xfId="14123" builtinId="9" hidden="1"/>
    <cellStyle name="Followed Hyperlink" xfId="13958" builtinId="9" hidden="1"/>
    <cellStyle name="Followed Hyperlink" xfId="14084" builtinId="9" hidden="1"/>
    <cellStyle name="Followed Hyperlink" xfId="14125" builtinId="9" hidden="1"/>
    <cellStyle name="Followed Hyperlink" xfId="14126" builtinId="9" hidden="1"/>
    <cellStyle name="Followed Hyperlink" xfId="14127" builtinId="9" hidden="1"/>
    <cellStyle name="Followed Hyperlink" xfId="14128" builtinId="9" hidden="1"/>
    <cellStyle name="Followed Hyperlink" xfId="14129" builtinId="9" hidden="1"/>
    <cellStyle name="Followed Hyperlink" xfId="14130" builtinId="9" hidden="1"/>
    <cellStyle name="Followed Hyperlink" xfId="14131" builtinId="9" hidden="1"/>
    <cellStyle name="Followed Hyperlink" xfId="14132" builtinId="9" hidden="1"/>
    <cellStyle name="Followed Hyperlink" xfId="14133" builtinId="9" hidden="1"/>
    <cellStyle name="Followed Hyperlink" xfId="14134" builtinId="9" hidden="1"/>
    <cellStyle name="Followed Hyperlink" xfId="14135" builtinId="9" hidden="1"/>
    <cellStyle name="Followed Hyperlink" xfId="14136" builtinId="9" hidden="1"/>
    <cellStyle name="Followed Hyperlink" xfId="14137" builtinId="9" hidden="1"/>
    <cellStyle name="Followed Hyperlink" xfId="14138" builtinId="9" hidden="1"/>
    <cellStyle name="Followed Hyperlink" xfId="14139" builtinId="9" hidden="1"/>
    <cellStyle name="Followed Hyperlink" xfId="14140" builtinId="9" hidden="1"/>
    <cellStyle name="Followed Hyperlink" xfId="14141" builtinId="9" hidden="1"/>
    <cellStyle name="Followed Hyperlink" xfId="14142" builtinId="9" hidden="1"/>
    <cellStyle name="Followed Hyperlink" xfId="14143" builtinId="9" hidden="1"/>
    <cellStyle name="Followed Hyperlink" xfId="14144" builtinId="9" hidden="1"/>
    <cellStyle name="Followed Hyperlink" xfId="14145" builtinId="9" hidden="1"/>
    <cellStyle name="Followed Hyperlink" xfId="14146" builtinId="9" hidden="1"/>
    <cellStyle name="Followed Hyperlink" xfId="14147" builtinId="9" hidden="1"/>
    <cellStyle name="Followed Hyperlink" xfId="14148" builtinId="9" hidden="1"/>
    <cellStyle name="Followed Hyperlink" xfId="14149" builtinId="9" hidden="1"/>
    <cellStyle name="Followed Hyperlink" xfId="14150" builtinId="9" hidden="1"/>
    <cellStyle name="Followed Hyperlink" xfId="14151" builtinId="9" hidden="1"/>
    <cellStyle name="Followed Hyperlink" xfId="14152" builtinId="9" hidden="1"/>
    <cellStyle name="Followed Hyperlink" xfId="14153" builtinId="9" hidden="1"/>
    <cellStyle name="Followed Hyperlink" xfId="14154" builtinId="9" hidden="1"/>
    <cellStyle name="Followed Hyperlink" xfId="14155" builtinId="9" hidden="1"/>
    <cellStyle name="Followed Hyperlink" xfId="14156" builtinId="9" hidden="1"/>
    <cellStyle name="Followed Hyperlink" xfId="14157" builtinId="9" hidden="1"/>
    <cellStyle name="Followed Hyperlink" xfId="14158" builtinId="9" hidden="1"/>
    <cellStyle name="Followed Hyperlink" xfId="14159" builtinId="9" hidden="1"/>
    <cellStyle name="Followed Hyperlink" xfId="14160" builtinId="9" hidden="1"/>
    <cellStyle name="Followed Hyperlink" xfId="14161" builtinId="9" hidden="1"/>
    <cellStyle name="Followed Hyperlink" xfId="14162" builtinId="9" hidden="1"/>
    <cellStyle name="Followed Hyperlink" xfId="14163" builtinId="9" hidden="1"/>
    <cellStyle name="Followed Hyperlink" xfId="13960" builtinId="9" hidden="1"/>
    <cellStyle name="Followed Hyperlink" xfId="14124" builtinId="9" hidden="1"/>
    <cellStyle name="Followed Hyperlink" xfId="14165" builtinId="9" hidden="1"/>
    <cellStyle name="Followed Hyperlink" xfId="14166" builtinId="9" hidden="1"/>
    <cellStyle name="Followed Hyperlink" xfId="14167" builtinId="9" hidden="1"/>
    <cellStyle name="Followed Hyperlink" xfId="14168" builtinId="9" hidden="1"/>
    <cellStyle name="Followed Hyperlink" xfId="14169" builtinId="9" hidden="1"/>
    <cellStyle name="Followed Hyperlink" xfId="14170" builtinId="9" hidden="1"/>
    <cellStyle name="Followed Hyperlink" xfId="14171" builtinId="9" hidden="1"/>
    <cellStyle name="Followed Hyperlink" xfId="14172" builtinId="9" hidden="1"/>
    <cellStyle name="Followed Hyperlink" xfId="14173" builtinId="9" hidden="1"/>
    <cellStyle name="Followed Hyperlink" xfId="14174" builtinId="9" hidden="1"/>
    <cellStyle name="Followed Hyperlink" xfId="14175" builtinId="9" hidden="1"/>
    <cellStyle name="Followed Hyperlink" xfId="14176" builtinId="9" hidden="1"/>
    <cellStyle name="Followed Hyperlink" xfId="14177" builtinId="9" hidden="1"/>
    <cellStyle name="Followed Hyperlink" xfId="14178" builtinId="9" hidden="1"/>
    <cellStyle name="Followed Hyperlink" xfId="14179" builtinId="9" hidden="1"/>
    <cellStyle name="Followed Hyperlink" xfId="14180" builtinId="9" hidden="1"/>
    <cellStyle name="Followed Hyperlink" xfId="14181" builtinId="9" hidden="1"/>
    <cellStyle name="Followed Hyperlink" xfId="14182" builtinId="9" hidden="1"/>
    <cellStyle name="Followed Hyperlink" xfId="14183" builtinId="9" hidden="1"/>
    <cellStyle name="Followed Hyperlink" xfId="14184" builtinId="9" hidden="1"/>
    <cellStyle name="Followed Hyperlink" xfId="14185" builtinId="9" hidden="1"/>
    <cellStyle name="Followed Hyperlink" xfId="14186" builtinId="9" hidden="1"/>
    <cellStyle name="Followed Hyperlink" xfId="14187" builtinId="9" hidden="1"/>
    <cellStyle name="Followed Hyperlink" xfId="14188" builtinId="9" hidden="1"/>
    <cellStyle name="Followed Hyperlink" xfId="14189" builtinId="9" hidden="1"/>
    <cellStyle name="Followed Hyperlink" xfId="14190" builtinId="9" hidden="1"/>
    <cellStyle name="Followed Hyperlink" xfId="14191" builtinId="9" hidden="1"/>
    <cellStyle name="Followed Hyperlink" xfId="14192" builtinId="9" hidden="1"/>
    <cellStyle name="Followed Hyperlink" xfId="14193" builtinId="9" hidden="1"/>
    <cellStyle name="Followed Hyperlink" xfId="14194" builtinId="9" hidden="1"/>
    <cellStyle name="Followed Hyperlink" xfId="14195" builtinId="9" hidden="1"/>
    <cellStyle name="Followed Hyperlink" xfId="14196" builtinId="9" hidden="1"/>
    <cellStyle name="Followed Hyperlink" xfId="14197" builtinId="9" hidden="1"/>
    <cellStyle name="Followed Hyperlink" xfId="14198" builtinId="9" hidden="1"/>
    <cellStyle name="Followed Hyperlink" xfId="14199" builtinId="9" hidden="1"/>
    <cellStyle name="Followed Hyperlink" xfId="14200" builtinId="9" hidden="1"/>
    <cellStyle name="Followed Hyperlink" xfId="14201" builtinId="9" hidden="1"/>
    <cellStyle name="Followed Hyperlink" xfId="14202" builtinId="9" hidden="1"/>
    <cellStyle name="Followed Hyperlink" xfId="14203" builtinId="9" hidden="1"/>
    <cellStyle name="Followed Hyperlink" xfId="13954" builtinId="9" hidden="1"/>
    <cellStyle name="Followed Hyperlink" xfId="14164" builtinId="9" hidden="1"/>
    <cellStyle name="Followed Hyperlink" xfId="14205" builtinId="9" hidden="1"/>
    <cellStyle name="Followed Hyperlink" xfId="14206" builtinId="9" hidden="1"/>
    <cellStyle name="Followed Hyperlink" xfId="14207" builtinId="9" hidden="1"/>
    <cellStyle name="Followed Hyperlink" xfId="14208" builtinId="9" hidden="1"/>
    <cellStyle name="Followed Hyperlink" xfId="14209" builtinId="9" hidden="1"/>
    <cellStyle name="Followed Hyperlink" xfId="14210" builtinId="9" hidden="1"/>
    <cellStyle name="Followed Hyperlink" xfId="14211" builtinId="9" hidden="1"/>
    <cellStyle name="Followed Hyperlink" xfId="14212" builtinId="9" hidden="1"/>
    <cellStyle name="Followed Hyperlink" xfId="14213" builtinId="9" hidden="1"/>
    <cellStyle name="Followed Hyperlink" xfId="14214" builtinId="9" hidden="1"/>
    <cellStyle name="Followed Hyperlink" xfId="14215" builtinId="9" hidden="1"/>
    <cellStyle name="Followed Hyperlink" xfId="14216" builtinId="9" hidden="1"/>
    <cellStyle name="Followed Hyperlink" xfId="14217" builtinId="9" hidden="1"/>
    <cellStyle name="Followed Hyperlink" xfId="14218" builtinId="9" hidden="1"/>
    <cellStyle name="Followed Hyperlink" xfId="14219" builtinId="9" hidden="1"/>
    <cellStyle name="Followed Hyperlink" xfId="14220" builtinId="9" hidden="1"/>
    <cellStyle name="Followed Hyperlink" xfId="14221" builtinId="9" hidden="1"/>
    <cellStyle name="Followed Hyperlink" xfId="14222" builtinId="9" hidden="1"/>
    <cellStyle name="Followed Hyperlink" xfId="14223" builtinId="9" hidden="1"/>
    <cellStyle name="Followed Hyperlink" xfId="14224" builtinId="9" hidden="1"/>
    <cellStyle name="Followed Hyperlink" xfId="14225" builtinId="9" hidden="1"/>
    <cellStyle name="Followed Hyperlink" xfId="14226" builtinId="9" hidden="1"/>
    <cellStyle name="Followed Hyperlink" xfId="14227" builtinId="9" hidden="1"/>
    <cellStyle name="Followed Hyperlink" xfId="14228" builtinId="9" hidden="1"/>
    <cellStyle name="Followed Hyperlink" xfId="14229" builtinId="9" hidden="1"/>
    <cellStyle name="Followed Hyperlink" xfId="14230" builtinId="9" hidden="1"/>
    <cellStyle name="Followed Hyperlink" xfId="14231" builtinId="9" hidden="1"/>
    <cellStyle name="Followed Hyperlink" xfId="14232" builtinId="9" hidden="1"/>
    <cellStyle name="Followed Hyperlink" xfId="14233" builtinId="9" hidden="1"/>
    <cellStyle name="Followed Hyperlink" xfId="14234" builtinId="9" hidden="1"/>
    <cellStyle name="Followed Hyperlink" xfId="14235" builtinId="9" hidden="1"/>
    <cellStyle name="Followed Hyperlink" xfId="14236" builtinId="9" hidden="1"/>
    <cellStyle name="Followed Hyperlink" xfId="14237" builtinId="9" hidden="1"/>
    <cellStyle name="Followed Hyperlink" xfId="14238" builtinId="9" hidden="1"/>
    <cellStyle name="Followed Hyperlink" xfId="14239" builtinId="9" hidden="1"/>
    <cellStyle name="Followed Hyperlink" xfId="14240" builtinId="9" hidden="1"/>
    <cellStyle name="Followed Hyperlink" xfId="14241" builtinId="9" hidden="1"/>
    <cellStyle name="Followed Hyperlink" xfId="14242" builtinId="9" hidden="1"/>
    <cellStyle name="Followed Hyperlink" xfId="14243" builtinId="9" hidden="1"/>
    <cellStyle name="Followed Hyperlink" xfId="13956" builtinId="9" hidden="1"/>
    <cellStyle name="Followed Hyperlink" xfId="14204" builtinId="9" hidden="1"/>
    <cellStyle name="Followed Hyperlink" xfId="14245" builtinId="9" hidden="1"/>
    <cellStyle name="Followed Hyperlink" xfId="14246" builtinId="9" hidden="1"/>
    <cellStyle name="Followed Hyperlink" xfId="14247" builtinId="9" hidden="1"/>
    <cellStyle name="Followed Hyperlink" xfId="14248" builtinId="9" hidden="1"/>
    <cellStyle name="Followed Hyperlink" xfId="14249" builtinId="9" hidden="1"/>
    <cellStyle name="Followed Hyperlink" xfId="14250" builtinId="9" hidden="1"/>
    <cellStyle name="Followed Hyperlink" xfId="14251" builtinId="9" hidden="1"/>
    <cellStyle name="Followed Hyperlink" xfId="14252" builtinId="9" hidden="1"/>
    <cellStyle name="Followed Hyperlink" xfId="14253" builtinId="9" hidden="1"/>
    <cellStyle name="Followed Hyperlink" xfId="14254" builtinId="9" hidden="1"/>
    <cellStyle name="Followed Hyperlink" xfId="14255" builtinId="9" hidden="1"/>
    <cellStyle name="Followed Hyperlink" xfId="14256" builtinId="9" hidden="1"/>
    <cellStyle name="Followed Hyperlink" xfId="14257" builtinId="9" hidden="1"/>
    <cellStyle name="Followed Hyperlink" xfId="14258" builtinId="9" hidden="1"/>
    <cellStyle name="Followed Hyperlink" xfId="14259" builtinId="9" hidden="1"/>
    <cellStyle name="Followed Hyperlink" xfId="14260" builtinId="9" hidden="1"/>
    <cellStyle name="Followed Hyperlink" xfId="14261" builtinId="9" hidden="1"/>
    <cellStyle name="Followed Hyperlink" xfId="14262" builtinId="9" hidden="1"/>
    <cellStyle name="Followed Hyperlink" xfId="14263" builtinId="9" hidden="1"/>
    <cellStyle name="Followed Hyperlink" xfId="14264" builtinId="9" hidden="1"/>
    <cellStyle name="Followed Hyperlink" xfId="14265" builtinId="9" hidden="1"/>
    <cellStyle name="Followed Hyperlink" xfId="14266" builtinId="9" hidden="1"/>
    <cellStyle name="Followed Hyperlink" xfId="14267" builtinId="9" hidden="1"/>
    <cellStyle name="Followed Hyperlink" xfId="14268" builtinId="9" hidden="1"/>
    <cellStyle name="Followed Hyperlink" xfId="14269" builtinId="9" hidden="1"/>
    <cellStyle name="Followed Hyperlink" xfId="14270" builtinId="9" hidden="1"/>
    <cellStyle name="Followed Hyperlink" xfId="14271" builtinId="9" hidden="1"/>
    <cellStyle name="Followed Hyperlink" xfId="14272" builtinId="9" hidden="1"/>
    <cellStyle name="Followed Hyperlink" xfId="14273" builtinId="9" hidden="1"/>
    <cellStyle name="Followed Hyperlink" xfId="14274" builtinId="9" hidden="1"/>
    <cellStyle name="Followed Hyperlink" xfId="14275" builtinId="9" hidden="1"/>
    <cellStyle name="Followed Hyperlink" xfId="14276" builtinId="9" hidden="1"/>
    <cellStyle name="Followed Hyperlink" xfId="14277" builtinId="9" hidden="1"/>
    <cellStyle name="Followed Hyperlink" xfId="14278" builtinId="9" hidden="1"/>
    <cellStyle name="Followed Hyperlink" xfId="14279" builtinId="9" hidden="1"/>
    <cellStyle name="Followed Hyperlink" xfId="14280" builtinId="9" hidden="1"/>
    <cellStyle name="Followed Hyperlink" xfId="14281" builtinId="9" hidden="1"/>
    <cellStyle name="Followed Hyperlink" xfId="14282" builtinId="9" hidden="1"/>
    <cellStyle name="Followed Hyperlink" xfId="14283" builtinId="9" hidden="1"/>
    <cellStyle name="Followed Hyperlink" xfId="13957" builtinId="9" hidden="1"/>
    <cellStyle name="Followed Hyperlink" xfId="14244" builtinId="9" hidden="1"/>
    <cellStyle name="Followed Hyperlink" xfId="14285" builtinId="9" hidden="1"/>
    <cellStyle name="Followed Hyperlink" xfId="14286" builtinId="9" hidden="1"/>
    <cellStyle name="Followed Hyperlink" xfId="14287" builtinId="9" hidden="1"/>
    <cellStyle name="Followed Hyperlink" xfId="14288" builtinId="9" hidden="1"/>
    <cellStyle name="Followed Hyperlink" xfId="14289" builtinId="9" hidden="1"/>
    <cellStyle name="Followed Hyperlink" xfId="14290" builtinId="9" hidden="1"/>
    <cellStyle name="Followed Hyperlink" xfId="14291" builtinId="9" hidden="1"/>
    <cellStyle name="Followed Hyperlink" xfId="14292" builtinId="9" hidden="1"/>
    <cellStyle name="Followed Hyperlink" xfId="14293" builtinId="9" hidden="1"/>
    <cellStyle name="Followed Hyperlink" xfId="14294" builtinId="9" hidden="1"/>
    <cellStyle name="Followed Hyperlink" xfId="14295" builtinId="9" hidden="1"/>
    <cellStyle name="Followed Hyperlink" xfId="14296" builtinId="9" hidden="1"/>
    <cellStyle name="Followed Hyperlink" xfId="14297" builtinId="9" hidden="1"/>
    <cellStyle name="Followed Hyperlink" xfId="14298" builtinId="9" hidden="1"/>
    <cellStyle name="Followed Hyperlink" xfId="14299" builtinId="9" hidden="1"/>
    <cellStyle name="Followed Hyperlink" xfId="14300" builtinId="9" hidden="1"/>
    <cellStyle name="Followed Hyperlink" xfId="14301" builtinId="9" hidden="1"/>
    <cellStyle name="Followed Hyperlink" xfId="14302" builtinId="9" hidden="1"/>
    <cellStyle name="Followed Hyperlink" xfId="14303" builtinId="9" hidden="1"/>
    <cellStyle name="Followed Hyperlink" xfId="14304" builtinId="9" hidden="1"/>
    <cellStyle name="Followed Hyperlink" xfId="14305" builtinId="9" hidden="1"/>
    <cellStyle name="Followed Hyperlink" xfId="14306" builtinId="9" hidden="1"/>
    <cellStyle name="Followed Hyperlink" xfId="14307" builtinId="9" hidden="1"/>
    <cellStyle name="Followed Hyperlink" xfId="14308" builtinId="9" hidden="1"/>
    <cellStyle name="Followed Hyperlink" xfId="14309" builtinId="9" hidden="1"/>
    <cellStyle name="Followed Hyperlink" xfId="14310" builtinId="9" hidden="1"/>
    <cellStyle name="Followed Hyperlink" xfId="14311" builtinId="9" hidden="1"/>
    <cellStyle name="Followed Hyperlink" xfId="14312" builtinId="9" hidden="1"/>
    <cellStyle name="Followed Hyperlink" xfId="14313" builtinId="9" hidden="1"/>
    <cellStyle name="Followed Hyperlink" xfId="14314" builtinId="9" hidden="1"/>
    <cellStyle name="Followed Hyperlink" xfId="14315" builtinId="9" hidden="1"/>
    <cellStyle name="Followed Hyperlink" xfId="14316" builtinId="9" hidden="1"/>
    <cellStyle name="Followed Hyperlink" xfId="14317" builtinId="9" hidden="1"/>
    <cellStyle name="Followed Hyperlink" xfId="14318" builtinId="9" hidden="1"/>
    <cellStyle name="Followed Hyperlink" xfId="14319" builtinId="9" hidden="1"/>
    <cellStyle name="Followed Hyperlink" xfId="14320" builtinId="9" hidden="1"/>
    <cellStyle name="Followed Hyperlink" xfId="14321" builtinId="9" hidden="1"/>
    <cellStyle name="Followed Hyperlink" xfId="14322" builtinId="9" hidden="1"/>
    <cellStyle name="Followed Hyperlink" xfId="14323" builtinId="9" hidden="1"/>
    <cellStyle name="Followed Hyperlink" xfId="13959" builtinId="9" hidden="1"/>
    <cellStyle name="Followed Hyperlink" xfId="14284" builtinId="9" hidden="1"/>
    <cellStyle name="Followed Hyperlink" xfId="14325" builtinId="9" hidden="1"/>
    <cellStyle name="Followed Hyperlink" xfId="14326" builtinId="9" hidden="1"/>
    <cellStyle name="Followed Hyperlink" xfId="14327" builtinId="9" hidden="1"/>
    <cellStyle name="Followed Hyperlink" xfId="14328" builtinId="9" hidden="1"/>
    <cellStyle name="Followed Hyperlink" xfId="14329" builtinId="9" hidden="1"/>
    <cellStyle name="Followed Hyperlink" xfId="14330" builtinId="9" hidden="1"/>
    <cellStyle name="Followed Hyperlink" xfId="14331" builtinId="9" hidden="1"/>
    <cellStyle name="Followed Hyperlink" xfId="14332" builtinId="9" hidden="1"/>
    <cellStyle name="Followed Hyperlink" xfId="14333" builtinId="9" hidden="1"/>
    <cellStyle name="Followed Hyperlink" xfId="14334" builtinId="9" hidden="1"/>
    <cellStyle name="Followed Hyperlink" xfId="14335" builtinId="9" hidden="1"/>
    <cellStyle name="Followed Hyperlink" xfId="14336" builtinId="9" hidden="1"/>
    <cellStyle name="Followed Hyperlink" xfId="14337" builtinId="9" hidden="1"/>
    <cellStyle name="Followed Hyperlink" xfId="14338" builtinId="9" hidden="1"/>
    <cellStyle name="Followed Hyperlink" xfId="14339" builtinId="9" hidden="1"/>
    <cellStyle name="Followed Hyperlink" xfId="14340" builtinId="9" hidden="1"/>
    <cellStyle name="Followed Hyperlink" xfId="14341" builtinId="9" hidden="1"/>
    <cellStyle name="Followed Hyperlink" xfId="14342" builtinId="9" hidden="1"/>
    <cellStyle name="Followed Hyperlink" xfId="14343" builtinId="9" hidden="1"/>
    <cellStyle name="Followed Hyperlink" xfId="14344" builtinId="9" hidden="1"/>
    <cellStyle name="Followed Hyperlink" xfId="14345" builtinId="9" hidden="1"/>
    <cellStyle name="Followed Hyperlink" xfId="14346" builtinId="9" hidden="1"/>
    <cellStyle name="Followed Hyperlink" xfId="14347" builtinId="9" hidden="1"/>
    <cellStyle name="Followed Hyperlink" xfId="14348" builtinId="9" hidden="1"/>
    <cellStyle name="Followed Hyperlink" xfId="14349" builtinId="9" hidden="1"/>
    <cellStyle name="Followed Hyperlink" xfId="14350" builtinId="9" hidden="1"/>
    <cellStyle name="Followed Hyperlink" xfId="14351" builtinId="9" hidden="1"/>
    <cellStyle name="Followed Hyperlink" xfId="14352" builtinId="9" hidden="1"/>
    <cellStyle name="Followed Hyperlink" xfId="14353" builtinId="9" hidden="1"/>
    <cellStyle name="Followed Hyperlink" xfId="14354" builtinId="9" hidden="1"/>
    <cellStyle name="Followed Hyperlink" xfId="14355" builtinId="9" hidden="1"/>
    <cellStyle name="Followed Hyperlink" xfId="14356" builtinId="9" hidden="1"/>
    <cellStyle name="Followed Hyperlink" xfId="14357" builtinId="9" hidden="1"/>
    <cellStyle name="Followed Hyperlink" xfId="14358" builtinId="9" hidden="1"/>
    <cellStyle name="Followed Hyperlink" xfId="14359" builtinId="9" hidden="1"/>
    <cellStyle name="Followed Hyperlink" xfId="14360" builtinId="9" hidden="1"/>
    <cellStyle name="Followed Hyperlink" xfId="14361" builtinId="9" hidden="1"/>
    <cellStyle name="Followed Hyperlink" xfId="14362" builtinId="9" hidden="1"/>
    <cellStyle name="Followed Hyperlink" xfId="14363" builtinId="9" hidden="1"/>
    <cellStyle name="Followed Hyperlink" xfId="13955" builtinId="9" hidden="1"/>
    <cellStyle name="Followed Hyperlink" xfId="14324" builtinId="9" hidden="1"/>
    <cellStyle name="Followed Hyperlink" xfId="14364" builtinId="9" hidden="1"/>
    <cellStyle name="Followed Hyperlink" xfId="14365" builtinId="9" hidden="1"/>
    <cellStyle name="Followed Hyperlink" xfId="14366" builtinId="9" hidden="1"/>
    <cellStyle name="Followed Hyperlink" xfId="14367" builtinId="9" hidden="1"/>
    <cellStyle name="Followed Hyperlink" xfId="14368" builtinId="9" hidden="1"/>
    <cellStyle name="Followed Hyperlink" xfId="14369" builtinId="9" hidden="1"/>
    <cellStyle name="Followed Hyperlink" xfId="14370" builtinId="9" hidden="1"/>
    <cellStyle name="Followed Hyperlink" xfId="14371" builtinId="9" hidden="1"/>
    <cellStyle name="Followed Hyperlink" xfId="14372" builtinId="9" hidden="1"/>
    <cellStyle name="Followed Hyperlink" xfId="14373" builtinId="9" hidden="1"/>
    <cellStyle name="Followed Hyperlink" xfId="14374" builtinId="9" hidden="1"/>
    <cellStyle name="Followed Hyperlink" xfId="14375" builtinId="9" hidden="1"/>
    <cellStyle name="Followed Hyperlink" xfId="14376" builtinId="9" hidden="1"/>
    <cellStyle name="Followed Hyperlink" xfId="14377" builtinId="9" hidden="1"/>
    <cellStyle name="Followed Hyperlink" xfId="14378" builtinId="9" hidden="1"/>
    <cellStyle name="Followed Hyperlink" xfId="14379" builtinId="9" hidden="1"/>
    <cellStyle name="Followed Hyperlink" xfId="14380" builtinId="9" hidden="1"/>
    <cellStyle name="Followed Hyperlink" xfId="14381" builtinId="9" hidden="1"/>
    <cellStyle name="Followed Hyperlink" xfId="14382" builtinId="9" hidden="1"/>
    <cellStyle name="Followed Hyperlink" xfId="14383" builtinId="9" hidden="1"/>
    <cellStyle name="Followed Hyperlink" xfId="14384" builtinId="9" hidden="1"/>
    <cellStyle name="Followed Hyperlink" xfId="14385" builtinId="9" hidden="1"/>
    <cellStyle name="Followed Hyperlink" xfId="14386" builtinId="9" hidden="1"/>
    <cellStyle name="Followed Hyperlink" xfId="14387" builtinId="9" hidden="1"/>
    <cellStyle name="Followed Hyperlink" xfId="14388" builtinId="9" hidden="1"/>
    <cellStyle name="Followed Hyperlink" xfId="14389" builtinId="9" hidden="1"/>
    <cellStyle name="Followed Hyperlink" xfId="14390" builtinId="9" hidden="1"/>
    <cellStyle name="Followed Hyperlink" xfId="14391" builtinId="9" hidden="1"/>
    <cellStyle name="Followed Hyperlink" xfId="14392" builtinId="9" hidden="1"/>
    <cellStyle name="Followed Hyperlink" xfId="14393" builtinId="9" hidden="1"/>
    <cellStyle name="Followed Hyperlink" xfId="14394" builtinId="9" hidden="1"/>
    <cellStyle name="Followed Hyperlink" xfId="14395" builtinId="9" hidden="1"/>
    <cellStyle name="Followed Hyperlink" xfId="14396" builtinId="9" hidden="1"/>
    <cellStyle name="Followed Hyperlink" xfId="14397" builtinId="9" hidden="1"/>
    <cellStyle name="Followed Hyperlink" xfId="14398" builtinId="9" hidden="1"/>
    <cellStyle name="Followed Hyperlink" xfId="14399" builtinId="9" hidden="1"/>
    <cellStyle name="Followed Hyperlink" xfId="14400" builtinId="9" hidden="1"/>
    <cellStyle name="Followed Hyperlink" xfId="14401" builtinId="9" hidden="1"/>
    <cellStyle name="Followed Hyperlink" xfId="14402" builtinId="9" hidden="1"/>
    <cellStyle name="Followed Hyperlink" xfId="13411" builtinId="9" hidden="1"/>
    <cellStyle name="Followed Hyperlink" xfId="13416" builtinId="9" hidden="1"/>
    <cellStyle name="Followed Hyperlink" xfId="14403" builtinId="9" hidden="1"/>
    <cellStyle name="Followed Hyperlink" xfId="14404" builtinId="9" hidden="1"/>
    <cellStyle name="Followed Hyperlink" xfId="14405" builtinId="9" hidden="1"/>
    <cellStyle name="Followed Hyperlink" xfId="14406" builtinId="9" hidden="1"/>
    <cellStyle name="Followed Hyperlink" xfId="14407" builtinId="9" hidden="1"/>
    <cellStyle name="Followed Hyperlink" xfId="14408" builtinId="9" hidden="1"/>
    <cellStyle name="Followed Hyperlink" xfId="14409" builtinId="9" hidden="1"/>
    <cellStyle name="Followed Hyperlink" xfId="14410" builtinId="9" hidden="1"/>
    <cellStyle name="Followed Hyperlink" xfId="14411" builtinId="9" hidden="1"/>
    <cellStyle name="Followed Hyperlink" xfId="14412" builtinId="9" hidden="1"/>
    <cellStyle name="Followed Hyperlink" xfId="14413" builtinId="9" hidden="1"/>
    <cellStyle name="Followed Hyperlink" xfId="14414" builtinId="9" hidden="1"/>
    <cellStyle name="Followed Hyperlink" xfId="14415" builtinId="9" hidden="1"/>
    <cellStyle name="Followed Hyperlink" xfId="14416" builtinId="9" hidden="1"/>
    <cellStyle name="Followed Hyperlink" xfId="14417" builtinId="9" hidden="1"/>
    <cellStyle name="Followed Hyperlink" xfId="14418" builtinId="9" hidden="1"/>
    <cellStyle name="Followed Hyperlink" xfId="14419" builtinId="9" hidden="1"/>
    <cellStyle name="Followed Hyperlink" xfId="14420" builtinId="9" hidden="1"/>
    <cellStyle name="Followed Hyperlink" xfId="14421" builtinId="9" hidden="1"/>
    <cellStyle name="Followed Hyperlink" xfId="14422" builtinId="9" hidden="1"/>
    <cellStyle name="Followed Hyperlink" xfId="14423" builtinId="9" hidden="1"/>
    <cellStyle name="Followed Hyperlink" xfId="14424" builtinId="9" hidden="1"/>
    <cellStyle name="Followed Hyperlink" xfId="14425" builtinId="9" hidden="1"/>
    <cellStyle name="Followed Hyperlink" xfId="14426" builtinId="9" hidden="1"/>
    <cellStyle name="Followed Hyperlink" xfId="14427" builtinId="9" hidden="1"/>
    <cellStyle name="Followed Hyperlink" xfId="14428" builtinId="9" hidden="1"/>
    <cellStyle name="Followed Hyperlink" xfId="14429" builtinId="9" hidden="1"/>
    <cellStyle name="Followed Hyperlink" xfId="14430" builtinId="9" hidden="1"/>
    <cellStyle name="Followed Hyperlink" xfId="14431" builtinId="9" hidden="1"/>
    <cellStyle name="Followed Hyperlink" xfId="14432" builtinId="9" hidden="1"/>
    <cellStyle name="Followed Hyperlink" xfId="14433" builtinId="9" hidden="1"/>
    <cellStyle name="Followed Hyperlink" xfId="14434" builtinId="9" hidden="1"/>
    <cellStyle name="Followed Hyperlink" xfId="14435" builtinId="9" hidden="1"/>
    <cellStyle name="Followed Hyperlink" xfId="14436" builtinId="9" hidden="1"/>
    <cellStyle name="Followed Hyperlink" xfId="14437" builtinId="9" hidden="1"/>
    <cellStyle name="Followed Hyperlink" xfId="14438" builtinId="9" hidden="1"/>
    <cellStyle name="Followed Hyperlink" xfId="14439" builtinId="9" hidden="1"/>
    <cellStyle name="Followed Hyperlink" xfId="14440" builtinId="9" hidden="1"/>
    <cellStyle name="Followed Hyperlink" xfId="14441" builtinId="9" hidden="1"/>
    <cellStyle name="Followed Hyperlink" xfId="14450" builtinId="9" hidden="1"/>
    <cellStyle name="Followed Hyperlink" xfId="14451" builtinId="9" hidden="1"/>
    <cellStyle name="Followed Hyperlink" xfId="14452" builtinId="9" hidden="1"/>
    <cellStyle name="Followed Hyperlink" xfId="14453" builtinId="9" hidden="1"/>
    <cellStyle name="Followed Hyperlink" xfId="14454" builtinId="9" hidden="1"/>
    <cellStyle name="Followed Hyperlink" xfId="14455" builtinId="9" hidden="1"/>
    <cellStyle name="Followed Hyperlink" xfId="14456" builtinId="9" hidden="1"/>
    <cellStyle name="Followed Hyperlink" xfId="14457" builtinId="9" hidden="1"/>
    <cellStyle name="Followed Hyperlink" xfId="14458" builtinId="9" hidden="1"/>
    <cellStyle name="Followed Hyperlink" xfId="14459" builtinId="9" hidden="1"/>
    <cellStyle name="Followed Hyperlink" xfId="14460" builtinId="9" hidden="1"/>
    <cellStyle name="Followed Hyperlink" xfId="14461" builtinId="9" hidden="1"/>
    <cellStyle name="Followed Hyperlink" xfId="14462" builtinId="9" hidden="1"/>
    <cellStyle name="Followed Hyperlink" xfId="14463" builtinId="9" hidden="1"/>
    <cellStyle name="Followed Hyperlink" xfId="14464" builtinId="9" hidden="1"/>
    <cellStyle name="Followed Hyperlink" xfId="14465" builtinId="9" hidden="1"/>
    <cellStyle name="Followed Hyperlink" xfId="14466" builtinId="9" hidden="1"/>
    <cellStyle name="Followed Hyperlink" xfId="14467" builtinId="9" hidden="1"/>
    <cellStyle name="Followed Hyperlink" xfId="14468" builtinId="9" hidden="1"/>
    <cellStyle name="Followed Hyperlink" xfId="14469" builtinId="9" hidden="1"/>
    <cellStyle name="Followed Hyperlink" xfId="14470" builtinId="9" hidden="1"/>
    <cellStyle name="Followed Hyperlink" xfId="14471" builtinId="9" hidden="1"/>
    <cellStyle name="Followed Hyperlink" xfId="14472" builtinId="9" hidden="1"/>
    <cellStyle name="Followed Hyperlink" xfId="14473" builtinId="9" hidden="1"/>
    <cellStyle name="Followed Hyperlink" xfId="14474" builtinId="9" hidden="1"/>
    <cellStyle name="Followed Hyperlink" xfId="14475" builtinId="9" hidden="1"/>
    <cellStyle name="Followed Hyperlink" xfId="14476" builtinId="9" hidden="1"/>
    <cellStyle name="Followed Hyperlink" xfId="14477" builtinId="9" hidden="1"/>
    <cellStyle name="Followed Hyperlink" xfId="14478" builtinId="9" hidden="1"/>
    <cellStyle name="Followed Hyperlink" xfId="14479" builtinId="9" hidden="1"/>
    <cellStyle name="Followed Hyperlink" xfId="14480" builtinId="9" hidden="1"/>
    <cellStyle name="Followed Hyperlink" xfId="14481" builtinId="9" hidden="1"/>
    <cellStyle name="Followed Hyperlink" xfId="14482" builtinId="9" hidden="1"/>
    <cellStyle name="Followed Hyperlink" xfId="14483" builtinId="9" hidden="1"/>
    <cellStyle name="Followed Hyperlink" xfId="14484" builtinId="9" hidden="1"/>
    <cellStyle name="Followed Hyperlink" xfId="14485" builtinId="9" hidden="1"/>
    <cellStyle name="Followed Hyperlink" xfId="14486" builtinId="9" hidden="1"/>
    <cellStyle name="Followed Hyperlink" xfId="14487" builtinId="9" hidden="1"/>
    <cellStyle name="Followed Hyperlink" xfId="14488" builtinId="9" hidden="1"/>
    <cellStyle name="Followed Hyperlink" xfId="14489" builtinId="9" hidden="1"/>
    <cellStyle name="Followed Hyperlink" xfId="14490" builtinId="9" hidden="1"/>
    <cellStyle name="Followed Hyperlink" xfId="14491" builtinId="9" hidden="1"/>
    <cellStyle name="Followed Hyperlink" xfId="14492" builtinId="9" hidden="1"/>
    <cellStyle name="Followed Hyperlink" xfId="14493" builtinId="9" hidden="1"/>
    <cellStyle name="Followed Hyperlink" xfId="14494" builtinId="9" hidden="1"/>
    <cellStyle name="Followed Hyperlink" xfId="14495" builtinId="9" hidden="1"/>
    <cellStyle name="Followed Hyperlink" xfId="14496" builtinId="9" hidden="1"/>
    <cellStyle name="Followed Hyperlink" xfId="14497" builtinId="9" hidden="1"/>
    <cellStyle name="Followed Hyperlink" xfId="14498" builtinId="9" hidden="1"/>
    <cellStyle name="Followed Hyperlink" xfId="14499" builtinId="9" hidden="1"/>
    <cellStyle name="Followed Hyperlink" xfId="14500" builtinId="9" hidden="1"/>
    <cellStyle name="Followed Hyperlink" xfId="14501" builtinId="9" hidden="1"/>
    <cellStyle name="Followed Hyperlink" xfId="14502" builtinId="9" hidden="1"/>
    <cellStyle name="Followed Hyperlink" xfId="14503" builtinId="9" hidden="1"/>
    <cellStyle name="Followed Hyperlink" xfId="14504" builtinId="9" hidden="1"/>
    <cellStyle name="Followed Hyperlink" xfId="14505" builtinId="9" hidden="1"/>
    <cellStyle name="Followed Hyperlink" xfId="14506" builtinId="9" hidden="1"/>
    <cellStyle name="Followed Hyperlink" xfId="14507" builtinId="9" hidden="1"/>
    <cellStyle name="Followed Hyperlink" xfId="14508" builtinId="9" hidden="1"/>
    <cellStyle name="Followed Hyperlink" xfId="14509" builtinId="9" hidden="1"/>
    <cellStyle name="Followed Hyperlink" xfId="14510" builtinId="9" hidden="1"/>
    <cellStyle name="Followed Hyperlink" xfId="14511" builtinId="9" hidden="1"/>
    <cellStyle name="Followed Hyperlink" xfId="14512" builtinId="9" hidden="1"/>
    <cellStyle name="Followed Hyperlink" xfId="14513" builtinId="9" hidden="1"/>
    <cellStyle name="Followed Hyperlink" xfId="14514" builtinId="9" hidden="1"/>
    <cellStyle name="Followed Hyperlink" xfId="14515" builtinId="9" hidden="1"/>
    <cellStyle name="Followed Hyperlink" xfId="14516" builtinId="9" hidden="1"/>
    <cellStyle name="Followed Hyperlink" xfId="14517" builtinId="9" hidden="1"/>
    <cellStyle name="Followed Hyperlink" xfId="14518" builtinId="9" hidden="1"/>
    <cellStyle name="Followed Hyperlink" xfId="14519" builtinId="9" hidden="1"/>
    <cellStyle name="Followed Hyperlink" xfId="14520" builtinId="9" hidden="1"/>
    <cellStyle name="Followed Hyperlink" xfId="14521" builtinId="9" hidden="1"/>
    <cellStyle name="Followed Hyperlink" xfId="14522" builtinId="9" hidden="1"/>
    <cellStyle name="Followed Hyperlink" xfId="14523" builtinId="9" hidden="1"/>
    <cellStyle name="Followed Hyperlink" xfId="14524" builtinId="9" hidden="1"/>
    <cellStyle name="Followed Hyperlink" xfId="14525" builtinId="9" hidden="1"/>
    <cellStyle name="Followed Hyperlink" xfId="14526" builtinId="9" hidden="1"/>
    <cellStyle name="Followed Hyperlink" xfId="14527" builtinId="9" hidden="1"/>
    <cellStyle name="Followed Hyperlink" xfId="14528" builtinId="9" hidden="1"/>
    <cellStyle name="Followed Hyperlink" xfId="14529" builtinId="9" hidden="1"/>
    <cellStyle name="Followed Hyperlink" xfId="14530" builtinId="9" hidden="1"/>
    <cellStyle name="Followed Hyperlink" xfId="14531" builtinId="9" hidden="1"/>
    <cellStyle name="Followed Hyperlink" xfId="14532" builtinId="9" hidden="1"/>
    <cellStyle name="Followed Hyperlink" xfId="14533" builtinId="9" hidden="1"/>
    <cellStyle name="Followed Hyperlink" xfId="14534" builtinId="9" hidden="1"/>
    <cellStyle name="Followed Hyperlink" xfId="14535" builtinId="9" hidden="1"/>
    <cellStyle name="Followed Hyperlink" xfId="14536" builtinId="9" hidden="1"/>
    <cellStyle name="Followed Hyperlink" xfId="14537" builtinId="9" hidden="1"/>
    <cellStyle name="Followed Hyperlink" xfId="14538" builtinId="9" hidden="1"/>
    <cellStyle name="Followed Hyperlink" xfId="14539" builtinId="9" hidden="1"/>
    <cellStyle name="Followed Hyperlink" xfId="14540" builtinId="9" hidden="1"/>
    <cellStyle name="Followed Hyperlink" xfId="14541" builtinId="9" hidden="1"/>
    <cellStyle name="Followed Hyperlink" xfId="14542" builtinId="9" hidden="1"/>
    <cellStyle name="Followed Hyperlink" xfId="14543" builtinId="9" hidden="1"/>
    <cellStyle name="Followed Hyperlink" xfId="14544" builtinId="9" hidden="1"/>
    <cellStyle name="Followed Hyperlink" xfId="14545" builtinId="9" hidden="1"/>
    <cellStyle name="Followed Hyperlink" xfId="14546" builtinId="9" hidden="1"/>
    <cellStyle name="Followed Hyperlink" xfId="14547" builtinId="9" hidden="1"/>
    <cellStyle name="Followed Hyperlink" xfId="14548" builtinId="9" hidden="1"/>
    <cellStyle name="Followed Hyperlink" xfId="14549" builtinId="9" hidden="1"/>
    <cellStyle name="Followed Hyperlink" xfId="14550" builtinId="9" hidden="1"/>
    <cellStyle name="Followed Hyperlink" xfId="14551" builtinId="9" hidden="1"/>
    <cellStyle name="Followed Hyperlink" xfId="14552" builtinId="9" hidden="1"/>
    <cellStyle name="Followed Hyperlink" xfId="14553" builtinId="9" hidden="1"/>
    <cellStyle name="Followed Hyperlink" xfId="14554" builtinId="9" hidden="1"/>
    <cellStyle name="Followed Hyperlink" xfId="14555" builtinId="9" hidden="1"/>
    <cellStyle name="Followed Hyperlink" xfId="14556" builtinId="9" hidden="1"/>
    <cellStyle name="Followed Hyperlink" xfId="14557" builtinId="9" hidden="1"/>
    <cellStyle name="Followed Hyperlink" xfId="14558" builtinId="9" hidden="1"/>
    <cellStyle name="Followed Hyperlink" xfId="14559" builtinId="9" hidden="1"/>
    <cellStyle name="Followed Hyperlink" xfId="14560" builtinId="9" hidden="1"/>
    <cellStyle name="Followed Hyperlink" xfId="14561" builtinId="9" hidden="1"/>
    <cellStyle name="Followed Hyperlink" xfId="14562" builtinId="9" hidden="1"/>
    <cellStyle name="Followed Hyperlink" xfId="14563" builtinId="9" hidden="1"/>
    <cellStyle name="Followed Hyperlink" xfId="14564" builtinId="9" hidden="1"/>
    <cellStyle name="Followed Hyperlink" xfId="14565" builtinId="9" hidden="1"/>
    <cellStyle name="Followed Hyperlink" xfId="14566" builtinId="9" hidden="1"/>
    <cellStyle name="Followed Hyperlink" xfId="14567" builtinId="9" hidden="1"/>
    <cellStyle name="Followed Hyperlink" xfId="14568" builtinId="9" hidden="1"/>
    <cellStyle name="Followed Hyperlink" xfId="14569" builtinId="9" hidden="1"/>
    <cellStyle name="Followed Hyperlink" xfId="14570" builtinId="9" hidden="1"/>
    <cellStyle name="Followed Hyperlink" xfId="14571" builtinId="9" hidden="1"/>
    <cellStyle name="Followed Hyperlink" xfId="14572" builtinId="9" hidden="1"/>
    <cellStyle name="Followed Hyperlink" xfId="14442" builtinId="9" hidden="1"/>
    <cellStyle name="Followed Hyperlink" xfId="13415" builtinId="9" hidden="1"/>
    <cellStyle name="Followed Hyperlink" xfId="14574" builtinId="9" hidden="1"/>
    <cellStyle name="Followed Hyperlink" xfId="14575" builtinId="9" hidden="1"/>
    <cellStyle name="Followed Hyperlink" xfId="14576" builtinId="9" hidden="1"/>
    <cellStyle name="Followed Hyperlink" xfId="14577" builtinId="9" hidden="1"/>
    <cellStyle name="Followed Hyperlink" xfId="14578" builtinId="9" hidden="1"/>
    <cellStyle name="Followed Hyperlink" xfId="14579" builtinId="9" hidden="1"/>
    <cellStyle name="Followed Hyperlink" xfId="14580" builtinId="9" hidden="1"/>
    <cellStyle name="Followed Hyperlink" xfId="14581" builtinId="9" hidden="1"/>
    <cellStyle name="Followed Hyperlink" xfId="14582" builtinId="9" hidden="1"/>
    <cellStyle name="Followed Hyperlink" xfId="14583" builtinId="9" hidden="1"/>
    <cellStyle name="Followed Hyperlink" xfId="14584" builtinId="9" hidden="1"/>
    <cellStyle name="Followed Hyperlink" xfId="14585" builtinId="9" hidden="1"/>
    <cellStyle name="Followed Hyperlink" xfId="14586" builtinId="9" hidden="1"/>
    <cellStyle name="Followed Hyperlink" xfId="14587" builtinId="9" hidden="1"/>
    <cellStyle name="Followed Hyperlink" xfId="14588" builtinId="9" hidden="1"/>
    <cellStyle name="Followed Hyperlink" xfId="14589" builtinId="9" hidden="1"/>
    <cellStyle name="Followed Hyperlink" xfId="14590" builtinId="9" hidden="1"/>
    <cellStyle name="Followed Hyperlink" xfId="14591" builtinId="9" hidden="1"/>
    <cellStyle name="Followed Hyperlink" xfId="14592" builtinId="9" hidden="1"/>
    <cellStyle name="Followed Hyperlink" xfId="14593" builtinId="9" hidden="1"/>
    <cellStyle name="Followed Hyperlink" xfId="14594" builtinId="9" hidden="1"/>
    <cellStyle name="Followed Hyperlink" xfId="14595" builtinId="9" hidden="1"/>
    <cellStyle name="Followed Hyperlink" xfId="14596" builtinId="9" hidden="1"/>
    <cellStyle name="Followed Hyperlink" xfId="14597" builtinId="9" hidden="1"/>
    <cellStyle name="Followed Hyperlink" xfId="14598" builtinId="9" hidden="1"/>
    <cellStyle name="Followed Hyperlink" xfId="14599" builtinId="9" hidden="1"/>
    <cellStyle name="Followed Hyperlink" xfId="14600" builtinId="9" hidden="1"/>
    <cellStyle name="Followed Hyperlink" xfId="14601" builtinId="9" hidden="1"/>
    <cellStyle name="Followed Hyperlink" xfId="14602" builtinId="9" hidden="1"/>
    <cellStyle name="Followed Hyperlink" xfId="14603" builtinId="9" hidden="1"/>
    <cellStyle name="Followed Hyperlink" xfId="14604" builtinId="9" hidden="1"/>
    <cellStyle name="Followed Hyperlink" xfId="14605" builtinId="9" hidden="1"/>
    <cellStyle name="Followed Hyperlink" xfId="14606" builtinId="9" hidden="1"/>
    <cellStyle name="Followed Hyperlink" xfId="14607" builtinId="9" hidden="1"/>
    <cellStyle name="Followed Hyperlink" xfId="14608" builtinId="9" hidden="1"/>
    <cellStyle name="Followed Hyperlink" xfId="14609" builtinId="9" hidden="1"/>
    <cellStyle name="Followed Hyperlink" xfId="14610" builtinId="9" hidden="1"/>
    <cellStyle name="Followed Hyperlink" xfId="14611" builtinId="9" hidden="1"/>
    <cellStyle name="Followed Hyperlink" xfId="14612" builtinId="9" hidden="1"/>
    <cellStyle name="Followed Hyperlink" xfId="14447" builtinId="9" hidden="1"/>
    <cellStyle name="Followed Hyperlink" xfId="14573" builtinId="9" hidden="1"/>
    <cellStyle name="Followed Hyperlink" xfId="14614" builtinId="9" hidden="1"/>
    <cellStyle name="Followed Hyperlink" xfId="14615" builtinId="9" hidden="1"/>
    <cellStyle name="Followed Hyperlink" xfId="14616" builtinId="9" hidden="1"/>
    <cellStyle name="Followed Hyperlink" xfId="14617" builtinId="9" hidden="1"/>
    <cellStyle name="Followed Hyperlink" xfId="14618" builtinId="9" hidden="1"/>
    <cellStyle name="Followed Hyperlink" xfId="14619" builtinId="9" hidden="1"/>
    <cellStyle name="Followed Hyperlink" xfId="14620" builtinId="9" hidden="1"/>
    <cellStyle name="Followed Hyperlink" xfId="14621" builtinId="9" hidden="1"/>
    <cellStyle name="Followed Hyperlink" xfId="14622" builtinId="9" hidden="1"/>
    <cellStyle name="Followed Hyperlink" xfId="14623" builtinId="9" hidden="1"/>
    <cellStyle name="Followed Hyperlink" xfId="14624" builtinId="9" hidden="1"/>
    <cellStyle name="Followed Hyperlink" xfId="14625" builtinId="9" hidden="1"/>
    <cellStyle name="Followed Hyperlink" xfId="14626" builtinId="9" hidden="1"/>
    <cellStyle name="Followed Hyperlink" xfId="14627" builtinId="9" hidden="1"/>
    <cellStyle name="Followed Hyperlink" xfId="14628" builtinId="9" hidden="1"/>
    <cellStyle name="Followed Hyperlink" xfId="14629" builtinId="9" hidden="1"/>
    <cellStyle name="Followed Hyperlink" xfId="14630" builtinId="9" hidden="1"/>
    <cellStyle name="Followed Hyperlink" xfId="14631" builtinId="9" hidden="1"/>
    <cellStyle name="Followed Hyperlink" xfId="14632" builtinId="9" hidden="1"/>
    <cellStyle name="Followed Hyperlink" xfId="14633" builtinId="9" hidden="1"/>
    <cellStyle name="Followed Hyperlink" xfId="14634" builtinId="9" hidden="1"/>
    <cellStyle name="Followed Hyperlink" xfId="14635" builtinId="9" hidden="1"/>
    <cellStyle name="Followed Hyperlink" xfId="14636" builtinId="9" hidden="1"/>
    <cellStyle name="Followed Hyperlink" xfId="14637" builtinId="9" hidden="1"/>
    <cellStyle name="Followed Hyperlink" xfId="14638" builtinId="9" hidden="1"/>
    <cellStyle name="Followed Hyperlink" xfId="14639" builtinId="9" hidden="1"/>
    <cellStyle name="Followed Hyperlink" xfId="14640" builtinId="9" hidden="1"/>
    <cellStyle name="Followed Hyperlink" xfId="14641" builtinId="9" hidden="1"/>
    <cellStyle name="Followed Hyperlink" xfId="14642" builtinId="9" hidden="1"/>
    <cellStyle name="Followed Hyperlink" xfId="14643" builtinId="9" hidden="1"/>
    <cellStyle name="Followed Hyperlink" xfId="14644" builtinId="9" hidden="1"/>
    <cellStyle name="Followed Hyperlink" xfId="14645" builtinId="9" hidden="1"/>
    <cellStyle name="Followed Hyperlink" xfId="14646" builtinId="9" hidden="1"/>
    <cellStyle name="Followed Hyperlink" xfId="14647" builtinId="9" hidden="1"/>
    <cellStyle name="Followed Hyperlink" xfId="14648" builtinId="9" hidden="1"/>
    <cellStyle name="Followed Hyperlink" xfId="14649" builtinId="9" hidden="1"/>
    <cellStyle name="Followed Hyperlink" xfId="14650" builtinId="9" hidden="1"/>
    <cellStyle name="Followed Hyperlink" xfId="14651" builtinId="9" hidden="1"/>
    <cellStyle name="Followed Hyperlink" xfId="14652" builtinId="9" hidden="1"/>
    <cellStyle name="Followed Hyperlink" xfId="14449" builtinId="9" hidden="1"/>
    <cellStyle name="Followed Hyperlink" xfId="14613" builtinId="9" hidden="1"/>
    <cellStyle name="Followed Hyperlink" xfId="14654" builtinId="9" hidden="1"/>
    <cellStyle name="Followed Hyperlink" xfId="14655" builtinId="9" hidden="1"/>
    <cellStyle name="Followed Hyperlink" xfId="14656" builtinId="9" hidden="1"/>
    <cellStyle name="Followed Hyperlink" xfId="14657" builtinId="9" hidden="1"/>
    <cellStyle name="Followed Hyperlink" xfId="14658" builtinId="9" hidden="1"/>
    <cellStyle name="Followed Hyperlink" xfId="14659" builtinId="9" hidden="1"/>
    <cellStyle name="Followed Hyperlink" xfId="14660" builtinId="9" hidden="1"/>
    <cellStyle name="Followed Hyperlink" xfId="14661" builtinId="9" hidden="1"/>
    <cellStyle name="Followed Hyperlink" xfId="14662" builtinId="9" hidden="1"/>
    <cellStyle name="Followed Hyperlink" xfId="14663" builtinId="9" hidden="1"/>
    <cellStyle name="Followed Hyperlink" xfId="14664" builtinId="9" hidden="1"/>
    <cellStyle name="Followed Hyperlink" xfId="14665" builtinId="9" hidden="1"/>
    <cellStyle name="Followed Hyperlink" xfId="14666" builtinId="9" hidden="1"/>
    <cellStyle name="Followed Hyperlink" xfId="14667" builtinId="9" hidden="1"/>
    <cellStyle name="Followed Hyperlink" xfId="14668" builtinId="9" hidden="1"/>
    <cellStyle name="Followed Hyperlink" xfId="14669" builtinId="9" hidden="1"/>
    <cellStyle name="Followed Hyperlink" xfId="14670" builtinId="9" hidden="1"/>
    <cellStyle name="Followed Hyperlink" xfId="14671" builtinId="9" hidden="1"/>
    <cellStyle name="Followed Hyperlink" xfId="14672" builtinId="9" hidden="1"/>
    <cellStyle name="Followed Hyperlink" xfId="14673" builtinId="9" hidden="1"/>
    <cellStyle name="Followed Hyperlink" xfId="14674" builtinId="9" hidden="1"/>
    <cellStyle name="Followed Hyperlink" xfId="14675" builtinId="9" hidden="1"/>
    <cellStyle name="Followed Hyperlink" xfId="14676" builtinId="9" hidden="1"/>
    <cellStyle name="Followed Hyperlink" xfId="14677" builtinId="9" hidden="1"/>
    <cellStyle name="Followed Hyperlink" xfId="14678" builtinId="9" hidden="1"/>
    <cellStyle name="Followed Hyperlink" xfId="14679" builtinId="9" hidden="1"/>
    <cellStyle name="Followed Hyperlink" xfId="14680" builtinId="9" hidden="1"/>
    <cellStyle name="Followed Hyperlink" xfId="14681" builtinId="9" hidden="1"/>
    <cellStyle name="Followed Hyperlink" xfId="14682" builtinId="9" hidden="1"/>
    <cellStyle name="Followed Hyperlink" xfId="14683" builtinId="9" hidden="1"/>
    <cellStyle name="Followed Hyperlink" xfId="14684" builtinId="9" hidden="1"/>
    <cellStyle name="Followed Hyperlink" xfId="14685" builtinId="9" hidden="1"/>
    <cellStyle name="Followed Hyperlink" xfId="14686" builtinId="9" hidden="1"/>
    <cellStyle name="Followed Hyperlink" xfId="14687" builtinId="9" hidden="1"/>
    <cellStyle name="Followed Hyperlink" xfId="14688" builtinId="9" hidden="1"/>
    <cellStyle name="Followed Hyperlink" xfId="14689" builtinId="9" hidden="1"/>
    <cellStyle name="Followed Hyperlink" xfId="14690" builtinId="9" hidden="1"/>
    <cellStyle name="Followed Hyperlink" xfId="14691" builtinId="9" hidden="1"/>
    <cellStyle name="Followed Hyperlink" xfId="14692" builtinId="9" hidden="1"/>
    <cellStyle name="Followed Hyperlink" xfId="14443" builtinId="9" hidden="1"/>
    <cellStyle name="Followed Hyperlink" xfId="14653" builtinId="9" hidden="1"/>
    <cellStyle name="Followed Hyperlink" xfId="14694" builtinId="9" hidden="1"/>
    <cellStyle name="Followed Hyperlink" xfId="14695" builtinId="9" hidden="1"/>
    <cellStyle name="Followed Hyperlink" xfId="14696" builtinId="9" hidden="1"/>
    <cellStyle name="Followed Hyperlink" xfId="14697" builtinId="9" hidden="1"/>
    <cellStyle name="Followed Hyperlink" xfId="14698" builtinId="9" hidden="1"/>
    <cellStyle name="Followed Hyperlink" xfId="14699" builtinId="9" hidden="1"/>
    <cellStyle name="Followed Hyperlink" xfId="14700" builtinId="9" hidden="1"/>
    <cellStyle name="Followed Hyperlink" xfId="14701" builtinId="9" hidden="1"/>
    <cellStyle name="Followed Hyperlink" xfId="14702" builtinId="9" hidden="1"/>
    <cellStyle name="Followed Hyperlink" xfId="14703" builtinId="9" hidden="1"/>
    <cellStyle name="Followed Hyperlink" xfId="14704" builtinId="9" hidden="1"/>
    <cellStyle name="Followed Hyperlink" xfId="14705" builtinId="9" hidden="1"/>
    <cellStyle name="Followed Hyperlink" xfId="14706" builtinId="9" hidden="1"/>
    <cellStyle name="Followed Hyperlink" xfId="14707" builtinId="9" hidden="1"/>
    <cellStyle name="Followed Hyperlink" xfId="14708" builtinId="9" hidden="1"/>
    <cellStyle name="Followed Hyperlink" xfId="14709" builtinId="9" hidden="1"/>
    <cellStyle name="Followed Hyperlink" xfId="14710" builtinId="9" hidden="1"/>
    <cellStyle name="Followed Hyperlink" xfId="14711" builtinId="9" hidden="1"/>
    <cellStyle name="Followed Hyperlink" xfId="14712" builtinId="9" hidden="1"/>
    <cellStyle name="Followed Hyperlink" xfId="14713" builtinId="9" hidden="1"/>
    <cellStyle name="Followed Hyperlink" xfId="14714" builtinId="9" hidden="1"/>
    <cellStyle name="Followed Hyperlink" xfId="14715" builtinId="9" hidden="1"/>
    <cellStyle name="Followed Hyperlink" xfId="14716" builtinId="9" hidden="1"/>
    <cellStyle name="Followed Hyperlink" xfId="14717" builtinId="9" hidden="1"/>
    <cellStyle name="Followed Hyperlink" xfId="14718" builtinId="9" hidden="1"/>
    <cellStyle name="Followed Hyperlink" xfId="14719" builtinId="9" hidden="1"/>
    <cellStyle name="Followed Hyperlink" xfId="14720" builtinId="9" hidden="1"/>
    <cellStyle name="Followed Hyperlink" xfId="14721" builtinId="9" hidden="1"/>
    <cellStyle name="Followed Hyperlink" xfId="14722" builtinId="9" hidden="1"/>
    <cellStyle name="Followed Hyperlink" xfId="14723" builtinId="9" hidden="1"/>
    <cellStyle name="Followed Hyperlink" xfId="14724" builtinId="9" hidden="1"/>
    <cellStyle name="Followed Hyperlink" xfId="14725" builtinId="9" hidden="1"/>
    <cellStyle name="Followed Hyperlink" xfId="14726" builtinId="9" hidden="1"/>
    <cellStyle name="Followed Hyperlink" xfId="14727" builtinId="9" hidden="1"/>
    <cellStyle name="Followed Hyperlink" xfId="14728" builtinId="9" hidden="1"/>
    <cellStyle name="Followed Hyperlink" xfId="14729" builtinId="9" hidden="1"/>
    <cellStyle name="Followed Hyperlink" xfId="14730" builtinId="9" hidden="1"/>
    <cellStyle name="Followed Hyperlink" xfId="14731" builtinId="9" hidden="1"/>
    <cellStyle name="Followed Hyperlink" xfId="14732" builtinId="9" hidden="1"/>
    <cellStyle name="Followed Hyperlink" xfId="14445" builtinId="9" hidden="1"/>
    <cellStyle name="Followed Hyperlink" xfId="14693" builtinId="9" hidden="1"/>
    <cellStyle name="Followed Hyperlink" xfId="14734" builtinId="9" hidden="1"/>
    <cellStyle name="Followed Hyperlink" xfId="14735" builtinId="9" hidden="1"/>
    <cellStyle name="Followed Hyperlink" xfId="14736" builtinId="9" hidden="1"/>
    <cellStyle name="Followed Hyperlink" xfId="14737" builtinId="9" hidden="1"/>
    <cellStyle name="Followed Hyperlink" xfId="14738" builtinId="9" hidden="1"/>
    <cellStyle name="Followed Hyperlink" xfId="14739" builtinId="9" hidden="1"/>
    <cellStyle name="Followed Hyperlink" xfId="14740" builtinId="9" hidden="1"/>
    <cellStyle name="Followed Hyperlink" xfId="14741" builtinId="9" hidden="1"/>
    <cellStyle name="Followed Hyperlink" xfId="14742" builtinId="9" hidden="1"/>
    <cellStyle name="Followed Hyperlink" xfId="14743" builtinId="9" hidden="1"/>
    <cellStyle name="Followed Hyperlink" xfId="14744" builtinId="9" hidden="1"/>
    <cellStyle name="Followed Hyperlink" xfId="14745" builtinId="9" hidden="1"/>
    <cellStyle name="Followed Hyperlink" xfId="14746" builtinId="9" hidden="1"/>
    <cellStyle name="Followed Hyperlink" xfId="14747" builtinId="9" hidden="1"/>
    <cellStyle name="Followed Hyperlink" xfId="14748" builtinId="9" hidden="1"/>
    <cellStyle name="Followed Hyperlink" xfId="14749" builtinId="9" hidden="1"/>
    <cellStyle name="Followed Hyperlink" xfId="14750" builtinId="9" hidden="1"/>
    <cellStyle name="Followed Hyperlink" xfId="14751" builtinId="9" hidden="1"/>
    <cellStyle name="Followed Hyperlink" xfId="14752" builtinId="9" hidden="1"/>
    <cellStyle name="Followed Hyperlink" xfId="14753" builtinId="9" hidden="1"/>
    <cellStyle name="Followed Hyperlink" xfId="14754" builtinId="9" hidden="1"/>
    <cellStyle name="Followed Hyperlink" xfId="14755" builtinId="9" hidden="1"/>
    <cellStyle name="Followed Hyperlink" xfId="14756" builtinId="9" hidden="1"/>
    <cellStyle name="Followed Hyperlink" xfId="14757" builtinId="9" hidden="1"/>
    <cellStyle name="Followed Hyperlink" xfId="14758" builtinId="9" hidden="1"/>
    <cellStyle name="Followed Hyperlink" xfId="14759" builtinId="9" hidden="1"/>
    <cellStyle name="Followed Hyperlink" xfId="14760" builtinId="9" hidden="1"/>
    <cellStyle name="Followed Hyperlink" xfId="14761" builtinId="9" hidden="1"/>
    <cellStyle name="Followed Hyperlink" xfId="14762" builtinId="9" hidden="1"/>
    <cellStyle name="Followed Hyperlink" xfId="14763" builtinId="9" hidden="1"/>
    <cellStyle name="Followed Hyperlink" xfId="14764" builtinId="9" hidden="1"/>
    <cellStyle name="Followed Hyperlink" xfId="14765" builtinId="9" hidden="1"/>
    <cellStyle name="Followed Hyperlink" xfId="14766" builtinId="9" hidden="1"/>
    <cellStyle name="Followed Hyperlink" xfId="14767" builtinId="9" hidden="1"/>
    <cellStyle name="Followed Hyperlink" xfId="14768" builtinId="9" hidden="1"/>
    <cellStyle name="Followed Hyperlink" xfId="14769" builtinId="9" hidden="1"/>
    <cellStyle name="Followed Hyperlink" xfId="14770" builtinId="9" hidden="1"/>
    <cellStyle name="Followed Hyperlink" xfId="14771" builtinId="9" hidden="1"/>
    <cellStyle name="Followed Hyperlink" xfId="14772" builtinId="9" hidden="1"/>
    <cellStyle name="Followed Hyperlink" xfId="14446" builtinId="9" hidden="1"/>
    <cellStyle name="Followed Hyperlink" xfId="14733" builtinId="9" hidden="1"/>
    <cellStyle name="Followed Hyperlink" xfId="14774" builtinId="9" hidden="1"/>
    <cellStyle name="Followed Hyperlink" xfId="14775" builtinId="9" hidden="1"/>
    <cellStyle name="Followed Hyperlink" xfId="14776" builtinId="9" hidden="1"/>
    <cellStyle name="Followed Hyperlink" xfId="14777" builtinId="9" hidden="1"/>
    <cellStyle name="Followed Hyperlink" xfId="14778" builtinId="9" hidden="1"/>
    <cellStyle name="Followed Hyperlink" xfId="14779" builtinId="9" hidden="1"/>
    <cellStyle name="Followed Hyperlink" xfId="14780" builtinId="9" hidden="1"/>
    <cellStyle name="Followed Hyperlink" xfId="14781" builtinId="9" hidden="1"/>
    <cellStyle name="Followed Hyperlink" xfId="14782" builtinId="9" hidden="1"/>
    <cellStyle name="Followed Hyperlink" xfId="14783" builtinId="9" hidden="1"/>
    <cellStyle name="Followed Hyperlink" xfId="14784" builtinId="9" hidden="1"/>
    <cellStyle name="Followed Hyperlink" xfId="14785" builtinId="9" hidden="1"/>
    <cellStyle name="Followed Hyperlink" xfId="14786" builtinId="9" hidden="1"/>
    <cellStyle name="Followed Hyperlink" xfId="14787" builtinId="9" hidden="1"/>
    <cellStyle name="Followed Hyperlink" xfId="14788" builtinId="9" hidden="1"/>
    <cellStyle name="Followed Hyperlink" xfId="14789" builtinId="9" hidden="1"/>
    <cellStyle name="Followed Hyperlink" xfId="14790" builtinId="9" hidden="1"/>
    <cellStyle name="Followed Hyperlink" xfId="14791" builtinId="9" hidden="1"/>
    <cellStyle name="Followed Hyperlink" xfId="14792" builtinId="9" hidden="1"/>
    <cellStyle name="Followed Hyperlink" xfId="14793" builtinId="9" hidden="1"/>
    <cellStyle name="Followed Hyperlink" xfId="14794" builtinId="9" hidden="1"/>
    <cellStyle name="Followed Hyperlink" xfId="14795" builtinId="9" hidden="1"/>
    <cellStyle name="Followed Hyperlink" xfId="14796" builtinId="9" hidden="1"/>
    <cellStyle name="Followed Hyperlink" xfId="14797" builtinId="9" hidden="1"/>
    <cellStyle name="Followed Hyperlink" xfId="14798" builtinId="9" hidden="1"/>
    <cellStyle name="Followed Hyperlink" xfId="14799" builtinId="9" hidden="1"/>
    <cellStyle name="Followed Hyperlink" xfId="14800" builtinId="9" hidden="1"/>
    <cellStyle name="Followed Hyperlink" xfId="14801" builtinId="9" hidden="1"/>
    <cellStyle name="Followed Hyperlink" xfId="14802" builtinId="9" hidden="1"/>
    <cellStyle name="Followed Hyperlink" xfId="14803" builtinId="9" hidden="1"/>
    <cellStyle name="Followed Hyperlink" xfId="14804" builtinId="9" hidden="1"/>
    <cellStyle name="Followed Hyperlink" xfId="14805" builtinId="9" hidden="1"/>
    <cellStyle name="Followed Hyperlink" xfId="14806" builtinId="9" hidden="1"/>
    <cellStyle name="Followed Hyperlink" xfId="14807" builtinId="9" hidden="1"/>
    <cellStyle name="Followed Hyperlink" xfId="14808" builtinId="9" hidden="1"/>
    <cellStyle name="Followed Hyperlink" xfId="14809" builtinId="9" hidden="1"/>
    <cellStyle name="Followed Hyperlink" xfId="14810" builtinId="9" hidden="1"/>
    <cellStyle name="Followed Hyperlink" xfId="14811" builtinId="9" hidden="1"/>
    <cellStyle name="Followed Hyperlink" xfId="14812" builtinId="9" hidden="1"/>
    <cellStyle name="Followed Hyperlink" xfId="14448" builtinId="9" hidden="1"/>
    <cellStyle name="Followed Hyperlink" xfId="14773" builtinId="9" hidden="1"/>
    <cellStyle name="Followed Hyperlink" xfId="14814" builtinId="9" hidden="1"/>
    <cellStyle name="Followed Hyperlink" xfId="14815" builtinId="9" hidden="1"/>
    <cellStyle name="Followed Hyperlink" xfId="14816" builtinId="9" hidden="1"/>
    <cellStyle name="Followed Hyperlink" xfId="14817" builtinId="9" hidden="1"/>
    <cellStyle name="Followed Hyperlink" xfId="14818" builtinId="9" hidden="1"/>
    <cellStyle name="Followed Hyperlink" xfId="14819" builtinId="9" hidden="1"/>
    <cellStyle name="Followed Hyperlink" xfId="14820" builtinId="9" hidden="1"/>
    <cellStyle name="Followed Hyperlink" xfId="14821" builtinId="9" hidden="1"/>
    <cellStyle name="Followed Hyperlink" xfId="14822" builtinId="9" hidden="1"/>
    <cellStyle name="Followed Hyperlink" xfId="14823" builtinId="9" hidden="1"/>
    <cellStyle name="Followed Hyperlink" xfId="14824" builtinId="9" hidden="1"/>
    <cellStyle name="Followed Hyperlink" xfId="14825" builtinId="9" hidden="1"/>
    <cellStyle name="Followed Hyperlink" xfId="14826" builtinId="9" hidden="1"/>
    <cellStyle name="Followed Hyperlink" xfId="14827" builtinId="9" hidden="1"/>
    <cellStyle name="Followed Hyperlink" xfId="14828" builtinId="9" hidden="1"/>
    <cellStyle name="Followed Hyperlink" xfId="14829" builtinId="9" hidden="1"/>
    <cellStyle name="Followed Hyperlink" xfId="14830" builtinId="9" hidden="1"/>
    <cellStyle name="Followed Hyperlink" xfId="14831" builtinId="9" hidden="1"/>
    <cellStyle name="Followed Hyperlink" xfId="14832" builtinId="9" hidden="1"/>
    <cellStyle name="Followed Hyperlink" xfId="14833" builtinId="9" hidden="1"/>
    <cellStyle name="Followed Hyperlink" xfId="14834" builtinId="9" hidden="1"/>
    <cellStyle name="Followed Hyperlink" xfId="14835" builtinId="9" hidden="1"/>
    <cellStyle name="Followed Hyperlink" xfId="14836" builtinId="9" hidden="1"/>
    <cellStyle name="Followed Hyperlink" xfId="14837" builtinId="9" hidden="1"/>
    <cellStyle name="Followed Hyperlink" xfId="14838" builtinId="9" hidden="1"/>
    <cellStyle name="Followed Hyperlink" xfId="14839" builtinId="9" hidden="1"/>
    <cellStyle name="Followed Hyperlink" xfId="14840" builtinId="9" hidden="1"/>
    <cellStyle name="Followed Hyperlink" xfId="14841" builtinId="9" hidden="1"/>
    <cellStyle name="Followed Hyperlink" xfId="14842" builtinId="9" hidden="1"/>
    <cellStyle name="Followed Hyperlink" xfId="14843" builtinId="9" hidden="1"/>
    <cellStyle name="Followed Hyperlink" xfId="14844" builtinId="9" hidden="1"/>
    <cellStyle name="Followed Hyperlink" xfId="14845" builtinId="9" hidden="1"/>
    <cellStyle name="Followed Hyperlink" xfId="14846" builtinId="9" hidden="1"/>
    <cellStyle name="Followed Hyperlink" xfId="14847" builtinId="9" hidden="1"/>
    <cellStyle name="Followed Hyperlink" xfId="14848" builtinId="9" hidden="1"/>
    <cellStyle name="Followed Hyperlink" xfId="14849" builtinId="9" hidden="1"/>
    <cellStyle name="Followed Hyperlink" xfId="14850" builtinId="9" hidden="1"/>
    <cellStyle name="Followed Hyperlink" xfId="14851" builtinId="9" hidden="1"/>
    <cellStyle name="Followed Hyperlink" xfId="14852" builtinId="9" hidden="1"/>
    <cellStyle name="Followed Hyperlink" xfId="14444" builtinId="9" hidden="1"/>
    <cellStyle name="Followed Hyperlink" xfId="14813" builtinId="9" hidden="1"/>
    <cellStyle name="Followed Hyperlink" xfId="14853" builtinId="9" hidden="1"/>
    <cellStyle name="Followed Hyperlink" xfId="14854" builtinId="9" hidden="1"/>
    <cellStyle name="Followed Hyperlink" xfId="14855" builtinId="9" hidden="1"/>
    <cellStyle name="Followed Hyperlink" xfId="14856" builtinId="9" hidden="1"/>
    <cellStyle name="Followed Hyperlink" xfId="14857" builtinId="9" hidden="1"/>
    <cellStyle name="Followed Hyperlink" xfId="14858" builtinId="9" hidden="1"/>
    <cellStyle name="Followed Hyperlink" xfId="14859" builtinId="9" hidden="1"/>
    <cellStyle name="Followed Hyperlink" xfId="14860" builtinId="9" hidden="1"/>
    <cellStyle name="Followed Hyperlink" xfId="14861" builtinId="9" hidden="1"/>
    <cellStyle name="Followed Hyperlink" xfId="14862" builtinId="9" hidden="1"/>
    <cellStyle name="Followed Hyperlink" xfId="14863" builtinId="9" hidden="1"/>
    <cellStyle name="Followed Hyperlink" xfId="14864" builtinId="9" hidden="1"/>
    <cellStyle name="Followed Hyperlink" xfId="14865" builtinId="9" hidden="1"/>
    <cellStyle name="Followed Hyperlink" xfId="14866" builtinId="9" hidden="1"/>
    <cellStyle name="Followed Hyperlink" xfId="14867" builtinId="9" hidden="1"/>
    <cellStyle name="Followed Hyperlink" xfId="14868" builtinId="9" hidden="1"/>
    <cellStyle name="Followed Hyperlink" xfId="14869" builtinId="9" hidden="1"/>
    <cellStyle name="Followed Hyperlink" xfId="14870" builtinId="9" hidden="1"/>
    <cellStyle name="Followed Hyperlink" xfId="14871" builtinId="9" hidden="1"/>
    <cellStyle name="Followed Hyperlink" xfId="14872" builtinId="9" hidden="1"/>
    <cellStyle name="Followed Hyperlink" xfId="14873" builtinId="9" hidden="1"/>
    <cellStyle name="Followed Hyperlink" xfId="14874" builtinId="9" hidden="1"/>
    <cellStyle name="Followed Hyperlink" xfId="14875" builtinId="9" hidden="1"/>
    <cellStyle name="Followed Hyperlink" xfId="14876" builtinId="9" hidden="1"/>
    <cellStyle name="Followed Hyperlink" xfId="14877" builtinId="9" hidden="1"/>
    <cellStyle name="Followed Hyperlink" xfId="14878" builtinId="9" hidden="1"/>
    <cellStyle name="Followed Hyperlink" xfId="14879" builtinId="9" hidden="1"/>
    <cellStyle name="Followed Hyperlink" xfId="14880" builtinId="9" hidden="1"/>
    <cellStyle name="Followed Hyperlink" xfId="14881" builtinId="9" hidden="1"/>
    <cellStyle name="Followed Hyperlink" xfId="14882" builtinId="9" hidden="1"/>
    <cellStyle name="Followed Hyperlink" xfId="14883" builtinId="9" hidden="1"/>
    <cellStyle name="Followed Hyperlink" xfId="14884" builtinId="9" hidden="1"/>
    <cellStyle name="Followed Hyperlink" xfId="14885" builtinId="9" hidden="1"/>
    <cellStyle name="Followed Hyperlink" xfId="14886" builtinId="9" hidden="1"/>
    <cellStyle name="Followed Hyperlink" xfId="14887" builtinId="9" hidden="1"/>
    <cellStyle name="Followed Hyperlink" xfId="14888" builtinId="9" hidden="1"/>
    <cellStyle name="Followed Hyperlink" xfId="14889" builtinId="9" hidden="1"/>
    <cellStyle name="Followed Hyperlink" xfId="14890" builtinId="9" hidden="1"/>
    <cellStyle name="Followed Hyperlink" xfId="14891" builtinId="9" hidden="1"/>
    <cellStyle name="Followed Hyperlink" xfId="13398" builtinId="9" hidden="1"/>
    <cellStyle name="Followed Hyperlink" xfId="13414" builtinId="9" hidden="1"/>
    <cellStyle name="Followed Hyperlink" xfId="14892" builtinId="9" hidden="1"/>
    <cellStyle name="Followed Hyperlink" xfId="14893" builtinId="9" hidden="1"/>
    <cellStyle name="Followed Hyperlink" xfId="14894" builtinId="9" hidden="1"/>
    <cellStyle name="Followed Hyperlink" xfId="14895" builtinId="9" hidden="1"/>
    <cellStyle name="Followed Hyperlink" xfId="14896" builtinId="9" hidden="1"/>
    <cellStyle name="Followed Hyperlink" xfId="14897" builtinId="9" hidden="1"/>
    <cellStyle name="Followed Hyperlink" xfId="14898" builtinId="9" hidden="1"/>
    <cellStyle name="Followed Hyperlink" xfId="14899" builtinId="9" hidden="1"/>
    <cellStyle name="Followed Hyperlink" xfId="14900" builtinId="9" hidden="1"/>
    <cellStyle name="Followed Hyperlink" xfId="14901" builtinId="9" hidden="1"/>
    <cellStyle name="Followed Hyperlink" xfId="14902" builtinId="9" hidden="1"/>
    <cellStyle name="Followed Hyperlink" xfId="14903" builtinId="9" hidden="1"/>
    <cellStyle name="Followed Hyperlink" xfId="14904" builtinId="9" hidden="1"/>
    <cellStyle name="Followed Hyperlink" xfId="14905" builtinId="9" hidden="1"/>
    <cellStyle name="Followed Hyperlink" xfId="14906" builtinId="9" hidden="1"/>
    <cellStyle name="Followed Hyperlink" xfId="14907" builtinId="9" hidden="1"/>
    <cellStyle name="Followed Hyperlink" xfId="14908" builtinId="9" hidden="1"/>
    <cellStyle name="Followed Hyperlink" xfId="14909" builtinId="9" hidden="1"/>
    <cellStyle name="Followed Hyperlink" xfId="14910" builtinId="9" hidden="1"/>
    <cellStyle name="Followed Hyperlink" xfId="14911" builtinId="9" hidden="1"/>
    <cellStyle name="Followed Hyperlink" xfId="14912" builtinId="9" hidden="1"/>
    <cellStyle name="Followed Hyperlink" xfId="14913" builtinId="9" hidden="1"/>
    <cellStyle name="Followed Hyperlink" xfId="14914" builtinId="9" hidden="1"/>
    <cellStyle name="Followed Hyperlink" xfId="14915" builtinId="9" hidden="1"/>
    <cellStyle name="Followed Hyperlink" xfId="14916" builtinId="9" hidden="1"/>
    <cellStyle name="Followed Hyperlink" xfId="14917" builtinId="9" hidden="1"/>
    <cellStyle name="Followed Hyperlink" xfId="14918" builtinId="9" hidden="1"/>
    <cellStyle name="Followed Hyperlink" xfId="14919" builtinId="9" hidden="1"/>
    <cellStyle name="Followed Hyperlink" xfId="14920" builtinId="9" hidden="1"/>
    <cellStyle name="Followed Hyperlink" xfId="14921" builtinId="9" hidden="1"/>
    <cellStyle name="Followed Hyperlink" xfId="14922" builtinId="9" hidden="1"/>
    <cellStyle name="Followed Hyperlink" xfId="14923" builtinId="9" hidden="1"/>
    <cellStyle name="Followed Hyperlink" xfId="14924" builtinId="9" hidden="1"/>
    <cellStyle name="Followed Hyperlink" xfId="14925" builtinId="9" hidden="1"/>
    <cellStyle name="Followed Hyperlink" xfId="14926" builtinId="9" hidden="1"/>
    <cellStyle name="Followed Hyperlink" xfId="14927" builtinId="9" hidden="1"/>
    <cellStyle name="Followed Hyperlink" xfId="14928" builtinId="9" hidden="1"/>
    <cellStyle name="Followed Hyperlink" xfId="14929" builtinId="9" hidden="1"/>
    <cellStyle name="Followed Hyperlink" xfId="14930" builtinId="9" hidden="1"/>
    <cellStyle name="Followed Hyperlink" xfId="14939" builtinId="9" hidden="1"/>
    <cellStyle name="Followed Hyperlink" xfId="14940" builtinId="9" hidden="1"/>
    <cellStyle name="Followed Hyperlink" xfId="14941" builtinId="9" hidden="1"/>
    <cellStyle name="Followed Hyperlink" xfId="14942" builtinId="9" hidden="1"/>
    <cellStyle name="Followed Hyperlink" xfId="14943" builtinId="9" hidden="1"/>
    <cellStyle name="Followed Hyperlink" xfId="14944" builtinId="9" hidden="1"/>
    <cellStyle name="Followed Hyperlink" xfId="14945" builtinId="9" hidden="1"/>
    <cellStyle name="Followed Hyperlink" xfId="14946" builtinId="9" hidden="1"/>
    <cellStyle name="Followed Hyperlink" xfId="14947" builtinId="9" hidden="1"/>
    <cellStyle name="Followed Hyperlink" xfId="14948" builtinId="9" hidden="1"/>
    <cellStyle name="Followed Hyperlink" xfId="14949" builtinId="9" hidden="1"/>
    <cellStyle name="Followed Hyperlink" xfId="14950" builtinId="9" hidden="1"/>
    <cellStyle name="Followed Hyperlink" xfId="14951" builtinId="9" hidden="1"/>
    <cellStyle name="Followed Hyperlink" xfId="14952" builtinId="9" hidden="1"/>
    <cellStyle name="Followed Hyperlink" xfId="14953" builtinId="9" hidden="1"/>
    <cellStyle name="Followed Hyperlink" xfId="14954" builtinId="9" hidden="1"/>
    <cellStyle name="Followed Hyperlink" xfId="14955" builtinId="9" hidden="1"/>
    <cellStyle name="Followed Hyperlink" xfId="14956" builtinId="9" hidden="1"/>
    <cellStyle name="Followed Hyperlink" xfId="14957" builtinId="9" hidden="1"/>
    <cellStyle name="Followed Hyperlink" xfId="14958" builtinId="9" hidden="1"/>
    <cellStyle name="Followed Hyperlink" xfId="14959" builtinId="9" hidden="1"/>
    <cellStyle name="Followed Hyperlink" xfId="14960" builtinId="9" hidden="1"/>
    <cellStyle name="Followed Hyperlink" xfId="14961" builtinId="9" hidden="1"/>
    <cellStyle name="Followed Hyperlink" xfId="14962" builtinId="9" hidden="1"/>
    <cellStyle name="Followed Hyperlink" xfId="14963" builtinId="9" hidden="1"/>
    <cellStyle name="Followed Hyperlink" xfId="14964" builtinId="9" hidden="1"/>
    <cellStyle name="Followed Hyperlink" xfId="14965" builtinId="9" hidden="1"/>
    <cellStyle name="Followed Hyperlink" xfId="14966" builtinId="9" hidden="1"/>
    <cellStyle name="Followed Hyperlink" xfId="14967" builtinId="9" hidden="1"/>
    <cellStyle name="Followed Hyperlink" xfId="14968" builtinId="9" hidden="1"/>
    <cellStyle name="Followed Hyperlink" xfId="14969" builtinId="9" hidden="1"/>
    <cellStyle name="Followed Hyperlink" xfId="14970" builtinId="9" hidden="1"/>
    <cellStyle name="Followed Hyperlink" xfId="14971" builtinId="9" hidden="1"/>
    <cellStyle name="Followed Hyperlink" xfId="14972" builtinId="9" hidden="1"/>
    <cellStyle name="Followed Hyperlink" xfId="14973" builtinId="9" hidden="1"/>
    <cellStyle name="Followed Hyperlink" xfId="14974" builtinId="9" hidden="1"/>
    <cellStyle name="Followed Hyperlink" xfId="14975" builtinId="9" hidden="1"/>
    <cellStyle name="Followed Hyperlink" xfId="14976" builtinId="9" hidden="1"/>
    <cellStyle name="Followed Hyperlink" xfId="14977" builtinId="9" hidden="1"/>
    <cellStyle name="Followed Hyperlink" xfId="14978" builtinId="9" hidden="1"/>
    <cellStyle name="Followed Hyperlink" xfId="14979" builtinId="9" hidden="1"/>
    <cellStyle name="Followed Hyperlink" xfId="14980" builtinId="9" hidden="1"/>
    <cellStyle name="Followed Hyperlink" xfId="14981" builtinId="9" hidden="1"/>
    <cellStyle name="Followed Hyperlink" xfId="14982" builtinId="9" hidden="1"/>
    <cellStyle name="Followed Hyperlink" xfId="14983" builtinId="9" hidden="1"/>
    <cellStyle name="Followed Hyperlink" xfId="14984" builtinId="9" hidden="1"/>
    <cellStyle name="Followed Hyperlink" xfId="14985" builtinId="9" hidden="1"/>
    <cellStyle name="Followed Hyperlink" xfId="14986" builtinId="9" hidden="1"/>
    <cellStyle name="Followed Hyperlink" xfId="14987" builtinId="9" hidden="1"/>
    <cellStyle name="Followed Hyperlink" xfId="14988" builtinId="9" hidden="1"/>
    <cellStyle name="Followed Hyperlink" xfId="14989" builtinId="9" hidden="1"/>
    <cellStyle name="Followed Hyperlink" xfId="14990" builtinId="9" hidden="1"/>
    <cellStyle name="Followed Hyperlink" xfId="14991" builtinId="9" hidden="1"/>
    <cellStyle name="Followed Hyperlink" xfId="14992" builtinId="9" hidden="1"/>
    <cellStyle name="Followed Hyperlink" xfId="14993" builtinId="9" hidden="1"/>
    <cellStyle name="Followed Hyperlink" xfId="14994" builtinId="9" hidden="1"/>
    <cellStyle name="Followed Hyperlink" xfId="14995" builtinId="9" hidden="1"/>
    <cellStyle name="Followed Hyperlink" xfId="14996" builtinId="9" hidden="1"/>
    <cellStyle name="Followed Hyperlink" xfId="14997" builtinId="9" hidden="1"/>
    <cellStyle name="Followed Hyperlink" xfId="14998" builtinId="9" hidden="1"/>
    <cellStyle name="Followed Hyperlink" xfId="14999" builtinId="9" hidden="1"/>
    <cellStyle name="Followed Hyperlink" xfId="15000" builtinId="9" hidden="1"/>
    <cellStyle name="Followed Hyperlink" xfId="15001" builtinId="9" hidden="1"/>
    <cellStyle name="Followed Hyperlink" xfId="15002" builtinId="9" hidden="1"/>
    <cellStyle name="Followed Hyperlink" xfId="15003" builtinId="9" hidden="1"/>
    <cellStyle name="Followed Hyperlink" xfId="15004" builtinId="9" hidden="1"/>
    <cellStyle name="Followed Hyperlink" xfId="15005" builtinId="9" hidden="1"/>
    <cellStyle name="Followed Hyperlink" xfId="15006" builtinId="9" hidden="1"/>
    <cellStyle name="Followed Hyperlink" xfId="15007" builtinId="9" hidden="1"/>
    <cellStyle name="Followed Hyperlink" xfId="15008" builtinId="9" hidden="1"/>
    <cellStyle name="Followed Hyperlink" xfId="15009" builtinId="9" hidden="1"/>
    <cellStyle name="Followed Hyperlink" xfId="15010" builtinId="9" hidden="1"/>
    <cellStyle name="Followed Hyperlink" xfId="15011" builtinId="9" hidden="1"/>
    <cellStyle name="Followed Hyperlink" xfId="15012" builtinId="9" hidden="1"/>
    <cellStyle name="Followed Hyperlink" xfId="15013" builtinId="9" hidden="1"/>
    <cellStyle name="Followed Hyperlink" xfId="15014" builtinId="9" hidden="1"/>
    <cellStyle name="Followed Hyperlink" xfId="15015" builtinId="9" hidden="1"/>
    <cellStyle name="Followed Hyperlink" xfId="15016" builtinId="9" hidden="1"/>
    <cellStyle name="Followed Hyperlink" xfId="15017" builtinId="9" hidden="1"/>
    <cellStyle name="Followed Hyperlink" xfId="15018" builtinId="9" hidden="1"/>
    <cellStyle name="Followed Hyperlink" xfId="15019" builtinId="9" hidden="1"/>
    <cellStyle name="Followed Hyperlink" xfId="15020" builtinId="9" hidden="1"/>
    <cellStyle name="Followed Hyperlink" xfId="15021" builtinId="9" hidden="1"/>
    <cellStyle name="Followed Hyperlink" xfId="15022" builtinId="9" hidden="1"/>
    <cellStyle name="Followed Hyperlink" xfId="15023" builtinId="9" hidden="1"/>
    <cellStyle name="Followed Hyperlink" xfId="15024" builtinId="9" hidden="1"/>
    <cellStyle name="Followed Hyperlink" xfId="15025" builtinId="9" hidden="1"/>
    <cellStyle name="Followed Hyperlink" xfId="15026" builtinId="9" hidden="1"/>
    <cellStyle name="Followed Hyperlink" xfId="15027" builtinId="9" hidden="1"/>
    <cellStyle name="Followed Hyperlink" xfId="15028" builtinId="9" hidden="1"/>
    <cellStyle name="Followed Hyperlink" xfId="15029" builtinId="9" hidden="1"/>
    <cellStyle name="Followed Hyperlink" xfId="15030" builtinId="9" hidden="1"/>
    <cellStyle name="Followed Hyperlink" xfId="15031" builtinId="9" hidden="1"/>
    <cellStyle name="Followed Hyperlink" xfId="15032" builtinId="9" hidden="1"/>
    <cellStyle name="Followed Hyperlink" xfId="15033" builtinId="9" hidden="1"/>
    <cellStyle name="Followed Hyperlink" xfId="15034" builtinId="9" hidden="1"/>
    <cellStyle name="Followed Hyperlink" xfId="15035" builtinId="9" hidden="1"/>
    <cellStyle name="Followed Hyperlink" xfId="15036" builtinId="9" hidden="1"/>
    <cellStyle name="Followed Hyperlink" xfId="15037" builtinId="9" hidden="1"/>
    <cellStyle name="Followed Hyperlink" xfId="15038" builtinId="9" hidden="1"/>
    <cellStyle name="Followed Hyperlink" xfId="15039" builtinId="9" hidden="1"/>
    <cellStyle name="Followed Hyperlink" xfId="15040" builtinId="9" hidden="1"/>
    <cellStyle name="Followed Hyperlink" xfId="15041" builtinId="9" hidden="1"/>
    <cellStyle name="Followed Hyperlink" xfId="15042" builtinId="9" hidden="1"/>
    <cellStyle name="Followed Hyperlink" xfId="15043" builtinId="9" hidden="1"/>
    <cellStyle name="Followed Hyperlink" xfId="15044" builtinId="9" hidden="1"/>
    <cellStyle name="Followed Hyperlink" xfId="15045" builtinId="9" hidden="1"/>
    <cellStyle name="Followed Hyperlink" xfId="15046" builtinId="9" hidden="1"/>
    <cellStyle name="Followed Hyperlink" xfId="15047" builtinId="9" hidden="1"/>
    <cellStyle name="Followed Hyperlink" xfId="15048" builtinId="9" hidden="1"/>
    <cellStyle name="Followed Hyperlink" xfId="15049" builtinId="9" hidden="1"/>
    <cellStyle name="Followed Hyperlink" xfId="15050" builtinId="9" hidden="1"/>
    <cellStyle name="Followed Hyperlink" xfId="15051" builtinId="9" hidden="1"/>
    <cellStyle name="Followed Hyperlink" xfId="15052" builtinId="9" hidden="1"/>
    <cellStyle name="Followed Hyperlink" xfId="15053" builtinId="9" hidden="1"/>
    <cellStyle name="Followed Hyperlink" xfId="15054" builtinId="9" hidden="1"/>
    <cellStyle name="Followed Hyperlink" xfId="15055" builtinId="9" hidden="1"/>
    <cellStyle name="Followed Hyperlink" xfId="15056" builtinId="9" hidden="1"/>
    <cellStyle name="Followed Hyperlink" xfId="15057" builtinId="9" hidden="1"/>
    <cellStyle name="Followed Hyperlink" xfId="15058" builtinId="9" hidden="1"/>
    <cellStyle name="Followed Hyperlink" xfId="15059" builtinId="9" hidden="1"/>
    <cellStyle name="Followed Hyperlink" xfId="15060" builtinId="9" hidden="1"/>
    <cellStyle name="Followed Hyperlink" xfId="15061" builtinId="9" hidden="1"/>
    <cellStyle name="Followed Hyperlink" xfId="14931" builtinId="9" hidden="1"/>
    <cellStyle name="Followed Hyperlink" xfId="13399" builtinId="9" hidden="1"/>
    <cellStyle name="Followed Hyperlink" xfId="15063" builtinId="9" hidden="1"/>
    <cellStyle name="Followed Hyperlink" xfId="15064" builtinId="9" hidden="1"/>
    <cellStyle name="Followed Hyperlink" xfId="15065" builtinId="9" hidden="1"/>
    <cellStyle name="Followed Hyperlink" xfId="15066" builtinId="9" hidden="1"/>
    <cellStyle name="Followed Hyperlink" xfId="15067" builtinId="9" hidden="1"/>
    <cellStyle name="Followed Hyperlink" xfId="15068" builtinId="9" hidden="1"/>
    <cellStyle name="Followed Hyperlink" xfId="15069" builtinId="9" hidden="1"/>
    <cellStyle name="Followed Hyperlink" xfId="15070" builtinId="9" hidden="1"/>
    <cellStyle name="Followed Hyperlink" xfId="15071" builtinId="9" hidden="1"/>
    <cellStyle name="Followed Hyperlink" xfId="15072" builtinId="9" hidden="1"/>
    <cellStyle name="Followed Hyperlink" xfId="15073" builtinId="9" hidden="1"/>
    <cellStyle name="Followed Hyperlink" xfId="15074" builtinId="9" hidden="1"/>
    <cellStyle name="Followed Hyperlink" xfId="15075" builtinId="9" hidden="1"/>
    <cellStyle name="Followed Hyperlink" xfId="15076" builtinId="9" hidden="1"/>
    <cellStyle name="Followed Hyperlink" xfId="15077" builtinId="9" hidden="1"/>
    <cellStyle name="Followed Hyperlink" xfId="15078" builtinId="9" hidden="1"/>
    <cellStyle name="Followed Hyperlink" xfId="15079" builtinId="9" hidden="1"/>
    <cellStyle name="Followed Hyperlink" xfId="15080" builtinId="9" hidden="1"/>
    <cellStyle name="Followed Hyperlink" xfId="15081" builtinId="9" hidden="1"/>
    <cellStyle name="Followed Hyperlink" xfId="15082" builtinId="9" hidden="1"/>
    <cellStyle name="Followed Hyperlink" xfId="15083" builtinId="9" hidden="1"/>
    <cellStyle name="Followed Hyperlink" xfId="15084" builtinId="9" hidden="1"/>
    <cellStyle name="Followed Hyperlink" xfId="15085" builtinId="9" hidden="1"/>
    <cellStyle name="Followed Hyperlink" xfId="15086" builtinId="9" hidden="1"/>
    <cellStyle name="Followed Hyperlink" xfId="15087" builtinId="9" hidden="1"/>
    <cellStyle name="Followed Hyperlink" xfId="15088" builtinId="9" hidden="1"/>
    <cellStyle name="Followed Hyperlink" xfId="15089" builtinId="9" hidden="1"/>
    <cellStyle name="Followed Hyperlink" xfId="15090" builtinId="9" hidden="1"/>
    <cellStyle name="Followed Hyperlink" xfId="15091" builtinId="9" hidden="1"/>
    <cellStyle name="Followed Hyperlink" xfId="15092" builtinId="9" hidden="1"/>
    <cellStyle name="Followed Hyperlink" xfId="15093" builtinId="9" hidden="1"/>
    <cellStyle name="Followed Hyperlink" xfId="15094" builtinId="9" hidden="1"/>
    <cellStyle name="Followed Hyperlink" xfId="15095" builtinId="9" hidden="1"/>
    <cellStyle name="Followed Hyperlink" xfId="15096" builtinId="9" hidden="1"/>
    <cellStyle name="Followed Hyperlink" xfId="15097" builtinId="9" hidden="1"/>
    <cellStyle name="Followed Hyperlink" xfId="15098" builtinId="9" hidden="1"/>
    <cellStyle name="Followed Hyperlink" xfId="15099" builtinId="9" hidden="1"/>
    <cellStyle name="Followed Hyperlink" xfId="15100" builtinId="9" hidden="1"/>
    <cellStyle name="Followed Hyperlink" xfId="15101" builtinId="9" hidden="1"/>
    <cellStyle name="Followed Hyperlink" xfId="14936" builtinId="9" hidden="1"/>
    <cellStyle name="Followed Hyperlink" xfId="15062" builtinId="9" hidden="1"/>
    <cellStyle name="Followed Hyperlink" xfId="15103" builtinId="9" hidden="1"/>
    <cellStyle name="Followed Hyperlink" xfId="15104" builtinId="9" hidden="1"/>
    <cellStyle name="Followed Hyperlink" xfId="15105" builtinId="9" hidden="1"/>
    <cellStyle name="Followed Hyperlink" xfId="15106" builtinId="9" hidden="1"/>
    <cellStyle name="Followed Hyperlink" xfId="15107" builtinId="9" hidden="1"/>
    <cellStyle name="Followed Hyperlink" xfId="15108" builtinId="9" hidden="1"/>
    <cellStyle name="Followed Hyperlink" xfId="15109" builtinId="9" hidden="1"/>
    <cellStyle name="Followed Hyperlink" xfId="15110" builtinId="9" hidden="1"/>
    <cellStyle name="Followed Hyperlink" xfId="15111" builtinId="9" hidden="1"/>
    <cellStyle name="Followed Hyperlink" xfId="15112" builtinId="9" hidden="1"/>
    <cellStyle name="Followed Hyperlink" xfId="15113" builtinId="9" hidden="1"/>
    <cellStyle name="Followed Hyperlink" xfId="15114" builtinId="9" hidden="1"/>
    <cellStyle name="Followed Hyperlink" xfId="15115" builtinId="9" hidden="1"/>
    <cellStyle name="Followed Hyperlink" xfId="15116" builtinId="9" hidden="1"/>
    <cellStyle name="Followed Hyperlink" xfId="15117" builtinId="9" hidden="1"/>
    <cellStyle name="Followed Hyperlink" xfId="15118" builtinId="9" hidden="1"/>
    <cellStyle name="Followed Hyperlink" xfId="15119" builtinId="9" hidden="1"/>
    <cellStyle name="Followed Hyperlink" xfId="15120" builtinId="9" hidden="1"/>
    <cellStyle name="Followed Hyperlink" xfId="15121" builtinId="9" hidden="1"/>
    <cellStyle name="Followed Hyperlink" xfId="15122" builtinId="9" hidden="1"/>
    <cellStyle name="Followed Hyperlink" xfId="15123" builtinId="9" hidden="1"/>
    <cellStyle name="Followed Hyperlink" xfId="15124" builtinId="9" hidden="1"/>
    <cellStyle name="Followed Hyperlink" xfId="15125" builtinId="9" hidden="1"/>
    <cellStyle name="Followed Hyperlink" xfId="15126" builtinId="9" hidden="1"/>
    <cellStyle name="Followed Hyperlink" xfId="15127" builtinId="9" hidden="1"/>
    <cellStyle name="Followed Hyperlink" xfId="15128" builtinId="9" hidden="1"/>
    <cellStyle name="Followed Hyperlink" xfId="15129" builtinId="9" hidden="1"/>
    <cellStyle name="Followed Hyperlink" xfId="15130" builtinId="9" hidden="1"/>
    <cellStyle name="Followed Hyperlink" xfId="15131" builtinId="9" hidden="1"/>
    <cellStyle name="Followed Hyperlink" xfId="15132" builtinId="9" hidden="1"/>
    <cellStyle name="Followed Hyperlink" xfId="15133" builtinId="9" hidden="1"/>
    <cellStyle name="Followed Hyperlink" xfId="15134" builtinId="9" hidden="1"/>
    <cellStyle name="Followed Hyperlink" xfId="15135" builtinId="9" hidden="1"/>
    <cellStyle name="Followed Hyperlink" xfId="15136" builtinId="9" hidden="1"/>
    <cellStyle name="Followed Hyperlink" xfId="15137" builtinId="9" hidden="1"/>
    <cellStyle name="Followed Hyperlink" xfId="15138" builtinId="9" hidden="1"/>
    <cellStyle name="Followed Hyperlink" xfId="15139" builtinId="9" hidden="1"/>
    <cellStyle name="Followed Hyperlink" xfId="15140" builtinId="9" hidden="1"/>
    <cellStyle name="Followed Hyperlink" xfId="15141" builtinId="9" hidden="1"/>
    <cellStyle name="Followed Hyperlink" xfId="14938" builtinId="9" hidden="1"/>
    <cellStyle name="Followed Hyperlink" xfId="15102" builtinId="9" hidden="1"/>
    <cellStyle name="Followed Hyperlink" xfId="15143" builtinId="9" hidden="1"/>
    <cellStyle name="Followed Hyperlink" xfId="15144" builtinId="9" hidden="1"/>
    <cellStyle name="Followed Hyperlink" xfId="15145" builtinId="9" hidden="1"/>
    <cellStyle name="Followed Hyperlink" xfId="15146" builtinId="9" hidden="1"/>
    <cellStyle name="Followed Hyperlink" xfId="15147" builtinId="9" hidden="1"/>
    <cellStyle name="Followed Hyperlink" xfId="15148" builtinId="9" hidden="1"/>
    <cellStyle name="Followed Hyperlink" xfId="15149" builtinId="9" hidden="1"/>
    <cellStyle name="Followed Hyperlink" xfId="15150" builtinId="9" hidden="1"/>
    <cellStyle name="Followed Hyperlink" xfId="15151" builtinId="9" hidden="1"/>
    <cellStyle name="Followed Hyperlink" xfId="15152" builtinId="9" hidden="1"/>
    <cellStyle name="Followed Hyperlink" xfId="15153" builtinId="9" hidden="1"/>
    <cellStyle name="Followed Hyperlink" xfId="15154" builtinId="9" hidden="1"/>
    <cellStyle name="Followed Hyperlink" xfId="15155" builtinId="9" hidden="1"/>
    <cellStyle name="Followed Hyperlink" xfId="15156" builtinId="9" hidden="1"/>
    <cellStyle name="Followed Hyperlink" xfId="15157" builtinId="9" hidden="1"/>
    <cellStyle name="Followed Hyperlink" xfId="15158" builtinId="9" hidden="1"/>
    <cellStyle name="Followed Hyperlink" xfId="15159" builtinId="9" hidden="1"/>
    <cellStyle name="Followed Hyperlink" xfId="15160" builtinId="9" hidden="1"/>
    <cellStyle name="Followed Hyperlink" xfId="15161" builtinId="9" hidden="1"/>
    <cellStyle name="Followed Hyperlink" xfId="15162" builtinId="9" hidden="1"/>
    <cellStyle name="Followed Hyperlink" xfId="15163" builtinId="9" hidden="1"/>
    <cellStyle name="Followed Hyperlink" xfId="15164" builtinId="9" hidden="1"/>
    <cellStyle name="Followed Hyperlink" xfId="15165" builtinId="9" hidden="1"/>
    <cellStyle name="Followed Hyperlink" xfId="15166" builtinId="9" hidden="1"/>
    <cellStyle name="Followed Hyperlink" xfId="15167" builtinId="9" hidden="1"/>
    <cellStyle name="Followed Hyperlink" xfId="15168" builtinId="9" hidden="1"/>
    <cellStyle name="Followed Hyperlink" xfId="15169" builtinId="9" hidden="1"/>
    <cellStyle name="Followed Hyperlink" xfId="15170" builtinId="9" hidden="1"/>
    <cellStyle name="Followed Hyperlink" xfId="15171" builtinId="9" hidden="1"/>
    <cellStyle name="Followed Hyperlink" xfId="15172" builtinId="9" hidden="1"/>
    <cellStyle name="Followed Hyperlink" xfId="15173" builtinId="9" hidden="1"/>
    <cellStyle name="Followed Hyperlink" xfId="15174" builtinId="9" hidden="1"/>
    <cellStyle name="Followed Hyperlink" xfId="15175" builtinId="9" hidden="1"/>
    <cellStyle name="Followed Hyperlink" xfId="15176" builtinId="9" hidden="1"/>
    <cellStyle name="Followed Hyperlink" xfId="15177" builtinId="9" hidden="1"/>
    <cellStyle name="Followed Hyperlink" xfId="15178" builtinId="9" hidden="1"/>
    <cellStyle name="Followed Hyperlink" xfId="15179" builtinId="9" hidden="1"/>
    <cellStyle name="Followed Hyperlink" xfId="15180" builtinId="9" hidden="1"/>
    <cellStyle name="Followed Hyperlink" xfId="15181" builtinId="9" hidden="1"/>
    <cellStyle name="Followed Hyperlink" xfId="14932" builtinId="9" hidden="1"/>
    <cellStyle name="Followed Hyperlink" xfId="15142" builtinId="9" hidden="1"/>
    <cellStyle name="Followed Hyperlink" xfId="15183" builtinId="9" hidden="1"/>
    <cellStyle name="Followed Hyperlink" xfId="15184" builtinId="9" hidden="1"/>
    <cellStyle name="Followed Hyperlink" xfId="15185" builtinId="9" hidden="1"/>
    <cellStyle name="Followed Hyperlink" xfId="15186" builtinId="9" hidden="1"/>
    <cellStyle name="Followed Hyperlink" xfId="15187" builtinId="9" hidden="1"/>
    <cellStyle name="Followed Hyperlink" xfId="15188" builtinId="9" hidden="1"/>
    <cellStyle name="Followed Hyperlink" xfId="15189" builtinId="9" hidden="1"/>
    <cellStyle name="Followed Hyperlink" xfId="15190" builtinId="9" hidden="1"/>
    <cellStyle name="Followed Hyperlink" xfId="15191" builtinId="9" hidden="1"/>
    <cellStyle name="Followed Hyperlink" xfId="15192" builtinId="9" hidden="1"/>
    <cellStyle name="Followed Hyperlink" xfId="15193" builtinId="9" hidden="1"/>
    <cellStyle name="Followed Hyperlink" xfId="15194" builtinId="9" hidden="1"/>
    <cellStyle name="Followed Hyperlink" xfId="15195" builtinId="9" hidden="1"/>
    <cellStyle name="Followed Hyperlink" xfId="15196" builtinId="9" hidden="1"/>
    <cellStyle name="Followed Hyperlink" xfId="15197" builtinId="9" hidden="1"/>
    <cellStyle name="Followed Hyperlink" xfId="15198" builtinId="9" hidden="1"/>
    <cellStyle name="Followed Hyperlink" xfId="15199" builtinId="9" hidden="1"/>
    <cellStyle name="Followed Hyperlink" xfId="15200" builtinId="9" hidden="1"/>
    <cellStyle name="Followed Hyperlink" xfId="15201" builtinId="9" hidden="1"/>
    <cellStyle name="Followed Hyperlink" xfId="15202" builtinId="9" hidden="1"/>
    <cellStyle name="Followed Hyperlink" xfId="15203" builtinId="9" hidden="1"/>
    <cellStyle name="Followed Hyperlink" xfId="15204" builtinId="9" hidden="1"/>
    <cellStyle name="Followed Hyperlink" xfId="15205" builtinId="9" hidden="1"/>
    <cellStyle name="Followed Hyperlink" xfId="15206" builtinId="9" hidden="1"/>
    <cellStyle name="Followed Hyperlink" xfId="15207" builtinId="9" hidden="1"/>
    <cellStyle name="Followed Hyperlink" xfId="15208" builtinId="9" hidden="1"/>
    <cellStyle name="Followed Hyperlink" xfId="15209" builtinId="9" hidden="1"/>
    <cellStyle name="Followed Hyperlink" xfId="15210" builtinId="9" hidden="1"/>
    <cellStyle name="Followed Hyperlink" xfId="15211" builtinId="9" hidden="1"/>
    <cellStyle name="Followed Hyperlink" xfId="15212" builtinId="9" hidden="1"/>
    <cellStyle name="Followed Hyperlink" xfId="15213" builtinId="9" hidden="1"/>
    <cellStyle name="Followed Hyperlink" xfId="15214" builtinId="9" hidden="1"/>
    <cellStyle name="Followed Hyperlink" xfId="15215" builtinId="9" hidden="1"/>
    <cellStyle name="Followed Hyperlink" xfId="15216" builtinId="9" hidden="1"/>
    <cellStyle name="Followed Hyperlink" xfId="15217" builtinId="9" hidden="1"/>
    <cellStyle name="Followed Hyperlink" xfId="15218" builtinId="9" hidden="1"/>
    <cellStyle name="Followed Hyperlink" xfId="15219" builtinId="9" hidden="1"/>
    <cellStyle name="Followed Hyperlink" xfId="15220" builtinId="9" hidden="1"/>
    <cellStyle name="Followed Hyperlink" xfId="15221" builtinId="9" hidden="1"/>
    <cellStyle name="Followed Hyperlink" xfId="14934" builtinId="9" hidden="1"/>
    <cellStyle name="Followed Hyperlink" xfId="15182" builtinId="9" hidden="1"/>
    <cellStyle name="Followed Hyperlink" xfId="15223" builtinId="9" hidden="1"/>
    <cellStyle name="Followed Hyperlink" xfId="15224" builtinId="9" hidden="1"/>
    <cellStyle name="Followed Hyperlink" xfId="15225" builtinId="9" hidden="1"/>
    <cellStyle name="Followed Hyperlink" xfId="15226" builtinId="9" hidden="1"/>
    <cellStyle name="Followed Hyperlink" xfId="15227" builtinId="9" hidden="1"/>
    <cellStyle name="Followed Hyperlink" xfId="15228" builtinId="9" hidden="1"/>
    <cellStyle name="Followed Hyperlink" xfId="15229" builtinId="9" hidden="1"/>
    <cellStyle name="Followed Hyperlink" xfId="15230" builtinId="9" hidden="1"/>
    <cellStyle name="Followed Hyperlink" xfId="15231" builtinId="9" hidden="1"/>
    <cellStyle name="Followed Hyperlink" xfId="15232" builtinId="9" hidden="1"/>
    <cellStyle name="Followed Hyperlink" xfId="15233" builtinId="9" hidden="1"/>
    <cellStyle name="Followed Hyperlink" xfId="15234" builtinId="9" hidden="1"/>
    <cellStyle name="Followed Hyperlink" xfId="15235" builtinId="9" hidden="1"/>
    <cellStyle name="Followed Hyperlink" xfId="15236" builtinId="9" hidden="1"/>
    <cellStyle name="Followed Hyperlink" xfId="15237" builtinId="9" hidden="1"/>
    <cellStyle name="Followed Hyperlink" xfId="15238" builtinId="9" hidden="1"/>
    <cellStyle name="Followed Hyperlink" xfId="15239" builtinId="9" hidden="1"/>
    <cellStyle name="Followed Hyperlink" xfId="15240" builtinId="9" hidden="1"/>
    <cellStyle name="Followed Hyperlink" xfId="15241" builtinId="9" hidden="1"/>
    <cellStyle name="Followed Hyperlink" xfId="15242" builtinId="9" hidden="1"/>
    <cellStyle name="Followed Hyperlink" xfId="15243" builtinId="9" hidden="1"/>
    <cellStyle name="Followed Hyperlink" xfId="15244" builtinId="9" hidden="1"/>
    <cellStyle name="Followed Hyperlink" xfId="15245" builtinId="9" hidden="1"/>
    <cellStyle name="Followed Hyperlink" xfId="15246" builtinId="9" hidden="1"/>
    <cellStyle name="Followed Hyperlink" xfId="15247" builtinId="9" hidden="1"/>
    <cellStyle name="Followed Hyperlink" xfId="15248" builtinId="9" hidden="1"/>
    <cellStyle name="Followed Hyperlink" xfId="15249" builtinId="9" hidden="1"/>
    <cellStyle name="Followed Hyperlink" xfId="15250" builtinId="9" hidden="1"/>
    <cellStyle name="Followed Hyperlink" xfId="15251" builtinId="9" hidden="1"/>
    <cellStyle name="Followed Hyperlink" xfId="15252" builtinId="9" hidden="1"/>
    <cellStyle name="Followed Hyperlink" xfId="15253" builtinId="9" hidden="1"/>
    <cellStyle name="Followed Hyperlink" xfId="15254" builtinId="9" hidden="1"/>
    <cellStyle name="Followed Hyperlink" xfId="15255" builtinId="9" hidden="1"/>
    <cellStyle name="Followed Hyperlink" xfId="15256" builtinId="9" hidden="1"/>
    <cellStyle name="Followed Hyperlink" xfId="15257" builtinId="9" hidden="1"/>
    <cellStyle name="Followed Hyperlink" xfId="15258" builtinId="9" hidden="1"/>
    <cellStyle name="Followed Hyperlink" xfId="15259" builtinId="9" hidden="1"/>
    <cellStyle name="Followed Hyperlink" xfId="15260" builtinId="9" hidden="1"/>
    <cellStyle name="Followed Hyperlink" xfId="15261" builtinId="9" hidden="1"/>
    <cellStyle name="Followed Hyperlink" xfId="14935" builtinId="9" hidden="1"/>
    <cellStyle name="Followed Hyperlink" xfId="15222" builtinId="9" hidden="1"/>
    <cellStyle name="Followed Hyperlink" xfId="15263" builtinId="9" hidden="1"/>
    <cellStyle name="Followed Hyperlink" xfId="15264" builtinId="9" hidden="1"/>
    <cellStyle name="Followed Hyperlink" xfId="15265" builtinId="9" hidden="1"/>
    <cellStyle name="Followed Hyperlink" xfId="15266" builtinId="9" hidden="1"/>
    <cellStyle name="Followed Hyperlink" xfId="15267" builtinId="9" hidden="1"/>
    <cellStyle name="Followed Hyperlink" xfId="15268" builtinId="9" hidden="1"/>
    <cellStyle name="Followed Hyperlink" xfId="15269" builtinId="9" hidden="1"/>
    <cellStyle name="Followed Hyperlink" xfId="15270" builtinId="9" hidden="1"/>
    <cellStyle name="Followed Hyperlink" xfId="15271" builtinId="9" hidden="1"/>
    <cellStyle name="Followed Hyperlink" xfId="15272" builtinId="9" hidden="1"/>
    <cellStyle name="Followed Hyperlink" xfId="15273" builtinId="9" hidden="1"/>
    <cellStyle name="Followed Hyperlink" xfId="15274" builtinId="9" hidden="1"/>
    <cellStyle name="Followed Hyperlink" xfId="15275" builtinId="9" hidden="1"/>
    <cellStyle name="Followed Hyperlink" xfId="15276" builtinId="9" hidden="1"/>
    <cellStyle name="Followed Hyperlink" xfId="15277" builtinId="9" hidden="1"/>
    <cellStyle name="Followed Hyperlink" xfId="15278" builtinId="9" hidden="1"/>
    <cellStyle name="Followed Hyperlink" xfId="15279" builtinId="9" hidden="1"/>
    <cellStyle name="Followed Hyperlink" xfId="15280" builtinId="9" hidden="1"/>
    <cellStyle name="Followed Hyperlink" xfId="15281" builtinId="9" hidden="1"/>
    <cellStyle name="Followed Hyperlink" xfId="15282" builtinId="9" hidden="1"/>
    <cellStyle name="Followed Hyperlink" xfId="15283" builtinId="9" hidden="1"/>
    <cellStyle name="Followed Hyperlink" xfId="15284" builtinId="9" hidden="1"/>
    <cellStyle name="Followed Hyperlink" xfId="15285" builtinId="9" hidden="1"/>
    <cellStyle name="Followed Hyperlink" xfId="15286" builtinId="9" hidden="1"/>
    <cellStyle name="Followed Hyperlink" xfId="15287" builtinId="9" hidden="1"/>
    <cellStyle name="Followed Hyperlink" xfId="15288" builtinId="9" hidden="1"/>
    <cellStyle name="Followed Hyperlink" xfId="15289" builtinId="9" hidden="1"/>
    <cellStyle name="Followed Hyperlink" xfId="15290" builtinId="9" hidden="1"/>
    <cellStyle name="Followed Hyperlink" xfId="15291" builtinId="9" hidden="1"/>
    <cellStyle name="Followed Hyperlink" xfId="15292" builtinId="9" hidden="1"/>
    <cellStyle name="Followed Hyperlink" xfId="15293" builtinId="9" hidden="1"/>
    <cellStyle name="Followed Hyperlink" xfId="15294" builtinId="9" hidden="1"/>
    <cellStyle name="Followed Hyperlink" xfId="15295" builtinId="9" hidden="1"/>
    <cellStyle name="Followed Hyperlink" xfId="15296" builtinId="9" hidden="1"/>
    <cellStyle name="Followed Hyperlink" xfId="15297" builtinId="9" hidden="1"/>
    <cellStyle name="Followed Hyperlink" xfId="15298" builtinId="9" hidden="1"/>
    <cellStyle name="Followed Hyperlink" xfId="15299" builtinId="9" hidden="1"/>
    <cellStyle name="Followed Hyperlink" xfId="15300" builtinId="9" hidden="1"/>
    <cellStyle name="Followed Hyperlink" xfId="15301" builtinId="9" hidden="1"/>
    <cellStyle name="Followed Hyperlink" xfId="14937" builtinId="9" hidden="1"/>
    <cellStyle name="Followed Hyperlink" xfId="15262" builtinId="9" hidden="1"/>
    <cellStyle name="Followed Hyperlink" xfId="15303" builtinId="9" hidden="1"/>
    <cellStyle name="Followed Hyperlink" xfId="15304" builtinId="9" hidden="1"/>
    <cellStyle name="Followed Hyperlink" xfId="15305" builtinId="9" hidden="1"/>
    <cellStyle name="Followed Hyperlink" xfId="15306" builtinId="9" hidden="1"/>
    <cellStyle name="Followed Hyperlink" xfId="15307" builtinId="9" hidden="1"/>
    <cellStyle name="Followed Hyperlink" xfId="15308" builtinId="9" hidden="1"/>
    <cellStyle name="Followed Hyperlink" xfId="15309" builtinId="9" hidden="1"/>
    <cellStyle name="Followed Hyperlink" xfId="15310" builtinId="9" hidden="1"/>
    <cellStyle name="Followed Hyperlink" xfId="15311" builtinId="9" hidden="1"/>
    <cellStyle name="Followed Hyperlink" xfId="15312" builtinId="9" hidden="1"/>
    <cellStyle name="Followed Hyperlink" xfId="15313" builtinId="9" hidden="1"/>
    <cellStyle name="Followed Hyperlink" xfId="15314" builtinId="9" hidden="1"/>
    <cellStyle name="Followed Hyperlink" xfId="15315" builtinId="9" hidden="1"/>
    <cellStyle name="Followed Hyperlink" xfId="15316" builtinId="9" hidden="1"/>
    <cellStyle name="Followed Hyperlink" xfId="15317" builtinId="9" hidden="1"/>
    <cellStyle name="Followed Hyperlink" xfId="15318" builtinId="9" hidden="1"/>
    <cellStyle name="Followed Hyperlink" xfId="15319" builtinId="9" hidden="1"/>
    <cellStyle name="Followed Hyperlink" xfId="15320" builtinId="9" hidden="1"/>
    <cellStyle name="Followed Hyperlink" xfId="15321" builtinId="9" hidden="1"/>
    <cellStyle name="Followed Hyperlink" xfId="15322" builtinId="9" hidden="1"/>
    <cellStyle name="Followed Hyperlink" xfId="15323" builtinId="9" hidden="1"/>
    <cellStyle name="Followed Hyperlink" xfId="15324" builtinId="9" hidden="1"/>
    <cellStyle name="Followed Hyperlink" xfId="15325" builtinId="9" hidden="1"/>
    <cellStyle name="Followed Hyperlink" xfId="15326" builtinId="9" hidden="1"/>
    <cellStyle name="Followed Hyperlink" xfId="15327" builtinId="9" hidden="1"/>
    <cellStyle name="Followed Hyperlink" xfId="15328" builtinId="9" hidden="1"/>
    <cellStyle name="Followed Hyperlink" xfId="15329" builtinId="9" hidden="1"/>
    <cellStyle name="Followed Hyperlink" xfId="15330" builtinId="9" hidden="1"/>
    <cellStyle name="Followed Hyperlink" xfId="15331" builtinId="9" hidden="1"/>
    <cellStyle name="Followed Hyperlink" xfId="15332" builtinId="9" hidden="1"/>
    <cellStyle name="Followed Hyperlink" xfId="15333" builtinId="9" hidden="1"/>
    <cellStyle name="Followed Hyperlink" xfId="15334" builtinId="9" hidden="1"/>
    <cellStyle name="Followed Hyperlink" xfId="15335" builtinId="9" hidden="1"/>
    <cellStyle name="Followed Hyperlink" xfId="15336" builtinId="9" hidden="1"/>
    <cellStyle name="Followed Hyperlink" xfId="15337" builtinId="9" hidden="1"/>
    <cellStyle name="Followed Hyperlink" xfId="15338" builtinId="9" hidden="1"/>
    <cellStyle name="Followed Hyperlink" xfId="15339" builtinId="9" hidden="1"/>
    <cellStyle name="Followed Hyperlink" xfId="15340" builtinId="9" hidden="1"/>
    <cellStyle name="Followed Hyperlink" xfId="15341" builtinId="9" hidden="1"/>
    <cellStyle name="Followed Hyperlink" xfId="14933" builtinId="9" hidden="1"/>
    <cellStyle name="Followed Hyperlink" xfId="15302" builtinId="9" hidden="1"/>
    <cellStyle name="Followed Hyperlink" xfId="15342" builtinId="9" hidden="1"/>
    <cellStyle name="Followed Hyperlink" xfId="15343" builtinId="9" hidden="1"/>
    <cellStyle name="Followed Hyperlink" xfId="15344" builtinId="9" hidden="1"/>
    <cellStyle name="Followed Hyperlink" xfId="15345" builtinId="9" hidden="1"/>
    <cellStyle name="Followed Hyperlink" xfId="15346" builtinId="9" hidden="1"/>
    <cellStyle name="Followed Hyperlink" xfId="15347" builtinId="9" hidden="1"/>
    <cellStyle name="Followed Hyperlink" xfId="15348" builtinId="9" hidden="1"/>
    <cellStyle name="Followed Hyperlink" xfId="15349" builtinId="9" hidden="1"/>
    <cellStyle name="Followed Hyperlink" xfId="15350" builtinId="9" hidden="1"/>
    <cellStyle name="Followed Hyperlink" xfId="15351" builtinId="9" hidden="1"/>
    <cellStyle name="Followed Hyperlink" xfId="15352" builtinId="9" hidden="1"/>
    <cellStyle name="Followed Hyperlink" xfId="15353" builtinId="9" hidden="1"/>
    <cellStyle name="Followed Hyperlink" xfId="15354" builtinId="9" hidden="1"/>
    <cellStyle name="Followed Hyperlink" xfId="15355" builtinId="9" hidden="1"/>
    <cellStyle name="Followed Hyperlink" xfId="15356" builtinId="9" hidden="1"/>
    <cellStyle name="Followed Hyperlink" xfId="15357" builtinId="9" hidden="1"/>
    <cellStyle name="Followed Hyperlink" xfId="15358" builtinId="9" hidden="1"/>
    <cellStyle name="Followed Hyperlink" xfId="15359" builtinId="9" hidden="1"/>
    <cellStyle name="Followed Hyperlink" xfId="15360" builtinId="9" hidden="1"/>
    <cellStyle name="Followed Hyperlink" xfId="15361" builtinId="9" hidden="1"/>
    <cellStyle name="Followed Hyperlink" xfId="15362" builtinId="9" hidden="1"/>
    <cellStyle name="Followed Hyperlink" xfId="15363" builtinId="9" hidden="1"/>
    <cellStyle name="Followed Hyperlink" xfId="15364" builtinId="9" hidden="1"/>
    <cellStyle name="Followed Hyperlink" xfId="15365" builtinId="9" hidden="1"/>
    <cellStyle name="Followed Hyperlink" xfId="15366" builtinId="9" hidden="1"/>
    <cellStyle name="Followed Hyperlink" xfId="15367" builtinId="9" hidden="1"/>
    <cellStyle name="Followed Hyperlink" xfId="15368" builtinId="9" hidden="1"/>
    <cellStyle name="Followed Hyperlink" xfId="15369" builtinId="9" hidden="1"/>
    <cellStyle name="Followed Hyperlink" xfId="15370" builtinId="9" hidden="1"/>
    <cellStyle name="Followed Hyperlink" xfId="15371" builtinId="9" hidden="1"/>
    <cellStyle name="Followed Hyperlink" xfId="15372" builtinId="9" hidden="1"/>
    <cellStyle name="Followed Hyperlink" xfId="15373" builtinId="9" hidden="1"/>
    <cellStyle name="Followed Hyperlink" xfId="15374" builtinId="9" hidden="1"/>
    <cellStyle name="Followed Hyperlink" xfId="15375" builtinId="9" hidden="1"/>
    <cellStyle name="Followed Hyperlink" xfId="15376" builtinId="9" hidden="1"/>
    <cellStyle name="Followed Hyperlink" xfId="15377" builtinId="9" hidden="1"/>
    <cellStyle name="Followed Hyperlink" xfId="15378" builtinId="9" hidden="1"/>
    <cellStyle name="Followed Hyperlink" xfId="15379" builtinId="9" hidden="1"/>
    <cellStyle name="Followed Hyperlink" xfId="15380" builtinId="9" hidden="1"/>
    <cellStyle name="Followed Hyperlink" xfId="13418" builtinId="9" hidden="1"/>
    <cellStyle name="Followed Hyperlink" xfId="13400" builtinId="9" hidden="1"/>
    <cellStyle name="Followed Hyperlink" xfId="15381" builtinId="9" hidden="1"/>
    <cellStyle name="Followed Hyperlink" xfId="15382" builtinId="9" hidden="1"/>
    <cellStyle name="Followed Hyperlink" xfId="15383" builtinId="9" hidden="1"/>
    <cellStyle name="Followed Hyperlink" xfId="15384" builtinId="9" hidden="1"/>
    <cellStyle name="Followed Hyperlink" xfId="15385" builtinId="9" hidden="1"/>
    <cellStyle name="Followed Hyperlink" xfId="15386" builtinId="9" hidden="1"/>
    <cellStyle name="Followed Hyperlink" xfId="15387" builtinId="9" hidden="1"/>
    <cellStyle name="Followed Hyperlink" xfId="15388" builtinId="9" hidden="1"/>
    <cellStyle name="Followed Hyperlink" xfId="15389" builtinId="9" hidden="1"/>
    <cellStyle name="Followed Hyperlink" xfId="15390" builtinId="9" hidden="1"/>
    <cellStyle name="Followed Hyperlink" xfId="15391" builtinId="9" hidden="1"/>
    <cellStyle name="Followed Hyperlink" xfId="15392" builtinId="9" hidden="1"/>
    <cellStyle name="Followed Hyperlink" xfId="15393" builtinId="9" hidden="1"/>
    <cellStyle name="Followed Hyperlink" xfId="15394" builtinId="9" hidden="1"/>
    <cellStyle name="Followed Hyperlink" xfId="15395" builtinId="9" hidden="1"/>
    <cellStyle name="Followed Hyperlink" xfId="15396" builtinId="9" hidden="1"/>
    <cellStyle name="Followed Hyperlink" xfId="15397" builtinId="9" hidden="1"/>
    <cellStyle name="Followed Hyperlink" xfId="15398" builtinId="9" hidden="1"/>
    <cellStyle name="Followed Hyperlink" xfId="15399" builtinId="9" hidden="1"/>
    <cellStyle name="Followed Hyperlink" xfId="15400" builtinId="9" hidden="1"/>
    <cellStyle name="Followed Hyperlink" xfId="15401" builtinId="9" hidden="1"/>
    <cellStyle name="Followed Hyperlink" xfId="15402" builtinId="9" hidden="1"/>
    <cellStyle name="Followed Hyperlink" xfId="15403" builtinId="9" hidden="1"/>
    <cellStyle name="Followed Hyperlink" xfId="15404" builtinId="9" hidden="1"/>
    <cellStyle name="Followed Hyperlink" xfId="15405" builtinId="9" hidden="1"/>
    <cellStyle name="Followed Hyperlink" xfId="15406" builtinId="9" hidden="1"/>
    <cellStyle name="Followed Hyperlink" xfId="15407" builtinId="9" hidden="1"/>
    <cellStyle name="Followed Hyperlink" xfId="15408" builtinId="9" hidden="1"/>
    <cellStyle name="Followed Hyperlink" xfId="15409" builtinId="9" hidden="1"/>
    <cellStyle name="Followed Hyperlink" xfId="15410" builtinId="9" hidden="1"/>
    <cellStyle name="Followed Hyperlink" xfId="15411" builtinId="9" hidden="1"/>
    <cellStyle name="Followed Hyperlink" xfId="15412" builtinId="9" hidden="1"/>
    <cellStyle name="Followed Hyperlink" xfId="15413" builtinId="9" hidden="1"/>
    <cellStyle name="Followed Hyperlink" xfId="15414" builtinId="9" hidden="1"/>
    <cellStyle name="Followed Hyperlink" xfId="15415" builtinId="9" hidden="1"/>
    <cellStyle name="Followed Hyperlink" xfId="15416" builtinId="9" hidden="1"/>
    <cellStyle name="Followed Hyperlink" xfId="15417" builtinId="9" hidden="1"/>
    <cellStyle name="Followed Hyperlink" xfId="15418" builtinId="9" hidden="1"/>
    <cellStyle name="Followed Hyperlink" xfId="15419" builtinId="9" hidden="1"/>
    <cellStyle name="Followed Hyperlink" xfId="15428" builtinId="9" hidden="1"/>
    <cellStyle name="Followed Hyperlink" xfId="15429" builtinId="9" hidden="1"/>
    <cellStyle name="Followed Hyperlink" xfId="15430" builtinId="9" hidden="1"/>
    <cellStyle name="Followed Hyperlink" xfId="15431" builtinId="9" hidden="1"/>
    <cellStyle name="Followed Hyperlink" xfId="15432" builtinId="9" hidden="1"/>
    <cellStyle name="Followed Hyperlink" xfId="15433" builtinId="9" hidden="1"/>
    <cellStyle name="Followed Hyperlink" xfId="15434" builtinId="9" hidden="1"/>
    <cellStyle name="Followed Hyperlink" xfId="15435" builtinId="9" hidden="1"/>
    <cellStyle name="Followed Hyperlink" xfId="15436" builtinId="9" hidden="1"/>
    <cellStyle name="Followed Hyperlink" xfId="15437" builtinId="9" hidden="1"/>
    <cellStyle name="Followed Hyperlink" xfId="15438" builtinId="9" hidden="1"/>
    <cellStyle name="Followed Hyperlink" xfId="15439" builtinId="9" hidden="1"/>
    <cellStyle name="Followed Hyperlink" xfId="15440" builtinId="9" hidden="1"/>
    <cellStyle name="Followed Hyperlink" xfId="15441" builtinId="9" hidden="1"/>
    <cellStyle name="Followed Hyperlink" xfId="15442" builtinId="9" hidden="1"/>
    <cellStyle name="Followed Hyperlink" xfId="15443" builtinId="9" hidden="1"/>
    <cellStyle name="Followed Hyperlink" xfId="15444" builtinId="9" hidden="1"/>
    <cellStyle name="Followed Hyperlink" xfId="15445" builtinId="9" hidden="1"/>
    <cellStyle name="Followed Hyperlink" xfId="15446" builtinId="9" hidden="1"/>
    <cellStyle name="Followed Hyperlink" xfId="15447" builtinId="9" hidden="1"/>
    <cellStyle name="Followed Hyperlink" xfId="15448" builtinId="9" hidden="1"/>
    <cellStyle name="Followed Hyperlink" xfId="15449" builtinId="9" hidden="1"/>
    <cellStyle name="Followed Hyperlink" xfId="15450" builtinId="9" hidden="1"/>
    <cellStyle name="Followed Hyperlink" xfId="15451" builtinId="9" hidden="1"/>
    <cellStyle name="Followed Hyperlink" xfId="15452" builtinId="9" hidden="1"/>
    <cellStyle name="Followed Hyperlink" xfId="15453" builtinId="9" hidden="1"/>
    <cellStyle name="Followed Hyperlink" xfId="15454" builtinId="9" hidden="1"/>
    <cellStyle name="Followed Hyperlink" xfId="15455" builtinId="9" hidden="1"/>
    <cellStyle name="Followed Hyperlink" xfId="15456" builtinId="9" hidden="1"/>
    <cellStyle name="Followed Hyperlink" xfId="15457" builtinId="9" hidden="1"/>
    <cellStyle name="Followed Hyperlink" xfId="15458" builtinId="9" hidden="1"/>
    <cellStyle name="Followed Hyperlink" xfId="15459" builtinId="9" hidden="1"/>
    <cellStyle name="Followed Hyperlink" xfId="15460" builtinId="9" hidden="1"/>
    <cellStyle name="Followed Hyperlink" xfId="15461" builtinId="9" hidden="1"/>
    <cellStyle name="Followed Hyperlink" xfId="15462" builtinId="9" hidden="1"/>
    <cellStyle name="Followed Hyperlink" xfId="15463" builtinId="9" hidden="1"/>
    <cellStyle name="Followed Hyperlink" xfId="15464" builtinId="9" hidden="1"/>
    <cellStyle name="Followed Hyperlink" xfId="15465" builtinId="9" hidden="1"/>
    <cellStyle name="Followed Hyperlink" xfId="15466" builtinId="9" hidden="1"/>
    <cellStyle name="Followed Hyperlink" xfId="15467" builtinId="9" hidden="1"/>
    <cellStyle name="Followed Hyperlink" xfId="15468" builtinId="9" hidden="1"/>
    <cellStyle name="Followed Hyperlink" xfId="15469" builtinId="9" hidden="1"/>
    <cellStyle name="Followed Hyperlink" xfId="15470" builtinId="9" hidden="1"/>
    <cellStyle name="Followed Hyperlink" xfId="15471" builtinId="9" hidden="1"/>
    <cellStyle name="Followed Hyperlink" xfId="15472" builtinId="9" hidden="1"/>
    <cellStyle name="Followed Hyperlink" xfId="15473" builtinId="9" hidden="1"/>
    <cellStyle name="Followed Hyperlink" xfId="15474" builtinId="9" hidden="1"/>
    <cellStyle name="Followed Hyperlink" xfId="15475" builtinId="9" hidden="1"/>
    <cellStyle name="Followed Hyperlink" xfId="15476" builtinId="9" hidden="1"/>
    <cellStyle name="Followed Hyperlink" xfId="15477" builtinId="9" hidden="1"/>
    <cellStyle name="Followed Hyperlink" xfId="15478" builtinId="9" hidden="1"/>
    <cellStyle name="Followed Hyperlink" xfId="15479" builtinId="9" hidden="1"/>
    <cellStyle name="Followed Hyperlink" xfId="15480" builtinId="9" hidden="1"/>
    <cellStyle name="Followed Hyperlink" xfId="15481" builtinId="9" hidden="1"/>
    <cellStyle name="Followed Hyperlink" xfId="15482" builtinId="9" hidden="1"/>
    <cellStyle name="Followed Hyperlink" xfId="15483" builtinId="9" hidden="1"/>
    <cellStyle name="Followed Hyperlink" xfId="15484" builtinId="9" hidden="1"/>
    <cellStyle name="Followed Hyperlink" xfId="15485" builtinId="9" hidden="1"/>
    <cellStyle name="Followed Hyperlink" xfId="15486" builtinId="9" hidden="1"/>
    <cellStyle name="Followed Hyperlink" xfId="15487" builtinId="9" hidden="1"/>
    <cellStyle name="Followed Hyperlink" xfId="15488" builtinId="9" hidden="1"/>
    <cellStyle name="Followed Hyperlink" xfId="15489" builtinId="9" hidden="1"/>
    <cellStyle name="Followed Hyperlink" xfId="15490" builtinId="9" hidden="1"/>
    <cellStyle name="Followed Hyperlink" xfId="15491" builtinId="9" hidden="1"/>
    <cellStyle name="Followed Hyperlink" xfId="15492" builtinId="9" hidden="1"/>
    <cellStyle name="Followed Hyperlink" xfId="15493" builtinId="9" hidden="1"/>
    <cellStyle name="Followed Hyperlink" xfId="15494" builtinId="9" hidden="1"/>
    <cellStyle name="Followed Hyperlink" xfId="15495" builtinId="9" hidden="1"/>
    <cellStyle name="Followed Hyperlink" xfId="15496" builtinId="9" hidden="1"/>
    <cellStyle name="Followed Hyperlink" xfId="15497" builtinId="9" hidden="1"/>
    <cellStyle name="Followed Hyperlink" xfId="15498" builtinId="9" hidden="1"/>
    <cellStyle name="Followed Hyperlink" xfId="15499" builtinId="9" hidden="1"/>
    <cellStyle name="Followed Hyperlink" xfId="15500" builtinId="9" hidden="1"/>
    <cellStyle name="Followed Hyperlink" xfId="15501" builtinId="9" hidden="1"/>
    <cellStyle name="Followed Hyperlink" xfId="15502" builtinId="9" hidden="1"/>
    <cellStyle name="Followed Hyperlink" xfId="15503" builtinId="9" hidden="1"/>
    <cellStyle name="Followed Hyperlink" xfId="15504" builtinId="9" hidden="1"/>
    <cellStyle name="Followed Hyperlink" xfId="15505" builtinId="9" hidden="1"/>
    <cellStyle name="Followed Hyperlink" xfId="15506" builtinId="9" hidden="1"/>
    <cellStyle name="Followed Hyperlink" xfId="15507" builtinId="9" hidden="1"/>
    <cellStyle name="Followed Hyperlink" xfId="15508" builtinId="9" hidden="1"/>
    <cellStyle name="Followed Hyperlink" xfId="15509" builtinId="9" hidden="1"/>
    <cellStyle name="Followed Hyperlink" xfId="15510" builtinId="9" hidden="1"/>
    <cellStyle name="Followed Hyperlink" xfId="15511" builtinId="9" hidden="1"/>
    <cellStyle name="Followed Hyperlink" xfId="15512" builtinId="9" hidden="1"/>
    <cellStyle name="Followed Hyperlink" xfId="15513" builtinId="9" hidden="1"/>
    <cellStyle name="Followed Hyperlink" xfId="15514" builtinId="9" hidden="1"/>
    <cellStyle name="Followed Hyperlink" xfId="15515" builtinId="9" hidden="1"/>
    <cellStyle name="Followed Hyperlink" xfId="15516" builtinId="9" hidden="1"/>
    <cellStyle name="Followed Hyperlink" xfId="15517" builtinId="9" hidden="1"/>
    <cellStyle name="Followed Hyperlink" xfId="15518" builtinId="9" hidden="1"/>
    <cellStyle name="Followed Hyperlink" xfId="15519" builtinId="9" hidden="1"/>
    <cellStyle name="Followed Hyperlink" xfId="15520" builtinId="9" hidden="1"/>
    <cellStyle name="Followed Hyperlink" xfId="15521" builtinId="9" hidden="1"/>
    <cellStyle name="Followed Hyperlink" xfId="15522" builtinId="9" hidden="1"/>
    <cellStyle name="Followed Hyperlink" xfId="15523" builtinId="9" hidden="1"/>
    <cellStyle name="Followed Hyperlink" xfId="15524" builtinId="9" hidden="1"/>
    <cellStyle name="Followed Hyperlink" xfId="15525" builtinId="9" hidden="1"/>
    <cellStyle name="Followed Hyperlink" xfId="15526" builtinId="9" hidden="1"/>
    <cellStyle name="Followed Hyperlink" xfId="15527" builtinId="9" hidden="1"/>
    <cellStyle name="Followed Hyperlink" xfId="15528" builtinId="9" hidden="1"/>
    <cellStyle name="Followed Hyperlink" xfId="15529" builtinId="9" hidden="1"/>
    <cellStyle name="Followed Hyperlink" xfId="15530" builtinId="9" hidden="1"/>
    <cellStyle name="Followed Hyperlink" xfId="15531" builtinId="9" hidden="1"/>
    <cellStyle name="Followed Hyperlink" xfId="15532" builtinId="9" hidden="1"/>
    <cellStyle name="Followed Hyperlink" xfId="15533" builtinId="9" hidden="1"/>
    <cellStyle name="Followed Hyperlink" xfId="15534" builtinId="9" hidden="1"/>
    <cellStyle name="Followed Hyperlink" xfId="15535" builtinId="9" hidden="1"/>
    <cellStyle name="Followed Hyperlink" xfId="15536" builtinId="9" hidden="1"/>
    <cellStyle name="Followed Hyperlink" xfId="15537" builtinId="9" hidden="1"/>
    <cellStyle name="Followed Hyperlink" xfId="15538" builtinId="9" hidden="1"/>
    <cellStyle name="Followed Hyperlink" xfId="15539" builtinId="9" hidden="1"/>
    <cellStyle name="Followed Hyperlink" xfId="15540" builtinId="9" hidden="1"/>
    <cellStyle name="Followed Hyperlink" xfId="15541" builtinId="9" hidden="1"/>
    <cellStyle name="Followed Hyperlink" xfId="15542" builtinId="9" hidden="1"/>
    <cellStyle name="Followed Hyperlink" xfId="15543" builtinId="9" hidden="1"/>
    <cellStyle name="Followed Hyperlink" xfId="15544" builtinId="9" hidden="1"/>
    <cellStyle name="Followed Hyperlink" xfId="15545" builtinId="9" hidden="1"/>
    <cellStyle name="Followed Hyperlink" xfId="15546" builtinId="9" hidden="1"/>
    <cellStyle name="Followed Hyperlink" xfId="15547" builtinId="9" hidden="1"/>
    <cellStyle name="Followed Hyperlink" xfId="15548" builtinId="9" hidden="1"/>
    <cellStyle name="Followed Hyperlink" xfId="15549" builtinId="9" hidden="1"/>
    <cellStyle name="Followed Hyperlink" xfId="15550" builtinId="9" hidden="1"/>
    <cellStyle name="Followed Hyperlink" xfId="15420" builtinId="9" hidden="1"/>
    <cellStyle name="Followed Hyperlink" xfId="13413" builtinId="9" hidden="1"/>
    <cellStyle name="Followed Hyperlink" xfId="15552" builtinId="9" hidden="1"/>
    <cellStyle name="Followed Hyperlink" xfId="15553" builtinId="9" hidden="1"/>
    <cellStyle name="Followed Hyperlink" xfId="15554" builtinId="9" hidden="1"/>
    <cellStyle name="Followed Hyperlink" xfId="15555" builtinId="9" hidden="1"/>
    <cellStyle name="Followed Hyperlink" xfId="15556" builtinId="9" hidden="1"/>
    <cellStyle name="Followed Hyperlink" xfId="15557" builtinId="9" hidden="1"/>
    <cellStyle name="Followed Hyperlink" xfId="15558" builtinId="9" hidden="1"/>
    <cellStyle name="Followed Hyperlink" xfId="15559" builtinId="9" hidden="1"/>
    <cellStyle name="Followed Hyperlink" xfId="15560" builtinId="9" hidden="1"/>
    <cellStyle name="Followed Hyperlink" xfId="15561" builtinId="9" hidden="1"/>
    <cellStyle name="Followed Hyperlink" xfId="15562" builtinId="9" hidden="1"/>
    <cellStyle name="Followed Hyperlink" xfId="15563" builtinId="9" hidden="1"/>
    <cellStyle name="Followed Hyperlink" xfId="15564" builtinId="9" hidden="1"/>
    <cellStyle name="Followed Hyperlink" xfId="15565" builtinId="9" hidden="1"/>
    <cellStyle name="Followed Hyperlink" xfId="15566" builtinId="9" hidden="1"/>
    <cellStyle name="Followed Hyperlink" xfId="15567" builtinId="9" hidden="1"/>
    <cellStyle name="Followed Hyperlink" xfId="15568" builtinId="9" hidden="1"/>
    <cellStyle name="Followed Hyperlink" xfId="15569" builtinId="9" hidden="1"/>
    <cellStyle name="Followed Hyperlink" xfId="15570" builtinId="9" hidden="1"/>
    <cellStyle name="Followed Hyperlink" xfId="15571" builtinId="9" hidden="1"/>
    <cellStyle name="Followed Hyperlink" xfId="15572" builtinId="9" hidden="1"/>
    <cellStyle name="Followed Hyperlink" xfId="15573" builtinId="9" hidden="1"/>
    <cellStyle name="Followed Hyperlink" xfId="15574" builtinId="9" hidden="1"/>
    <cellStyle name="Followed Hyperlink" xfId="15575" builtinId="9" hidden="1"/>
    <cellStyle name="Followed Hyperlink" xfId="15576" builtinId="9" hidden="1"/>
    <cellStyle name="Followed Hyperlink" xfId="15577" builtinId="9" hidden="1"/>
    <cellStyle name="Followed Hyperlink" xfId="15578" builtinId="9" hidden="1"/>
    <cellStyle name="Followed Hyperlink" xfId="15579" builtinId="9" hidden="1"/>
    <cellStyle name="Followed Hyperlink" xfId="15580" builtinId="9" hidden="1"/>
    <cellStyle name="Followed Hyperlink" xfId="15581" builtinId="9" hidden="1"/>
    <cellStyle name="Followed Hyperlink" xfId="15582" builtinId="9" hidden="1"/>
    <cellStyle name="Followed Hyperlink" xfId="15583" builtinId="9" hidden="1"/>
    <cellStyle name="Followed Hyperlink" xfId="15584" builtinId="9" hidden="1"/>
    <cellStyle name="Followed Hyperlink" xfId="15585" builtinId="9" hidden="1"/>
    <cellStyle name="Followed Hyperlink" xfId="15586" builtinId="9" hidden="1"/>
    <cellStyle name="Followed Hyperlink" xfId="15587" builtinId="9" hidden="1"/>
    <cellStyle name="Followed Hyperlink" xfId="15588" builtinId="9" hidden="1"/>
    <cellStyle name="Followed Hyperlink" xfId="15589" builtinId="9" hidden="1"/>
    <cellStyle name="Followed Hyperlink" xfId="15590" builtinId="9" hidden="1"/>
    <cellStyle name="Followed Hyperlink" xfId="15425" builtinId="9" hidden="1"/>
    <cellStyle name="Followed Hyperlink" xfId="15551" builtinId="9" hidden="1"/>
    <cellStyle name="Followed Hyperlink" xfId="15592" builtinId="9" hidden="1"/>
    <cellStyle name="Followed Hyperlink" xfId="15593" builtinId="9" hidden="1"/>
    <cellStyle name="Followed Hyperlink" xfId="15594" builtinId="9" hidden="1"/>
    <cellStyle name="Followed Hyperlink" xfId="15595" builtinId="9" hidden="1"/>
    <cellStyle name="Followed Hyperlink" xfId="15596" builtinId="9" hidden="1"/>
    <cellStyle name="Followed Hyperlink" xfId="15597" builtinId="9" hidden="1"/>
    <cellStyle name="Followed Hyperlink" xfId="15598" builtinId="9" hidden="1"/>
    <cellStyle name="Followed Hyperlink" xfId="15599" builtinId="9" hidden="1"/>
    <cellStyle name="Followed Hyperlink" xfId="15600" builtinId="9" hidden="1"/>
    <cellStyle name="Followed Hyperlink" xfId="15601" builtinId="9" hidden="1"/>
    <cellStyle name="Followed Hyperlink" xfId="15602" builtinId="9" hidden="1"/>
    <cellStyle name="Followed Hyperlink" xfId="15603" builtinId="9" hidden="1"/>
    <cellStyle name="Followed Hyperlink" xfId="15604" builtinId="9" hidden="1"/>
    <cellStyle name="Followed Hyperlink" xfId="15605" builtinId="9" hidden="1"/>
    <cellStyle name="Followed Hyperlink" xfId="15606" builtinId="9" hidden="1"/>
    <cellStyle name="Followed Hyperlink" xfId="15607" builtinId="9" hidden="1"/>
    <cellStyle name="Followed Hyperlink" xfId="15608" builtinId="9" hidden="1"/>
    <cellStyle name="Followed Hyperlink" xfId="15609" builtinId="9" hidden="1"/>
    <cellStyle name="Followed Hyperlink" xfId="15610" builtinId="9" hidden="1"/>
    <cellStyle name="Followed Hyperlink" xfId="15611" builtinId="9" hidden="1"/>
    <cellStyle name="Followed Hyperlink" xfId="15612" builtinId="9" hidden="1"/>
    <cellStyle name="Followed Hyperlink" xfId="15613" builtinId="9" hidden="1"/>
    <cellStyle name="Followed Hyperlink" xfId="15614" builtinId="9" hidden="1"/>
    <cellStyle name="Followed Hyperlink" xfId="15615" builtinId="9" hidden="1"/>
    <cellStyle name="Followed Hyperlink" xfId="15616" builtinId="9" hidden="1"/>
    <cellStyle name="Followed Hyperlink" xfId="15617" builtinId="9" hidden="1"/>
    <cellStyle name="Followed Hyperlink" xfId="15618" builtinId="9" hidden="1"/>
    <cellStyle name="Followed Hyperlink" xfId="15619" builtinId="9" hidden="1"/>
    <cellStyle name="Followed Hyperlink" xfId="15620" builtinId="9" hidden="1"/>
    <cellStyle name="Followed Hyperlink" xfId="15621" builtinId="9" hidden="1"/>
    <cellStyle name="Followed Hyperlink" xfId="15622" builtinId="9" hidden="1"/>
    <cellStyle name="Followed Hyperlink" xfId="15623" builtinId="9" hidden="1"/>
    <cellStyle name="Followed Hyperlink" xfId="15624" builtinId="9" hidden="1"/>
    <cellStyle name="Followed Hyperlink" xfId="15625" builtinId="9" hidden="1"/>
    <cellStyle name="Followed Hyperlink" xfId="15626" builtinId="9" hidden="1"/>
    <cellStyle name="Followed Hyperlink" xfId="15627" builtinId="9" hidden="1"/>
    <cellStyle name="Followed Hyperlink" xfId="15628" builtinId="9" hidden="1"/>
    <cellStyle name="Followed Hyperlink" xfId="15629" builtinId="9" hidden="1"/>
    <cellStyle name="Followed Hyperlink" xfId="15630" builtinId="9" hidden="1"/>
    <cellStyle name="Followed Hyperlink" xfId="15427" builtinId="9" hidden="1"/>
    <cellStyle name="Followed Hyperlink" xfId="15591" builtinId="9" hidden="1"/>
    <cellStyle name="Followed Hyperlink" xfId="15632" builtinId="9" hidden="1"/>
    <cellStyle name="Followed Hyperlink" xfId="15633" builtinId="9" hidden="1"/>
    <cellStyle name="Followed Hyperlink" xfId="15634" builtinId="9" hidden="1"/>
    <cellStyle name="Followed Hyperlink" xfId="15635" builtinId="9" hidden="1"/>
    <cellStyle name="Followed Hyperlink" xfId="15636" builtinId="9" hidden="1"/>
    <cellStyle name="Followed Hyperlink" xfId="15637" builtinId="9" hidden="1"/>
    <cellStyle name="Followed Hyperlink" xfId="15638" builtinId="9" hidden="1"/>
    <cellStyle name="Followed Hyperlink" xfId="15639" builtinId="9" hidden="1"/>
    <cellStyle name="Followed Hyperlink" xfId="15640" builtinId="9" hidden="1"/>
    <cellStyle name="Followed Hyperlink" xfId="15641" builtinId="9" hidden="1"/>
    <cellStyle name="Followed Hyperlink" xfId="15642" builtinId="9" hidden="1"/>
    <cellStyle name="Followed Hyperlink" xfId="15643" builtinId="9" hidden="1"/>
    <cellStyle name="Followed Hyperlink" xfId="15644" builtinId="9" hidden="1"/>
    <cellStyle name="Followed Hyperlink" xfId="15645" builtinId="9" hidden="1"/>
    <cellStyle name="Followed Hyperlink" xfId="15646" builtinId="9" hidden="1"/>
    <cellStyle name="Followed Hyperlink" xfId="15647" builtinId="9" hidden="1"/>
    <cellStyle name="Followed Hyperlink" xfId="15648" builtinId="9" hidden="1"/>
    <cellStyle name="Followed Hyperlink" xfId="15649" builtinId="9" hidden="1"/>
    <cellStyle name="Followed Hyperlink" xfId="15650" builtinId="9" hidden="1"/>
    <cellStyle name="Followed Hyperlink" xfId="15651" builtinId="9" hidden="1"/>
    <cellStyle name="Followed Hyperlink" xfId="15652" builtinId="9" hidden="1"/>
    <cellStyle name="Followed Hyperlink" xfId="15653" builtinId="9" hidden="1"/>
    <cellStyle name="Followed Hyperlink" xfId="15654" builtinId="9" hidden="1"/>
    <cellStyle name="Followed Hyperlink" xfId="15655" builtinId="9" hidden="1"/>
    <cellStyle name="Followed Hyperlink" xfId="15656" builtinId="9" hidden="1"/>
    <cellStyle name="Followed Hyperlink" xfId="15657" builtinId="9" hidden="1"/>
    <cellStyle name="Followed Hyperlink" xfId="15658" builtinId="9" hidden="1"/>
    <cellStyle name="Followed Hyperlink" xfId="15659" builtinId="9" hidden="1"/>
    <cellStyle name="Followed Hyperlink" xfId="15660" builtinId="9" hidden="1"/>
    <cellStyle name="Followed Hyperlink" xfId="15661" builtinId="9" hidden="1"/>
    <cellStyle name="Followed Hyperlink" xfId="15662" builtinId="9" hidden="1"/>
    <cellStyle name="Followed Hyperlink" xfId="15663" builtinId="9" hidden="1"/>
    <cellStyle name="Followed Hyperlink" xfId="15664" builtinId="9" hidden="1"/>
    <cellStyle name="Followed Hyperlink" xfId="15665" builtinId="9" hidden="1"/>
    <cellStyle name="Followed Hyperlink" xfId="15666" builtinId="9" hidden="1"/>
    <cellStyle name="Followed Hyperlink" xfId="15667" builtinId="9" hidden="1"/>
    <cellStyle name="Followed Hyperlink" xfId="15668" builtinId="9" hidden="1"/>
    <cellStyle name="Followed Hyperlink" xfId="15669" builtinId="9" hidden="1"/>
    <cellStyle name="Followed Hyperlink" xfId="15670" builtinId="9" hidden="1"/>
    <cellStyle name="Followed Hyperlink" xfId="15421" builtinId="9" hidden="1"/>
    <cellStyle name="Followed Hyperlink" xfId="15631" builtinId="9" hidden="1"/>
    <cellStyle name="Followed Hyperlink" xfId="15672" builtinId="9" hidden="1"/>
    <cellStyle name="Followed Hyperlink" xfId="15673" builtinId="9" hidden="1"/>
    <cellStyle name="Followed Hyperlink" xfId="15674" builtinId="9" hidden="1"/>
    <cellStyle name="Followed Hyperlink" xfId="15675" builtinId="9" hidden="1"/>
    <cellStyle name="Followed Hyperlink" xfId="15676" builtinId="9" hidden="1"/>
    <cellStyle name="Followed Hyperlink" xfId="15677" builtinId="9" hidden="1"/>
    <cellStyle name="Followed Hyperlink" xfId="15678" builtinId="9" hidden="1"/>
    <cellStyle name="Followed Hyperlink" xfId="15679" builtinId="9" hidden="1"/>
    <cellStyle name="Followed Hyperlink" xfId="15680" builtinId="9" hidden="1"/>
    <cellStyle name="Followed Hyperlink" xfId="15681" builtinId="9" hidden="1"/>
    <cellStyle name="Followed Hyperlink" xfId="15682" builtinId="9" hidden="1"/>
    <cellStyle name="Followed Hyperlink" xfId="15683" builtinId="9" hidden="1"/>
    <cellStyle name="Followed Hyperlink" xfId="15684" builtinId="9" hidden="1"/>
    <cellStyle name="Followed Hyperlink" xfId="15685" builtinId="9" hidden="1"/>
    <cellStyle name="Followed Hyperlink" xfId="15686" builtinId="9" hidden="1"/>
    <cellStyle name="Followed Hyperlink" xfId="15687" builtinId="9" hidden="1"/>
    <cellStyle name="Followed Hyperlink" xfId="15688" builtinId="9" hidden="1"/>
    <cellStyle name="Followed Hyperlink" xfId="15689" builtinId="9" hidden="1"/>
    <cellStyle name="Followed Hyperlink" xfId="15690" builtinId="9" hidden="1"/>
    <cellStyle name="Followed Hyperlink" xfId="15691" builtinId="9" hidden="1"/>
    <cellStyle name="Followed Hyperlink" xfId="15692" builtinId="9" hidden="1"/>
    <cellStyle name="Followed Hyperlink" xfId="15693" builtinId="9" hidden="1"/>
    <cellStyle name="Followed Hyperlink" xfId="15694" builtinId="9" hidden="1"/>
    <cellStyle name="Followed Hyperlink" xfId="15695" builtinId="9" hidden="1"/>
    <cellStyle name="Followed Hyperlink" xfId="15696" builtinId="9" hidden="1"/>
    <cellStyle name="Followed Hyperlink" xfId="15697" builtinId="9" hidden="1"/>
    <cellStyle name="Followed Hyperlink" xfId="15698" builtinId="9" hidden="1"/>
    <cellStyle name="Followed Hyperlink" xfId="15699" builtinId="9" hidden="1"/>
    <cellStyle name="Followed Hyperlink" xfId="15700" builtinId="9" hidden="1"/>
    <cellStyle name="Followed Hyperlink" xfId="15701" builtinId="9" hidden="1"/>
    <cellStyle name="Followed Hyperlink" xfId="15702" builtinId="9" hidden="1"/>
    <cellStyle name="Followed Hyperlink" xfId="15703" builtinId="9" hidden="1"/>
    <cellStyle name="Followed Hyperlink" xfId="15704" builtinId="9" hidden="1"/>
    <cellStyle name="Followed Hyperlink" xfId="15705" builtinId="9" hidden="1"/>
    <cellStyle name="Followed Hyperlink" xfId="15706" builtinId="9" hidden="1"/>
    <cellStyle name="Followed Hyperlink" xfId="15707" builtinId="9" hidden="1"/>
    <cellStyle name="Followed Hyperlink" xfId="15708" builtinId="9" hidden="1"/>
    <cellStyle name="Followed Hyperlink" xfId="15709" builtinId="9" hidden="1"/>
    <cellStyle name="Followed Hyperlink" xfId="15710" builtinId="9" hidden="1"/>
    <cellStyle name="Followed Hyperlink" xfId="15423" builtinId="9" hidden="1"/>
    <cellStyle name="Followed Hyperlink" xfId="15671" builtinId="9" hidden="1"/>
    <cellStyle name="Followed Hyperlink" xfId="15712" builtinId="9" hidden="1"/>
    <cellStyle name="Followed Hyperlink" xfId="15713" builtinId="9" hidden="1"/>
    <cellStyle name="Followed Hyperlink" xfId="15714" builtinId="9" hidden="1"/>
    <cellStyle name="Followed Hyperlink" xfId="15715" builtinId="9" hidden="1"/>
    <cellStyle name="Followed Hyperlink" xfId="15716" builtinId="9" hidden="1"/>
    <cellStyle name="Followed Hyperlink" xfId="15717" builtinId="9" hidden="1"/>
    <cellStyle name="Followed Hyperlink" xfId="15718" builtinId="9" hidden="1"/>
    <cellStyle name="Followed Hyperlink" xfId="15719" builtinId="9" hidden="1"/>
    <cellStyle name="Followed Hyperlink" xfId="15720" builtinId="9" hidden="1"/>
    <cellStyle name="Followed Hyperlink" xfId="15721" builtinId="9" hidden="1"/>
    <cellStyle name="Followed Hyperlink" xfId="15722" builtinId="9" hidden="1"/>
    <cellStyle name="Followed Hyperlink" xfId="15723" builtinId="9" hidden="1"/>
    <cellStyle name="Followed Hyperlink" xfId="15724" builtinId="9" hidden="1"/>
    <cellStyle name="Followed Hyperlink" xfId="15725" builtinId="9" hidden="1"/>
    <cellStyle name="Followed Hyperlink" xfId="15726" builtinId="9" hidden="1"/>
    <cellStyle name="Followed Hyperlink" xfId="15727" builtinId="9" hidden="1"/>
    <cellStyle name="Followed Hyperlink" xfId="15728" builtinId="9" hidden="1"/>
    <cellStyle name="Followed Hyperlink" xfId="15729" builtinId="9" hidden="1"/>
    <cellStyle name="Followed Hyperlink" xfId="15730" builtinId="9" hidden="1"/>
    <cellStyle name="Followed Hyperlink" xfId="15731" builtinId="9" hidden="1"/>
    <cellStyle name="Followed Hyperlink" xfId="15732" builtinId="9" hidden="1"/>
    <cellStyle name="Followed Hyperlink" xfId="15733" builtinId="9" hidden="1"/>
    <cellStyle name="Followed Hyperlink" xfId="15734" builtinId="9" hidden="1"/>
    <cellStyle name="Followed Hyperlink" xfId="15735" builtinId="9" hidden="1"/>
    <cellStyle name="Followed Hyperlink" xfId="15736" builtinId="9" hidden="1"/>
    <cellStyle name="Followed Hyperlink" xfId="15737" builtinId="9" hidden="1"/>
    <cellStyle name="Followed Hyperlink" xfId="15738" builtinId="9" hidden="1"/>
    <cellStyle name="Followed Hyperlink" xfId="15739" builtinId="9" hidden="1"/>
    <cellStyle name="Followed Hyperlink" xfId="15740" builtinId="9" hidden="1"/>
    <cellStyle name="Followed Hyperlink" xfId="15741" builtinId="9" hidden="1"/>
    <cellStyle name="Followed Hyperlink" xfId="15742" builtinId="9" hidden="1"/>
    <cellStyle name="Followed Hyperlink" xfId="15743" builtinId="9" hidden="1"/>
    <cellStyle name="Followed Hyperlink" xfId="15744" builtinId="9" hidden="1"/>
    <cellStyle name="Followed Hyperlink" xfId="15745" builtinId="9" hidden="1"/>
    <cellStyle name="Followed Hyperlink" xfId="15746" builtinId="9" hidden="1"/>
    <cellStyle name="Followed Hyperlink" xfId="15747" builtinId="9" hidden="1"/>
    <cellStyle name="Followed Hyperlink" xfId="15748" builtinId="9" hidden="1"/>
    <cellStyle name="Followed Hyperlink" xfId="15749" builtinId="9" hidden="1"/>
    <cellStyle name="Followed Hyperlink" xfId="15750" builtinId="9" hidden="1"/>
    <cellStyle name="Followed Hyperlink" xfId="15424" builtinId="9" hidden="1"/>
    <cellStyle name="Followed Hyperlink" xfId="15711" builtinId="9" hidden="1"/>
    <cellStyle name="Followed Hyperlink" xfId="15752" builtinId="9" hidden="1"/>
    <cellStyle name="Followed Hyperlink" xfId="15753" builtinId="9" hidden="1"/>
    <cellStyle name="Followed Hyperlink" xfId="15754" builtinId="9" hidden="1"/>
    <cellStyle name="Followed Hyperlink" xfId="15755" builtinId="9" hidden="1"/>
    <cellStyle name="Followed Hyperlink" xfId="15756" builtinId="9" hidden="1"/>
    <cellStyle name="Followed Hyperlink" xfId="15757" builtinId="9" hidden="1"/>
    <cellStyle name="Followed Hyperlink" xfId="15758" builtinId="9" hidden="1"/>
    <cellStyle name="Followed Hyperlink" xfId="15759" builtinId="9" hidden="1"/>
    <cellStyle name="Followed Hyperlink" xfId="15760" builtinId="9" hidden="1"/>
    <cellStyle name="Followed Hyperlink" xfId="15761" builtinId="9" hidden="1"/>
    <cellStyle name="Followed Hyperlink" xfId="15762" builtinId="9" hidden="1"/>
    <cellStyle name="Followed Hyperlink" xfId="15763" builtinId="9" hidden="1"/>
    <cellStyle name="Followed Hyperlink" xfId="15764" builtinId="9" hidden="1"/>
    <cellStyle name="Followed Hyperlink" xfId="15765" builtinId="9" hidden="1"/>
    <cellStyle name="Followed Hyperlink" xfId="15766" builtinId="9" hidden="1"/>
    <cellStyle name="Followed Hyperlink" xfId="15767" builtinId="9" hidden="1"/>
    <cellStyle name="Followed Hyperlink" xfId="15768" builtinId="9" hidden="1"/>
    <cellStyle name="Followed Hyperlink" xfId="15769" builtinId="9" hidden="1"/>
    <cellStyle name="Followed Hyperlink" xfId="15770" builtinId="9" hidden="1"/>
    <cellStyle name="Followed Hyperlink" xfId="15771" builtinId="9" hidden="1"/>
    <cellStyle name="Followed Hyperlink" xfId="15772" builtinId="9" hidden="1"/>
    <cellStyle name="Followed Hyperlink" xfId="15773" builtinId="9" hidden="1"/>
    <cellStyle name="Followed Hyperlink" xfId="15774" builtinId="9" hidden="1"/>
    <cellStyle name="Followed Hyperlink" xfId="15775" builtinId="9" hidden="1"/>
    <cellStyle name="Followed Hyperlink" xfId="15776" builtinId="9" hidden="1"/>
    <cellStyle name="Followed Hyperlink" xfId="15777" builtinId="9" hidden="1"/>
    <cellStyle name="Followed Hyperlink" xfId="15778" builtinId="9" hidden="1"/>
    <cellStyle name="Followed Hyperlink" xfId="15779" builtinId="9" hidden="1"/>
    <cellStyle name="Followed Hyperlink" xfId="15780" builtinId="9" hidden="1"/>
    <cellStyle name="Followed Hyperlink" xfId="15781" builtinId="9" hidden="1"/>
    <cellStyle name="Followed Hyperlink" xfId="15782" builtinId="9" hidden="1"/>
    <cellStyle name="Followed Hyperlink" xfId="15783" builtinId="9" hidden="1"/>
    <cellStyle name="Followed Hyperlink" xfId="15784" builtinId="9" hidden="1"/>
    <cellStyle name="Followed Hyperlink" xfId="15785" builtinId="9" hidden="1"/>
    <cellStyle name="Followed Hyperlink" xfId="15786" builtinId="9" hidden="1"/>
    <cellStyle name="Followed Hyperlink" xfId="15787" builtinId="9" hidden="1"/>
    <cellStyle name="Followed Hyperlink" xfId="15788" builtinId="9" hidden="1"/>
    <cellStyle name="Followed Hyperlink" xfId="15789" builtinId="9" hidden="1"/>
    <cellStyle name="Followed Hyperlink" xfId="15790" builtinId="9" hidden="1"/>
    <cellStyle name="Followed Hyperlink" xfId="15426" builtinId="9" hidden="1"/>
    <cellStyle name="Followed Hyperlink" xfId="15751" builtinId="9" hidden="1"/>
    <cellStyle name="Followed Hyperlink" xfId="15792" builtinId="9" hidden="1"/>
    <cellStyle name="Followed Hyperlink" xfId="15793" builtinId="9" hidden="1"/>
    <cellStyle name="Followed Hyperlink" xfId="15794" builtinId="9" hidden="1"/>
    <cellStyle name="Followed Hyperlink" xfId="15795" builtinId="9" hidden="1"/>
    <cellStyle name="Followed Hyperlink" xfId="15796" builtinId="9" hidden="1"/>
    <cellStyle name="Followed Hyperlink" xfId="15797" builtinId="9" hidden="1"/>
    <cellStyle name="Followed Hyperlink" xfId="15798" builtinId="9" hidden="1"/>
    <cellStyle name="Followed Hyperlink" xfId="15799" builtinId="9" hidden="1"/>
    <cellStyle name="Followed Hyperlink" xfId="15800" builtinId="9" hidden="1"/>
    <cellStyle name="Followed Hyperlink" xfId="15801" builtinId="9" hidden="1"/>
    <cellStyle name="Followed Hyperlink" xfId="15802" builtinId="9" hidden="1"/>
    <cellStyle name="Followed Hyperlink" xfId="15803" builtinId="9" hidden="1"/>
    <cellStyle name="Followed Hyperlink" xfId="15804" builtinId="9" hidden="1"/>
    <cellStyle name="Followed Hyperlink" xfId="15805" builtinId="9" hidden="1"/>
    <cellStyle name="Followed Hyperlink" xfId="15806" builtinId="9" hidden="1"/>
    <cellStyle name="Followed Hyperlink" xfId="15807" builtinId="9" hidden="1"/>
    <cellStyle name="Followed Hyperlink" xfId="15808" builtinId="9" hidden="1"/>
    <cellStyle name="Followed Hyperlink" xfId="15809" builtinId="9" hidden="1"/>
    <cellStyle name="Followed Hyperlink" xfId="15810" builtinId="9" hidden="1"/>
    <cellStyle name="Followed Hyperlink" xfId="15811" builtinId="9" hidden="1"/>
    <cellStyle name="Followed Hyperlink" xfId="15812" builtinId="9" hidden="1"/>
    <cellStyle name="Followed Hyperlink" xfId="15813" builtinId="9" hidden="1"/>
    <cellStyle name="Followed Hyperlink" xfId="15814" builtinId="9" hidden="1"/>
    <cellStyle name="Followed Hyperlink" xfId="15815" builtinId="9" hidden="1"/>
    <cellStyle name="Followed Hyperlink" xfId="15816" builtinId="9" hidden="1"/>
    <cellStyle name="Followed Hyperlink" xfId="15817" builtinId="9" hidden="1"/>
    <cellStyle name="Followed Hyperlink" xfId="15818" builtinId="9" hidden="1"/>
    <cellStyle name="Followed Hyperlink" xfId="15819" builtinId="9" hidden="1"/>
    <cellStyle name="Followed Hyperlink" xfId="15820" builtinId="9" hidden="1"/>
    <cellStyle name="Followed Hyperlink" xfId="15821" builtinId="9" hidden="1"/>
    <cellStyle name="Followed Hyperlink" xfId="15822" builtinId="9" hidden="1"/>
    <cellStyle name="Followed Hyperlink" xfId="15823" builtinId="9" hidden="1"/>
    <cellStyle name="Followed Hyperlink" xfId="15824" builtinId="9" hidden="1"/>
    <cellStyle name="Followed Hyperlink" xfId="15825" builtinId="9" hidden="1"/>
    <cellStyle name="Followed Hyperlink" xfId="15826" builtinId="9" hidden="1"/>
    <cellStyle name="Followed Hyperlink" xfId="15827" builtinId="9" hidden="1"/>
    <cellStyle name="Followed Hyperlink" xfId="15828" builtinId="9" hidden="1"/>
    <cellStyle name="Followed Hyperlink" xfId="15829" builtinId="9" hidden="1"/>
    <cellStyle name="Followed Hyperlink" xfId="15830" builtinId="9" hidden="1"/>
    <cellStyle name="Followed Hyperlink" xfId="15422" builtinId="9" hidden="1"/>
    <cellStyle name="Followed Hyperlink" xfId="15791" builtinId="9" hidden="1"/>
    <cellStyle name="Followed Hyperlink" xfId="15831" builtinId="9" hidden="1"/>
    <cellStyle name="Followed Hyperlink" xfId="15832" builtinId="9" hidden="1"/>
    <cellStyle name="Followed Hyperlink" xfId="15833" builtinId="9" hidden="1"/>
    <cellStyle name="Followed Hyperlink" xfId="15834" builtinId="9" hidden="1"/>
    <cellStyle name="Followed Hyperlink" xfId="15835" builtinId="9" hidden="1"/>
    <cellStyle name="Followed Hyperlink" xfId="15836" builtinId="9" hidden="1"/>
    <cellStyle name="Followed Hyperlink" xfId="15837" builtinId="9" hidden="1"/>
    <cellStyle name="Followed Hyperlink" xfId="15838" builtinId="9" hidden="1"/>
    <cellStyle name="Followed Hyperlink" xfId="15839" builtinId="9" hidden="1"/>
    <cellStyle name="Followed Hyperlink" xfId="15840" builtinId="9" hidden="1"/>
    <cellStyle name="Followed Hyperlink" xfId="15841" builtinId="9" hidden="1"/>
    <cellStyle name="Followed Hyperlink" xfId="15842" builtinId="9" hidden="1"/>
    <cellStyle name="Followed Hyperlink" xfId="15843" builtinId="9" hidden="1"/>
    <cellStyle name="Followed Hyperlink" xfId="15844" builtinId="9" hidden="1"/>
    <cellStyle name="Followed Hyperlink" xfId="15845" builtinId="9" hidden="1"/>
    <cellStyle name="Followed Hyperlink" xfId="15846" builtinId="9" hidden="1"/>
    <cellStyle name="Followed Hyperlink" xfId="15847" builtinId="9" hidden="1"/>
    <cellStyle name="Followed Hyperlink" xfId="15848" builtinId="9" hidden="1"/>
    <cellStyle name="Followed Hyperlink" xfId="15849" builtinId="9" hidden="1"/>
    <cellStyle name="Followed Hyperlink" xfId="15850" builtinId="9" hidden="1"/>
    <cellStyle name="Followed Hyperlink" xfId="15851" builtinId="9" hidden="1"/>
    <cellStyle name="Followed Hyperlink" xfId="15852" builtinId="9" hidden="1"/>
    <cellStyle name="Followed Hyperlink" xfId="15853" builtinId="9" hidden="1"/>
    <cellStyle name="Followed Hyperlink" xfId="15854" builtinId="9" hidden="1"/>
    <cellStyle name="Followed Hyperlink" xfId="15855" builtinId="9" hidden="1"/>
    <cellStyle name="Followed Hyperlink" xfId="15856" builtinId="9" hidden="1"/>
    <cellStyle name="Followed Hyperlink" xfId="15857" builtinId="9" hidden="1"/>
    <cellStyle name="Followed Hyperlink" xfId="15858" builtinId="9" hidden="1"/>
    <cellStyle name="Followed Hyperlink" xfId="15859" builtinId="9" hidden="1"/>
    <cellStyle name="Followed Hyperlink" xfId="15860" builtinId="9" hidden="1"/>
    <cellStyle name="Followed Hyperlink" xfId="15861" builtinId="9" hidden="1"/>
    <cellStyle name="Followed Hyperlink" xfId="15862" builtinId="9" hidden="1"/>
    <cellStyle name="Followed Hyperlink" xfId="15863" builtinId="9" hidden="1"/>
    <cellStyle name="Followed Hyperlink" xfId="15864" builtinId="9" hidden="1"/>
    <cellStyle name="Followed Hyperlink" xfId="15865" builtinId="9" hidden="1"/>
    <cellStyle name="Followed Hyperlink" xfId="15866" builtinId="9" hidden="1"/>
    <cellStyle name="Followed Hyperlink" xfId="15867" builtinId="9" hidden="1"/>
    <cellStyle name="Followed Hyperlink" xfId="15868" builtinId="9" hidden="1"/>
    <cellStyle name="Followed Hyperlink" xfId="15869" builtinId="9" hidden="1"/>
    <cellStyle name="Followed Hyperlink" xfId="13410" builtinId="9" hidden="1"/>
    <cellStyle name="Followed Hyperlink" xfId="13419" builtinId="9" hidden="1"/>
    <cellStyle name="Followed Hyperlink" xfId="15870" builtinId="9" hidden="1"/>
    <cellStyle name="Followed Hyperlink" xfId="15871" builtinId="9" hidden="1"/>
    <cellStyle name="Followed Hyperlink" xfId="15872" builtinId="9" hidden="1"/>
    <cellStyle name="Followed Hyperlink" xfId="15873" builtinId="9" hidden="1"/>
    <cellStyle name="Followed Hyperlink" xfId="15874" builtinId="9" hidden="1"/>
    <cellStyle name="Followed Hyperlink" xfId="15875" builtinId="9" hidden="1"/>
    <cellStyle name="Followed Hyperlink" xfId="15876" builtinId="9" hidden="1"/>
    <cellStyle name="Followed Hyperlink" xfId="15877" builtinId="9" hidden="1"/>
    <cellStyle name="Followed Hyperlink" xfId="15878" builtinId="9" hidden="1"/>
    <cellStyle name="Followed Hyperlink" xfId="15879" builtinId="9" hidden="1"/>
    <cellStyle name="Followed Hyperlink" xfId="15880" builtinId="9" hidden="1"/>
    <cellStyle name="Followed Hyperlink" xfId="15881" builtinId="9" hidden="1"/>
    <cellStyle name="Followed Hyperlink" xfId="15882" builtinId="9" hidden="1"/>
    <cellStyle name="Followed Hyperlink" xfId="15883" builtinId="9" hidden="1"/>
    <cellStyle name="Followed Hyperlink" xfId="15884" builtinId="9" hidden="1"/>
    <cellStyle name="Followed Hyperlink" xfId="15885" builtinId="9" hidden="1"/>
    <cellStyle name="Followed Hyperlink" xfId="15886" builtinId="9" hidden="1"/>
    <cellStyle name="Followed Hyperlink" xfId="15887" builtinId="9" hidden="1"/>
    <cellStyle name="Followed Hyperlink" xfId="15888" builtinId="9" hidden="1"/>
    <cellStyle name="Followed Hyperlink" xfId="15889" builtinId="9" hidden="1"/>
    <cellStyle name="Followed Hyperlink" xfId="15890" builtinId="9" hidden="1"/>
    <cellStyle name="Followed Hyperlink" xfId="15891" builtinId="9" hidden="1"/>
    <cellStyle name="Followed Hyperlink" xfId="15892" builtinId="9" hidden="1"/>
    <cellStyle name="Followed Hyperlink" xfId="15893" builtinId="9" hidden="1"/>
    <cellStyle name="Followed Hyperlink" xfId="15894" builtinId="9" hidden="1"/>
    <cellStyle name="Followed Hyperlink" xfId="15895" builtinId="9" hidden="1"/>
    <cellStyle name="Followed Hyperlink" xfId="15896" builtinId="9" hidden="1"/>
    <cellStyle name="Followed Hyperlink" xfId="15897" builtinId="9" hidden="1"/>
    <cellStyle name="Followed Hyperlink" xfId="15898" builtinId="9" hidden="1"/>
    <cellStyle name="Followed Hyperlink" xfId="15899" builtinId="9" hidden="1"/>
    <cellStyle name="Followed Hyperlink" xfId="15900" builtinId="9" hidden="1"/>
    <cellStyle name="Followed Hyperlink" xfId="15901" builtinId="9" hidden="1"/>
    <cellStyle name="Followed Hyperlink" xfId="15902" builtinId="9" hidden="1"/>
    <cellStyle name="Followed Hyperlink" xfId="15903" builtinId="9" hidden="1"/>
    <cellStyle name="Followed Hyperlink" xfId="15904" builtinId="9" hidden="1"/>
    <cellStyle name="Followed Hyperlink" xfId="15905" builtinId="9" hidden="1"/>
    <cellStyle name="Followed Hyperlink" xfId="15906" builtinId="9" hidden="1"/>
    <cellStyle name="Followed Hyperlink" xfId="15907" builtinId="9" hidden="1"/>
    <cellStyle name="Followed Hyperlink" xfId="15908" builtinId="9" hidden="1"/>
    <cellStyle name="Followed Hyperlink" xfId="15917" builtinId="9" hidden="1"/>
    <cellStyle name="Followed Hyperlink" xfId="15918" builtinId="9" hidden="1"/>
    <cellStyle name="Followed Hyperlink" xfId="15919" builtinId="9" hidden="1"/>
    <cellStyle name="Followed Hyperlink" xfId="15920" builtinId="9" hidden="1"/>
    <cellStyle name="Followed Hyperlink" xfId="15921" builtinId="9" hidden="1"/>
    <cellStyle name="Followed Hyperlink" xfId="15922" builtinId="9" hidden="1"/>
    <cellStyle name="Followed Hyperlink" xfId="15923" builtinId="9" hidden="1"/>
    <cellStyle name="Followed Hyperlink" xfId="15924" builtinId="9" hidden="1"/>
    <cellStyle name="Followed Hyperlink" xfId="15925" builtinId="9" hidden="1"/>
    <cellStyle name="Followed Hyperlink" xfId="15926" builtinId="9" hidden="1"/>
    <cellStyle name="Followed Hyperlink" xfId="15927" builtinId="9" hidden="1"/>
    <cellStyle name="Followed Hyperlink" xfId="15928" builtinId="9" hidden="1"/>
    <cellStyle name="Followed Hyperlink" xfId="15929" builtinId="9" hidden="1"/>
    <cellStyle name="Followed Hyperlink" xfId="15930" builtinId="9" hidden="1"/>
    <cellStyle name="Followed Hyperlink" xfId="15931" builtinId="9" hidden="1"/>
    <cellStyle name="Followed Hyperlink" xfId="15932" builtinId="9" hidden="1"/>
    <cellStyle name="Followed Hyperlink" xfId="15933" builtinId="9" hidden="1"/>
    <cellStyle name="Followed Hyperlink" xfId="15934" builtinId="9" hidden="1"/>
    <cellStyle name="Followed Hyperlink" xfId="15935" builtinId="9" hidden="1"/>
    <cellStyle name="Followed Hyperlink" xfId="15936" builtinId="9" hidden="1"/>
    <cellStyle name="Followed Hyperlink" xfId="15937" builtinId="9" hidden="1"/>
    <cellStyle name="Followed Hyperlink" xfId="15938" builtinId="9" hidden="1"/>
    <cellStyle name="Followed Hyperlink" xfId="15939" builtinId="9" hidden="1"/>
    <cellStyle name="Followed Hyperlink" xfId="15940" builtinId="9" hidden="1"/>
    <cellStyle name="Followed Hyperlink" xfId="15941" builtinId="9" hidden="1"/>
    <cellStyle name="Followed Hyperlink" xfId="15942" builtinId="9" hidden="1"/>
    <cellStyle name="Followed Hyperlink" xfId="15943" builtinId="9" hidden="1"/>
    <cellStyle name="Followed Hyperlink" xfId="15944" builtinId="9" hidden="1"/>
    <cellStyle name="Followed Hyperlink" xfId="15945" builtinId="9" hidden="1"/>
    <cellStyle name="Followed Hyperlink" xfId="15946" builtinId="9" hidden="1"/>
    <cellStyle name="Followed Hyperlink" xfId="15947" builtinId="9" hidden="1"/>
    <cellStyle name="Followed Hyperlink" xfId="15948" builtinId="9" hidden="1"/>
    <cellStyle name="Followed Hyperlink" xfId="15949" builtinId="9" hidden="1"/>
    <cellStyle name="Followed Hyperlink" xfId="15950" builtinId="9" hidden="1"/>
    <cellStyle name="Followed Hyperlink" xfId="15951" builtinId="9" hidden="1"/>
    <cellStyle name="Followed Hyperlink" xfId="15952" builtinId="9" hidden="1"/>
    <cellStyle name="Followed Hyperlink" xfId="15953" builtinId="9" hidden="1"/>
    <cellStyle name="Followed Hyperlink" xfId="15954" builtinId="9" hidden="1"/>
    <cellStyle name="Followed Hyperlink" xfId="15955" builtinId="9" hidden="1"/>
    <cellStyle name="Followed Hyperlink" xfId="15956" builtinId="9" hidden="1"/>
    <cellStyle name="Followed Hyperlink" xfId="15957" builtinId="9" hidden="1"/>
    <cellStyle name="Followed Hyperlink" xfId="15958" builtinId="9" hidden="1"/>
    <cellStyle name="Followed Hyperlink" xfId="15959" builtinId="9" hidden="1"/>
    <cellStyle name="Followed Hyperlink" xfId="15960" builtinId="9" hidden="1"/>
    <cellStyle name="Followed Hyperlink" xfId="15961" builtinId="9" hidden="1"/>
    <cellStyle name="Followed Hyperlink" xfId="15962" builtinId="9" hidden="1"/>
    <cellStyle name="Followed Hyperlink" xfId="15963" builtinId="9" hidden="1"/>
    <cellStyle name="Followed Hyperlink" xfId="15964" builtinId="9" hidden="1"/>
    <cellStyle name="Followed Hyperlink" xfId="15965" builtinId="9" hidden="1"/>
    <cellStyle name="Followed Hyperlink" xfId="15966" builtinId="9" hidden="1"/>
    <cellStyle name="Followed Hyperlink" xfId="15967" builtinId="9" hidden="1"/>
    <cellStyle name="Followed Hyperlink" xfId="15968" builtinId="9" hidden="1"/>
    <cellStyle name="Followed Hyperlink" xfId="15969" builtinId="9" hidden="1"/>
    <cellStyle name="Followed Hyperlink" xfId="15970" builtinId="9" hidden="1"/>
    <cellStyle name="Followed Hyperlink" xfId="15971" builtinId="9" hidden="1"/>
    <cellStyle name="Followed Hyperlink" xfId="15972" builtinId="9" hidden="1"/>
    <cellStyle name="Followed Hyperlink" xfId="15973" builtinId="9" hidden="1"/>
    <cellStyle name="Followed Hyperlink" xfId="15974" builtinId="9" hidden="1"/>
    <cellStyle name="Followed Hyperlink" xfId="15975" builtinId="9" hidden="1"/>
    <cellStyle name="Followed Hyperlink" xfId="15976" builtinId="9" hidden="1"/>
    <cellStyle name="Followed Hyperlink" xfId="15977" builtinId="9" hidden="1"/>
    <cellStyle name="Followed Hyperlink" xfId="15978" builtinId="9" hidden="1"/>
    <cellStyle name="Followed Hyperlink" xfId="15979" builtinId="9" hidden="1"/>
    <cellStyle name="Followed Hyperlink" xfId="15980" builtinId="9" hidden="1"/>
    <cellStyle name="Followed Hyperlink" xfId="15981" builtinId="9" hidden="1"/>
    <cellStyle name="Followed Hyperlink" xfId="15982" builtinId="9" hidden="1"/>
    <cellStyle name="Followed Hyperlink" xfId="15983" builtinId="9" hidden="1"/>
    <cellStyle name="Followed Hyperlink" xfId="15984" builtinId="9" hidden="1"/>
    <cellStyle name="Followed Hyperlink" xfId="15985" builtinId="9" hidden="1"/>
    <cellStyle name="Followed Hyperlink" xfId="15986" builtinId="9" hidden="1"/>
    <cellStyle name="Followed Hyperlink" xfId="15987" builtinId="9" hidden="1"/>
    <cellStyle name="Followed Hyperlink" xfId="15988" builtinId="9" hidden="1"/>
    <cellStyle name="Followed Hyperlink" xfId="15989" builtinId="9" hidden="1"/>
    <cellStyle name="Followed Hyperlink" xfId="15990" builtinId="9" hidden="1"/>
    <cellStyle name="Followed Hyperlink" xfId="15991" builtinId="9" hidden="1"/>
    <cellStyle name="Followed Hyperlink" xfId="15992" builtinId="9" hidden="1"/>
    <cellStyle name="Followed Hyperlink" xfId="15993" builtinId="9" hidden="1"/>
    <cellStyle name="Followed Hyperlink" xfId="15994" builtinId="9" hidden="1"/>
    <cellStyle name="Followed Hyperlink" xfId="15995" builtinId="9" hidden="1"/>
    <cellStyle name="Followed Hyperlink" xfId="15996" builtinId="9" hidden="1"/>
    <cellStyle name="Followed Hyperlink" xfId="15997" builtinId="9" hidden="1"/>
    <cellStyle name="Followed Hyperlink" xfId="15998" builtinId="9" hidden="1"/>
    <cellStyle name="Followed Hyperlink" xfId="15999" builtinId="9" hidden="1"/>
    <cellStyle name="Followed Hyperlink" xfId="16000" builtinId="9" hidden="1"/>
    <cellStyle name="Followed Hyperlink" xfId="16001" builtinId="9" hidden="1"/>
    <cellStyle name="Followed Hyperlink" xfId="16002" builtinId="9" hidden="1"/>
    <cellStyle name="Followed Hyperlink" xfId="16003" builtinId="9" hidden="1"/>
    <cellStyle name="Followed Hyperlink" xfId="16004" builtinId="9" hidden="1"/>
    <cellStyle name="Followed Hyperlink" xfId="16005" builtinId="9" hidden="1"/>
    <cellStyle name="Followed Hyperlink" xfId="16006" builtinId="9" hidden="1"/>
    <cellStyle name="Followed Hyperlink" xfId="16007" builtinId="9" hidden="1"/>
    <cellStyle name="Followed Hyperlink" xfId="16008" builtinId="9" hidden="1"/>
    <cellStyle name="Followed Hyperlink" xfId="16009" builtinId="9" hidden="1"/>
    <cellStyle name="Followed Hyperlink" xfId="16010" builtinId="9" hidden="1"/>
    <cellStyle name="Followed Hyperlink" xfId="16011" builtinId="9" hidden="1"/>
    <cellStyle name="Followed Hyperlink" xfId="16012" builtinId="9" hidden="1"/>
    <cellStyle name="Followed Hyperlink" xfId="16013" builtinId="9" hidden="1"/>
    <cellStyle name="Followed Hyperlink" xfId="16014" builtinId="9" hidden="1"/>
    <cellStyle name="Followed Hyperlink" xfId="16015" builtinId="9" hidden="1"/>
    <cellStyle name="Followed Hyperlink" xfId="16016" builtinId="9" hidden="1"/>
    <cellStyle name="Followed Hyperlink" xfId="16017" builtinId="9" hidden="1"/>
    <cellStyle name="Followed Hyperlink" xfId="16018" builtinId="9" hidden="1"/>
    <cellStyle name="Followed Hyperlink" xfId="16019" builtinId="9" hidden="1"/>
    <cellStyle name="Followed Hyperlink" xfId="16020" builtinId="9" hidden="1"/>
    <cellStyle name="Followed Hyperlink" xfId="16021" builtinId="9" hidden="1"/>
    <cellStyle name="Followed Hyperlink" xfId="16022" builtinId="9" hidden="1"/>
    <cellStyle name="Followed Hyperlink" xfId="16023" builtinId="9" hidden="1"/>
    <cellStyle name="Followed Hyperlink" xfId="16024" builtinId="9" hidden="1"/>
    <cellStyle name="Followed Hyperlink" xfId="16025" builtinId="9" hidden="1"/>
    <cellStyle name="Followed Hyperlink" xfId="16026" builtinId="9" hidden="1"/>
    <cellStyle name="Followed Hyperlink" xfId="16027" builtinId="9" hidden="1"/>
    <cellStyle name="Followed Hyperlink" xfId="16028" builtinId="9" hidden="1"/>
    <cellStyle name="Followed Hyperlink" xfId="16029" builtinId="9" hidden="1"/>
    <cellStyle name="Followed Hyperlink" xfId="16030" builtinId="9" hidden="1"/>
    <cellStyle name="Followed Hyperlink" xfId="16031" builtinId="9" hidden="1"/>
    <cellStyle name="Followed Hyperlink" xfId="16032" builtinId="9" hidden="1"/>
    <cellStyle name="Followed Hyperlink" xfId="16033" builtinId="9" hidden="1"/>
    <cellStyle name="Followed Hyperlink" xfId="16034" builtinId="9" hidden="1"/>
    <cellStyle name="Followed Hyperlink" xfId="16035" builtinId="9" hidden="1"/>
    <cellStyle name="Followed Hyperlink" xfId="16036" builtinId="9" hidden="1"/>
    <cellStyle name="Followed Hyperlink" xfId="16037" builtinId="9" hidden="1"/>
    <cellStyle name="Followed Hyperlink" xfId="16038" builtinId="9" hidden="1"/>
    <cellStyle name="Followed Hyperlink" xfId="16039" builtinId="9" hidden="1"/>
    <cellStyle name="Followed Hyperlink" xfId="15909" builtinId="9" hidden="1"/>
    <cellStyle name="Followed Hyperlink" xfId="13406" builtinId="9" hidden="1"/>
    <cellStyle name="Followed Hyperlink" xfId="16041" builtinId="9" hidden="1"/>
    <cellStyle name="Followed Hyperlink" xfId="16042" builtinId="9" hidden="1"/>
    <cellStyle name="Followed Hyperlink" xfId="16043" builtinId="9" hidden="1"/>
    <cellStyle name="Followed Hyperlink" xfId="16044" builtinId="9" hidden="1"/>
    <cellStyle name="Followed Hyperlink" xfId="16045" builtinId="9" hidden="1"/>
    <cellStyle name="Followed Hyperlink" xfId="16046" builtinId="9" hidden="1"/>
    <cellStyle name="Followed Hyperlink" xfId="16047" builtinId="9" hidden="1"/>
    <cellStyle name="Followed Hyperlink" xfId="16048" builtinId="9" hidden="1"/>
    <cellStyle name="Followed Hyperlink" xfId="16049" builtinId="9" hidden="1"/>
    <cellStyle name="Followed Hyperlink" xfId="16050" builtinId="9" hidden="1"/>
    <cellStyle name="Followed Hyperlink" xfId="16051" builtinId="9" hidden="1"/>
    <cellStyle name="Followed Hyperlink" xfId="16052" builtinId="9" hidden="1"/>
    <cellStyle name="Followed Hyperlink" xfId="16053" builtinId="9" hidden="1"/>
    <cellStyle name="Followed Hyperlink" xfId="16054" builtinId="9" hidden="1"/>
    <cellStyle name="Followed Hyperlink" xfId="16055" builtinId="9" hidden="1"/>
    <cellStyle name="Followed Hyperlink" xfId="16056" builtinId="9" hidden="1"/>
    <cellStyle name="Followed Hyperlink" xfId="16057" builtinId="9" hidden="1"/>
    <cellStyle name="Followed Hyperlink" xfId="16058" builtinId="9" hidden="1"/>
    <cellStyle name="Followed Hyperlink" xfId="16059" builtinId="9" hidden="1"/>
    <cellStyle name="Followed Hyperlink" xfId="16060" builtinId="9" hidden="1"/>
    <cellStyle name="Followed Hyperlink" xfId="16061" builtinId="9" hidden="1"/>
    <cellStyle name="Followed Hyperlink" xfId="16062" builtinId="9" hidden="1"/>
    <cellStyle name="Followed Hyperlink" xfId="16063" builtinId="9" hidden="1"/>
    <cellStyle name="Followed Hyperlink" xfId="16064" builtinId="9" hidden="1"/>
    <cellStyle name="Followed Hyperlink" xfId="16065" builtinId="9" hidden="1"/>
    <cellStyle name="Followed Hyperlink" xfId="16066" builtinId="9" hidden="1"/>
    <cellStyle name="Followed Hyperlink" xfId="16067" builtinId="9" hidden="1"/>
    <cellStyle name="Followed Hyperlink" xfId="16068" builtinId="9" hidden="1"/>
    <cellStyle name="Followed Hyperlink" xfId="16069" builtinId="9" hidden="1"/>
    <cellStyle name="Followed Hyperlink" xfId="16070" builtinId="9" hidden="1"/>
    <cellStyle name="Followed Hyperlink" xfId="16071" builtinId="9" hidden="1"/>
    <cellStyle name="Followed Hyperlink" xfId="16072" builtinId="9" hidden="1"/>
    <cellStyle name="Followed Hyperlink" xfId="16073" builtinId="9" hidden="1"/>
    <cellStyle name="Followed Hyperlink" xfId="16074" builtinId="9" hidden="1"/>
    <cellStyle name="Followed Hyperlink" xfId="16075" builtinId="9" hidden="1"/>
    <cellStyle name="Followed Hyperlink" xfId="16076" builtinId="9" hidden="1"/>
    <cellStyle name="Followed Hyperlink" xfId="16077" builtinId="9" hidden="1"/>
    <cellStyle name="Followed Hyperlink" xfId="16078" builtinId="9" hidden="1"/>
    <cellStyle name="Followed Hyperlink" xfId="16079" builtinId="9" hidden="1"/>
    <cellStyle name="Followed Hyperlink" xfId="15914" builtinId="9" hidden="1"/>
    <cellStyle name="Followed Hyperlink" xfId="16040" builtinId="9" hidden="1"/>
    <cellStyle name="Followed Hyperlink" xfId="16081" builtinId="9" hidden="1"/>
    <cellStyle name="Followed Hyperlink" xfId="16082" builtinId="9" hidden="1"/>
    <cellStyle name="Followed Hyperlink" xfId="16083" builtinId="9" hidden="1"/>
    <cellStyle name="Followed Hyperlink" xfId="16084" builtinId="9" hidden="1"/>
    <cellStyle name="Followed Hyperlink" xfId="16085" builtinId="9" hidden="1"/>
    <cellStyle name="Followed Hyperlink" xfId="16086" builtinId="9" hidden="1"/>
    <cellStyle name="Followed Hyperlink" xfId="16087" builtinId="9" hidden="1"/>
    <cellStyle name="Followed Hyperlink" xfId="16088" builtinId="9" hidden="1"/>
    <cellStyle name="Followed Hyperlink" xfId="16089" builtinId="9" hidden="1"/>
    <cellStyle name="Followed Hyperlink" xfId="16090" builtinId="9" hidden="1"/>
    <cellStyle name="Followed Hyperlink" xfId="16091" builtinId="9" hidden="1"/>
    <cellStyle name="Followed Hyperlink" xfId="16092" builtinId="9" hidden="1"/>
    <cellStyle name="Followed Hyperlink" xfId="16093" builtinId="9" hidden="1"/>
    <cellStyle name="Followed Hyperlink" xfId="16094" builtinId="9" hidden="1"/>
    <cellStyle name="Followed Hyperlink" xfId="16095" builtinId="9" hidden="1"/>
    <cellStyle name="Followed Hyperlink" xfId="16096" builtinId="9" hidden="1"/>
    <cellStyle name="Followed Hyperlink" xfId="16097" builtinId="9" hidden="1"/>
    <cellStyle name="Followed Hyperlink" xfId="16098" builtinId="9" hidden="1"/>
    <cellStyle name="Followed Hyperlink" xfId="16099" builtinId="9" hidden="1"/>
    <cellStyle name="Followed Hyperlink" xfId="16100" builtinId="9" hidden="1"/>
    <cellStyle name="Followed Hyperlink" xfId="16101" builtinId="9" hidden="1"/>
    <cellStyle name="Followed Hyperlink" xfId="16102" builtinId="9" hidden="1"/>
    <cellStyle name="Followed Hyperlink" xfId="16103" builtinId="9" hidden="1"/>
    <cellStyle name="Followed Hyperlink" xfId="16104" builtinId="9" hidden="1"/>
    <cellStyle name="Followed Hyperlink" xfId="16105" builtinId="9" hidden="1"/>
    <cellStyle name="Followed Hyperlink" xfId="16106" builtinId="9" hidden="1"/>
    <cellStyle name="Followed Hyperlink" xfId="16107" builtinId="9" hidden="1"/>
    <cellStyle name="Followed Hyperlink" xfId="16108" builtinId="9" hidden="1"/>
    <cellStyle name="Followed Hyperlink" xfId="16109" builtinId="9" hidden="1"/>
    <cellStyle name="Followed Hyperlink" xfId="16110" builtinId="9" hidden="1"/>
    <cellStyle name="Followed Hyperlink" xfId="16111" builtinId="9" hidden="1"/>
    <cellStyle name="Followed Hyperlink" xfId="16112" builtinId="9" hidden="1"/>
    <cellStyle name="Followed Hyperlink" xfId="16113" builtinId="9" hidden="1"/>
    <cellStyle name="Followed Hyperlink" xfId="16114" builtinId="9" hidden="1"/>
    <cellStyle name="Followed Hyperlink" xfId="16115" builtinId="9" hidden="1"/>
    <cellStyle name="Followed Hyperlink" xfId="16116" builtinId="9" hidden="1"/>
    <cellStyle name="Followed Hyperlink" xfId="16117" builtinId="9" hidden="1"/>
    <cellStyle name="Followed Hyperlink" xfId="16118" builtinId="9" hidden="1"/>
    <cellStyle name="Followed Hyperlink" xfId="16119" builtinId="9" hidden="1"/>
    <cellStyle name="Followed Hyperlink" xfId="15916" builtinId="9" hidden="1"/>
    <cellStyle name="Followed Hyperlink" xfId="16080" builtinId="9" hidden="1"/>
    <cellStyle name="Followed Hyperlink" xfId="16121" builtinId="9" hidden="1"/>
    <cellStyle name="Followed Hyperlink" xfId="16122" builtinId="9" hidden="1"/>
    <cellStyle name="Followed Hyperlink" xfId="16123" builtinId="9" hidden="1"/>
    <cellStyle name="Followed Hyperlink" xfId="16124" builtinId="9" hidden="1"/>
    <cellStyle name="Followed Hyperlink" xfId="16125" builtinId="9" hidden="1"/>
    <cellStyle name="Followed Hyperlink" xfId="16126" builtinId="9" hidden="1"/>
    <cellStyle name="Followed Hyperlink" xfId="16127" builtinId="9" hidden="1"/>
    <cellStyle name="Followed Hyperlink" xfId="16128" builtinId="9" hidden="1"/>
    <cellStyle name="Followed Hyperlink" xfId="16129" builtinId="9" hidden="1"/>
    <cellStyle name="Followed Hyperlink" xfId="16130" builtinId="9" hidden="1"/>
    <cellStyle name="Followed Hyperlink" xfId="16131" builtinId="9" hidden="1"/>
    <cellStyle name="Followed Hyperlink" xfId="16132" builtinId="9" hidden="1"/>
    <cellStyle name="Followed Hyperlink" xfId="16133" builtinId="9" hidden="1"/>
    <cellStyle name="Followed Hyperlink" xfId="16134" builtinId="9" hidden="1"/>
    <cellStyle name="Followed Hyperlink" xfId="16135" builtinId="9" hidden="1"/>
    <cellStyle name="Followed Hyperlink" xfId="16136" builtinId="9" hidden="1"/>
    <cellStyle name="Followed Hyperlink" xfId="16137" builtinId="9" hidden="1"/>
    <cellStyle name="Followed Hyperlink" xfId="16138" builtinId="9" hidden="1"/>
    <cellStyle name="Followed Hyperlink" xfId="16139" builtinId="9" hidden="1"/>
    <cellStyle name="Followed Hyperlink" xfId="16140" builtinId="9" hidden="1"/>
    <cellStyle name="Followed Hyperlink" xfId="16141" builtinId="9" hidden="1"/>
    <cellStyle name="Followed Hyperlink" xfId="16142" builtinId="9" hidden="1"/>
    <cellStyle name="Followed Hyperlink" xfId="16143" builtinId="9" hidden="1"/>
    <cellStyle name="Followed Hyperlink" xfId="16144" builtinId="9" hidden="1"/>
    <cellStyle name="Followed Hyperlink" xfId="16145" builtinId="9" hidden="1"/>
    <cellStyle name="Followed Hyperlink" xfId="16146" builtinId="9" hidden="1"/>
    <cellStyle name="Followed Hyperlink" xfId="16147" builtinId="9" hidden="1"/>
    <cellStyle name="Followed Hyperlink" xfId="16148" builtinId="9" hidden="1"/>
    <cellStyle name="Followed Hyperlink" xfId="16149" builtinId="9" hidden="1"/>
    <cellStyle name="Followed Hyperlink" xfId="16150" builtinId="9" hidden="1"/>
    <cellStyle name="Followed Hyperlink" xfId="16151" builtinId="9" hidden="1"/>
    <cellStyle name="Followed Hyperlink" xfId="16152" builtinId="9" hidden="1"/>
    <cellStyle name="Followed Hyperlink" xfId="16153" builtinId="9" hidden="1"/>
    <cellStyle name="Followed Hyperlink" xfId="16154" builtinId="9" hidden="1"/>
    <cellStyle name="Followed Hyperlink" xfId="16155" builtinId="9" hidden="1"/>
    <cellStyle name="Followed Hyperlink" xfId="16156" builtinId="9" hidden="1"/>
    <cellStyle name="Followed Hyperlink" xfId="16157" builtinId="9" hidden="1"/>
    <cellStyle name="Followed Hyperlink" xfId="16158" builtinId="9" hidden="1"/>
    <cellStyle name="Followed Hyperlink" xfId="16159" builtinId="9" hidden="1"/>
    <cellStyle name="Followed Hyperlink" xfId="15910" builtinId="9" hidden="1"/>
    <cellStyle name="Followed Hyperlink" xfId="16120" builtinId="9" hidden="1"/>
    <cellStyle name="Followed Hyperlink" xfId="16161" builtinId="9" hidden="1"/>
    <cellStyle name="Followed Hyperlink" xfId="16162" builtinId="9" hidden="1"/>
    <cellStyle name="Followed Hyperlink" xfId="16163" builtinId="9" hidden="1"/>
    <cellStyle name="Followed Hyperlink" xfId="16164" builtinId="9" hidden="1"/>
    <cellStyle name="Followed Hyperlink" xfId="16165" builtinId="9" hidden="1"/>
    <cellStyle name="Followed Hyperlink" xfId="16166" builtinId="9" hidden="1"/>
    <cellStyle name="Followed Hyperlink" xfId="16167" builtinId="9" hidden="1"/>
    <cellStyle name="Followed Hyperlink" xfId="16168" builtinId="9" hidden="1"/>
    <cellStyle name="Followed Hyperlink" xfId="16169" builtinId="9" hidden="1"/>
    <cellStyle name="Followed Hyperlink" xfId="16170" builtinId="9" hidden="1"/>
    <cellStyle name="Followed Hyperlink" xfId="16171" builtinId="9" hidden="1"/>
    <cellStyle name="Followed Hyperlink" xfId="16172" builtinId="9" hidden="1"/>
    <cellStyle name="Followed Hyperlink" xfId="16173" builtinId="9" hidden="1"/>
    <cellStyle name="Followed Hyperlink" xfId="16174" builtinId="9" hidden="1"/>
    <cellStyle name="Followed Hyperlink" xfId="16175" builtinId="9" hidden="1"/>
    <cellStyle name="Followed Hyperlink" xfId="16176" builtinId="9" hidden="1"/>
    <cellStyle name="Followed Hyperlink" xfId="16177" builtinId="9" hidden="1"/>
    <cellStyle name="Followed Hyperlink" xfId="16178" builtinId="9" hidden="1"/>
    <cellStyle name="Followed Hyperlink" xfId="16179" builtinId="9" hidden="1"/>
    <cellStyle name="Followed Hyperlink" xfId="16180" builtinId="9" hidden="1"/>
    <cellStyle name="Followed Hyperlink" xfId="16181" builtinId="9" hidden="1"/>
    <cellStyle name="Followed Hyperlink" xfId="16182" builtinId="9" hidden="1"/>
    <cellStyle name="Followed Hyperlink" xfId="16183" builtinId="9" hidden="1"/>
    <cellStyle name="Followed Hyperlink" xfId="16184" builtinId="9" hidden="1"/>
    <cellStyle name="Followed Hyperlink" xfId="16185" builtinId="9" hidden="1"/>
    <cellStyle name="Followed Hyperlink" xfId="16186" builtinId="9" hidden="1"/>
    <cellStyle name="Followed Hyperlink" xfId="16187" builtinId="9" hidden="1"/>
    <cellStyle name="Followed Hyperlink" xfId="16188" builtinId="9" hidden="1"/>
    <cellStyle name="Followed Hyperlink" xfId="16189" builtinId="9" hidden="1"/>
    <cellStyle name="Followed Hyperlink" xfId="16190" builtinId="9" hidden="1"/>
    <cellStyle name="Followed Hyperlink" xfId="16191" builtinId="9" hidden="1"/>
    <cellStyle name="Followed Hyperlink" xfId="16192" builtinId="9" hidden="1"/>
    <cellStyle name="Followed Hyperlink" xfId="16193" builtinId="9" hidden="1"/>
    <cellStyle name="Followed Hyperlink" xfId="16194" builtinId="9" hidden="1"/>
    <cellStyle name="Followed Hyperlink" xfId="16195" builtinId="9" hidden="1"/>
    <cellStyle name="Followed Hyperlink" xfId="16196" builtinId="9" hidden="1"/>
    <cellStyle name="Followed Hyperlink" xfId="16197" builtinId="9" hidden="1"/>
    <cellStyle name="Followed Hyperlink" xfId="16198" builtinId="9" hidden="1"/>
    <cellStyle name="Followed Hyperlink" xfId="16199" builtinId="9" hidden="1"/>
    <cellStyle name="Followed Hyperlink" xfId="15912" builtinId="9" hidden="1"/>
    <cellStyle name="Followed Hyperlink" xfId="16160" builtinId="9" hidden="1"/>
    <cellStyle name="Followed Hyperlink" xfId="16201" builtinId="9" hidden="1"/>
    <cellStyle name="Followed Hyperlink" xfId="16202" builtinId="9" hidden="1"/>
    <cellStyle name="Followed Hyperlink" xfId="16203" builtinId="9" hidden="1"/>
    <cellStyle name="Followed Hyperlink" xfId="16204" builtinId="9" hidden="1"/>
    <cellStyle name="Followed Hyperlink" xfId="16205" builtinId="9" hidden="1"/>
    <cellStyle name="Followed Hyperlink" xfId="16206" builtinId="9" hidden="1"/>
    <cellStyle name="Followed Hyperlink" xfId="16207" builtinId="9" hidden="1"/>
    <cellStyle name="Followed Hyperlink" xfId="16208" builtinId="9" hidden="1"/>
    <cellStyle name="Followed Hyperlink" xfId="16209" builtinId="9" hidden="1"/>
    <cellStyle name="Followed Hyperlink" xfId="16210" builtinId="9" hidden="1"/>
    <cellStyle name="Followed Hyperlink" xfId="16211" builtinId="9" hidden="1"/>
    <cellStyle name="Followed Hyperlink" xfId="16212" builtinId="9" hidden="1"/>
    <cellStyle name="Followed Hyperlink" xfId="16213" builtinId="9" hidden="1"/>
    <cellStyle name="Followed Hyperlink" xfId="16214" builtinId="9" hidden="1"/>
    <cellStyle name="Followed Hyperlink" xfId="16215" builtinId="9" hidden="1"/>
    <cellStyle name="Followed Hyperlink" xfId="16216" builtinId="9" hidden="1"/>
    <cellStyle name="Followed Hyperlink" xfId="16217" builtinId="9" hidden="1"/>
    <cellStyle name="Followed Hyperlink" xfId="16218" builtinId="9" hidden="1"/>
    <cellStyle name="Followed Hyperlink" xfId="16219" builtinId="9" hidden="1"/>
    <cellStyle name="Followed Hyperlink" xfId="16220" builtinId="9" hidden="1"/>
    <cellStyle name="Followed Hyperlink" xfId="16221" builtinId="9" hidden="1"/>
    <cellStyle name="Followed Hyperlink" xfId="16222" builtinId="9" hidden="1"/>
    <cellStyle name="Followed Hyperlink" xfId="16223" builtinId="9" hidden="1"/>
    <cellStyle name="Followed Hyperlink" xfId="16224" builtinId="9" hidden="1"/>
    <cellStyle name="Followed Hyperlink" xfId="16225" builtinId="9" hidden="1"/>
    <cellStyle name="Followed Hyperlink" xfId="16226" builtinId="9" hidden="1"/>
    <cellStyle name="Followed Hyperlink" xfId="16227" builtinId="9" hidden="1"/>
    <cellStyle name="Followed Hyperlink" xfId="16228" builtinId="9" hidden="1"/>
    <cellStyle name="Followed Hyperlink" xfId="16229" builtinId="9" hidden="1"/>
    <cellStyle name="Followed Hyperlink" xfId="16230" builtinId="9" hidden="1"/>
    <cellStyle name="Followed Hyperlink" xfId="16231" builtinId="9" hidden="1"/>
    <cellStyle name="Followed Hyperlink" xfId="16232" builtinId="9" hidden="1"/>
    <cellStyle name="Followed Hyperlink" xfId="16233" builtinId="9" hidden="1"/>
    <cellStyle name="Followed Hyperlink" xfId="16234" builtinId="9" hidden="1"/>
    <cellStyle name="Followed Hyperlink" xfId="16235" builtinId="9" hidden="1"/>
    <cellStyle name="Followed Hyperlink" xfId="16236" builtinId="9" hidden="1"/>
    <cellStyle name="Followed Hyperlink" xfId="16237" builtinId="9" hidden="1"/>
    <cellStyle name="Followed Hyperlink" xfId="16238" builtinId="9" hidden="1"/>
    <cellStyle name="Followed Hyperlink" xfId="16239" builtinId="9" hidden="1"/>
    <cellStyle name="Followed Hyperlink" xfId="15913" builtinId="9" hidden="1"/>
    <cellStyle name="Followed Hyperlink" xfId="16200" builtinId="9" hidden="1"/>
    <cellStyle name="Followed Hyperlink" xfId="16241" builtinId="9" hidden="1"/>
    <cellStyle name="Followed Hyperlink" xfId="16242" builtinId="9" hidden="1"/>
    <cellStyle name="Followed Hyperlink" xfId="16243" builtinId="9" hidden="1"/>
    <cellStyle name="Followed Hyperlink" xfId="16244" builtinId="9" hidden="1"/>
    <cellStyle name="Followed Hyperlink" xfId="16245" builtinId="9" hidden="1"/>
    <cellStyle name="Followed Hyperlink" xfId="16246" builtinId="9" hidden="1"/>
    <cellStyle name="Followed Hyperlink" xfId="16247" builtinId="9" hidden="1"/>
    <cellStyle name="Followed Hyperlink" xfId="16248" builtinId="9" hidden="1"/>
    <cellStyle name="Followed Hyperlink" xfId="16249" builtinId="9" hidden="1"/>
    <cellStyle name="Followed Hyperlink" xfId="16250" builtinId="9" hidden="1"/>
    <cellStyle name="Followed Hyperlink" xfId="16251" builtinId="9" hidden="1"/>
    <cellStyle name="Followed Hyperlink" xfId="16252" builtinId="9" hidden="1"/>
    <cellStyle name="Followed Hyperlink" xfId="16253" builtinId="9" hidden="1"/>
    <cellStyle name="Followed Hyperlink" xfId="16254" builtinId="9" hidden="1"/>
    <cellStyle name="Followed Hyperlink" xfId="16255" builtinId="9" hidden="1"/>
    <cellStyle name="Followed Hyperlink" xfId="16256" builtinId="9" hidden="1"/>
    <cellStyle name="Followed Hyperlink" xfId="16257" builtinId="9" hidden="1"/>
    <cellStyle name="Followed Hyperlink" xfId="16258" builtinId="9" hidden="1"/>
    <cellStyle name="Followed Hyperlink" xfId="16259" builtinId="9" hidden="1"/>
    <cellStyle name="Followed Hyperlink" xfId="16260" builtinId="9" hidden="1"/>
    <cellStyle name="Followed Hyperlink" xfId="16261" builtinId="9" hidden="1"/>
    <cellStyle name="Followed Hyperlink" xfId="16262" builtinId="9" hidden="1"/>
    <cellStyle name="Followed Hyperlink" xfId="16263" builtinId="9" hidden="1"/>
    <cellStyle name="Followed Hyperlink" xfId="16264" builtinId="9" hidden="1"/>
    <cellStyle name="Followed Hyperlink" xfId="16265" builtinId="9" hidden="1"/>
    <cellStyle name="Followed Hyperlink" xfId="16266" builtinId="9" hidden="1"/>
    <cellStyle name="Followed Hyperlink" xfId="16267" builtinId="9" hidden="1"/>
    <cellStyle name="Followed Hyperlink" xfId="16268" builtinId="9" hidden="1"/>
    <cellStyle name="Followed Hyperlink" xfId="16269" builtinId="9" hidden="1"/>
    <cellStyle name="Followed Hyperlink" xfId="16270" builtinId="9" hidden="1"/>
    <cellStyle name="Followed Hyperlink" xfId="16271" builtinId="9" hidden="1"/>
    <cellStyle name="Followed Hyperlink" xfId="16272" builtinId="9" hidden="1"/>
    <cellStyle name="Followed Hyperlink" xfId="16273" builtinId="9" hidden="1"/>
    <cellStyle name="Followed Hyperlink" xfId="16274" builtinId="9" hidden="1"/>
    <cellStyle name="Followed Hyperlink" xfId="16275" builtinId="9" hidden="1"/>
    <cellStyle name="Followed Hyperlink" xfId="16276" builtinId="9" hidden="1"/>
    <cellStyle name="Followed Hyperlink" xfId="16277" builtinId="9" hidden="1"/>
    <cellStyle name="Followed Hyperlink" xfId="16278" builtinId="9" hidden="1"/>
    <cellStyle name="Followed Hyperlink" xfId="16279" builtinId="9" hidden="1"/>
    <cellStyle name="Followed Hyperlink" xfId="15915" builtinId="9" hidden="1"/>
    <cellStyle name="Followed Hyperlink" xfId="16240" builtinId="9" hidden="1"/>
    <cellStyle name="Followed Hyperlink" xfId="16281" builtinId="9" hidden="1"/>
    <cellStyle name="Followed Hyperlink" xfId="16282" builtinId="9" hidden="1"/>
    <cellStyle name="Followed Hyperlink" xfId="16283" builtinId="9" hidden="1"/>
    <cellStyle name="Followed Hyperlink" xfId="16284" builtinId="9" hidden="1"/>
    <cellStyle name="Followed Hyperlink" xfId="16285" builtinId="9" hidden="1"/>
    <cellStyle name="Followed Hyperlink" xfId="16286" builtinId="9" hidden="1"/>
    <cellStyle name="Followed Hyperlink" xfId="16287" builtinId="9" hidden="1"/>
    <cellStyle name="Followed Hyperlink" xfId="16288" builtinId="9" hidden="1"/>
    <cellStyle name="Followed Hyperlink" xfId="16289" builtinId="9" hidden="1"/>
    <cellStyle name="Followed Hyperlink" xfId="16290" builtinId="9" hidden="1"/>
    <cellStyle name="Followed Hyperlink" xfId="16291" builtinId="9" hidden="1"/>
    <cellStyle name="Followed Hyperlink" xfId="16292" builtinId="9" hidden="1"/>
    <cellStyle name="Followed Hyperlink" xfId="16293" builtinId="9" hidden="1"/>
    <cellStyle name="Followed Hyperlink" xfId="16294" builtinId="9" hidden="1"/>
    <cellStyle name="Followed Hyperlink" xfId="16295" builtinId="9" hidden="1"/>
    <cellStyle name="Followed Hyperlink" xfId="16296" builtinId="9" hidden="1"/>
    <cellStyle name="Followed Hyperlink" xfId="16297" builtinId="9" hidden="1"/>
    <cellStyle name="Followed Hyperlink" xfId="16298" builtinId="9" hidden="1"/>
    <cellStyle name="Followed Hyperlink" xfId="16299" builtinId="9" hidden="1"/>
    <cellStyle name="Followed Hyperlink" xfId="16300" builtinId="9" hidden="1"/>
    <cellStyle name="Followed Hyperlink" xfId="16301" builtinId="9" hidden="1"/>
    <cellStyle name="Followed Hyperlink" xfId="16302" builtinId="9" hidden="1"/>
    <cellStyle name="Followed Hyperlink" xfId="16303" builtinId="9" hidden="1"/>
    <cellStyle name="Followed Hyperlink" xfId="16304" builtinId="9" hidden="1"/>
    <cellStyle name="Followed Hyperlink" xfId="16305" builtinId="9" hidden="1"/>
    <cellStyle name="Followed Hyperlink" xfId="16306" builtinId="9" hidden="1"/>
    <cellStyle name="Followed Hyperlink" xfId="16307" builtinId="9" hidden="1"/>
    <cellStyle name="Followed Hyperlink" xfId="16308" builtinId="9" hidden="1"/>
    <cellStyle name="Followed Hyperlink" xfId="16309" builtinId="9" hidden="1"/>
    <cellStyle name="Followed Hyperlink" xfId="16310" builtinId="9" hidden="1"/>
    <cellStyle name="Followed Hyperlink" xfId="16311" builtinId="9" hidden="1"/>
    <cellStyle name="Followed Hyperlink" xfId="16312" builtinId="9" hidden="1"/>
    <cellStyle name="Followed Hyperlink" xfId="16313" builtinId="9" hidden="1"/>
    <cellStyle name="Followed Hyperlink" xfId="16314" builtinId="9" hidden="1"/>
    <cellStyle name="Followed Hyperlink" xfId="16315" builtinId="9" hidden="1"/>
    <cellStyle name="Followed Hyperlink" xfId="16316" builtinId="9" hidden="1"/>
    <cellStyle name="Followed Hyperlink" xfId="16317" builtinId="9" hidden="1"/>
    <cellStyle name="Followed Hyperlink" xfId="16318" builtinId="9" hidden="1"/>
    <cellStyle name="Followed Hyperlink" xfId="16319" builtinId="9" hidden="1"/>
    <cellStyle name="Followed Hyperlink" xfId="15911" builtinId="9" hidden="1"/>
    <cellStyle name="Followed Hyperlink" xfId="16280" builtinId="9" hidden="1"/>
    <cellStyle name="Followed Hyperlink" xfId="16320" builtinId="9" hidden="1"/>
    <cellStyle name="Followed Hyperlink" xfId="16321" builtinId="9" hidden="1"/>
    <cellStyle name="Followed Hyperlink" xfId="16322" builtinId="9" hidden="1"/>
    <cellStyle name="Followed Hyperlink" xfId="16323" builtinId="9" hidden="1"/>
    <cellStyle name="Followed Hyperlink" xfId="16324" builtinId="9" hidden="1"/>
    <cellStyle name="Followed Hyperlink" xfId="16325" builtinId="9" hidden="1"/>
    <cellStyle name="Followed Hyperlink" xfId="16326" builtinId="9" hidden="1"/>
    <cellStyle name="Followed Hyperlink" xfId="16327" builtinId="9" hidden="1"/>
    <cellStyle name="Followed Hyperlink" xfId="16328" builtinId="9" hidden="1"/>
    <cellStyle name="Followed Hyperlink" xfId="16329" builtinId="9" hidden="1"/>
    <cellStyle name="Followed Hyperlink" xfId="16330" builtinId="9" hidden="1"/>
    <cellStyle name="Followed Hyperlink" xfId="16331" builtinId="9" hidden="1"/>
    <cellStyle name="Followed Hyperlink" xfId="16332" builtinId="9" hidden="1"/>
    <cellStyle name="Followed Hyperlink" xfId="16333" builtinId="9" hidden="1"/>
    <cellStyle name="Followed Hyperlink" xfId="16334" builtinId="9" hidden="1"/>
    <cellStyle name="Followed Hyperlink" xfId="16335" builtinId="9" hidden="1"/>
    <cellStyle name="Followed Hyperlink" xfId="16336" builtinId="9" hidden="1"/>
    <cellStyle name="Followed Hyperlink" xfId="16337" builtinId="9" hidden="1"/>
    <cellStyle name="Followed Hyperlink" xfId="16338" builtinId="9" hidden="1"/>
    <cellStyle name="Followed Hyperlink" xfId="16339" builtinId="9" hidden="1"/>
    <cellStyle name="Followed Hyperlink" xfId="16340" builtinId="9" hidden="1"/>
    <cellStyle name="Followed Hyperlink" xfId="16341" builtinId="9" hidden="1"/>
    <cellStyle name="Followed Hyperlink" xfId="16342" builtinId="9" hidden="1"/>
    <cellStyle name="Followed Hyperlink" xfId="16343" builtinId="9" hidden="1"/>
    <cellStyle name="Followed Hyperlink" xfId="16344" builtinId="9" hidden="1"/>
    <cellStyle name="Followed Hyperlink" xfId="16345" builtinId="9" hidden="1"/>
    <cellStyle name="Followed Hyperlink" xfId="16346" builtinId="9" hidden="1"/>
    <cellStyle name="Followed Hyperlink" xfId="16347" builtinId="9" hidden="1"/>
    <cellStyle name="Followed Hyperlink" xfId="16348" builtinId="9" hidden="1"/>
    <cellStyle name="Followed Hyperlink" xfId="16349" builtinId="9" hidden="1"/>
    <cellStyle name="Followed Hyperlink" xfId="16350" builtinId="9" hidden="1"/>
    <cellStyle name="Followed Hyperlink" xfId="16351" builtinId="9" hidden="1"/>
    <cellStyle name="Followed Hyperlink" xfId="16352" builtinId="9" hidden="1"/>
    <cellStyle name="Followed Hyperlink" xfId="16353" builtinId="9" hidden="1"/>
    <cellStyle name="Followed Hyperlink" xfId="16354" builtinId="9" hidden="1"/>
    <cellStyle name="Followed Hyperlink" xfId="16355" builtinId="9" hidden="1"/>
    <cellStyle name="Followed Hyperlink" xfId="16356" builtinId="9" hidden="1"/>
    <cellStyle name="Followed Hyperlink" xfId="16357" builtinId="9" hidden="1"/>
    <cellStyle name="Followed Hyperlink" xfId="16358" builtinId="9" hidden="1"/>
    <cellStyle name="Followed Hyperlink" xfId="13408" builtinId="9" hidden="1"/>
    <cellStyle name="Followed Hyperlink" xfId="13404" builtinId="9" hidden="1"/>
    <cellStyle name="Followed Hyperlink" xfId="16359" builtinId="9" hidden="1"/>
    <cellStyle name="Followed Hyperlink" xfId="16360" builtinId="9" hidden="1"/>
    <cellStyle name="Followed Hyperlink" xfId="16361" builtinId="9" hidden="1"/>
    <cellStyle name="Followed Hyperlink" xfId="16362" builtinId="9" hidden="1"/>
    <cellStyle name="Followed Hyperlink" xfId="16363" builtinId="9" hidden="1"/>
    <cellStyle name="Followed Hyperlink" xfId="16364" builtinId="9" hidden="1"/>
    <cellStyle name="Followed Hyperlink" xfId="16365" builtinId="9" hidden="1"/>
    <cellStyle name="Followed Hyperlink" xfId="16366" builtinId="9" hidden="1"/>
    <cellStyle name="Followed Hyperlink" xfId="16367" builtinId="9" hidden="1"/>
    <cellStyle name="Followed Hyperlink" xfId="16368" builtinId="9" hidden="1"/>
    <cellStyle name="Followed Hyperlink" xfId="16369" builtinId="9" hidden="1"/>
    <cellStyle name="Followed Hyperlink" xfId="16370" builtinId="9" hidden="1"/>
    <cellStyle name="Followed Hyperlink" xfId="16371" builtinId="9" hidden="1"/>
    <cellStyle name="Followed Hyperlink" xfId="16372" builtinId="9" hidden="1"/>
    <cellStyle name="Followed Hyperlink" xfId="16373" builtinId="9" hidden="1"/>
    <cellStyle name="Followed Hyperlink" xfId="16374" builtinId="9" hidden="1"/>
    <cellStyle name="Followed Hyperlink" xfId="16375" builtinId="9" hidden="1"/>
    <cellStyle name="Followed Hyperlink" xfId="16376" builtinId="9" hidden="1"/>
    <cellStyle name="Followed Hyperlink" xfId="16377" builtinId="9" hidden="1"/>
    <cellStyle name="Followed Hyperlink" xfId="16378" builtinId="9" hidden="1"/>
    <cellStyle name="Followed Hyperlink" xfId="16379" builtinId="9" hidden="1"/>
    <cellStyle name="Followed Hyperlink" xfId="16380" builtinId="9" hidden="1"/>
    <cellStyle name="Followed Hyperlink" xfId="16381" builtinId="9" hidden="1"/>
    <cellStyle name="Followed Hyperlink" xfId="16382" builtinId="9" hidden="1"/>
    <cellStyle name="Followed Hyperlink" xfId="16383" builtinId="9" hidden="1"/>
    <cellStyle name="Followed Hyperlink" xfId="16384" builtinId="9" hidden="1"/>
    <cellStyle name="Followed Hyperlink" xfId="16385" builtinId="9" hidden="1"/>
    <cellStyle name="Followed Hyperlink" xfId="16386" builtinId="9" hidden="1"/>
    <cellStyle name="Followed Hyperlink" xfId="16387" builtinId="9" hidden="1"/>
    <cellStyle name="Followed Hyperlink" xfId="16388" builtinId="9" hidden="1"/>
    <cellStyle name="Followed Hyperlink" xfId="16389" builtinId="9" hidden="1"/>
    <cellStyle name="Followed Hyperlink" xfId="16390" builtinId="9" hidden="1"/>
    <cellStyle name="Followed Hyperlink" xfId="16391" builtinId="9" hidden="1"/>
    <cellStyle name="Followed Hyperlink" xfId="16392" builtinId="9" hidden="1"/>
    <cellStyle name="Followed Hyperlink" xfId="16393" builtinId="9" hidden="1"/>
    <cellStyle name="Followed Hyperlink" xfId="16394" builtinId="9" hidden="1"/>
    <cellStyle name="Followed Hyperlink" xfId="16395" builtinId="9" hidden="1"/>
    <cellStyle name="Followed Hyperlink" xfId="16396" builtinId="9" hidden="1"/>
    <cellStyle name="Followed Hyperlink" xfId="16397" builtinId="9" hidden="1"/>
    <cellStyle name="Followed Hyperlink" xfId="16406" builtinId="9" hidden="1"/>
    <cellStyle name="Followed Hyperlink" xfId="16407" builtinId="9" hidden="1"/>
    <cellStyle name="Followed Hyperlink" xfId="16408" builtinId="9" hidden="1"/>
    <cellStyle name="Followed Hyperlink" xfId="16409" builtinId="9" hidden="1"/>
    <cellStyle name="Followed Hyperlink" xfId="16410" builtinId="9" hidden="1"/>
    <cellStyle name="Followed Hyperlink" xfId="16411" builtinId="9" hidden="1"/>
    <cellStyle name="Followed Hyperlink" xfId="16412" builtinId="9" hidden="1"/>
    <cellStyle name="Followed Hyperlink" xfId="16413" builtinId="9" hidden="1"/>
    <cellStyle name="Followed Hyperlink" xfId="16414" builtinId="9" hidden="1"/>
    <cellStyle name="Followed Hyperlink" xfId="16415" builtinId="9" hidden="1"/>
    <cellStyle name="Followed Hyperlink" xfId="16416" builtinId="9" hidden="1"/>
    <cellStyle name="Followed Hyperlink" xfId="16417" builtinId="9" hidden="1"/>
    <cellStyle name="Followed Hyperlink" xfId="16418" builtinId="9" hidden="1"/>
    <cellStyle name="Followed Hyperlink" xfId="16419" builtinId="9" hidden="1"/>
    <cellStyle name="Followed Hyperlink" xfId="16420" builtinId="9" hidden="1"/>
    <cellStyle name="Followed Hyperlink" xfId="16421" builtinId="9" hidden="1"/>
    <cellStyle name="Followed Hyperlink" xfId="16422" builtinId="9" hidden="1"/>
    <cellStyle name="Followed Hyperlink" xfId="16423" builtinId="9" hidden="1"/>
    <cellStyle name="Followed Hyperlink" xfId="16424" builtinId="9" hidden="1"/>
    <cellStyle name="Followed Hyperlink" xfId="16425" builtinId="9" hidden="1"/>
    <cellStyle name="Followed Hyperlink" xfId="16426" builtinId="9" hidden="1"/>
    <cellStyle name="Followed Hyperlink" xfId="16427" builtinId="9" hidden="1"/>
    <cellStyle name="Followed Hyperlink" xfId="16428" builtinId="9" hidden="1"/>
    <cellStyle name="Followed Hyperlink" xfId="16429" builtinId="9" hidden="1"/>
    <cellStyle name="Followed Hyperlink" xfId="16430" builtinId="9" hidden="1"/>
    <cellStyle name="Followed Hyperlink" xfId="16431" builtinId="9" hidden="1"/>
    <cellStyle name="Followed Hyperlink" xfId="16432" builtinId="9" hidden="1"/>
    <cellStyle name="Followed Hyperlink" xfId="16433" builtinId="9" hidden="1"/>
    <cellStyle name="Followed Hyperlink" xfId="16434" builtinId="9" hidden="1"/>
    <cellStyle name="Followed Hyperlink" xfId="16435" builtinId="9" hidden="1"/>
    <cellStyle name="Followed Hyperlink" xfId="16436" builtinId="9" hidden="1"/>
    <cellStyle name="Followed Hyperlink" xfId="16437" builtinId="9" hidden="1"/>
    <cellStyle name="Followed Hyperlink" xfId="16438" builtinId="9" hidden="1"/>
    <cellStyle name="Followed Hyperlink" xfId="16439" builtinId="9" hidden="1"/>
    <cellStyle name="Followed Hyperlink" xfId="16440" builtinId="9" hidden="1"/>
    <cellStyle name="Followed Hyperlink" xfId="16441" builtinId="9" hidden="1"/>
    <cellStyle name="Followed Hyperlink" xfId="16442" builtinId="9" hidden="1"/>
    <cellStyle name="Followed Hyperlink" xfId="16443" builtinId="9" hidden="1"/>
    <cellStyle name="Followed Hyperlink" xfId="16444" builtinId="9" hidden="1"/>
    <cellStyle name="Followed Hyperlink" xfId="16445" builtinId="9" hidden="1"/>
    <cellStyle name="Followed Hyperlink" xfId="16446" builtinId="9" hidden="1"/>
    <cellStyle name="Followed Hyperlink" xfId="16447" builtinId="9" hidden="1"/>
    <cellStyle name="Followed Hyperlink" xfId="16448" builtinId="9" hidden="1"/>
    <cellStyle name="Followed Hyperlink" xfId="16449" builtinId="9" hidden="1"/>
    <cellStyle name="Followed Hyperlink" xfId="16450" builtinId="9" hidden="1"/>
    <cellStyle name="Followed Hyperlink" xfId="16451" builtinId="9" hidden="1"/>
    <cellStyle name="Followed Hyperlink" xfId="16452" builtinId="9" hidden="1"/>
    <cellStyle name="Followed Hyperlink" xfId="16453" builtinId="9" hidden="1"/>
    <cellStyle name="Followed Hyperlink" xfId="16454" builtinId="9" hidden="1"/>
    <cellStyle name="Followed Hyperlink" xfId="16455" builtinId="9" hidden="1"/>
    <cellStyle name="Followed Hyperlink" xfId="16456" builtinId="9" hidden="1"/>
    <cellStyle name="Followed Hyperlink" xfId="16457" builtinId="9" hidden="1"/>
    <cellStyle name="Followed Hyperlink" xfId="16458" builtinId="9" hidden="1"/>
    <cellStyle name="Followed Hyperlink" xfId="16459" builtinId="9" hidden="1"/>
    <cellStyle name="Followed Hyperlink" xfId="16460" builtinId="9" hidden="1"/>
    <cellStyle name="Followed Hyperlink" xfId="16461" builtinId="9" hidden="1"/>
    <cellStyle name="Followed Hyperlink" xfId="16462" builtinId="9" hidden="1"/>
    <cellStyle name="Followed Hyperlink" xfId="16463" builtinId="9" hidden="1"/>
    <cellStyle name="Followed Hyperlink" xfId="16464" builtinId="9" hidden="1"/>
    <cellStyle name="Followed Hyperlink" xfId="16465" builtinId="9" hidden="1"/>
    <cellStyle name="Followed Hyperlink" xfId="16466" builtinId="9" hidden="1"/>
    <cellStyle name="Followed Hyperlink" xfId="16467" builtinId="9" hidden="1"/>
    <cellStyle name="Followed Hyperlink" xfId="16468" builtinId="9" hidden="1"/>
    <cellStyle name="Followed Hyperlink" xfId="16469" builtinId="9" hidden="1"/>
    <cellStyle name="Followed Hyperlink" xfId="16470" builtinId="9" hidden="1"/>
    <cellStyle name="Followed Hyperlink" xfId="16471" builtinId="9" hidden="1"/>
    <cellStyle name="Followed Hyperlink" xfId="16472" builtinId="9" hidden="1"/>
    <cellStyle name="Followed Hyperlink" xfId="16473" builtinId="9" hidden="1"/>
    <cellStyle name="Followed Hyperlink" xfId="16474" builtinId="9" hidden="1"/>
    <cellStyle name="Followed Hyperlink" xfId="16475" builtinId="9" hidden="1"/>
    <cellStyle name="Followed Hyperlink" xfId="16476" builtinId="9" hidden="1"/>
    <cellStyle name="Followed Hyperlink" xfId="16477" builtinId="9" hidden="1"/>
    <cellStyle name="Followed Hyperlink" xfId="16478" builtinId="9" hidden="1"/>
    <cellStyle name="Followed Hyperlink" xfId="16479" builtinId="9" hidden="1"/>
    <cellStyle name="Followed Hyperlink" xfId="16480" builtinId="9" hidden="1"/>
    <cellStyle name="Followed Hyperlink" xfId="16481" builtinId="9" hidden="1"/>
    <cellStyle name="Followed Hyperlink" xfId="16482" builtinId="9" hidden="1"/>
    <cellStyle name="Followed Hyperlink" xfId="16483" builtinId="9" hidden="1"/>
    <cellStyle name="Followed Hyperlink" xfId="16484" builtinId="9" hidden="1"/>
    <cellStyle name="Followed Hyperlink" xfId="16485" builtinId="9" hidden="1"/>
    <cellStyle name="Followed Hyperlink" xfId="16486" builtinId="9" hidden="1"/>
    <cellStyle name="Followed Hyperlink" xfId="16487" builtinId="9" hidden="1"/>
    <cellStyle name="Followed Hyperlink" xfId="16488" builtinId="9" hidden="1"/>
    <cellStyle name="Followed Hyperlink" xfId="16489" builtinId="9" hidden="1"/>
    <cellStyle name="Followed Hyperlink" xfId="16490" builtinId="9" hidden="1"/>
    <cellStyle name="Followed Hyperlink" xfId="16491" builtinId="9" hidden="1"/>
    <cellStyle name="Followed Hyperlink" xfId="16492" builtinId="9" hidden="1"/>
    <cellStyle name="Followed Hyperlink" xfId="16493" builtinId="9" hidden="1"/>
    <cellStyle name="Followed Hyperlink" xfId="16494" builtinId="9" hidden="1"/>
    <cellStyle name="Followed Hyperlink" xfId="16495" builtinId="9" hidden="1"/>
    <cellStyle name="Followed Hyperlink" xfId="16496" builtinId="9" hidden="1"/>
    <cellStyle name="Followed Hyperlink" xfId="16497" builtinId="9" hidden="1"/>
    <cellStyle name="Followed Hyperlink" xfId="16498" builtinId="9" hidden="1"/>
    <cellStyle name="Followed Hyperlink" xfId="16499" builtinId="9" hidden="1"/>
    <cellStyle name="Followed Hyperlink" xfId="16500" builtinId="9" hidden="1"/>
    <cellStyle name="Followed Hyperlink" xfId="16501" builtinId="9" hidden="1"/>
    <cellStyle name="Followed Hyperlink" xfId="16502" builtinId="9" hidden="1"/>
    <cellStyle name="Followed Hyperlink" xfId="16503" builtinId="9" hidden="1"/>
    <cellStyle name="Followed Hyperlink" xfId="16504" builtinId="9" hidden="1"/>
    <cellStyle name="Followed Hyperlink" xfId="16505" builtinId="9" hidden="1"/>
    <cellStyle name="Followed Hyperlink" xfId="16506" builtinId="9" hidden="1"/>
    <cellStyle name="Followed Hyperlink" xfId="16507" builtinId="9" hidden="1"/>
    <cellStyle name="Followed Hyperlink" xfId="16508" builtinId="9" hidden="1"/>
    <cellStyle name="Followed Hyperlink" xfId="16509" builtinId="9" hidden="1"/>
    <cellStyle name="Followed Hyperlink" xfId="16510" builtinId="9" hidden="1"/>
    <cellStyle name="Followed Hyperlink" xfId="16511" builtinId="9" hidden="1"/>
    <cellStyle name="Followed Hyperlink" xfId="16512" builtinId="9" hidden="1"/>
    <cellStyle name="Followed Hyperlink" xfId="16513" builtinId="9" hidden="1"/>
    <cellStyle name="Followed Hyperlink" xfId="16514" builtinId="9" hidden="1"/>
    <cellStyle name="Followed Hyperlink" xfId="16515" builtinId="9" hidden="1"/>
    <cellStyle name="Followed Hyperlink" xfId="16516" builtinId="9" hidden="1"/>
    <cellStyle name="Followed Hyperlink" xfId="16517" builtinId="9" hidden="1"/>
    <cellStyle name="Followed Hyperlink" xfId="16518" builtinId="9" hidden="1"/>
    <cellStyle name="Followed Hyperlink" xfId="16519" builtinId="9" hidden="1"/>
    <cellStyle name="Followed Hyperlink" xfId="16520" builtinId="9" hidden="1"/>
    <cellStyle name="Followed Hyperlink" xfId="16521" builtinId="9" hidden="1"/>
    <cellStyle name="Followed Hyperlink" xfId="16522" builtinId="9" hidden="1"/>
    <cellStyle name="Followed Hyperlink" xfId="16523" builtinId="9" hidden="1"/>
    <cellStyle name="Followed Hyperlink" xfId="16524" builtinId="9" hidden="1"/>
    <cellStyle name="Followed Hyperlink" xfId="16525" builtinId="9" hidden="1"/>
    <cellStyle name="Followed Hyperlink" xfId="16526" builtinId="9" hidden="1"/>
    <cellStyle name="Followed Hyperlink" xfId="16527" builtinId="9" hidden="1"/>
    <cellStyle name="Followed Hyperlink" xfId="16528" builtinId="9" hidden="1"/>
    <cellStyle name="Followed Hyperlink" xfId="16398" builtinId="9" hidden="1"/>
    <cellStyle name="Followed Hyperlink" xfId="13403" builtinId="9" hidden="1"/>
    <cellStyle name="Followed Hyperlink" xfId="16530" builtinId="9" hidden="1"/>
    <cellStyle name="Followed Hyperlink" xfId="16531" builtinId="9" hidden="1"/>
    <cellStyle name="Followed Hyperlink" xfId="16532" builtinId="9" hidden="1"/>
    <cellStyle name="Followed Hyperlink" xfId="16533" builtinId="9" hidden="1"/>
    <cellStyle name="Followed Hyperlink" xfId="16534" builtinId="9" hidden="1"/>
    <cellStyle name="Followed Hyperlink" xfId="16535" builtinId="9" hidden="1"/>
    <cellStyle name="Followed Hyperlink" xfId="16536" builtinId="9" hidden="1"/>
    <cellStyle name="Followed Hyperlink" xfId="16537" builtinId="9" hidden="1"/>
    <cellStyle name="Followed Hyperlink" xfId="16538" builtinId="9" hidden="1"/>
    <cellStyle name="Followed Hyperlink" xfId="16539" builtinId="9" hidden="1"/>
    <cellStyle name="Followed Hyperlink" xfId="16540" builtinId="9" hidden="1"/>
    <cellStyle name="Followed Hyperlink" xfId="16541" builtinId="9" hidden="1"/>
    <cellStyle name="Followed Hyperlink" xfId="16542" builtinId="9" hidden="1"/>
    <cellStyle name="Followed Hyperlink" xfId="16543" builtinId="9" hidden="1"/>
    <cellStyle name="Followed Hyperlink" xfId="16544" builtinId="9" hidden="1"/>
    <cellStyle name="Followed Hyperlink" xfId="16545" builtinId="9" hidden="1"/>
    <cellStyle name="Followed Hyperlink" xfId="16546" builtinId="9" hidden="1"/>
    <cellStyle name="Followed Hyperlink" xfId="16547" builtinId="9" hidden="1"/>
    <cellStyle name="Followed Hyperlink" xfId="16548" builtinId="9" hidden="1"/>
    <cellStyle name="Followed Hyperlink" xfId="16549" builtinId="9" hidden="1"/>
    <cellStyle name="Followed Hyperlink" xfId="16550" builtinId="9" hidden="1"/>
    <cellStyle name="Followed Hyperlink" xfId="16551" builtinId="9" hidden="1"/>
    <cellStyle name="Followed Hyperlink" xfId="16552" builtinId="9" hidden="1"/>
    <cellStyle name="Followed Hyperlink" xfId="16553" builtinId="9" hidden="1"/>
    <cellStyle name="Followed Hyperlink" xfId="16554" builtinId="9" hidden="1"/>
    <cellStyle name="Followed Hyperlink" xfId="16555" builtinId="9" hidden="1"/>
    <cellStyle name="Followed Hyperlink" xfId="16556" builtinId="9" hidden="1"/>
    <cellStyle name="Followed Hyperlink" xfId="16557" builtinId="9" hidden="1"/>
    <cellStyle name="Followed Hyperlink" xfId="16558" builtinId="9" hidden="1"/>
    <cellStyle name="Followed Hyperlink" xfId="16559" builtinId="9" hidden="1"/>
    <cellStyle name="Followed Hyperlink" xfId="16560" builtinId="9" hidden="1"/>
    <cellStyle name="Followed Hyperlink" xfId="16561" builtinId="9" hidden="1"/>
    <cellStyle name="Followed Hyperlink" xfId="16562" builtinId="9" hidden="1"/>
    <cellStyle name="Followed Hyperlink" xfId="16563" builtinId="9" hidden="1"/>
    <cellStyle name="Followed Hyperlink" xfId="16564" builtinId="9" hidden="1"/>
    <cellStyle name="Followed Hyperlink" xfId="16565" builtinId="9" hidden="1"/>
    <cellStyle name="Followed Hyperlink" xfId="16566" builtinId="9" hidden="1"/>
    <cellStyle name="Followed Hyperlink" xfId="16567" builtinId="9" hidden="1"/>
    <cellStyle name="Followed Hyperlink" xfId="16568" builtinId="9" hidden="1"/>
    <cellStyle name="Followed Hyperlink" xfId="16403" builtinId="9" hidden="1"/>
    <cellStyle name="Followed Hyperlink" xfId="16529" builtinId="9" hidden="1"/>
    <cellStyle name="Followed Hyperlink" xfId="16570" builtinId="9" hidden="1"/>
    <cellStyle name="Followed Hyperlink" xfId="16571" builtinId="9" hidden="1"/>
    <cellStyle name="Followed Hyperlink" xfId="16572" builtinId="9" hidden="1"/>
    <cellStyle name="Followed Hyperlink" xfId="16573" builtinId="9" hidden="1"/>
    <cellStyle name="Followed Hyperlink" xfId="16574" builtinId="9" hidden="1"/>
    <cellStyle name="Followed Hyperlink" xfId="16575" builtinId="9" hidden="1"/>
    <cellStyle name="Followed Hyperlink" xfId="16576" builtinId="9" hidden="1"/>
    <cellStyle name="Followed Hyperlink" xfId="16577" builtinId="9" hidden="1"/>
    <cellStyle name="Followed Hyperlink" xfId="16578" builtinId="9" hidden="1"/>
    <cellStyle name="Followed Hyperlink" xfId="16579" builtinId="9" hidden="1"/>
    <cellStyle name="Followed Hyperlink" xfId="16580" builtinId="9" hidden="1"/>
    <cellStyle name="Followed Hyperlink" xfId="16581" builtinId="9" hidden="1"/>
    <cellStyle name="Followed Hyperlink" xfId="16582" builtinId="9" hidden="1"/>
    <cellStyle name="Followed Hyperlink" xfId="16583" builtinId="9" hidden="1"/>
    <cellStyle name="Followed Hyperlink" xfId="16584" builtinId="9" hidden="1"/>
    <cellStyle name="Followed Hyperlink" xfId="16585" builtinId="9" hidden="1"/>
    <cellStyle name="Followed Hyperlink" xfId="16586" builtinId="9" hidden="1"/>
    <cellStyle name="Followed Hyperlink" xfId="16587" builtinId="9" hidden="1"/>
    <cellStyle name="Followed Hyperlink" xfId="16588" builtinId="9" hidden="1"/>
    <cellStyle name="Followed Hyperlink" xfId="16589" builtinId="9" hidden="1"/>
    <cellStyle name="Followed Hyperlink" xfId="16590" builtinId="9" hidden="1"/>
    <cellStyle name="Followed Hyperlink" xfId="16591" builtinId="9" hidden="1"/>
    <cellStyle name="Followed Hyperlink" xfId="16592" builtinId="9" hidden="1"/>
    <cellStyle name="Followed Hyperlink" xfId="16593" builtinId="9" hidden="1"/>
    <cellStyle name="Followed Hyperlink" xfId="16594" builtinId="9" hidden="1"/>
    <cellStyle name="Followed Hyperlink" xfId="16595" builtinId="9" hidden="1"/>
    <cellStyle name="Followed Hyperlink" xfId="16596" builtinId="9" hidden="1"/>
    <cellStyle name="Followed Hyperlink" xfId="16597" builtinId="9" hidden="1"/>
    <cellStyle name="Followed Hyperlink" xfId="16598" builtinId="9" hidden="1"/>
    <cellStyle name="Followed Hyperlink" xfId="16599" builtinId="9" hidden="1"/>
    <cellStyle name="Followed Hyperlink" xfId="16600" builtinId="9" hidden="1"/>
    <cellStyle name="Followed Hyperlink" xfId="16601" builtinId="9" hidden="1"/>
    <cellStyle name="Followed Hyperlink" xfId="16602" builtinId="9" hidden="1"/>
    <cellStyle name="Followed Hyperlink" xfId="16603" builtinId="9" hidden="1"/>
    <cellStyle name="Followed Hyperlink" xfId="16604" builtinId="9" hidden="1"/>
    <cellStyle name="Followed Hyperlink" xfId="16605" builtinId="9" hidden="1"/>
    <cellStyle name="Followed Hyperlink" xfId="16606" builtinId="9" hidden="1"/>
    <cellStyle name="Followed Hyperlink" xfId="16607" builtinId="9" hidden="1"/>
    <cellStyle name="Followed Hyperlink" xfId="16608" builtinId="9" hidden="1"/>
    <cellStyle name="Followed Hyperlink" xfId="16405" builtinId="9" hidden="1"/>
    <cellStyle name="Followed Hyperlink" xfId="16569" builtinId="9" hidden="1"/>
    <cellStyle name="Followed Hyperlink" xfId="16610" builtinId="9" hidden="1"/>
    <cellStyle name="Followed Hyperlink" xfId="16611" builtinId="9" hidden="1"/>
    <cellStyle name="Followed Hyperlink" xfId="16612" builtinId="9" hidden="1"/>
    <cellStyle name="Followed Hyperlink" xfId="16613" builtinId="9" hidden="1"/>
    <cellStyle name="Followed Hyperlink" xfId="16614" builtinId="9" hidden="1"/>
    <cellStyle name="Followed Hyperlink" xfId="16615" builtinId="9" hidden="1"/>
    <cellStyle name="Followed Hyperlink" xfId="16616" builtinId="9" hidden="1"/>
    <cellStyle name="Followed Hyperlink" xfId="16617" builtinId="9" hidden="1"/>
    <cellStyle name="Followed Hyperlink" xfId="16618" builtinId="9" hidden="1"/>
    <cellStyle name="Followed Hyperlink" xfId="16619" builtinId="9" hidden="1"/>
    <cellStyle name="Followed Hyperlink" xfId="16620" builtinId="9" hidden="1"/>
    <cellStyle name="Followed Hyperlink" xfId="16621" builtinId="9" hidden="1"/>
    <cellStyle name="Followed Hyperlink" xfId="16622" builtinId="9" hidden="1"/>
    <cellStyle name="Followed Hyperlink" xfId="16623" builtinId="9" hidden="1"/>
    <cellStyle name="Followed Hyperlink" xfId="16624" builtinId="9" hidden="1"/>
    <cellStyle name="Followed Hyperlink" xfId="16625" builtinId="9" hidden="1"/>
    <cellStyle name="Followed Hyperlink" xfId="16626" builtinId="9" hidden="1"/>
    <cellStyle name="Followed Hyperlink" xfId="16627" builtinId="9" hidden="1"/>
    <cellStyle name="Followed Hyperlink" xfId="16628" builtinId="9" hidden="1"/>
    <cellStyle name="Followed Hyperlink" xfId="16629" builtinId="9" hidden="1"/>
    <cellStyle name="Followed Hyperlink" xfId="16630" builtinId="9" hidden="1"/>
    <cellStyle name="Followed Hyperlink" xfId="16631" builtinId="9" hidden="1"/>
    <cellStyle name="Followed Hyperlink" xfId="16632" builtinId="9" hidden="1"/>
    <cellStyle name="Followed Hyperlink" xfId="16633" builtinId="9" hidden="1"/>
    <cellStyle name="Followed Hyperlink" xfId="16634" builtinId="9" hidden="1"/>
    <cellStyle name="Followed Hyperlink" xfId="16635" builtinId="9" hidden="1"/>
    <cellStyle name="Followed Hyperlink" xfId="16636" builtinId="9" hidden="1"/>
    <cellStyle name="Followed Hyperlink" xfId="16637" builtinId="9" hidden="1"/>
    <cellStyle name="Followed Hyperlink" xfId="16638" builtinId="9" hidden="1"/>
    <cellStyle name="Followed Hyperlink" xfId="16639" builtinId="9" hidden="1"/>
    <cellStyle name="Followed Hyperlink" xfId="16640" builtinId="9" hidden="1"/>
    <cellStyle name="Followed Hyperlink" xfId="16641" builtinId="9" hidden="1"/>
    <cellStyle name="Followed Hyperlink" xfId="16642" builtinId="9" hidden="1"/>
    <cellStyle name="Followed Hyperlink" xfId="16643" builtinId="9" hidden="1"/>
    <cellStyle name="Followed Hyperlink" xfId="16644" builtinId="9" hidden="1"/>
    <cellStyle name="Followed Hyperlink" xfId="16645" builtinId="9" hidden="1"/>
    <cellStyle name="Followed Hyperlink" xfId="16646" builtinId="9" hidden="1"/>
    <cellStyle name="Followed Hyperlink" xfId="16647" builtinId="9" hidden="1"/>
    <cellStyle name="Followed Hyperlink" xfId="16648" builtinId="9" hidden="1"/>
    <cellStyle name="Followed Hyperlink" xfId="16399" builtinId="9" hidden="1"/>
    <cellStyle name="Followed Hyperlink" xfId="16609" builtinId="9" hidden="1"/>
    <cellStyle name="Followed Hyperlink" xfId="16650" builtinId="9" hidden="1"/>
    <cellStyle name="Followed Hyperlink" xfId="16651" builtinId="9" hidden="1"/>
    <cellStyle name="Followed Hyperlink" xfId="16652" builtinId="9" hidden="1"/>
    <cellStyle name="Followed Hyperlink" xfId="16653" builtinId="9" hidden="1"/>
    <cellStyle name="Followed Hyperlink" xfId="16654" builtinId="9" hidden="1"/>
    <cellStyle name="Followed Hyperlink" xfId="16655" builtinId="9" hidden="1"/>
    <cellStyle name="Followed Hyperlink" xfId="16656" builtinId="9" hidden="1"/>
    <cellStyle name="Followed Hyperlink" xfId="16657" builtinId="9" hidden="1"/>
    <cellStyle name="Followed Hyperlink" xfId="16658" builtinId="9" hidden="1"/>
    <cellStyle name="Followed Hyperlink" xfId="16659" builtinId="9" hidden="1"/>
    <cellStyle name="Followed Hyperlink" xfId="16660" builtinId="9" hidden="1"/>
    <cellStyle name="Followed Hyperlink" xfId="16661" builtinId="9" hidden="1"/>
    <cellStyle name="Followed Hyperlink" xfId="16662" builtinId="9" hidden="1"/>
    <cellStyle name="Followed Hyperlink" xfId="16663" builtinId="9" hidden="1"/>
    <cellStyle name="Followed Hyperlink" xfId="16664" builtinId="9" hidden="1"/>
    <cellStyle name="Followed Hyperlink" xfId="16665" builtinId="9" hidden="1"/>
    <cellStyle name="Followed Hyperlink" xfId="16666" builtinId="9" hidden="1"/>
    <cellStyle name="Followed Hyperlink" xfId="16667" builtinId="9" hidden="1"/>
    <cellStyle name="Followed Hyperlink" xfId="16668" builtinId="9" hidden="1"/>
    <cellStyle name="Followed Hyperlink" xfId="16669" builtinId="9" hidden="1"/>
    <cellStyle name="Followed Hyperlink" xfId="16670" builtinId="9" hidden="1"/>
    <cellStyle name="Followed Hyperlink" xfId="16671" builtinId="9" hidden="1"/>
    <cellStyle name="Followed Hyperlink" xfId="16672" builtinId="9" hidden="1"/>
    <cellStyle name="Followed Hyperlink" xfId="16673" builtinId="9" hidden="1"/>
    <cellStyle name="Followed Hyperlink" xfId="16674" builtinId="9" hidden="1"/>
    <cellStyle name="Followed Hyperlink" xfId="16675" builtinId="9" hidden="1"/>
    <cellStyle name="Followed Hyperlink" xfId="16676" builtinId="9" hidden="1"/>
    <cellStyle name="Followed Hyperlink" xfId="16677" builtinId="9" hidden="1"/>
    <cellStyle name="Followed Hyperlink" xfId="16678" builtinId="9" hidden="1"/>
    <cellStyle name="Followed Hyperlink" xfId="16679" builtinId="9" hidden="1"/>
    <cellStyle name="Followed Hyperlink" xfId="16680" builtinId="9" hidden="1"/>
    <cellStyle name="Followed Hyperlink" xfId="16681" builtinId="9" hidden="1"/>
    <cellStyle name="Followed Hyperlink" xfId="16682" builtinId="9" hidden="1"/>
    <cellStyle name="Followed Hyperlink" xfId="16683" builtinId="9" hidden="1"/>
    <cellStyle name="Followed Hyperlink" xfId="16684" builtinId="9" hidden="1"/>
    <cellStyle name="Followed Hyperlink" xfId="16685" builtinId="9" hidden="1"/>
    <cellStyle name="Followed Hyperlink" xfId="16686" builtinId="9" hidden="1"/>
    <cellStyle name="Followed Hyperlink" xfId="16687" builtinId="9" hidden="1"/>
    <cellStyle name="Followed Hyperlink" xfId="16688" builtinId="9" hidden="1"/>
    <cellStyle name="Followed Hyperlink" xfId="16401" builtinId="9" hidden="1"/>
    <cellStyle name="Followed Hyperlink" xfId="16649" builtinId="9" hidden="1"/>
    <cellStyle name="Followed Hyperlink" xfId="16690" builtinId="9" hidden="1"/>
    <cellStyle name="Followed Hyperlink" xfId="16691" builtinId="9" hidden="1"/>
    <cellStyle name="Followed Hyperlink" xfId="16692" builtinId="9" hidden="1"/>
    <cellStyle name="Followed Hyperlink" xfId="16693" builtinId="9" hidden="1"/>
    <cellStyle name="Followed Hyperlink" xfId="16694" builtinId="9" hidden="1"/>
    <cellStyle name="Followed Hyperlink" xfId="16695" builtinId="9" hidden="1"/>
    <cellStyle name="Followed Hyperlink" xfId="16696" builtinId="9" hidden="1"/>
    <cellStyle name="Followed Hyperlink" xfId="16697" builtinId="9" hidden="1"/>
    <cellStyle name="Followed Hyperlink" xfId="16698" builtinId="9" hidden="1"/>
    <cellStyle name="Followed Hyperlink" xfId="16699" builtinId="9" hidden="1"/>
    <cellStyle name="Followed Hyperlink" xfId="16700" builtinId="9" hidden="1"/>
    <cellStyle name="Followed Hyperlink" xfId="16701" builtinId="9" hidden="1"/>
    <cellStyle name="Followed Hyperlink" xfId="16702" builtinId="9" hidden="1"/>
    <cellStyle name="Followed Hyperlink" xfId="16703" builtinId="9" hidden="1"/>
    <cellStyle name="Followed Hyperlink" xfId="16704" builtinId="9" hidden="1"/>
    <cellStyle name="Followed Hyperlink" xfId="16705" builtinId="9" hidden="1"/>
    <cellStyle name="Followed Hyperlink" xfId="16706" builtinId="9" hidden="1"/>
    <cellStyle name="Followed Hyperlink" xfId="16707" builtinId="9" hidden="1"/>
    <cellStyle name="Followed Hyperlink" xfId="16708" builtinId="9" hidden="1"/>
    <cellStyle name="Followed Hyperlink" xfId="16709" builtinId="9" hidden="1"/>
    <cellStyle name="Followed Hyperlink" xfId="16710" builtinId="9" hidden="1"/>
    <cellStyle name="Followed Hyperlink" xfId="16711" builtinId="9" hidden="1"/>
    <cellStyle name="Followed Hyperlink" xfId="16712" builtinId="9" hidden="1"/>
    <cellStyle name="Followed Hyperlink" xfId="16713" builtinId="9" hidden="1"/>
    <cellStyle name="Followed Hyperlink" xfId="16714" builtinId="9" hidden="1"/>
    <cellStyle name="Followed Hyperlink" xfId="16715" builtinId="9" hidden="1"/>
    <cellStyle name="Followed Hyperlink" xfId="16716" builtinId="9" hidden="1"/>
    <cellStyle name="Followed Hyperlink" xfId="16717" builtinId="9" hidden="1"/>
    <cellStyle name="Followed Hyperlink" xfId="16718" builtinId="9" hidden="1"/>
    <cellStyle name="Followed Hyperlink" xfId="16719" builtinId="9" hidden="1"/>
    <cellStyle name="Followed Hyperlink" xfId="16720" builtinId="9" hidden="1"/>
    <cellStyle name="Followed Hyperlink" xfId="16721" builtinId="9" hidden="1"/>
    <cellStyle name="Followed Hyperlink" xfId="16722" builtinId="9" hidden="1"/>
    <cellStyle name="Followed Hyperlink" xfId="16723" builtinId="9" hidden="1"/>
    <cellStyle name="Followed Hyperlink" xfId="16724" builtinId="9" hidden="1"/>
    <cellStyle name="Followed Hyperlink" xfId="16725" builtinId="9" hidden="1"/>
    <cellStyle name="Followed Hyperlink" xfId="16726" builtinId="9" hidden="1"/>
    <cellStyle name="Followed Hyperlink" xfId="16727" builtinId="9" hidden="1"/>
    <cellStyle name="Followed Hyperlink" xfId="16728" builtinId="9" hidden="1"/>
    <cellStyle name="Followed Hyperlink" xfId="16402" builtinId="9" hidden="1"/>
    <cellStyle name="Followed Hyperlink" xfId="16689" builtinId="9" hidden="1"/>
    <cellStyle name="Followed Hyperlink" xfId="16730" builtinId="9" hidden="1"/>
    <cellStyle name="Followed Hyperlink" xfId="16731" builtinId="9" hidden="1"/>
    <cellStyle name="Followed Hyperlink" xfId="16732" builtinId="9" hidden="1"/>
    <cellStyle name="Followed Hyperlink" xfId="16733" builtinId="9" hidden="1"/>
    <cellStyle name="Followed Hyperlink" xfId="16734" builtinId="9" hidden="1"/>
    <cellStyle name="Followed Hyperlink" xfId="16735" builtinId="9" hidden="1"/>
    <cellStyle name="Followed Hyperlink" xfId="16736" builtinId="9" hidden="1"/>
    <cellStyle name="Followed Hyperlink" xfId="16737" builtinId="9" hidden="1"/>
    <cellStyle name="Followed Hyperlink" xfId="16738" builtinId="9" hidden="1"/>
    <cellStyle name="Followed Hyperlink" xfId="16739" builtinId="9" hidden="1"/>
    <cellStyle name="Followed Hyperlink" xfId="16740" builtinId="9" hidden="1"/>
    <cellStyle name="Followed Hyperlink" xfId="16741" builtinId="9" hidden="1"/>
    <cellStyle name="Followed Hyperlink" xfId="16742" builtinId="9" hidden="1"/>
    <cellStyle name="Followed Hyperlink" xfId="16743" builtinId="9" hidden="1"/>
    <cellStyle name="Followed Hyperlink" xfId="16744" builtinId="9" hidden="1"/>
    <cellStyle name="Followed Hyperlink" xfId="16745" builtinId="9" hidden="1"/>
    <cellStyle name="Followed Hyperlink" xfId="16746" builtinId="9" hidden="1"/>
    <cellStyle name="Followed Hyperlink" xfId="16747" builtinId="9" hidden="1"/>
    <cellStyle name="Followed Hyperlink" xfId="16748" builtinId="9" hidden="1"/>
    <cellStyle name="Followed Hyperlink" xfId="16749" builtinId="9" hidden="1"/>
    <cellStyle name="Followed Hyperlink" xfId="16750" builtinId="9" hidden="1"/>
    <cellStyle name="Followed Hyperlink" xfId="16751" builtinId="9" hidden="1"/>
    <cellStyle name="Followed Hyperlink" xfId="16752" builtinId="9" hidden="1"/>
    <cellStyle name="Followed Hyperlink" xfId="16753" builtinId="9" hidden="1"/>
    <cellStyle name="Followed Hyperlink" xfId="16754" builtinId="9" hidden="1"/>
    <cellStyle name="Followed Hyperlink" xfId="16755" builtinId="9" hidden="1"/>
    <cellStyle name="Followed Hyperlink" xfId="16756" builtinId="9" hidden="1"/>
    <cellStyle name="Followed Hyperlink" xfId="16757" builtinId="9" hidden="1"/>
    <cellStyle name="Followed Hyperlink" xfId="16758" builtinId="9" hidden="1"/>
    <cellStyle name="Followed Hyperlink" xfId="16759" builtinId="9" hidden="1"/>
    <cellStyle name="Followed Hyperlink" xfId="16760" builtinId="9" hidden="1"/>
    <cellStyle name="Followed Hyperlink" xfId="16761" builtinId="9" hidden="1"/>
    <cellStyle name="Followed Hyperlink" xfId="16762" builtinId="9" hidden="1"/>
    <cellStyle name="Followed Hyperlink" xfId="16763" builtinId="9" hidden="1"/>
    <cellStyle name="Followed Hyperlink" xfId="16764" builtinId="9" hidden="1"/>
    <cellStyle name="Followed Hyperlink" xfId="16765" builtinId="9" hidden="1"/>
    <cellStyle name="Followed Hyperlink" xfId="16766" builtinId="9" hidden="1"/>
    <cellStyle name="Followed Hyperlink" xfId="16767" builtinId="9" hidden="1"/>
    <cellStyle name="Followed Hyperlink" xfId="16768" builtinId="9" hidden="1"/>
    <cellStyle name="Followed Hyperlink" xfId="16404" builtinId="9" hidden="1"/>
    <cellStyle name="Followed Hyperlink" xfId="16729" builtinId="9" hidden="1"/>
    <cellStyle name="Followed Hyperlink" xfId="16770" builtinId="9" hidden="1"/>
    <cellStyle name="Followed Hyperlink" xfId="16771" builtinId="9" hidden="1"/>
    <cellStyle name="Followed Hyperlink" xfId="16772" builtinId="9" hidden="1"/>
    <cellStyle name="Followed Hyperlink" xfId="16773" builtinId="9" hidden="1"/>
    <cellStyle name="Followed Hyperlink" xfId="16774" builtinId="9" hidden="1"/>
    <cellStyle name="Followed Hyperlink" xfId="16775" builtinId="9" hidden="1"/>
    <cellStyle name="Followed Hyperlink" xfId="16776" builtinId="9" hidden="1"/>
    <cellStyle name="Followed Hyperlink" xfId="16777" builtinId="9" hidden="1"/>
    <cellStyle name="Followed Hyperlink" xfId="16778" builtinId="9" hidden="1"/>
    <cellStyle name="Followed Hyperlink" xfId="16779" builtinId="9" hidden="1"/>
    <cellStyle name="Followed Hyperlink" xfId="16780" builtinId="9" hidden="1"/>
    <cellStyle name="Followed Hyperlink" xfId="16781" builtinId="9" hidden="1"/>
    <cellStyle name="Followed Hyperlink" xfId="16782" builtinId="9" hidden="1"/>
    <cellStyle name="Followed Hyperlink" xfId="16783" builtinId="9" hidden="1"/>
    <cellStyle name="Followed Hyperlink" xfId="16784" builtinId="9" hidden="1"/>
    <cellStyle name="Followed Hyperlink" xfId="16785" builtinId="9" hidden="1"/>
    <cellStyle name="Followed Hyperlink" xfId="16786" builtinId="9" hidden="1"/>
    <cellStyle name="Followed Hyperlink" xfId="16787" builtinId="9" hidden="1"/>
    <cellStyle name="Followed Hyperlink" xfId="16788" builtinId="9" hidden="1"/>
    <cellStyle name="Followed Hyperlink" xfId="16789" builtinId="9" hidden="1"/>
    <cellStyle name="Followed Hyperlink" xfId="16790" builtinId="9" hidden="1"/>
    <cellStyle name="Followed Hyperlink" xfId="16791" builtinId="9" hidden="1"/>
    <cellStyle name="Followed Hyperlink" xfId="16792" builtinId="9" hidden="1"/>
    <cellStyle name="Followed Hyperlink" xfId="16793" builtinId="9" hidden="1"/>
    <cellStyle name="Followed Hyperlink" xfId="16794" builtinId="9" hidden="1"/>
    <cellStyle name="Followed Hyperlink" xfId="16795" builtinId="9" hidden="1"/>
    <cellStyle name="Followed Hyperlink" xfId="16796" builtinId="9" hidden="1"/>
    <cellStyle name="Followed Hyperlink" xfId="16797" builtinId="9" hidden="1"/>
    <cellStyle name="Followed Hyperlink" xfId="16798" builtinId="9" hidden="1"/>
    <cellStyle name="Followed Hyperlink" xfId="16799" builtinId="9" hidden="1"/>
    <cellStyle name="Followed Hyperlink" xfId="16800" builtinId="9" hidden="1"/>
    <cellStyle name="Followed Hyperlink" xfId="16801" builtinId="9" hidden="1"/>
    <cellStyle name="Followed Hyperlink" xfId="16802" builtinId="9" hidden="1"/>
    <cellStyle name="Followed Hyperlink" xfId="16803" builtinId="9" hidden="1"/>
    <cellStyle name="Followed Hyperlink" xfId="16804" builtinId="9" hidden="1"/>
    <cellStyle name="Followed Hyperlink" xfId="16805" builtinId="9" hidden="1"/>
    <cellStyle name="Followed Hyperlink" xfId="16806" builtinId="9" hidden="1"/>
    <cellStyle name="Followed Hyperlink" xfId="16807" builtinId="9" hidden="1"/>
    <cellStyle name="Followed Hyperlink" xfId="16808" builtinId="9" hidden="1"/>
    <cellStyle name="Followed Hyperlink" xfId="16400" builtinId="9" hidden="1"/>
    <cellStyle name="Followed Hyperlink" xfId="16769" builtinId="9" hidden="1"/>
    <cellStyle name="Followed Hyperlink" xfId="16809" builtinId="9" hidden="1"/>
    <cellStyle name="Followed Hyperlink" xfId="16810" builtinId="9" hidden="1"/>
    <cellStyle name="Followed Hyperlink" xfId="16811" builtinId="9" hidden="1"/>
    <cellStyle name="Followed Hyperlink" xfId="16812" builtinId="9" hidden="1"/>
    <cellStyle name="Followed Hyperlink" xfId="16813" builtinId="9" hidden="1"/>
    <cellStyle name="Followed Hyperlink" xfId="16814" builtinId="9" hidden="1"/>
    <cellStyle name="Followed Hyperlink" xfId="16815" builtinId="9" hidden="1"/>
    <cellStyle name="Followed Hyperlink" xfId="16816" builtinId="9" hidden="1"/>
    <cellStyle name="Followed Hyperlink" xfId="16817" builtinId="9" hidden="1"/>
    <cellStyle name="Followed Hyperlink" xfId="16818" builtinId="9" hidden="1"/>
    <cellStyle name="Followed Hyperlink" xfId="16819" builtinId="9" hidden="1"/>
    <cellStyle name="Followed Hyperlink" xfId="16820" builtinId="9" hidden="1"/>
    <cellStyle name="Followed Hyperlink" xfId="16821" builtinId="9" hidden="1"/>
    <cellStyle name="Followed Hyperlink" xfId="16822" builtinId="9" hidden="1"/>
    <cellStyle name="Followed Hyperlink" xfId="16823" builtinId="9" hidden="1"/>
    <cellStyle name="Followed Hyperlink" xfId="16824" builtinId="9" hidden="1"/>
    <cellStyle name="Followed Hyperlink" xfId="16825" builtinId="9" hidden="1"/>
    <cellStyle name="Followed Hyperlink" xfId="16826" builtinId="9" hidden="1"/>
    <cellStyle name="Followed Hyperlink" xfId="16827" builtinId="9" hidden="1"/>
    <cellStyle name="Followed Hyperlink" xfId="16828" builtinId="9" hidden="1"/>
    <cellStyle name="Followed Hyperlink" xfId="16829" builtinId="9" hidden="1"/>
    <cellStyle name="Followed Hyperlink" xfId="16830" builtinId="9" hidden="1"/>
    <cellStyle name="Followed Hyperlink" xfId="16831" builtinId="9" hidden="1"/>
    <cellStyle name="Followed Hyperlink" xfId="16832" builtinId="9" hidden="1"/>
    <cellStyle name="Followed Hyperlink" xfId="16833" builtinId="9" hidden="1"/>
    <cellStyle name="Followed Hyperlink" xfId="16834" builtinId="9" hidden="1"/>
    <cellStyle name="Followed Hyperlink" xfId="16835" builtinId="9" hidden="1"/>
    <cellStyle name="Followed Hyperlink" xfId="16836" builtinId="9" hidden="1"/>
    <cellStyle name="Followed Hyperlink" xfId="16837" builtinId="9" hidden="1"/>
    <cellStyle name="Followed Hyperlink" xfId="16838" builtinId="9" hidden="1"/>
    <cellStyle name="Followed Hyperlink" xfId="16839" builtinId="9" hidden="1"/>
    <cellStyle name="Followed Hyperlink" xfId="16840" builtinId="9" hidden="1"/>
    <cellStyle name="Followed Hyperlink" xfId="16841" builtinId="9" hidden="1"/>
    <cellStyle name="Followed Hyperlink" xfId="16842" builtinId="9" hidden="1"/>
    <cellStyle name="Followed Hyperlink" xfId="16843" builtinId="9" hidden="1"/>
    <cellStyle name="Followed Hyperlink" xfId="16844" builtinId="9" hidden="1"/>
    <cellStyle name="Followed Hyperlink" xfId="16845" builtinId="9" hidden="1"/>
    <cellStyle name="Followed Hyperlink" xfId="16846" builtinId="9" hidden="1"/>
    <cellStyle name="Followed Hyperlink" xfId="16847" builtinId="9" hidden="1"/>
    <cellStyle name="Followed Hyperlink" xfId="13405" builtinId="9" hidden="1"/>
    <cellStyle name="Followed Hyperlink" xfId="13412" builtinId="9" hidden="1"/>
    <cellStyle name="Followed Hyperlink" xfId="16848" builtinId="9" hidden="1"/>
    <cellStyle name="Followed Hyperlink" xfId="16849" builtinId="9" hidden="1"/>
    <cellStyle name="Followed Hyperlink" xfId="16850" builtinId="9" hidden="1"/>
    <cellStyle name="Followed Hyperlink" xfId="16851" builtinId="9" hidden="1"/>
    <cellStyle name="Followed Hyperlink" xfId="16852" builtinId="9" hidden="1"/>
    <cellStyle name="Followed Hyperlink" xfId="16853" builtinId="9" hidden="1"/>
    <cellStyle name="Followed Hyperlink" xfId="16854" builtinId="9" hidden="1"/>
    <cellStyle name="Followed Hyperlink" xfId="16855" builtinId="9" hidden="1"/>
    <cellStyle name="Followed Hyperlink" xfId="16856" builtinId="9" hidden="1"/>
    <cellStyle name="Followed Hyperlink" xfId="16857" builtinId="9" hidden="1"/>
    <cellStyle name="Followed Hyperlink" xfId="16858" builtinId="9" hidden="1"/>
    <cellStyle name="Followed Hyperlink" xfId="16859" builtinId="9" hidden="1"/>
    <cellStyle name="Followed Hyperlink" xfId="16860" builtinId="9" hidden="1"/>
    <cellStyle name="Followed Hyperlink" xfId="16861" builtinId="9" hidden="1"/>
    <cellStyle name="Followed Hyperlink" xfId="16862" builtinId="9" hidden="1"/>
    <cellStyle name="Followed Hyperlink" xfId="16863" builtinId="9" hidden="1"/>
    <cellStyle name="Followed Hyperlink" xfId="16864" builtinId="9" hidden="1"/>
    <cellStyle name="Followed Hyperlink" xfId="16865" builtinId="9" hidden="1"/>
    <cellStyle name="Followed Hyperlink" xfId="16866" builtinId="9" hidden="1"/>
    <cellStyle name="Followed Hyperlink" xfId="16867" builtinId="9" hidden="1"/>
    <cellStyle name="Followed Hyperlink" xfId="16868" builtinId="9" hidden="1"/>
    <cellStyle name="Followed Hyperlink" xfId="16869" builtinId="9" hidden="1"/>
    <cellStyle name="Followed Hyperlink" xfId="16870" builtinId="9" hidden="1"/>
    <cellStyle name="Followed Hyperlink" xfId="16871" builtinId="9" hidden="1"/>
    <cellStyle name="Followed Hyperlink" xfId="16872" builtinId="9" hidden="1"/>
    <cellStyle name="Followed Hyperlink" xfId="16873" builtinId="9" hidden="1"/>
    <cellStyle name="Followed Hyperlink" xfId="16874" builtinId="9" hidden="1"/>
    <cellStyle name="Followed Hyperlink" xfId="16875" builtinId="9" hidden="1"/>
    <cellStyle name="Followed Hyperlink" xfId="16876" builtinId="9" hidden="1"/>
    <cellStyle name="Followed Hyperlink" xfId="16877" builtinId="9" hidden="1"/>
    <cellStyle name="Followed Hyperlink" xfId="16878" builtinId="9" hidden="1"/>
    <cellStyle name="Followed Hyperlink" xfId="16879" builtinId="9" hidden="1"/>
    <cellStyle name="Followed Hyperlink" xfId="16880" builtinId="9" hidden="1"/>
    <cellStyle name="Followed Hyperlink" xfId="16881" builtinId="9" hidden="1"/>
    <cellStyle name="Followed Hyperlink" xfId="16882" builtinId="9" hidden="1"/>
    <cellStyle name="Followed Hyperlink" xfId="16883" builtinId="9" hidden="1"/>
    <cellStyle name="Followed Hyperlink" xfId="16884" builtinId="9" hidden="1"/>
    <cellStyle name="Followed Hyperlink" xfId="16885" builtinId="9" hidden="1"/>
    <cellStyle name="Followed Hyperlink" xfId="16886" builtinId="9" hidden="1"/>
    <cellStyle name="Followed Hyperlink" xfId="16895" builtinId="9" hidden="1"/>
    <cellStyle name="Followed Hyperlink" xfId="16896" builtinId="9" hidden="1"/>
    <cellStyle name="Followed Hyperlink" xfId="16897" builtinId="9" hidden="1"/>
    <cellStyle name="Followed Hyperlink" xfId="16898" builtinId="9" hidden="1"/>
    <cellStyle name="Followed Hyperlink" xfId="16899" builtinId="9" hidden="1"/>
    <cellStyle name="Followed Hyperlink" xfId="16900" builtinId="9" hidden="1"/>
    <cellStyle name="Followed Hyperlink" xfId="16901" builtinId="9" hidden="1"/>
    <cellStyle name="Followed Hyperlink" xfId="16902" builtinId="9" hidden="1"/>
    <cellStyle name="Followed Hyperlink" xfId="16903" builtinId="9" hidden="1"/>
    <cellStyle name="Followed Hyperlink" xfId="16904" builtinId="9" hidden="1"/>
    <cellStyle name="Followed Hyperlink" xfId="16905" builtinId="9" hidden="1"/>
    <cellStyle name="Followed Hyperlink" xfId="16906" builtinId="9" hidden="1"/>
    <cellStyle name="Followed Hyperlink" xfId="16907" builtinId="9" hidden="1"/>
    <cellStyle name="Followed Hyperlink" xfId="16908" builtinId="9" hidden="1"/>
    <cellStyle name="Followed Hyperlink" xfId="16909" builtinId="9" hidden="1"/>
    <cellStyle name="Followed Hyperlink" xfId="16910" builtinId="9" hidden="1"/>
    <cellStyle name="Followed Hyperlink" xfId="16911" builtinId="9" hidden="1"/>
    <cellStyle name="Followed Hyperlink" xfId="16912" builtinId="9" hidden="1"/>
    <cellStyle name="Followed Hyperlink" xfId="16913" builtinId="9" hidden="1"/>
    <cellStyle name="Followed Hyperlink" xfId="16914" builtinId="9" hidden="1"/>
    <cellStyle name="Followed Hyperlink" xfId="16915" builtinId="9" hidden="1"/>
    <cellStyle name="Followed Hyperlink" xfId="16916" builtinId="9" hidden="1"/>
    <cellStyle name="Followed Hyperlink" xfId="16917" builtinId="9" hidden="1"/>
    <cellStyle name="Followed Hyperlink" xfId="16918" builtinId="9" hidden="1"/>
    <cellStyle name="Followed Hyperlink" xfId="16919" builtinId="9" hidden="1"/>
    <cellStyle name="Followed Hyperlink" xfId="16920" builtinId="9" hidden="1"/>
    <cellStyle name="Followed Hyperlink" xfId="16921" builtinId="9" hidden="1"/>
    <cellStyle name="Followed Hyperlink" xfId="16922" builtinId="9" hidden="1"/>
    <cellStyle name="Followed Hyperlink" xfId="16923" builtinId="9" hidden="1"/>
    <cellStyle name="Followed Hyperlink" xfId="16924" builtinId="9" hidden="1"/>
    <cellStyle name="Followed Hyperlink" xfId="16925" builtinId="9" hidden="1"/>
    <cellStyle name="Followed Hyperlink" xfId="16926" builtinId="9" hidden="1"/>
    <cellStyle name="Followed Hyperlink" xfId="16927" builtinId="9" hidden="1"/>
    <cellStyle name="Followed Hyperlink" xfId="16928" builtinId="9" hidden="1"/>
    <cellStyle name="Followed Hyperlink" xfId="16929" builtinId="9" hidden="1"/>
    <cellStyle name="Followed Hyperlink" xfId="16930" builtinId="9" hidden="1"/>
    <cellStyle name="Followed Hyperlink" xfId="16931" builtinId="9" hidden="1"/>
    <cellStyle name="Followed Hyperlink" xfId="16932" builtinId="9" hidden="1"/>
    <cellStyle name="Followed Hyperlink" xfId="16933" builtinId="9" hidden="1"/>
    <cellStyle name="Followed Hyperlink" xfId="16934" builtinId="9" hidden="1"/>
    <cellStyle name="Followed Hyperlink" xfId="16935" builtinId="9" hidden="1"/>
    <cellStyle name="Followed Hyperlink" xfId="16936" builtinId="9" hidden="1"/>
    <cellStyle name="Followed Hyperlink" xfId="16937" builtinId="9" hidden="1"/>
    <cellStyle name="Followed Hyperlink" xfId="16938" builtinId="9" hidden="1"/>
    <cellStyle name="Followed Hyperlink" xfId="16939" builtinId="9" hidden="1"/>
    <cellStyle name="Followed Hyperlink" xfId="16940" builtinId="9" hidden="1"/>
    <cellStyle name="Followed Hyperlink" xfId="16941" builtinId="9" hidden="1"/>
    <cellStyle name="Followed Hyperlink" xfId="16942" builtinId="9" hidden="1"/>
    <cellStyle name="Followed Hyperlink" xfId="16943" builtinId="9" hidden="1"/>
    <cellStyle name="Followed Hyperlink" xfId="16944" builtinId="9" hidden="1"/>
    <cellStyle name="Followed Hyperlink" xfId="16945" builtinId="9" hidden="1"/>
    <cellStyle name="Followed Hyperlink" xfId="16946" builtinId="9" hidden="1"/>
    <cellStyle name="Followed Hyperlink" xfId="16947" builtinId="9" hidden="1"/>
    <cellStyle name="Followed Hyperlink" xfId="16948" builtinId="9" hidden="1"/>
    <cellStyle name="Followed Hyperlink" xfId="16949" builtinId="9" hidden="1"/>
    <cellStyle name="Followed Hyperlink" xfId="16950" builtinId="9" hidden="1"/>
    <cellStyle name="Followed Hyperlink" xfId="16951" builtinId="9" hidden="1"/>
    <cellStyle name="Followed Hyperlink" xfId="16952" builtinId="9" hidden="1"/>
    <cellStyle name="Followed Hyperlink" xfId="16953" builtinId="9" hidden="1"/>
    <cellStyle name="Followed Hyperlink" xfId="16954" builtinId="9" hidden="1"/>
    <cellStyle name="Followed Hyperlink" xfId="16955" builtinId="9" hidden="1"/>
    <cellStyle name="Followed Hyperlink" xfId="16956" builtinId="9" hidden="1"/>
    <cellStyle name="Followed Hyperlink" xfId="16957" builtinId="9" hidden="1"/>
    <cellStyle name="Followed Hyperlink" xfId="16958" builtinId="9" hidden="1"/>
    <cellStyle name="Followed Hyperlink" xfId="16959" builtinId="9" hidden="1"/>
    <cellStyle name="Followed Hyperlink" xfId="16960" builtinId="9" hidden="1"/>
    <cellStyle name="Followed Hyperlink" xfId="16961" builtinId="9" hidden="1"/>
    <cellStyle name="Followed Hyperlink" xfId="16962" builtinId="9" hidden="1"/>
    <cellStyle name="Followed Hyperlink" xfId="16963" builtinId="9" hidden="1"/>
    <cellStyle name="Followed Hyperlink" xfId="16964" builtinId="9" hidden="1"/>
    <cellStyle name="Followed Hyperlink" xfId="16965" builtinId="9" hidden="1"/>
    <cellStyle name="Followed Hyperlink" xfId="16966" builtinId="9" hidden="1"/>
    <cellStyle name="Followed Hyperlink" xfId="16967" builtinId="9" hidden="1"/>
    <cellStyle name="Followed Hyperlink" xfId="16968" builtinId="9" hidden="1"/>
    <cellStyle name="Followed Hyperlink" xfId="16969" builtinId="9" hidden="1"/>
    <cellStyle name="Followed Hyperlink" xfId="16970" builtinId="9" hidden="1"/>
    <cellStyle name="Followed Hyperlink" xfId="16971" builtinId="9" hidden="1"/>
    <cellStyle name="Followed Hyperlink" xfId="16972" builtinId="9" hidden="1"/>
    <cellStyle name="Followed Hyperlink" xfId="16973" builtinId="9" hidden="1"/>
    <cellStyle name="Followed Hyperlink" xfId="16974" builtinId="9" hidden="1"/>
    <cellStyle name="Followed Hyperlink" xfId="16975" builtinId="9" hidden="1"/>
    <cellStyle name="Followed Hyperlink" xfId="16976" builtinId="9" hidden="1"/>
    <cellStyle name="Followed Hyperlink" xfId="16977" builtinId="9" hidden="1"/>
    <cellStyle name="Followed Hyperlink" xfId="16978" builtinId="9" hidden="1"/>
    <cellStyle name="Followed Hyperlink" xfId="16979" builtinId="9" hidden="1"/>
    <cellStyle name="Followed Hyperlink" xfId="16980" builtinId="9" hidden="1"/>
    <cellStyle name="Followed Hyperlink" xfId="16981" builtinId="9" hidden="1"/>
    <cellStyle name="Followed Hyperlink" xfId="16982" builtinId="9" hidden="1"/>
    <cellStyle name="Followed Hyperlink" xfId="16983" builtinId="9" hidden="1"/>
    <cellStyle name="Followed Hyperlink" xfId="16984" builtinId="9" hidden="1"/>
    <cellStyle name="Followed Hyperlink" xfId="16985" builtinId="9" hidden="1"/>
    <cellStyle name="Followed Hyperlink" xfId="16986" builtinId="9" hidden="1"/>
    <cellStyle name="Followed Hyperlink" xfId="16987" builtinId="9" hidden="1"/>
    <cellStyle name="Followed Hyperlink" xfId="16988" builtinId="9" hidden="1"/>
    <cellStyle name="Followed Hyperlink" xfId="16989" builtinId="9" hidden="1"/>
    <cellStyle name="Followed Hyperlink" xfId="16990" builtinId="9" hidden="1"/>
    <cellStyle name="Followed Hyperlink" xfId="16991" builtinId="9" hidden="1"/>
    <cellStyle name="Followed Hyperlink" xfId="16992" builtinId="9" hidden="1"/>
    <cellStyle name="Followed Hyperlink" xfId="16993" builtinId="9" hidden="1"/>
    <cellStyle name="Followed Hyperlink" xfId="16994" builtinId="9" hidden="1"/>
    <cellStyle name="Followed Hyperlink" xfId="16995" builtinId="9" hidden="1"/>
    <cellStyle name="Followed Hyperlink" xfId="16996" builtinId="9" hidden="1"/>
    <cellStyle name="Followed Hyperlink" xfId="16997" builtinId="9" hidden="1"/>
    <cellStyle name="Followed Hyperlink" xfId="16998" builtinId="9" hidden="1"/>
    <cellStyle name="Followed Hyperlink" xfId="16999" builtinId="9" hidden="1"/>
    <cellStyle name="Followed Hyperlink" xfId="17000" builtinId="9" hidden="1"/>
    <cellStyle name="Followed Hyperlink" xfId="17001" builtinId="9" hidden="1"/>
    <cellStyle name="Followed Hyperlink" xfId="17002" builtinId="9" hidden="1"/>
    <cellStyle name="Followed Hyperlink" xfId="17003" builtinId="9" hidden="1"/>
    <cellStyle name="Followed Hyperlink" xfId="17004" builtinId="9" hidden="1"/>
    <cellStyle name="Followed Hyperlink" xfId="17005" builtinId="9" hidden="1"/>
    <cellStyle name="Followed Hyperlink" xfId="17006" builtinId="9" hidden="1"/>
    <cellStyle name="Followed Hyperlink" xfId="17007" builtinId="9" hidden="1"/>
    <cellStyle name="Followed Hyperlink" xfId="17008" builtinId="9" hidden="1"/>
    <cellStyle name="Followed Hyperlink" xfId="17009" builtinId="9" hidden="1"/>
    <cellStyle name="Followed Hyperlink" xfId="17010" builtinId="9" hidden="1"/>
    <cellStyle name="Followed Hyperlink" xfId="17011" builtinId="9" hidden="1"/>
    <cellStyle name="Followed Hyperlink" xfId="17012" builtinId="9" hidden="1"/>
    <cellStyle name="Followed Hyperlink" xfId="17013" builtinId="9" hidden="1"/>
    <cellStyle name="Followed Hyperlink" xfId="17014" builtinId="9" hidden="1"/>
    <cellStyle name="Followed Hyperlink" xfId="17015" builtinId="9" hidden="1"/>
    <cellStyle name="Followed Hyperlink" xfId="17016" builtinId="9" hidden="1"/>
    <cellStyle name="Followed Hyperlink" xfId="17017" builtinId="9" hidden="1"/>
    <cellStyle name="Followed Hyperlink" xfId="16887" builtinId="9" hidden="1"/>
    <cellStyle name="Followed Hyperlink" xfId="13407" builtinId="9" hidden="1"/>
    <cellStyle name="Followed Hyperlink" xfId="17019" builtinId="9" hidden="1"/>
    <cellStyle name="Followed Hyperlink" xfId="17020" builtinId="9" hidden="1"/>
    <cellStyle name="Followed Hyperlink" xfId="17021" builtinId="9" hidden="1"/>
    <cellStyle name="Followed Hyperlink" xfId="17022" builtinId="9" hidden="1"/>
    <cellStyle name="Followed Hyperlink" xfId="17023" builtinId="9" hidden="1"/>
    <cellStyle name="Followed Hyperlink" xfId="17024" builtinId="9" hidden="1"/>
    <cellStyle name="Followed Hyperlink" xfId="17025" builtinId="9" hidden="1"/>
    <cellStyle name="Followed Hyperlink" xfId="17026" builtinId="9" hidden="1"/>
    <cellStyle name="Followed Hyperlink" xfId="17027" builtinId="9" hidden="1"/>
    <cellStyle name="Followed Hyperlink" xfId="17028" builtinId="9" hidden="1"/>
    <cellStyle name="Followed Hyperlink" xfId="17029" builtinId="9" hidden="1"/>
    <cellStyle name="Followed Hyperlink" xfId="17030" builtinId="9" hidden="1"/>
    <cellStyle name="Followed Hyperlink" xfId="17031" builtinId="9" hidden="1"/>
    <cellStyle name="Followed Hyperlink" xfId="17032" builtinId="9" hidden="1"/>
    <cellStyle name="Followed Hyperlink" xfId="17033" builtinId="9" hidden="1"/>
    <cellStyle name="Followed Hyperlink" xfId="17034" builtinId="9" hidden="1"/>
    <cellStyle name="Followed Hyperlink" xfId="17035" builtinId="9" hidden="1"/>
    <cellStyle name="Followed Hyperlink" xfId="17036" builtinId="9" hidden="1"/>
    <cellStyle name="Followed Hyperlink" xfId="17037" builtinId="9" hidden="1"/>
    <cellStyle name="Followed Hyperlink" xfId="17038" builtinId="9" hidden="1"/>
    <cellStyle name="Followed Hyperlink" xfId="17039" builtinId="9" hidden="1"/>
    <cellStyle name="Followed Hyperlink" xfId="17040" builtinId="9" hidden="1"/>
    <cellStyle name="Followed Hyperlink" xfId="17041" builtinId="9" hidden="1"/>
    <cellStyle name="Followed Hyperlink" xfId="17042" builtinId="9" hidden="1"/>
    <cellStyle name="Followed Hyperlink" xfId="17043" builtinId="9" hidden="1"/>
    <cellStyle name="Followed Hyperlink" xfId="17044" builtinId="9" hidden="1"/>
    <cellStyle name="Followed Hyperlink" xfId="17045" builtinId="9" hidden="1"/>
    <cellStyle name="Followed Hyperlink" xfId="17046" builtinId="9" hidden="1"/>
    <cellStyle name="Followed Hyperlink" xfId="17047" builtinId="9" hidden="1"/>
    <cellStyle name="Followed Hyperlink" xfId="17048" builtinId="9" hidden="1"/>
    <cellStyle name="Followed Hyperlink" xfId="17049" builtinId="9" hidden="1"/>
    <cellStyle name="Followed Hyperlink" xfId="17050" builtinId="9" hidden="1"/>
    <cellStyle name="Followed Hyperlink" xfId="17051" builtinId="9" hidden="1"/>
    <cellStyle name="Followed Hyperlink" xfId="17052" builtinId="9" hidden="1"/>
    <cellStyle name="Followed Hyperlink" xfId="17053" builtinId="9" hidden="1"/>
    <cellStyle name="Followed Hyperlink" xfId="17054" builtinId="9" hidden="1"/>
    <cellStyle name="Followed Hyperlink" xfId="17055" builtinId="9" hidden="1"/>
    <cellStyle name="Followed Hyperlink" xfId="17056" builtinId="9" hidden="1"/>
    <cellStyle name="Followed Hyperlink" xfId="17057" builtinId="9" hidden="1"/>
    <cellStyle name="Followed Hyperlink" xfId="16892" builtinId="9" hidden="1"/>
    <cellStyle name="Followed Hyperlink" xfId="17018" builtinId="9" hidden="1"/>
    <cellStyle name="Followed Hyperlink" xfId="17059" builtinId="9" hidden="1"/>
    <cellStyle name="Followed Hyperlink" xfId="17060" builtinId="9" hidden="1"/>
    <cellStyle name="Followed Hyperlink" xfId="17061" builtinId="9" hidden="1"/>
    <cellStyle name="Followed Hyperlink" xfId="17062" builtinId="9" hidden="1"/>
    <cellStyle name="Followed Hyperlink" xfId="17063" builtinId="9" hidden="1"/>
    <cellStyle name="Followed Hyperlink" xfId="17064" builtinId="9" hidden="1"/>
    <cellStyle name="Followed Hyperlink" xfId="17065" builtinId="9" hidden="1"/>
    <cellStyle name="Followed Hyperlink" xfId="17066" builtinId="9" hidden="1"/>
    <cellStyle name="Followed Hyperlink" xfId="17067" builtinId="9" hidden="1"/>
    <cellStyle name="Followed Hyperlink" xfId="17068" builtinId="9" hidden="1"/>
    <cellStyle name="Followed Hyperlink" xfId="17069" builtinId="9" hidden="1"/>
    <cellStyle name="Followed Hyperlink" xfId="17070" builtinId="9" hidden="1"/>
    <cellStyle name="Followed Hyperlink" xfId="17071" builtinId="9" hidden="1"/>
    <cellStyle name="Followed Hyperlink" xfId="17072" builtinId="9" hidden="1"/>
    <cellStyle name="Followed Hyperlink" xfId="17073" builtinId="9" hidden="1"/>
    <cellStyle name="Followed Hyperlink" xfId="17074" builtinId="9" hidden="1"/>
    <cellStyle name="Followed Hyperlink" xfId="17075" builtinId="9" hidden="1"/>
    <cellStyle name="Followed Hyperlink" xfId="17076" builtinId="9" hidden="1"/>
    <cellStyle name="Followed Hyperlink" xfId="17077" builtinId="9" hidden="1"/>
    <cellStyle name="Followed Hyperlink" xfId="17078" builtinId="9" hidden="1"/>
    <cellStyle name="Followed Hyperlink" xfId="17079" builtinId="9" hidden="1"/>
    <cellStyle name="Followed Hyperlink" xfId="17080" builtinId="9" hidden="1"/>
    <cellStyle name="Followed Hyperlink" xfId="17081" builtinId="9" hidden="1"/>
    <cellStyle name="Followed Hyperlink" xfId="17082" builtinId="9" hidden="1"/>
    <cellStyle name="Followed Hyperlink" xfId="17083" builtinId="9" hidden="1"/>
    <cellStyle name="Followed Hyperlink" xfId="17084" builtinId="9" hidden="1"/>
    <cellStyle name="Followed Hyperlink" xfId="17085" builtinId="9" hidden="1"/>
    <cellStyle name="Followed Hyperlink" xfId="17086" builtinId="9" hidden="1"/>
    <cellStyle name="Followed Hyperlink" xfId="17087" builtinId="9" hidden="1"/>
    <cellStyle name="Followed Hyperlink" xfId="17088" builtinId="9" hidden="1"/>
    <cellStyle name="Followed Hyperlink" xfId="17089" builtinId="9" hidden="1"/>
    <cellStyle name="Followed Hyperlink" xfId="17090" builtinId="9" hidden="1"/>
    <cellStyle name="Followed Hyperlink" xfId="17091" builtinId="9" hidden="1"/>
    <cellStyle name="Followed Hyperlink" xfId="17092" builtinId="9" hidden="1"/>
    <cellStyle name="Followed Hyperlink" xfId="17093" builtinId="9" hidden="1"/>
    <cellStyle name="Followed Hyperlink" xfId="17094" builtinId="9" hidden="1"/>
    <cellStyle name="Followed Hyperlink" xfId="17095" builtinId="9" hidden="1"/>
    <cellStyle name="Followed Hyperlink" xfId="17096" builtinId="9" hidden="1"/>
    <cellStyle name="Followed Hyperlink" xfId="17097" builtinId="9" hidden="1"/>
    <cellStyle name="Followed Hyperlink" xfId="16894" builtinId="9" hidden="1"/>
    <cellStyle name="Followed Hyperlink" xfId="17058" builtinId="9" hidden="1"/>
    <cellStyle name="Followed Hyperlink" xfId="17099" builtinId="9" hidden="1"/>
    <cellStyle name="Followed Hyperlink" xfId="17100" builtinId="9" hidden="1"/>
    <cellStyle name="Followed Hyperlink" xfId="17101" builtinId="9" hidden="1"/>
    <cellStyle name="Followed Hyperlink" xfId="17102" builtinId="9" hidden="1"/>
    <cellStyle name="Followed Hyperlink" xfId="17103" builtinId="9" hidden="1"/>
    <cellStyle name="Followed Hyperlink" xfId="17104" builtinId="9" hidden="1"/>
    <cellStyle name="Followed Hyperlink" xfId="17105" builtinId="9" hidden="1"/>
    <cellStyle name="Followed Hyperlink" xfId="17106" builtinId="9" hidden="1"/>
    <cellStyle name="Followed Hyperlink" xfId="17107" builtinId="9" hidden="1"/>
    <cellStyle name="Followed Hyperlink" xfId="17108" builtinId="9" hidden="1"/>
    <cellStyle name="Followed Hyperlink" xfId="17109" builtinId="9" hidden="1"/>
    <cellStyle name="Followed Hyperlink" xfId="17110" builtinId="9" hidden="1"/>
    <cellStyle name="Followed Hyperlink" xfId="17111" builtinId="9" hidden="1"/>
    <cellStyle name="Followed Hyperlink" xfId="17112" builtinId="9" hidden="1"/>
    <cellStyle name="Followed Hyperlink" xfId="17113" builtinId="9" hidden="1"/>
    <cellStyle name="Followed Hyperlink" xfId="17114" builtinId="9" hidden="1"/>
    <cellStyle name="Followed Hyperlink" xfId="17115" builtinId="9" hidden="1"/>
    <cellStyle name="Followed Hyperlink" xfId="17116" builtinId="9" hidden="1"/>
    <cellStyle name="Followed Hyperlink" xfId="17117" builtinId="9" hidden="1"/>
    <cellStyle name="Followed Hyperlink" xfId="17118" builtinId="9" hidden="1"/>
    <cellStyle name="Followed Hyperlink" xfId="17119" builtinId="9" hidden="1"/>
    <cellStyle name="Followed Hyperlink" xfId="17120" builtinId="9" hidden="1"/>
    <cellStyle name="Followed Hyperlink" xfId="17121" builtinId="9" hidden="1"/>
    <cellStyle name="Followed Hyperlink" xfId="17122" builtinId="9" hidden="1"/>
    <cellStyle name="Followed Hyperlink" xfId="17123" builtinId="9" hidden="1"/>
    <cellStyle name="Followed Hyperlink" xfId="17124" builtinId="9" hidden="1"/>
    <cellStyle name="Followed Hyperlink" xfId="17125" builtinId="9" hidden="1"/>
    <cellStyle name="Followed Hyperlink" xfId="17126" builtinId="9" hidden="1"/>
    <cellStyle name="Followed Hyperlink" xfId="17127" builtinId="9" hidden="1"/>
    <cellStyle name="Followed Hyperlink" xfId="17128" builtinId="9" hidden="1"/>
    <cellStyle name="Followed Hyperlink" xfId="17129" builtinId="9" hidden="1"/>
    <cellStyle name="Followed Hyperlink" xfId="17130" builtinId="9" hidden="1"/>
    <cellStyle name="Followed Hyperlink" xfId="17131" builtinId="9" hidden="1"/>
    <cellStyle name="Followed Hyperlink" xfId="17132" builtinId="9" hidden="1"/>
    <cellStyle name="Followed Hyperlink" xfId="17133" builtinId="9" hidden="1"/>
    <cellStyle name="Followed Hyperlink" xfId="17134" builtinId="9" hidden="1"/>
    <cellStyle name="Followed Hyperlink" xfId="17135" builtinId="9" hidden="1"/>
    <cellStyle name="Followed Hyperlink" xfId="17136" builtinId="9" hidden="1"/>
    <cellStyle name="Followed Hyperlink" xfId="17137" builtinId="9" hidden="1"/>
    <cellStyle name="Followed Hyperlink" xfId="16888" builtinId="9" hidden="1"/>
    <cellStyle name="Followed Hyperlink" xfId="17098" builtinId="9" hidden="1"/>
    <cellStyle name="Followed Hyperlink" xfId="17139" builtinId="9" hidden="1"/>
    <cellStyle name="Followed Hyperlink" xfId="17140" builtinId="9" hidden="1"/>
    <cellStyle name="Followed Hyperlink" xfId="17141" builtinId="9" hidden="1"/>
    <cellStyle name="Followed Hyperlink" xfId="17142" builtinId="9" hidden="1"/>
    <cellStyle name="Followed Hyperlink" xfId="17143" builtinId="9" hidden="1"/>
    <cellStyle name="Followed Hyperlink" xfId="17144" builtinId="9" hidden="1"/>
    <cellStyle name="Followed Hyperlink" xfId="17145" builtinId="9" hidden="1"/>
    <cellStyle name="Followed Hyperlink" xfId="17146" builtinId="9" hidden="1"/>
    <cellStyle name="Followed Hyperlink" xfId="17147" builtinId="9" hidden="1"/>
    <cellStyle name="Followed Hyperlink" xfId="17148" builtinId="9" hidden="1"/>
    <cellStyle name="Followed Hyperlink" xfId="17149" builtinId="9" hidden="1"/>
    <cellStyle name="Followed Hyperlink" xfId="17150" builtinId="9" hidden="1"/>
    <cellStyle name="Followed Hyperlink" xfId="17151" builtinId="9" hidden="1"/>
    <cellStyle name="Followed Hyperlink" xfId="17152" builtinId="9" hidden="1"/>
    <cellStyle name="Followed Hyperlink" xfId="17153" builtinId="9" hidden="1"/>
    <cellStyle name="Followed Hyperlink" xfId="17154" builtinId="9" hidden="1"/>
    <cellStyle name="Followed Hyperlink" xfId="17155" builtinId="9" hidden="1"/>
    <cellStyle name="Followed Hyperlink" xfId="17156" builtinId="9" hidden="1"/>
    <cellStyle name="Followed Hyperlink" xfId="17157" builtinId="9" hidden="1"/>
    <cellStyle name="Followed Hyperlink" xfId="17158" builtinId="9" hidden="1"/>
    <cellStyle name="Followed Hyperlink" xfId="17159" builtinId="9" hidden="1"/>
    <cellStyle name="Followed Hyperlink" xfId="17160" builtinId="9" hidden="1"/>
    <cellStyle name="Followed Hyperlink" xfId="17161" builtinId="9" hidden="1"/>
    <cellStyle name="Followed Hyperlink" xfId="17162" builtinId="9" hidden="1"/>
    <cellStyle name="Followed Hyperlink" xfId="17163" builtinId="9" hidden="1"/>
    <cellStyle name="Followed Hyperlink" xfId="17164" builtinId="9" hidden="1"/>
    <cellStyle name="Followed Hyperlink" xfId="17165" builtinId="9" hidden="1"/>
    <cellStyle name="Followed Hyperlink" xfId="17166" builtinId="9" hidden="1"/>
    <cellStyle name="Followed Hyperlink" xfId="17167" builtinId="9" hidden="1"/>
    <cellStyle name="Followed Hyperlink" xfId="17168" builtinId="9" hidden="1"/>
    <cellStyle name="Followed Hyperlink" xfId="17169" builtinId="9" hidden="1"/>
    <cellStyle name="Followed Hyperlink" xfId="17170" builtinId="9" hidden="1"/>
    <cellStyle name="Followed Hyperlink" xfId="17171" builtinId="9" hidden="1"/>
    <cellStyle name="Followed Hyperlink" xfId="17172" builtinId="9" hidden="1"/>
    <cellStyle name="Followed Hyperlink" xfId="17173" builtinId="9" hidden="1"/>
    <cellStyle name="Followed Hyperlink" xfId="17174" builtinId="9" hidden="1"/>
    <cellStyle name="Followed Hyperlink" xfId="17175" builtinId="9" hidden="1"/>
    <cellStyle name="Followed Hyperlink" xfId="17176" builtinId="9" hidden="1"/>
    <cellStyle name="Followed Hyperlink" xfId="17177" builtinId="9" hidden="1"/>
    <cellStyle name="Followed Hyperlink" xfId="16890" builtinId="9" hidden="1"/>
    <cellStyle name="Followed Hyperlink" xfId="17138" builtinId="9" hidden="1"/>
    <cellStyle name="Followed Hyperlink" xfId="17179" builtinId="9" hidden="1"/>
    <cellStyle name="Followed Hyperlink" xfId="17180" builtinId="9" hidden="1"/>
    <cellStyle name="Followed Hyperlink" xfId="17181" builtinId="9" hidden="1"/>
    <cellStyle name="Followed Hyperlink" xfId="17182" builtinId="9" hidden="1"/>
    <cellStyle name="Followed Hyperlink" xfId="17183" builtinId="9" hidden="1"/>
    <cellStyle name="Followed Hyperlink" xfId="17184" builtinId="9" hidden="1"/>
    <cellStyle name="Followed Hyperlink" xfId="17185" builtinId="9" hidden="1"/>
    <cellStyle name="Followed Hyperlink" xfId="17186" builtinId="9" hidden="1"/>
    <cellStyle name="Followed Hyperlink" xfId="17187" builtinId="9" hidden="1"/>
    <cellStyle name="Followed Hyperlink" xfId="17188" builtinId="9" hidden="1"/>
    <cellStyle name="Followed Hyperlink" xfId="17189" builtinId="9" hidden="1"/>
    <cellStyle name="Followed Hyperlink" xfId="17190" builtinId="9" hidden="1"/>
    <cellStyle name="Followed Hyperlink" xfId="17191" builtinId="9" hidden="1"/>
    <cellStyle name="Followed Hyperlink" xfId="17192" builtinId="9" hidden="1"/>
    <cellStyle name="Followed Hyperlink" xfId="17193" builtinId="9" hidden="1"/>
    <cellStyle name="Followed Hyperlink" xfId="17194" builtinId="9" hidden="1"/>
    <cellStyle name="Followed Hyperlink" xfId="17195" builtinId="9" hidden="1"/>
    <cellStyle name="Followed Hyperlink" xfId="17196" builtinId="9" hidden="1"/>
    <cellStyle name="Followed Hyperlink" xfId="17197" builtinId="9" hidden="1"/>
    <cellStyle name="Followed Hyperlink" xfId="17198" builtinId="9" hidden="1"/>
    <cellStyle name="Followed Hyperlink" xfId="17199" builtinId="9" hidden="1"/>
    <cellStyle name="Followed Hyperlink" xfId="17200" builtinId="9" hidden="1"/>
    <cellStyle name="Followed Hyperlink" xfId="17201" builtinId="9" hidden="1"/>
    <cellStyle name="Followed Hyperlink" xfId="17202" builtinId="9" hidden="1"/>
    <cellStyle name="Followed Hyperlink" xfId="17203" builtinId="9" hidden="1"/>
    <cellStyle name="Followed Hyperlink" xfId="17204" builtinId="9" hidden="1"/>
    <cellStyle name="Followed Hyperlink" xfId="17205" builtinId="9" hidden="1"/>
    <cellStyle name="Followed Hyperlink" xfId="17206" builtinId="9" hidden="1"/>
    <cellStyle name="Followed Hyperlink" xfId="17207" builtinId="9" hidden="1"/>
    <cellStyle name="Followed Hyperlink" xfId="17208" builtinId="9" hidden="1"/>
    <cellStyle name="Followed Hyperlink" xfId="17209" builtinId="9" hidden="1"/>
    <cellStyle name="Followed Hyperlink" xfId="17210" builtinId="9" hidden="1"/>
    <cellStyle name="Followed Hyperlink" xfId="17211" builtinId="9" hidden="1"/>
    <cellStyle name="Followed Hyperlink" xfId="17212" builtinId="9" hidden="1"/>
    <cellStyle name="Followed Hyperlink" xfId="17213" builtinId="9" hidden="1"/>
    <cellStyle name="Followed Hyperlink" xfId="17214" builtinId="9" hidden="1"/>
    <cellStyle name="Followed Hyperlink" xfId="17215" builtinId="9" hidden="1"/>
    <cellStyle name="Followed Hyperlink" xfId="17216" builtinId="9" hidden="1"/>
    <cellStyle name="Followed Hyperlink" xfId="17217" builtinId="9" hidden="1"/>
    <cellStyle name="Followed Hyperlink" xfId="16891" builtinId="9" hidden="1"/>
    <cellStyle name="Followed Hyperlink" xfId="17178" builtinId="9" hidden="1"/>
    <cellStyle name="Followed Hyperlink" xfId="17219" builtinId="9" hidden="1"/>
    <cellStyle name="Followed Hyperlink" xfId="17220" builtinId="9" hidden="1"/>
    <cellStyle name="Followed Hyperlink" xfId="17221" builtinId="9" hidden="1"/>
    <cellStyle name="Followed Hyperlink" xfId="17222" builtinId="9" hidden="1"/>
    <cellStyle name="Followed Hyperlink" xfId="17223" builtinId="9" hidden="1"/>
    <cellStyle name="Followed Hyperlink" xfId="17224" builtinId="9" hidden="1"/>
    <cellStyle name="Followed Hyperlink" xfId="17225" builtinId="9" hidden="1"/>
    <cellStyle name="Followed Hyperlink" xfId="17226" builtinId="9" hidden="1"/>
    <cellStyle name="Followed Hyperlink" xfId="17227" builtinId="9" hidden="1"/>
    <cellStyle name="Followed Hyperlink" xfId="17228" builtinId="9" hidden="1"/>
    <cellStyle name="Followed Hyperlink" xfId="17229" builtinId="9" hidden="1"/>
    <cellStyle name="Followed Hyperlink" xfId="17230" builtinId="9" hidden="1"/>
    <cellStyle name="Followed Hyperlink" xfId="17231" builtinId="9" hidden="1"/>
    <cellStyle name="Followed Hyperlink" xfId="17232" builtinId="9" hidden="1"/>
    <cellStyle name="Followed Hyperlink" xfId="17233" builtinId="9" hidden="1"/>
    <cellStyle name="Followed Hyperlink" xfId="17234" builtinId="9" hidden="1"/>
    <cellStyle name="Followed Hyperlink" xfId="17235" builtinId="9" hidden="1"/>
    <cellStyle name="Followed Hyperlink" xfId="17236" builtinId="9" hidden="1"/>
    <cellStyle name="Followed Hyperlink" xfId="17237" builtinId="9" hidden="1"/>
    <cellStyle name="Followed Hyperlink" xfId="17238" builtinId="9" hidden="1"/>
    <cellStyle name="Followed Hyperlink" xfId="17239" builtinId="9" hidden="1"/>
    <cellStyle name="Followed Hyperlink" xfId="17240" builtinId="9" hidden="1"/>
    <cellStyle name="Followed Hyperlink" xfId="17241" builtinId="9" hidden="1"/>
    <cellStyle name="Followed Hyperlink" xfId="17242" builtinId="9" hidden="1"/>
    <cellStyle name="Followed Hyperlink" xfId="17243" builtinId="9" hidden="1"/>
    <cellStyle name="Followed Hyperlink" xfId="17244" builtinId="9" hidden="1"/>
    <cellStyle name="Followed Hyperlink" xfId="17245" builtinId="9" hidden="1"/>
    <cellStyle name="Followed Hyperlink" xfId="17246" builtinId="9" hidden="1"/>
    <cellStyle name="Followed Hyperlink" xfId="17247" builtinId="9" hidden="1"/>
    <cellStyle name="Followed Hyperlink" xfId="17248" builtinId="9" hidden="1"/>
    <cellStyle name="Followed Hyperlink" xfId="17249" builtinId="9" hidden="1"/>
    <cellStyle name="Followed Hyperlink" xfId="17250" builtinId="9" hidden="1"/>
    <cellStyle name="Followed Hyperlink" xfId="17251" builtinId="9" hidden="1"/>
    <cellStyle name="Followed Hyperlink" xfId="17252" builtinId="9" hidden="1"/>
    <cellStyle name="Followed Hyperlink" xfId="17253" builtinId="9" hidden="1"/>
    <cellStyle name="Followed Hyperlink" xfId="17254" builtinId="9" hidden="1"/>
    <cellStyle name="Followed Hyperlink" xfId="17255" builtinId="9" hidden="1"/>
    <cellStyle name="Followed Hyperlink" xfId="17256" builtinId="9" hidden="1"/>
    <cellStyle name="Followed Hyperlink" xfId="17257" builtinId="9" hidden="1"/>
    <cellStyle name="Followed Hyperlink" xfId="16893" builtinId="9" hidden="1"/>
    <cellStyle name="Followed Hyperlink" xfId="17218" builtinId="9" hidden="1"/>
    <cellStyle name="Followed Hyperlink" xfId="17259" builtinId="9" hidden="1"/>
    <cellStyle name="Followed Hyperlink" xfId="17260" builtinId="9" hidden="1"/>
    <cellStyle name="Followed Hyperlink" xfId="17261" builtinId="9" hidden="1"/>
    <cellStyle name="Followed Hyperlink" xfId="17262" builtinId="9" hidden="1"/>
    <cellStyle name="Followed Hyperlink" xfId="17263" builtinId="9" hidden="1"/>
    <cellStyle name="Followed Hyperlink" xfId="17264" builtinId="9" hidden="1"/>
    <cellStyle name="Followed Hyperlink" xfId="17265" builtinId="9" hidden="1"/>
    <cellStyle name="Followed Hyperlink" xfId="17266" builtinId="9" hidden="1"/>
    <cellStyle name="Followed Hyperlink" xfId="17267" builtinId="9" hidden="1"/>
    <cellStyle name="Followed Hyperlink" xfId="17268" builtinId="9" hidden="1"/>
    <cellStyle name="Followed Hyperlink" xfId="17269" builtinId="9" hidden="1"/>
    <cellStyle name="Followed Hyperlink" xfId="17270" builtinId="9" hidden="1"/>
    <cellStyle name="Followed Hyperlink" xfId="17271" builtinId="9" hidden="1"/>
    <cellStyle name="Followed Hyperlink" xfId="17272" builtinId="9" hidden="1"/>
    <cellStyle name="Followed Hyperlink" xfId="17273" builtinId="9" hidden="1"/>
    <cellStyle name="Followed Hyperlink" xfId="17274" builtinId="9" hidden="1"/>
    <cellStyle name="Followed Hyperlink" xfId="17275" builtinId="9" hidden="1"/>
    <cellStyle name="Followed Hyperlink" xfId="17276" builtinId="9" hidden="1"/>
    <cellStyle name="Followed Hyperlink" xfId="17277" builtinId="9" hidden="1"/>
    <cellStyle name="Followed Hyperlink" xfId="17278" builtinId="9" hidden="1"/>
    <cellStyle name="Followed Hyperlink" xfId="17279" builtinId="9" hidden="1"/>
    <cellStyle name="Followed Hyperlink" xfId="17280" builtinId="9" hidden="1"/>
    <cellStyle name="Followed Hyperlink" xfId="17281" builtinId="9" hidden="1"/>
    <cellStyle name="Followed Hyperlink" xfId="17282" builtinId="9" hidden="1"/>
    <cellStyle name="Followed Hyperlink" xfId="17283" builtinId="9" hidden="1"/>
    <cellStyle name="Followed Hyperlink" xfId="17284" builtinId="9" hidden="1"/>
    <cellStyle name="Followed Hyperlink" xfId="17285" builtinId="9" hidden="1"/>
    <cellStyle name="Followed Hyperlink" xfId="17286" builtinId="9" hidden="1"/>
    <cellStyle name="Followed Hyperlink" xfId="17287" builtinId="9" hidden="1"/>
    <cellStyle name="Followed Hyperlink" xfId="17288" builtinId="9" hidden="1"/>
    <cellStyle name="Followed Hyperlink" xfId="17289" builtinId="9" hidden="1"/>
    <cellStyle name="Followed Hyperlink" xfId="17290" builtinId="9" hidden="1"/>
    <cellStyle name="Followed Hyperlink" xfId="17291" builtinId="9" hidden="1"/>
    <cellStyle name="Followed Hyperlink" xfId="17292" builtinId="9" hidden="1"/>
    <cellStyle name="Followed Hyperlink" xfId="17293" builtinId="9" hidden="1"/>
    <cellStyle name="Followed Hyperlink" xfId="17294" builtinId="9" hidden="1"/>
    <cellStyle name="Followed Hyperlink" xfId="17295" builtinId="9" hidden="1"/>
    <cellStyle name="Followed Hyperlink" xfId="17296" builtinId="9" hidden="1"/>
    <cellStyle name="Followed Hyperlink" xfId="17297" builtinId="9" hidden="1"/>
    <cellStyle name="Followed Hyperlink" xfId="16889" builtinId="9" hidden="1"/>
    <cellStyle name="Followed Hyperlink" xfId="17258" builtinId="9" hidden="1"/>
    <cellStyle name="Followed Hyperlink" xfId="17298" builtinId="9" hidden="1"/>
    <cellStyle name="Followed Hyperlink" xfId="17299" builtinId="9" hidden="1"/>
    <cellStyle name="Followed Hyperlink" xfId="17300" builtinId="9" hidden="1"/>
    <cellStyle name="Followed Hyperlink" xfId="17301" builtinId="9" hidden="1"/>
    <cellStyle name="Followed Hyperlink" xfId="17302" builtinId="9" hidden="1"/>
    <cellStyle name="Followed Hyperlink" xfId="17303" builtinId="9" hidden="1"/>
    <cellStyle name="Followed Hyperlink" xfId="17304" builtinId="9" hidden="1"/>
    <cellStyle name="Followed Hyperlink" xfId="17305" builtinId="9" hidden="1"/>
    <cellStyle name="Followed Hyperlink" xfId="17306" builtinId="9" hidden="1"/>
    <cellStyle name="Followed Hyperlink" xfId="17307" builtinId="9" hidden="1"/>
    <cellStyle name="Followed Hyperlink" xfId="17308" builtinId="9" hidden="1"/>
    <cellStyle name="Followed Hyperlink" xfId="17309" builtinId="9" hidden="1"/>
    <cellStyle name="Followed Hyperlink" xfId="17310" builtinId="9" hidden="1"/>
    <cellStyle name="Followed Hyperlink" xfId="17311" builtinId="9" hidden="1"/>
    <cellStyle name="Followed Hyperlink" xfId="17312" builtinId="9" hidden="1"/>
    <cellStyle name="Followed Hyperlink" xfId="17313" builtinId="9" hidden="1"/>
    <cellStyle name="Followed Hyperlink" xfId="17314" builtinId="9" hidden="1"/>
    <cellStyle name="Followed Hyperlink" xfId="17315" builtinId="9" hidden="1"/>
    <cellStyle name="Followed Hyperlink" xfId="17316" builtinId="9" hidden="1"/>
    <cellStyle name="Followed Hyperlink" xfId="17317" builtinId="9" hidden="1"/>
    <cellStyle name="Followed Hyperlink" xfId="17318" builtinId="9" hidden="1"/>
    <cellStyle name="Followed Hyperlink" xfId="17319" builtinId="9" hidden="1"/>
    <cellStyle name="Followed Hyperlink" xfId="17320" builtinId="9" hidden="1"/>
    <cellStyle name="Followed Hyperlink" xfId="17321" builtinId="9" hidden="1"/>
    <cellStyle name="Followed Hyperlink" xfId="17322" builtinId="9" hidden="1"/>
    <cellStyle name="Followed Hyperlink" xfId="17323" builtinId="9" hidden="1"/>
    <cellStyle name="Followed Hyperlink" xfId="17324" builtinId="9" hidden="1"/>
    <cellStyle name="Followed Hyperlink" xfId="17325" builtinId="9" hidden="1"/>
    <cellStyle name="Followed Hyperlink" xfId="17326" builtinId="9" hidden="1"/>
    <cellStyle name="Followed Hyperlink" xfId="17327" builtinId="9" hidden="1"/>
    <cellStyle name="Followed Hyperlink" xfId="17328" builtinId="9" hidden="1"/>
    <cellStyle name="Followed Hyperlink" xfId="17329" builtinId="9" hidden="1"/>
    <cellStyle name="Followed Hyperlink" xfId="17330" builtinId="9" hidden="1"/>
    <cellStyle name="Followed Hyperlink" xfId="17331" builtinId="9" hidden="1"/>
    <cellStyle name="Followed Hyperlink" xfId="17332" builtinId="9" hidden="1"/>
    <cellStyle name="Followed Hyperlink" xfId="17333" builtinId="9" hidden="1"/>
    <cellStyle name="Followed Hyperlink" xfId="17334" builtinId="9" hidden="1"/>
    <cellStyle name="Followed Hyperlink" xfId="17335" builtinId="9" hidden="1"/>
    <cellStyle name="Followed Hyperlink" xfId="17336" builtinId="9" hidden="1"/>
    <cellStyle name="Followed Hyperlink" xfId="17337" builtinId="9" hidden="1"/>
    <cellStyle name="Followed Hyperlink" xfId="17338" builtinId="9" hidden="1"/>
    <cellStyle name="Followed Hyperlink" xfId="17339" builtinId="9" hidden="1"/>
    <cellStyle name="Followed Hyperlink" xfId="17340" builtinId="9" hidden="1"/>
    <cellStyle name="Followed Hyperlink" xfId="17341" builtinId="9" hidden="1"/>
    <cellStyle name="Followed Hyperlink" xfId="17342" builtinId="9" hidden="1"/>
    <cellStyle name="Followed Hyperlink" xfId="17343" builtinId="9" hidden="1"/>
    <cellStyle name="Followed Hyperlink" xfId="17344" builtinId="9" hidden="1"/>
    <cellStyle name="Followed Hyperlink" xfId="17345" builtinId="9" hidden="1"/>
    <cellStyle name="Followed Hyperlink" xfId="17346" builtinId="9" hidden="1"/>
    <cellStyle name="Followed Hyperlink" xfId="17347" builtinId="9" hidden="1"/>
    <cellStyle name="Followed Hyperlink" xfId="17348" builtinId="9" hidden="1"/>
    <cellStyle name="Followed Hyperlink" xfId="17349" builtinId="9" hidden="1"/>
    <cellStyle name="Followed Hyperlink" xfId="17350" builtinId="9" hidden="1"/>
    <cellStyle name="Followed Hyperlink" xfId="17351" builtinId="9" hidden="1"/>
    <cellStyle name="Followed Hyperlink" xfId="17352" builtinId="9" hidden="1"/>
    <cellStyle name="Followed Hyperlink" xfId="17353" builtinId="9" hidden="1"/>
    <cellStyle name="Followed Hyperlink" xfId="17354" builtinId="9" hidden="1"/>
    <cellStyle name="Followed Hyperlink" xfId="17355" builtinId="9" hidden="1"/>
    <cellStyle name="Followed Hyperlink" xfId="17356" builtinId="9" hidden="1"/>
    <cellStyle name="Followed Hyperlink" xfId="17357" builtinId="9" hidden="1"/>
    <cellStyle name="Followed Hyperlink" xfId="17358" builtinId="9" hidden="1"/>
    <cellStyle name="Followed Hyperlink" xfId="17359" builtinId="9" hidden="1"/>
    <cellStyle name="Followed Hyperlink" xfId="17360" builtinId="9" hidden="1"/>
    <cellStyle name="Followed Hyperlink" xfId="17361" builtinId="9" hidden="1"/>
    <cellStyle name="Followed Hyperlink" xfId="17362" builtinId="9" hidden="1"/>
    <cellStyle name="Followed Hyperlink" xfId="17363" builtinId="9" hidden="1"/>
    <cellStyle name="Followed Hyperlink" xfId="17364" builtinId="9" hidden="1"/>
    <cellStyle name="Followed Hyperlink" xfId="17365" builtinId="9" hidden="1"/>
    <cellStyle name="Followed Hyperlink" xfId="17366" builtinId="9" hidden="1"/>
    <cellStyle name="Followed Hyperlink" xfId="17367" builtinId="9" hidden="1"/>
    <cellStyle name="Followed Hyperlink" xfId="17368" builtinId="9" hidden="1"/>
    <cellStyle name="Followed Hyperlink" xfId="17369" builtinId="9" hidden="1"/>
    <cellStyle name="Followed Hyperlink" xfId="17370" builtinId="9" hidden="1"/>
    <cellStyle name="Followed Hyperlink" xfId="17371" builtinId="9" hidden="1"/>
    <cellStyle name="Followed Hyperlink" xfId="17372" builtinId="9" hidden="1"/>
    <cellStyle name="Followed Hyperlink" xfId="17373" builtinId="9" hidden="1"/>
    <cellStyle name="Followed Hyperlink" xfId="17374" builtinId="9" hidden="1"/>
    <cellStyle name="Followed Hyperlink" xfId="17375" builtinId="9" hidden="1"/>
    <cellStyle name="Followed Hyperlink" xfId="17376" builtinId="9" hidden="1"/>
    <cellStyle name="Followed Hyperlink" xfId="17377" builtinId="9" hidden="1"/>
    <cellStyle name="Followed Hyperlink" xfId="17386" builtinId="9" hidden="1"/>
    <cellStyle name="Followed Hyperlink" xfId="17387" builtinId="9" hidden="1"/>
    <cellStyle name="Followed Hyperlink" xfId="17388" builtinId="9" hidden="1"/>
    <cellStyle name="Followed Hyperlink" xfId="17389" builtinId="9" hidden="1"/>
    <cellStyle name="Followed Hyperlink" xfId="17390" builtinId="9" hidden="1"/>
    <cellStyle name="Followed Hyperlink" xfId="17391" builtinId="9" hidden="1"/>
    <cellStyle name="Followed Hyperlink" xfId="17392" builtinId="9" hidden="1"/>
    <cellStyle name="Followed Hyperlink" xfId="17393" builtinId="9" hidden="1"/>
    <cellStyle name="Followed Hyperlink" xfId="17394" builtinId="9" hidden="1"/>
    <cellStyle name="Followed Hyperlink" xfId="17395" builtinId="9" hidden="1"/>
    <cellStyle name="Followed Hyperlink" xfId="17396" builtinId="9" hidden="1"/>
    <cellStyle name="Followed Hyperlink" xfId="17397" builtinId="9" hidden="1"/>
    <cellStyle name="Followed Hyperlink" xfId="17398" builtinId="9" hidden="1"/>
    <cellStyle name="Followed Hyperlink" xfId="17399" builtinId="9" hidden="1"/>
    <cellStyle name="Followed Hyperlink" xfId="17400" builtinId="9" hidden="1"/>
    <cellStyle name="Followed Hyperlink" xfId="17401" builtinId="9" hidden="1"/>
    <cellStyle name="Followed Hyperlink" xfId="17402" builtinId="9" hidden="1"/>
    <cellStyle name="Followed Hyperlink" xfId="17403" builtinId="9" hidden="1"/>
    <cellStyle name="Followed Hyperlink" xfId="17404" builtinId="9" hidden="1"/>
    <cellStyle name="Followed Hyperlink" xfId="17405" builtinId="9" hidden="1"/>
    <cellStyle name="Followed Hyperlink" xfId="17406" builtinId="9" hidden="1"/>
    <cellStyle name="Followed Hyperlink" xfId="17407" builtinId="9" hidden="1"/>
    <cellStyle name="Followed Hyperlink" xfId="17408" builtinId="9" hidden="1"/>
    <cellStyle name="Followed Hyperlink" xfId="17409" builtinId="9" hidden="1"/>
    <cellStyle name="Followed Hyperlink" xfId="17410" builtinId="9" hidden="1"/>
    <cellStyle name="Followed Hyperlink" xfId="17411" builtinId="9" hidden="1"/>
    <cellStyle name="Followed Hyperlink" xfId="17412" builtinId="9" hidden="1"/>
    <cellStyle name="Followed Hyperlink" xfId="17413" builtinId="9" hidden="1"/>
    <cellStyle name="Followed Hyperlink" xfId="17414" builtinId="9" hidden="1"/>
    <cellStyle name="Followed Hyperlink" xfId="17415" builtinId="9" hidden="1"/>
    <cellStyle name="Followed Hyperlink" xfId="17416" builtinId="9" hidden="1"/>
    <cellStyle name="Followed Hyperlink" xfId="17417" builtinId="9" hidden="1"/>
    <cellStyle name="Followed Hyperlink" xfId="17418" builtinId="9" hidden="1"/>
    <cellStyle name="Followed Hyperlink" xfId="17419" builtinId="9" hidden="1"/>
    <cellStyle name="Followed Hyperlink" xfId="17420" builtinId="9" hidden="1"/>
    <cellStyle name="Followed Hyperlink" xfId="17421" builtinId="9" hidden="1"/>
    <cellStyle name="Followed Hyperlink" xfId="17422" builtinId="9" hidden="1"/>
    <cellStyle name="Followed Hyperlink" xfId="17423" builtinId="9" hidden="1"/>
    <cellStyle name="Followed Hyperlink" xfId="17424" builtinId="9" hidden="1"/>
    <cellStyle name="Followed Hyperlink" xfId="17425" builtinId="9" hidden="1"/>
    <cellStyle name="Followed Hyperlink" xfId="17426" builtinId="9" hidden="1"/>
    <cellStyle name="Followed Hyperlink" xfId="17427" builtinId="9" hidden="1"/>
    <cellStyle name="Followed Hyperlink" xfId="17428" builtinId="9" hidden="1"/>
    <cellStyle name="Followed Hyperlink" xfId="17429" builtinId="9" hidden="1"/>
    <cellStyle name="Followed Hyperlink" xfId="17430" builtinId="9" hidden="1"/>
    <cellStyle name="Followed Hyperlink" xfId="17431" builtinId="9" hidden="1"/>
    <cellStyle name="Followed Hyperlink" xfId="17432" builtinId="9" hidden="1"/>
    <cellStyle name="Followed Hyperlink" xfId="17433" builtinId="9" hidden="1"/>
    <cellStyle name="Followed Hyperlink" xfId="17434" builtinId="9" hidden="1"/>
    <cellStyle name="Followed Hyperlink" xfId="17435" builtinId="9" hidden="1"/>
    <cellStyle name="Followed Hyperlink" xfId="17436" builtinId="9" hidden="1"/>
    <cellStyle name="Followed Hyperlink" xfId="17437" builtinId="9" hidden="1"/>
    <cellStyle name="Followed Hyperlink" xfId="17438" builtinId="9" hidden="1"/>
    <cellStyle name="Followed Hyperlink" xfId="17439" builtinId="9" hidden="1"/>
    <cellStyle name="Followed Hyperlink" xfId="17440" builtinId="9" hidden="1"/>
    <cellStyle name="Followed Hyperlink" xfId="17441" builtinId="9" hidden="1"/>
    <cellStyle name="Followed Hyperlink" xfId="17442" builtinId="9" hidden="1"/>
    <cellStyle name="Followed Hyperlink" xfId="17443" builtinId="9" hidden="1"/>
    <cellStyle name="Followed Hyperlink" xfId="17444" builtinId="9" hidden="1"/>
    <cellStyle name="Followed Hyperlink" xfId="17445" builtinId="9" hidden="1"/>
    <cellStyle name="Followed Hyperlink" xfId="17446" builtinId="9" hidden="1"/>
    <cellStyle name="Followed Hyperlink" xfId="17447" builtinId="9" hidden="1"/>
    <cellStyle name="Followed Hyperlink" xfId="17448" builtinId="9" hidden="1"/>
    <cellStyle name="Followed Hyperlink" xfId="17449" builtinId="9" hidden="1"/>
    <cellStyle name="Followed Hyperlink" xfId="17450" builtinId="9" hidden="1"/>
    <cellStyle name="Followed Hyperlink" xfId="17451" builtinId="9" hidden="1"/>
    <cellStyle name="Followed Hyperlink" xfId="17452" builtinId="9" hidden="1"/>
    <cellStyle name="Followed Hyperlink" xfId="17453" builtinId="9" hidden="1"/>
    <cellStyle name="Followed Hyperlink" xfId="17454" builtinId="9" hidden="1"/>
    <cellStyle name="Followed Hyperlink" xfId="17455" builtinId="9" hidden="1"/>
    <cellStyle name="Followed Hyperlink" xfId="17456" builtinId="9" hidden="1"/>
    <cellStyle name="Followed Hyperlink" xfId="17457" builtinId="9" hidden="1"/>
    <cellStyle name="Followed Hyperlink" xfId="17458" builtinId="9" hidden="1"/>
    <cellStyle name="Followed Hyperlink" xfId="17459" builtinId="9" hidden="1"/>
    <cellStyle name="Followed Hyperlink" xfId="17460" builtinId="9" hidden="1"/>
    <cellStyle name="Followed Hyperlink" xfId="17461" builtinId="9" hidden="1"/>
    <cellStyle name="Followed Hyperlink" xfId="17462" builtinId="9" hidden="1"/>
    <cellStyle name="Followed Hyperlink" xfId="17463" builtinId="9" hidden="1"/>
    <cellStyle name="Followed Hyperlink" xfId="17464" builtinId="9" hidden="1"/>
    <cellStyle name="Followed Hyperlink" xfId="17465" builtinId="9" hidden="1"/>
    <cellStyle name="Followed Hyperlink" xfId="17466" builtinId="9" hidden="1"/>
    <cellStyle name="Followed Hyperlink" xfId="17467" builtinId="9" hidden="1"/>
    <cellStyle name="Followed Hyperlink" xfId="17468" builtinId="9" hidden="1"/>
    <cellStyle name="Followed Hyperlink" xfId="17469" builtinId="9" hidden="1"/>
    <cellStyle name="Followed Hyperlink" xfId="17470" builtinId="9" hidden="1"/>
    <cellStyle name="Followed Hyperlink" xfId="17471" builtinId="9" hidden="1"/>
    <cellStyle name="Followed Hyperlink" xfId="17472" builtinId="9" hidden="1"/>
    <cellStyle name="Followed Hyperlink" xfId="17473" builtinId="9" hidden="1"/>
    <cellStyle name="Followed Hyperlink" xfId="17474" builtinId="9" hidden="1"/>
    <cellStyle name="Followed Hyperlink" xfId="17475" builtinId="9" hidden="1"/>
    <cellStyle name="Followed Hyperlink" xfId="17476" builtinId="9" hidden="1"/>
    <cellStyle name="Followed Hyperlink" xfId="17477" builtinId="9" hidden="1"/>
    <cellStyle name="Followed Hyperlink" xfId="17478" builtinId="9" hidden="1"/>
    <cellStyle name="Followed Hyperlink" xfId="17479" builtinId="9" hidden="1"/>
    <cellStyle name="Followed Hyperlink" xfId="17480" builtinId="9" hidden="1"/>
    <cellStyle name="Followed Hyperlink" xfId="17481" builtinId="9" hidden="1"/>
    <cellStyle name="Followed Hyperlink" xfId="17482" builtinId="9" hidden="1"/>
    <cellStyle name="Followed Hyperlink" xfId="17483" builtinId="9" hidden="1"/>
    <cellStyle name="Followed Hyperlink" xfId="17484" builtinId="9" hidden="1"/>
    <cellStyle name="Followed Hyperlink" xfId="17485" builtinId="9" hidden="1"/>
    <cellStyle name="Followed Hyperlink" xfId="17486" builtinId="9" hidden="1"/>
    <cellStyle name="Followed Hyperlink" xfId="17487" builtinId="9" hidden="1"/>
    <cellStyle name="Followed Hyperlink" xfId="17488" builtinId="9" hidden="1"/>
    <cellStyle name="Followed Hyperlink" xfId="17489" builtinId="9" hidden="1"/>
    <cellStyle name="Followed Hyperlink" xfId="17490" builtinId="9" hidden="1"/>
    <cellStyle name="Followed Hyperlink" xfId="17491" builtinId="9" hidden="1"/>
    <cellStyle name="Followed Hyperlink" xfId="17492" builtinId="9" hidden="1"/>
    <cellStyle name="Followed Hyperlink" xfId="17493" builtinId="9" hidden="1"/>
    <cellStyle name="Followed Hyperlink" xfId="17494" builtinId="9" hidden="1"/>
    <cellStyle name="Followed Hyperlink" xfId="17495" builtinId="9" hidden="1"/>
    <cellStyle name="Followed Hyperlink" xfId="17496" builtinId="9" hidden="1"/>
    <cellStyle name="Followed Hyperlink" xfId="17497" builtinId="9" hidden="1"/>
    <cellStyle name="Followed Hyperlink" xfId="17498" builtinId="9" hidden="1"/>
    <cellStyle name="Followed Hyperlink" xfId="17499" builtinId="9" hidden="1"/>
    <cellStyle name="Followed Hyperlink" xfId="17500" builtinId="9" hidden="1"/>
    <cellStyle name="Followed Hyperlink" xfId="17501" builtinId="9" hidden="1"/>
    <cellStyle name="Followed Hyperlink" xfId="17502" builtinId="9" hidden="1"/>
    <cellStyle name="Followed Hyperlink" xfId="17503" builtinId="9" hidden="1"/>
    <cellStyle name="Followed Hyperlink" xfId="17504" builtinId="9" hidden="1"/>
    <cellStyle name="Followed Hyperlink" xfId="17505" builtinId="9" hidden="1"/>
    <cellStyle name="Followed Hyperlink" xfId="17506" builtinId="9" hidden="1"/>
    <cellStyle name="Followed Hyperlink" xfId="17507" builtinId="9" hidden="1"/>
    <cellStyle name="Followed Hyperlink" xfId="17508" builtinId="9" hidden="1"/>
    <cellStyle name="Followed Hyperlink" xfId="17378" builtinId="9" hidden="1"/>
    <cellStyle name="Followed Hyperlink" xfId="13409" builtinId="9" hidden="1"/>
    <cellStyle name="Followed Hyperlink" xfId="17510" builtinId="9" hidden="1"/>
    <cellStyle name="Followed Hyperlink" xfId="17511" builtinId="9" hidden="1"/>
    <cellStyle name="Followed Hyperlink" xfId="17512" builtinId="9" hidden="1"/>
    <cellStyle name="Followed Hyperlink" xfId="17513" builtinId="9" hidden="1"/>
    <cellStyle name="Followed Hyperlink" xfId="17514" builtinId="9" hidden="1"/>
    <cellStyle name="Followed Hyperlink" xfId="17515" builtinId="9" hidden="1"/>
    <cellStyle name="Followed Hyperlink" xfId="17516" builtinId="9" hidden="1"/>
    <cellStyle name="Followed Hyperlink" xfId="17517" builtinId="9" hidden="1"/>
    <cellStyle name="Followed Hyperlink" xfId="17518" builtinId="9" hidden="1"/>
    <cellStyle name="Followed Hyperlink" xfId="17519" builtinId="9" hidden="1"/>
    <cellStyle name="Followed Hyperlink" xfId="17520" builtinId="9" hidden="1"/>
    <cellStyle name="Followed Hyperlink" xfId="17521" builtinId="9" hidden="1"/>
    <cellStyle name="Followed Hyperlink" xfId="17522" builtinId="9" hidden="1"/>
    <cellStyle name="Followed Hyperlink" xfId="17523" builtinId="9" hidden="1"/>
    <cellStyle name="Followed Hyperlink" xfId="17524" builtinId="9" hidden="1"/>
    <cellStyle name="Followed Hyperlink" xfId="17525" builtinId="9" hidden="1"/>
    <cellStyle name="Followed Hyperlink" xfId="17526" builtinId="9" hidden="1"/>
    <cellStyle name="Followed Hyperlink" xfId="17527" builtinId="9" hidden="1"/>
    <cellStyle name="Followed Hyperlink" xfId="17528" builtinId="9" hidden="1"/>
    <cellStyle name="Followed Hyperlink" xfId="17529" builtinId="9" hidden="1"/>
    <cellStyle name="Followed Hyperlink" xfId="17530" builtinId="9" hidden="1"/>
    <cellStyle name="Followed Hyperlink" xfId="17531" builtinId="9" hidden="1"/>
    <cellStyle name="Followed Hyperlink" xfId="17532" builtinId="9" hidden="1"/>
    <cellStyle name="Followed Hyperlink" xfId="17533" builtinId="9" hidden="1"/>
    <cellStyle name="Followed Hyperlink" xfId="17534" builtinId="9" hidden="1"/>
    <cellStyle name="Followed Hyperlink" xfId="17535" builtinId="9" hidden="1"/>
    <cellStyle name="Followed Hyperlink" xfId="17536" builtinId="9" hidden="1"/>
    <cellStyle name="Followed Hyperlink" xfId="17537" builtinId="9" hidden="1"/>
    <cellStyle name="Followed Hyperlink" xfId="17538" builtinId="9" hidden="1"/>
    <cellStyle name="Followed Hyperlink" xfId="17539" builtinId="9" hidden="1"/>
    <cellStyle name="Followed Hyperlink" xfId="17540" builtinId="9" hidden="1"/>
    <cellStyle name="Followed Hyperlink" xfId="17541" builtinId="9" hidden="1"/>
    <cellStyle name="Followed Hyperlink" xfId="17542" builtinId="9" hidden="1"/>
    <cellStyle name="Followed Hyperlink" xfId="17543" builtinId="9" hidden="1"/>
    <cellStyle name="Followed Hyperlink" xfId="17544" builtinId="9" hidden="1"/>
    <cellStyle name="Followed Hyperlink" xfId="17545" builtinId="9" hidden="1"/>
    <cellStyle name="Followed Hyperlink" xfId="17546" builtinId="9" hidden="1"/>
    <cellStyle name="Followed Hyperlink" xfId="17547" builtinId="9" hidden="1"/>
    <cellStyle name="Followed Hyperlink" xfId="17548" builtinId="9" hidden="1"/>
    <cellStyle name="Followed Hyperlink" xfId="17383" builtinId="9" hidden="1"/>
    <cellStyle name="Followed Hyperlink" xfId="17509" builtinId="9" hidden="1"/>
    <cellStyle name="Followed Hyperlink" xfId="17550" builtinId="9" hidden="1"/>
    <cellStyle name="Followed Hyperlink" xfId="17551" builtinId="9" hidden="1"/>
    <cellStyle name="Followed Hyperlink" xfId="17552" builtinId="9" hidden="1"/>
    <cellStyle name="Followed Hyperlink" xfId="17553" builtinId="9" hidden="1"/>
    <cellStyle name="Followed Hyperlink" xfId="17554" builtinId="9" hidden="1"/>
    <cellStyle name="Followed Hyperlink" xfId="17555" builtinId="9" hidden="1"/>
    <cellStyle name="Followed Hyperlink" xfId="17556" builtinId="9" hidden="1"/>
    <cellStyle name="Followed Hyperlink" xfId="17557" builtinId="9" hidden="1"/>
    <cellStyle name="Followed Hyperlink" xfId="17558" builtinId="9" hidden="1"/>
    <cellStyle name="Followed Hyperlink" xfId="17559" builtinId="9" hidden="1"/>
    <cellStyle name="Followed Hyperlink" xfId="17560" builtinId="9" hidden="1"/>
    <cellStyle name="Followed Hyperlink" xfId="17561" builtinId="9" hidden="1"/>
    <cellStyle name="Followed Hyperlink" xfId="17562" builtinId="9" hidden="1"/>
    <cellStyle name="Followed Hyperlink" xfId="17563" builtinId="9" hidden="1"/>
    <cellStyle name="Followed Hyperlink" xfId="17564" builtinId="9" hidden="1"/>
    <cellStyle name="Followed Hyperlink" xfId="17565" builtinId="9" hidden="1"/>
    <cellStyle name="Followed Hyperlink" xfId="17566" builtinId="9" hidden="1"/>
    <cellStyle name="Followed Hyperlink" xfId="17567" builtinId="9" hidden="1"/>
    <cellStyle name="Followed Hyperlink" xfId="17568" builtinId="9" hidden="1"/>
    <cellStyle name="Followed Hyperlink" xfId="17569" builtinId="9" hidden="1"/>
    <cellStyle name="Followed Hyperlink" xfId="17570" builtinId="9" hidden="1"/>
    <cellStyle name="Followed Hyperlink" xfId="17571" builtinId="9" hidden="1"/>
    <cellStyle name="Followed Hyperlink" xfId="17572" builtinId="9" hidden="1"/>
    <cellStyle name="Followed Hyperlink" xfId="17573" builtinId="9" hidden="1"/>
    <cellStyle name="Followed Hyperlink" xfId="17574" builtinId="9" hidden="1"/>
    <cellStyle name="Followed Hyperlink" xfId="17575" builtinId="9" hidden="1"/>
    <cellStyle name="Followed Hyperlink" xfId="17576" builtinId="9" hidden="1"/>
    <cellStyle name="Followed Hyperlink" xfId="17577" builtinId="9" hidden="1"/>
    <cellStyle name="Followed Hyperlink" xfId="17578" builtinId="9" hidden="1"/>
    <cellStyle name="Followed Hyperlink" xfId="17579" builtinId="9" hidden="1"/>
    <cellStyle name="Followed Hyperlink" xfId="17580" builtinId="9" hidden="1"/>
    <cellStyle name="Followed Hyperlink" xfId="17581" builtinId="9" hidden="1"/>
    <cellStyle name="Followed Hyperlink" xfId="17582" builtinId="9" hidden="1"/>
    <cellStyle name="Followed Hyperlink" xfId="17583" builtinId="9" hidden="1"/>
    <cellStyle name="Followed Hyperlink" xfId="17584" builtinId="9" hidden="1"/>
    <cellStyle name="Followed Hyperlink" xfId="17585" builtinId="9" hidden="1"/>
    <cellStyle name="Followed Hyperlink" xfId="17586" builtinId="9" hidden="1"/>
    <cellStyle name="Followed Hyperlink" xfId="17587" builtinId="9" hidden="1"/>
    <cellStyle name="Followed Hyperlink" xfId="17588" builtinId="9" hidden="1"/>
    <cellStyle name="Followed Hyperlink" xfId="17385" builtinId="9" hidden="1"/>
    <cellStyle name="Followed Hyperlink" xfId="17549" builtinId="9" hidden="1"/>
    <cellStyle name="Followed Hyperlink" xfId="17590" builtinId="9" hidden="1"/>
    <cellStyle name="Followed Hyperlink" xfId="17591" builtinId="9" hidden="1"/>
    <cellStyle name="Followed Hyperlink" xfId="17592" builtinId="9" hidden="1"/>
    <cellStyle name="Followed Hyperlink" xfId="17593" builtinId="9" hidden="1"/>
    <cellStyle name="Followed Hyperlink" xfId="17594" builtinId="9" hidden="1"/>
    <cellStyle name="Followed Hyperlink" xfId="17595" builtinId="9" hidden="1"/>
    <cellStyle name="Followed Hyperlink" xfId="17596" builtinId="9" hidden="1"/>
    <cellStyle name="Followed Hyperlink" xfId="17597" builtinId="9" hidden="1"/>
    <cellStyle name="Followed Hyperlink" xfId="17598" builtinId="9" hidden="1"/>
    <cellStyle name="Followed Hyperlink" xfId="17599" builtinId="9" hidden="1"/>
    <cellStyle name="Followed Hyperlink" xfId="17600" builtinId="9" hidden="1"/>
    <cellStyle name="Followed Hyperlink" xfId="17601" builtinId="9" hidden="1"/>
    <cellStyle name="Followed Hyperlink" xfId="17602" builtinId="9" hidden="1"/>
    <cellStyle name="Followed Hyperlink" xfId="17603" builtinId="9" hidden="1"/>
    <cellStyle name="Followed Hyperlink" xfId="17604" builtinId="9" hidden="1"/>
    <cellStyle name="Followed Hyperlink" xfId="17605" builtinId="9" hidden="1"/>
    <cellStyle name="Followed Hyperlink" xfId="17606" builtinId="9" hidden="1"/>
    <cellStyle name="Followed Hyperlink" xfId="17607" builtinId="9" hidden="1"/>
    <cellStyle name="Followed Hyperlink" xfId="17608" builtinId="9" hidden="1"/>
    <cellStyle name="Followed Hyperlink" xfId="17609" builtinId="9" hidden="1"/>
    <cellStyle name="Followed Hyperlink" xfId="17610" builtinId="9" hidden="1"/>
    <cellStyle name="Followed Hyperlink" xfId="17611" builtinId="9" hidden="1"/>
    <cellStyle name="Followed Hyperlink" xfId="17612" builtinId="9" hidden="1"/>
    <cellStyle name="Followed Hyperlink" xfId="17613" builtinId="9" hidden="1"/>
    <cellStyle name="Followed Hyperlink" xfId="17614" builtinId="9" hidden="1"/>
    <cellStyle name="Followed Hyperlink" xfId="17615" builtinId="9" hidden="1"/>
    <cellStyle name="Followed Hyperlink" xfId="17616" builtinId="9" hidden="1"/>
    <cellStyle name="Followed Hyperlink" xfId="17617" builtinId="9" hidden="1"/>
    <cellStyle name="Followed Hyperlink" xfId="17618" builtinId="9" hidden="1"/>
    <cellStyle name="Followed Hyperlink" xfId="17619" builtinId="9" hidden="1"/>
    <cellStyle name="Followed Hyperlink" xfId="17620" builtinId="9" hidden="1"/>
    <cellStyle name="Followed Hyperlink" xfId="17621" builtinId="9" hidden="1"/>
    <cellStyle name="Followed Hyperlink" xfId="17622" builtinId="9" hidden="1"/>
    <cellStyle name="Followed Hyperlink" xfId="17623" builtinId="9" hidden="1"/>
    <cellStyle name="Followed Hyperlink" xfId="17624" builtinId="9" hidden="1"/>
    <cellStyle name="Followed Hyperlink" xfId="17625" builtinId="9" hidden="1"/>
    <cellStyle name="Followed Hyperlink" xfId="17626" builtinId="9" hidden="1"/>
    <cellStyle name="Followed Hyperlink" xfId="17627" builtinId="9" hidden="1"/>
    <cellStyle name="Followed Hyperlink" xfId="17628" builtinId="9" hidden="1"/>
    <cellStyle name="Followed Hyperlink" xfId="17379" builtinId="9" hidden="1"/>
    <cellStyle name="Followed Hyperlink" xfId="17589" builtinId="9" hidden="1"/>
    <cellStyle name="Followed Hyperlink" xfId="17630" builtinId="9" hidden="1"/>
    <cellStyle name="Followed Hyperlink" xfId="17631" builtinId="9" hidden="1"/>
    <cellStyle name="Followed Hyperlink" xfId="17632" builtinId="9" hidden="1"/>
    <cellStyle name="Followed Hyperlink" xfId="17633" builtinId="9" hidden="1"/>
    <cellStyle name="Followed Hyperlink" xfId="17634" builtinId="9" hidden="1"/>
    <cellStyle name="Followed Hyperlink" xfId="17635" builtinId="9" hidden="1"/>
    <cellStyle name="Followed Hyperlink" xfId="17636" builtinId="9" hidden="1"/>
    <cellStyle name="Followed Hyperlink" xfId="17637" builtinId="9" hidden="1"/>
    <cellStyle name="Followed Hyperlink" xfId="17638" builtinId="9" hidden="1"/>
    <cellStyle name="Followed Hyperlink" xfId="17639" builtinId="9" hidden="1"/>
    <cellStyle name="Followed Hyperlink" xfId="17640" builtinId="9" hidden="1"/>
    <cellStyle name="Followed Hyperlink" xfId="17641" builtinId="9" hidden="1"/>
    <cellStyle name="Followed Hyperlink" xfId="17642" builtinId="9" hidden="1"/>
    <cellStyle name="Followed Hyperlink" xfId="17643" builtinId="9" hidden="1"/>
    <cellStyle name="Followed Hyperlink" xfId="17644" builtinId="9" hidden="1"/>
    <cellStyle name="Followed Hyperlink" xfId="17645" builtinId="9" hidden="1"/>
    <cellStyle name="Followed Hyperlink" xfId="17646" builtinId="9" hidden="1"/>
    <cellStyle name="Followed Hyperlink" xfId="17647" builtinId="9" hidden="1"/>
    <cellStyle name="Followed Hyperlink" xfId="17648" builtinId="9" hidden="1"/>
    <cellStyle name="Followed Hyperlink" xfId="17649" builtinId="9" hidden="1"/>
    <cellStyle name="Followed Hyperlink" xfId="17650" builtinId="9" hidden="1"/>
    <cellStyle name="Followed Hyperlink" xfId="17651" builtinId="9" hidden="1"/>
    <cellStyle name="Followed Hyperlink" xfId="17652" builtinId="9" hidden="1"/>
    <cellStyle name="Followed Hyperlink" xfId="17653" builtinId="9" hidden="1"/>
    <cellStyle name="Followed Hyperlink" xfId="17654" builtinId="9" hidden="1"/>
    <cellStyle name="Followed Hyperlink" xfId="17655" builtinId="9" hidden="1"/>
    <cellStyle name="Followed Hyperlink" xfId="17656" builtinId="9" hidden="1"/>
    <cellStyle name="Followed Hyperlink" xfId="17657" builtinId="9" hidden="1"/>
    <cellStyle name="Followed Hyperlink" xfId="17658" builtinId="9" hidden="1"/>
    <cellStyle name="Followed Hyperlink" xfId="17659" builtinId="9" hidden="1"/>
    <cellStyle name="Followed Hyperlink" xfId="17660" builtinId="9" hidden="1"/>
    <cellStyle name="Followed Hyperlink" xfId="17661" builtinId="9" hidden="1"/>
    <cellStyle name="Followed Hyperlink" xfId="17662" builtinId="9" hidden="1"/>
    <cellStyle name="Followed Hyperlink" xfId="17663" builtinId="9" hidden="1"/>
    <cellStyle name="Followed Hyperlink" xfId="17664" builtinId="9" hidden="1"/>
    <cellStyle name="Followed Hyperlink" xfId="17665" builtinId="9" hidden="1"/>
    <cellStyle name="Followed Hyperlink" xfId="17666" builtinId="9" hidden="1"/>
    <cellStyle name="Followed Hyperlink" xfId="17667" builtinId="9" hidden="1"/>
    <cellStyle name="Followed Hyperlink" xfId="17668" builtinId="9" hidden="1"/>
    <cellStyle name="Followed Hyperlink" xfId="17381" builtinId="9" hidden="1"/>
    <cellStyle name="Followed Hyperlink" xfId="17629" builtinId="9" hidden="1"/>
    <cellStyle name="Followed Hyperlink" xfId="17670" builtinId="9" hidden="1"/>
    <cellStyle name="Followed Hyperlink" xfId="17671" builtinId="9" hidden="1"/>
    <cellStyle name="Followed Hyperlink" xfId="17672" builtinId="9" hidden="1"/>
    <cellStyle name="Followed Hyperlink" xfId="17673" builtinId="9" hidden="1"/>
    <cellStyle name="Followed Hyperlink" xfId="17674" builtinId="9" hidden="1"/>
    <cellStyle name="Followed Hyperlink" xfId="17675" builtinId="9" hidden="1"/>
    <cellStyle name="Followed Hyperlink" xfId="17676" builtinId="9" hidden="1"/>
    <cellStyle name="Followed Hyperlink" xfId="17677" builtinId="9" hidden="1"/>
    <cellStyle name="Followed Hyperlink" xfId="17678" builtinId="9" hidden="1"/>
    <cellStyle name="Followed Hyperlink" xfId="17679" builtinId="9" hidden="1"/>
    <cellStyle name="Followed Hyperlink" xfId="17680" builtinId="9" hidden="1"/>
    <cellStyle name="Followed Hyperlink" xfId="17681" builtinId="9" hidden="1"/>
    <cellStyle name="Followed Hyperlink" xfId="17682" builtinId="9" hidden="1"/>
    <cellStyle name="Followed Hyperlink" xfId="17683" builtinId="9" hidden="1"/>
    <cellStyle name="Followed Hyperlink" xfId="17684" builtinId="9" hidden="1"/>
    <cellStyle name="Followed Hyperlink" xfId="17685" builtinId="9" hidden="1"/>
    <cellStyle name="Followed Hyperlink" xfId="17686" builtinId="9" hidden="1"/>
    <cellStyle name="Followed Hyperlink" xfId="17687" builtinId="9" hidden="1"/>
    <cellStyle name="Followed Hyperlink" xfId="17688" builtinId="9" hidden="1"/>
    <cellStyle name="Followed Hyperlink" xfId="17689" builtinId="9" hidden="1"/>
    <cellStyle name="Followed Hyperlink" xfId="17690" builtinId="9" hidden="1"/>
    <cellStyle name="Followed Hyperlink" xfId="17691" builtinId="9" hidden="1"/>
    <cellStyle name="Followed Hyperlink" xfId="17692" builtinId="9" hidden="1"/>
    <cellStyle name="Followed Hyperlink" xfId="17693" builtinId="9" hidden="1"/>
    <cellStyle name="Followed Hyperlink" xfId="17694" builtinId="9" hidden="1"/>
    <cellStyle name="Followed Hyperlink" xfId="17695" builtinId="9" hidden="1"/>
    <cellStyle name="Followed Hyperlink" xfId="17696" builtinId="9" hidden="1"/>
    <cellStyle name="Followed Hyperlink" xfId="17697" builtinId="9" hidden="1"/>
    <cellStyle name="Followed Hyperlink" xfId="17698" builtinId="9" hidden="1"/>
    <cellStyle name="Followed Hyperlink" xfId="17699" builtinId="9" hidden="1"/>
    <cellStyle name="Followed Hyperlink" xfId="17700" builtinId="9" hidden="1"/>
    <cellStyle name="Followed Hyperlink" xfId="17701" builtinId="9" hidden="1"/>
    <cellStyle name="Followed Hyperlink" xfId="17702" builtinId="9" hidden="1"/>
    <cellStyle name="Followed Hyperlink" xfId="17703" builtinId="9" hidden="1"/>
    <cellStyle name="Followed Hyperlink" xfId="17704" builtinId="9" hidden="1"/>
    <cellStyle name="Followed Hyperlink" xfId="17705" builtinId="9" hidden="1"/>
    <cellStyle name="Followed Hyperlink" xfId="17706" builtinId="9" hidden="1"/>
    <cellStyle name="Followed Hyperlink" xfId="17707" builtinId="9" hidden="1"/>
    <cellStyle name="Followed Hyperlink" xfId="17708" builtinId="9" hidden="1"/>
    <cellStyle name="Followed Hyperlink" xfId="17382" builtinId="9" hidden="1"/>
    <cellStyle name="Followed Hyperlink" xfId="17669" builtinId="9" hidden="1"/>
    <cellStyle name="Followed Hyperlink" xfId="17710" builtinId="9" hidden="1"/>
    <cellStyle name="Followed Hyperlink" xfId="17711" builtinId="9" hidden="1"/>
    <cellStyle name="Followed Hyperlink" xfId="17712" builtinId="9" hidden="1"/>
    <cellStyle name="Followed Hyperlink" xfId="17713" builtinId="9" hidden="1"/>
    <cellStyle name="Followed Hyperlink" xfId="17714" builtinId="9" hidden="1"/>
    <cellStyle name="Followed Hyperlink" xfId="17715" builtinId="9" hidden="1"/>
    <cellStyle name="Followed Hyperlink" xfId="17716" builtinId="9" hidden="1"/>
    <cellStyle name="Followed Hyperlink" xfId="17717" builtinId="9" hidden="1"/>
    <cellStyle name="Followed Hyperlink" xfId="17718" builtinId="9" hidden="1"/>
    <cellStyle name="Followed Hyperlink" xfId="17719" builtinId="9" hidden="1"/>
    <cellStyle name="Followed Hyperlink" xfId="17720" builtinId="9" hidden="1"/>
    <cellStyle name="Followed Hyperlink" xfId="17721" builtinId="9" hidden="1"/>
    <cellStyle name="Followed Hyperlink" xfId="17722" builtinId="9" hidden="1"/>
    <cellStyle name="Followed Hyperlink" xfId="17723" builtinId="9" hidden="1"/>
    <cellStyle name="Followed Hyperlink" xfId="17724" builtinId="9" hidden="1"/>
    <cellStyle name="Followed Hyperlink" xfId="17725" builtinId="9" hidden="1"/>
    <cellStyle name="Followed Hyperlink" xfId="17726" builtinId="9" hidden="1"/>
    <cellStyle name="Followed Hyperlink" xfId="17727" builtinId="9" hidden="1"/>
    <cellStyle name="Followed Hyperlink" xfId="17728" builtinId="9" hidden="1"/>
    <cellStyle name="Followed Hyperlink" xfId="17729" builtinId="9" hidden="1"/>
    <cellStyle name="Followed Hyperlink" xfId="17730" builtinId="9" hidden="1"/>
    <cellStyle name="Followed Hyperlink" xfId="17731" builtinId="9" hidden="1"/>
    <cellStyle name="Followed Hyperlink" xfId="17732" builtinId="9" hidden="1"/>
    <cellStyle name="Followed Hyperlink" xfId="17733" builtinId="9" hidden="1"/>
    <cellStyle name="Followed Hyperlink" xfId="17734" builtinId="9" hidden="1"/>
    <cellStyle name="Followed Hyperlink" xfId="17735" builtinId="9" hidden="1"/>
    <cellStyle name="Followed Hyperlink" xfId="17736" builtinId="9" hidden="1"/>
    <cellStyle name="Followed Hyperlink" xfId="17737" builtinId="9" hidden="1"/>
    <cellStyle name="Followed Hyperlink" xfId="17738" builtinId="9" hidden="1"/>
    <cellStyle name="Followed Hyperlink" xfId="17739" builtinId="9" hidden="1"/>
    <cellStyle name="Followed Hyperlink" xfId="17740" builtinId="9" hidden="1"/>
    <cellStyle name="Followed Hyperlink" xfId="17741" builtinId="9" hidden="1"/>
    <cellStyle name="Followed Hyperlink" xfId="17742" builtinId="9" hidden="1"/>
    <cellStyle name="Followed Hyperlink" xfId="17743" builtinId="9" hidden="1"/>
    <cellStyle name="Followed Hyperlink" xfId="17744" builtinId="9" hidden="1"/>
    <cellStyle name="Followed Hyperlink" xfId="17745" builtinId="9" hidden="1"/>
    <cellStyle name="Followed Hyperlink" xfId="17746" builtinId="9" hidden="1"/>
    <cellStyle name="Followed Hyperlink" xfId="17747" builtinId="9" hidden="1"/>
    <cellStyle name="Followed Hyperlink" xfId="17748" builtinId="9" hidden="1"/>
    <cellStyle name="Followed Hyperlink" xfId="17384" builtinId="9" hidden="1"/>
    <cellStyle name="Followed Hyperlink" xfId="17709" builtinId="9" hidden="1"/>
    <cellStyle name="Followed Hyperlink" xfId="17750" builtinId="9" hidden="1"/>
    <cellStyle name="Followed Hyperlink" xfId="17751" builtinId="9" hidden="1"/>
    <cellStyle name="Followed Hyperlink" xfId="17752" builtinId="9" hidden="1"/>
    <cellStyle name="Followed Hyperlink" xfId="17753" builtinId="9" hidden="1"/>
    <cellStyle name="Followed Hyperlink" xfId="17754" builtinId="9" hidden="1"/>
    <cellStyle name="Followed Hyperlink" xfId="17755" builtinId="9" hidden="1"/>
    <cellStyle name="Followed Hyperlink" xfId="17756" builtinId="9" hidden="1"/>
    <cellStyle name="Followed Hyperlink" xfId="17757" builtinId="9" hidden="1"/>
    <cellStyle name="Followed Hyperlink" xfId="17758" builtinId="9" hidden="1"/>
    <cellStyle name="Followed Hyperlink" xfId="17759" builtinId="9" hidden="1"/>
    <cellStyle name="Followed Hyperlink" xfId="17760" builtinId="9" hidden="1"/>
    <cellStyle name="Followed Hyperlink" xfId="17761" builtinId="9" hidden="1"/>
    <cellStyle name="Followed Hyperlink" xfId="17762" builtinId="9" hidden="1"/>
    <cellStyle name="Followed Hyperlink" xfId="17763" builtinId="9" hidden="1"/>
    <cellStyle name="Followed Hyperlink" xfId="17764" builtinId="9" hidden="1"/>
    <cellStyle name="Followed Hyperlink" xfId="17765" builtinId="9" hidden="1"/>
    <cellStyle name="Followed Hyperlink" xfId="17766" builtinId="9" hidden="1"/>
    <cellStyle name="Followed Hyperlink" xfId="17767" builtinId="9" hidden="1"/>
    <cellStyle name="Followed Hyperlink" xfId="17768" builtinId="9" hidden="1"/>
    <cellStyle name="Followed Hyperlink" xfId="17769" builtinId="9" hidden="1"/>
    <cellStyle name="Followed Hyperlink" xfId="17770" builtinId="9" hidden="1"/>
    <cellStyle name="Followed Hyperlink" xfId="17771" builtinId="9" hidden="1"/>
    <cellStyle name="Followed Hyperlink" xfId="17772" builtinId="9" hidden="1"/>
    <cellStyle name="Followed Hyperlink" xfId="17773" builtinId="9" hidden="1"/>
    <cellStyle name="Followed Hyperlink" xfId="17774" builtinId="9" hidden="1"/>
    <cellStyle name="Followed Hyperlink" xfId="17775" builtinId="9" hidden="1"/>
    <cellStyle name="Followed Hyperlink" xfId="17776" builtinId="9" hidden="1"/>
    <cellStyle name="Followed Hyperlink" xfId="17777" builtinId="9" hidden="1"/>
    <cellStyle name="Followed Hyperlink" xfId="17778" builtinId="9" hidden="1"/>
    <cellStyle name="Followed Hyperlink" xfId="17779" builtinId="9" hidden="1"/>
    <cellStyle name="Followed Hyperlink" xfId="17780" builtinId="9" hidden="1"/>
    <cellStyle name="Followed Hyperlink" xfId="17781" builtinId="9" hidden="1"/>
    <cellStyle name="Followed Hyperlink" xfId="17782" builtinId="9" hidden="1"/>
    <cellStyle name="Followed Hyperlink" xfId="17783" builtinId="9" hidden="1"/>
    <cellStyle name="Followed Hyperlink" xfId="17784" builtinId="9" hidden="1"/>
    <cellStyle name="Followed Hyperlink" xfId="17785" builtinId="9" hidden="1"/>
    <cellStyle name="Followed Hyperlink" xfId="17786" builtinId="9" hidden="1"/>
    <cellStyle name="Followed Hyperlink" xfId="17787" builtinId="9" hidden="1"/>
    <cellStyle name="Followed Hyperlink" xfId="17788" builtinId="9" hidden="1"/>
    <cellStyle name="Followed Hyperlink" xfId="17380" builtinId="9" hidden="1"/>
    <cellStyle name="Followed Hyperlink" xfId="17749" builtinId="9" hidden="1"/>
    <cellStyle name="Followed Hyperlink" xfId="17789" builtinId="9" hidden="1"/>
    <cellStyle name="Followed Hyperlink" xfId="17790" builtinId="9" hidden="1"/>
    <cellStyle name="Followed Hyperlink" xfId="17791" builtinId="9" hidden="1"/>
    <cellStyle name="Followed Hyperlink" xfId="17792" builtinId="9" hidden="1"/>
    <cellStyle name="Followed Hyperlink" xfId="17793" builtinId="9" hidden="1"/>
    <cellStyle name="Followed Hyperlink" xfId="17794" builtinId="9" hidden="1"/>
    <cellStyle name="Followed Hyperlink" xfId="17795" builtinId="9" hidden="1"/>
    <cellStyle name="Followed Hyperlink" xfId="17796" builtinId="9" hidden="1"/>
    <cellStyle name="Followed Hyperlink" xfId="17797" builtinId="9" hidden="1"/>
    <cellStyle name="Followed Hyperlink" xfId="17798" builtinId="9" hidden="1"/>
    <cellStyle name="Followed Hyperlink" xfId="17799" builtinId="9" hidden="1"/>
    <cellStyle name="Followed Hyperlink" xfId="17800" builtinId="9" hidden="1"/>
    <cellStyle name="Followed Hyperlink" xfId="17801" builtinId="9" hidden="1"/>
    <cellStyle name="Followed Hyperlink" xfId="17802" builtinId="9" hidden="1"/>
    <cellStyle name="Followed Hyperlink" xfId="17803" builtinId="9" hidden="1"/>
    <cellStyle name="Followed Hyperlink" xfId="17804" builtinId="9" hidden="1"/>
    <cellStyle name="Followed Hyperlink" xfId="17805" builtinId="9" hidden="1"/>
    <cellStyle name="Followed Hyperlink" xfId="17806" builtinId="9" hidden="1"/>
    <cellStyle name="Followed Hyperlink" xfId="17807" builtinId="9" hidden="1"/>
    <cellStyle name="Followed Hyperlink" xfId="17808" builtinId="9" hidden="1"/>
    <cellStyle name="Followed Hyperlink" xfId="17809" builtinId="9" hidden="1"/>
    <cellStyle name="Followed Hyperlink" xfId="17810" builtinId="9" hidden="1"/>
    <cellStyle name="Followed Hyperlink" xfId="17811" builtinId="9" hidden="1"/>
    <cellStyle name="Followed Hyperlink" xfId="17812" builtinId="9" hidden="1"/>
    <cellStyle name="Followed Hyperlink" xfId="17813" builtinId="9" hidden="1"/>
    <cellStyle name="Followed Hyperlink" xfId="17814" builtinId="9" hidden="1"/>
    <cellStyle name="Followed Hyperlink" xfId="17815" builtinId="9" hidden="1"/>
    <cellStyle name="Followed Hyperlink" xfId="17816" builtinId="9" hidden="1"/>
    <cellStyle name="Followed Hyperlink" xfId="17817" builtinId="9" hidden="1"/>
    <cellStyle name="Followed Hyperlink" xfId="17818" builtinId="9" hidden="1"/>
    <cellStyle name="Followed Hyperlink" xfId="17819" builtinId="9" hidden="1"/>
    <cellStyle name="Followed Hyperlink" xfId="17820" builtinId="9" hidden="1"/>
    <cellStyle name="Followed Hyperlink" xfId="17821" builtinId="9" hidden="1"/>
    <cellStyle name="Followed Hyperlink" xfId="17822" builtinId="9" hidden="1"/>
    <cellStyle name="Followed Hyperlink" xfId="17823" builtinId="9" hidden="1"/>
    <cellStyle name="Followed Hyperlink" xfId="17824" builtinId="9" hidden="1"/>
    <cellStyle name="Followed Hyperlink" xfId="17825" builtinId="9" hidden="1"/>
    <cellStyle name="Followed Hyperlink" xfId="17826" builtinId="9" hidden="1"/>
    <cellStyle name="Followed Hyperlink" xfId="17827" builtinId="9" hidden="1"/>
    <cellStyle name="Followed Hyperlink" xfId="13421" builtinId="9" hidden="1"/>
    <cellStyle name="Followed Hyperlink" xfId="13417" builtinId="9" hidden="1"/>
    <cellStyle name="Followed Hyperlink" xfId="17828" builtinId="9" hidden="1"/>
    <cellStyle name="Followed Hyperlink" xfId="17829" builtinId="9" hidden="1"/>
    <cellStyle name="Followed Hyperlink" xfId="17830" builtinId="9" hidden="1"/>
    <cellStyle name="Followed Hyperlink" xfId="17831" builtinId="9" hidden="1"/>
    <cellStyle name="Followed Hyperlink" xfId="17832" builtinId="9" hidden="1"/>
    <cellStyle name="Followed Hyperlink" xfId="17833" builtinId="9" hidden="1"/>
    <cellStyle name="Followed Hyperlink" xfId="17834" builtinId="9" hidden="1"/>
    <cellStyle name="Followed Hyperlink" xfId="17835" builtinId="9" hidden="1"/>
    <cellStyle name="Followed Hyperlink" xfId="17836" builtinId="9" hidden="1"/>
    <cellStyle name="Followed Hyperlink" xfId="17837" builtinId="9" hidden="1"/>
    <cellStyle name="Followed Hyperlink" xfId="17838" builtinId="9" hidden="1"/>
    <cellStyle name="Followed Hyperlink" xfId="17839" builtinId="9" hidden="1"/>
    <cellStyle name="Followed Hyperlink" xfId="17840" builtinId="9" hidden="1"/>
    <cellStyle name="Followed Hyperlink" xfId="17841" builtinId="9" hidden="1"/>
    <cellStyle name="Followed Hyperlink" xfId="17842" builtinId="9" hidden="1"/>
    <cellStyle name="Followed Hyperlink" xfId="17843" builtinId="9" hidden="1"/>
    <cellStyle name="Followed Hyperlink" xfId="17844" builtinId="9" hidden="1"/>
    <cellStyle name="Followed Hyperlink" xfId="17845" builtinId="9" hidden="1"/>
    <cellStyle name="Followed Hyperlink" xfId="17846" builtinId="9" hidden="1"/>
    <cellStyle name="Followed Hyperlink" xfId="17847" builtinId="9" hidden="1"/>
    <cellStyle name="Followed Hyperlink" xfId="17848" builtinId="9" hidden="1"/>
    <cellStyle name="Followed Hyperlink" xfId="17849" builtinId="9" hidden="1"/>
    <cellStyle name="Followed Hyperlink" xfId="17850" builtinId="9" hidden="1"/>
    <cellStyle name="Followed Hyperlink" xfId="17851" builtinId="9" hidden="1"/>
    <cellStyle name="Followed Hyperlink" xfId="17852" builtinId="9" hidden="1"/>
    <cellStyle name="Followed Hyperlink" xfId="17853" builtinId="9" hidden="1"/>
    <cellStyle name="Followed Hyperlink" xfId="17854" builtinId="9" hidden="1"/>
    <cellStyle name="Followed Hyperlink" xfId="17855" builtinId="9" hidden="1"/>
    <cellStyle name="Followed Hyperlink" xfId="17856" builtinId="9" hidden="1"/>
    <cellStyle name="Followed Hyperlink" xfId="17857" builtinId="9" hidden="1"/>
    <cellStyle name="Followed Hyperlink" xfId="17858" builtinId="9" hidden="1"/>
    <cellStyle name="Followed Hyperlink" xfId="17859" builtinId="9" hidden="1"/>
    <cellStyle name="Followed Hyperlink" xfId="17860" builtinId="9" hidden="1"/>
    <cellStyle name="Followed Hyperlink" xfId="17861" builtinId="9" hidden="1"/>
    <cellStyle name="Followed Hyperlink" xfId="17862" builtinId="9" hidden="1"/>
    <cellStyle name="Followed Hyperlink" xfId="17863" builtinId="9" hidden="1"/>
    <cellStyle name="Followed Hyperlink" xfId="17864" builtinId="9" hidden="1"/>
    <cellStyle name="Followed Hyperlink" xfId="17865" builtinId="9" hidden="1"/>
    <cellStyle name="Followed Hyperlink" xfId="17866" builtinId="9" hidden="1"/>
    <cellStyle name="Followed Hyperlink" xfId="17875" builtinId="9" hidden="1"/>
    <cellStyle name="Followed Hyperlink" xfId="17876" builtinId="9" hidden="1"/>
    <cellStyle name="Followed Hyperlink" xfId="17877" builtinId="9" hidden="1"/>
    <cellStyle name="Followed Hyperlink" xfId="17878" builtinId="9" hidden="1"/>
    <cellStyle name="Followed Hyperlink" xfId="17879" builtinId="9" hidden="1"/>
    <cellStyle name="Followed Hyperlink" xfId="17880" builtinId="9" hidden="1"/>
    <cellStyle name="Followed Hyperlink" xfId="17881" builtinId="9" hidden="1"/>
    <cellStyle name="Followed Hyperlink" xfId="17882" builtinId="9" hidden="1"/>
    <cellStyle name="Followed Hyperlink" xfId="17883" builtinId="9" hidden="1"/>
    <cellStyle name="Followed Hyperlink" xfId="17884" builtinId="9" hidden="1"/>
    <cellStyle name="Followed Hyperlink" xfId="17885" builtinId="9" hidden="1"/>
    <cellStyle name="Followed Hyperlink" xfId="17886" builtinId="9" hidden="1"/>
    <cellStyle name="Followed Hyperlink" xfId="17887" builtinId="9" hidden="1"/>
    <cellStyle name="Followed Hyperlink" xfId="17888" builtinId="9" hidden="1"/>
    <cellStyle name="Followed Hyperlink" xfId="17889" builtinId="9" hidden="1"/>
    <cellStyle name="Followed Hyperlink" xfId="17890" builtinId="9" hidden="1"/>
    <cellStyle name="Followed Hyperlink" xfId="17891" builtinId="9" hidden="1"/>
    <cellStyle name="Followed Hyperlink" xfId="17892" builtinId="9" hidden="1"/>
    <cellStyle name="Followed Hyperlink" xfId="17893" builtinId="9" hidden="1"/>
    <cellStyle name="Followed Hyperlink" xfId="17894" builtinId="9" hidden="1"/>
    <cellStyle name="Followed Hyperlink" xfId="17895" builtinId="9" hidden="1"/>
    <cellStyle name="Followed Hyperlink" xfId="17896" builtinId="9" hidden="1"/>
    <cellStyle name="Followed Hyperlink" xfId="17897" builtinId="9" hidden="1"/>
    <cellStyle name="Followed Hyperlink" xfId="17898" builtinId="9" hidden="1"/>
    <cellStyle name="Followed Hyperlink" xfId="17899" builtinId="9" hidden="1"/>
    <cellStyle name="Followed Hyperlink" xfId="17900" builtinId="9" hidden="1"/>
    <cellStyle name="Followed Hyperlink" xfId="17901" builtinId="9" hidden="1"/>
    <cellStyle name="Followed Hyperlink" xfId="17902" builtinId="9" hidden="1"/>
    <cellStyle name="Followed Hyperlink" xfId="17903" builtinId="9" hidden="1"/>
    <cellStyle name="Followed Hyperlink" xfId="17904" builtinId="9" hidden="1"/>
    <cellStyle name="Followed Hyperlink" xfId="17905" builtinId="9" hidden="1"/>
    <cellStyle name="Followed Hyperlink" xfId="17906" builtinId="9" hidden="1"/>
    <cellStyle name="Followed Hyperlink" xfId="17907" builtinId="9" hidden="1"/>
    <cellStyle name="Followed Hyperlink" xfId="17908" builtinId="9" hidden="1"/>
    <cellStyle name="Followed Hyperlink" xfId="17909" builtinId="9" hidden="1"/>
    <cellStyle name="Followed Hyperlink" xfId="17910" builtinId="9" hidden="1"/>
    <cellStyle name="Followed Hyperlink" xfId="17911" builtinId="9" hidden="1"/>
    <cellStyle name="Followed Hyperlink" xfId="17912" builtinId="9" hidden="1"/>
    <cellStyle name="Followed Hyperlink" xfId="17913" builtinId="9" hidden="1"/>
    <cellStyle name="Followed Hyperlink" xfId="17914" builtinId="9" hidden="1"/>
    <cellStyle name="Followed Hyperlink" xfId="17915" builtinId="9" hidden="1"/>
    <cellStyle name="Followed Hyperlink" xfId="17916" builtinId="9" hidden="1"/>
    <cellStyle name="Followed Hyperlink" xfId="17917" builtinId="9" hidden="1"/>
    <cellStyle name="Followed Hyperlink" xfId="17918" builtinId="9" hidden="1"/>
    <cellStyle name="Followed Hyperlink" xfId="17919" builtinId="9" hidden="1"/>
    <cellStyle name="Followed Hyperlink" xfId="17920" builtinId="9" hidden="1"/>
    <cellStyle name="Followed Hyperlink" xfId="17921" builtinId="9" hidden="1"/>
    <cellStyle name="Followed Hyperlink" xfId="17922" builtinId="9" hidden="1"/>
    <cellStyle name="Followed Hyperlink" xfId="17923" builtinId="9" hidden="1"/>
    <cellStyle name="Followed Hyperlink" xfId="17924" builtinId="9" hidden="1"/>
    <cellStyle name="Followed Hyperlink" xfId="17925" builtinId="9" hidden="1"/>
    <cellStyle name="Followed Hyperlink" xfId="17926" builtinId="9" hidden="1"/>
    <cellStyle name="Followed Hyperlink" xfId="17927" builtinId="9" hidden="1"/>
    <cellStyle name="Followed Hyperlink" xfId="17928" builtinId="9" hidden="1"/>
    <cellStyle name="Followed Hyperlink" xfId="17929" builtinId="9" hidden="1"/>
    <cellStyle name="Followed Hyperlink" xfId="17930" builtinId="9" hidden="1"/>
    <cellStyle name="Followed Hyperlink" xfId="17931" builtinId="9" hidden="1"/>
    <cellStyle name="Followed Hyperlink" xfId="17932" builtinId="9" hidden="1"/>
    <cellStyle name="Followed Hyperlink" xfId="17933" builtinId="9" hidden="1"/>
    <cellStyle name="Followed Hyperlink" xfId="17934" builtinId="9" hidden="1"/>
    <cellStyle name="Followed Hyperlink" xfId="17935" builtinId="9" hidden="1"/>
    <cellStyle name="Followed Hyperlink" xfId="17936" builtinId="9" hidden="1"/>
    <cellStyle name="Followed Hyperlink" xfId="17937" builtinId="9" hidden="1"/>
    <cellStyle name="Followed Hyperlink" xfId="17938" builtinId="9" hidden="1"/>
    <cellStyle name="Followed Hyperlink" xfId="17939" builtinId="9" hidden="1"/>
    <cellStyle name="Followed Hyperlink" xfId="17940" builtinId="9" hidden="1"/>
    <cellStyle name="Followed Hyperlink" xfId="17941" builtinId="9" hidden="1"/>
    <cellStyle name="Followed Hyperlink" xfId="17942" builtinId="9" hidden="1"/>
    <cellStyle name="Followed Hyperlink" xfId="17943" builtinId="9" hidden="1"/>
    <cellStyle name="Followed Hyperlink" xfId="17944" builtinId="9" hidden="1"/>
    <cellStyle name="Followed Hyperlink" xfId="17945" builtinId="9" hidden="1"/>
    <cellStyle name="Followed Hyperlink" xfId="17946" builtinId="9" hidden="1"/>
    <cellStyle name="Followed Hyperlink" xfId="17947" builtinId="9" hidden="1"/>
    <cellStyle name="Followed Hyperlink" xfId="17948" builtinId="9" hidden="1"/>
    <cellStyle name="Followed Hyperlink" xfId="17949" builtinId="9" hidden="1"/>
    <cellStyle name="Followed Hyperlink" xfId="17950" builtinId="9" hidden="1"/>
    <cellStyle name="Followed Hyperlink" xfId="17951" builtinId="9" hidden="1"/>
    <cellStyle name="Followed Hyperlink" xfId="17952" builtinId="9" hidden="1"/>
    <cellStyle name="Followed Hyperlink" xfId="17953" builtinId="9" hidden="1"/>
    <cellStyle name="Followed Hyperlink" xfId="17954" builtinId="9" hidden="1"/>
    <cellStyle name="Followed Hyperlink" xfId="17955" builtinId="9" hidden="1"/>
    <cellStyle name="Followed Hyperlink" xfId="17956" builtinId="9" hidden="1"/>
    <cellStyle name="Followed Hyperlink" xfId="17957" builtinId="9" hidden="1"/>
    <cellStyle name="Followed Hyperlink" xfId="17958" builtinId="9" hidden="1"/>
    <cellStyle name="Followed Hyperlink" xfId="17959" builtinId="9" hidden="1"/>
    <cellStyle name="Followed Hyperlink" xfId="17960" builtinId="9" hidden="1"/>
    <cellStyle name="Followed Hyperlink" xfId="17961" builtinId="9" hidden="1"/>
    <cellStyle name="Followed Hyperlink" xfId="17962" builtinId="9" hidden="1"/>
    <cellStyle name="Followed Hyperlink" xfId="17963" builtinId="9" hidden="1"/>
    <cellStyle name="Followed Hyperlink" xfId="17964" builtinId="9" hidden="1"/>
    <cellStyle name="Followed Hyperlink" xfId="17965" builtinId="9" hidden="1"/>
    <cellStyle name="Followed Hyperlink" xfId="17966" builtinId="9" hidden="1"/>
    <cellStyle name="Followed Hyperlink" xfId="17967" builtinId="9" hidden="1"/>
    <cellStyle name="Followed Hyperlink" xfId="17968" builtinId="9" hidden="1"/>
    <cellStyle name="Followed Hyperlink" xfId="17969" builtinId="9" hidden="1"/>
    <cellStyle name="Followed Hyperlink" xfId="17970" builtinId="9" hidden="1"/>
    <cellStyle name="Followed Hyperlink" xfId="17971" builtinId="9" hidden="1"/>
    <cellStyle name="Followed Hyperlink" xfId="17972" builtinId="9" hidden="1"/>
    <cellStyle name="Followed Hyperlink" xfId="17973" builtinId="9" hidden="1"/>
    <cellStyle name="Followed Hyperlink" xfId="17974" builtinId="9" hidden="1"/>
    <cellStyle name="Followed Hyperlink" xfId="17975" builtinId="9" hidden="1"/>
    <cellStyle name="Followed Hyperlink" xfId="17976" builtinId="9" hidden="1"/>
    <cellStyle name="Followed Hyperlink" xfId="17977" builtinId="9" hidden="1"/>
    <cellStyle name="Followed Hyperlink" xfId="17978" builtinId="9" hidden="1"/>
    <cellStyle name="Followed Hyperlink" xfId="17979" builtinId="9" hidden="1"/>
    <cellStyle name="Followed Hyperlink" xfId="17980" builtinId="9" hidden="1"/>
    <cellStyle name="Followed Hyperlink" xfId="17981" builtinId="9" hidden="1"/>
    <cellStyle name="Followed Hyperlink" xfId="17982" builtinId="9" hidden="1"/>
    <cellStyle name="Followed Hyperlink" xfId="17983" builtinId="9" hidden="1"/>
    <cellStyle name="Followed Hyperlink" xfId="17984" builtinId="9" hidden="1"/>
    <cellStyle name="Followed Hyperlink" xfId="17985" builtinId="9" hidden="1"/>
    <cellStyle name="Followed Hyperlink" xfId="17986" builtinId="9" hidden="1"/>
    <cellStyle name="Followed Hyperlink" xfId="17987" builtinId="9" hidden="1"/>
    <cellStyle name="Followed Hyperlink" xfId="17988" builtinId="9" hidden="1"/>
    <cellStyle name="Followed Hyperlink" xfId="17989" builtinId="9" hidden="1"/>
    <cellStyle name="Followed Hyperlink" xfId="17990" builtinId="9" hidden="1"/>
    <cellStyle name="Followed Hyperlink" xfId="17991" builtinId="9" hidden="1"/>
    <cellStyle name="Followed Hyperlink" xfId="17992" builtinId="9" hidden="1"/>
    <cellStyle name="Followed Hyperlink" xfId="17993" builtinId="9" hidden="1"/>
    <cellStyle name="Followed Hyperlink" xfId="17994" builtinId="9" hidden="1"/>
    <cellStyle name="Followed Hyperlink" xfId="17995" builtinId="9" hidden="1"/>
    <cellStyle name="Followed Hyperlink" xfId="17996" builtinId="9" hidden="1"/>
    <cellStyle name="Followed Hyperlink" xfId="17997" builtinId="9" hidden="1"/>
    <cellStyle name="Followed Hyperlink" xfId="17867" builtinId="9" hidden="1"/>
    <cellStyle name="Followed Hyperlink" xfId="13420" builtinId="9" hidden="1"/>
    <cellStyle name="Followed Hyperlink" xfId="17999" builtinId="9" hidden="1"/>
    <cellStyle name="Followed Hyperlink" xfId="18000" builtinId="9" hidden="1"/>
    <cellStyle name="Followed Hyperlink" xfId="18001" builtinId="9" hidden="1"/>
    <cellStyle name="Followed Hyperlink" xfId="18002" builtinId="9" hidden="1"/>
    <cellStyle name="Followed Hyperlink" xfId="18003" builtinId="9" hidden="1"/>
    <cellStyle name="Followed Hyperlink" xfId="18004" builtinId="9" hidden="1"/>
    <cellStyle name="Followed Hyperlink" xfId="18005" builtinId="9" hidden="1"/>
    <cellStyle name="Followed Hyperlink" xfId="18006" builtinId="9" hidden="1"/>
    <cellStyle name="Followed Hyperlink" xfId="18007" builtinId="9" hidden="1"/>
    <cellStyle name="Followed Hyperlink" xfId="18008" builtinId="9" hidden="1"/>
    <cellStyle name="Followed Hyperlink" xfId="18009" builtinId="9" hidden="1"/>
    <cellStyle name="Followed Hyperlink" xfId="18010" builtinId="9" hidden="1"/>
    <cellStyle name="Followed Hyperlink" xfId="18011" builtinId="9" hidden="1"/>
    <cellStyle name="Followed Hyperlink" xfId="18012" builtinId="9" hidden="1"/>
    <cellStyle name="Followed Hyperlink" xfId="18013" builtinId="9" hidden="1"/>
    <cellStyle name="Followed Hyperlink" xfId="18014" builtinId="9" hidden="1"/>
    <cellStyle name="Followed Hyperlink" xfId="18015" builtinId="9" hidden="1"/>
    <cellStyle name="Followed Hyperlink" xfId="18016" builtinId="9" hidden="1"/>
    <cellStyle name="Followed Hyperlink" xfId="18017" builtinId="9" hidden="1"/>
    <cellStyle name="Followed Hyperlink" xfId="18018" builtinId="9" hidden="1"/>
    <cellStyle name="Followed Hyperlink" xfId="18019" builtinId="9" hidden="1"/>
    <cellStyle name="Followed Hyperlink" xfId="18020" builtinId="9" hidden="1"/>
    <cellStyle name="Followed Hyperlink" xfId="18021" builtinId="9" hidden="1"/>
    <cellStyle name="Followed Hyperlink" xfId="18022" builtinId="9" hidden="1"/>
    <cellStyle name="Followed Hyperlink" xfId="18023" builtinId="9" hidden="1"/>
    <cellStyle name="Followed Hyperlink" xfId="18024" builtinId="9" hidden="1"/>
    <cellStyle name="Followed Hyperlink" xfId="18025" builtinId="9" hidden="1"/>
    <cellStyle name="Followed Hyperlink" xfId="18026" builtinId="9" hidden="1"/>
    <cellStyle name="Followed Hyperlink" xfId="18027" builtinId="9" hidden="1"/>
    <cellStyle name="Followed Hyperlink" xfId="18028" builtinId="9" hidden="1"/>
    <cellStyle name="Followed Hyperlink" xfId="18029" builtinId="9" hidden="1"/>
    <cellStyle name="Followed Hyperlink" xfId="18030" builtinId="9" hidden="1"/>
    <cellStyle name="Followed Hyperlink" xfId="18031" builtinId="9" hidden="1"/>
    <cellStyle name="Followed Hyperlink" xfId="18032" builtinId="9" hidden="1"/>
    <cellStyle name="Followed Hyperlink" xfId="18033" builtinId="9" hidden="1"/>
    <cellStyle name="Followed Hyperlink" xfId="18034" builtinId="9" hidden="1"/>
    <cellStyle name="Followed Hyperlink" xfId="18035" builtinId="9" hidden="1"/>
    <cellStyle name="Followed Hyperlink" xfId="18036" builtinId="9" hidden="1"/>
    <cellStyle name="Followed Hyperlink" xfId="18037" builtinId="9" hidden="1"/>
    <cellStyle name="Followed Hyperlink" xfId="17872" builtinId="9" hidden="1"/>
    <cellStyle name="Followed Hyperlink" xfId="17998" builtinId="9" hidden="1"/>
    <cellStyle name="Followed Hyperlink" xfId="18039" builtinId="9" hidden="1"/>
    <cellStyle name="Followed Hyperlink" xfId="18040" builtinId="9" hidden="1"/>
    <cellStyle name="Followed Hyperlink" xfId="18041" builtinId="9" hidden="1"/>
    <cellStyle name="Followed Hyperlink" xfId="18042" builtinId="9" hidden="1"/>
    <cellStyle name="Followed Hyperlink" xfId="18043" builtinId="9" hidden="1"/>
    <cellStyle name="Followed Hyperlink" xfId="18044" builtinId="9" hidden="1"/>
    <cellStyle name="Followed Hyperlink" xfId="18045" builtinId="9" hidden="1"/>
    <cellStyle name="Followed Hyperlink" xfId="18046" builtinId="9" hidden="1"/>
    <cellStyle name="Followed Hyperlink" xfId="18047" builtinId="9" hidden="1"/>
    <cellStyle name="Followed Hyperlink" xfId="18048" builtinId="9" hidden="1"/>
    <cellStyle name="Followed Hyperlink" xfId="18049" builtinId="9" hidden="1"/>
    <cellStyle name="Followed Hyperlink" xfId="18050" builtinId="9" hidden="1"/>
    <cellStyle name="Followed Hyperlink" xfId="18051" builtinId="9" hidden="1"/>
    <cellStyle name="Followed Hyperlink" xfId="18052" builtinId="9" hidden="1"/>
    <cellStyle name="Followed Hyperlink" xfId="18053" builtinId="9" hidden="1"/>
    <cellStyle name="Followed Hyperlink" xfId="18054" builtinId="9" hidden="1"/>
    <cellStyle name="Followed Hyperlink" xfId="18055" builtinId="9" hidden="1"/>
    <cellStyle name="Followed Hyperlink" xfId="18056" builtinId="9" hidden="1"/>
    <cellStyle name="Followed Hyperlink" xfId="18057" builtinId="9" hidden="1"/>
    <cellStyle name="Followed Hyperlink" xfId="18058" builtinId="9" hidden="1"/>
    <cellStyle name="Followed Hyperlink" xfId="18059" builtinId="9" hidden="1"/>
    <cellStyle name="Followed Hyperlink" xfId="18060" builtinId="9" hidden="1"/>
    <cellStyle name="Followed Hyperlink" xfId="18061" builtinId="9" hidden="1"/>
    <cellStyle name="Followed Hyperlink" xfId="18062" builtinId="9" hidden="1"/>
    <cellStyle name="Followed Hyperlink" xfId="18063" builtinId="9" hidden="1"/>
    <cellStyle name="Followed Hyperlink" xfId="18064" builtinId="9" hidden="1"/>
    <cellStyle name="Followed Hyperlink" xfId="18065" builtinId="9" hidden="1"/>
    <cellStyle name="Followed Hyperlink" xfId="18066" builtinId="9" hidden="1"/>
    <cellStyle name="Followed Hyperlink" xfId="18067" builtinId="9" hidden="1"/>
    <cellStyle name="Followed Hyperlink" xfId="18068" builtinId="9" hidden="1"/>
    <cellStyle name="Followed Hyperlink" xfId="18069" builtinId="9" hidden="1"/>
    <cellStyle name="Followed Hyperlink" xfId="18070" builtinId="9" hidden="1"/>
    <cellStyle name="Followed Hyperlink" xfId="18071" builtinId="9" hidden="1"/>
    <cellStyle name="Followed Hyperlink" xfId="18072" builtinId="9" hidden="1"/>
    <cellStyle name="Followed Hyperlink" xfId="18073" builtinId="9" hidden="1"/>
    <cellStyle name="Followed Hyperlink" xfId="18074" builtinId="9" hidden="1"/>
    <cellStyle name="Followed Hyperlink" xfId="18075" builtinId="9" hidden="1"/>
    <cellStyle name="Followed Hyperlink" xfId="18076" builtinId="9" hidden="1"/>
    <cellStyle name="Followed Hyperlink" xfId="18077" builtinId="9" hidden="1"/>
    <cellStyle name="Followed Hyperlink" xfId="17874" builtinId="9" hidden="1"/>
    <cellStyle name="Followed Hyperlink" xfId="18038" builtinId="9" hidden="1"/>
    <cellStyle name="Followed Hyperlink" xfId="18079" builtinId="9" hidden="1"/>
    <cellStyle name="Followed Hyperlink" xfId="18080" builtinId="9" hidden="1"/>
    <cellStyle name="Followed Hyperlink" xfId="18081" builtinId="9" hidden="1"/>
    <cellStyle name="Followed Hyperlink" xfId="18082" builtinId="9" hidden="1"/>
    <cellStyle name="Followed Hyperlink" xfId="18083" builtinId="9" hidden="1"/>
    <cellStyle name="Followed Hyperlink" xfId="18084" builtinId="9" hidden="1"/>
    <cellStyle name="Followed Hyperlink" xfId="18085" builtinId="9" hidden="1"/>
    <cellStyle name="Followed Hyperlink" xfId="18086" builtinId="9" hidden="1"/>
    <cellStyle name="Followed Hyperlink" xfId="18087" builtinId="9" hidden="1"/>
    <cellStyle name="Followed Hyperlink" xfId="18088" builtinId="9" hidden="1"/>
    <cellStyle name="Followed Hyperlink" xfId="18089" builtinId="9" hidden="1"/>
    <cellStyle name="Followed Hyperlink" xfId="18090" builtinId="9" hidden="1"/>
    <cellStyle name="Followed Hyperlink" xfId="18091" builtinId="9" hidden="1"/>
    <cellStyle name="Followed Hyperlink" xfId="18092" builtinId="9" hidden="1"/>
    <cellStyle name="Followed Hyperlink" xfId="18093" builtinId="9" hidden="1"/>
    <cellStyle name="Followed Hyperlink" xfId="18094" builtinId="9" hidden="1"/>
    <cellStyle name="Followed Hyperlink" xfId="18095" builtinId="9" hidden="1"/>
    <cellStyle name="Followed Hyperlink" xfId="18096" builtinId="9" hidden="1"/>
    <cellStyle name="Followed Hyperlink" xfId="18097" builtinId="9" hidden="1"/>
    <cellStyle name="Followed Hyperlink" xfId="18098" builtinId="9" hidden="1"/>
    <cellStyle name="Followed Hyperlink" xfId="18099" builtinId="9" hidden="1"/>
    <cellStyle name="Followed Hyperlink" xfId="18100" builtinId="9" hidden="1"/>
    <cellStyle name="Followed Hyperlink" xfId="18101" builtinId="9" hidden="1"/>
    <cellStyle name="Followed Hyperlink" xfId="18102" builtinId="9" hidden="1"/>
    <cellStyle name="Followed Hyperlink" xfId="18103" builtinId="9" hidden="1"/>
    <cellStyle name="Followed Hyperlink" xfId="18104" builtinId="9" hidden="1"/>
    <cellStyle name="Followed Hyperlink" xfId="18105" builtinId="9" hidden="1"/>
    <cellStyle name="Followed Hyperlink" xfId="18106" builtinId="9" hidden="1"/>
    <cellStyle name="Followed Hyperlink" xfId="18107" builtinId="9" hidden="1"/>
    <cellStyle name="Followed Hyperlink" xfId="18108" builtinId="9" hidden="1"/>
    <cellStyle name="Followed Hyperlink" xfId="18109" builtinId="9" hidden="1"/>
    <cellStyle name="Followed Hyperlink" xfId="18110" builtinId="9" hidden="1"/>
    <cellStyle name="Followed Hyperlink" xfId="18111" builtinId="9" hidden="1"/>
    <cellStyle name="Followed Hyperlink" xfId="18112" builtinId="9" hidden="1"/>
    <cellStyle name="Followed Hyperlink" xfId="18113" builtinId="9" hidden="1"/>
    <cellStyle name="Followed Hyperlink" xfId="18114" builtinId="9" hidden="1"/>
    <cellStyle name="Followed Hyperlink" xfId="18115" builtinId="9" hidden="1"/>
    <cellStyle name="Followed Hyperlink" xfId="18116" builtinId="9" hidden="1"/>
    <cellStyle name="Followed Hyperlink" xfId="18117" builtinId="9" hidden="1"/>
    <cellStyle name="Followed Hyperlink" xfId="17868" builtinId="9" hidden="1"/>
    <cellStyle name="Followed Hyperlink" xfId="18078" builtinId="9" hidden="1"/>
    <cellStyle name="Followed Hyperlink" xfId="18119" builtinId="9" hidden="1"/>
    <cellStyle name="Followed Hyperlink" xfId="18120" builtinId="9" hidden="1"/>
    <cellStyle name="Followed Hyperlink" xfId="18121" builtinId="9" hidden="1"/>
    <cellStyle name="Followed Hyperlink" xfId="18122" builtinId="9" hidden="1"/>
    <cellStyle name="Followed Hyperlink" xfId="18123" builtinId="9" hidden="1"/>
    <cellStyle name="Followed Hyperlink" xfId="18124" builtinId="9" hidden="1"/>
    <cellStyle name="Followed Hyperlink" xfId="18125" builtinId="9" hidden="1"/>
    <cellStyle name="Followed Hyperlink" xfId="18126" builtinId="9" hidden="1"/>
    <cellStyle name="Followed Hyperlink" xfId="18127" builtinId="9" hidden="1"/>
    <cellStyle name="Followed Hyperlink" xfId="18128" builtinId="9" hidden="1"/>
    <cellStyle name="Followed Hyperlink" xfId="18129" builtinId="9" hidden="1"/>
    <cellStyle name="Followed Hyperlink" xfId="18130" builtinId="9" hidden="1"/>
    <cellStyle name="Followed Hyperlink" xfId="18131" builtinId="9" hidden="1"/>
    <cellStyle name="Followed Hyperlink" xfId="18132" builtinId="9" hidden="1"/>
    <cellStyle name="Followed Hyperlink" xfId="18133" builtinId="9" hidden="1"/>
    <cellStyle name="Followed Hyperlink" xfId="18134" builtinId="9" hidden="1"/>
    <cellStyle name="Followed Hyperlink" xfId="18135" builtinId="9" hidden="1"/>
    <cellStyle name="Followed Hyperlink" xfId="18136" builtinId="9" hidden="1"/>
    <cellStyle name="Followed Hyperlink" xfId="18137" builtinId="9" hidden="1"/>
    <cellStyle name="Followed Hyperlink" xfId="18138" builtinId="9" hidden="1"/>
    <cellStyle name="Followed Hyperlink" xfId="18139" builtinId="9" hidden="1"/>
    <cellStyle name="Followed Hyperlink" xfId="18140" builtinId="9" hidden="1"/>
    <cellStyle name="Followed Hyperlink" xfId="18141" builtinId="9" hidden="1"/>
    <cellStyle name="Followed Hyperlink" xfId="18142" builtinId="9" hidden="1"/>
    <cellStyle name="Followed Hyperlink" xfId="18143" builtinId="9" hidden="1"/>
    <cellStyle name="Followed Hyperlink" xfId="18144" builtinId="9" hidden="1"/>
    <cellStyle name="Followed Hyperlink" xfId="18145" builtinId="9" hidden="1"/>
    <cellStyle name="Followed Hyperlink" xfId="18146" builtinId="9" hidden="1"/>
    <cellStyle name="Followed Hyperlink" xfId="18147" builtinId="9" hidden="1"/>
    <cellStyle name="Followed Hyperlink" xfId="18148" builtinId="9" hidden="1"/>
    <cellStyle name="Followed Hyperlink" xfId="18149" builtinId="9" hidden="1"/>
    <cellStyle name="Followed Hyperlink" xfId="18150" builtinId="9" hidden="1"/>
    <cellStyle name="Followed Hyperlink" xfId="18151" builtinId="9" hidden="1"/>
    <cellStyle name="Followed Hyperlink" xfId="18152" builtinId="9" hidden="1"/>
    <cellStyle name="Followed Hyperlink" xfId="18153" builtinId="9" hidden="1"/>
    <cellStyle name="Followed Hyperlink" xfId="18154" builtinId="9" hidden="1"/>
    <cellStyle name="Followed Hyperlink" xfId="18155" builtinId="9" hidden="1"/>
    <cellStyle name="Followed Hyperlink" xfId="18156" builtinId="9" hidden="1"/>
    <cellStyle name="Followed Hyperlink" xfId="18157" builtinId="9" hidden="1"/>
    <cellStyle name="Followed Hyperlink" xfId="17870" builtinId="9" hidden="1"/>
    <cellStyle name="Followed Hyperlink" xfId="18118" builtinId="9" hidden="1"/>
    <cellStyle name="Followed Hyperlink" xfId="18159" builtinId="9" hidden="1"/>
    <cellStyle name="Followed Hyperlink" xfId="18160" builtinId="9" hidden="1"/>
    <cellStyle name="Followed Hyperlink" xfId="18161" builtinId="9" hidden="1"/>
    <cellStyle name="Followed Hyperlink" xfId="18162" builtinId="9" hidden="1"/>
    <cellStyle name="Followed Hyperlink" xfId="18163" builtinId="9" hidden="1"/>
    <cellStyle name="Followed Hyperlink" xfId="18164" builtinId="9" hidden="1"/>
    <cellStyle name="Followed Hyperlink" xfId="18165" builtinId="9" hidden="1"/>
    <cellStyle name="Followed Hyperlink" xfId="18166" builtinId="9" hidden="1"/>
    <cellStyle name="Followed Hyperlink" xfId="18167" builtinId="9" hidden="1"/>
    <cellStyle name="Followed Hyperlink" xfId="18168" builtinId="9" hidden="1"/>
    <cellStyle name="Followed Hyperlink" xfId="18169" builtinId="9" hidden="1"/>
    <cellStyle name="Followed Hyperlink" xfId="18170" builtinId="9" hidden="1"/>
    <cellStyle name="Followed Hyperlink" xfId="18171" builtinId="9" hidden="1"/>
    <cellStyle name="Followed Hyperlink" xfId="18172" builtinId="9" hidden="1"/>
    <cellStyle name="Followed Hyperlink" xfId="18173" builtinId="9" hidden="1"/>
    <cellStyle name="Followed Hyperlink" xfId="18174" builtinId="9" hidden="1"/>
    <cellStyle name="Followed Hyperlink" xfId="18175" builtinId="9" hidden="1"/>
    <cellStyle name="Followed Hyperlink" xfId="18176" builtinId="9" hidden="1"/>
    <cellStyle name="Followed Hyperlink" xfId="18177" builtinId="9" hidden="1"/>
    <cellStyle name="Followed Hyperlink" xfId="18178" builtinId="9" hidden="1"/>
    <cellStyle name="Followed Hyperlink" xfId="18179" builtinId="9" hidden="1"/>
    <cellStyle name="Followed Hyperlink" xfId="18180" builtinId="9" hidden="1"/>
    <cellStyle name="Followed Hyperlink" xfId="18181" builtinId="9" hidden="1"/>
    <cellStyle name="Followed Hyperlink" xfId="18182" builtinId="9" hidden="1"/>
    <cellStyle name="Followed Hyperlink" xfId="18183" builtinId="9" hidden="1"/>
    <cellStyle name="Followed Hyperlink" xfId="18184" builtinId="9" hidden="1"/>
    <cellStyle name="Followed Hyperlink" xfId="18185" builtinId="9" hidden="1"/>
    <cellStyle name="Followed Hyperlink" xfId="18186" builtinId="9" hidden="1"/>
    <cellStyle name="Followed Hyperlink" xfId="18187" builtinId="9" hidden="1"/>
    <cellStyle name="Followed Hyperlink" xfId="18188" builtinId="9" hidden="1"/>
    <cellStyle name="Followed Hyperlink" xfId="18189" builtinId="9" hidden="1"/>
    <cellStyle name="Followed Hyperlink" xfId="18190" builtinId="9" hidden="1"/>
    <cellStyle name="Followed Hyperlink" xfId="18191" builtinId="9" hidden="1"/>
    <cellStyle name="Followed Hyperlink" xfId="18192" builtinId="9" hidden="1"/>
    <cellStyle name="Followed Hyperlink" xfId="18193" builtinId="9" hidden="1"/>
    <cellStyle name="Followed Hyperlink" xfId="18194" builtinId="9" hidden="1"/>
    <cellStyle name="Followed Hyperlink" xfId="18195" builtinId="9" hidden="1"/>
    <cellStyle name="Followed Hyperlink" xfId="18196" builtinId="9" hidden="1"/>
    <cellStyle name="Followed Hyperlink" xfId="18197" builtinId="9" hidden="1"/>
    <cellStyle name="Followed Hyperlink" xfId="17871" builtinId="9" hidden="1"/>
    <cellStyle name="Followed Hyperlink" xfId="18158" builtinId="9" hidden="1"/>
    <cellStyle name="Followed Hyperlink" xfId="18199" builtinId="9" hidden="1"/>
    <cellStyle name="Followed Hyperlink" xfId="18200" builtinId="9" hidden="1"/>
    <cellStyle name="Followed Hyperlink" xfId="18201" builtinId="9" hidden="1"/>
    <cellStyle name="Followed Hyperlink" xfId="18202" builtinId="9" hidden="1"/>
    <cellStyle name="Followed Hyperlink" xfId="18203" builtinId="9" hidden="1"/>
    <cellStyle name="Followed Hyperlink" xfId="18204" builtinId="9" hidden="1"/>
    <cellStyle name="Followed Hyperlink" xfId="18205" builtinId="9" hidden="1"/>
    <cellStyle name="Followed Hyperlink" xfId="18206" builtinId="9" hidden="1"/>
    <cellStyle name="Followed Hyperlink" xfId="18207" builtinId="9" hidden="1"/>
    <cellStyle name="Followed Hyperlink" xfId="18208" builtinId="9" hidden="1"/>
    <cellStyle name="Followed Hyperlink" xfId="18209" builtinId="9" hidden="1"/>
    <cellStyle name="Followed Hyperlink" xfId="18210" builtinId="9" hidden="1"/>
    <cellStyle name="Followed Hyperlink" xfId="18211" builtinId="9" hidden="1"/>
    <cellStyle name="Followed Hyperlink" xfId="18212" builtinId="9" hidden="1"/>
    <cellStyle name="Followed Hyperlink" xfId="18213" builtinId="9" hidden="1"/>
    <cellStyle name="Followed Hyperlink" xfId="18214" builtinId="9" hidden="1"/>
    <cellStyle name="Followed Hyperlink" xfId="18215" builtinId="9" hidden="1"/>
    <cellStyle name="Followed Hyperlink" xfId="18216" builtinId="9" hidden="1"/>
    <cellStyle name="Followed Hyperlink" xfId="18217" builtinId="9" hidden="1"/>
    <cellStyle name="Followed Hyperlink" xfId="18218" builtinId="9" hidden="1"/>
    <cellStyle name="Followed Hyperlink" xfId="18219" builtinId="9" hidden="1"/>
    <cellStyle name="Followed Hyperlink" xfId="18220" builtinId="9" hidden="1"/>
    <cellStyle name="Followed Hyperlink" xfId="18221" builtinId="9" hidden="1"/>
    <cellStyle name="Followed Hyperlink" xfId="18222" builtinId="9" hidden="1"/>
    <cellStyle name="Followed Hyperlink" xfId="18223" builtinId="9" hidden="1"/>
    <cellStyle name="Followed Hyperlink" xfId="18224" builtinId="9" hidden="1"/>
    <cellStyle name="Followed Hyperlink" xfId="18225" builtinId="9" hidden="1"/>
    <cellStyle name="Followed Hyperlink" xfId="18226" builtinId="9" hidden="1"/>
    <cellStyle name="Followed Hyperlink" xfId="18227" builtinId="9" hidden="1"/>
    <cellStyle name="Followed Hyperlink" xfId="18228" builtinId="9" hidden="1"/>
    <cellStyle name="Followed Hyperlink" xfId="18229" builtinId="9" hidden="1"/>
    <cellStyle name="Followed Hyperlink" xfId="18230" builtinId="9" hidden="1"/>
    <cellStyle name="Followed Hyperlink" xfId="18231" builtinId="9" hidden="1"/>
    <cellStyle name="Followed Hyperlink" xfId="18232" builtinId="9" hidden="1"/>
    <cellStyle name="Followed Hyperlink" xfId="18233" builtinId="9" hidden="1"/>
    <cellStyle name="Followed Hyperlink" xfId="18234" builtinId="9" hidden="1"/>
    <cellStyle name="Followed Hyperlink" xfId="18235" builtinId="9" hidden="1"/>
    <cellStyle name="Followed Hyperlink" xfId="18236" builtinId="9" hidden="1"/>
    <cellStyle name="Followed Hyperlink" xfId="18237" builtinId="9" hidden="1"/>
    <cellStyle name="Followed Hyperlink" xfId="17873" builtinId="9" hidden="1"/>
    <cellStyle name="Followed Hyperlink" xfId="18198" builtinId="9" hidden="1"/>
    <cellStyle name="Followed Hyperlink" xfId="18239" builtinId="9" hidden="1"/>
    <cellStyle name="Followed Hyperlink" xfId="18240" builtinId="9" hidden="1"/>
    <cellStyle name="Followed Hyperlink" xfId="18241" builtinId="9" hidden="1"/>
    <cellStyle name="Followed Hyperlink" xfId="18242" builtinId="9" hidden="1"/>
    <cellStyle name="Followed Hyperlink" xfId="18243" builtinId="9" hidden="1"/>
    <cellStyle name="Followed Hyperlink" xfId="18244" builtinId="9" hidden="1"/>
    <cellStyle name="Followed Hyperlink" xfId="18245" builtinId="9" hidden="1"/>
    <cellStyle name="Followed Hyperlink" xfId="18246" builtinId="9" hidden="1"/>
    <cellStyle name="Followed Hyperlink" xfId="18247" builtinId="9" hidden="1"/>
    <cellStyle name="Followed Hyperlink" xfId="18248" builtinId="9" hidden="1"/>
    <cellStyle name="Followed Hyperlink" xfId="18249" builtinId="9" hidden="1"/>
    <cellStyle name="Followed Hyperlink" xfId="18250" builtinId="9" hidden="1"/>
    <cellStyle name="Followed Hyperlink" xfId="18251" builtinId="9" hidden="1"/>
    <cellStyle name="Followed Hyperlink" xfId="18252" builtinId="9" hidden="1"/>
    <cellStyle name="Followed Hyperlink" xfId="18253" builtinId="9" hidden="1"/>
    <cellStyle name="Followed Hyperlink" xfId="18254" builtinId="9" hidden="1"/>
    <cellStyle name="Followed Hyperlink" xfId="18255" builtinId="9" hidden="1"/>
    <cellStyle name="Followed Hyperlink" xfId="18256" builtinId="9" hidden="1"/>
    <cellStyle name="Followed Hyperlink" xfId="18257" builtinId="9" hidden="1"/>
    <cellStyle name="Followed Hyperlink" xfId="18258" builtinId="9" hidden="1"/>
    <cellStyle name="Followed Hyperlink" xfId="18259" builtinId="9" hidden="1"/>
    <cellStyle name="Followed Hyperlink" xfId="18260" builtinId="9" hidden="1"/>
    <cellStyle name="Followed Hyperlink" xfId="18261" builtinId="9" hidden="1"/>
    <cellStyle name="Followed Hyperlink" xfId="18262" builtinId="9" hidden="1"/>
    <cellStyle name="Followed Hyperlink" xfId="18263" builtinId="9" hidden="1"/>
    <cellStyle name="Followed Hyperlink" xfId="18264" builtinId="9" hidden="1"/>
    <cellStyle name="Followed Hyperlink" xfId="18265" builtinId="9" hidden="1"/>
    <cellStyle name="Followed Hyperlink" xfId="18266" builtinId="9" hidden="1"/>
    <cellStyle name="Followed Hyperlink" xfId="18267" builtinId="9" hidden="1"/>
    <cellStyle name="Followed Hyperlink" xfId="18268" builtinId="9" hidden="1"/>
    <cellStyle name="Followed Hyperlink" xfId="18269" builtinId="9" hidden="1"/>
    <cellStyle name="Followed Hyperlink" xfId="18270" builtinId="9" hidden="1"/>
    <cellStyle name="Followed Hyperlink" xfId="18271" builtinId="9" hidden="1"/>
    <cellStyle name="Followed Hyperlink" xfId="18272" builtinId="9" hidden="1"/>
    <cellStyle name="Followed Hyperlink" xfId="18273" builtinId="9" hidden="1"/>
    <cellStyle name="Followed Hyperlink" xfId="18274" builtinId="9" hidden="1"/>
    <cellStyle name="Followed Hyperlink" xfId="18275" builtinId="9" hidden="1"/>
    <cellStyle name="Followed Hyperlink" xfId="18276" builtinId="9" hidden="1"/>
    <cellStyle name="Followed Hyperlink" xfId="18277" builtinId="9" hidden="1"/>
    <cellStyle name="Followed Hyperlink" xfId="17869" builtinId="9" hidden="1"/>
    <cellStyle name="Followed Hyperlink" xfId="18238" builtinId="9" hidden="1"/>
    <cellStyle name="Followed Hyperlink" xfId="18278" builtinId="9" hidden="1"/>
    <cellStyle name="Followed Hyperlink" xfId="18279" builtinId="9" hidden="1"/>
    <cellStyle name="Followed Hyperlink" xfId="18280" builtinId="9" hidden="1"/>
    <cellStyle name="Followed Hyperlink" xfId="18281" builtinId="9" hidden="1"/>
    <cellStyle name="Followed Hyperlink" xfId="18282" builtinId="9" hidden="1"/>
    <cellStyle name="Followed Hyperlink" xfId="18283" builtinId="9" hidden="1"/>
    <cellStyle name="Followed Hyperlink" xfId="18284" builtinId="9" hidden="1"/>
    <cellStyle name="Followed Hyperlink" xfId="18285" builtinId="9" hidden="1"/>
    <cellStyle name="Followed Hyperlink" xfId="18286" builtinId="9" hidden="1"/>
    <cellStyle name="Followed Hyperlink" xfId="18287" builtinId="9" hidden="1"/>
    <cellStyle name="Followed Hyperlink" xfId="18288" builtinId="9" hidden="1"/>
    <cellStyle name="Followed Hyperlink" xfId="18289" builtinId="9" hidden="1"/>
    <cellStyle name="Followed Hyperlink" xfId="18290" builtinId="9" hidden="1"/>
    <cellStyle name="Followed Hyperlink" xfId="18291" builtinId="9" hidden="1"/>
    <cellStyle name="Followed Hyperlink" xfId="18292" builtinId="9" hidden="1"/>
    <cellStyle name="Followed Hyperlink" xfId="18293" builtinId="9" hidden="1"/>
    <cellStyle name="Followed Hyperlink" xfId="18294" builtinId="9" hidden="1"/>
    <cellStyle name="Followed Hyperlink" xfId="18295" builtinId="9" hidden="1"/>
    <cellStyle name="Followed Hyperlink" xfId="18296" builtinId="9" hidden="1"/>
    <cellStyle name="Followed Hyperlink" xfId="18297" builtinId="9" hidden="1"/>
    <cellStyle name="Followed Hyperlink" xfId="18298" builtinId="9" hidden="1"/>
    <cellStyle name="Followed Hyperlink" xfId="18299" builtinId="9" hidden="1"/>
    <cellStyle name="Followed Hyperlink" xfId="18300" builtinId="9" hidden="1"/>
    <cellStyle name="Followed Hyperlink" xfId="18301" builtinId="9" hidden="1"/>
    <cellStyle name="Followed Hyperlink" xfId="18302" builtinId="9" hidden="1"/>
    <cellStyle name="Followed Hyperlink" xfId="18303" builtinId="9" hidden="1"/>
    <cellStyle name="Followed Hyperlink" xfId="18304" builtinId="9" hidden="1"/>
    <cellStyle name="Followed Hyperlink" xfId="18305" builtinId="9" hidden="1"/>
    <cellStyle name="Followed Hyperlink" xfId="18306" builtinId="9" hidden="1"/>
    <cellStyle name="Followed Hyperlink" xfId="18307" builtinId="9" hidden="1"/>
    <cellStyle name="Followed Hyperlink" xfId="18308" builtinId="9" hidden="1"/>
    <cellStyle name="Followed Hyperlink" xfId="18309" builtinId="9" hidden="1"/>
    <cellStyle name="Followed Hyperlink" xfId="18310" builtinId="9" hidden="1"/>
    <cellStyle name="Followed Hyperlink" xfId="18311" builtinId="9" hidden="1"/>
    <cellStyle name="Followed Hyperlink" xfId="18312" builtinId="9" hidden="1"/>
    <cellStyle name="Followed Hyperlink" xfId="18313" builtinId="9" hidden="1"/>
    <cellStyle name="Followed Hyperlink" xfId="18314" builtinId="9" hidden="1"/>
    <cellStyle name="Followed Hyperlink" xfId="18315" builtinId="9" hidden="1"/>
    <cellStyle name="Followed Hyperlink" xfId="18316" builtinId="9" hidden="1"/>
    <cellStyle name="Followed Hyperlink" xfId="19628" builtinId="9" hidden="1"/>
    <cellStyle name="Followed Hyperlink" xfId="19629" builtinId="9" hidden="1"/>
    <cellStyle name="Followed Hyperlink" xfId="19630" builtinId="9" hidden="1"/>
    <cellStyle name="Followed Hyperlink" xfId="19631" builtinId="9" hidden="1"/>
    <cellStyle name="Followed Hyperlink" xfId="19632" builtinId="9" hidden="1"/>
    <cellStyle name="Followed Hyperlink" xfId="19633" builtinId="9" hidden="1"/>
    <cellStyle name="Followed Hyperlink" xfId="19634" builtinId="9" hidden="1"/>
    <cellStyle name="Followed Hyperlink" xfId="19635" builtinId="9" hidden="1"/>
    <cellStyle name="Followed Hyperlink" xfId="19636" builtinId="9" hidden="1"/>
    <cellStyle name="Followed Hyperlink" xfId="19637" builtinId="9" hidden="1"/>
    <cellStyle name="Followed Hyperlink" xfId="19638" builtinId="9" hidden="1"/>
    <cellStyle name="Followed Hyperlink" xfId="19639" builtinId="9" hidden="1"/>
    <cellStyle name="Followed Hyperlink" xfId="19640" builtinId="9" hidden="1"/>
    <cellStyle name="Followed Hyperlink" xfId="19641" builtinId="9" hidden="1"/>
    <cellStyle name="Followed Hyperlink" xfId="19642" builtinId="9" hidden="1"/>
    <cellStyle name="Followed Hyperlink" xfId="19643" builtinId="9" hidden="1"/>
    <cellStyle name="Followed Hyperlink" xfId="19644" builtinId="9" hidden="1"/>
    <cellStyle name="Followed Hyperlink" xfId="19645" builtinId="9" hidden="1"/>
    <cellStyle name="Followed Hyperlink" xfId="19646" builtinId="9" hidden="1"/>
    <cellStyle name="Followed Hyperlink" xfId="19647" builtinId="9" hidden="1"/>
    <cellStyle name="Followed Hyperlink" xfId="19648" builtinId="9" hidden="1"/>
    <cellStyle name="Followed Hyperlink" xfId="19649" builtinId="9" hidden="1"/>
    <cellStyle name="Followed Hyperlink" xfId="19650" builtinId="9" hidden="1"/>
    <cellStyle name="Followed Hyperlink" xfId="19651" builtinId="9" hidden="1"/>
    <cellStyle name="Followed Hyperlink" xfId="19652" builtinId="9" hidden="1"/>
    <cellStyle name="Followed Hyperlink" xfId="19653" builtinId="9" hidden="1"/>
    <cellStyle name="Followed Hyperlink" xfId="19654" builtinId="9" hidden="1"/>
    <cellStyle name="Followed Hyperlink" xfId="19655" builtinId="9" hidden="1"/>
    <cellStyle name="Followed Hyperlink" xfId="19656" builtinId="9" hidden="1"/>
    <cellStyle name="Followed Hyperlink" xfId="19657" builtinId="9" hidden="1"/>
    <cellStyle name="Followed Hyperlink" xfId="19658" builtinId="9" hidden="1"/>
    <cellStyle name="Followed Hyperlink" xfId="19659" builtinId="9" hidden="1"/>
    <cellStyle name="Followed Hyperlink" xfId="19660" builtinId="9" hidden="1"/>
    <cellStyle name="Followed Hyperlink" xfId="19661" builtinId="9" hidden="1"/>
    <cellStyle name="Followed Hyperlink" xfId="19662" builtinId="9" hidden="1"/>
    <cellStyle name="Followed Hyperlink" xfId="19663" builtinId="9" hidden="1"/>
    <cellStyle name="Followed Hyperlink" xfId="19664" builtinId="9" hidden="1"/>
    <cellStyle name="Followed Hyperlink" xfId="19665" builtinId="9" hidden="1"/>
    <cellStyle name="Followed Hyperlink" xfId="19666" builtinId="9" hidden="1"/>
    <cellStyle name="Followed Hyperlink" xfId="19667" builtinId="9" hidden="1"/>
    <cellStyle name="Followed Hyperlink" xfId="19668" builtinId="9" hidden="1"/>
    <cellStyle name="Followed Hyperlink" xfId="19679" builtinId="9" hidden="1"/>
    <cellStyle name="Followed Hyperlink" xfId="19680" builtinId="9" hidden="1"/>
    <cellStyle name="Followed Hyperlink" xfId="19681" builtinId="9" hidden="1"/>
    <cellStyle name="Followed Hyperlink" xfId="19682" builtinId="9" hidden="1"/>
    <cellStyle name="Followed Hyperlink" xfId="19683" builtinId="9" hidden="1"/>
    <cellStyle name="Followed Hyperlink" xfId="19684" builtinId="9" hidden="1"/>
    <cellStyle name="Followed Hyperlink" xfId="19685" builtinId="9" hidden="1"/>
    <cellStyle name="Followed Hyperlink" xfId="19686" builtinId="9" hidden="1"/>
    <cellStyle name="Followed Hyperlink" xfId="19687" builtinId="9" hidden="1"/>
    <cellStyle name="Followed Hyperlink" xfId="19688" builtinId="9" hidden="1"/>
    <cellStyle name="Followed Hyperlink" xfId="19689" builtinId="9" hidden="1"/>
    <cellStyle name="Followed Hyperlink" xfId="19690" builtinId="9" hidden="1"/>
    <cellStyle name="Followed Hyperlink" xfId="19691" builtinId="9" hidden="1"/>
    <cellStyle name="Followed Hyperlink" xfId="19692" builtinId="9" hidden="1"/>
    <cellStyle name="Followed Hyperlink" xfId="19693" builtinId="9" hidden="1"/>
    <cellStyle name="Followed Hyperlink" xfId="19694" builtinId="9" hidden="1"/>
    <cellStyle name="Followed Hyperlink" xfId="19695" builtinId="9" hidden="1"/>
    <cellStyle name="Followed Hyperlink" xfId="19696" builtinId="9" hidden="1"/>
    <cellStyle name="Followed Hyperlink" xfId="19697" builtinId="9" hidden="1"/>
    <cellStyle name="Followed Hyperlink" xfId="19698" builtinId="9" hidden="1"/>
    <cellStyle name="Followed Hyperlink" xfId="19699" builtinId="9" hidden="1"/>
    <cellStyle name="Followed Hyperlink" xfId="19700" builtinId="9" hidden="1"/>
    <cellStyle name="Followed Hyperlink" xfId="19701" builtinId="9" hidden="1"/>
    <cellStyle name="Followed Hyperlink" xfId="19702" builtinId="9" hidden="1"/>
    <cellStyle name="Followed Hyperlink" xfId="19703" builtinId="9" hidden="1"/>
    <cellStyle name="Followed Hyperlink" xfId="19704" builtinId="9" hidden="1"/>
    <cellStyle name="Followed Hyperlink" xfId="19705" builtinId="9" hidden="1"/>
    <cellStyle name="Followed Hyperlink" xfId="19706" builtinId="9" hidden="1"/>
    <cellStyle name="Followed Hyperlink" xfId="19707" builtinId="9" hidden="1"/>
    <cellStyle name="Followed Hyperlink" xfId="19708" builtinId="9" hidden="1"/>
    <cellStyle name="Followed Hyperlink" xfId="19709" builtinId="9" hidden="1"/>
    <cellStyle name="Followed Hyperlink" xfId="19710" builtinId="9" hidden="1"/>
    <cellStyle name="Followed Hyperlink" xfId="19711" builtinId="9" hidden="1"/>
    <cellStyle name="Followed Hyperlink" xfId="19712" builtinId="9" hidden="1"/>
    <cellStyle name="Followed Hyperlink" xfId="19713" builtinId="9" hidden="1"/>
    <cellStyle name="Followed Hyperlink" xfId="19714" builtinId="9" hidden="1"/>
    <cellStyle name="Followed Hyperlink" xfId="19715" builtinId="9" hidden="1"/>
    <cellStyle name="Followed Hyperlink" xfId="19716" builtinId="9" hidden="1"/>
    <cellStyle name="Followed Hyperlink" xfId="19717" builtinId="9" hidden="1"/>
    <cellStyle name="Followed Hyperlink" xfId="19718" builtinId="9" hidden="1"/>
    <cellStyle name="Followed Hyperlink" xfId="19719" builtinId="9" hidden="1"/>
    <cellStyle name="Followed Hyperlink" xfId="19720" builtinId="9" hidden="1"/>
    <cellStyle name="Followed Hyperlink" xfId="19721" builtinId="9" hidden="1"/>
    <cellStyle name="Followed Hyperlink" xfId="19722" builtinId="9" hidden="1"/>
    <cellStyle name="Followed Hyperlink" xfId="19723" builtinId="9" hidden="1"/>
    <cellStyle name="Followed Hyperlink" xfId="19724" builtinId="9" hidden="1"/>
    <cellStyle name="Followed Hyperlink" xfId="19725" builtinId="9" hidden="1"/>
    <cellStyle name="Followed Hyperlink" xfId="19726" builtinId="9" hidden="1"/>
    <cellStyle name="Followed Hyperlink" xfId="19727" builtinId="9" hidden="1"/>
    <cellStyle name="Followed Hyperlink" xfId="19728" builtinId="9" hidden="1"/>
    <cellStyle name="Followed Hyperlink" xfId="19729" builtinId="9" hidden="1"/>
    <cellStyle name="Followed Hyperlink" xfId="19730" builtinId="9" hidden="1"/>
    <cellStyle name="Followed Hyperlink" xfId="19731" builtinId="9" hidden="1"/>
    <cellStyle name="Followed Hyperlink" xfId="19732" builtinId="9" hidden="1"/>
    <cellStyle name="Followed Hyperlink" xfId="19733" builtinId="9" hidden="1"/>
    <cellStyle name="Followed Hyperlink" xfId="19734" builtinId="9" hidden="1"/>
    <cellStyle name="Followed Hyperlink" xfId="19735" builtinId="9" hidden="1"/>
    <cellStyle name="Followed Hyperlink" xfId="19736" builtinId="9" hidden="1"/>
    <cellStyle name="Followed Hyperlink" xfId="19737" builtinId="9" hidden="1"/>
    <cellStyle name="Followed Hyperlink" xfId="19738" builtinId="9" hidden="1"/>
    <cellStyle name="Followed Hyperlink" xfId="19739" builtinId="9" hidden="1"/>
    <cellStyle name="Followed Hyperlink" xfId="19740" builtinId="9" hidden="1"/>
    <cellStyle name="Followed Hyperlink" xfId="19741" builtinId="9" hidden="1"/>
    <cellStyle name="Followed Hyperlink" xfId="19742" builtinId="9" hidden="1"/>
    <cellStyle name="Followed Hyperlink" xfId="19743" builtinId="9" hidden="1"/>
    <cellStyle name="Followed Hyperlink" xfId="19744" builtinId="9" hidden="1"/>
    <cellStyle name="Followed Hyperlink" xfId="19745" builtinId="9" hidden="1"/>
    <cellStyle name="Followed Hyperlink" xfId="19746" builtinId="9" hidden="1"/>
    <cellStyle name="Followed Hyperlink" xfId="19747" builtinId="9" hidden="1"/>
    <cellStyle name="Followed Hyperlink" xfId="19748" builtinId="9" hidden="1"/>
    <cellStyle name="Followed Hyperlink" xfId="19749" builtinId="9" hidden="1"/>
    <cellStyle name="Followed Hyperlink" xfId="19750" builtinId="9" hidden="1"/>
    <cellStyle name="Followed Hyperlink" xfId="19751" builtinId="9" hidden="1"/>
    <cellStyle name="Followed Hyperlink" xfId="19752" builtinId="9" hidden="1"/>
    <cellStyle name="Followed Hyperlink" xfId="19753" builtinId="9" hidden="1"/>
    <cellStyle name="Followed Hyperlink" xfId="19754" builtinId="9" hidden="1"/>
    <cellStyle name="Followed Hyperlink" xfId="19755" builtinId="9" hidden="1"/>
    <cellStyle name="Followed Hyperlink" xfId="19756" builtinId="9" hidden="1"/>
    <cellStyle name="Followed Hyperlink" xfId="19757" builtinId="9" hidden="1"/>
    <cellStyle name="Followed Hyperlink" xfId="19758" builtinId="9" hidden="1"/>
    <cellStyle name="Followed Hyperlink" xfId="19759" builtinId="9" hidden="1"/>
    <cellStyle name="Followed Hyperlink" xfId="19760" builtinId="9" hidden="1"/>
    <cellStyle name="Followed Hyperlink" xfId="19761" builtinId="9" hidden="1"/>
    <cellStyle name="Followed Hyperlink" xfId="19762" builtinId="9" hidden="1"/>
    <cellStyle name="Followed Hyperlink" xfId="19763" builtinId="9" hidden="1"/>
    <cellStyle name="Followed Hyperlink" xfId="19764" builtinId="9" hidden="1"/>
    <cellStyle name="Followed Hyperlink" xfId="19765" builtinId="9" hidden="1"/>
    <cellStyle name="Followed Hyperlink" xfId="19766" builtinId="9" hidden="1"/>
    <cellStyle name="Followed Hyperlink" xfId="19767" builtinId="9" hidden="1"/>
    <cellStyle name="Followed Hyperlink" xfId="19768" builtinId="9" hidden="1"/>
    <cellStyle name="Followed Hyperlink" xfId="19769" builtinId="9" hidden="1"/>
    <cellStyle name="Followed Hyperlink" xfId="19770" builtinId="9" hidden="1"/>
    <cellStyle name="Followed Hyperlink" xfId="19771" builtinId="9" hidden="1"/>
    <cellStyle name="Followed Hyperlink" xfId="19772" builtinId="9" hidden="1"/>
    <cellStyle name="Followed Hyperlink" xfId="19773" builtinId="9" hidden="1"/>
    <cellStyle name="Followed Hyperlink" xfId="19774" builtinId="9" hidden="1"/>
    <cellStyle name="Followed Hyperlink" xfId="19775" builtinId="9" hidden="1"/>
    <cellStyle name="Followed Hyperlink" xfId="19776" builtinId="9" hidden="1"/>
    <cellStyle name="Followed Hyperlink" xfId="19777" builtinId="9" hidden="1"/>
    <cellStyle name="Followed Hyperlink" xfId="19778" builtinId="9" hidden="1"/>
    <cellStyle name="Followed Hyperlink" xfId="19779" builtinId="9" hidden="1"/>
    <cellStyle name="Followed Hyperlink" xfId="19780" builtinId="9" hidden="1"/>
    <cellStyle name="Followed Hyperlink" xfId="19781" builtinId="9" hidden="1"/>
    <cellStyle name="Followed Hyperlink" xfId="19782" builtinId="9" hidden="1"/>
    <cellStyle name="Followed Hyperlink" xfId="19783" builtinId="9" hidden="1"/>
    <cellStyle name="Followed Hyperlink" xfId="19784" builtinId="9" hidden="1"/>
    <cellStyle name="Followed Hyperlink" xfId="19785" builtinId="9" hidden="1"/>
    <cellStyle name="Followed Hyperlink" xfId="19786" builtinId="9" hidden="1"/>
    <cellStyle name="Followed Hyperlink" xfId="19787" builtinId="9" hidden="1"/>
    <cellStyle name="Followed Hyperlink" xfId="19788" builtinId="9" hidden="1"/>
    <cellStyle name="Followed Hyperlink" xfId="19789" builtinId="9" hidden="1"/>
    <cellStyle name="Followed Hyperlink" xfId="19790" builtinId="9" hidden="1"/>
    <cellStyle name="Followed Hyperlink" xfId="19791" builtinId="9" hidden="1"/>
    <cellStyle name="Followed Hyperlink" xfId="19792" builtinId="9" hidden="1"/>
    <cellStyle name="Followed Hyperlink" xfId="19793" builtinId="9" hidden="1"/>
    <cellStyle name="Followed Hyperlink" xfId="19794" builtinId="9" hidden="1"/>
    <cellStyle name="Followed Hyperlink" xfId="19795" builtinId="9" hidden="1"/>
    <cellStyle name="Followed Hyperlink" xfId="19796" builtinId="9" hidden="1"/>
    <cellStyle name="Followed Hyperlink" xfId="19797" builtinId="9" hidden="1"/>
    <cellStyle name="Followed Hyperlink" xfId="19798" builtinId="9" hidden="1"/>
    <cellStyle name="Followed Hyperlink" xfId="19799" builtinId="9" hidden="1"/>
    <cellStyle name="Followed Hyperlink" xfId="19800" builtinId="9" hidden="1"/>
    <cellStyle name="Followed Hyperlink" xfId="19801" builtinId="9" hidden="1"/>
    <cellStyle name="Followed Hyperlink" xfId="19669" builtinId="9" hidden="1"/>
    <cellStyle name="Followed Hyperlink" xfId="19567" builtinId="9" hidden="1"/>
    <cellStyle name="Followed Hyperlink" xfId="19803" builtinId="9" hidden="1"/>
    <cellStyle name="Followed Hyperlink" xfId="19804" builtinId="9" hidden="1"/>
    <cellStyle name="Followed Hyperlink" xfId="19805" builtinId="9" hidden="1"/>
    <cellStyle name="Followed Hyperlink" xfId="19806" builtinId="9" hidden="1"/>
    <cellStyle name="Followed Hyperlink" xfId="19807" builtinId="9" hidden="1"/>
    <cellStyle name="Followed Hyperlink" xfId="19808" builtinId="9" hidden="1"/>
    <cellStyle name="Followed Hyperlink" xfId="19809" builtinId="9" hidden="1"/>
    <cellStyle name="Followed Hyperlink" xfId="19810" builtinId="9" hidden="1"/>
    <cellStyle name="Followed Hyperlink" xfId="19811" builtinId="9" hidden="1"/>
    <cellStyle name="Followed Hyperlink" xfId="19812" builtinId="9" hidden="1"/>
    <cellStyle name="Followed Hyperlink" xfId="19813" builtinId="9" hidden="1"/>
    <cellStyle name="Followed Hyperlink" xfId="19814" builtinId="9" hidden="1"/>
    <cellStyle name="Followed Hyperlink" xfId="19815" builtinId="9" hidden="1"/>
    <cellStyle name="Followed Hyperlink" xfId="19816" builtinId="9" hidden="1"/>
    <cellStyle name="Followed Hyperlink" xfId="19817" builtinId="9" hidden="1"/>
    <cellStyle name="Followed Hyperlink" xfId="19818" builtinId="9" hidden="1"/>
    <cellStyle name="Followed Hyperlink" xfId="19819" builtinId="9" hidden="1"/>
    <cellStyle name="Followed Hyperlink" xfId="19820" builtinId="9" hidden="1"/>
    <cellStyle name="Followed Hyperlink" xfId="19821" builtinId="9" hidden="1"/>
    <cellStyle name="Followed Hyperlink" xfId="19822" builtinId="9" hidden="1"/>
    <cellStyle name="Followed Hyperlink" xfId="19823" builtinId="9" hidden="1"/>
    <cellStyle name="Followed Hyperlink" xfId="19824" builtinId="9" hidden="1"/>
    <cellStyle name="Followed Hyperlink" xfId="19825" builtinId="9" hidden="1"/>
    <cellStyle name="Followed Hyperlink" xfId="19826" builtinId="9" hidden="1"/>
    <cellStyle name="Followed Hyperlink" xfId="19827" builtinId="9" hidden="1"/>
    <cellStyle name="Followed Hyperlink" xfId="19828" builtinId="9" hidden="1"/>
    <cellStyle name="Followed Hyperlink" xfId="19829" builtinId="9" hidden="1"/>
    <cellStyle name="Followed Hyperlink" xfId="19830" builtinId="9" hidden="1"/>
    <cellStyle name="Followed Hyperlink" xfId="19831" builtinId="9" hidden="1"/>
    <cellStyle name="Followed Hyperlink" xfId="19832" builtinId="9" hidden="1"/>
    <cellStyle name="Followed Hyperlink" xfId="19833" builtinId="9" hidden="1"/>
    <cellStyle name="Followed Hyperlink" xfId="19834" builtinId="9" hidden="1"/>
    <cellStyle name="Followed Hyperlink" xfId="19835" builtinId="9" hidden="1"/>
    <cellStyle name="Followed Hyperlink" xfId="19836" builtinId="9" hidden="1"/>
    <cellStyle name="Followed Hyperlink" xfId="19837" builtinId="9" hidden="1"/>
    <cellStyle name="Followed Hyperlink" xfId="19838" builtinId="9" hidden="1"/>
    <cellStyle name="Followed Hyperlink" xfId="19839" builtinId="9" hidden="1"/>
    <cellStyle name="Followed Hyperlink" xfId="19840" builtinId="9" hidden="1"/>
    <cellStyle name="Followed Hyperlink" xfId="19841" builtinId="9" hidden="1"/>
    <cellStyle name="Followed Hyperlink" xfId="19676" builtinId="9" hidden="1"/>
    <cellStyle name="Followed Hyperlink" xfId="19802" builtinId="9" hidden="1"/>
    <cellStyle name="Followed Hyperlink" xfId="19843" builtinId="9" hidden="1"/>
    <cellStyle name="Followed Hyperlink" xfId="19844" builtinId="9" hidden="1"/>
    <cellStyle name="Followed Hyperlink" xfId="19845" builtinId="9" hidden="1"/>
    <cellStyle name="Followed Hyperlink" xfId="19846" builtinId="9" hidden="1"/>
    <cellStyle name="Followed Hyperlink" xfId="19847" builtinId="9" hidden="1"/>
    <cellStyle name="Followed Hyperlink" xfId="19848" builtinId="9" hidden="1"/>
    <cellStyle name="Followed Hyperlink" xfId="19849" builtinId="9" hidden="1"/>
    <cellStyle name="Followed Hyperlink" xfId="19850" builtinId="9" hidden="1"/>
    <cellStyle name="Followed Hyperlink" xfId="19851" builtinId="9" hidden="1"/>
    <cellStyle name="Followed Hyperlink" xfId="19852" builtinId="9" hidden="1"/>
    <cellStyle name="Followed Hyperlink" xfId="19853" builtinId="9" hidden="1"/>
    <cellStyle name="Followed Hyperlink" xfId="19854" builtinId="9" hidden="1"/>
    <cellStyle name="Followed Hyperlink" xfId="19855" builtinId="9" hidden="1"/>
    <cellStyle name="Followed Hyperlink" xfId="19856" builtinId="9" hidden="1"/>
    <cellStyle name="Followed Hyperlink" xfId="19857" builtinId="9" hidden="1"/>
    <cellStyle name="Followed Hyperlink" xfId="19858" builtinId="9" hidden="1"/>
    <cellStyle name="Followed Hyperlink" xfId="19859" builtinId="9" hidden="1"/>
    <cellStyle name="Followed Hyperlink" xfId="19860" builtinId="9" hidden="1"/>
    <cellStyle name="Followed Hyperlink" xfId="19861" builtinId="9" hidden="1"/>
    <cellStyle name="Followed Hyperlink" xfId="19862" builtinId="9" hidden="1"/>
    <cellStyle name="Followed Hyperlink" xfId="19863" builtinId="9" hidden="1"/>
    <cellStyle name="Followed Hyperlink" xfId="19864" builtinId="9" hidden="1"/>
    <cellStyle name="Followed Hyperlink" xfId="19865" builtinId="9" hidden="1"/>
    <cellStyle name="Followed Hyperlink" xfId="19866" builtinId="9" hidden="1"/>
    <cellStyle name="Followed Hyperlink" xfId="19867" builtinId="9" hidden="1"/>
    <cellStyle name="Followed Hyperlink" xfId="19868" builtinId="9" hidden="1"/>
    <cellStyle name="Followed Hyperlink" xfId="19869" builtinId="9" hidden="1"/>
    <cellStyle name="Followed Hyperlink" xfId="19870" builtinId="9" hidden="1"/>
    <cellStyle name="Followed Hyperlink" xfId="19871" builtinId="9" hidden="1"/>
    <cellStyle name="Followed Hyperlink" xfId="19872" builtinId="9" hidden="1"/>
    <cellStyle name="Followed Hyperlink" xfId="19873" builtinId="9" hidden="1"/>
    <cellStyle name="Followed Hyperlink" xfId="19874" builtinId="9" hidden="1"/>
    <cellStyle name="Followed Hyperlink" xfId="19875" builtinId="9" hidden="1"/>
    <cellStyle name="Followed Hyperlink" xfId="19876" builtinId="9" hidden="1"/>
    <cellStyle name="Followed Hyperlink" xfId="19877" builtinId="9" hidden="1"/>
    <cellStyle name="Followed Hyperlink" xfId="19878" builtinId="9" hidden="1"/>
    <cellStyle name="Followed Hyperlink" xfId="19879" builtinId="9" hidden="1"/>
    <cellStyle name="Followed Hyperlink" xfId="19880" builtinId="9" hidden="1"/>
    <cellStyle name="Followed Hyperlink" xfId="19881" builtinId="9" hidden="1"/>
    <cellStyle name="Followed Hyperlink" xfId="19678" builtinId="9" hidden="1"/>
    <cellStyle name="Followed Hyperlink" xfId="19842" builtinId="9" hidden="1"/>
    <cellStyle name="Followed Hyperlink" xfId="19883" builtinId="9" hidden="1"/>
    <cellStyle name="Followed Hyperlink" xfId="19884" builtinId="9" hidden="1"/>
    <cellStyle name="Followed Hyperlink" xfId="19885" builtinId="9" hidden="1"/>
    <cellStyle name="Followed Hyperlink" xfId="19886" builtinId="9" hidden="1"/>
    <cellStyle name="Followed Hyperlink" xfId="19887" builtinId="9" hidden="1"/>
    <cellStyle name="Followed Hyperlink" xfId="19888" builtinId="9" hidden="1"/>
    <cellStyle name="Followed Hyperlink" xfId="19889" builtinId="9" hidden="1"/>
    <cellStyle name="Followed Hyperlink" xfId="19890" builtinId="9" hidden="1"/>
    <cellStyle name="Followed Hyperlink" xfId="19891" builtinId="9" hidden="1"/>
    <cellStyle name="Followed Hyperlink" xfId="19892" builtinId="9" hidden="1"/>
    <cellStyle name="Followed Hyperlink" xfId="19893" builtinId="9" hidden="1"/>
    <cellStyle name="Followed Hyperlink" xfId="19894" builtinId="9" hidden="1"/>
    <cellStyle name="Followed Hyperlink" xfId="19895" builtinId="9" hidden="1"/>
    <cellStyle name="Followed Hyperlink" xfId="19896" builtinId="9" hidden="1"/>
    <cellStyle name="Followed Hyperlink" xfId="19897" builtinId="9" hidden="1"/>
    <cellStyle name="Followed Hyperlink" xfId="19898" builtinId="9" hidden="1"/>
    <cellStyle name="Followed Hyperlink" xfId="19899" builtinId="9" hidden="1"/>
    <cellStyle name="Followed Hyperlink" xfId="19900" builtinId="9" hidden="1"/>
    <cellStyle name="Followed Hyperlink" xfId="19901" builtinId="9" hidden="1"/>
    <cellStyle name="Followed Hyperlink" xfId="19902" builtinId="9" hidden="1"/>
    <cellStyle name="Followed Hyperlink" xfId="19903" builtinId="9" hidden="1"/>
    <cellStyle name="Followed Hyperlink" xfId="19904" builtinId="9" hidden="1"/>
    <cellStyle name="Followed Hyperlink" xfId="19905" builtinId="9" hidden="1"/>
    <cellStyle name="Followed Hyperlink" xfId="19906" builtinId="9" hidden="1"/>
    <cellStyle name="Followed Hyperlink" xfId="19907" builtinId="9" hidden="1"/>
    <cellStyle name="Followed Hyperlink" xfId="19908" builtinId="9" hidden="1"/>
    <cellStyle name="Followed Hyperlink" xfId="19909" builtinId="9" hidden="1"/>
    <cellStyle name="Followed Hyperlink" xfId="19910" builtinId="9" hidden="1"/>
    <cellStyle name="Followed Hyperlink" xfId="19911" builtinId="9" hidden="1"/>
    <cellStyle name="Followed Hyperlink" xfId="19912" builtinId="9" hidden="1"/>
    <cellStyle name="Followed Hyperlink" xfId="19913" builtinId="9" hidden="1"/>
    <cellStyle name="Followed Hyperlink" xfId="19914" builtinId="9" hidden="1"/>
    <cellStyle name="Followed Hyperlink" xfId="19915" builtinId="9" hidden="1"/>
    <cellStyle name="Followed Hyperlink" xfId="19916" builtinId="9" hidden="1"/>
    <cellStyle name="Followed Hyperlink" xfId="19917" builtinId="9" hidden="1"/>
    <cellStyle name="Followed Hyperlink" xfId="19918" builtinId="9" hidden="1"/>
    <cellStyle name="Followed Hyperlink" xfId="19919" builtinId="9" hidden="1"/>
    <cellStyle name="Followed Hyperlink" xfId="19920" builtinId="9" hidden="1"/>
    <cellStyle name="Followed Hyperlink" xfId="19921" builtinId="9" hidden="1"/>
    <cellStyle name="Followed Hyperlink" xfId="19670" builtinId="9" hidden="1"/>
    <cellStyle name="Followed Hyperlink" xfId="19882" builtinId="9" hidden="1"/>
    <cellStyle name="Followed Hyperlink" xfId="19923" builtinId="9" hidden="1"/>
    <cellStyle name="Followed Hyperlink" xfId="19924" builtinId="9" hidden="1"/>
    <cellStyle name="Followed Hyperlink" xfId="19925" builtinId="9" hidden="1"/>
    <cellStyle name="Followed Hyperlink" xfId="19926" builtinId="9" hidden="1"/>
    <cellStyle name="Followed Hyperlink" xfId="19927" builtinId="9" hidden="1"/>
    <cellStyle name="Followed Hyperlink" xfId="19928" builtinId="9" hidden="1"/>
    <cellStyle name="Followed Hyperlink" xfId="19929" builtinId="9" hidden="1"/>
    <cellStyle name="Followed Hyperlink" xfId="19930" builtinId="9" hidden="1"/>
    <cellStyle name="Followed Hyperlink" xfId="19931" builtinId="9" hidden="1"/>
    <cellStyle name="Followed Hyperlink" xfId="19932" builtinId="9" hidden="1"/>
    <cellStyle name="Followed Hyperlink" xfId="19933" builtinId="9" hidden="1"/>
    <cellStyle name="Followed Hyperlink" xfId="19934" builtinId="9" hidden="1"/>
    <cellStyle name="Followed Hyperlink" xfId="19935" builtinId="9" hidden="1"/>
    <cellStyle name="Followed Hyperlink" xfId="19936" builtinId="9" hidden="1"/>
    <cellStyle name="Followed Hyperlink" xfId="19937" builtinId="9" hidden="1"/>
    <cellStyle name="Followed Hyperlink" xfId="19938" builtinId="9" hidden="1"/>
    <cellStyle name="Followed Hyperlink" xfId="19939" builtinId="9" hidden="1"/>
    <cellStyle name="Followed Hyperlink" xfId="19940" builtinId="9" hidden="1"/>
    <cellStyle name="Followed Hyperlink" xfId="19941" builtinId="9" hidden="1"/>
    <cellStyle name="Followed Hyperlink" xfId="19942" builtinId="9" hidden="1"/>
    <cellStyle name="Followed Hyperlink" xfId="19943" builtinId="9" hidden="1"/>
    <cellStyle name="Followed Hyperlink" xfId="19944" builtinId="9" hidden="1"/>
    <cellStyle name="Followed Hyperlink" xfId="19945" builtinId="9" hidden="1"/>
    <cellStyle name="Followed Hyperlink" xfId="19946" builtinId="9" hidden="1"/>
    <cellStyle name="Followed Hyperlink" xfId="19947" builtinId="9" hidden="1"/>
    <cellStyle name="Followed Hyperlink" xfId="19948" builtinId="9" hidden="1"/>
    <cellStyle name="Followed Hyperlink" xfId="19949" builtinId="9" hidden="1"/>
    <cellStyle name="Followed Hyperlink" xfId="19950" builtinId="9" hidden="1"/>
    <cellStyle name="Followed Hyperlink" xfId="19951" builtinId="9" hidden="1"/>
    <cellStyle name="Followed Hyperlink" xfId="19952" builtinId="9" hidden="1"/>
    <cellStyle name="Followed Hyperlink" xfId="19953" builtinId="9" hidden="1"/>
    <cellStyle name="Followed Hyperlink" xfId="19954" builtinId="9" hidden="1"/>
    <cellStyle name="Followed Hyperlink" xfId="19955" builtinId="9" hidden="1"/>
    <cellStyle name="Followed Hyperlink" xfId="19956" builtinId="9" hidden="1"/>
    <cellStyle name="Followed Hyperlink" xfId="19957" builtinId="9" hidden="1"/>
    <cellStyle name="Followed Hyperlink" xfId="19958" builtinId="9" hidden="1"/>
    <cellStyle name="Followed Hyperlink" xfId="19959" builtinId="9" hidden="1"/>
    <cellStyle name="Followed Hyperlink" xfId="19960" builtinId="9" hidden="1"/>
    <cellStyle name="Followed Hyperlink" xfId="19961" builtinId="9" hidden="1"/>
    <cellStyle name="Followed Hyperlink" xfId="19674" builtinId="9" hidden="1"/>
    <cellStyle name="Followed Hyperlink" xfId="19922" builtinId="9" hidden="1"/>
    <cellStyle name="Followed Hyperlink" xfId="19963" builtinId="9" hidden="1"/>
    <cellStyle name="Followed Hyperlink" xfId="19964" builtinId="9" hidden="1"/>
    <cellStyle name="Followed Hyperlink" xfId="19965" builtinId="9" hidden="1"/>
    <cellStyle name="Followed Hyperlink" xfId="19966" builtinId="9" hidden="1"/>
    <cellStyle name="Followed Hyperlink" xfId="19967" builtinId="9" hidden="1"/>
    <cellStyle name="Followed Hyperlink" xfId="19968" builtinId="9" hidden="1"/>
    <cellStyle name="Followed Hyperlink" xfId="19969" builtinId="9" hidden="1"/>
    <cellStyle name="Followed Hyperlink" xfId="19970" builtinId="9" hidden="1"/>
    <cellStyle name="Followed Hyperlink" xfId="19971" builtinId="9" hidden="1"/>
    <cellStyle name="Followed Hyperlink" xfId="19972" builtinId="9" hidden="1"/>
    <cellStyle name="Followed Hyperlink" xfId="19973" builtinId="9" hidden="1"/>
    <cellStyle name="Followed Hyperlink" xfId="19974" builtinId="9" hidden="1"/>
    <cellStyle name="Followed Hyperlink" xfId="19975" builtinId="9" hidden="1"/>
    <cellStyle name="Followed Hyperlink" xfId="19976" builtinId="9" hidden="1"/>
    <cellStyle name="Followed Hyperlink" xfId="19977" builtinId="9" hidden="1"/>
    <cellStyle name="Followed Hyperlink" xfId="19978" builtinId="9" hidden="1"/>
    <cellStyle name="Followed Hyperlink" xfId="19979" builtinId="9" hidden="1"/>
    <cellStyle name="Followed Hyperlink" xfId="19980" builtinId="9" hidden="1"/>
    <cellStyle name="Followed Hyperlink" xfId="19981" builtinId="9" hidden="1"/>
    <cellStyle name="Followed Hyperlink" xfId="19982" builtinId="9" hidden="1"/>
    <cellStyle name="Followed Hyperlink" xfId="19983" builtinId="9" hidden="1"/>
    <cellStyle name="Followed Hyperlink" xfId="19984" builtinId="9" hidden="1"/>
    <cellStyle name="Followed Hyperlink" xfId="19985" builtinId="9" hidden="1"/>
    <cellStyle name="Followed Hyperlink" xfId="19986" builtinId="9" hidden="1"/>
    <cellStyle name="Followed Hyperlink" xfId="19987" builtinId="9" hidden="1"/>
    <cellStyle name="Followed Hyperlink" xfId="19988" builtinId="9" hidden="1"/>
    <cellStyle name="Followed Hyperlink" xfId="19989" builtinId="9" hidden="1"/>
    <cellStyle name="Followed Hyperlink" xfId="19990" builtinId="9" hidden="1"/>
    <cellStyle name="Followed Hyperlink" xfId="19991" builtinId="9" hidden="1"/>
    <cellStyle name="Followed Hyperlink" xfId="19992" builtinId="9" hidden="1"/>
    <cellStyle name="Followed Hyperlink" xfId="19993" builtinId="9" hidden="1"/>
    <cellStyle name="Followed Hyperlink" xfId="19994" builtinId="9" hidden="1"/>
    <cellStyle name="Followed Hyperlink" xfId="19995" builtinId="9" hidden="1"/>
    <cellStyle name="Followed Hyperlink" xfId="19996" builtinId="9" hidden="1"/>
    <cellStyle name="Followed Hyperlink" xfId="19997" builtinId="9" hidden="1"/>
    <cellStyle name="Followed Hyperlink" xfId="19998" builtinId="9" hidden="1"/>
    <cellStyle name="Followed Hyperlink" xfId="19999" builtinId="9" hidden="1"/>
    <cellStyle name="Followed Hyperlink" xfId="20000" builtinId="9" hidden="1"/>
    <cellStyle name="Followed Hyperlink" xfId="20001" builtinId="9" hidden="1"/>
    <cellStyle name="Followed Hyperlink" xfId="19675" builtinId="9" hidden="1"/>
    <cellStyle name="Followed Hyperlink" xfId="19962" builtinId="9" hidden="1"/>
    <cellStyle name="Followed Hyperlink" xfId="20003" builtinId="9" hidden="1"/>
    <cellStyle name="Followed Hyperlink" xfId="20004" builtinId="9" hidden="1"/>
    <cellStyle name="Followed Hyperlink" xfId="20005" builtinId="9" hidden="1"/>
    <cellStyle name="Followed Hyperlink" xfId="20006" builtinId="9" hidden="1"/>
    <cellStyle name="Followed Hyperlink" xfId="20007" builtinId="9" hidden="1"/>
    <cellStyle name="Followed Hyperlink" xfId="20008" builtinId="9" hidden="1"/>
    <cellStyle name="Followed Hyperlink" xfId="20009" builtinId="9" hidden="1"/>
    <cellStyle name="Followed Hyperlink" xfId="20010" builtinId="9" hidden="1"/>
    <cellStyle name="Followed Hyperlink" xfId="20011" builtinId="9" hidden="1"/>
    <cellStyle name="Followed Hyperlink" xfId="20012" builtinId="9" hidden="1"/>
    <cellStyle name="Followed Hyperlink" xfId="20013" builtinId="9" hidden="1"/>
    <cellStyle name="Followed Hyperlink" xfId="20014" builtinId="9" hidden="1"/>
    <cellStyle name="Followed Hyperlink" xfId="20015" builtinId="9" hidden="1"/>
    <cellStyle name="Followed Hyperlink" xfId="20016" builtinId="9" hidden="1"/>
    <cellStyle name="Followed Hyperlink" xfId="20017" builtinId="9" hidden="1"/>
    <cellStyle name="Followed Hyperlink" xfId="20018" builtinId="9" hidden="1"/>
    <cellStyle name="Followed Hyperlink" xfId="20019" builtinId="9" hidden="1"/>
    <cellStyle name="Followed Hyperlink" xfId="20020" builtinId="9" hidden="1"/>
    <cellStyle name="Followed Hyperlink" xfId="20021" builtinId="9" hidden="1"/>
    <cellStyle name="Followed Hyperlink" xfId="20022" builtinId="9" hidden="1"/>
    <cellStyle name="Followed Hyperlink" xfId="20023" builtinId="9" hidden="1"/>
    <cellStyle name="Followed Hyperlink" xfId="20024" builtinId="9" hidden="1"/>
    <cellStyle name="Followed Hyperlink" xfId="20025" builtinId="9" hidden="1"/>
    <cellStyle name="Followed Hyperlink" xfId="20026" builtinId="9" hidden="1"/>
    <cellStyle name="Followed Hyperlink" xfId="20027" builtinId="9" hidden="1"/>
    <cellStyle name="Followed Hyperlink" xfId="20028" builtinId="9" hidden="1"/>
    <cellStyle name="Followed Hyperlink" xfId="20029" builtinId="9" hidden="1"/>
    <cellStyle name="Followed Hyperlink" xfId="20030" builtinId="9" hidden="1"/>
    <cellStyle name="Followed Hyperlink" xfId="20031" builtinId="9" hidden="1"/>
    <cellStyle name="Followed Hyperlink" xfId="20032" builtinId="9" hidden="1"/>
    <cellStyle name="Followed Hyperlink" xfId="20033" builtinId="9" hidden="1"/>
    <cellStyle name="Followed Hyperlink" xfId="20034" builtinId="9" hidden="1"/>
    <cellStyle name="Followed Hyperlink" xfId="20035" builtinId="9" hidden="1"/>
    <cellStyle name="Followed Hyperlink" xfId="20036" builtinId="9" hidden="1"/>
    <cellStyle name="Followed Hyperlink" xfId="20037" builtinId="9" hidden="1"/>
    <cellStyle name="Followed Hyperlink" xfId="20038" builtinId="9" hidden="1"/>
    <cellStyle name="Followed Hyperlink" xfId="20039" builtinId="9" hidden="1"/>
    <cellStyle name="Followed Hyperlink" xfId="20040" builtinId="9" hidden="1"/>
    <cellStyle name="Followed Hyperlink" xfId="20041" builtinId="9" hidden="1"/>
    <cellStyle name="Followed Hyperlink" xfId="19677" builtinId="9" hidden="1"/>
    <cellStyle name="Followed Hyperlink" xfId="20002" builtinId="9" hidden="1"/>
    <cellStyle name="Followed Hyperlink" xfId="20043" builtinId="9" hidden="1"/>
    <cellStyle name="Followed Hyperlink" xfId="20044" builtinId="9" hidden="1"/>
    <cellStyle name="Followed Hyperlink" xfId="20045" builtinId="9" hidden="1"/>
    <cellStyle name="Followed Hyperlink" xfId="20046" builtinId="9" hidden="1"/>
    <cellStyle name="Followed Hyperlink" xfId="20047" builtinId="9" hidden="1"/>
    <cellStyle name="Followed Hyperlink" xfId="20048" builtinId="9" hidden="1"/>
    <cellStyle name="Followed Hyperlink" xfId="20049" builtinId="9" hidden="1"/>
    <cellStyle name="Followed Hyperlink" xfId="20050" builtinId="9" hidden="1"/>
    <cellStyle name="Followed Hyperlink" xfId="20051" builtinId="9" hidden="1"/>
    <cellStyle name="Followed Hyperlink" xfId="20052" builtinId="9" hidden="1"/>
    <cellStyle name="Followed Hyperlink" xfId="20053" builtinId="9" hidden="1"/>
    <cellStyle name="Followed Hyperlink" xfId="20054" builtinId="9" hidden="1"/>
    <cellStyle name="Followed Hyperlink" xfId="20055" builtinId="9" hidden="1"/>
    <cellStyle name="Followed Hyperlink" xfId="20056" builtinId="9" hidden="1"/>
    <cellStyle name="Followed Hyperlink" xfId="20057" builtinId="9" hidden="1"/>
    <cellStyle name="Followed Hyperlink" xfId="20058" builtinId="9" hidden="1"/>
    <cellStyle name="Followed Hyperlink" xfId="20059" builtinId="9" hidden="1"/>
    <cellStyle name="Followed Hyperlink" xfId="20060" builtinId="9" hidden="1"/>
    <cellStyle name="Followed Hyperlink" xfId="20061" builtinId="9" hidden="1"/>
    <cellStyle name="Followed Hyperlink" xfId="20062" builtinId="9" hidden="1"/>
    <cellStyle name="Followed Hyperlink" xfId="20063" builtinId="9" hidden="1"/>
    <cellStyle name="Followed Hyperlink" xfId="20064" builtinId="9" hidden="1"/>
    <cellStyle name="Followed Hyperlink" xfId="20065" builtinId="9" hidden="1"/>
    <cellStyle name="Followed Hyperlink" xfId="20066" builtinId="9" hidden="1"/>
    <cellStyle name="Followed Hyperlink" xfId="20067" builtinId="9" hidden="1"/>
    <cellStyle name="Followed Hyperlink" xfId="20068" builtinId="9" hidden="1"/>
    <cellStyle name="Followed Hyperlink" xfId="20069" builtinId="9" hidden="1"/>
    <cellStyle name="Followed Hyperlink" xfId="20070" builtinId="9" hidden="1"/>
    <cellStyle name="Followed Hyperlink" xfId="20071" builtinId="9" hidden="1"/>
    <cellStyle name="Followed Hyperlink" xfId="20072" builtinId="9" hidden="1"/>
    <cellStyle name="Followed Hyperlink" xfId="20073" builtinId="9" hidden="1"/>
    <cellStyle name="Followed Hyperlink" xfId="20074" builtinId="9" hidden="1"/>
    <cellStyle name="Followed Hyperlink" xfId="20075" builtinId="9" hidden="1"/>
    <cellStyle name="Followed Hyperlink" xfId="20076" builtinId="9" hidden="1"/>
    <cellStyle name="Followed Hyperlink" xfId="20077" builtinId="9" hidden="1"/>
    <cellStyle name="Followed Hyperlink" xfId="20078" builtinId="9" hidden="1"/>
    <cellStyle name="Followed Hyperlink" xfId="20079" builtinId="9" hidden="1"/>
    <cellStyle name="Followed Hyperlink" xfId="20080" builtinId="9" hidden="1"/>
    <cellStyle name="Followed Hyperlink" xfId="20081" builtinId="9" hidden="1"/>
    <cellStyle name="Followed Hyperlink" xfId="19672" builtinId="9" hidden="1"/>
    <cellStyle name="Followed Hyperlink" xfId="20042" builtinId="9" hidden="1"/>
    <cellStyle name="Followed Hyperlink" xfId="20082" builtinId="9" hidden="1"/>
    <cellStyle name="Followed Hyperlink" xfId="20083" builtinId="9" hidden="1"/>
    <cellStyle name="Followed Hyperlink" xfId="20084" builtinId="9" hidden="1"/>
    <cellStyle name="Followed Hyperlink" xfId="20085" builtinId="9" hidden="1"/>
    <cellStyle name="Followed Hyperlink" xfId="20086" builtinId="9" hidden="1"/>
    <cellStyle name="Followed Hyperlink" xfId="20087" builtinId="9" hidden="1"/>
    <cellStyle name="Followed Hyperlink" xfId="20088" builtinId="9" hidden="1"/>
    <cellStyle name="Followed Hyperlink" xfId="20089" builtinId="9" hidden="1"/>
    <cellStyle name="Followed Hyperlink" xfId="20090" builtinId="9" hidden="1"/>
    <cellStyle name="Followed Hyperlink" xfId="20091" builtinId="9" hidden="1"/>
    <cellStyle name="Followed Hyperlink" xfId="20092" builtinId="9" hidden="1"/>
    <cellStyle name="Followed Hyperlink" xfId="20093" builtinId="9" hidden="1"/>
    <cellStyle name="Followed Hyperlink" xfId="20094" builtinId="9" hidden="1"/>
    <cellStyle name="Followed Hyperlink" xfId="20095" builtinId="9" hidden="1"/>
    <cellStyle name="Followed Hyperlink" xfId="20096" builtinId="9" hidden="1"/>
    <cellStyle name="Followed Hyperlink" xfId="20097" builtinId="9" hidden="1"/>
    <cellStyle name="Followed Hyperlink" xfId="20098" builtinId="9" hidden="1"/>
    <cellStyle name="Followed Hyperlink" xfId="20099" builtinId="9" hidden="1"/>
    <cellStyle name="Followed Hyperlink" xfId="20100" builtinId="9" hidden="1"/>
    <cellStyle name="Followed Hyperlink" xfId="20101" builtinId="9" hidden="1"/>
    <cellStyle name="Followed Hyperlink" xfId="20102" builtinId="9" hidden="1"/>
    <cellStyle name="Followed Hyperlink" xfId="20103" builtinId="9" hidden="1"/>
    <cellStyle name="Followed Hyperlink" xfId="20104" builtinId="9" hidden="1"/>
    <cellStyle name="Followed Hyperlink" xfId="20105" builtinId="9" hidden="1"/>
    <cellStyle name="Followed Hyperlink" xfId="20106" builtinId="9" hidden="1"/>
    <cellStyle name="Followed Hyperlink" xfId="20107" builtinId="9" hidden="1"/>
    <cellStyle name="Followed Hyperlink" xfId="20108" builtinId="9" hidden="1"/>
    <cellStyle name="Followed Hyperlink" xfId="20109" builtinId="9" hidden="1"/>
    <cellStyle name="Followed Hyperlink" xfId="20110" builtinId="9" hidden="1"/>
    <cellStyle name="Followed Hyperlink" xfId="20111" builtinId="9" hidden="1"/>
    <cellStyle name="Followed Hyperlink" xfId="20112" builtinId="9" hidden="1"/>
    <cellStyle name="Followed Hyperlink" xfId="20113" builtinId="9" hidden="1"/>
    <cellStyle name="Followed Hyperlink" xfId="20114" builtinId="9" hidden="1"/>
    <cellStyle name="Followed Hyperlink" xfId="20115" builtinId="9" hidden="1"/>
    <cellStyle name="Followed Hyperlink" xfId="20116" builtinId="9" hidden="1"/>
    <cellStyle name="Followed Hyperlink" xfId="20117" builtinId="9" hidden="1"/>
    <cellStyle name="Followed Hyperlink" xfId="20118" builtinId="9" hidden="1"/>
    <cellStyle name="Followed Hyperlink" xfId="20119" builtinId="9" hidden="1"/>
    <cellStyle name="Followed Hyperlink" xfId="20120" builtinId="9" hidden="1"/>
    <cellStyle name="Followed Hyperlink" xfId="20139" builtinId="9" hidden="1"/>
    <cellStyle name="Followed Hyperlink" xfId="20140" builtinId="9" hidden="1"/>
    <cellStyle name="Followed Hyperlink" xfId="20141" builtinId="9" hidden="1"/>
    <cellStyle name="Followed Hyperlink" xfId="20142" builtinId="9" hidden="1"/>
    <cellStyle name="Followed Hyperlink" xfId="20143" builtinId="9" hidden="1"/>
    <cellStyle name="Followed Hyperlink" xfId="20144" builtinId="9" hidden="1"/>
    <cellStyle name="Followed Hyperlink" xfId="20145" builtinId="9" hidden="1"/>
    <cellStyle name="Followed Hyperlink" xfId="20146" builtinId="9" hidden="1"/>
    <cellStyle name="Followed Hyperlink" xfId="20147" builtinId="9" hidden="1"/>
    <cellStyle name="Followed Hyperlink" xfId="20148" builtinId="9" hidden="1"/>
    <cellStyle name="Followed Hyperlink" xfId="20149" builtinId="9" hidden="1"/>
    <cellStyle name="Followed Hyperlink" xfId="20150" builtinId="9" hidden="1"/>
    <cellStyle name="Followed Hyperlink" xfId="20151" builtinId="9" hidden="1"/>
    <cellStyle name="Followed Hyperlink" xfId="20152" builtinId="9" hidden="1"/>
    <cellStyle name="Followed Hyperlink" xfId="20153" builtinId="9" hidden="1"/>
    <cellStyle name="Followed Hyperlink" xfId="20154" builtinId="9" hidden="1"/>
    <cellStyle name="Followed Hyperlink" xfId="20155" builtinId="9" hidden="1"/>
    <cellStyle name="Followed Hyperlink" xfId="20156" builtinId="9" hidden="1"/>
    <cellStyle name="Followed Hyperlink" xfId="20157" builtinId="9" hidden="1"/>
    <cellStyle name="Followed Hyperlink" xfId="20158" builtinId="9" hidden="1"/>
    <cellStyle name="Followed Hyperlink" xfId="20159" builtinId="9" hidden="1"/>
    <cellStyle name="Followed Hyperlink" xfId="20160" builtinId="9" hidden="1"/>
    <cellStyle name="Followed Hyperlink" xfId="20161" builtinId="9" hidden="1"/>
    <cellStyle name="Followed Hyperlink" xfId="20162" builtinId="9" hidden="1"/>
    <cellStyle name="Followed Hyperlink" xfId="20163" builtinId="9" hidden="1"/>
    <cellStyle name="Followed Hyperlink" xfId="20164" builtinId="9" hidden="1"/>
    <cellStyle name="Followed Hyperlink" xfId="20165" builtinId="9" hidden="1"/>
    <cellStyle name="Followed Hyperlink" xfId="20166" builtinId="9" hidden="1"/>
    <cellStyle name="Followed Hyperlink" xfId="20167" builtinId="9" hidden="1"/>
    <cellStyle name="Followed Hyperlink" xfId="20168" builtinId="9" hidden="1"/>
    <cellStyle name="Followed Hyperlink" xfId="20169" builtinId="9" hidden="1"/>
    <cellStyle name="Followed Hyperlink" xfId="20170" builtinId="9" hidden="1"/>
    <cellStyle name="Followed Hyperlink" xfId="20171" builtinId="9" hidden="1"/>
    <cellStyle name="Followed Hyperlink" xfId="20172" builtinId="9" hidden="1"/>
    <cellStyle name="Followed Hyperlink" xfId="20173" builtinId="9" hidden="1"/>
    <cellStyle name="Followed Hyperlink" xfId="20174" builtinId="9" hidden="1"/>
    <cellStyle name="Followed Hyperlink" xfId="20175" builtinId="9" hidden="1"/>
    <cellStyle name="Followed Hyperlink" xfId="20176" builtinId="9" hidden="1"/>
    <cellStyle name="Followed Hyperlink" xfId="20177" builtinId="9" hidden="1"/>
    <cellStyle name="Followed Hyperlink" xfId="20178" builtinId="9" hidden="1"/>
    <cellStyle name="Followed Hyperlink" xfId="20179" builtinId="9" hidden="1"/>
    <cellStyle name="Followed Hyperlink" xfId="20188" builtinId="9" hidden="1"/>
    <cellStyle name="Followed Hyperlink" xfId="20189" builtinId="9" hidden="1"/>
    <cellStyle name="Followed Hyperlink" xfId="20190" builtinId="9" hidden="1"/>
    <cellStyle name="Followed Hyperlink" xfId="20191" builtinId="9" hidden="1"/>
    <cellStyle name="Followed Hyperlink" xfId="20192" builtinId="9" hidden="1"/>
    <cellStyle name="Followed Hyperlink" xfId="20193" builtinId="9" hidden="1"/>
    <cellStyle name="Followed Hyperlink" xfId="20194" builtinId="9" hidden="1"/>
    <cellStyle name="Followed Hyperlink" xfId="20195" builtinId="9" hidden="1"/>
    <cellStyle name="Followed Hyperlink" xfId="20196" builtinId="9" hidden="1"/>
    <cellStyle name="Followed Hyperlink" xfId="20197" builtinId="9" hidden="1"/>
    <cellStyle name="Followed Hyperlink" xfId="20198" builtinId="9" hidden="1"/>
    <cellStyle name="Followed Hyperlink" xfId="20199" builtinId="9" hidden="1"/>
    <cellStyle name="Followed Hyperlink" xfId="20200" builtinId="9" hidden="1"/>
    <cellStyle name="Followed Hyperlink" xfId="20201" builtinId="9" hidden="1"/>
    <cellStyle name="Followed Hyperlink" xfId="20202" builtinId="9" hidden="1"/>
    <cellStyle name="Followed Hyperlink" xfId="20203" builtinId="9" hidden="1"/>
    <cellStyle name="Followed Hyperlink" xfId="20204" builtinId="9" hidden="1"/>
    <cellStyle name="Followed Hyperlink" xfId="20205" builtinId="9" hidden="1"/>
    <cellStyle name="Followed Hyperlink" xfId="20206" builtinId="9" hidden="1"/>
    <cellStyle name="Followed Hyperlink" xfId="20207" builtinId="9" hidden="1"/>
    <cellStyle name="Followed Hyperlink" xfId="20208" builtinId="9" hidden="1"/>
    <cellStyle name="Followed Hyperlink" xfId="20209" builtinId="9" hidden="1"/>
    <cellStyle name="Followed Hyperlink" xfId="20210" builtinId="9" hidden="1"/>
    <cellStyle name="Followed Hyperlink" xfId="20211" builtinId="9" hidden="1"/>
    <cellStyle name="Followed Hyperlink" xfId="20212" builtinId="9" hidden="1"/>
    <cellStyle name="Followed Hyperlink" xfId="20213" builtinId="9" hidden="1"/>
    <cellStyle name="Followed Hyperlink" xfId="20214" builtinId="9" hidden="1"/>
    <cellStyle name="Followed Hyperlink" xfId="20215" builtinId="9" hidden="1"/>
    <cellStyle name="Followed Hyperlink" xfId="20216" builtinId="9" hidden="1"/>
    <cellStyle name="Followed Hyperlink" xfId="20217" builtinId="9" hidden="1"/>
    <cellStyle name="Followed Hyperlink" xfId="20218" builtinId="9" hidden="1"/>
    <cellStyle name="Followed Hyperlink" xfId="20219" builtinId="9" hidden="1"/>
    <cellStyle name="Followed Hyperlink" xfId="20220" builtinId="9" hidden="1"/>
    <cellStyle name="Followed Hyperlink" xfId="20221" builtinId="9" hidden="1"/>
    <cellStyle name="Followed Hyperlink" xfId="20222" builtinId="9" hidden="1"/>
    <cellStyle name="Followed Hyperlink" xfId="20223" builtinId="9" hidden="1"/>
    <cellStyle name="Followed Hyperlink" xfId="20224" builtinId="9" hidden="1"/>
    <cellStyle name="Followed Hyperlink" xfId="20225" builtinId="9" hidden="1"/>
    <cellStyle name="Followed Hyperlink" xfId="20226" builtinId="9" hidden="1"/>
    <cellStyle name="Followed Hyperlink" xfId="20227" builtinId="9" hidden="1"/>
    <cellStyle name="Followed Hyperlink" xfId="20228" builtinId="9" hidden="1"/>
    <cellStyle name="Followed Hyperlink" xfId="20229" builtinId="9" hidden="1"/>
    <cellStyle name="Followed Hyperlink" xfId="20230" builtinId="9" hidden="1"/>
    <cellStyle name="Followed Hyperlink" xfId="20231" builtinId="9" hidden="1"/>
    <cellStyle name="Followed Hyperlink" xfId="20232" builtinId="9" hidden="1"/>
    <cellStyle name="Followed Hyperlink" xfId="20233" builtinId="9" hidden="1"/>
    <cellStyle name="Followed Hyperlink" xfId="20234" builtinId="9" hidden="1"/>
    <cellStyle name="Followed Hyperlink" xfId="20235" builtinId="9" hidden="1"/>
    <cellStyle name="Followed Hyperlink" xfId="20236" builtinId="9" hidden="1"/>
    <cellStyle name="Followed Hyperlink" xfId="20237" builtinId="9" hidden="1"/>
    <cellStyle name="Followed Hyperlink" xfId="20238" builtinId="9" hidden="1"/>
    <cellStyle name="Followed Hyperlink" xfId="20239" builtinId="9" hidden="1"/>
    <cellStyle name="Followed Hyperlink" xfId="20240" builtinId="9" hidden="1"/>
    <cellStyle name="Followed Hyperlink" xfId="20241" builtinId="9" hidden="1"/>
    <cellStyle name="Followed Hyperlink" xfId="20242" builtinId="9" hidden="1"/>
    <cellStyle name="Followed Hyperlink" xfId="20243" builtinId="9" hidden="1"/>
    <cellStyle name="Followed Hyperlink" xfId="20244" builtinId="9" hidden="1"/>
    <cellStyle name="Followed Hyperlink" xfId="20245" builtinId="9" hidden="1"/>
    <cellStyle name="Followed Hyperlink" xfId="20246" builtinId="9" hidden="1"/>
    <cellStyle name="Followed Hyperlink" xfId="20247" builtinId="9" hidden="1"/>
    <cellStyle name="Followed Hyperlink" xfId="20248" builtinId="9" hidden="1"/>
    <cellStyle name="Followed Hyperlink" xfId="20249" builtinId="9" hidden="1"/>
    <cellStyle name="Followed Hyperlink" xfId="20250" builtinId="9" hidden="1"/>
    <cellStyle name="Followed Hyperlink" xfId="20251" builtinId="9" hidden="1"/>
    <cellStyle name="Followed Hyperlink" xfId="20252" builtinId="9" hidden="1"/>
    <cellStyle name="Followed Hyperlink" xfId="20253" builtinId="9" hidden="1"/>
    <cellStyle name="Followed Hyperlink" xfId="20254" builtinId="9" hidden="1"/>
    <cellStyle name="Followed Hyperlink" xfId="20255" builtinId="9" hidden="1"/>
    <cellStyle name="Followed Hyperlink" xfId="20256" builtinId="9" hidden="1"/>
    <cellStyle name="Followed Hyperlink" xfId="20257" builtinId="9" hidden="1"/>
    <cellStyle name="Followed Hyperlink" xfId="20258" builtinId="9" hidden="1"/>
    <cellStyle name="Followed Hyperlink" xfId="20259" builtinId="9" hidden="1"/>
    <cellStyle name="Followed Hyperlink" xfId="20260" builtinId="9" hidden="1"/>
    <cellStyle name="Followed Hyperlink" xfId="20261" builtinId="9" hidden="1"/>
    <cellStyle name="Followed Hyperlink" xfId="20262" builtinId="9" hidden="1"/>
    <cellStyle name="Followed Hyperlink" xfId="20263" builtinId="9" hidden="1"/>
    <cellStyle name="Followed Hyperlink" xfId="20264" builtinId="9" hidden="1"/>
    <cellStyle name="Followed Hyperlink" xfId="20265" builtinId="9" hidden="1"/>
    <cellStyle name="Followed Hyperlink" xfId="20266" builtinId="9" hidden="1"/>
    <cellStyle name="Followed Hyperlink" xfId="20267" builtinId="9" hidden="1"/>
    <cellStyle name="Followed Hyperlink" xfId="20268" builtinId="9" hidden="1"/>
    <cellStyle name="Followed Hyperlink" xfId="20269" builtinId="9" hidden="1"/>
    <cellStyle name="Followed Hyperlink" xfId="20270" builtinId="9" hidden="1"/>
    <cellStyle name="Followed Hyperlink" xfId="20271" builtinId="9" hidden="1"/>
    <cellStyle name="Followed Hyperlink" xfId="20272" builtinId="9" hidden="1"/>
    <cellStyle name="Followed Hyperlink" xfId="20273" builtinId="9" hidden="1"/>
    <cellStyle name="Followed Hyperlink" xfId="20274" builtinId="9" hidden="1"/>
    <cellStyle name="Followed Hyperlink" xfId="20275" builtinId="9" hidden="1"/>
    <cellStyle name="Followed Hyperlink" xfId="20276" builtinId="9" hidden="1"/>
    <cellStyle name="Followed Hyperlink" xfId="20277" builtinId="9" hidden="1"/>
    <cellStyle name="Followed Hyperlink" xfId="20278" builtinId="9" hidden="1"/>
    <cellStyle name="Followed Hyperlink" xfId="20279" builtinId="9" hidden="1"/>
    <cellStyle name="Followed Hyperlink" xfId="20280" builtinId="9" hidden="1"/>
    <cellStyle name="Followed Hyperlink" xfId="20281" builtinId="9" hidden="1"/>
    <cellStyle name="Followed Hyperlink" xfId="20282" builtinId="9" hidden="1"/>
    <cellStyle name="Followed Hyperlink" xfId="20283" builtinId="9" hidden="1"/>
    <cellStyle name="Followed Hyperlink" xfId="20284" builtinId="9" hidden="1"/>
    <cellStyle name="Followed Hyperlink" xfId="20285" builtinId="9" hidden="1"/>
    <cellStyle name="Followed Hyperlink" xfId="20286" builtinId="9" hidden="1"/>
    <cellStyle name="Followed Hyperlink" xfId="20287" builtinId="9" hidden="1"/>
    <cellStyle name="Followed Hyperlink" xfId="20288" builtinId="9" hidden="1"/>
    <cellStyle name="Followed Hyperlink" xfId="20289" builtinId="9" hidden="1"/>
    <cellStyle name="Followed Hyperlink" xfId="20290" builtinId="9" hidden="1"/>
    <cellStyle name="Followed Hyperlink" xfId="20291" builtinId="9" hidden="1"/>
    <cellStyle name="Followed Hyperlink" xfId="20292" builtinId="9" hidden="1"/>
    <cellStyle name="Followed Hyperlink" xfId="20293" builtinId="9" hidden="1"/>
    <cellStyle name="Followed Hyperlink" xfId="20294" builtinId="9" hidden="1"/>
    <cellStyle name="Followed Hyperlink" xfId="20295" builtinId="9" hidden="1"/>
    <cellStyle name="Followed Hyperlink" xfId="20296" builtinId="9" hidden="1"/>
    <cellStyle name="Followed Hyperlink" xfId="20297" builtinId="9" hidden="1"/>
    <cellStyle name="Followed Hyperlink" xfId="20298" builtinId="9" hidden="1"/>
    <cellStyle name="Followed Hyperlink" xfId="20299" builtinId="9" hidden="1"/>
    <cellStyle name="Followed Hyperlink" xfId="20300" builtinId="9" hidden="1"/>
    <cellStyle name="Followed Hyperlink" xfId="20301" builtinId="9" hidden="1"/>
    <cellStyle name="Followed Hyperlink" xfId="20302" builtinId="9" hidden="1"/>
    <cellStyle name="Followed Hyperlink" xfId="20303" builtinId="9" hidden="1"/>
    <cellStyle name="Followed Hyperlink" xfId="20304" builtinId="9" hidden="1"/>
    <cellStyle name="Followed Hyperlink" xfId="20305" builtinId="9" hidden="1"/>
    <cellStyle name="Followed Hyperlink" xfId="20306" builtinId="9" hidden="1"/>
    <cellStyle name="Followed Hyperlink" xfId="20307" builtinId="9" hidden="1"/>
    <cellStyle name="Followed Hyperlink" xfId="20308" builtinId="9" hidden="1"/>
    <cellStyle name="Followed Hyperlink" xfId="20309" builtinId="9" hidden="1"/>
    <cellStyle name="Followed Hyperlink" xfId="20310" builtinId="9" hidden="1"/>
    <cellStyle name="Followed Hyperlink" xfId="20180" builtinId="9" hidden="1"/>
    <cellStyle name="Followed Hyperlink" xfId="20135" builtinId="9" hidden="1"/>
    <cellStyle name="Followed Hyperlink" xfId="20312" builtinId="9" hidden="1"/>
    <cellStyle name="Followed Hyperlink" xfId="20313" builtinId="9" hidden="1"/>
    <cellStyle name="Followed Hyperlink" xfId="20314" builtinId="9" hidden="1"/>
    <cellStyle name="Followed Hyperlink" xfId="20315" builtinId="9" hidden="1"/>
    <cellStyle name="Followed Hyperlink" xfId="20316" builtinId="9" hidden="1"/>
    <cellStyle name="Followed Hyperlink" xfId="20317" builtinId="9" hidden="1"/>
    <cellStyle name="Followed Hyperlink" xfId="20318" builtinId="9" hidden="1"/>
    <cellStyle name="Followed Hyperlink" xfId="20319" builtinId="9" hidden="1"/>
    <cellStyle name="Followed Hyperlink" xfId="20320" builtinId="9" hidden="1"/>
    <cellStyle name="Followed Hyperlink" xfId="20321" builtinId="9" hidden="1"/>
    <cellStyle name="Followed Hyperlink" xfId="20322" builtinId="9" hidden="1"/>
    <cellStyle name="Followed Hyperlink" xfId="20323" builtinId="9" hidden="1"/>
    <cellStyle name="Followed Hyperlink" xfId="20324" builtinId="9" hidden="1"/>
    <cellStyle name="Followed Hyperlink" xfId="20325" builtinId="9" hidden="1"/>
    <cellStyle name="Followed Hyperlink" xfId="20326" builtinId="9" hidden="1"/>
    <cellStyle name="Followed Hyperlink" xfId="20327" builtinId="9" hidden="1"/>
    <cellStyle name="Followed Hyperlink" xfId="20328" builtinId="9" hidden="1"/>
    <cellStyle name="Followed Hyperlink" xfId="20329" builtinId="9" hidden="1"/>
    <cellStyle name="Followed Hyperlink" xfId="20330" builtinId="9" hidden="1"/>
    <cellStyle name="Followed Hyperlink" xfId="20331" builtinId="9" hidden="1"/>
    <cellStyle name="Followed Hyperlink" xfId="20332" builtinId="9" hidden="1"/>
    <cellStyle name="Followed Hyperlink" xfId="20333" builtinId="9" hidden="1"/>
    <cellStyle name="Followed Hyperlink" xfId="20334" builtinId="9" hidden="1"/>
    <cellStyle name="Followed Hyperlink" xfId="20335" builtinId="9" hidden="1"/>
    <cellStyle name="Followed Hyperlink" xfId="20336" builtinId="9" hidden="1"/>
    <cellStyle name="Followed Hyperlink" xfId="20337" builtinId="9" hidden="1"/>
    <cellStyle name="Followed Hyperlink" xfId="20338" builtinId="9" hidden="1"/>
    <cellStyle name="Followed Hyperlink" xfId="20339" builtinId="9" hidden="1"/>
    <cellStyle name="Followed Hyperlink" xfId="20340" builtinId="9" hidden="1"/>
    <cellStyle name="Followed Hyperlink" xfId="20341" builtinId="9" hidden="1"/>
    <cellStyle name="Followed Hyperlink" xfId="20342" builtinId="9" hidden="1"/>
    <cellStyle name="Followed Hyperlink" xfId="20343" builtinId="9" hidden="1"/>
    <cellStyle name="Followed Hyperlink" xfId="20344" builtinId="9" hidden="1"/>
    <cellStyle name="Followed Hyperlink" xfId="20345" builtinId="9" hidden="1"/>
    <cellStyle name="Followed Hyperlink" xfId="20346" builtinId="9" hidden="1"/>
    <cellStyle name="Followed Hyperlink" xfId="20347" builtinId="9" hidden="1"/>
    <cellStyle name="Followed Hyperlink" xfId="20348" builtinId="9" hidden="1"/>
    <cellStyle name="Followed Hyperlink" xfId="20349" builtinId="9" hidden="1"/>
    <cellStyle name="Followed Hyperlink" xfId="20350" builtinId="9" hidden="1"/>
    <cellStyle name="Followed Hyperlink" xfId="20185" builtinId="9" hidden="1"/>
    <cellStyle name="Followed Hyperlink" xfId="20311" builtinId="9" hidden="1"/>
    <cellStyle name="Followed Hyperlink" xfId="20352" builtinId="9" hidden="1"/>
    <cellStyle name="Followed Hyperlink" xfId="20353" builtinId="9" hidden="1"/>
    <cellStyle name="Followed Hyperlink" xfId="20354" builtinId="9" hidden="1"/>
    <cellStyle name="Followed Hyperlink" xfId="20355" builtinId="9" hidden="1"/>
    <cellStyle name="Followed Hyperlink" xfId="20356" builtinId="9" hidden="1"/>
    <cellStyle name="Followed Hyperlink" xfId="20357" builtinId="9" hidden="1"/>
    <cellStyle name="Followed Hyperlink" xfId="20358" builtinId="9" hidden="1"/>
    <cellStyle name="Followed Hyperlink" xfId="20359" builtinId="9" hidden="1"/>
    <cellStyle name="Followed Hyperlink" xfId="20360" builtinId="9" hidden="1"/>
    <cellStyle name="Followed Hyperlink" xfId="20361" builtinId="9" hidden="1"/>
    <cellStyle name="Followed Hyperlink" xfId="20362" builtinId="9" hidden="1"/>
    <cellStyle name="Followed Hyperlink" xfId="20363" builtinId="9" hidden="1"/>
    <cellStyle name="Followed Hyperlink" xfId="20364" builtinId="9" hidden="1"/>
    <cellStyle name="Followed Hyperlink" xfId="20365" builtinId="9" hidden="1"/>
    <cellStyle name="Followed Hyperlink" xfId="20366" builtinId="9" hidden="1"/>
    <cellStyle name="Followed Hyperlink" xfId="20367" builtinId="9" hidden="1"/>
    <cellStyle name="Followed Hyperlink" xfId="20368" builtinId="9" hidden="1"/>
    <cellStyle name="Followed Hyperlink" xfId="20369" builtinId="9" hidden="1"/>
    <cellStyle name="Followed Hyperlink" xfId="20370" builtinId="9" hidden="1"/>
    <cellStyle name="Followed Hyperlink" xfId="20371" builtinId="9" hidden="1"/>
    <cellStyle name="Followed Hyperlink" xfId="20372" builtinId="9" hidden="1"/>
    <cellStyle name="Followed Hyperlink" xfId="20373" builtinId="9" hidden="1"/>
    <cellStyle name="Followed Hyperlink" xfId="20374" builtinId="9" hidden="1"/>
    <cellStyle name="Followed Hyperlink" xfId="20375" builtinId="9" hidden="1"/>
    <cellStyle name="Followed Hyperlink" xfId="20376" builtinId="9" hidden="1"/>
    <cellStyle name="Followed Hyperlink" xfId="20377" builtinId="9" hidden="1"/>
    <cellStyle name="Followed Hyperlink" xfId="20378" builtinId="9" hidden="1"/>
    <cellStyle name="Followed Hyperlink" xfId="20379" builtinId="9" hidden="1"/>
    <cellStyle name="Followed Hyperlink" xfId="20380" builtinId="9" hidden="1"/>
    <cellStyle name="Followed Hyperlink" xfId="20381" builtinId="9" hidden="1"/>
    <cellStyle name="Followed Hyperlink" xfId="20382" builtinId="9" hidden="1"/>
    <cellStyle name="Followed Hyperlink" xfId="20383" builtinId="9" hidden="1"/>
    <cellStyle name="Followed Hyperlink" xfId="20384" builtinId="9" hidden="1"/>
    <cellStyle name="Followed Hyperlink" xfId="20385" builtinId="9" hidden="1"/>
    <cellStyle name="Followed Hyperlink" xfId="20386" builtinId="9" hidden="1"/>
    <cellStyle name="Followed Hyperlink" xfId="20387" builtinId="9" hidden="1"/>
    <cellStyle name="Followed Hyperlink" xfId="20388" builtinId="9" hidden="1"/>
    <cellStyle name="Followed Hyperlink" xfId="20389" builtinId="9" hidden="1"/>
    <cellStyle name="Followed Hyperlink" xfId="20390" builtinId="9" hidden="1"/>
    <cellStyle name="Followed Hyperlink" xfId="20187" builtinId="9" hidden="1"/>
    <cellStyle name="Followed Hyperlink" xfId="20351" builtinId="9" hidden="1"/>
    <cellStyle name="Followed Hyperlink" xfId="20392" builtinId="9" hidden="1"/>
    <cellStyle name="Followed Hyperlink" xfId="20393" builtinId="9" hidden="1"/>
    <cellStyle name="Followed Hyperlink" xfId="20394" builtinId="9" hidden="1"/>
    <cellStyle name="Followed Hyperlink" xfId="20395" builtinId="9" hidden="1"/>
    <cellStyle name="Followed Hyperlink" xfId="20396" builtinId="9" hidden="1"/>
    <cellStyle name="Followed Hyperlink" xfId="20397" builtinId="9" hidden="1"/>
    <cellStyle name="Followed Hyperlink" xfId="20398" builtinId="9" hidden="1"/>
    <cellStyle name="Followed Hyperlink" xfId="20399" builtinId="9" hidden="1"/>
    <cellStyle name="Followed Hyperlink" xfId="20400" builtinId="9" hidden="1"/>
    <cellStyle name="Followed Hyperlink" xfId="20401" builtinId="9" hidden="1"/>
    <cellStyle name="Followed Hyperlink" xfId="20402" builtinId="9" hidden="1"/>
    <cellStyle name="Followed Hyperlink" xfId="20403" builtinId="9" hidden="1"/>
    <cellStyle name="Followed Hyperlink" xfId="20404" builtinId="9" hidden="1"/>
    <cellStyle name="Followed Hyperlink" xfId="20405" builtinId="9" hidden="1"/>
    <cellStyle name="Followed Hyperlink" xfId="20406" builtinId="9" hidden="1"/>
    <cellStyle name="Followed Hyperlink" xfId="20407" builtinId="9" hidden="1"/>
    <cellStyle name="Followed Hyperlink" xfId="20408" builtinId="9" hidden="1"/>
    <cellStyle name="Followed Hyperlink" xfId="20409" builtinId="9" hidden="1"/>
    <cellStyle name="Followed Hyperlink" xfId="20410" builtinId="9" hidden="1"/>
    <cellStyle name="Followed Hyperlink" xfId="20411" builtinId="9" hidden="1"/>
    <cellStyle name="Followed Hyperlink" xfId="20412" builtinId="9" hidden="1"/>
    <cellStyle name="Followed Hyperlink" xfId="20413" builtinId="9" hidden="1"/>
    <cellStyle name="Followed Hyperlink" xfId="20414" builtinId="9" hidden="1"/>
    <cellStyle name="Followed Hyperlink" xfId="20415" builtinId="9" hidden="1"/>
    <cellStyle name="Followed Hyperlink" xfId="20416" builtinId="9" hidden="1"/>
    <cellStyle name="Followed Hyperlink" xfId="20417" builtinId="9" hidden="1"/>
    <cellStyle name="Followed Hyperlink" xfId="20418" builtinId="9" hidden="1"/>
    <cellStyle name="Followed Hyperlink" xfId="20419" builtinId="9" hidden="1"/>
    <cellStyle name="Followed Hyperlink" xfId="20420" builtinId="9" hidden="1"/>
    <cellStyle name="Followed Hyperlink" xfId="20421" builtinId="9" hidden="1"/>
    <cellStyle name="Followed Hyperlink" xfId="20422" builtinId="9" hidden="1"/>
    <cellStyle name="Followed Hyperlink" xfId="20423" builtinId="9" hidden="1"/>
    <cellStyle name="Followed Hyperlink" xfId="20424" builtinId="9" hidden="1"/>
    <cellStyle name="Followed Hyperlink" xfId="20425" builtinId="9" hidden="1"/>
    <cellStyle name="Followed Hyperlink" xfId="20426" builtinId="9" hidden="1"/>
    <cellStyle name="Followed Hyperlink" xfId="20427" builtinId="9" hidden="1"/>
    <cellStyle name="Followed Hyperlink" xfId="20428" builtinId="9" hidden="1"/>
    <cellStyle name="Followed Hyperlink" xfId="20429" builtinId="9" hidden="1"/>
    <cellStyle name="Followed Hyperlink" xfId="20430" builtinId="9" hidden="1"/>
    <cellStyle name="Followed Hyperlink" xfId="20181" builtinId="9" hidden="1"/>
    <cellStyle name="Followed Hyperlink" xfId="20391" builtinId="9" hidden="1"/>
    <cellStyle name="Followed Hyperlink" xfId="20432" builtinId="9" hidden="1"/>
    <cellStyle name="Followed Hyperlink" xfId="20433" builtinId="9" hidden="1"/>
    <cellStyle name="Followed Hyperlink" xfId="20434" builtinId="9" hidden="1"/>
    <cellStyle name="Followed Hyperlink" xfId="20435" builtinId="9" hidden="1"/>
    <cellStyle name="Followed Hyperlink" xfId="20436" builtinId="9" hidden="1"/>
    <cellStyle name="Followed Hyperlink" xfId="20437" builtinId="9" hidden="1"/>
    <cellStyle name="Followed Hyperlink" xfId="20438" builtinId="9" hidden="1"/>
    <cellStyle name="Followed Hyperlink" xfId="20439" builtinId="9" hidden="1"/>
    <cellStyle name="Followed Hyperlink" xfId="20440" builtinId="9" hidden="1"/>
    <cellStyle name="Followed Hyperlink" xfId="20441" builtinId="9" hidden="1"/>
    <cellStyle name="Followed Hyperlink" xfId="20442" builtinId="9" hidden="1"/>
    <cellStyle name="Followed Hyperlink" xfId="20443" builtinId="9" hidden="1"/>
    <cellStyle name="Followed Hyperlink" xfId="20444" builtinId="9" hidden="1"/>
    <cellStyle name="Followed Hyperlink" xfId="20445" builtinId="9" hidden="1"/>
    <cellStyle name="Followed Hyperlink" xfId="20446" builtinId="9" hidden="1"/>
    <cellStyle name="Followed Hyperlink" xfId="20447" builtinId="9" hidden="1"/>
    <cellStyle name="Followed Hyperlink" xfId="20448" builtinId="9" hidden="1"/>
    <cellStyle name="Followed Hyperlink" xfId="20449" builtinId="9" hidden="1"/>
    <cellStyle name="Followed Hyperlink" xfId="20450" builtinId="9" hidden="1"/>
    <cellStyle name="Followed Hyperlink" xfId="20451" builtinId="9" hidden="1"/>
    <cellStyle name="Followed Hyperlink" xfId="20452" builtinId="9" hidden="1"/>
    <cellStyle name="Followed Hyperlink" xfId="20453" builtinId="9" hidden="1"/>
    <cellStyle name="Followed Hyperlink" xfId="20454" builtinId="9" hidden="1"/>
    <cellStyle name="Followed Hyperlink" xfId="20455" builtinId="9" hidden="1"/>
    <cellStyle name="Followed Hyperlink" xfId="20456" builtinId="9" hidden="1"/>
    <cellStyle name="Followed Hyperlink" xfId="20457" builtinId="9" hidden="1"/>
    <cellStyle name="Followed Hyperlink" xfId="20458" builtinId="9" hidden="1"/>
    <cellStyle name="Followed Hyperlink" xfId="20459" builtinId="9" hidden="1"/>
    <cellStyle name="Followed Hyperlink" xfId="20460" builtinId="9" hidden="1"/>
    <cellStyle name="Followed Hyperlink" xfId="20461" builtinId="9" hidden="1"/>
    <cellStyle name="Followed Hyperlink" xfId="20462" builtinId="9" hidden="1"/>
    <cellStyle name="Followed Hyperlink" xfId="20463" builtinId="9" hidden="1"/>
    <cellStyle name="Followed Hyperlink" xfId="20464" builtinId="9" hidden="1"/>
    <cellStyle name="Followed Hyperlink" xfId="20465" builtinId="9" hidden="1"/>
    <cellStyle name="Followed Hyperlink" xfId="20466" builtinId="9" hidden="1"/>
    <cellStyle name="Followed Hyperlink" xfId="20467" builtinId="9" hidden="1"/>
    <cellStyle name="Followed Hyperlink" xfId="20468" builtinId="9" hidden="1"/>
    <cellStyle name="Followed Hyperlink" xfId="20469" builtinId="9" hidden="1"/>
    <cellStyle name="Followed Hyperlink" xfId="20470" builtinId="9" hidden="1"/>
    <cellStyle name="Followed Hyperlink" xfId="20183" builtinId="9" hidden="1"/>
    <cellStyle name="Followed Hyperlink" xfId="20431" builtinId="9" hidden="1"/>
    <cellStyle name="Followed Hyperlink" xfId="20472" builtinId="9" hidden="1"/>
    <cellStyle name="Followed Hyperlink" xfId="20473" builtinId="9" hidden="1"/>
    <cellStyle name="Followed Hyperlink" xfId="20474" builtinId="9" hidden="1"/>
    <cellStyle name="Followed Hyperlink" xfId="20475" builtinId="9" hidden="1"/>
    <cellStyle name="Followed Hyperlink" xfId="20476" builtinId="9" hidden="1"/>
    <cellStyle name="Followed Hyperlink" xfId="20477" builtinId="9" hidden="1"/>
    <cellStyle name="Followed Hyperlink" xfId="20478" builtinId="9" hidden="1"/>
    <cellStyle name="Followed Hyperlink" xfId="20479" builtinId="9" hidden="1"/>
    <cellStyle name="Followed Hyperlink" xfId="20480" builtinId="9" hidden="1"/>
    <cellStyle name="Followed Hyperlink" xfId="20481" builtinId="9" hidden="1"/>
    <cellStyle name="Followed Hyperlink" xfId="20482" builtinId="9" hidden="1"/>
    <cellStyle name="Followed Hyperlink" xfId="20483" builtinId="9" hidden="1"/>
    <cellStyle name="Followed Hyperlink" xfId="20484" builtinId="9" hidden="1"/>
    <cellStyle name="Followed Hyperlink" xfId="20485" builtinId="9" hidden="1"/>
    <cellStyle name="Followed Hyperlink" xfId="20486" builtinId="9" hidden="1"/>
    <cellStyle name="Followed Hyperlink" xfId="20487" builtinId="9" hidden="1"/>
    <cellStyle name="Followed Hyperlink" xfId="20488" builtinId="9" hidden="1"/>
    <cellStyle name="Followed Hyperlink" xfId="20489" builtinId="9" hidden="1"/>
    <cellStyle name="Followed Hyperlink" xfId="20490" builtinId="9" hidden="1"/>
    <cellStyle name="Followed Hyperlink" xfId="20491" builtinId="9" hidden="1"/>
    <cellStyle name="Followed Hyperlink" xfId="20492" builtinId="9" hidden="1"/>
    <cellStyle name="Followed Hyperlink" xfId="20493" builtinId="9" hidden="1"/>
    <cellStyle name="Followed Hyperlink" xfId="20494" builtinId="9" hidden="1"/>
    <cellStyle name="Followed Hyperlink" xfId="20495" builtinId="9" hidden="1"/>
    <cellStyle name="Followed Hyperlink" xfId="20496" builtinId="9" hidden="1"/>
    <cellStyle name="Followed Hyperlink" xfId="20497" builtinId="9" hidden="1"/>
    <cellStyle name="Followed Hyperlink" xfId="20498" builtinId="9" hidden="1"/>
    <cellStyle name="Followed Hyperlink" xfId="20499" builtinId="9" hidden="1"/>
    <cellStyle name="Followed Hyperlink" xfId="20500" builtinId="9" hidden="1"/>
    <cellStyle name="Followed Hyperlink" xfId="20501" builtinId="9" hidden="1"/>
    <cellStyle name="Followed Hyperlink" xfId="20502" builtinId="9" hidden="1"/>
    <cellStyle name="Followed Hyperlink" xfId="20503" builtinId="9" hidden="1"/>
    <cellStyle name="Followed Hyperlink" xfId="20504" builtinId="9" hidden="1"/>
    <cellStyle name="Followed Hyperlink" xfId="20505" builtinId="9" hidden="1"/>
    <cellStyle name="Followed Hyperlink" xfId="20506" builtinId="9" hidden="1"/>
    <cellStyle name="Followed Hyperlink" xfId="20507" builtinId="9" hidden="1"/>
    <cellStyle name="Followed Hyperlink" xfId="20508" builtinId="9" hidden="1"/>
    <cellStyle name="Followed Hyperlink" xfId="20509" builtinId="9" hidden="1"/>
    <cellStyle name="Followed Hyperlink" xfId="20510" builtinId="9" hidden="1"/>
    <cellStyle name="Followed Hyperlink" xfId="20184" builtinId="9" hidden="1"/>
    <cellStyle name="Followed Hyperlink" xfId="20471" builtinId="9" hidden="1"/>
    <cellStyle name="Followed Hyperlink" xfId="20512" builtinId="9" hidden="1"/>
    <cellStyle name="Followed Hyperlink" xfId="20513" builtinId="9" hidden="1"/>
    <cellStyle name="Followed Hyperlink" xfId="20514" builtinId="9" hidden="1"/>
    <cellStyle name="Followed Hyperlink" xfId="20515" builtinId="9" hidden="1"/>
    <cellStyle name="Followed Hyperlink" xfId="20516" builtinId="9" hidden="1"/>
    <cellStyle name="Followed Hyperlink" xfId="20517" builtinId="9" hidden="1"/>
    <cellStyle name="Followed Hyperlink" xfId="20518" builtinId="9" hidden="1"/>
    <cellStyle name="Followed Hyperlink" xfId="20519" builtinId="9" hidden="1"/>
    <cellStyle name="Followed Hyperlink" xfId="20520" builtinId="9" hidden="1"/>
    <cellStyle name="Followed Hyperlink" xfId="20521" builtinId="9" hidden="1"/>
    <cellStyle name="Followed Hyperlink" xfId="20522" builtinId="9" hidden="1"/>
    <cellStyle name="Followed Hyperlink" xfId="20523" builtinId="9" hidden="1"/>
    <cellStyle name="Followed Hyperlink" xfId="20524" builtinId="9" hidden="1"/>
    <cellStyle name="Followed Hyperlink" xfId="20525" builtinId="9" hidden="1"/>
    <cellStyle name="Followed Hyperlink" xfId="20526" builtinId="9" hidden="1"/>
    <cellStyle name="Followed Hyperlink" xfId="20527" builtinId="9" hidden="1"/>
    <cellStyle name="Followed Hyperlink" xfId="20528" builtinId="9" hidden="1"/>
    <cellStyle name="Followed Hyperlink" xfId="20529" builtinId="9" hidden="1"/>
    <cellStyle name="Followed Hyperlink" xfId="20530" builtinId="9" hidden="1"/>
    <cellStyle name="Followed Hyperlink" xfId="20531" builtinId="9" hidden="1"/>
    <cellStyle name="Followed Hyperlink" xfId="20532" builtinId="9" hidden="1"/>
    <cellStyle name="Followed Hyperlink" xfId="20533" builtinId="9" hidden="1"/>
    <cellStyle name="Followed Hyperlink" xfId="20534" builtinId="9" hidden="1"/>
    <cellStyle name="Followed Hyperlink" xfId="20535" builtinId="9" hidden="1"/>
    <cellStyle name="Followed Hyperlink" xfId="20536" builtinId="9" hidden="1"/>
    <cellStyle name="Followed Hyperlink" xfId="20537" builtinId="9" hidden="1"/>
    <cellStyle name="Followed Hyperlink" xfId="20538" builtinId="9" hidden="1"/>
    <cellStyle name="Followed Hyperlink" xfId="20539" builtinId="9" hidden="1"/>
    <cellStyle name="Followed Hyperlink" xfId="20540" builtinId="9" hidden="1"/>
    <cellStyle name="Followed Hyperlink" xfId="20541" builtinId="9" hidden="1"/>
    <cellStyle name="Followed Hyperlink" xfId="20542" builtinId="9" hidden="1"/>
    <cellStyle name="Followed Hyperlink" xfId="20543" builtinId="9" hidden="1"/>
    <cellStyle name="Followed Hyperlink" xfId="20544" builtinId="9" hidden="1"/>
    <cellStyle name="Followed Hyperlink" xfId="20545" builtinId="9" hidden="1"/>
    <cellStyle name="Followed Hyperlink" xfId="20546" builtinId="9" hidden="1"/>
    <cellStyle name="Followed Hyperlink" xfId="20547" builtinId="9" hidden="1"/>
    <cellStyle name="Followed Hyperlink" xfId="20548" builtinId="9" hidden="1"/>
    <cellStyle name="Followed Hyperlink" xfId="20549" builtinId="9" hidden="1"/>
    <cellStyle name="Followed Hyperlink" xfId="20550" builtinId="9" hidden="1"/>
    <cellStyle name="Followed Hyperlink" xfId="20186" builtinId="9" hidden="1"/>
    <cellStyle name="Followed Hyperlink" xfId="20511" builtinId="9" hidden="1"/>
    <cellStyle name="Followed Hyperlink" xfId="20552" builtinId="9" hidden="1"/>
    <cellStyle name="Followed Hyperlink" xfId="20553" builtinId="9" hidden="1"/>
    <cellStyle name="Followed Hyperlink" xfId="20554" builtinId="9" hidden="1"/>
    <cellStyle name="Followed Hyperlink" xfId="20555" builtinId="9" hidden="1"/>
    <cellStyle name="Followed Hyperlink" xfId="20556" builtinId="9" hidden="1"/>
    <cellStyle name="Followed Hyperlink" xfId="20557" builtinId="9" hidden="1"/>
    <cellStyle name="Followed Hyperlink" xfId="20558" builtinId="9" hidden="1"/>
    <cellStyle name="Followed Hyperlink" xfId="20559" builtinId="9" hidden="1"/>
    <cellStyle name="Followed Hyperlink" xfId="20560" builtinId="9" hidden="1"/>
    <cellStyle name="Followed Hyperlink" xfId="20561" builtinId="9" hidden="1"/>
    <cellStyle name="Followed Hyperlink" xfId="20562" builtinId="9" hidden="1"/>
    <cellStyle name="Followed Hyperlink" xfId="20563" builtinId="9" hidden="1"/>
    <cellStyle name="Followed Hyperlink" xfId="20564" builtinId="9" hidden="1"/>
    <cellStyle name="Followed Hyperlink" xfId="20565" builtinId="9" hidden="1"/>
    <cellStyle name="Followed Hyperlink" xfId="20566" builtinId="9" hidden="1"/>
    <cellStyle name="Followed Hyperlink" xfId="20567" builtinId="9" hidden="1"/>
    <cellStyle name="Followed Hyperlink" xfId="20568" builtinId="9" hidden="1"/>
    <cellStyle name="Followed Hyperlink" xfId="20569" builtinId="9" hidden="1"/>
    <cellStyle name="Followed Hyperlink" xfId="20570" builtinId="9" hidden="1"/>
    <cellStyle name="Followed Hyperlink" xfId="20571" builtinId="9" hidden="1"/>
    <cellStyle name="Followed Hyperlink" xfId="20572" builtinId="9" hidden="1"/>
    <cellStyle name="Followed Hyperlink" xfId="20573" builtinId="9" hidden="1"/>
    <cellStyle name="Followed Hyperlink" xfId="20574" builtinId="9" hidden="1"/>
    <cellStyle name="Followed Hyperlink" xfId="20575" builtinId="9" hidden="1"/>
    <cellStyle name="Followed Hyperlink" xfId="20576" builtinId="9" hidden="1"/>
    <cellStyle name="Followed Hyperlink" xfId="20577" builtinId="9" hidden="1"/>
    <cellStyle name="Followed Hyperlink" xfId="20578" builtinId="9" hidden="1"/>
    <cellStyle name="Followed Hyperlink" xfId="20579" builtinId="9" hidden="1"/>
    <cellStyle name="Followed Hyperlink" xfId="20580" builtinId="9" hidden="1"/>
    <cellStyle name="Followed Hyperlink" xfId="20581" builtinId="9" hidden="1"/>
    <cellStyle name="Followed Hyperlink" xfId="20582" builtinId="9" hidden="1"/>
    <cellStyle name="Followed Hyperlink" xfId="20583" builtinId="9" hidden="1"/>
    <cellStyle name="Followed Hyperlink" xfId="20584" builtinId="9" hidden="1"/>
    <cellStyle name="Followed Hyperlink" xfId="20585" builtinId="9" hidden="1"/>
    <cellStyle name="Followed Hyperlink" xfId="20586" builtinId="9" hidden="1"/>
    <cellStyle name="Followed Hyperlink" xfId="20587" builtinId="9" hidden="1"/>
    <cellStyle name="Followed Hyperlink" xfId="20588" builtinId="9" hidden="1"/>
    <cellStyle name="Followed Hyperlink" xfId="20589" builtinId="9" hidden="1"/>
    <cellStyle name="Followed Hyperlink" xfId="20590" builtinId="9" hidden="1"/>
    <cellStyle name="Followed Hyperlink" xfId="20182" builtinId="9" hidden="1"/>
    <cellStyle name="Followed Hyperlink" xfId="20551" builtinId="9" hidden="1"/>
    <cellStyle name="Followed Hyperlink" xfId="20591" builtinId="9" hidden="1"/>
    <cellStyle name="Followed Hyperlink" xfId="20592" builtinId="9" hidden="1"/>
    <cellStyle name="Followed Hyperlink" xfId="20593" builtinId="9" hidden="1"/>
    <cellStyle name="Followed Hyperlink" xfId="20594" builtinId="9" hidden="1"/>
    <cellStyle name="Followed Hyperlink" xfId="20595" builtinId="9" hidden="1"/>
    <cellStyle name="Followed Hyperlink" xfId="20596" builtinId="9" hidden="1"/>
    <cellStyle name="Followed Hyperlink" xfId="20597" builtinId="9" hidden="1"/>
    <cellStyle name="Followed Hyperlink" xfId="20598" builtinId="9" hidden="1"/>
    <cellStyle name="Followed Hyperlink" xfId="20599" builtinId="9" hidden="1"/>
    <cellStyle name="Followed Hyperlink" xfId="20600" builtinId="9" hidden="1"/>
    <cellStyle name="Followed Hyperlink" xfId="20601" builtinId="9" hidden="1"/>
    <cellStyle name="Followed Hyperlink" xfId="20602" builtinId="9" hidden="1"/>
    <cellStyle name="Followed Hyperlink" xfId="20603" builtinId="9" hidden="1"/>
    <cellStyle name="Followed Hyperlink" xfId="20604" builtinId="9" hidden="1"/>
    <cellStyle name="Followed Hyperlink" xfId="20605" builtinId="9" hidden="1"/>
    <cellStyle name="Followed Hyperlink" xfId="20606" builtinId="9" hidden="1"/>
    <cellStyle name="Followed Hyperlink" xfId="20607" builtinId="9" hidden="1"/>
    <cellStyle name="Followed Hyperlink" xfId="20608" builtinId="9" hidden="1"/>
    <cellStyle name="Followed Hyperlink" xfId="20609" builtinId="9" hidden="1"/>
    <cellStyle name="Followed Hyperlink" xfId="20610" builtinId="9" hidden="1"/>
    <cellStyle name="Followed Hyperlink" xfId="20611" builtinId="9" hidden="1"/>
    <cellStyle name="Followed Hyperlink" xfId="20612" builtinId="9" hidden="1"/>
    <cellStyle name="Followed Hyperlink" xfId="20613" builtinId="9" hidden="1"/>
    <cellStyle name="Followed Hyperlink" xfId="20614" builtinId="9" hidden="1"/>
    <cellStyle name="Followed Hyperlink" xfId="20615" builtinId="9" hidden="1"/>
    <cellStyle name="Followed Hyperlink" xfId="20616" builtinId="9" hidden="1"/>
    <cellStyle name="Followed Hyperlink" xfId="20617" builtinId="9" hidden="1"/>
    <cellStyle name="Followed Hyperlink" xfId="20618" builtinId="9" hidden="1"/>
    <cellStyle name="Followed Hyperlink" xfId="20619" builtinId="9" hidden="1"/>
    <cellStyle name="Followed Hyperlink" xfId="20620" builtinId="9" hidden="1"/>
    <cellStyle name="Followed Hyperlink" xfId="20621" builtinId="9" hidden="1"/>
    <cellStyle name="Followed Hyperlink" xfId="20622" builtinId="9" hidden="1"/>
    <cellStyle name="Followed Hyperlink" xfId="20623" builtinId="9" hidden="1"/>
    <cellStyle name="Followed Hyperlink" xfId="20624" builtinId="9" hidden="1"/>
    <cellStyle name="Followed Hyperlink" xfId="20625" builtinId="9" hidden="1"/>
    <cellStyle name="Followed Hyperlink" xfId="20626" builtinId="9" hidden="1"/>
    <cellStyle name="Followed Hyperlink" xfId="20627" builtinId="9" hidden="1"/>
    <cellStyle name="Followed Hyperlink" xfId="20628" builtinId="9" hidden="1"/>
    <cellStyle name="Followed Hyperlink" xfId="20629" builtinId="9" hidden="1"/>
    <cellStyle name="Followed Hyperlink" xfId="20123" builtinId="9" hidden="1"/>
    <cellStyle name="Followed Hyperlink" xfId="20121" builtinId="9" hidden="1"/>
    <cellStyle name="Followed Hyperlink" xfId="20630" builtinId="9" hidden="1"/>
    <cellStyle name="Followed Hyperlink" xfId="20631" builtinId="9" hidden="1"/>
    <cellStyle name="Followed Hyperlink" xfId="20632" builtinId="9" hidden="1"/>
    <cellStyle name="Followed Hyperlink" xfId="20633" builtinId="9" hidden="1"/>
    <cellStyle name="Followed Hyperlink" xfId="20634" builtinId="9" hidden="1"/>
    <cellStyle name="Followed Hyperlink" xfId="20635" builtinId="9" hidden="1"/>
    <cellStyle name="Followed Hyperlink" xfId="20636" builtinId="9" hidden="1"/>
    <cellStyle name="Followed Hyperlink" xfId="20637" builtinId="9" hidden="1"/>
    <cellStyle name="Followed Hyperlink" xfId="20638" builtinId="9" hidden="1"/>
    <cellStyle name="Followed Hyperlink" xfId="20639" builtinId="9" hidden="1"/>
    <cellStyle name="Followed Hyperlink" xfId="20640" builtinId="9" hidden="1"/>
    <cellStyle name="Followed Hyperlink" xfId="20641" builtinId="9" hidden="1"/>
    <cellStyle name="Followed Hyperlink" xfId="20642" builtinId="9" hidden="1"/>
    <cellStyle name="Followed Hyperlink" xfId="20643" builtinId="9" hidden="1"/>
    <cellStyle name="Followed Hyperlink" xfId="20644" builtinId="9" hidden="1"/>
    <cellStyle name="Followed Hyperlink" xfId="20645" builtinId="9" hidden="1"/>
    <cellStyle name="Followed Hyperlink" xfId="20646" builtinId="9" hidden="1"/>
    <cellStyle name="Followed Hyperlink" xfId="20647" builtinId="9" hidden="1"/>
    <cellStyle name="Followed Hyperlink" xfId="20648" builtinId="9" hidden="1"/>
    <cellStyle name="Followed Hyperlink" xfId="20649" builtinId="9" hidden="1"/>
    <cellStyle name="Followed Hyperlink" xfId="20650" builtinId="9" hidden="1"/>
    <cellStyle name="Followed Hyperlink" xfId="20651" builtinId="9" hidden="1"/>
    <cellStyle name="Followed Hyperlink" xfId="20652" builtinId="9" hidden="1"/>
    <cellStyle name="Followed Hyperlink" xfId="20653" builtinId="9" hidden="1"/>
    <cellStyle name="Followed Hyperlink" xfId="20654" builtinId="9" hidden="1"/>
    <cellStyle name="Followed Hyperlink" xfId="20655" builtinId="9" hidden="1"/>
    <cellStyle name="Followed Hyperlink" xfId="20656" builtinId="9" hidden="1"/>
    <cellStyle name="Followed Hyperlink" xfId="20657" builtinId="9" hidden="1"/>
    <cellStyle name="Followed Hyperlink" xfId="20658" builtinId="9" hidden="1"/>
    <cellStyle name="Followed Hyperlink" xfId="20659" builtinId="9" hidden="1"/>
    <cellStyle name="Followed Hyperlink" xfId="20660" builtinId="9" hidden="1"/>
    <cellStyle name="Followed Hyperlink" xfId="20661" builtinId="9" hidden="1"/>
    <cellStyle name="Followed Hyperlink" xfId="20662" builtinId="9" hidden="1"/>
    <cellStyle name="Followed Hyperlink" xfId="20663" builtinId="9" hidden="1"/>
    <cellStyle name="Followed Hyperlink" xfId="20664" builtinId="9" hidden="1"/>
    <cellStyle name="Followed Hyperlink" xfId="20665" builtinId="9" hidden="1"/>
    <cellStyle name="Followed Hyperlink" xfId="20666" builtinId="9" hidden="1"/>
    <cellStyle name="Followed Hyperlink" xfId="20667" builtinId="9" hidden="1"/>
    <cellStyle name="Followed Hyperlink" xfId="20668" builtinId="9" hidden="1"/>
    <cellStyle name="Followed Hyperlink" xfId="20677" builtinId="9" hidden="1"/>
    <cellStyle name="Followed Hyperlink" xfId="20678" builtinId="9" hidden="1"/>
    <cellStyle name="Followed Hyperlink" xfId="20679" builtinId="9" hidden="1"/>
    <cellStyle name="Followed Hyperlink" xfId="20680" builtinId="9" hidden="1"/>
    <cellStyle name="Followed Hyperlink" xfId="20681" builtinId="9" hidden="1"/>
    <cellStyle name="Followed Hyperlink" xfId="20682" builtinId="9" hidden="1"/>
    <cellStyle name="Followed Hyperlink" xfId="20683" builtinId="9" hidden="1"/>
    <cellStyle name="Followed Hyperlink" xfId="20684" builtinId="9" hidden="1"/>
    <cellStyle name="Followed Hyperlink" xfId="20685" builtinId="9" hidden="1"/>
    <cellStyle name="Followed Hyperlink" xfId="20686" builtinId="9" hidden="1"/>
    <cellStyle name="Followed Hyperlink" xfId="20687" builtinId="9" hidden="1"/>
    <cellStyle name="Followed Hyperlink" xfId="20688" builtinId="9" hidden="1"/>
    <cellStyle name="Followed Hyperlink" xfId="20689" builtinId="9" hidden="1"/>
    <cellStyle name="Followed Hyperlink" xfId="20690" builtinId="9" hidden="1"/>
    <cellStyle name="Followed Hyperlink" xfId="20691" builtinId="9" hidden="1"/>
    <cellStyle name="Followed Hyperlink" xfId="20692" builtinId="9" hidden="1"/>
    <cellStyle name="Followed Hyperlink" xfId="20693" builtinId="9" hidden="1"/>
    <cellStyle name="Followed Hyperlink" xfId="20694" builtinId="9" hidden="1"/>
    <cellStyle name="Followed Hyperlink" xfId="20695" builtinId="9" hidden="1"/>
    <cellStyle name="Followed Hyperlink" xfId="20696" builtinId="9" hidden="1"/>
    <cellStyle name="Followed Hyperlink" xfId="20697" builtinId="9" hidden="1"/>
    <cellStyle name="Followed Hyperlink" xfId="20698" builtinId="9" hidden="1"/>
    <cellStyle name="Followed Hyperlink" xfId="20699" builtinId="9" hidden="1"/>
    <cellStyle name="Followed Hyperlink" xfId="20700" builtinId="9" hidden="1"/>
    <cellStyle name="Followed Hyperlink" xfId="20701" builtinId="9" hidden="1"/>
    <cellStyle name="Followed Hyperlink" xfId="20702" builtinId="9" hidden="1"/>
    <cellStyle name="Followed Hyperlink" xfId="20703" builtinId="9" hidden="1"/>
    <cellStyle name="Followed Hyperlink" xfId="20704" builtinId="9" hidden="1"/>
    <cellStyle name="Followed Hyperlink" xfId="20705" builtinId="9" hidden="1"/>
    <cellStyle name="Followed Hyperlink" xfId="20706" builtinId="9" hidden="1"/>
    <cellStyle name="Followed Hyperlink" xfId="20707" builtinId="9" hidden="1"/>
    <cellStyle name="Followed Hyperlink" xfId="20708" builtinId="9" hidden="1"/>
    <cellStyle name="Followed Hyperlink" xfId="20709" builtinId="9" hidden="1"/>
    <cellStyle name="Followed Hyperlink" xfId="20710" builtinId="9" hidden="1"/>
    <cellStyle name="Followed Hyperlink" xfId="20711" builtinId="9" hidden="1"/>
    <cellStyle name="Followed Hyperlink" xfId="20712" builtinId="9" hidden="1"/>
    <cellStyle name="Followed Hyperlink" xfId="20713" builtinId="9" hidden="1"/>
    <cellStyle name="Followed Hyperlink" xfId="20714" builtinId="9" hidden="1"/>
    <cellStyle name="Followed Hyperlink" xfId="20715" builtinId="9" hidden="1"/>
    <cellStyle name="Followed Hyperlink" xfId="20716" builtinId="9" hidden="1"/>
    <cellStyle name="Followed Hyperlink" xfId="20717" builtinId="9" hidden="1"/>
    <cellStyle name="Followed Hyperlink" xfId="20718" builtinId="9" hidden="1"/>
    <cellStyle name="Followed Hyperlink" xfId="20719" builtinId="9" hidden="1"/>
    <cellStyle name="Followed Hyperlink" xfId="20720" builtinId="9" hidden="1"/>
    <cellStyle name="Followed Hyperlink" xfId="20721" builtinId="9" hidden="1"/>
    <cellStyle name="Followed Hyperlink" xfId="20722" builtinId="9" hidden="1"/>
    <cellStyle name="Followed Hyperlink" xfId="20723" builtinId="9" hidden="1"/>
    <cellStyle name="Followed Hyperlink" xfId="20724" builtinId="9" hidden="1"/>
    <cellStyle name="Followed Hyperlink" xfId="20725" builtinId="9" hidden="1"/>
    <cellStyle name="Followed Hyperlink" xfId="20726" builtinId="9" hidden="1"/>
    <cellStyle name="Followed Hyperlink" xfId="20727" builtinId="9" hidden="1"/>
    <cellStyle name="Followed Hyperlink" xfId="20728" builtinId="9" hidden="1"/>
    <cellStyle name="Followed Hyperlink" xfId="20729" builtinId="9" hidden="1"/>
    <cellStyle name="Followed Hyperlink" xfId="20730" builtinId="9" hidden="1"/>
    <cellStyle name="Followed Hyperlink" xfId="20731" builtinId="9" hidden="1"/>
    <cellStyle name="Followed Hyperlink" xfId="20732" builtinId="9" hidden="1"/>
    <cellStyle name="Followed Hyperlink" xfId="20733" builtinId="9" hidden="1"/>
    <cellStyle name="Followed Hyperlink" xfId="20734" builtinId="9" hidden="1"/>
    <cellStyle name="Followed Hyperlink" xfId="20735" builtinId="9" hidden="1"/>
    <cellStyle name="Followed Hyperlink" xfId="20736" builtinId="9" hidden="1"/>
    <cellStyle name="Followed Hyperlink" xfId="20737" builtinId="9" hidden="1"/>
    <cellStyle name="Followed Hyperlink" xfId="20738" builtinId="9" hidden="1"/>
    <cellStyle name="Followed Hyperlink" xfId="20739" builtinId="9" hidden="1"/>
    <cellStyle name="Followed Hyperlink" xfId="20740" builtinId="9" hidden="1"/>
    <cellStyle name="Followed Hyperlink" xfId="20741" builtinId="9" hidden="1"/>
    <cellStyle name="Followed Hyperlink" xfId="20742" builtinId="9" hidden="1"/>
    <cellStyle name="Followed Hyperlink" xfId="20743" builtinId="9" hidden="1"/>
    <cellStyle name="Followed Hyperlink" xfId="20744" builtinId="9" hidden="1"/>
    <cellStyle name="Followed Hyperlink" xfId="20745" builtinId="9" hidden="1"/>
    <cellStyle name="Followed Hyperlink" xfId="20746" builtinId="9" hidden="1"/>
    <cellStyle name="Followed Hyperlink" xfId="20747" builtinId="9" hidden="1"/>
    <cellStyle name="Followed Hyperlink" xfId="20748" builtinId="9" hidden="1"/>
    <cellStyle name="Followed Hyperlink" xfId="20749" builtinId="9" hidden="1"/>
    <cellStyle name="Followed Hyperlink" xfId="20750" builtinId="9" hidden="1"/>
    <cellStyle name="Followed Hyperlink" xfId="20751" builtinId="9" hidden="1"/>
    <cellStyle name="Followed Hyperlink" xfId="20752" builtinId="9" hidden="1"/>
    <cellStyle name="Followed Hyperlink" xfId="20753" builtinId="9" hidden="1"/>
    <cellStyle name="Followed Hyperlink" xfId="20754" builtinId="9" hidden="1"/>
    <cellStyle name="Followed Hyperlink" xfId="20755" builtinId="9" hidden="1"/>
    <cellStyle name="Followed Hyperlink" xfId="20756" builtinId="9" hidden="1"/>
    <cellStyle name="Followed Hyperlink" xfId="20757" builtinId="9" hidden="1"/>
    <cellStyle name="Followed Hyperlink" xfId="20758" builtinId="9" hidden="1"/>
    <cellStyle name="Followed Hyperlink" xfId="20759" builtinId="9" hidden="1"/>
    <cellStyle name="Followed Hyperlink" xfId="20760" builtinId="9" hidden="1"/>
    <cellStyle name="Followed Hyperlink" xfId="20761" builtinId="9" hidden="1"/>
    <cellStyle name="Followed Hyperlink" xfId="20762" builtinId="9" hidden="1"/>
    <cellStyle name="Followed Hyperlink" xfId="20763" builtinId="9" hidden="1"/>
    <cellStyle name="Followed Hyperlink" xfId="20764" builtinId="9" hidden="1"/>
    <cellStyle name="Followed Hyperlink" xfId="20765" builtinId="9" hidden="1"/>
    <cellStyle name="Followed Hyperlink" xfId="20766" builtinId="9" hidden="1"/>
    <cellStyle name="Followed Hyperlink" xfId="20767" builtinId="9" hidden="1"/>
    <cellStyle name="Followed Hyperlink" xfId="20768" builtinId="9" hidden="1"/>
    <cellStyle name="Followed Hyperlink" xfId="20769" builtinId="9" hidden="1"/>
    <cellStyle name="Followed Hyperlink" xfId="20770" builtinId="9" hidden="1"/>
    <cellStyle name="Followed Hyperlink" xfId="20771" builtinId="9" hidden="1"/>
    <cellStyle name="Followed Hyperlink" xfId="20772" builtinId="9" hidden="1"/>
    <cellStyle name="Followed Hyperlink" xfId="20773" builtinId="9" hidden="1"/>
    <cellStyle name="Followed Hyperlink" xfId="20774" builtinId="9" hidden="1"/>
    <cellStyle name="Followed Hyperlink" xfId="20775" builtinId="9" hidden="1"/>
    <cellStyle name="Followed Hyperlink" xfId="20776" builtinId="9" hidden="1"/>
    <cellStyle name="Followed Hyperlink" xfId="20777" builtinId="9" hidden="1"/>
    <cellStyle name="Followed Hyperlink" xfId="20778" builtinId="9" hidden="1"/>
    <cellStyle name="Followed Hyperlink" xfId="20779" builtinId="9" hidden="1"/>
    <cellStyle name="Followed Hyperlink" xfId="20780" builtinId="9" hidden="1"/>
    <cellStyle name="Followed Hyperlink" xfId="20781" builtinId="9" hidden="1"/>
    <cellStyle name="Followed Hyperlink" xfId="20782" builtinId="9" hidden="1"/>
    <cellStyle name="Followed Hyperlink" xfId="20783" builtinId="9" hidden="1"/>
    <cellStyle name="Followed Hyperlink" xfId="20784" builtinId="9" hidden="1"/>
    <cellStyle name="Followed Hyperlink" xfId="20785" builtinId="9" hidden="1"/>
    <cellStyle name="Followed Hyperlink" xfId="20786" builtinId="9" hidden="1"/>
    <cellStyle name="Followed Hyperlink" xfId="20787" builtinId="9" hidden="1"/>
    <cellStyle name="Followed Hyperlink" xfId="20788" builtinId="9" hidden="1"/>
    <cellStyle name="Followed Hyperlink" xfId="20789" builtinId="9" hidden="1"/>
    <cellStyle name="Followed Hyperlink" xfId="20790" builtinId="9" hidden="1"/>
    <cellStyle name="Followed Hyperlink" xfId="20791" builtinId="9" hidden="1"/>
    <cellStyle name="Followed Hyperlink" xfId="20792" builtinId="9" hidden="1"/>
    <cellStyle name="Followed Hyperlink" xfId="20793" builtinId="9" hidden="1"/>
    <cellStyle name="Followed Hyperlink" xfId="20794" builtinId="9" hidden="1"/>
    <cellStyle name="Followed Hyperlink" xfId="20795" builtinId="9" hidden="1"/>
    <cellStyle name="Followed Hyperlink" xfId="20796" builtinId="9" hidden="1"/>
    <cellStyle name="Followed Hyperlink" xfId="20797" builtinId="9" hidden="1"/>
    <cellStyle name="Followed Hyperlink" xfId="20798" builtinId="9" hidden="1"/>
    <cellStyle name="Followed Hyperlink" xfId="20799" builtinId="9" hidden="1"/>
    <cellStyle name="Followed Hyperlink" xfId="20669" builtinId="9" hidden="1"/>
    <cellStyle name="Followed Hyperlink" xfId="20124" builtinId="9" hidden="1"/>
    <cellStyle name="Followed Hyperlink" xfId="20801" builtinId="9" hidden="1"/>
    <cellStyle name="Followed Hyperlink" xfId="20802" builtinId="9" hidden="1"/>
    <cellStyle name="Followed Hyperlink" xfId="20803" builtinId="9" hidden="1"/>
    <cellStyle name="Followed Hyperlink" xfId="20804" builtinId="9" hidden="1"/>
    <cellStyle name="Followed Hyperlink" xfId="20805" builtinId="9" hidden="1"/>
    <cellStyle name="Followed Hyperlink" xfId="20806" builtinId="9" hidden="1"/>
    <cellStyle name="Followed Hyperlink" xfId="20807" builtinId="9" hidden="1"/>
    <cellStyle name="Followed Hyperlink" xfId="20808" builtinId="9" hidden="1"/>
    <cellStyle name="Followed Hyperlink" xfId="20809" builtinId="9" hidden="1"/>
    <cellStyle name="Followed Hyperlink" xfId="20810" builtinId="9" hidden="1"/>
    <cellStyle name="Followed Hyperlink" xfId="20811" builtinId="9" hidden="1"/>
    <cellStyle name="Followed Hyperlink" xfId="20812" builtinId="9" hidden="1"/>
    <cellStyle name="Followed Hyperlink" xfId="20813" builtinId="9" hidden="1"/>
    <cellStyle name="Followed Hyperlink" xfId="20814" builtinId="9" hidden="1"/>
    <cellStyle name="Followed Hyperlink" xfId="20815" builtinId="9" hidden="1"/>
    <cellStyle name="Followed Hyperlink" xfId="20816" builtinId="9" hidden="1"/>
    <cellStyle name="Followed Hyperlink" xfId="20817" builtinId="9" hidden="1"/>
    <cellStyle name="Followed Hyperlink" xfId="20818" builtinId="9" hidden="1"/>
    <cellStyle name="Followed Hyperlink" xfId="20819" builtinId="9" hidden="1"/>
    <cellStyle name="Followed Hyperlink" xfId="20820" builtinId="9" hidden="1"/>
    <cellStyle name="Followed Hyperlink" xfId="20821" builtinId="9" hidden="1"/>
    <cellStyle name="Followed Hyperlink" xfId="20822" builtinId="9" hidden="1"/>
    <cellStyle name="Followed Hyperlink" xfId="20823" builtinId="9" hidden="1"/>
    <cellStyle name="Followed Hyperlink" xfId="20824" builtinId="9" hidden="1"/>
    <cellStyle name="Followed Hyperlink" xfId="20825" builtinId="9" hidden="1"/>
    <cellStyle name="Followed Hyperlink" xfId="20826" builtinId="9" hidden="1"/>
    <cellStyle name="Followed Hyperlink" xfId="20827" builtinId="9" hidden="1"/>
    <cellStyle name="Followed Hyperlink" xfId="20828" builtinId="9" hidden="1"/>
    <cellStyle name="Followed Hyperlink" xfId="20829" builtinId="9" hidden="1"/>
    <cellStyle name="Followed Hyperlink" xfId="20830" builtinId="9" hidden="1"/>
    <cellStyle name="Followed Hyperlink" xfId="20831" builtinId="9" hidden="1"/>
    <cellStyle name="Followed Hyperlink" xfId="20832" builtinId="9" hidden="1"/>
    <cellStyle name="Followed Hyperlink" xfId="20833" builtinId="9" hidden="1"/>
    <cellStyle name="Followed Hyperlink" xfId="20834" builtinId="9" hidden="1"/>
    <cellStyle name="Followed Hyperlink" xfId="20835" builtinId="9" hidden="1"/>
    <cellStyle name="Followed Hyperlink" xfId="20836" builtinId="9" hidden="1"/>
    <cellStyle name="Followed Hyperlink" xfId="20837" builtinId="9" hidden="1"/>
    <cellStyle name="Followed Hyperlink" xfId="20838" builtinId="9" hidden="1"/>
    <cellStyle name="Followed Hyperlink" xfId="20839" builtinId="9" hidden="1"/>
    <cellStyle name="Followed Hyperlink" xfId="20674" builtinId="9" hidden="1"/>
    <cellStyle name="Followed Hyperlink" xfId="20800" builtinId="9" hidden="1"/>
    <cellStyle name="Followed Hyperlink" xfId="20841" builtinId="9" hidden="1"/>
    <cellStyle name="Followed Hyperlink" xfId="20842" builtinId="9" hidden="1"/>
    <cellStyle name="Followed Hyperlink" xfId="20843" builtinId="9" hidden="1"/>
    <cellStyle name="Followed Hyperlink" xfId="20844" builtinId="9" hidden="1"/>
    <cellStyle name="Followed Hyperlink" xfId="20845" builtinId="9" hidden="1"/>
    <cellStyle name="Followed Hyperlink" xfId="20846" builtinId="9" hidden="1"/>
    <cellStyle name="Followed Hyperlink" xfId="20847" builtinId="9" hidden="1"/>
    <cellStyle name="Followed Hyperlink" xfId="20848" builtinId="9" hidden="1"/>
    <cellStyle name="Followed Hyperlink" xfId="20849" builtinId="9" hidden="1"/>
    <cellStyle name="Followed Hyperlink" xfId="20850" builtinId="9" hidden="1"/>
    <cellStyle name="Followed Hyperlink" xfId="20851" builtinId="9" hidden="1"/>
    <cellStyle name="Followed Hyperlink" xfId="20852" builtinId="9" hidden="1"/>
    <cellStyle name="Followed Hyperlink" xfId="20853" builtinId="9" hidden="1"/>
    <cellStyle name="Followed Hyperlink" xfId="20854" builtinId="9" hidden="1"/>
    <cellStyle name="Followed Hyperlink" xfId="20855" builtinId="9" hidden="1"/>
    <cellStyle name="Followed Hyperlink" xfId="20856" builtinId="9" hidden="1"/>
    <cellStyle name="Followed Hyperlink" xfId="20857" builtinId="9" hidden="1"/>
    <cellStyle name="Followed Hyperlink" xfId="20858" builtinId="9" hidden="1"/>
    <cellStyle name="Followed Hyperlink" xfId="20859" builtinId="9" hidden="1"/>
    <cellStyle name="Followed Hyperlink" xfId="20860" builtinId="9" hidden="1"/>
    <cellStyle name="Followed Hyperlink" xfId="20861" builtinId="9" hidden="1"/>
    <cellStyle name="Followed Hyperlink" xfId="20862" builtinId="9" hidden="1"/>
    <cellStyle name="Followed Hyperlink" xfId="20863" builtinId="9" hidden="1"/>
    <cellStyle name="Followed Hyperlink" xfId="20864" builtinId="9" hidden="1"/>
    <cellStyle name="Followed Hyperlink" xfId="20865" builtinId="9" hidden="1"/>
    <cellStyle name="Followed Hyperlink" xfId="20866" builtinId="9" hidden="1"/>
    <cellStyle name="Followed Hyperlink" xfId="20867" builtinId="9" hidden="1"/>
    <cellStyle name="Followed Hyperlink" xfId="20868" builtinId="9" hidden="1"/>
    <cellStyle name="Followed Hyperlink" xfId="20869" builtinId="9" hidden="1"/>
    <cellStyle name="Followed Hyperlink" xfId="20870" builtinId="9" hidden="1"/>
    <cellStyle name="Followed Hyperlink" xfId="20871" builtinId="9" hidden="1"/>
    <cellStyle name="Followed Hyperlink" xfId="20872" builtinId="9" hidden="1"/>
    <cellStyle name="Followed Hyperlink" xfId="20873" builtinId="9" hidden="1"/>
    <cellStyle name="Followed Hyperlink" xfId="20874" builtinId="9" hidden="1"/>
    <cellStyle name="Followed Hyperlink" xfId="20875" builtinId="9" hidden="1"/>
    <cellStyle name="Followed Hyperlink" xfId="20876" builtinId="9" hidden="1"/>
    <cellStyle name="Followed Hyperlink" xfId="20877" builtinId="9" hidden="1"/>
    <cellStyle name="Followed Hyperlink" xfId="20878" builtinId="9" hidden="1"/>
    <cellStyle name="Followed Hyperlink" xfId="20879" builtinId="9" hidden="1"/>
    <cellStyle name="Followed Hyperlink" xfId="20676" builtinId="9" hidden="1"/>
    <cellStyle name="Followed Hyperlink" xfId="20840" builtinId="9" hidden="1"/>
    <cellStyle name="Followed Hyperlink" xfId="20881" builtinId="9" hidden="1"/>
    <cellStyle name="Followed Hyperlink" xfId="20882" builtinId="9" hidden="1"/>
    <cellStyle name="Followed Hyperlink" xfId="20883" builtinId="9" hidden="1"/>
    <cellStyle name="Followed Hyperlink" xfId="20884" builtinId="9" hidden="1"/>
    <cellStyle name="Followed Hyperlink" xfId="20885" builtinId="9" hidden="1"/>
    <cellStyle name="Followed Hyperlink" xfId="20886" builtinId="9" hidden="1"/>
    <cellStyle name="Followed Hyperlink" xfId="20887" builtinId="9" hidden="1"/>
    <cellStyle name="Followed Hyperlink" xfId="20888" builtinId="9" hidden="1"/>
    <cellStyle name="Followed Hyperlink" xfId="20889" builtinId="9" hidden="1"/>
    <cellStyle name="Followed Hyperlink" xfId="20890" builtinId="9" hidden="1"/>
    <cellStyle name="Followed Hyperlink" xfId="20891" builtinId="9" hidden="1"/>
    <cellStyle name="Followed Hyperlink" xfId="20892" builtinId="9" hidden="1"/>
    <cellStyle name="Followed Hyperlink" xfId="20893" builtinId="9" hidden="1"/>
    <cellStyle name="Followed Hyperlink" xfId="20894" builtinId="9" hidden="1"/>
    <cellStyle name="Followed Hyperlink" xfId="20895" builtinId="9" hidden="1"/>
    <cellStyle name="Followed Hyperlink" xfId="20896" builtinId="9" hidden="1"/>
    <cellStyle name="Followed Hyperlink" xfId="20897" builtinId="9" hidden="1"/>
    <cellStyle name="Followed Hyperlink" xfId="20898" builtinId="9" hidden="1"/>
    <cellStyle name="Followed Hyperlink" xfId="20899" builtinId="9" hidden="1"/>
    <cellStyle name="Followed Hyperlink" xfId="20900" builtinId="9" hidden="1"/>
    <cellStyle name="Followed Hyperlink" xfId="20901" builtinId="9" hidden="1"/>
    <cellStyle name="Followed Hyperlink" xfId="20902" builtinId="9" hidden="1"/>
    <cellStyle name="Followed Hyperlink" xfId="20903" builtinId="9" hidden="1"/>
    <cellStyle name="Followed Hyperlink" xfId="20904" builtinId="9" hidden="1"/>
    <cellStyle name="Followed Hyperlink" xfId="20905" builtinId="9" hidden="1"/>
    <cellStyle name="Followed Hyperlink" xfId="20906" builtinId="9" hidden="1"/>
    <cellStyle name="Followed Hyperlink" xfId="20907" builtinId="9" hidden="1"/>
    <cellStyle name="Followed Hyperlink" xfId="20908" builtinId="9" hidden="1"/>
    <cellStyle name="Followed Hyperlink" xfId="20909" builtinId="9" hidden="1"/>
    <cellStyle name="Followed Hyperlink" xfId="20910" builtinId="9" hidden="1"/>
    <cellStyle name="Followed Hyperlink" xfId="20911" builtinId="9" hidden="1"/>
    <cellStyle name="Followed Hyperlink" xfId="20912" builtinId="9" hidden="1"/>
    <cellStyle name="Followed Hyperlink" xfId="20913" builtinId="9" hidden="1"/>
    <cellStyle name="Followed Hyperlink" xfId="20914" builtinId="9" hidden="1"/>
    <cellStyle name="Followed Hyperlink" xfId="20915" builtinId="9" hidden="1"/>
    <cellStyle name="Followed Hyperlink" xfId="20916" builtinId="9" hidden="1"/>
    <cellStyle name="Followed Hyperlink" xfId="20917" builtinId="9" hidden="1"/>
    <cellStyle name="Followed Hyperlink" xfId="20918" builtinId="9" hidden="1"/>
    <cellStyle name="Followed Hyperlink" xfId="20919" builtinId="9" hidden="1"/>
    <cellStyle name="Followed Hyperlink" xfId="20670" builtinId="9" hidden="1"/>
    <cellStyle name="Followed Hyperlink" xfId="20880" builtinId="9" hidden="1"/>
    <cellStyle name="Followed Hyperlink" xfId="20921" builtinId="9" hidden="1"/>
    <cellStyle name="Followed Hyperlink" xfId="20922" builtinId="9" hidden="1"/>
    <cellStyle name="Followed Hyperlink" xfId="20923" builtinId="9" hidden="1"/>
    <cellStyle name="Followed Hyperlink" xfId="20924" builtinId="9" hidden="1"/>
    <cellStyle name="Followed Hyperlink" xfId="20925" builtinId="9" hidden="1"/>
    <cellStyle name="Followed Hyperlink" xfId="20926" builtinId="9" hidden="1"/>
    <cellStyle name="Followed Hyperlink" xfId="20927" builtinId="9" hidden="1"/>
    <cellStyle name="Followed Hyperlink" xfId="20928" builtinId="9" hidden="1"/>
    <cellStyle name="Followed Hyperlink" xfId="20929" builtinId="9" hidden="1"/>
    <cellStyle name="Followed Hyperlink" xfId="20930" builtinId="9" hidden="1"/>
    <cellStyle name="Followed Hyperlink" xfId="20931" builtinId="9" hidden="1"/>
    <cellStyle name="Followed Hyperlink" xfId="20932" builtinId="9" hidden="1"/>
    <cellStyle name="Followed Hyperlink" xfId="20933" builtinId="9" hidden="1"/>
    <cellStyle name="Followed Hyperlink" xfId="20934" builtinId="9" hidden="1"/>
    <cellStyle name="Followed Hyperlink" xfId="20935" builtinId="9" hidden="1"/>
    <cellStyle name="Followed Hyperlink" xfId="20936" builtinId="9" hidden="1"/>
    <cellStyle name="Followed Hyperlink" xfId="20937" builtinId="9" hidden="1"/>
    <cellStyle name="Followed Hyperlink" xfId="20938" builtinId="9" hidden="1"/>
    <cellStyle name="Followed Hyperlink" xfId="20939" builtinId="9" hidden="1"/>
    <cellStyle name="Followed Hyperlink" xfId="20940" builtinId="9" hidden="1"/>
    <cellStyle name="Followed Hyperlink" xfId="20941" builtinId="9" hidden="1"/>
    <cellStyle name="Followed Hyperlink" xfId="20942" builtinId="9" hidden="1"/>
    <cellStyle name="Followed Hyperlink" xfId="20943" builtinId="9" hidden="1"/>
    <cellStyle name="Followed Hyperlink" xfId="20944" builtinId="9" hidden="1"/>
    <cellStyle name="Followed Hyperlink" xfId="20945" builtinId="9" hidden="1"/>
    <cellStyle name="Followed Hyperlink" xfId="20946" builtinId="9" hidden="1"/>
    <cellStyle name="Followed Hyperlink" xfId="20947" builtinId="9" hidden="1"/>
    <cellStyle name="Followed Hyperlink" xfId="20948" builtinId="9" hidden="1"/>
    <cellStyle name="Followed Hyperlink" xfId="20949" builtinId="9" hidden="1"/>
    <cellStyle name="Followed Hyperlink" xfId="20950" builtinId="9" hidden="1"/>
    <cellStyle name="Followed Hyperlink" xfId="20951" builtinId="9" hidden="1"/>
    <cellStyle name="Followed Hyperlink" xfId="20952" builtinId="9" hidden="1"/>
    <cellStyle name="Followed Hyperlink" xfId="20953" builtinId="9" hidden="1"/>
    <cellStyle name="Followed Hyperlink" xfId="20954" builtinId="9" hidden="1"/>
    <cellStyle name="Followed Hyperlink" xfId="20955" builtinId="9" hidden="1"/>
    <cellStyle name="Followed Hyperlink" xfId="20956" builtinId="9" hidden="1"/>
    <cellStyle name="Followed Hyperlink" xfId="20957" builtinId="9" hidden="1"/>
    <cellStyle name="Followed Hyperlink" xfId="20958" builtinId="9" hidden="1"/>
    <cellStyle name="Followed Hyperlink" xfId="20959" builtinId="9" hidden="1"/>
    <cellStyle name="Followed Hyperlink" xfId="20672" builtinId="9" hidden="1"/>
    <cellStyle name="Followed Hyperlink" xfId="20920" builtinId="9" hidden="1"/>
    <cellStyle name="Followed Hyperlink" xfId="20961" builtinId="9" hidden="1"/>
    <cellStyle name="Followed Hyperlink" xfId="20962" builtinId="9" hidden="1"/>
    <cellStyle name="Followed Hyperlink" xfId="20963" builtinId="9" hidden="1"/>
    <cellStyle name="Followed Hyperlink" xfId="20964" builtinId="9" hidden="1"/>
    <cellStyle name="Followed Hyperlink" xfId="20965" builtinId="9" hidden="1"/>
    <cellStyle name="Followed Hyperlink" xfId="20966" builtinId="9" hidden="1"/>
    <cellStyle name="Followed Hyperlink" xfId="20967" builtinId="9" hidden="1"/>
    <cellStyle name="Followed Hyperlink" xfId="20968" builtinId="9" hidden="1"/>
    <cellStyle name="Followed Hyperlink" xfId="20969" builtinId="9" hidden="1"/>
    <cellStyle name="Followed Hyperlink" xfId="20970" builtinId="9" hidden="1"/>
    <cellStyle name="Followed Hyperlink" xfId="20971" builtinId="9" hidden="1"/>
    <cellStyle name="Followed Hyperlink" xfId="20972" builtinId="9" hidden="1"/>
    <cellStyle name="Followed Hyperlink" xfId="20973" builtinId="9" hidden="1"/>
    <cellStyle name="Followed Hyperlink" xfId="20974" builtinId="9" hidden="1"/>
    <cellStyle name="Followed Hyperlink" xfId="20975" builtinId="9" hidden="1"/>
    <cellStyle name="Followed Hyperlink" xfId="20976" builtinId="9" hidden="1"/>
    <cellStyle name="Followed Hyperlink" xfId="20977" builtinId="9" hidden="1"/>
    <cellStyle name="Followed Hyperlink" xfId="20978" builtinId="9" hidden="1"/>
    <cellStyle name="Followed Hyperlink" xfId="20979" builtinId="9" hidden="1"/>
    <cellStyle name="Followed Hyperlink" xfId="20980" builtinId="9" hidden="1"/>
    <cellStyle name="Followed Hyperlink" xfId="20981" builtinId="9" hidden="1"/>
    <cellStyle name="Followed Hyperlink" xfId="20982" builtinId="9" hidden="1"/>
    <cellStyle name="Followed Hyperlink" xfId="20983" builtinId="9" hidden="1"/>
    <cellStyle name="Followed Hyperlink" xfId="20984" builtinId="9" hidden="1"/>
    <cellStyle name="Followed Hyperlink" xfId="20985" builtinId="9" hidden="1"/>
    <cellStyle name="Followed Hyperlink" xfId="20986" builtinId="9" hidden="1"/>
    <cellStyle name="Followed Hyperlink" xfId="20987" builtinId="9" hidden="1"/>
    <cellStyle name="Followed Hyperlink" xfId="20988" builtinId="9" hidden="1"/>
    <cellStyle name="Followed Hyperlink" xfId="20989" builtinId="9" hidden="1"/>
    <cellStyle name="Followed Hyperlink" xfId="20990" builtinId="9" hidden="1"/>
    <cellStyle name="Followed Hyperlink" xfId="20991" builtinId="9" hidden="1"/>
    <cellStyle name="Followed Hyperlink" xfId="20992" builtinId="9" hidden="1"/>
    <cellStyle name="Followed Hyperlink" xfId="20993" builtinId="9" hidden="1"/>
    <cellStyle name="Followed Hyperlink" xfId="20994" builtinId="9" hidden="1"/>
    <cellStyle name="Followed Hyperlink" xfId="20995" builtinId="9" hidden="1"/>
    <cellStyle name="Followed Hyperlink" xfId="20996" builtinId="9" hidden="1"/>
    <cellStyle name="Followed Hyperlink" xfId="20997" builtinId="9" hidden="1"/>
    <cellStyle name="Followed Hyperlink" xfId="20998" builtinId="9" hidden="1"/>
    <cellStyle name="Followed Hyperlink" xfId="20999" builtinId="9" hidden="1"/>
    <cellStyle name="Followed Hyperlink" xfId="20673" builtinId="9" hidden="1"/>
    <cellStyle name="Followed Hyperlink" xfId="20960" builtinId="9" hidden="1"/>
    <cellStyle name="Followed Hyperlink" xfId="21001" builtinId="9" hidden="1"/>
    <cellStyle name="Followed Hyperlink" xfId="21002" builtinId="9" hidden="1"/>
    <cellStyle name="Followed Hyperlink" xfId="21003" builtinId="9" hidden="1"/>
    <cellStyle name="Followed Hyperlink" xfId="21004" builtinId="9" hidden="1"/>
    <cellStyle name="Followed Hyperlink" xfId="21005" builtinId="9" hidden="1"/>
    <cellStyle name="Followed Hyperlink" xfId="21006" builtinId="9" hidden="1"/>
    <cellStyle name="Followed Hyperlink" xfId="21007" builtinId="9" hidden="1"/>
    <cellStyle name="Followed Hyperlink" xfId="21008" builtinId="9" hidden="1"/>
    <cellStyle name="Followed Hyperlink" xfId="21009" builtinId="9" hidden="1"/>
    <cellStyle name="Followed Hyperlink" xfId="21010" builtinId="9" hidden="1"/>
    <cellStyle name="Followed Hyperlink" xfId="21011" builtinId="9" hidden="1"/>
    <cellStyle name="Followed Hyperlink" xfId="21012" builtinId="9" hidden="1"/>
    <cellStyle name="Followed Hyperlink" xfId="21013" builtinId="9" hidden="1"/>
    <cellStyle name="Followed Hyperlink" xfId="21014" builtinId="9" hidden="1"/>
    <cellStyle name="Followed Hyperlink" xfId="21015" builtinId="9" hidden="1"/>
    <cellStyle name="Followed Hyperlink" xfId="21016" builtinId="9" hidden="1"/>
    <cellStyle name="Followed Hyperlink" xfId="21017" builtinId="9" hidden="1"/>
    <cellStyle name="Followed Hyperlink" xfId="21018" builtinId="9" hidden="1"/>
    <cellStyle name="Followed Hyperlink" xfId="21019" builtinId="9" hidden="1"/>
    <cellStyle name="Followed Hyperlink" xfId="21020" builtinId="9" hidden="1"/>
    <cellStyle name="Followed Hyperlink" xfId="21021" builtinId="9" hidden="1"/>
    <cellStyle name="Followed Hyperlink" xfId="21022" builtinId="9" hidden="1"/>
    <cellStyle name="Followed Hyperlink" xfId="21023" builtinId="9" hidden="1"/>
    <cellStyle name="Followed Hyperlink" xfId="21024" builtinId="9" hidden="1"/>
    <cellStyle name="Followed Hyperlink" xfId="21025" builtinId="9" hidden="1"/>
    <cellStyle name="Followed Hyperlink" xfId="21026" builtinId="9" hidden="1"/>
    <cellStyle name="Followed Hyperlink" xfId="21027" builtinId="9" hidden="1"/>
    <cellStyle name="Followed Hyperlink" xfId="21028" builtinId="9" hidden="1"/>
    <cellStyle name="Followed Hyperlink" xfId="21029" builtinId="9" hidden="1"/>
    <cellStyle name="Followed Hyperlink" xfId="21030" builtinId="9" hidden="1"/>
    <cellStyle name="Followed Hyperlink" xfId="21031" builtinId="9" hidden="1"/>
    <cellStyle name="Followed Hyperlink" xfId="21032" builtinId="9" hidden="1"/>
    <cellStyle name="Followed Hyperlink" xfId="21033" builtinId="9" hidden="1"/>
    <cellStyle name="Followed Hyperlink" xfId="21034" builtinId="9" hidden="1"/>
    <cellStyle name="Followed Hyperlink" xfId="21035" builtinId="9" hidden="1"/>
    <cellStyle name="Followed Hyperlink" xfId="21036" builtinId="9" hidden="1"/>
    <cellStyle name="Followed Hyperlink" xfId="21037" builtinId="9" hidden="1"/>
    <cellStyle name="Followed Hyperlink" xfId="21038" builtinId="9" hidden="1"/>
    <cellStyle name="Followed Hyperlink" xfId="21039" builtinId="9" hidden="1"/>
    <cellStyle name="Followed Hyperlink" xfId="20675" builtinId="9" hidden="1"/>
    <cellStyle name="Followed Hyperlink" xfId="21000" builtinId="9" hidden="1"/>
    <cellStyle name="Followed Hyperlink" xfId="21041" builtinId="9" hidden="1"/>
    <cellStyle name="Followed Hyperlink" xfId="21042" builtinId="9" hidden="1"/>
    <cellStyle name="Followed Hyperlink" xfId="21043" builtinId="9" hidden="1"/>
    <cellStyle name="Followed Hyperlink" xfId="21044" builtinId="9" hidden="1"/>
    <cellStyle name="Followed Hyperlink" xfId="21045" builtinId="9" hidden="1"/>
    <cellStyle name="Followed Hyperlink" xfId="21046" builtinId="9" hidden="1"/>
    <cellStyle name="Followed Hyperlink" xfId="21047" builtinId="9" hidden="1"/>
    <cellStyle name="Followed Hyperlink" xfId="21048" builtinId="9" hidden="1"/>
    <cellStyle name="Followed Hyperlink" xfId="21049" builtinId="9" hidden="1"/>
    <cellStyle name="Followed Hyperlink" xfId="21050" builtinId="9" hidden="1"/>
    <cellStyle name="Followed Hyperlink" xfId="21051" builtinId="9" hidden="1"/>
    <cellStyle name="Followed Hyperlink" xfId="21052" builtinId="9" hidden="1"/>
    <cellStyle name="Followed Hyperlink" xfId="21053" builtinId="9" hidden="1"/>
    <cellStyle name="Followed Hyperlink" xfId="21054" builtinId="9" hidden="1"/>
    <cellStyle name="Followed Hyperlink" xfId="21055" builtinId="9" hidden="1"/>
    <cellStyle name="Followed Hyperlink" xfId="21056" builtinId="9" hidden="1"/>
    <cellStyle name="Followed Hyperlink" xfId="21057" builtinId="9" hidden="1"/>
    <cellStyle name="Followed Hyperlink" xfId="21058" builtinId="9" hidden="1"/>
    <cellStyle name="Followed Hyperlink" xfId="21059" builtinId="9" hidden="1"/>
    <cellStyle name="Followed Hyperlink" xfId="21060" builtinId="9" hidden="1"/>
    <cellStyle name="Followed Hyperlink" xfId="21061" builtinId="9" hidden="1"/>
    <cellStyle name="Followed Hyperlink" xfId="21062" builtinId="9" hidden="1"/>
    <cellStyle name="Followed Hyperlink" xfId="21063" builtinId="9" hidden="1"/>
    <cellStyle name="Followed Hyperlink" xfId="21064" builtinId="9" hidden="1"/>
    <cellStyle name="Followed Hyperlink" xfId="21065" builtinId="9" hidden="1"/>
    <cellStyle name="Followed Hyperlink" xfId="21066" builtinId="9" hidden="1"/>
    <cellStyle name="Followed Hyperlink" xfId="21067" builtinId="9" hidden="1"/>
    <cellStyle name="Followed Hyperlink" xfId="21068" builtinId="9" hidden="1"/>
    <cellStyle name="Followed Hyperlink" xfId="21069" builtinId="9" hidden="1"/>
    <cellStyle name="Followed Hyperlink" xfId="21070" builtinId="9" hidden="1"/>
    <cellStyle name="Followed Hyperlink" xfId="21071" builtinId="9" hidden="1"/>
    <cellStyle name="Followed Hyperlink" xfId="21072" builtinId="9" hidden="1"/>
    <cellStyle name="Followed Hyperlink" xfId="21073" builtinId="9" hidden="1"/>
    <cellStyle name="Followed Hyperlink" xfId="21074" builtinId="9" hidden="1"/>
    <cellStyle name="Followed Hyperlink" xfId="21075" builtinId="9" hidden="1"/>
    <cellStyle name="Followed Hyperlink" xfId="21076" builtinId="9" hidden="1"/>
    <cellStyle name="Followed Hyperlink" xfId="21077" builtinId="9" hidden="1"/>
    <cellStyle name="Followed Hyperlink" xfId="21078" builtinId="9" hidden="1"/>
    <cellStyle name="Followed Hyperlink" xfId="21079" builtinId="9" hidden="1"/>
    <cellStyle name="Followed Hyperlink" xfId="20671" builtinId="9" hidden="1"/>
    <cellStyle name="Followed Hyperlink" xfId="21040" builtinId="9" hidden="1"/>
    <cellStyle name="Followed Hyperlink" xfId="21080" builtinId="9" hidden="1"/>
    <cellStyle name="Followed Hyperlink" xfId="21081" builtinId="9" hidden="1"/>
    <cellStyle name="Followed Hyperlink" xfId="21082" builtinId="9" hidden="1"/>
    <cellStyle name="Followed Hyperlink" xfId="21083" builtinId="9" hidden="1"/>
    <cellStyle name="Followed Hyperlink" xfId="21084" builtinId="9" hidden="1"/>
    <cellStyle name="Followed Hyperlink" xfId="21085" builtinId="9" hidden="1"/>
    <cellStyle name="Followed Hyperlink" xfId="21086" builtinId="9" hidden="1"/>
    <cellStyle name="Followed Hyperlink" xfId="21087" builtinId="9" hidden="1"/>
    <cellStyle name="Followed Hyperlink" xfId="21088" builtinId="9" hidden="1"/>
    <cellStyle name="Followed Hyperlink" xfId="21089" builtinId="9" hidden="1"/>
    <cellStyle name="Followed Hyperlink" xfId="21090" builtinId="9" hidden="1"/>
    <cellStyle name="Followed Hyperlink" xfId="21091" builtinId="9" hidden="1"/>
    <cellStyle name="Followed Hyperlink" xfId="21092" builtinId="9" hidden="1"/>
    <cellStyle name="Followed Hyperlink" xfId="21093" builtinId="9" hidden="1"/>
    <cellStyle name="Followed Hyperlink" xfId="21094" builtinId="9" hidden="1"/>
    <cellStyle name="Followed Hyperlink" xfId="21095" builtinId="9" hidden="1"/>
    <cellStyle name="Followed Hyperlink" xfId="21096" builtinId="9" hidden="1"/>
    <cellStyle name="Followed Hyperlink" xfId="21097" builtinId="9" hidden="1"/>
    <cellStyle name="Followed Hyperlink" xfId="21098" builtinId="9" hidden="1"/>
    <cellStyle name="Followed Hyperlink" xfId="21099" builtinId="9" hidden="1"/>
    <cellStyle name="Followed Hyperlink" xfId="21100" builtinId="9" hidden="1"/>
    <cellStyle name="Followed Hyperlink" xfId="21101" builtinId="9" hidden="1"/>
    <cellStyle name="Followed Hyperlink" xfId="21102" builtinId="9" hidden="1"/>
    <cellStyle name="Followed Hyperlink" xfId="21103" builtinId="9" hidden="1"/>
    <cellStyle name="Followed Hyperlink" xfId="21104" builtinId="9" hidden="1"/>
    <cellStyle name="Followed Hyperlink" xfId="21105" builtinId="9" hidden="1"/>
    <cellStyle name="Followed Hyperlink" xfId="21106" builtinId="9" hidden="1"/>
    <cellStyle name="Followed Hyperlink" xfId="21107" builtinId="9" hidden="1"/>
    <cellStyle name="Followed Hyperlink" xfId="21108" builtinId="9" hidden="1"/>
    <cellStyle name="Followed Hyperlink" xfId="21109" builtinId="9" hidden="1"/>
    <cellStyle name="Followed Hyperlink" xfId="21110" builtinId="9" hidden="1"/>
    <cellStyle name="Followed Hyperlink" xfId="21111" builtinId="9" hidden="1"/>
    <cellStyle name="Followed Hyperlink" xfId="21112" builtinId="9" hidden="1"/>
    <cellStyle name="Followed Hyperlink" xfId="21113" builtinId="9" hidden="1"/>
    <cellStyle name="Followed Hyperlink" xfId="21114" builtinId="9" hidden="1"/>
    <cellStyle name="Followed Hyperlink" xfId="21115" builtinId="9" hidden="1"/>
    <cellStyle name="Followed Hyperlink" xfId="21116" builtinId="9" hidden="1"/>
    <cellStyle name="Followed Hyperlink" xfId="21117" builtinId="9" hidden="1"/>
    <cellStyle name="Followed Hyperlink" xfId="21118" builtinId="9" hidden="1"/>
    <cellStyle name="Followed Hyperlink" xfId="20127" builtinId="9" hidden="1"/>
    <cellStyle name="Followed Hyperlink" xfId="20133" builtinId="9" hidden="1"/>
    <cellStyle name="Followed Hyperlink" xfId="21119" builtinId="9" hidden="1"/>
    <cellStyle name="Followed Hyperlink" xfId="21120" builtinId="9" hidden="1"/>
    <cellStyle name="Followed Hyperlink" xfId="21121" builtinId="9" hidden="1"/>
    <cellStyle name="Followed Hyperlink" xfId="21122" builtinId="9" hidden="1"/>
    <cellStyle name="Followed Hyperlink" xfId="21123" builtinId="9" hidden="1"/>
    <cellStyle name="Followed Hyperlink" xfId="21124" builtinId="9" hidden="1"/>
    <cellStyle name="Followed Hyperlink" xfId="21125" builtinId="9" hidden="1"/>
    <cellStyle name="Followed Hyperlink" xfId="21126" builtinId="9" hidden="1"/>
    <cellStyle name="Followed Hyperlink" xfId="21127" builtinId="9" hidden="1"/>
    <cellStyle name="Followed Hyperlink" xfId="21128" builtinId="9" hidden="1"/>
    <cellStyle name="Followed Hyperlink" xfId="21129" builtinId="9" hidden="1"/>
    <cellStyle name="Followed Hyperlink" xfId="21130" builtinId="9" hidden="1"/>
    <cellStyle name="Followed Hyperlink" xfId="21131" builtinId="9" hidden="1"/>
    <cellStyle name="Followed Hyperlink" xfId="21132" builtinId="9" hidden="1"/>
    <cellStyle name="Followed Hyperlink" xfId="21133" builtinId="9" hidden="1"/>
    <cellStyle name="Followed Hyperlink" xfId="21134" builtinId="9" hidden="1"/>
    <cellStyle name="Followed Hyperlink" xfId="21135" builtinId="9" hidden="1"/>
    <cellStyle name="Followed Hyperlink" xfId="21136" builtinId="9" hidden="1"/>
    <cellStyle name="Followed Hyperlink" xfId="21137" builtinId="9" hidden="1"/>
    <cellStyle name="Followed Hyperlink" xfId="21138" builtinId="9" hidden="1"/>
    <cellStyle name="Followed Hyperlink" xfId="21139" builtinId="9" hidden="1"/>
    <cellStyle name="Followed Hyperlink" xfId="21140" builtinId="9" hidden="1"/>
    <cellStyle name="Followed Hyperlink" xfId="21141" builtinId="9" hidden="1"/>
    <cellStyle name="Followed Hyperlink" xfId="21142" builtinId="9" hidden="1"/>
    <cellStyle name="Followed Hyperlink" xfId="21143" builtinId="9" hidden="1"/>
    <cellStyle name="Followed Hyperlink" xfId="21144" builtinId="9" hidden="1"/>
    <cellStyle name="Followed Hyperlink" xfId="21145" builtinId="9" hidden="1"/>
    <cellStyle name="Followed Hyperlink" xfId="21146" builtinId="9" hidden="1"/>
    <cellStyle name="Followed Hyperlink" xfId="21147" builtinId="9" hidden="1"/>
    <cellStyle name="Followed Hyperlink" xfId="21148" builtinId="9" hidden="1"/>
    <cellStyle name="Followed Hyperlink" xfId="21149" builtinId="9" hidden="1"/>
    <cellStyle name="Followed Hyperlink" xfId="21150" builtinId="9" hidden="1"/>
    <cellStyle name="Followed Hyperlink" xfId="21151" builtinId="9" hidden="1"/>
    <cellStyle name="Followed Hyperlink" xfId="21152" builtinId="9" hidden="1"/>
    <cellStyle name="Followed Hyperlink" xfId="21153" builtinId="9" hidden="1"/>
    <cellStyle name="Followed Hyperlink" xfId="21154" builtinId="9" hidden="1"/>
    <cellStyle name="Followed Hyperlink" xfId="21155" builtinId="9" hidden="1"/>
    <cellStyle name="Followed Hyperlink" xfId="21156" builtinId="9" hidden="1"/>
    <cellStyle name="Followed Hyperlink" xfId="21157" builtinId="9" hidden="1"/>
    <cellStyle name="Followed Hyperlink" xfId="21166" builtinId="9" hidden="1"/>
    <cellStyle name="Followed Hyperlink" xfId="21167" builtinId="9" hidden="1"/>
    <cellStyle name="Followed Hyperlink" xfId="21168" builtinId="9" hidden="1"/>
    <cellStyle name="Followed Hyperlink" xfId="21169" builtinId="9" hidden="1"/>
    <cellStyle name="Followed Hyperlink" xfId="21170" builtinId="9" hidden="1"/>
    <cellStyle name="Followed Hyperlink" xfId="21171" builtinId="9" hidden="1"/>
    <cellStyle name="Followed Hyperlink" xfId="21172" builtinId="9" hidden="1"/>
    <cellStyle name="Followed Hyperlink" xfId="21173" builtinId="9" hidden="1"/>
    <cellStyle name="Followed Hyperlink" xfId="21174" builtinId="9" hidden="1"/>
    <cellStyle name="Followed Hyperlink" xfId="21175" builtinId="9" hidden="1"/>
    <cellStyle name="Followed Hyperlink" xfId="21176" builtinId="9" hidden="1"/>
    <cellStyle name="Followed Hyperlink" xfId="21177" builtinId="9" hidden="1"/>
    <cellStyle name="Followed Hyperlink" xfId="21178" builtinId="9" hidden="1"/>
    <cellStyle name="Followed Hyperlink" xfId="21179" builtinId="9" hidden="1"/>
    <cellStyle name="Followed Hyperlink" xfId="21180" builtinId="9" hidden="1"/>
    <cellStyle name="Followed Hyperlink" xfId="21181" builtinId="9" hidden="1"/>
    <cellStyle name="Followed Hyperlink" xfId="21182" builtinId="9" hidden="1"/>
    <cellStyle name="Followed Hyperlink" xfId="21183" builtinId="9" hidden="1"/>
    <cellStyle name="Followed Hyperlink" xfId="21184" builtinId="9" hidden="1"/>
    <cellStyle name="Followed Hyperlink" xfId="21185" builtinId="9" hidden="1"/>
    <cellStyle name="Followed Hyperlink" xfId="21186" builtinId="9" hidden="1"/>
    <cellStyle name="Followed Hyperlink" xfId="21187" builtinId="9" hidden="1"/>
    <cellStyle name="Followed Hyperlink" xfId="21188" builtinId="9" hidden="1"/>
    <cellStyle name="Followed Hyperlink" xfId="21189" builtinId="9" hidden="1"/>
    <cellStyle name="Followed Hyperlink" xfId="21190" builtinId="9" hidden="1"/>
    <cellStyle name="Followed Hyperlink" xfId="21191" builtinId="9" hidden="1"/>
    <cellStyle name="Followed Hyperlink" xfId="21192" builtinId="9" hidden="1"/>
    <cellStyle name="Followed Hyperlink" xfId="21193" builtinId="9" hidden="1"/>
    <cellStyle name="Followed Hyperlink" xfId="21194" builtinId="9" hidden="1"/>
    <cellStyle name="Followed Hyperlink" xfId="21195" builtinId="9" hidden="1"/>
    <cellStyle name="Followed Hyperlink" xfId="21196" builtinId="9" hidden="1"/>
    <cellStyle name="Followed Hyperlink" xfId="21197" builtinId="9" hidden="1"/>
    <cellStyle name="Followed Hyperlink" xfId="21198" builtinId="9" hidden="1"/>
    <cellStyle name="Followed Hyperlink" xfId="21199" builtinId="9" hidden="1"/>
    <cellStyle name="Followed Hyperlink" xfId="21200" builtinId="9" hidden="1"/>
    <cellStyle name="Followed Hyperlink" xfId="21201" builtinId="9" hidden="1"/>
    <cellStyle name="Followed Hyperlink" xfId="21202" builtinId="9" hidden="1"/>
    <cellStyle name="Followed Hyperlink" xfId="21203" builtinId="9" hidden="1"/>
    <cellStyle name="Followed Hyperlink" xfId="21204" builtinId="9" hidden="1"/>
    <cellStyle name="Followed Hyperlink" xfId="21205" builtinId="9" hidden="1"/>
    <cellStyle name="Followed Hyperlink" xfId="21206" builtinId="9" hidden="1"/>
    <cellStyle name="Followed Hyperlink" xfId="21207" builtinId="9" hidden="1"/>
    <cellStyle name="Followed Hyperlink" xfId="21208" builtinId="9" hidden="1"/>
    <cellStyle name="Followed Hyperlink" xfId="21209" builtinId="9" hidden="1"/>
    <cellStyle name="Followed Hyperlink" xfId="21210" builtinId="9" hidden="1"/>
    <cellStyle name="Followed Hyperlink" xfId="21211" builtinId="9" hidden="1"/>
    <cellStyle name="Followed Hyperlink" xfId="21212" builtinId="9" hidden="1"/>
    <cellStyle name="Followed Hyperlink" xfId="21213" builtinId="9" hidden="1"/>
    <cellStyle name="Followed Hyperlink" xfId="21214" builtinId="9" hidden="1"/>
    <cellStyle name="Followed Hyperlink" xfId="21215" builtinId="9" hidden="1"/>
    <cellStyle name="Followed Hyperlink" xfId="21216" builtinId="9" hidden="1"/>
    <cellStyle name="Followed Hyperlink" xfId="21217" builtinId="9" hidden="1"/>
    <cellStyle name="Followed Hyperlink" xfId="21218" builtinId="9" hidden="1"/>
    <cellStyle name="Followed Hyperlink" xfId="21219" builtinId="9" hidden="1"/>
    <cellStyle name="Followed Hyperlink" xfId="21220" builtinId="9" hidden="1"/>
    <cellStyle name="Followed Hyperlink" xfId="21221" builtinId="9" hidden="1"/>
    <cellStyle name="Followed Hyperlink" xfId="21222" builtinId="9" hidden="1"/>
    <cellStyle name="Followed Hyperlink" xfId="21223" builtinId="9" hidden="1"/>
    <cellStyle name="Followed Hyperlink" xfId="21224" builtinId="9" hidden="1"/>
    <cellStyle name="Followed Hyperlink" xfId="21225" builtinId="9" hidden="1"/>
    <cellStyle name="Followed Hyperlink" xfId="21226" builtinId="9" hidden="1"/>
    <cellStyle name="Followed Hyperlink" xfId="21227" builtinId="9" hidden="1"/>
    <cellStyle name="Followed Hyperlink" xfId="21228" builtinId="9" hidden="1"/>
    <cellStyle name="Followed Hyperlink" xfId="21229" builtinId="9" hidden="1"/>
    <cellStyle name="Followed Hyperlink" xfId="21230" builtinId="9" hidden="1"/>
    <cellStyle name="Followed Hyperlink" xfId="21231" builtinId="9" hidden="1"/>
    <cellStyle name="Followed Hyperlink" xfId="21232" builtinId="9" hidden="1"/>
    <cellStyle name="Followed Hyperlink" xfId="21233" builtinId="9" hidden="1"/>
    <cellStyle name="Followed Hyperlink" xfId="21234" builtinId="9" hidden="1"/>
    <cellStyle name="Followed Hyperlink" xfId="21235" builtinId="9" hidden="1"/>
    <cellStyle name="Followed Hyperlink" xfId="21236" builtinId="9" hidden="1"/>
    <cellStyle name="Followed Hyperlink" xfId="21237" builtinId="9" hidden="1"/>
    <cellStyle name="Followed Hyperlink" xfId="21238" builtinId="9" hidden="1"/>
    <cellStyle name="Followed Hyperlink" xfId="21239" builtinId="9" hidden="1"/>
    <cellStyle name="Followed Hyperlink" xfId="21240" builtinId="9" hidden="1"/>
    <cellStyle name="Followed Hyperlink" xfId="21241" builtinId="9" hidden="1"/>
    <cellStyle name="Followed Hyperlink" xfId="21242" builtinId="9" hidden="1"/>
    <cellStyle name="Followed Hyperlink" xfId="21243" builtinId="9" hidden="1"/>
    <cellStyle name="Followed Hyperlink" xfId="21244" builtinId="9" hidden="1"/>
    <cellStyle name="Followed Hyperlink" xfId="21245" builtinId="9" hidden="1"/>
    <cellStyle name="Followed Hyperlink" xfId="21246" builtinId="9" hidden="1"/>
    <cellStyle name="Followed Hyperlink" xfId="21247" builtinId="9" hidden="1"/>
    <cellStyle name="Followed Hyperlink" xfId="21248" builtinId="9" hidden="1"/>
    <cellStyle name="Followed Hyperlink" xfId="21249" builtinId="9" hidden="1"/>
    <cellStyle name="Followed Hyperlink" xfId="21250" builtinId="9" hidden="1"/>
    <cellStyle name="Followed Hyperlink" xfId="21251" builtinId="9" hidden="1"/>
    <cellStyle name="Followed Hyperlink" xfId="21252" builtinId="9" hidden="1"/>
    <cellStyle name="Followed Hyperlink" xfId="21253" builtinId="9" hidden="1"/>
    <cellStyle name="Followed Hyperlink" xfId="21254" builtinId="9" hidden="1"/>
    <cellStyle name="Followed Hyperlink" xfId="21255" builtinId="9" hidden="1"/>
    <cellStyle name="Followed Hyperlink" xfId="21256" builtinId="9" hidden="1"/>
    <cellStyle name="Followed Hyperlink" xfId="21257" builtinId="9" hidden="1"/>
    <cellStyle name="Followed Hyperlink" xfId="21258" builtinId="9" hidden="1"/>
    <cellStyle name="Followed Hyperlink" xfId="21259" builtinId="9" hidden="1"/>
    <cellStyle name="Followed Hyperlink" xfId="21260" builtinId="9" hidden="1"/>
    <cellStyle name="Followed Hyperlink" xfId="21261" builtinId="9" hidden="1"/>
    <cellStyle name="Followed Hyperlink" xfId="21262" builtinId="9" hidden="1"/>
    <cellStyle name="Followed Hyperlink" xfId="21263" builtinId="9" hidden="1"/>
    <cellStyle name="Followed Hyperlink" xfId="21264" builtinId="9" hidden="1"/>
    <cellStyle name="Followed Hyperlink" xfId="21265" builtinId="9" hidden="1"/>
    <cellStyle name="Followed Hyperlink" xfId="21266" builtinId="9" hidden="1"/>
    <cellStyle name="Followed Hyperlink" xfId="21267" builtinId="9" hidden="1"/>
    <cellStyle name="Followed Hyperlink" xfId="21268" builtinId="9" hidden="1"/>
    <cellStyle name="Followed Hyperlink" xfId="21269" builtinId="9" hidden="1"/>
    <cellStyle name="Followed Hyperlink" xfId="21270" builtinId="9" hidden="1"/>
    <cellStyle name="Followed Hyperlink" xfId="21271" builtinId="9" hidden="1"/>
    <cellStyle name="Followed Hyperlink" xfId="21272" builtinId="9" hidden="1"/>
    <cellStyle name="Followed Hyperlink" xfId="21273" builtinId="9" hidden="1"/>
    <cellStyle name="Followed Hyperlink" xfId="21274" builtinId="9" hidden="1"/>
    <cellStyle name="Followed Hyperlink" xfId="21275" builtinId="9" hidden="1"/>
    <cellStyle name="Followed Hyperlink" xfId="21276" builtinId="9" hidden="1"/>
    <cellStyle name="Followed Hyperlink" xfId="21277" builtinId="9" hidden="1"/>
    <cellStyle name="Followed Hyperlink" xfId="21278" builtinId="9" hidden="1"/>
    <cellStyle name="Followed Hyperlink" xfId="21279" builtinId="9" hidden="1"/>
    <cellStyle name="Followed Hyperlink" xfId="21280" builtinId="9" hidden="1"/>
    <cellStyle name="Followed Hyperlink" xfId="21281" builtinId="9" hidden="1"/>
    <cellStyle name="Followed Hyperlink" xfId="21282" builtinId="9" hidden="1"/>
    <cellStyle name="Followed Hyperlink" xfId="21283" builtinId="9" hidden="1"/>
    <cellStyle name="Followed Hyperlink" xfId="21284" builtinId="9" hidden="1"/>
    <cellStyle name="Followed Hyperlink" xfId="21285" builtinId="9" hidden="1"/>
    <cellStyle name="Followed Hyperlink" xfId="21286" builtinId="9" hidden="1"/>
    <cellStyle name="Followed Hyperlink" xfId="21287" builtinId="9" hidden="1"/>
    <cellStyle name="Followed Hyperlink" xfId="21288" builtinId="9" hidden="1"/>
    <cellStyle name="Followed Hyperlink" xfId="21158" builtinId="9" hidden="1"/>
    <cellStyle name="Followed Hyperlink" xfId="20131" builtinId="9" hidden="1"/>
    <cellStyle name="Followed Hyperlink" xfId="21290" builtinId="9" hidden="1"/>
    <cellStyle name="Followed Hyperlink" xfId="21291" builtinId="9" hidden="1"/>
    <cellStyle name="Followed Hyperlink" xfId="21292" builtinId="9" hidden="1"/>
    <cellStyle name="Followed Hyperlink" xfId="21293" builtinId="9" hidden="1"/>
    <cellStyle name="Followed Hyperlink" xfId="21294" builtinId="9" hidden="1"/>
    <cellStyle name="Followed Hyperlink" xfId="21295" builtinId="9" hidden="1"/>
    <cellStyle name="Followed Hyperlink" xfId="21296" builtinId="9" hidden="1"/>
    <cellStyle name="Followed Hyperlink" xfId="21297" builtinId="9" hidden="1"/>
    <cellStyle name="Followed Hyperlink" xfId="21298" builtinId="9" hidden="1"/>
    <cellStyle name="Followed Hyperlink" xfId="21299" builtinId="9" hidden="1"/>
    <cellStyle name="Followed Hyperlink" xfId="21300" builtinId="9" hidden="1"/>
    <cellStyle name="Followed Hyperlink" xfId="21301" builtinId="9" hidden="1"/>
    <cellStyle name="Followed Hyperlink" xfId="21302" builtinId="9" hidden="1"/>
    <cellStyle name="Followed Hyperlink" xfId="21303" builtinId="9" hidden="1"/>
    <cellStyle name="Followed Hyperlink" xfId="21304" builtinId="9" hidden="1"/>
    <cellStyle name="Followed Hyperlink" xfId="21305" builtinId="9" hidden="1"/>
    <cellStyle name="Followed Hyperlink" xfId="21306" builtinId="9" hidden="1"/>
    <cellStyle name="Followed Hyperlink" xfId="21307" builtinId="9" hidden="1"/>
    <cellStyle name="Followed Hyperlink" xfId="21308" builtinId="9" hidden="1"/>
    <cellStyle name="Followed Hyperlink" xfId="21309" builtinId="9" hidden="1"/>
    <cellStyle name="Followed Hyperlink" xfId="21310" builtinId="9" hidden="1"/>
    <cellStyle name="Followed Hyperlink" xfId="21311" builtinId="9" hidden="1"/>
    <cellStyle name="Followed Hyperlink" xfId="21312" builtinId="9" hidden="1"/>
    <cellStyle name="Followed Hyperlink" xfId="21313" builtinId="9" hidden="1"/>
    <cellStyle name="Followed Hyperlink" xfId="21314" builtinId="9" hidden="1"/>
    <cellStyle name="Followed Hyperlink" xfId="21315" builtinId="9" hidden="1"/>
    <cellStyle name="Followed Hyperlink" xfId="21316" builtinId="9" hidden="1"/>
    <cellStyle name="Followed Hyperlink" xfId="21317" builtinId="9" hidden="1"/>
    <cellStyle name="Followed Hyperlink" xfId="21318" builtinId="9" hidden="1"/>
    <cellStyle name="Followed Hyperlink" xfId="21319" builtinId="9" hidden="1"/>
    <cellStyle name="Followed Hyperlink" xfId="21320" builtinId="9" hidden="1"/>
    <cellStyle name="Followed Hyperlink" xfId="21321" builtinId="9" hidden="1"/>
    <cellStyle name="Followed Hyperlink" xfId="21322" builtinId="9" hidden="1"/>
    <cellStyle name="Followed Hyperlink" xfId="21323" builtinId="9" hidden="1"/>
    <cellStyle name="Followed Hyperlink" xfId="21324" builtinId="9" hidden="1"/>
    <cellStyle name="Followed Hyperlink" xfId="21325" builtinId="9" hidden="1"/>
    <cellStyle name="Followed Hyperlink" xfId="21326" builtinId="9" hidden="1"/>
    <cellStyle name="Followed Hyperlink" xfId="21327" builtinId="9" hidden="1"/>
    <cellStyle name="Followed Hyperlink" xfId="21328" builtinId="9" hidden="1"/>
    <cellStyle name="Followed Hyperlink" xfId="21163" builtinId="9" hidden="1"/>
    <cellStyle name="Followed Hyperlink" xfId="21289" builtinId="9" hidden="1"/>
    <cellStyle name="Followed Hyperlink" xfId="21330" builtinId="9" hidden="1"/>
    <cellStyle name="Followed Hyperlink" xfId="21331" builtinId="9" hidden="1"/>
    <cellStyle name="Followed Hyperlink" xfId="21332" builtinId="9" hidden="1"/>
    <cellStyle name="Followed Hyperlink" xfId="21333" builtinId="9" hidden="1"/>
    <cellStyle name="Followed Hyperlink" xfId="21334" builtinId="9" hidden="1"/>
    <cellStyle name="Followed Hyperlink" xfId="21335" builtinId="9" hidden="1"/>
    <cellStyle name="Followed Hyperlink" xfId="21336" builtinId="9" hidden="1"/>
    <cellStyle name="Followed Hyperlink" xfId="21337" builtinId="9" hidden="1"/>
    <cellStyle name="Followed Hyperlink" xfId="21338" builtinId="9" hidden="1"/>
    <cellStyle name="Followed Hyperlink" xfId="21339" builtinId="9" hidden="1"/>
    <cellStyle name="Followed Hyperlink" xfId="21340" builtinId="9" hidden="1"/>
    <cellStyle name="Followed Hyperlink" xfId="21341" builtinId="9" hidden="1"/>
    <cellStyle name="Followed Hyperlink" xfId="21342" builtinId="9" hidden="1"/>
    <cellStyle name="Followed Hyperlink" xfId="21343" builtinId="9" hidden="1"/>
    <cellStyle name="Followed Hyperlink" xfId="21344" builtinId="9" hidden="1"/>
    <cellStyle name="Followed Hyperlink" xfId="21345" builtinId="9" hidden="1"/>
    <cellStyle name="Followed Hyperlink" xfId="21346" builtinId="9" hidden="1"/>
    <cellStyle name="Followed Hyperlink" xfId="21347" builtinId="9" hidden="1"/>
    <cellStyle name="Followed Hyperlink" xfId="21348" builtinId="9" hidden="1"/>
    <cellStyle name="Followed Hyperlink" xfId="21349" builtinId="9" hidden="1"/>
    <cellStyle name="Followed Hyperlink" xfId="21350" builtinId="9" hidden="1"/>
    <cellStyle name="Followed Hyperlink" xfId="21351" builtinId="9" hidden="1"/>
    <cellStyle name="Followed Hyperlink" xfId="21352" builtinId="9" hidden="1"/>
    <cellStyle name="Followed Hyperlink" xfId="21353" builtinId="9" hidden="1"/>
    <cellStyle name="Followed Hyperlink" xfId="21354" builtinId="9" hidden="1"/>
    <cellStyle name="Followed Hyperlink" xfId="21355" builtinId="9" hidden="1"/>
    <cellStyle name="Followed Hyperlink" xfId="21356" builtinId="9" hidden="1"/>
    <cellStyle name="Followed Hyperlink" xfId="21357" builtinId="9" hidden="1"/>
    <cellStyle name="Followed Hyperlink" xfId="21358" builtinId="9" hidden="1"/>
    <cellStyle name="Followed Hyperlink" xfId="21359" builtinId="9" hidden="1"/>
    <cellStyle name="Followed Hyperlink" xfId="21360" builtinId="9" hidden="1"/>
    <cellStyle name="Followed Hyperlink" xfId="21361" builtinId="9" hidden="1"/>
    <cellStyle name="Followed Hyperlink" xfId="21362" builtinId="9" hidden="1"/>
    <cellStyle name="Followed Hyperlink" xfId="21363" builtinId="9" hidden="1"/>
    <cellStyle name="Followed Hyperlink" xfId="21364" builtinId="9" hidden="1"/>
    <cellStyle name="Followed Hyperlink" xfId="21365" builtinId="9" hidden="1"/>
    <cellStyle name="Followed Hyperlink" xfId="21366" builtinId="9" hidden="1"/>
    <cellStyle name="Followed Hyperlink" xfId="21367" builtinId="9" hidden="1"/>
    <cellStyle name="Followed Hyperlink" xfId="21368" builtinId="9" hidden="1"/>
    <cellStyle name="Followed Hyperlink" xfId="21165" builtinId="9" hidden="1"/>
    <cellStyle name="Followed Hyperlink" xfId="21329" builtinId="9" hidden="1"/>
    <cellStyle name="Followed Hyperlink" xfId="21370" builtinId="9" hidden="1"/>
    <cellStyle name="Followed Hyperlink" xfId="21371" builtinId="9" hidden="1"/>
    <cellStyle name="Followed Hyperlink" xfId="21372" builtinId="9" hidden="1"/>
    <cellStyle name="Followed Hyperlink" xfId="21373" builtinId="9" hidden="1"/>
    <cellStyle name="Followed Hyperlink" xfId="21374" builtinId="9" hidden="1"/>
    <cellStyle name="Followed Hyperlink" xfId="21375" builtinId="9" hidden="1"/>
    <cellStyle name="Followed Hyperlink" xfId="21376" builtinId="9" hidden="1"/>
    <cellStyle name="Followed Hyperlink" xfId="21377" builtinId="9" hidden="1"/>
    <cellStyle name="Followed Hyperlink" xfId="21378" builtinId="9" hidden="1"/>
    <cellStyle name="Followed Hyperlink" xfId="21379" builtinId="9" hidden="1"/>
    <cellStyle name="Followed Hyperlink" xfId="21380" builtinId="9" hidden="1"/>
    <cellStyle name="Followed Hyperlink" xfId="21381" builtinId="9" hidden="1"/>
    <cellStyle name="Followed Hyperlink" xfId="21382" builtinId="9" hidden="1"/>
    <cellStyle name="Followed Hyperlink" xfId="21383" builtinId="9" hidden="1"/>
    <cellStyle name="Followed Hyperlink" xfId="21384" builtinId="9" hidden="1"/>
    <cellStyle name="Followed Hyperlink" xfId="21385" builtinId="9" hidden="1"/>
    <cellStyle name="Followed Hyperlink" xfId="21386" builtinId="9" hidden="1"/>
    <cellStyle name="Followed Hyperlink" xfId="21387" builtinId="9" hidden="1"/>
    <cellStyle name="Followed Hyperlink" xfId="21388" builtinId="9" hidden="1"/>
    <cellStyle name="Followed Hyperlink" xfId="21389" builtinId="9" hidden="1"/>
    <cellStyle name="Followed Hyperlink" xfId="21390" builtinId="9" hidden="1"/>
    <cellStyle name="Followed Hyperlink" xfId="21391" builtinId="9" hidden="1"/>
    <cellStyle name="Followed Hyperlink" xfId="21392" builtinId="9" hidden="1"/>
    <cellStyle name="Followed Hyperlink" xfId="21393" builtinId="9" hidden="1"/>
    <cellStyle name="Followed Hyperlink" xfId="21394" builtinId="9" hidden="1"/>
    <cellStyle name="Followed Hyperlink" xfId="21395" builtinId="9" hidden="1"/>
    <cellStyle name="Followed Hyperlink" xfId="21396" builtinId="9" hidden="1"/>
    <cellStyle name="Followed Hyperlink" xfId="21397" builtinId="9" hidden="1"/>
    <cellStyle name="Followed Hyperlink" xfId="21398" builtinId="9" hidden="1"/>
    <cellStyle name="Followed Hyperlink" xfId="21399" builtinId="9" hidden="1"/>
    <cellStyle name="Followed Hyperlink" xfId="21400" builtinId="9" hidden="1"/>
    <cellStyle name="Followed Hyperlink" xfId="21401" builtinId="9" hidden="1"/>
    <cellStyle name="Followed Hyperlink" xfId="21402" builtinId="9" hidden="1"/>
    <cellStyle name="Followed Hyperlink" xfId="21403" builtinId="9" hidden="1"/>
    <cellStyle name="Followed Hyperlink" xfId="21404" builtinId="9" hidden="1"/>
    <cellStyle name="Followed Hyperlink" xfId="21405" builtinId="9" hidden="1"/>
    <cellStyle name="Followed Hyperlink" xfId="21406" builtinId="9" hidden="1"/>
    <cellStyle name="Followed Hyperlink" xfId="21407" builtinId="9" hidden="1"/>
    <cellStyle name="Followed Hyperlink" xfId="21408" builtinId="9" hidden="1"/>
    <cellStyle name="Followed Hyperlink" xfId="21159" builtinId="9" hidden="1"/>
    <cellStyle name="Followed Hyperlink" xfId="21369" builtinId="9" hidden="1"/>
    <cellStyle name="Followed Hyperlink" xfId="21410" builtinId="9" hidden="1"/>
    <cellStyle name="Followed Hyperlink" xfId="21411" builtinId="9" hidden="1"/>
    <cellStyle name="Followed Hyperlink" xfId="21412" builtinId="9" hidden="1"/>
    <cellStyle name="Followed Hyperlink" xfId="21413" builtinId="9" hidden="1"/>
    <cellStyle name="Followed Hyperlink" xfId="21414" builtinId="9" hidden="1"/>
    <cellStyle name="Followed Hyperlink" xfId="21415" builtinId="9" hidden="1"/>
    <cellStyle name="Followed Hyperlink" xfId="21416" builtinId="9" hidden="1"/>
    <cellStyle name="Followed Hyperlink" xfId="21417" builtinId="9" hidden="1"/>
    <cellStyle name="Followed Hyperlink" xfId="21418" builtinId="9" hidden="1"/>
    <cellStyle name="Followed Hyperlink" xfId="21419" builtinId="9" hidden="1"/>
    <cellStyle name="Followed Hyperlink" xfId="21420" builtinId="9" hidden="1"/>
    <cellStyle name="Followed Hyperlink" xfId="21421" builtinId="9" hidden="1"/>
    <cellStyle name="Followed Hyperlink" xfId="21422" builtinId="9" hidden="1"/>
    <cellStyle name="Followed Hyperlink" xfId="21423" builtinId="9" hidden="1"/>
    <cellStyle name="Followed Hyperlink" xfId="21424" builtinId="9" hidden="1"/>
    <cellStyle name="Followed Hyperlink" xfId="21425" builtinId="9" hidden="1"/>
    <cellStyle name="Followed Hyperlink" xfId="21426" builtinId="9" hidden="1"/>
    <cellStyle name="Followed Hyperlink" xfId="21427" builtinId="9" hidden="1"/>
    <cellStyle name="Followed Hyperlink" xfId="21428" builtinId="9" hidden="1"/>
    <cellStyle name="Followed Hyperlink" xfId="21429" builtinId="9" hidden="1"/>
    <cellStyle name="Followed Hyperlink" xfId="21430" builtinId="9" hidden="1"/>
    <cellStyle name="Followed Hyperlink" xfId="21431" builtinId="9" hidden="1"/>
    <cellStyle name="Followed Hyperlink" xfId="21432" builtinId="9" hidden="1"/>
    <cellStyle name="Followed Hyperlink" xfId="21433" builtinId="9" hidden="1"/>
    <cellStyle name="Followed Hyperlink" xfId="21434" builtinId="9" hidden="1"/>
    <cellStyle name="Followed Hyperlink" xfId="21435" builtinId="9" hidden="1"/>
    <cellStyle name="Followed Hyperlink" xfId="21436" builtinId="9" hidden="1"/>
    <cellStyle name="Followed Hyperlink" xfId="21437" builtinId="9" hidden="1"/>
    <cellStyle name="Followed Hyperlink" xfId="21438" builtinId="9" hidden="1"/>
    <cellStyle name="Followed Hyperlink" xfId="21439" builtinId="9" hidden="1"/>
    <cellStyle name="Followed Hyperlink" xfId="21440" builtinId="9" hidden="1"/>
    <cellStyle name="Followed Hyperlink" xfId="21441" builtinId="9" hidden="1"/>
    <cellStyle name="Followed Hyperlink" xfId="21442" builtinId="9" hidden="1"/>
    <cellStyle name="Followed Hyperlink" xfId="21443" builtinId="9" hidden="1"/>
    <cellStyle name="Followed Hyperlink" xfId="21444" builtinId="9" hidden="1"/>
    <cellStyle name="Followed Hyperlink" xfId="21445" builtinId="9" hidden="1"/>
    <cellStyle name="Followed Hyperlink" xfId="21446" builtinId="9" hidden="1"/>
    <cellStyle name="Followed Hyperlink" xfId="21447" builtinId="9" hidden="1"/>
    <cellStyle name="Followed Hyperlink" xfId="21448" builtinId="9" hidden="1"/>
    <cellStyle name="Followed Hyperlink" xfId="21161" builtinId="9" hidden="1"/>
    <cellStyle name="Followed Hyperlink" xfId="21409" builtinId="9" hidden="1"/>
    <cellStyle name="Followed Hyperlink" xfId="21450" builtinId="9" hidden="1"/>
    <cellStyle name="Followed Hyperlink" xfId="21451" builtinId="9" hidden="1"/>
    <cellStyle name="Followed Hyperlink" xfId="21452" builtinId="9" hidden="1"/>
    <cellStyle name="Followed Hyperlink" xfId="21453" builtinId="9" hidden="1"/>
    <cellStyle name="Followed Hyperlink" xfId="21454" builtinId="9" hidden="1"/>
    <cellStyle name="Followed Hyperlink" xfId="21455" builtinId="9" hidden="1"/>
    <cellStyle name="Followed Hyperlink" xfId="21456" builtinId="9" hidden="1"/>
    <cellStyle name="Followed Hyperlink" xfId="21457" builtinId="9" hidden="1"/>
    <cellStyle name="Followed Hyperlink" xfId="21458" builtinId="9" hidden="1"/>
    <cellStyle name="Followed Hyperlink" xfId="21459" builtinId="9" hidden="1"/>
    <cellStyle name="Followed Hyperlink" xfId="21460" builtinId="9" hidden="1"/>
    <cellStyle name="Followed Hyperlink" xfId="21461" builtinId="9" hidden="1"/>
    <cellStyle name="Followed Hyperlink" xfId="21462" builtinId="9" hidden="1"/>
    <cellStyle name="Followed Hyperlink" xfId="21463" builtinId="9" hidden="1"/>
    <cellStyle name="Followed Hyperlink" xfId="21464" builtinId="9" hidden="1"/>
    <cellStyle name="Followed Hyperlink" xfId="21465" builtinId="9" hidden="1"/>
    <cellStyle name="Followed Hyperlink" xfId="21466" builtinId="9" hidden="1"/>
    <cellStyle name="Followed Hyperlink" xfId="21467" builtinId="9" hidden="1"/>
    <cellStyle name="Followed Hyperlink" xfId="21468" builtinId="9" hidden="1"/>
    <cellStyle name="Followed Hyperlink" xfId="21469" builtinId="9" hidden="1"/>
    <cellStyle name="Followed Hyperlink" xfId="21470" builtinId="9" hidden="1"/>
    <cellStyle name="Followed Hyperlink" xfId="21471" builtinId="9" hidden="1"/>
    <cellStyle name="Followed Hyperlink" xfId="21472" builtinId="9" hidden="1"/>
    <cellStyle name="Followed Hyperlink" xfId="21473" builtinId="9" hidden="1"/>
    <cellStyle name="Followed Hyperlink" xfId="21474" builtinId="9" hidden="1"/>
    <cellStyle name="Followed Hyperlink" xfId="21475" builtinId="9" hidden="1"/>
    <cellStyle name="Followed Hyperlink" xfId="21476" builtinId="9" hidden="1"/>
    <cellStyle name="Followed Hyperlink" xfId="21477" builtinId="9" hidden="1"/>
    <cellStyle name="Followed Hyperlink" xfId="21478" builtinId="9" hidden="1"/>
    <cellStyle name="Followed Hyperlink" xfId="21479" builtinId="9" hidden="1"/>
    <cellStyle name="Followed Hyperlink" xfId="21480" builtinId="9" hidden="1"/>
    <cellStyle name="Followed Hyperlink" xfId="21481" builtinId="9" hidden="1"/>
    <cellStyle name="Followed Hyperlink" xfId="21482" builtinId="9" hidden="1"/>
    <cellStyle name="Followed Hyperlink" xfId="21483" builtinId="9" hidden="1"/>
    <cellStyle name="Followed Hyperlink" xfId="21484" builtinId="9" hidden="1"/>
    <cellStyle name="Followed Hyperlink" xfId="21485" builtinId="9" hidden="1"/>
    <cellStyle name="Followed Hyperlink" xfId="21486" builtinId="9" hidden="1"/>
    <cellStyle name="Followed Hyperlink" xfId="21487" builtinId="9" hidden="1"/>
    <cellStyle name="Followed Hyperlink" xfId="21488" builtinId="9" hidden="1"/>
    <cellStyle name="Followed Hyperlink" xfId="21162" builtinId="9" hidden="1"/>
    <cellStyle name="Followed Hyperlink" xfId="21449" builtinId="9" hidden="1"/>
    <cellStyle name="Followed Hyperlink" xfId="21490" builtinId="9" hidden="1"/>
    <cellStyle name="Followed Hyperlink" xfId="21491" builtinId="9" hidden="1"/>
    <cellStyle name="Followed Hyperlink" xfId="21492" builtinId="9" hidden="1"/>
    <cellStyle name="Followed Hyperlink" xfId="21493" builtinId="9" hidden="1"/>
    <cellStyle name="Followed Hyperlink" xfId="21494" builtinId="9" hidden="1"/>
    <cellStyle name="Followed Hyperlink" xfId="21495" builtinId="9" hidden="1"/>
    <cellStyle name="Followed Hyperlink" xfId="21496" builtinId="9" hidden="1"/>
    <cellStyle name="Followed Hyperlink" xfId="21497" builtinId="9" hidden="1"/>
    <cellStyle name="Followed Hyperlink" xfId="21498" builtinId="9" hidden="1"/>
    <cellStyle name="Followed Hyperlink" xfId="21499" builtinId="9" hidden="1"/>
    <cellStyle name="Followed Hyperlink" xfId="21500" builtinId="9" hidden="1"/>
    <cellStyle name="Followed Hyperlink" xfId="21501" builtinId="9" hidden="1"/>
    <cellStyle name="Followed Hyperlink" xfId="21502" builtinId="9" hidden="1"/>
    <cellStyle name="Followed Hyperlink" xfId="21503" builtinId="9" hidden="1"/>
    <cellStyle name="Followed Hyperlink" xfId="21504" builtinId="9" hidden="1"/>
    <cellStyle name="Followed Hyperlink" xfId="21505" builtinId="9" hidden="1"/>
    <cellStyle name="Followed Hyperlink" xfId="21506" builtinId="9" hidden="1"/>
    <cellStyle name="Followed Hyperlink" xfId="21507" builtinId="9" hidden="1"/>
    <cellStyle name="Followed Hyperlink" xfId="21508" builtinId="9" hidden="1"/>
    <cellStyle name="Followed Hyperlink" xfId="21509" builtinId="9" hidden="1"/>
    <cellStyle name="Followed Hyperlink" xfId="21510" builtinId="9" hidden="1"/>
    <cellStyle name="Followed Hyperlink" xfId="21511" builtinId="9" hidden="1"/>
    <cellStyle name="Followed Hyperlink" xfId="21512" builtinId="9" hidden="1"/>
    <cellStyle name="Followed Hyperlink" xfId="21513" builtinId="9" hidden="1"/>
    <cellStyle name="Followed Hyperlink" xfId="21514" builtinId="9" hidden="1"/>
    <cellStyle name="Followed Hyperlink" xfId="21515" builtinId="9" hidden="1"/>
    <cellStyle name="Followed Hyperlink" xfId="21516" builtinId="9" hidden="1"/>
    <cellStyle name="Followed Hyperlink" xfId="21517" builtinId="9" hidden="1"/>
    <cellStyle name="Followed Hyperlink" xfId="21518" builtinId="9" hidden="1"/>
    <cellStyle name="Followed Hyperlink" xfId="21519" builtinId="9" hidden="1"/>
    <cellStyle name="Followed Hyperlink" xfId="21520" builtinId="9" hidden="1"/>
    <cellStyle name="Followed Hyperlink" xfId="21521" builtinId="9" hidden="1"/>
    <cellStyle name="Followed Hyperlink" xfId="21522" builtinId="9" hidden="1"/>
    <cellStyle name="Followed Hyperlink" xfId="21523" builtinId="9" hidden="1"/>
    <cellStyle name="Followed Hyperlink" xfId="21524" builtinId="9" hidden="1"/>
    <cellStyle name="Followed Hyperlink" xfId="21525" builtinId="9" hidden="1"/>
    <cellStyle name="Followed Hyperlink" xfId="21526" builtinId="9" hidden="1"/>
    <cellStyle name="Followed Hyperlink" xfId="21527" builtinId="9" hidden="1"/>
    <cellStyle name="Followed Hyperlink" xfId="21528" builtinId="9" hidden="1"/>
    <cellStyle name="Followed Hyperlink" xfId="21164" builtinId="9" hidden="1"/>
    <cellStyle name="Followed Hyperlink" xfId="21489" builtinId="9" hidden="1"/>
    <cellStyle name="Followed Hyperlink" xfId="21530" builtinId="9" hidden="1"/>
    <cellStyle name="Followed Hyperlink" xfId="21531" builtinId="9" hidden="1"/>
    <cellStyle name="Followed Hyperlink" xfId="21532" builtinId="9" hidden="1"/>
    <cellStyle name="Followed Hyperlink" xfId="21533" builtinId="9" hidden="1"/>
    <cellStyle name="Followed Hyperlink" xfId="21534" builtinId="9" hidden="1"/>
    <cellStyle name="Followed Hyperlink" xfId="21535" builtinId="9" hidden="1"/>
    <cellStyle name="Followed Hyperlink" xfId="21536" builtinId="9" hidden="1"/>
    <cellStyle name="Followed Hyperlink" xfId="21537" builtinId="9" hidden="1"/>
    <cellStyle name="Followed Hyperlink" xfId="21538" builtinId="9" hidden="1"/>
    <cellStyle name="Followed Hyperlink" xfId="21539" builtinId="9" hidden="1"/>
    <cellStyle name="Followed Hyperlink" xfId="21540" builtinId="9" hidden="1"/>
    <cellStyle name="Followed Hyperlink" xfId="21541" builtinId="9" hidden="1"/>
    <cellStyle name="Followed Hyperlink" xfId="21542" builtinId="9" hidden="1"/>
    <cellStyle name="Followed Hyperlink" xfId="21543" builtinId="9" hidden="1"/>
    <cellStyle name="Followed Hyperlink" xfId="21544" builtinId="9" hidden="1"/>
    <cellStyle name="Followed Hyperlink" xfId="21545" builtinId="9" hidden="1"/>
    <cellStyle name="Followed Hyperlink" xfId="21546" builtinId="9" hidden="1"/>
    <cellStyle name="Followed Hyperlink" xfId="21547" builtinId="9" hidden="1"/>
    <cellStyle name="Followed Hyperlink" xfId="21548" builtinId="9" hidden="1"/>
    <cellStyle name="Followed Hyperlink" xfId="21549" builtinId="9" hidden="1"/>
    <cellStyle name="Followed Hyperlink" xfId="21550" builtinId="9" hidden="1"/>
    <cellStyle name="Followed Hyperlink" xfId="21551" builtinId="9" hidden="1"/>
    <cellStyle name="Followed Hyperlink" xfId="21552" builtinId="9" hidden="1"/>
    <cellStyle name="Followed Hyperlink" xfId="21553" builtinId="9" hidden="1"/>
    <cellStyle name="Followed Hyperlink" xfId="21554" builtinId="9" hidden="1"/>
    <cellStyle name="Followed Hyperlink" xfId="21555" builtinId="9" hidden="1"/>
    <cellStyle name="Followed Hyperlink" xfId="21556" builtinId="9" hidden="1"/>
    <cellStyle name="Followed Hyperlink" xfId="21557" builtinId="9" hidden="1"/>
    <cellStyle name="Followed Hyperlink" xfId="21558" builtinId="9" hidden="1"/>
    <cellStyle name="Followed Hyperlink" xfId="21559" builtinId="9" hidden="1"/>
    <cellStyle name="Followed Hyperlink" xfId="21560" builtinId="9" hidden="1"/>
    <cellStyle name="Followed Hyperlink" xfId="21561" builtinId="9" hidden="1"/>
    <cellStyle name="Followed Hyperlink" xfId="21562" builtinId="9" hidden="1"/>
    <cellStyle name="Followed Hyperlink" xfId="21563" builtinId="9" hidden="1"/>
    <cellStyle name="Followed Hyperlink" xfId="21564" builtinId="9" hidden="1"/>
    <cellStyle name="Followed Hyperlink" xfId="21565" builtinId="9" hidden="1"/>
    <cellStyle name="Followed Hyperlink" xfId="21566" builtinId="9" hidden="1"/>
    <cellStyle name="Followed Hyperlink" xfId="21567" builtinId="9" hidden="1"/>
    <cellStyle name="Followed Hyperlink" xfId="21568" builtinId="9" hidden="1"/>
    <cellStyle name="Followed Hyperlink" xfId="21160" builtinId="9" hidden="1"/>
    <cellStyle name="Followed Hyperlink" xfId="21529" builtinId="9" hidden="1"/>
    <cellStyle name="Followed Hyperlink" xfId="21569" builtinId="9" hidden="1"/>
    <cellStyle name="Followed Hyperlink" xfId="21570" builtinId="9" hidden="1"/>
    <cellStyle name="Followed Hyperlink" xfId="21571" builtinId="9" hidden="1"/>
    <cellStyle name="Followed Hyperlink" xfId="21572" builtinId="9" hidden="1"/>
    <cellStyle name="Followed Hyperlink" xfId="21573" builtinId="9" hidden="1"/>
    <cellStyle name="Followed Hyperlink" xfId="21574" builtinId="9" hidden="1"/>
    <cellStyle name="Followed Hyperlink" xfId="21575" builtinId="9" hidden="1"/>
    <cellStyle name="Followed Hyperlink" xfId="21576" builtinId="9" hidden="1"/>
    <cellStyle name="Followed Hyperlink" xfId="21577" builtinId="9" hidden="1"/>
    <cellStyle name="Followed Hyperlink" xfId="21578" builtinId="9" hidden="1"/>
    <cellStyle name="Followed Hyperlink" xfId="21579" builtinId="9" hidden="1"/>
    <cellStyle name="Followed Hyperlink" xfId="21580" builtinId="9" hidden="1"/>
    <cellStyle name="Followed Hyperlink" xfId="21581" builtinId="9" hidden="1"/>
    <cellStyle name="Followed Hyperlink" xfId="21582" builtinId="9" hidden="1"/>
    <cellStyle name="Followed Hyperlink" xfId="21583" builtinId="9" hidden="1"/>
    <cellStyle name="Followed Hyperlink" xfId="21584" builtinId="9" hidden="1"/>
    <cellStyle name="Followed Hyperlink" xfId="21585" builtinId="9" hidden="1"/>
    <cellStyle name="Followed Hyperlink" xfId="21586" builtinId="9" hidden="1"/>
    <cellStyle name="Followed Hyperlink" xfId="21587" builtinId="9" hidden="1"/>
    <cellStyle name="Followed Hyperlink" xfId="21588" builtinId="9" hidden="1"/>
    <cellStyle name="Followed Hyperlink" xfId="21589" builtinId="9" hidden="1"/>
    <cellStyle name="Followed Hyperlink" xfId="21590" builtinId="9" hidden="1"/>
    <cellStyle name="Followed Hyperlink" xfId="21591" builtinId="9" hidden="1"/>
    <cellStyle name="Followed Hyperlink" xfId="21592" builtinId="9" hidden="1"/>
    <cellStyle name="Followed Hyperlink" xfId="21593" builtinId="9" hidden="1"/>
    <cellStyle name="Followed Hyperlink" xfId="21594" builtinId="9" hidden="1"/>
    <cellStyle name="Followed Hyperlink" xfId="21595" builtinId="9" hidden="1"/>
    <cellStyle name="Followed Hyperlink" xfId="21596" builtinId="9" hidden="1"/>
    <cellStyle name="Followed Hyperlink" xfId="21597" builtinId="9" hidden="1"/>
    <cellStyle name="Followed Hyperlink" xfId="21598" builtinId="9" hidden="1"/>
    <cellStyle name="Followed Hyperlink" xfId="21599" builtinId="9" hidden="1"/>
    <cellStyle name="Followed Hyperlink" xfId="21600" builtinId="9" hidden="1"/>
    <cellStyle name="Followed Hyperlink" xfId="21601" builtinId="9" hidden="1"/>
    <cellStyle name="Followed Hyperlink" xfId="21602" builtinId="9" hidden="1"/>
    <cellStyle name="Followed Hyperlink" xfId="21603" builtinId="9" hidden="1"/>
    <cellStyle name="Followed Hyperlink" xfId="21604" builtinId="9" hidden="1"/>
    <cellStyle name="Followed Hyperlink" xfId="21605" builtinId="9" hidden="1"/>
    <cellStyle name="Followed Hyperlink" xfId="21606" builtinId="9" hidden="1"/>
    <cellStyle name="Followed Hyperlink" xfId="21607" builtinId="9" hidden="1"/>
    <cellStyle name="Followed Hyperlink" xfId="21608" builtinId="9" hidden="1"/>
    <cellStyle name="Followed Hyperlink" xfId="21609" builtinId="9" hidden="1"/>
    <cellStyle name="Followed Hyperlink" xfId="21610" builtinId="9" hidden="1"/>
    <cellStyle name="Followed Hyperlink" xfId="21611" builtinId="9" hidden="1"/>
    <cellStyle name="Followed Hyperlink" xfId="21612" builtinId="9" hidden="1"/>
    <cellStyle name="Followed Hyperlink" xfId="21613" builtinId="9" hidden="1"/>
    <cellStyle name="Followed Hyperlink" xfId="21614" builtinId="9" hidden="1"/>
    <cellStyle name="Followed Hyperlink" xfId="21615" builtinId="9" hidden="1"/>
    <cellStyle name="Followed Hyperlink" xfId="21616" builtinId="9" hidden="1"/>
    <cellStyle name="Followed Hyperlink" xfId="21617" builtinId="9" hidden="1"/>
    <cellStyle name="Followed Hyperlink" xfId="21618" builtinId="9" hidden="1"/>
    <cellStyle name="Followed Hyperlink" xfId="21619" builtinId="9" hidden="1"/>
    <cellStyle name="Followed Hyperlink" xfId="21620" builtinId="9" hidden="1"/>
    <cellStyle name="Followed Hyperlink" xfId="21621" builtinId="9" hidden="1"/>
    <cellStyle name="Followed Hyperlink" xfId="21622" builtinId="9" hidden="1"/>
    <cellStyle name="Followed Hyperlink" xfId="21623" builtinId="9" hidden="1"/>
    <cellStyle name="Followed Hyperlink" xfId="21624" builtinId="9" hidden="1"/>
    <cellStyle name="Followed Hyperlink" xfId="21625" builtinId="9" hidden="1"/>
    <cellStyle name="Followed Hyperlink" xfId="21626" builtinId="9" hidden="1"/>
    <cellStyle name="Followed Hyperlink" xfId="21627" builtinId="9" hidden="1"/>
    <cellStyle name="Followed Hyperlink" xfId="21628" builtinId="9" hidden="1"/>
    <cellStyle name="Followed Hyperlink" xfId="21629" builtinId="9" hidden="1"/>
    <cellStyle name="Followed Hyperlink" xfId="21630" builtinId="9" hidden="1"/>
    <cellStyle name="Followed Hyperlink" xfId="21631" builtinId="9" hidden="1"/>
    <cellStyle name="Followed Hyperlink" xfId="21632" builtinId="9" hidden="1"/>
    <cellStyle name="Followed Hyperlink" xfId="21633" builtinId="9" hidden="1"/>
    <cellStyle name="Followed Hyperlink" xfId="21634" builtinId="9" hidden="1"/>
    <cellStyle name="Followed Hyperlink" xfId="21635" builtinId="9" hidden="1"/>
    <cellStyle name="Followed Hyperlink" xfId="21636" builtinId="9" hidden="1"/>
    <cellStyle name="Followed Hyperlink" xfId="21637" builtinId="9" hidden="1"/>
    <cellStyle name="Followed Hyperlink" xfId="21638" builtinId="9" hidden="1"/>
    <cellStyle name="Followed Hyperlink" xfId="21639" builtinId="9" hidden="1"/>
    <cellStyle name="Followed Hyperlink" xfId="21640" builtinId="9" hidden="1"/>
    <cellStyle name="Followed Hyperlink" xfId="21641" builtinId="9" hidden="1"/>
    <cellStyle name="Followed Hyperlink" xfId="21642" builtinId="9" hidden="1"/>
    <cellStyle name="Followed Hyperlink" xfId="21643" builtinId="9" hidden="1"/>
    <cellStyle name="Followed Hyperlink" xfId="21644" builtinId="9" hidden="1"/>
    <cellStyle name="Followed Hyperlink" xfId="21645" builtinId="9" hidden="1"/>
    <cellStyle name="Followed Hyperlink" xfId="21646" builtinId="9" hidden="1"/>
    <cellStyle name="Followed Hyperlink" xfId="21647" builtinId="9" hidden="1"/>
    <cellStyle name="Followed Hyperlink" xfId="21648" builtinId="9" hidden="1"/>
    <cellStyle name="Followed Hyperlink" xfId="21657" builtinId="9" hidden="1"/>
    <cellStyle name="Followed Hyperlink" xfId="21658" builtinId="9" hidden="1"/>
    <cellStyle name="Followed Hyperlink" xfId="21659" builtinId="9" hidden="1"/>
    <cellStyle name="Followed Hyperlink" xfId="21660" builtinId="9" hidden="1"/>
    <cellStyle name="Followed Hyperlink" xfId="21661" builtinId="9" hidden="1"/>
    <cellStyle name="Followed Hyperlink" xfId="21662" builtinId="9" hidden="1"/>
    <cellStyle name="Followed Hyperlink" xfId="21663" builtinId="9" hidden="1"/>
    <cellStyle name="Followed Hyperlink" xfId="21664" builtinId="9" hidden="1"/>
    <cellStyle name="Followed Hyperlink" xfId="21665" builtinId="9" hidden="1"/>
    <cellStyle name="Followed Hyperlink" xfId="21666" builtinId="9" hidden="1"/>
    <cellStyle name="Followed Hyperlink" xfId="21667" builtinId="9" hidden="1"/>
    <cellStyle name="Followed Hyperlink" xfId="21668" builtinId="9" hidden="1"/>
    <cellStyle name="Followed Hyperlink" xfId="21669" builtinId="9" hidden="1"/>
    <cellStyle name="Followed Hyperlink" xfId="21670" builtinId="9" hidden="1"/>
    <cellStyle name="Followed Hyperlink" xfId="21671" builtinId="9" hidden="1"/>
    <cellStyle name="Followed Hyperlink" xfId="21672" builtinId="9" hidden="1"/>
    <cellStyle name="Followed Hyperlink" xfId="21673" builtinId="9" hidden="1"/>
    <cellStyle name="Followed Hyperlink" xfId="21674" builtinId="9" hidden="1"/>
    <cellStyle name="Followed Hyperlink" xfId="21675" builtinId="9" hidden="1"/>
    <cellStyle name="Followed Hyperlink" xfId="21676" builtinId="9" hidden="1"/>
    <cellStyle name="Followed Hyperlink" xfId="21677" builtinId="9" hidden="1"/>
    <cellStyle name="Followed Hyperlink" xfId="21678" builtinId="9" hidden="1"/>
    <cellStyle name="Followed Hyperlink" xfId="21679" builtinId="9" hidden="1"/>
    <cellStyle name="Followed Hyperlink" xfId="21680" builtinId="9" hidden="1"/>
    <cellStyle name="Followed Hyperlink" xfId="21681" builtinId="9" hidden="1"/>
    <cellStyle name="Followed Hyperlink" xfId="21682" builtinId="9" hidden="1"/>
    <cellStyle name="Followed Hyperlink" xfId="21683" builtinId="9" hidden="1"/>
    <cellStyle name="Followed Hyperlink" xfId="21684" builtinId="9" hidden="1"/>
    <cellStyle name="Followed Hyperlink" xfId="21685" builtinId="9" hidden="1"/>
    <cellStyle name="Followed Hyperlink" xfId="21686" builtinId="9" hidden="1"/>
    <cellStyle name="Followed Hyperlink" xfId="21687" builtinId="9" hidden="1"/>
    <cellStyle name="Followed Hyperlink" xfId="21688" builtinId="9" hidden="1"/>
    <cellStyle name="Followed Hyperlink" xfId="21689" builtinId="9" hidden="1"/>
    <cellStyle name="Followed Hyperlink" xfId="21690" builtinId="9" hidden="1"/>
    <cellStyle name="Followed Hyperlink" xfId="21691" builtinId="9" hidden="1"/>
    <cellStyle name="Followed Hyperlink" xfId="21692" builtinId="9" hidden="1"/>
    <cellStyle name="Followed Hyperlink" xfId="21693" builtinId="9" hidden="1"/>
    <cellStyle name="Followed Hyperlink" xfId="21694" builtinId="9" hidden="1"/>
    <cellStyle name="Followed Hyperlink" xfId="21695" builtinId="9" hidden="1"/>
    <cellStyle name="Followed Hyperlink" xfId="21696" builtinId="9" hidden="1"/>
    <cellStyle name="Followed Hyperlink" xfId="21697" builtinId="9" hidden="1"/>
    <cellStyle name="Followed Hyperlink" xfId="21698" builtinId="9" hidden="1"/>
    <cellStyle name="Followed Hyperlink" xfId="21699" builtinId="9" hidden="1"/>
    <cellStyle name="Followed Hyperlink" xfId="21700" builtinId="9" hidden="1"/>
    <cellStyle name="Followed Hyperlink" xfId="21701" builtinId="9" hidden="1"/>
    <cellStyle name="Followed Hyperlink" xfId="21702" builtinId="9" hidden="1"/>
    <cellStyle name="Followed Hyperlink" xfId="21703" builtinId="9" hidden="1"/>
    <cellStyle name="Followed Hyperlink" xfId="21704" builtinId="9" hidden="1"/>
    <cellStyle name="Followed Hyperlink" xfId="21705" builtinId="9" hidden="1"/>
    <cellStyle name="Followed Hyperlink" xfId="21706" builtinId="9" hidden="1"/>
    <cellStyle name="Followed Hyperlink" xfId="21707" builtinId="9" hidden="1"/>
    <cellStyle name="Followed Hyperlink" xfId="21708" builtinId="9" hidden="1"/>
    <cellStyle name="Followed Hyperlink" xfId="21709" builtinId="9" hidden="1"/>
    <cellStyle name="Followed Hyperlink" xfId="21710" builtinId="9" hidden="1"/>
    <cellStyle name="Followed Hyperlink" xfId="21711" builtinId="9" hidden="1"/>
    <cellStyle name="Followed Hyperlink" xfId="21712" builtinId="9" hidden="1"/>
    <cellStyle name="Followed Hyperlink" xfId="21713" builtinId="9" hidden="1"/>
    <cellStyle name="Followed Hyperlink" xfId="21714" builtinId="9" hidden="1"/>
    <cellStyle name="Followed Hyperlink" xfId="21715" builtinId="9" hidden="1"/>
    <cellStyle name="Followed Hyperlink" xfId="21716" builtinId="9" hidden="1"/>
    <cellStyle name="Followed Hyperlink" xfId="21717" builtinId="9" hidden="1"/>
    <cellStyle name="Followed Hyperlink" xfId="21718" builtinId="9" hidden="1"/>
    <cellStyle name="Followed Hyperlink" xfId="21719" builtinId="9" hidden="1"/>
    <cellStyle name="Followed Hyperlink" xfId="21720" builtinId="9" hidden="1"/>
    <cellStyle name="Followed Hyperlink" xfId="21721" builtinId="9" hidden="1"/>
    <cellStyle name="Followed Hyperlink" xfId="21722" builtinId="9" hidden="1"/>
    <cellStyle name="Followed Hyperlink" xfId="21723" builtinId="9" hidden="1"/>
    <cellStyle name="Followed Hyperlink" xfId="21724" builtinId="9" hidden="1"/>
    <cellStyle name="Followed Hyperlink" xfId="21725" builtinId="9" hidden="1"/>
    <cellStyle name="Followed Hyperlink" xfId="21726" builtinId="9" hidden="1"/>
    <cellStyle name="Followed Hyperlink" xfId="21727" builtinId="9" hidden="1"/>
    <cellStyle name="Followed Hyperlink" xfId="21728" builtinId="9" hidden="1"/>
    <cellStyle name="Followed Hyperlink" xfId="21729" builtinId="9" hidden="1"/>
    <cellStyle name="Followed Hyperlink" xfId="21730" builtinId="9" hidden="1"/>
    <cellStyle name="Followed Hyperlink" xfId="21731" builtinId="9" hidden="1"/>
    <cellStyle name="Followed Hyperlink" xfId="21732" builtinId="9" hidden="1"/>
    <cellStyle name="Followed Hyperlink" xfId="21733" builtinId="9" hidden="1"/>
    <cellStyle name="Followed Hyperlink" xfId="21734" builtinId="9" hidden="1"/>
    <cellStyle name="Followed Hyperlink" xfId="21735" builtinId="9" hidden="1"/>
    <cellStyle name="Followed Hyperlink" xfId="21736" builtinId="9" hidden="1"/>
    <cellStyle name="Followed Hyperlink" xfId="21737" builtinId="9" hidden="1"/>
    <cellStyle name="Followed Hyperlink" xfId="21738" builtinId="9" hidden="1"/>
    <cellStyle name="Followed Hyperlink" xfId="21739" builtinId="9" hidden="1"/>
    <cellStyle name="Followed Hyperlink" xfId="21740" builtinId="9" hidden="1"/>
    <cellStyle name="Followed Hyperlink" xfId="21741" builtinId="9" hidden="1"/>
    <cellStyle name="Followed Hyperlink" xfId="21742" builtinId="9" hidden="1"/>
    <cellStyle name="Followed Hyperlink" xfId="21743" builtinId="9" hidden="1"/>
    <cellStyle name="Followed Hyperlink" xfId="21744" builtinId="9" hidden="1"/>
    <cellStyle name="Followed Hyperlink" xfId="21745" builtinId="9" hidden="1"/>
    <cellStyle name="Followed Hyperlink" xfId="21746" builtinId="9" hidden="1"/>
    <cellStyle name="Followed Hyperlink" xfId="21747" builtinId="9" hidden="1"/>
    <cellStyle name="Followed Hyperlink" xfId="21748" builtinId="9" hidden="1"/>
    <cellStyle name="Followed Hyperlink" xfId="21749" builtinId="9" hidden="1"/>
    <cellStyle name="Followed Hyperlink" xfId="21750" builtinId="9" hidden="1"/>
    <cellStyle name="Followed Hyperlink" xfId="21751" builtinId="9" hidden="1"/>
    <cellStyle name="Followed Hyperlink" xfId="21752" builtinId="9" hidden="1"/>
    <cellStyle name="Followed Hyperlink" xfId="21753" builtinId="9" hidden="1"/>
    <cellStyle name="Followed Hyperlink" xfId="21754" builtinId="9" hidden="1"/>
    <cellStyle name="Followed Hyperlink" xfId="21755" builtinId="9" hidden="1"/>
    <cellStyle name="Followed Hyperlink" xfId="21756" builtinId="9" hidden="1"/>
    <cellStyle name="Followed Hyperlink" xfId="21757" builtinId="9" hidden="1"/>
    <cellStyle name="Followed Hyperlink" xfId="21758" builtinId="9" hidden="1"/>
    <cellStyle name="Followed Hyperlink" xfId="21759" builtinId="9" hidden="1"/>
    <cellStyle name="Followed Hyperlink" xfId="21760" builtinId="9" hidden="1"/>
    <cellStyle name="Followed Hyperlink" xfId="21761" builtinId="9" hidden="1"/>
    <cellStyle name="Followed Hyperlink" xfId="21762" builtinId="9" hidden="1"/>
    <cellStyle name="Followed Hyperlink" xfId="21763" builtinId="9" hidden="1"/>
    <cellStyle name="Followed Hyperlink" xfId="21764" builtinId="9" hidden="1"/>
    <cellStyle name="Followed Hyperlink" xfId="21765" builtinId="9" hidden="1"/>
    <cellStyle name="Followed Hyperlink" xfId="21766" builtinId="9" hidden="1"/>
    <cellStyle name="Followed Hyperlink" xfId="21767" builtinId="9" hidden="1"/>
    <cellStyle name="Followed Hyperlink" xfId="21768" builtinId="9" hidden="1"/>
    <cellStyle name="Followed Hyperlink" xfId="21769" builtinId="9" hidden="1"/>
    <cellStyle name="Followed Hyperlink" xfId="21770" builtinId="9" hidden="1"/>
    <cellStyle name="Followed Hyperlink" xfId="21771" builtinId="9" hidden="1"/>
    <cellStyle name="Followed Hyperlink" xfId="21772" builtinId="9" hidden="1"/>
    <cellStyle name="Followed Hyperlink" xfId="21773" builtinId="9" hidden="1"/>
    <cellStyle name="Followed Hyperlink" xfId="21774" builtinId="9" hidden="1"/>
    <cellStyle name="Followed Hyperlink" xfId="21775" builtinId="9" hidden="1"/>
    <cellStyle name="Followed Hyperlink" xfId="21776" builtinId="9" hidden="1"/>
    <cellStyle name="Followed Hyperlink" xfId="21777" builtinId="9" hidden="1"/>
    <cellStyle name="Followed Hyperlink" xfId="21778" builtinId="9" hidden="1"/>
    <cellStyle name="Followed Hyperlink" xfId="21779" builtinId="9" hidden="1"/>
    <cellStyle name="Followed Hyperlink" xfId="21649" builtinId="9" hidden="1"/>
    <cellStyle name="Followed Hyperlink" xfId="20136" builtinId="9" hidden="1"/>
    <cellStyle name="Followed Hyperlink" xfId="21781" builtinId="9" hidden="1"/>
    <cellStyle name="Followed Hyperlink" xfId="21782" builtinId="9" hidden="1"/>
    <cellStyle name="Followed Hyperlink" xfId="21783" builtinId="9" hidden="1"/>
    <cellStyle name="Followed Hyperlink" xfId="21784" builtinId="9" hidden="1"/>
    <cellStyle name="Followed Hyperlink" xfId="21785" builtinId="9" hidden="1"/>
    <cellStyle name="Followed Hyperlink" xfId="21786" builtinId="9" hidden="1"/>
    <cellStyle name="Followed Hyperlink" xfId="21787" builtinId="9" hidden="1"/>
    <cellStyle name="Followed Hyperlink" xfId="21788" builtinId="9" hidden="1"/>
    <cellStyle name="Followed Hyperlink" xfId="21789" builtinId="9" hidden="1"/>
    <cellStyle name="Followed Hyperlink" xfId="21790" builtinId="9" hidden="1"/>
    <cellStyle name="Followed Hyperlink" xfId="21791" builtinId="9" hidden="1"/>
    <cellStyle name="Followed Hyperlink" xfId="21792" builtinId="9" hidden="1"/>
    <cellStyle name="Followed Hyperlink" xfId="21793" builtinId="9" hidden="1"/>
    <cellStyle name="Followed Hyperlink" xfId="21794" builtinId="9" hidden="1"/>
    <cellStyle name="Followed Hyperlink" xfId="21795" builtinId="9" hidden="1"/>
    <cellStyle name="Followed Hyperlink" xfId="21796" builtinId="9" hidden="1"/>
    <cellStyle name="Followed Hyperlink" xfId="21797" builtinId="9" hidden="1"/>
    <cellStyle name="Followed Hyperlink" xfId="21798" builtinId="9" hidden="1"/>
    <cellStyle name="Followed Hyperlink" xfId="21799" builtinId="9" hidden="1"/>
    <cellStyle name="Followed Hyperlink" xfId="21800" builtinId="9" hidden="1"/>
    <cellStyle name="Followed Hyperlink" xfId="21801" builtinId="9" hidden="1"/>
    <cellStyle name="Followed Hyperlink" xfId="21802" builtinId="9" hidden="1"/>
    <cellStyle name="Followed Hyperlink" xfId="21803" builtinId="9" hidden="1"/>
    <cellStyle name="Followed Hyperlink" xfId="21804" builtinId="9" hidden="1"/>
    <cellStyle name="Followed Hyperlink" xfId="21805" builtinId="9" hidden="1"/>
    <cellStyle name="Followed Hyperlink" xfId="21806" builtinId="9" hidden="1"/>
    <cellStyle name="Followed Hyperlink" xfId="21807" builtinId="9" hidden="1"/>
    <cellStyle name="Followed Hyperlink" xfId="21808" builtinId="9" hidden="1"/>
    <cellStyle name="Followed Hyperlink" xfId="21809" builtinId="9" hidden="1"/>
    <cellStyle name="Followed Hyperlink" xfId="21810" builtinId="9" hidden="1"/>
    <cellStyle name="Followed Hyperlink" xfId="21811" builtinId="9" hidden="1"/>
    <cellStyle name="Followed Hyperlink" xfId="21812" builtinId="9" hidden="1"/>
    <cellStyle name="Followed Hyperlink" xfId="21813" builtinId="9" hidden="1"/>
    <cellStyle name="Followed Hyperlink" xfId="21814" builtinId="9" hidden="1"/>
    <cellStyle name="Followed Hyperlink" xfId="21815" builtinId="9" hidden="1"/>
    <cellStyle name="Followed Hyperlink" xfId="21816" builtinId="9" hidden="1"/>
    <cellStyle name="Followed Hyperlink" xfId="21817" builtinId="9" hidden="1"/>
    <cellStyle name="Followed Hyperlink" xfId="21818" builtinId="9" hidden="1"/>
    <cellStyle name="Followed Hyperlink" xfId="21819" builtinId="9" hidden="1"/>
    <cellStyle name="Followed Hyperlink" xfId="21654" builtinId="9" hidden="1"/>
    <cellStyle name="Followed Hyperlink" xfId="21780" builtinId="9" hidden="1"/>
    <cellStyle name="Followed Hyperlink" xfId="21821" builtinId="9" hidden="1"/>
    <cellStyle name="Followed Hyperlink" xfId="21822" builtinId="9" hidden="1"/>
    <cellStyle name="Followed Hyperlink" xfId="21823" builtinId="9" hidden="1"/>
    <cellStyle name="Followed Hyperlink" xfId="21824" builtinId="9" hidden="1"/>
    <cellStyle name="Followed Hyperlink" xfId="21825" builtinId="9" hidden="1"/>
    <cellStyle name="Followed Hyperlink" xfId="21826" builtinId="9" hidden="1"/>
    <cellStyle name="Followed Hyperlink" xfId="21827" builtinId="9" hidden="1"/>
    <cellStyle name="Followed Hyperlink" xfId="21828" builtinId="9" hidden="1"/>
    <cellStyle name="Followed Hyperlink" xfId="21829" builtinId="9" hidden="1"/>
    <cellStyle name="Followed Hyperlink" xfId="21830" builtinId="9" hidden="1"/>
    <cellStyle name="Followed Hyperlink" xfId="21831" builtinId="9" hidden="1"/>
    <cellStyle name="Followed Hyperlink" xfId="21832" builtinId="9" hidden="1"/>
    <cellStyle name="Followed Hyperlink" xfId="21833" builtinId="9" hidden="1"/>
    <cellStyle name="Followed Hyperlink" xfId="21834" builtinId="9" hidden="1"/>
    <cellStyle name="Followed Hyperlink" xfId="21835" builtinId="9" hidden="1"/>
    <cellStyle name="Followed Hyperlink" xfId="21836" builtinId="9" hidden="1"/>
    <cellStyle name="Followed Hyperlink" xfId="21837" builtinId="9" hidden="1"/>
    <cellStyle name="Followed Hyperlink" xfId="21838" builtinId="9" hidden="1"/>
    <cellStyle name="Followed Hyperlink" xfId="21839" builtinId="9" hidden="1"/>
    <cellStyle name="Followed Hyperlink" xfId="21840" builtinId="9" hidden="1"/>
    <cellStyle name="Followed Hyperlink" xfId="21841" builtinId="9" hidden="1"/>
    <cellStyle name="Followed Hyperlink" xfId="21842" builtinId="9" hidden="1"/>
    <cellStyle name="Followed Hyperlink" xfId="21843" builtinId="9" hidden="1"/>
    <cellStyle name="Followed Hyperlink" xfId="21844" builtinId="9" hidden="1"/>
    <cellStyle name="Followed Hyperlink" xfId="21845" builtinId="9" hidden="1"/>
    <cellStyle name="Followed Hyperlink" xfId="21846" builtinId="9" hidden="1"/>
    <cellStyle name="Followed Hyperlink" xfId="21847" builtinId="9" hidden="1"/>
    <cellStyle name="Followed Hyperlink" xfId="21848" builtinId="9" hidden="1"/>
    <cellStyle name="Followed Hyperlink" xfId="21849" builtinId="9" hidden="1"/>
    <cellStyle name="Followed Hyperlink" xfId="21850" builtinId="9" hidden="1"/>
    <cellStyle name="Followed Hyperlink" xfId="21851" builtinId="9" hidden="1"/>
    <cellStyle name="Followed Hyperlink" xfId="21852" builtinId="9" hidden="1"/>
    <cellStyle name="Followed Hyperlink" xfId="21853" builtinId="9" hidden="1"/>
    <cellStyle name="Followed Hyperlink" xfId="21854" builtinId="9" hidden="1"/>
    <cellStyle name="Followed Hyperlink" xfId="21855" builtinId="9" hidden="1"/>
    <cellStyle name="Followed Hyperlink" xfId="21856" builtinId="9" hidden="1"/>
    <cellStyle name="Followed Hyperlink" xfId="21857" builtinId="9" hidden="1"/>
    <cellStyle name="Followed Hyperlink" xfId="21858" builtinId="9" hidden="1"/>
    <cellStyle name="Followed Hyperlink" xfId="21859" builtinId="9" hidden="1"/>
    <cellStyle name="Followed Hyperlink" xfId="21656" builtinId="9" hidden="1"/>
    <cellStyle name="Followed Hyperlink" xfId="21820" builtinId="9" hidden="1"/>
    <cellStyle name="Followed Hyperlink" xfId="21861" builtinId="9" hidden="1"/>
    <cellStyle name="Followed Hyperlink" xfId="21862" builtinId="9" hidden="1"/>
    <cellStyle name="Followed Hyperlink" xfId="21863" builtinId="9" hidden="1"/>
    <cellStyle name="Followed Hyperlink" xfId="21864" builtinId="9" hidden="1"/>
    <cellStyle name="Followed Hyperlink" xfId="21865" builtinId="9" hidden="1"/>
    <cellStyle name="Followed Hyperlink" xfId="21866" builtinId="9" hidden="1"/>
    <cellStyle name="Followed Hyperlink" xfId="21867" builtinId="9" hidden="1"/>
    <cellStyle name="Followed Hyperlink" xfId="21868" builtinId="9" hidden="1"/>
    <cellStyle name="Followed Hyperlink" xfId="21869" builtinId="9" hidden="1"/>
    <cellStyle name="Followed Hyperlink" xfId="21870" builtinId="9" hidden="1"/>
    <cellStyle name="Followed Hyperlink" xfId="21871" builtinId="9" hidden="1"/>
    <cellStyle name="Followed Hyperlink" xfId="21872" builtinId="9" hidden="1"/>
    <cellStyle name="Followed Hyperlink" xfId="21873" builtinId="9" hidden="1"/>
    <cellStyle name="Followed Hyperlink" xfId="21874" builtinId="9" hidden="1"/>
    <cellStyle name="Followed Hyperlink" xfId="21875" builtinId="9" hidden="1"/>
    <cellStyle name="Followed Hyperlink" xfId="21876" builtinId="9" hidden="1"/>
    <cellStyle name="Followed Hyperlink" xfId="21877" builtinId="9" hidden="1"/>
    <cellStyle name="Followed Hyperlink" xfId="21878" builtinId="9" hidden="1"/>
    <cellStyle name="Followed Hyperlink" xfId="21879" builtinId="9" hidden="1"/>
    <cellStyle name="Followed Hyperlink" xfId="21880" builtinId="9" hidden="1"/>
    <cellStyle name="Followed Hyperlink" xfId="21881" builtinId="9" hidden="1"/>
    <cellStyle name="Followed Hyperlink" xfId="21882" builtinId="9" hidden="1"/>
    <cellStyle name="Followed Hyperlink" xfId="21883" builtinId="9" hidden="1"/>
    <cellStyle name="Followed Hyperlink" xfId="21884" builtinId="9" hidden="1"/>
    <cellStyle name="Followed Hyperlink" xfId="21885" builtinId="9" hidden="1"/>
    <cellStyle name="Followed Hyperlink" xfId="21886" builtinId="9" hidden="1"/>
    <cellStyle name="Followed Hyperlink" xfId="21887" builtinId="9" hidden="1"/>
    <cellStyle name="Followed Hyperlink" xfId="21888" builtinId="9" hidden="1"/>
    <cellStyle name="Followed Hyperlink" xfId="21889" builtinId="9" hidden="1"/>
    <cellStyle name="Followed Hyperlink" xfId="21890" builtinId="9" hidden="1"/>
    <cellStyle name="Followed Hyperlink" xfId="21891" builtinId="9" hidden="1"/>
    <cellStyle name="Followed Hyperlink" xfId="21892" builtinId="9" hidden="1"/>
    <cellStyle name="Followed Hyperlink" xfId="21893" builtinId="9" hidden="1"/>
    <cellStyle name="Followed Hyperlink" xfId="21894" builtinId="9" hidden="1"/>
    <cellStyle name="Followed Hyperlink" xfId="21895" builtinId="9" hidden="1"/>
    <cellStyle name="Followed Hyperlink" xfId="21896" builtinId="9" hidden="1"/>
    <cellStyle name="Followed Hyperlink" xfId="21897" builtinId="9" hidden="1"/>
    <cellStyle name="Followed Hyperlink" xfId="21898" builtinId="9" hidden="1"/>
    <cellStyle name="Followed Hyperlink" xfId="21899" builtinId="9" hidden="1"/>
    <cellStyle name="Followed Hyperlink" xfId="21650" builtinId="9" hidden="1"/>
    <cellStyle name="Followed Hyperlink" xfId="21860" builtinId="9" hidden="1"/>
    <cellStyle name="Followed Hyperlink" xfId="21901" builtinId="9" hidden="1"/>
    <cellStyle name="Followed Hyperlink" xfId="21902" builtinId="9" hidden="1"/>
    <cellStyle name="Followed Hyperlink" xfId="21903" builtinId="9" hidden="1"/>
    <cellStyle name="Followed Hyperlink" xfId="21904" builtinId="9" hidden="1"/>
    <cellStyle name="Followed Hyperlink" xfId="21905" builtinId="9" hidden="1"/>
    <cellStyle name="Followed Hyperlink" xfId="21906" builtinId="9" hidden="1"/>
    <cellStyle name="Followed Hyperlink" xfId="21907" builtinId="9" hidden="1"/>
    <cellStyle name="Followed Hyperlink" xfId="21908" builtinId="9" hidden="1"/>
    <cellStyle name="Followed Hyperlink" xfId="21909" builtinId="9" hidden="1"/>
    <cellStyle name="Followed Hyperlink" xfId="21910" builtinId="9" hidden="1"/>
    <cellStyle name="Followed Hyperlink" xfId="21911" builtinId="9" hidden="1"/>
    <cellStyle name="Followed Hyperlink" xfId="21912" builtinId="9" hidden="1"/>
    <cellStyle name="Followed Hyperlink" xfId="21913" builtinId="9" hidden="1"/>
    <cellStyle name="Followed Hyperlink" xfId="21914" builtinId="9" hidden="1"/>
    <cellStyle name="Followed Hyperlink" xfId="21915" builtinId="9" hidden="1"/>
    <cellStyle name="Followed Hyperlink" xfId="21916" builtinId="9" hidden="1"/>
    <cellStyle name="Followed Hyperlink" xfId="21917" builtinId="9" hidden="1"/>
    <cellStyle name="Followed Hyperlink" xfId="21918" builtinId="9" hidden="1"/>
    <cellStyle name="Followed Hyperlink" xfId="21919" builtinId="9" hidden="1"/>
    <cellStyle name="Followed Hyperlink" xfId="21920" builtinId="9" hidden="1"/>
    <cellStyle name="Followed Hyperlink" xfId="21921" builtinId="9" hidden="1"/>
    <cellStyle name="Followed Hyperlink" xfId="21922" builtinId="9" hidden="1"/>
    <cellStyle name="Followed Hyperlink" xfId="21923" builtinId="9" hidden="1"/>
    <cellStyle name="Followed Hyperlink" xfId="21924" builtinId="9" hidden="1"/>
    <cellStyle name="Followed Hyperlink" xfId="21925" builtinId="9" hidden="1"/>
    <cellStyle name="Followed Hyperlink" xfId="21926" builtinId="9" hidden="1"/>
    <cellStyle name="Followed Hyperlink" xfId="21927" builtinId="9" hidden="1"/>
    <cellStyle name="Followed Hyperlink" xfId="21928" builtinId="9" hidden="1"/>
    <cellStyle name="Followed Hyperlink" xfId="21929" builtinId="9" hidden="1"/>
    <cellStyle name="Followed Hyperlink" xfId="21930" builtinId="9" hidden="1"/>
    <cellStyle name="Followed Hyperlink" xfId="21931" builtinId="9" hidden="1"/>
    <cellStyle name="Followed Hyperlink" xfId="21932" builtinId="9" hidden="1"/>
    <cellStyle name="Followed Hyperlink" xfId="21933" builtinId="9" hidden="1"/>
    <cellStyle name="Followed Hyperlink" xfId="21934" builtinId="9" hidden="1"/>
    <cellStyle name="Followed Hyperlink" xfId="21935" builtinId="9" hidden="1"/>
    <cellStyle name="Followed Hyperlink" xfId="21936" builtinId="9" hidden="1"/>
    <cellStyle name="Followed Hyperlink" xfId="21937" builtinId="9" hidden="1"/>
    <cellStyle name="Followed Hyperlink" xfId="21938" builtinId="9" hidden="1"/>
    <cellStyle name="Followed Hyperlink" xfId="21939" builtinId="9" hidden="1"/>
    <cellStyle name="Followed Hyperlink" xfId="21652" builtinId="9" hidden="1"/>
    <cellStyle name="Followed Hyperlink" xfId="21900" builtinId="9" hidden="1"/>
    <cellStyle name="Followed Hyperlink" xfId="21941" builtinId="9" hidden="1"/>
    <cellStyle name="Followed Hyperlink" xfId="21942" builtinId="9" hidden="1"/>
    <cellStyle name="Followed Hyperlink" xfId="21943" builtinId="9" hidden="1"/>
    <cellStyle name="Followed Hyperlink" xfId="21944" builtinId="9" hidden="1"/>
    <cellStyle name="Followed Hyperlink" xfId="21945" builtinId="9" hidden="1"/>
    <cellStyle name="Followed Hyperlink" xfId="21946" builtinId="9" hidden="1"/>
    <cellStyle name="Followed Hyperlink" xfId="21947" builtinId="9" hidden="1"/>
    <cellStyle name="Followed Hyperlink" xfId="21948" builtinId="9" hidden="1"/>
    <cellStyle name="Followed Hyperlink" xfId="21949" builtinId="9" hidden="1"/>
    <cellStyle name="Followed Hyperlink" xfId="21950" builtinId="9" hidden="1"/>
    <cellStyle name="Followed Hyperlink" xfId="21951" builtinId="9" hidden="1"/>
    <cellStyle name="Followed Hyperlink" xfId="21952" builtinId="9" hidden="1"/>
    <cellStyle name="Followed Hyperlink" xfId="21953" builtinId="9" hidden="1"/>
    <cellStyle name="Followed Hyperlink" xfId="21954" builtinId="9" hidden="1"/>
    <cellStyle name="Followed Hyperlink" xfId="21955" builtinId="9" hidden="1"/>
    <cellStyle name="Followed Hyperlink" xfId="21956" builtinId="9" hidden="1"/>
    <cellStyle name="Followed Hyperlink" xfId="21957" builtinId="9" hidden="1"/>
    <cellStyle name="Followed Hyperlink" xfId="21958" builtinId="9" hidden="1"/>
    <cellStyle name="Followed Hyperlink" xfId="21959" builtinId="9" hidden="1"/>
    <cellStyle name="Followed Hyperlink" xfId="21960" builtinId="9" hidden="1"/>
    <cellStyle name="Followed Hyperlink" xfId="21961" builtinId="9" hidden="1"/>
    <cellStyle name="Followed Hyperlink" xfId="21962" builtinId="9" hidden="1"/>
    <cellStyle name="Followed Hyperlink" xfId="21963" builtinId="9" hidden="1"/>
    <cellStyle name="Followed Hyperlink" xfId="21964" builtinId="9" hidden="1"/>
    <cellStyle name="Followed Hyperlink" xfId="21965" builtinId="9" hidden="1"/>
    <cellStyle name="Followed Hyperlink" xfId="21966" builtinId="9" hidden="1"/>
    <cellStyle name="Followed Hyperlink" xfId="21967" builtinId="9" hidden="1"/>
    <cellStyle name="Followed Hyperlink" xfId="21968" builtinId="9" hidden="1"/>
    <cellStyle name="Followed Hyperlink" xfId="21969" builtinId="9" hidden="1"/>
    <cellStyle name="Followed Hyperlink" xfId="21970" builtinId="9" hidden="1"/>
    <cellStyle name="Followed Hyperlink" xfId="21971" builtinId="9" hidden="1"/>
    <cellStyle name="Followed Hyperlink" xfId="21972" builtinId="9" hidden="1"/>
    <cellStyle name="Followed Hyperlink" xfId="21973" builtinId="9" hidden="1"/>
    <cellStyle name="Followed Hyperlink" xfId="21974" builtinId="9" hidden="1"/>
    <cellStyle name="Followed Hyperlink" xfId="21975" builtinId="9" hidden="1"/>
    <cellStyle name="Followed Hyperlink" xfId="21976" builtinId="9" hidden="1"/>
    <cellStyle name="Followed Hyperlink" xfId="21977" builtinId="9" hidden="1"/>
    <cellStyle name="Followed Hyperlink" xfId="21978" builtinId="9" hidden="1"/>
    <cellStyle name="Followed Hyperlink" xfId="21979" builtinId="9" hidden="1"/>
    <cellStyle name="Followed Hyperlink" xfId="21653" builtinId="9" hidden="1"/>
    <cellStyle name="Followed Hyperlink" xfId="21940" builtinId="9" hidden="1"/>
    <cellStyle name="Followed Hyperlink" xfId="21981" builtinId="9" hidden="1"/>
    <cellStyle name="Followed Hyperlink" xfId="21982" builtinId="9" hidden="1"/>
    <cellStyle name="Followed Hyperlink" xfId="21983" builtinId="9" hidden="1"/>
    <cellStyle name="Followed Hyperlink" xfId="21984" builtinId="9" hidden="1"/>
    <cellStyle name="Followed Hyperlink" xfId="21985" builtinId="9" hidden="1"/>
    <cellStyle name="Followed Hyperlink" xfId="21986" builtinId="9" hidden="1"/>
    <cellStyle name="Followed Hyperlink" xfId="21987" builtinId="9" hidden="1"/>
    <cellStyle name="Followed Hyperlink" xfId="21988" builtinId="9" hidden="1"/>
    <cellStyle name="Followed Hyperlink" xfId="21989" builtinId="9" hidden="1"/>
    <cellStyle name="Followed Hyperlink" xfId="21990" builtinId="9" hidden="1"/>
    <cellStyle name="Followed Hyperlink" xfId="21991" builtinId="9" hidden="1"/>
    <cellStyle name="Followed Hyperlink" xfId="21992" builtinId="9" hidden="1"/>
    <cellStyle name="Followed Hyperlink" xfId="21993" builtinId="9" hidden="1"/>
    <cellStyle name="Followed Hyperlink" xfId="21994" builtinId="9" hidden="1"/>
    <cellStyle name="Followed Hyperlink" xfId="21995" builtinId="9" hidden="1"/>
    <cellStyle name="Followed Hyperlink" xfId="21996" builtinId="9" hidden="1"/>
    <cellStyle name="Followed Hyperlink" xfId="21997" builtinId="9" hidden="1"/>
    <cellStyle name="Followed Hyperlink" xfId="21998" builtinId="9" hidden="1"/>
    <cellStyle name="Followed Hyperlink" xfId="21999" builtinId="9" hidden="1"/>
    <cellStyle name="Followed Hyperlink" xfId="22000" builtinId="9" hidden="1"/>
    <cellStyle name="Followed Hyperlink" xfId="22001" builtinId="9" hidden="1"/>
    <cellStyle name="Followed Hyperlink" xfId="22002" builtinId="9" hidden="1"/>
    <cellStyle name="Followed Hyperlink" xfId="22003" builtinId="9" hidden="1"/>
    <cellStyle name="Followed Hyperlink" xfId="22004" builtinId="9" hidden="1"/>
    <cellStyle name="Followed Hyperlink" xfId="22005" builtinId="9" hidden="1"/>
    <cellStyle name="Followed Hyperlink" xfId="22006" builtinId="9" hidden="1"/>
    <cellStyle name="Followed Hyperlink" xfId="22007" builtinId="9" hidden="1"/>
    <cellStyle name="Followed Hyperlink" xfId="22008" builtinId="9" hidden="1"/>
    <cellStyle name="Followed Hyperlink" xfId="22009" builtinId="9" hidden="1"/>
    <cellStyle name="Followed Hyperlink" xfId="22010" builtinId="9" hidden="1"/>
    <cellStyle name="Followed Hyperlink" xfId="22011" builtinId="9" hidden="1"/>
    <cellStyle name="Followed Hyperlink" xfId="22012" builtinId="9" hidden="1"/>
    <cellStyle name="Followed Hyperlink" xfId="22013" builtinId="9" hidden="1"/>
    <cellStyle name="Followed Hyperlink" xfId="22014" builtinId="9" hidden="1"/>
    <cellStyle name="Followed Hyperlink" xfId="22015" builtinId="9" hidden="1"/>
    <cellStyle name="Followed Hyperlink" xfId="22016" builtinId="9" hidden="1"/>
    <cellStyle name="Followed Hyperlink" xfId="22017" builtinId="9" hidden="1"/>
    <cellStyle name="Followed Hyperlink" xfId="22018" builtinId="9" hidden="1"/>
    <cellStyle name="Followed Hyperlink" xfId="22019" builtinId="9" hidden="1"/>
    <cellStyle name="Followed Hyperlink" xfId="21655" builtinId="9" hidden="1"/>
    <cellStyle name="Followed Hyperlink" xfId="21980" builtinId="9" hidden="1"/>
    <cellStyle name="Followed Hyperlink" xfId="22021" builtinId="9" hidden="1"/>
    <cellStyle name="Followed Hyperlink" xfId="22022" builtinId="9" hidden="1"/>
    <cellStyle name="Followed Hyperlink" xfId="22023" builtinId="9" hidden="1"/>
    <cellStyle name="Followed Hyperlink" xfId="22024" builtinId="9" hidden="1"/>
    <cellStyle name="Followed Hyperlink" xfId="22025" builtinId="9" hidden="1"/>
    <cellStyle name="Followed Hyperlink" xfId="22026" builtinId="9" hidden="1"/>
    <cellStyle name="Followed Hyperlink" xfId="22027" builtinId="9" hidden="1"/>
    <cellStyle name="Followed Hyperlink" xfId="22028" builtinId="9" hidden="1"/>
    <cellStyle name="Followed Hyperlink" xfId="22029" builtinId="9" hidden="1"/>
    <cellStyle name="Followed Hyperlink" xfId="22030" builtinId="9" hidden="1"/>
    <cellStyle name="Followed Hyperlink" xfId="22031" builtinId="9" hidden="1"/>
    <cellStyle name="Followed Hyperlink" xfId="22032" builtinId="9" hidden="1"/>
    <cellStyle name="Followed Hyperlink" xfId="22033" builtinId="9" hidden="1"/>
    <cellStyle name="Followed Hyperlink" xfId="22034" builtinId="9" hidden="1"/>
    <cellStyle name="Followed Hyperlink" xfId="22035" builtinId="9" hidden="1"/>
    <cellStyle name="Followed Hyperlink" xfId="22036" builtinId="9" hidden="1"/>
    <cellStyle name="Followed Hyperlink" xfId="22037" builtinId="9" hidden="1"/>
    <cellStyle name="Followed Hyperlink" xfId="22038" builtinId="9" hidden="1"/>
    <cellStyle name="Followed Hyperlink" xfId="22039" builtinId="9" hidden="1"/>
    <cellStyle name="Followed Hyperlink" xfId="22040" builtinId="9" hidden="1"/>
    <cellStyle name="Followed Hyperlink" xfId="22041" builtinId="9" hidden="1"/>
    <cellStyle name="Followed Hyperlink" xfId="22042" builtinId="9" hidden="1"/>
    <cellStyle name="Followed Hyperlink" xfId="22043" builtinId="9" hidden="1"/>
    <cellStyle name="Followed Hyperlink" xfId="22044" builtinId="9" hidden="1"/>
    <cellStyle name="Followed Hyperlink" xfId="22045" builtinId="9" hidden="1"/>
    <cellStyle name="Followed Hyperlink" xfId="22046" builtinId="9" hidden="1"/>
    <cellStyle name="Followed Hyperlink" xfId="22047" builtinId="9" hidden="1"/>
    <cellStyle name="Followed Hyperlink" xfId="22048" builtinId="9" hidden="1"/>
    <cellStyle name="Followed Hyperlink" xfId="22049" builtinId="9" hidden="1"/>
    <cellStyle name="Followed Hyperlink" xfId="22050" builtinId="9" hidden="1"/>
    <cellStyle name="Followed Hyperlink" xfId="22051" builtinId="9" hidden="1"/>
    <cellStyle name="Followed Hyperlink" xfId="22052" builtinId="9" hidden="1"/>
    <cellStyle name="Followed Hyperlink" xfId="22053" builtinId="9" hidden="1"/>
    <cellStyle name="Followed Hyperlink" xfId="22054" builtinId="9" hidden="1"/>
    <cellStyle name="Followed Hyperlink" xfId="22055" builtinId="9" hidden="1"/>
    <cellStyle name="Followed Hyperlink" xfId="22056" builtinId="9" hidden="1"/>
    <cellStyle name="Followed Hyperlink" xfId="22057" builtinId="9" hidden="1"/>
    <cellStyle name="Followed Hyperlink" xfId="22058" builtinId="9" hidden="1"/>
    <cellStyle name="Followed Hyperlink" xfId="22059" builtinId="9" hidden="1"/>
    <cellStyle name="Followed Hyperlink" xfId="21651" builtinId="9" hidden="1"/>
    <cellStyle name="Followed Hyperlink" xfId="22020" builtinId="9" hidden="1"/>
    <cellStyle name="Followed Hyperlink" xfId="22060" builtinId="9" hidden="1"/>
    <cellStyle name="Followed Hyperlink" xfId="22061" builtinId="9" hidden="1"/>
    <cellStyle name="Followed Hyperlink" xfId="22062" builtinId="9" hidden="1"/>
    <cellStyle name="Followed Hyperlink" xfId="22063" builtinId="9" hidden="1"/>
    <cellStyle name="Followed Hyperlink" xfId="22064" builtinId="9" hidden="1"/>
    <cellStyle name="Followed Hyperlink" xfId="22065" builtinId="9" hidden="1"/>
    <cellStyle name="Followed Hyperlink" xfId="22066" builtinId="9" hidden="1"/>
    <cellStyle name="Followed Hyperlink" xfId="22067" builtinId="9" hidden="1"/>
    <cellStyle name="Followed Hyperlink" xfId="22068" builtinId="9" hidden="1"/>
    <cellStyle name="Followed Hyperlink" xfId="22069" builtinId="9" hidden="1"/>
    <cellStyle name="Followed Hyperlink" xfId="22070" builtinId="9" hidden="1"/>
    <cellStyle name="Followed Hyperlink" xfId="22071" builtinId="9" hidden="1"/>
    <cellStyle name="Followed Hyperlink" xfId="22072" builtinId="9" hidden="1"/>
    <cellStyle name="Followed Hyperlink" xfId="22073" builtinId="9" hidden="1"/>
    <cellStyle name="Followed Hyperlink" xfId="22074" builtinId="9" hidden="1"/>
    <cellStyle name="Followed Hyperlink" xfId="22075" builtinId="9" hidden="1"/>
    <cellStyle name="Followed Hyperlink" xfId="22076" builtinId="9" hidden="1"/>
    <cellStyle name="Followed Hyperlink" xfId="22077" builtinId="9" hidden="1"/>
    <cellStyle name="Followed Hyperlink" xfId="22078" builtinId="9" hidden="1"/>
    <cellStyle name="Followed Hyperlink" xfId="22079" builtinId="9" hidden="1"/>
    <cellStyle name="Followed Hyperlink" xfId="22080" builtinId="9" hidden="1"/>
    <cellStyle name="Followed Hyperlink" xfId="22081" builtinId="9" hidden="1"/>
    <cellStyle name="Followed Hyperlink" xfId="22082" builtinId="9" hidden="1"/>
    <cellStyle name="Followed Hyperlink" xfId="22083" builtinId="9" hidden="1"/>
    <cellStyle name="Followed Hyperlink" xfId="22084" builtinId="9" hidden="1"/>
    <cellStyle name="Followed Hyperlink" xfId="22085" builtinId="9" hidden="1"/>
    <cellStyle name="Followed Hyperlink" xfId="22086" builtinId="9" hidden="1"/>
    <cellStyle name="Followed Hyperlink" xfId="22087" builtinId="9" hidden="1"/>
    <cellStyle name="Followed Hyperlink" xfId="22088" builtinId="9" hidden="1"/>
    <cellStyle name="Followed Hyperlink" xfId="22089" builtinId="9" hidden="1"/>
    <cellStyle name="Followed Hyperlink" xfId="22090" builtinId="9" hidden="1"/>
    <cellStyle name="Followed Hyperlink" xfId="22091" builtinId="9" hidden="1"/>
    <cellStyle name="Followed Hyperlink" xfId="22092" builtinId="9" hidden="1"/>
    <cellStyle name="Followed Hyperlink" xfId="22093" builtinId="9" hidden="1"/>
    <cellStyle name="Followed Hyperlink" xfId="22094" builtinId="9" hidden="1"/>
    <cellStyle name="Followed Hyperlink" xfId="22095" builtinId="9" hidden="1"/>
    <cellStyle name="Followed Hyperlink" xfId="22096" builtinId="9" hidden="1"/>
    <cellStyle name="Followed Hyperlink" xfId="22097" builtinId="9" hidden="1"/>
    <cellStyle name="Followed Hyperlink" xfId="22098" builtinId="9" hidden="1"/>
    <cellStyle name="Followed Hyperlink" xfId="20132" builtinId="9" hidden="1"/>
    <cellStyle name="Followed Hyperlink" xfId="20130" builtinId="9" hidden="1"/>
    <cellStyle name="Followed Hyperlink" xfId="22099" builtinId="9" hidden="1"/>
    <cellStyle name="Followed Hyperlink" xfId="22100" builtinId="9" hidden="1"/>
    <cellStyle name="Followed Hyperlink" xfId="22101" builtinId="9" hidden="1"/>
    <cellStyle name="Followed Hyperlink" xfId="22102" builtinId="9" hidden="1"/>
    <cellStyle name="Followed Hyperlink" xfId="22103" builtinId="9" hidden="1"/>
    <cellStyle name="Followed Hyperlink" xfId="22104" builtinId="9" hidden="1"/>
    <cellStyle name="Followed Hyperlink" xfId="22105" builtinId="9" hidden="1"/>
    <cellStyle name="Followed Hyperlink" xfId="22106" builtinId="9" hidden="1"/>
    <cellStyle name="Followed Hyperlink" xfId="22107" builtinId="9" hidden="1"/>
    <cellStyle name="Followed Hyperlink" xfId="22108" builtinId="9" hidden="1"/>
    <cellStyle name="Followed Hyperlink" xfId="22109" builtinId="9" hidden="1"/>
    <cellStyle name="Followed Hyperlink" xfId="22110" builtinId="9" hidden="1"/>
    <cellStyle name="Followed Hyperlink" xfId="22111" builtinId="9" hidden="1"/>
    <cellStyle name="Followed Hyperlink" xfId="22112" builtinId="9" hidden="1"/>
    <cellStyle name="Followed Hyperlink" xfId="22113" builtinId="9" hidden="1"/>
    <cellStyle name="Followed Hyperlink" xfId="22114" builtinId="9" hidden="1"/>
    <cellStyle name="Followed Hyperlink" xfId="22115" builtinId="9" hidden="1"/>
    <cellStyle name="Followed Hyperlink" xfId="22116" builtinId="9" hidden="1"/>
    <cellStyle name="Followed Hyperlink" xfId="22117" builtinId="9" hidden="1"/>
    <cellStyle name="Followed Hyperlink" xfId="22118" builtinId="9" hidden="1"/>
    <cellStyle name="Followed Hyperlink" xfId="22119" builtinId="9" hidden="1"/>
    <cellStyle name="Followed Hyperlink" xfId="22120" builtinId="9" hidden="1"/>
    <cellStyle name="Followed Hyperlink" xfId="22121" builtinId="9" hidden="1"/>
    <cellStyle name="Followed Hyperlink" xfId="22122" builtinId="9" hidden="1"/>
    <cellStyle name="Followed Hyperlink" xfId="22123" builtinId="9" hidden="1"/>
    <cellStyle name="Followed Hyperlink" xfId="22124" builtinId="9" hidden="1"/>
    <cellStyle name="Followed Hyperlink" xfId="22125" builtinId="9" hidden="1"/>
    <cellStyle name="Followed Hyperlink" xfId="22126" builtinId="9" hidden="1"/>
    <cellStyle name="Followed Hyperlink" xfId="22127" builtinId="9" hidden="1"/>
    <cellStyle name="Followed Hyperlink" xfId="22128" builtinId="9" hidden="1"/>
    <cellStyle name="Followed Hyperlink" xfId="22129" builtinId="9" hidden="1"/>
    <cellStyle name="Followed Hyperlink" xfId="22130" builtinId="9" hidden="1"/>
    <cellStyle name="Followed Hyperlink" xfId="22131" builtinId="9" hidden="1"/>
    <cellStyle name="Followed Hyperlink" xfId="22132" builtinId="9" hidden="1"/>
    <cellStyle name="Followed Hyperlink" xfId="22133" builtinId="9" hidden="1"/>
    <cellStyle name="Followed Hyperlink" xfId="22134" builtinId="9" hidden="1"/>
    <cellStyle name="Followed Hyperlink" xfId="22135" builtinId="9" hidden="1"/>
    <cellStyle name="Followed Hyperlink" xfId="22136" builtinId="9" hidden="1"/>
    <cellStyle name="Followed Hyperlink" xfId="22137" builtinId="9" hidden="1"/>
    <cellStyle name="Followed Hyperlink" xfId="22146" builtinId="9" hidden="1"/>
    <cellStyle name="Followed Hyperlink" xfId="22147" builtinId="9" hidden="1"/>
    <cellStyle name="Followed Hyperlink" xfId="22148" builtinId="9" hidden="1"/>
    <cellStyle name="Followed Hyperlink" xfId="22149" builtinId="9" hidden="1"/>
    <cellStyle name="Followed Hyperlink" xfId="22150" builtinId="9" hidden="1"/>
    <cellStyle name="Followed Hyperlink" xfId="22151" builtinId="9" hidden="1"/>
    <cellStyle name="Followed Hyperlink" xfId="22152" builtinId="9" hidden="1"/>
    <cellStyle name="Followed Hyperlink" xfId="22153" builtinId="9" hidden="1"/>
    <cellStyle name="Followed Hyperlink" xfId="22154" builtinId="9" hidden="1"/>
    <cellStyle name="Followed Hyperlink" xfId="22155" builtinId="9" hidden="1"/>
    <cellStyle name="Followed Hyperlink" xfId="22156" builtinId="9" hidden="1"/>
    <cellStyle name="Followed Hyperlink" xfId="22157" builtinId="9" hidden="1"/>
    <cellStyle name="Followed Hyperlink" xfId="22158" builtinId="9" hidden="1"/>
    <cellStyle name="Followed Hyperlink" xfId="22159" builtinId="9" hidden="1"/>
    <cellStyle name="Followed Hyperlink" xfId="22160" builtinId="9" hidden="1"/>
    <cellStyle name="Followed Hyperlink" xfId="22161" builtinId="9" hidden="1"/>
    <cellStyle name="Followed Hyperlink" xfId="22162" builtinId="9" hidden="1"/>
    <cellStyle name="Followed Hyperlink" xfId="22163" builtinId="9" hidden="1"/>
    <cellStyle name="Followed Hyperlink" xfId="22164" builtinId="9" hidden="1"/>
    <cellStyle name="Followed Hyperlink" xfId="22165" builtinId="9" hidden="1"/>
    <cellStyle name="Followed Hyperlink" xfId="22166" builtinId="9" hidden="1"/>
    <cellStyle name="Followed Hyperlink" xfId="22167" builtinId="9" hidden="1"/>
    <cellStyle name="Followed Hyperlink" xfId="22168" builtinId="9" hidden="1"/>
    <cellStyle name="Followed Hyperlink" xfId="22169" builtinId="9" hidden="1"/>
    <cellStyle name="Followed Hyperlink" xfId="22170" builtinId="9" hidden="1"/>
    <cellStyle name="Followed Hyperlink" xfId="22171" builtinId="9" hidden="1"/>
    <cellStyle name="Followed Hyperlink" xfId="22172" builtinId="9" hidden="1"/>
    <cellStyle name="Followed Hyperlink" xfId="22173" builtinId="9" hidden="1"/>
    <cellStyle name="Followed Hyperlink" xfId="22174" builtinId="9" hidden="1"/>
    <cellStyle name="Followed Hyperlink" xfId="22175" builtinId="9" hidden="1"/>
    <cellStyle name="Followed Hyperlink" xfId="22176" builtinId="9" hidden="1"/>
    <cellStyle name="Followed Hyperlink" xfId="22177" builtinId="9" hidden="1"/>
    <cellStyle name="Followed Hyperlink" xfId="22178" builtinId="9" hidden="1"/>
    <cellStyle name="Followed Hyperlink" xfId="22179" builtinId="9" hidden="1"/>
    <cellStyle name="Followed Hyperlink" xfId="22180" builtinId="9" hidden="1"/>
    <cellStyle name="Followed Hyperlink" xfId="22181" builtinId="9" hidden="1"/>
    <cellStyle name="Followed Hyperlink" xfId="22182" builtinId="9" hidden="1"/>
    <cellStyle name="Followed Hyperlink" xfId="22183" builtinId="9" hidden="1"/>
    <cellStyle name="Followed Hyperlink" xfId="22184" builtinId="9" hidden="1"/>
    <cellStyle name="Followed Hyperlink" xfId="22185" builtinId="9" hidden="1"/>
    <cellStyle name="Followed Hyperlink" xfId="22186" builtinId="9" hidden="1"/>
    <cellStyle name="Followed Hyperlink" xfId="22187" builtinId="9" hidden="1"/>
    <cellStyle name="Followed Hyperlink" xfId="22188" builtinId="9" hidden="1"/>
    <cellStyle name="Followed Hyperlink" xfId="22189" builtinId="9" hidden="1"/>
    <cellStyle name="Followed Hyperlink" xfId="22190" builtinId="9" hidden="1"/>
    <cellStyle name="Followed Hyperlink" xfId="22191" builtinId="9" hidden="1"/>
    <cellStyle name="Followed Hyperlink" xfId="22192" builtinId="9" hidden="1"/>
    <cellStyle name="Followed Hyperlink" xfId="22193" builtinId="9" hidden="1"/>
    <cellStyle name="Followed Hyperlink" xfId="22194" builtinId="9" hidden="1"/>
    <cellStyle name="Followed Hyperlink" xfId="22195" builtinId="9" hidden="1"/>
    <cellStyle name="Followed Hyperlink" xfId="22196" builtinId="9" hidden="1"/>
    <cellStyle name="Followed Hyperlink" xfId="22197" builtinId="9" hidden="1"/>
    <cellStyle name="Followed Hyperlink" xfId="22198" builtinId="9" hidden="1"/>
    <cellStyle name="Followed Hyperlink" xfId="22199" builtinId="9" hidden="1"/>
    <cellStyle name="Followed Hyperlink" xfId="22200" builtinId="9" hidden="1"/>
    <cellStyle name="Followed Hyperlink" xfId="22201" builtinId="9" hidden="1"/>
    <cellStyle name="Followed Hyperlink" xfId="22202" builtinId="9" hidden="1"/>
    <cellStyle name="Followed Hyperlink" xfId="22203" builtinId="9" hidden="1"/>
    <cellStyle name="Followed Hyperlink" xfId="22204" builtinId="9" hidden="1"/>
    <cellStyle name="Followed Hyperlink" xfId="22205" builtinId="9" hidden="1"/>
    <cellStyle name="Followed Hyperlink" xfId="22206" builtinId="9" hidden="1"/>
    <cellStyle name="Followed Hyperlink" xfId="22207" builtinId="9" hidden="1"/>
    <cellStyle name="Followed Hyperlink" xfId="22208" builtinId="9" hidden="1"/>
    <cellStyle name="Followed Hyperlink" xfId="22209" builtinId="9" hidden="1"/>
    <cellStyle name="Followed Hyperlink" xfId="22210" builtinId="9" hidden="1"/>
    <cellStyle name="Followed Hyperlink" xfId="22211" builtinId="9" hidden="1"/>
    <cellStyle name="Followed Hyperlink" xfId="22212" builtinId="9" hidden="1"/>
    <cellStyle name="Followed Hyperlink" xfId="22213" builtinId="9" hidden="1"/>
    <cellStyle name="Followed Hyperlink" xfId="22214" builtinId="9" hidden="1"/>
    <cellStyle name="Followed Hyperlink" xfId="22215" builtinId="9" hidden="1"/>
    <cellStyle name="Followed Hyperlink" xfId="22216" builtinId="9" hidden="1"/>
    <cellStyle name="Followed Hyperlink" xfId="22217" builtinId="9" hidden="1"/>
    <cellStyle name="Followed Hyperlink" xfId="22218" builtinId="9" hidden="1"/>
    <cellStyle name="Followed Hyperlink" xfId="22219" builtinId="9" hidden="1"/>
    <cellStyle name="Followed Hyperlink" xfId="22220" builtinId="9" hidden="1"/>
    <cellStyle name="Followed Hyperlink" xfId="22221" builtinId="9" hidden="1"/>
    <cellStyle name="Followed Hyperlink" xfId="22222" builtinId="9" hidden="1"/>
    <cellStyle name="Followed Hyperlink" xfId="22223" builtinId="9" hidden="1"/>
    <cellStyle name="Followed Hyperlink" xfId="22224" builtinId="9" hidden="1"/>
    <cellStyle name="Followed Hyperlink" xfId="22225" builtinId="9" hidden="1"/>
    <cellStyle name="Followed Hyperlink" xfId="22226" builtinId="9" hidden="1"/>
    <cellStyle name="Followed Hyperlink" xfId="22227" builtinId="9" hidden="1"/>
    <cellStyle name="Followed Hyperlink" xfId="22228" builtinId="9" hidden="1"/>
    <cellStyle name="Followed Hyperlink" xfId="22229" builtinId="9" hidden="1"/>
    <cellStyle name="Followed Hyperlink" xfId="22230" builtinId="9" hidden="1"/>
    <cellStyle name="Followed Hyperlink" xfId="22231" builtinId="9" hidden="1"/>
    <cellStyle name="Followed Hyperlink" xfId="22232" builtinId="9" hidden="1"/>
    <cellStyle name="Followed Hyperlink" xfId="22233" builtinId="9" hidden="1"/>
    <cellStyle name="Followed Hyperlink" xfId="22234" builtinId="9" hidden="1"/>
    <cellStyle name="Followed Hyperlink" xfId="22235" builtinId="9" hidden="1"/>
    <cellStyle name="Followed Hyperlink" xfId="22236" builtinId="9" hidden="1"/>
    <cellStyle name="Followed Hyperlink" xfId="22237" builtinId="9" hidden="1"/>
    <cellStyle name="Followed Hyperlink" xfId="22238" builtinId="9" hidden="1"/>
    <cellStyle name="Followed Hyperlink" xfId="22239" builtinId="9" hidden="1"/>
    <cellStyle name="Followed Hyperlink" xfId="22240" builtinId="9" hidden="1"/>
    <cellStyle name="Followed Hyperlink" xfId="22241" builtinId="9" hidden="1"/>
    <cellStyle name="Followed Hyperlink" xfId="22242" builtinId="9" hidden="1"/>
    <cellStyle name="Followed Hyperlink" xfId="22243" builtinId="9" hidden="1"/>
    <cellStyle name="Followed Hyperlink" xfId="22244" builtinId="9" hidden="1"/>
    <cellStyle name="Followed Hyperlink" xfId="22245" builtinId="9" hidden="1"/>
    <cellStyle name="Followed Hyperlink" xfId="22246" builtinId="9" hidden="1"/>
    <cellStyle name="Followed Hyperlink" xfId="22247" builtinId="9" hidden="1"/>
    <cellStyle name="Followed Hyperlink" xfId="22248" builtinId="9" hidden="1"/>
    <cellStyle name="Followed Hyperlink" xfId="22249" builtinId="9" hidden="1"/>
    <cellStyle name="Followed Hyperlink" xfId="22250" builtinId="9" hidden="1"/>
    <cellStyle name="Followed Hyperlink" xfId="22251" builtinId="9" hidden="1"/>
    <cellStyle name="Followed Hyperlink" xfId="22252" builtinId="9" hidden="1"/>
    <cellStyle name="Followed Hyperlink" xfId="22253" builtinId="9" hidden="1"/>
    <cellStyle name="Followed Hyperlink" xfId="22254" builtinId="9" hidden="1"/>
    <cellStyle name="Followed Hyperlink" xfId="22255" builtinId="9" hidden="1"/>
    <cellStyle name="Followed Hyperlink" xfId="22256" builtinId="9" hidden="1"/>
    <cellStyle name="Followed Hyperlink" xfId="22257" builtinId="9" hidden="1"/>
    <cellStyle name="Followed Hyperlink" xfId="22258" builtinId="9" hidden="1"/>
    <cellStyle name="Followed Hyperlink" xfId="22259" builtinId="9" hidden="1"/>
    <cellStyle name="Followed Hyperlink" xfId="22260" builtinId="9" hidden="1"/>
    <cellStyle name="Followed Hyperlink" xfId="22261" builtinId="9" hidden="1"/>
    <cellStyle name="Followed Hyperlink" xfId="22262" builtinId="9" hidden="1"/>
    <cellStyle name="Followed Hyperlink" xfId="22263" builtinId="9" hidden="1"/>
    <cellStyle name="Followed Hyperlink" xfId="22264" builtinId="9" hidden="1"/>
    <cellStyle name="Followed Hyperlink" xfId="22265" builtinId="9" hidden="1"/>
    <cellStyle name="Followed Hyperlink" xfId="22266" builtinId="9" hidden="1"/>
    <cellStyle name="Followed Hyperlink" xfId="22267" builtinId="9" hidden="1"/>
    <cellStyle name="Followed Hyperlink" xfId="22268" builtinId="9" hidden="1"/>
    <cellStyle name="Followed Hyperlink" xfId="22138" builtinId="9" hidden="1"/>
    <cellStyle name="Followed Hyperlink" xfId="20138" builtinId="9" hidden="1"/>
    <cellStyle name="Followed Hyperlink" xfId="22270" builtinId="9" hidden="1"/>
    <cellStyle name="Followed Hyperlink" xfId="22271" builtinId="9" hidden="1"/>
    <cellStyle name="Followed Hyperlink" xfId="22272" builtinId="9" hidden="1"/>
    <cellStyle name="Followed Hyperlink" xfId="22273" builtinId="9" hidden="1"/>
    <cellStyle name="Followed Hyperlink" xfId="22274" builtinId="9" hidden="1"/>
    <cellStyle name="Followed Hyperlink" xfId="22275" builtinId="9" hidden="1"/>
    <cellStyle name="Followed Hyperlink" xfId="22276" builtinId="9" hidden="1"/>
    <cellStyle name="Followed Hyperlink" xfId="22277" builtinId="9" hidden="1"/>
    <cellStyle name="Followed Hyperlink" xfId="22278" builtinId="9" hidden="1"/>
    <cellStyle name="Followed Hyperlink" xfId="22279" builtinId="9" hidden="1"/>
    <cellStyle name="Followed Hyperlink" xfId="22280" builtinId="9" hidden="1"/>
    <cellStyle name="Followed Hyperlink" xfId="22281" builtinId="9" hidden="1"/>
    <cellStyle name="Followed Hyperlink" xfId="22282" builtinId="9" hidden="1"/>
    <cellStyle name="Followed Hyperlink" xfId="22283" builtinId="9" hidden="1"/>
    <cellStyle name="Followed Hyperlink" xfId="22284" builtinId="9" hidden="1"/>
    <cellStyle name="Followed Hyperlink" xfId="22285" builtinId="9" hidden="1"/>
    <cellStyle name="Followed Hyperlink" xfId="22286" builtinId="9" hidden="1"/>
    <cellStyle name="Followed Hyperlink" xfId="22287" builtinId="9" hidden="1"/>
    <cellStyle name="Followed Hyperlink" xfId="22288" builtinId="9" hidden="1"/>
    <cellStyle name="Followed Hyperlink" xfId="22289" builtinId="9" hidden="1"/>
    <cellStyle name="Followed Hyperlink" xfId="22290" builtinId="9" hidden="1"/>
    <cellStyle name="Followed Hyperlink" xfId="22291" builtinId="9" hidden="1"/>
    <cellStyle name="Followed Hyperlink" xfId="22292" builtinId="9" hidden="1"/>
    <cellStyle name="Followed Hyperlink" xfId="22293" builtinId="9" hidden="1"/>
    <cellStyle name="Followed Hyperlink" xfId="22294" builtinId="9" hidden="1"/>
    <cellStyle name="Followed Hyperlink" xfId="22295" builtinId="9" hidden="1"/>
    <cellStyle name="Followed Hyperlink" xfId="22296" builtinId="9" hidden="1"/>
    <cellStyle name="Followed Hyperlink" xfId="22297" builtinId="9" hidden="1"/>
    <cellStyle name="Followed Hyperlink" xfId="22298" builtinId="9" hidden="1"/>
    <cellStyle name="Followed Hyperlink" xfId="22299" builtinId="9" hidden="1"/>
    <cellStyle name="Followed Hyperlink" xfId="22300" builtinId="9" hidden="1"/>
    <cellStyle name="Followed Hyperlink" xfId="22301" builtinId="9" hidden="1"/>
    <cellStyle name="Followed Hyperlink" xfId="22302" builtinId="9" hidden="1"/>
    <cellStyle name="Followed Hyperlink" xfId="22303" builtinId="9" hidden="1"/>
    <cellStyle name="Followed Hyperlink" xfId="22304" builtinId="9" hidden="1"/>
    <cellStyle name="Followed Hyperlink" xfId="22305" builtinId="9" hidden="1"/>
    <cellStyle name="Followed Hyperlink" xfId="22306" builtinId="9" hidden="1"/>
    <cellStyle name="Followed Hyperlink" xfId="22307" builtinId="9" hidden="1"/>
    <cellStyle name="Followed Hyperlink" xfId="22308" builtinId="9" hidden="1"/>
    <cellStyle name="Followed Hyperlink" xfId="22143" builtinId="9" hidden="1"/>
    <cellStyle name="Followed Hyperlink" xfId="22269" builtinId="9" hidden="1"/>
    <cellStyle name="Followed Hyperlink" xfId="22310" builtinId="9" hidden="1"/>
    <cellStyle name="Followed Hyperlink" xfId="22311" builtinId="9" hidden="1"/>
    <cellStyle name="Followed Hyperlink" xfId="22312" builtinId="9" hidden="1"/>
    <cellStyle name="Followed Hyperlink" xfId="22313" builtinId="9" hidden="1"/>
    <cellStyle name="Followed Hyperlink" xfId="22314" builtinId="9" hidden="1"/>
    <cellStyle name="Followed Hyperlink" xfId="22315" builtinId="9" hidden="1"/>
    <cellStyle name="Followed Hyperlink" xfId="22316" builtinId="9" hidden="1"/>
    <cellStyle name="Followed Hyperlink" xfId="22317" builtinId="9" hidden="1"/>
    <cellStyle name="Followed Hyperlink" xfId="22318" builtinId="9" hidden="1"/>
    <cellStyle name="Followed Hyperlink" xfId="22319" builtinId="9" hidden="1"/>
    <cellStyle name="Followed Hyperlink" xfId="22320" builtinId="9" hidden="1"/>
    <cellStyle name="Followed Hyperlink" xfId="22321" builtinId="9" hidden="1"/>
    <cellStyle name="Followed Hyperlink" xfId="22322" builtinId="9" hidden="1"/>
    <cellStyle name="Followed Hyperlink" xfId="22323" builtinId="9" hidden="1"/>
    <cellStyle name="Followed Hyperlink" xfId="22324" builtinId="9" hidden="1"/>
    <cellStyle name="Followed Hyperlink" xfId="22325" builtinId="9" hidden="1"/>
    <cellStyle name="Followed Hyperlink" xfId="22326" builtinId="9" hidden="1"/>
    <cellStyle name="Followed Hyperlink" xfId="22327" builtinId="9" hidden="1"/>
    <cellStyle name="Followed Hyperlink" xfId="22328" builtinId="9" hidden="1"/>
    <cellStyle name="Followed Hyperlink" xfId="22329" builtinId="9" hidden="1"/>
    <cellStyle name="Followed Hyperlink" xfId="22330" builtinId="9" hidden="1"/>
    <cellStyle name="Followed Hyperlink" xfId="22331" builtinId="9" hidden="1"/>
    <cellStyle name="Followed Hyperlink" xfId="22332" builtinId="9" hidden="1"/>
    <cellStyle name="Followed Hyperlink" xfId="22333" builtinId="9" hidden="1"/>
    <cellStyle name="Followed Hyperlink" xfId="22334" builtinId="9" hidden="1"/>
    <cellStyle name="Followed Hyperlink" xfId="22335" builtinId="9" hidden="1"/>
    <cellStyle name="Followed Hyperlink" xfId="22336" builtinId="9" hidden="1"/>
    <cellStyle name="Followed Hyperlink" xfId="22337" builtinId="9" hidden="1"/>
    <cellStyle name="Followed Hyperlink" xfId="22338" builtinId="9" hidden="1"/>
    <cellStyle name="Followed Hyperlink" xfId="22339" builtinId="9" hidden="1"/>
    <cellStyle name="Followed Hyperlink" xfId="22340" builtinId="9" hidden="1"/>
    <cellStyle name="Followed Hyperlink" xfId="22341" builtinId="9" hidden="1"/>
    <cellStyle name="Followed Hyperlink" xfId="22342" builtinId="9" hidden="1"/>
    <cellStyle name="Followed Hyperlink" xfId="22343" builtinId="9" hidden="1"/>
    <cellStyle name="Followed Hyperlink" xfId="22344" builtinId="9" hidden="1"/>
    <cellStyle name="Followed Hyperlink" xfId="22345" builtinId="9" hidden="1"/>
    <cellStyle name="Followed Hyperlink" xfId="22346" builtinId="9" hidden="1"/>
    <cellStyle name="Followed Hyperlink" xfId="22347" builtinId="9" hidden="1"/>
    <cellStyle name="Followed Hyperlink" xfId="22348" builtinId="9" hidden="1"/>
    <cellStyle name="Followed Hyperlink" xfId="22145" builtinId="9" hidden="1"/>
    <cellStyle name="Followed Hyperlink" xfId="22309" builtinId="9" hidden="1"/>
    <cellStyle name="Followed Hyperlink" xfId="22350" builtinId="9" hidden="1"/>
    <cellStyle name="Followed Hyperlink" xfId="22351" builtinId="9" hidden="1"/>
    <cellStyle name="Followed Hyperlink" xfId="22352" builtinId="9" hidden="1"/>
    <cellStyle name="Followed Hyperlink" xfId="22353" builtinId="9" hidden="1"/>
    <cellStyle name="Followed Hyperlink" xfId="22354" builtinId="9" hidden="1"/>
    <cellStyle name="Followed Hyperlink" xfId="22355" builtinId="9" hidden="1"/>
    <cellStyle name="Followed Hyperlink" xfId="22356" builtinId="9" hidden="1"/>
    <cellStyle name="Followed Hyperlink" xfId="22357" builtinId="9" hidden="1"/>
    <cellStyle name="Followed Hyperlink" xfId="22358" builtinId="9" hidden="1"/>
    <cellStyle name="Followed Hyperlink" xfId="22359" builtinId="9" hidden="1"/>
    <cellStyle name="Followed Hyperlink" xfId="22360" builtinId="9" hidden="1"/>
    <cellStyle name="Followed Hyperlink" xfId="22361" builtinId="9" hidden="1"/>
    <cellStyle name="Followed Hyperlink" xfId="22362" builtinId="9" hidden="1"/>
    <cellStyle name="Followed Hyperlink" xfId="22363" builtinId="9" hidden="1"/>
    <cellStyle name="Followed Hyperlink" xfId="22364" builtinId="9" hidden="1"/>
    <cellStyle name="Followed Hyperlink" xfId="22365" builtinId="9" hidden="1"/>
    <cellStyle name="Followed Hyperlink" xfId="22366" builtinId="9" hidden="1"/>
    <cellStyle name="Followed Hyperlink" xfId="22367" builtinId="9" hidden="1"/>
    <cellStyle name="Followed Hyperlink" xfId="22368" builtinId="9" hidden="1"/>
    <cellStyle name="Followed Hyperlink" xfId="22369" builtinId="9" hidden="1"/>
    <cellStyle name="Followed Hyperlink" xfId="22370" builtinId="9" hidden="1"/>
    <cellStyle name="Followed Hyperlink" xfId="22371" builtinId="9" hidden="1"/>
    <cellStyle name="Followed Hyperlink" xfId="22372" builtinId="9" hidden="1"/>
    <cellStyle name="Followed Hyperlink" xfId="22373" builtinId="9" hidden="1"/>
    <cellStyle name="Followed Hyperlink" xfId="22374" builtinId="9" hidden="1"/>
    <cellStyle name="Followed Hyperlink" xfId="22375" builtinId="9" hidden="1"/>
    <cellStyle name="Followed Hyperlink" xfId="22376" builtinId="9" hidden="1"/>
    <cellStyle name="Followed Hyperlink" xfId="22377" builtinId="9" hidden="1"/>
    <cellStyle name="Followed Hyperlink" xfId="22378" builtinId="9" hidden="1"/>
    <cellStyle name="Followed Hyperlink" xfId="22379" builtinId="9" hidden="1"/>
    <cellStyle name="Followed Hyperlink" xfId="22380" builtinId="9" hidden="1"/>
    <cellStyle name="Followed Hyperlink" xfId="22381" builtinId="9" hidden="1"/>
    <cellStyle name="Followed Hyperlink" xfId="22382" builtinId="9" hidden="1"/>
    <cellStyle name="Followed Hyperlink" xfId="22383" builtinId="9" hidden="1"/>
    <cellStyle name="Followed Hyperlink" xfId="22384" builtinId="9" hidden="1"/>
    <cellStyle name="Followed Hyperlink" xfId="22385" builtinId="9" hidden="1"/>
    <cellStyle name="Followed Hyperlink" xfId="22386" builtinId="9" hidden="1"/>
    <cellStyle name="Followed Hyperlink" xfId="22387" builtinId="9" hidden="1"/>
    <cellStyle name="Followed Hyperlink" xfId="22388" builtinId="9" hidden="1"/>
    <cellStyle name="Followed Hyperlink" xfId="22139" builtinId="9" hidden="1"/>
    <cellStyle name="Followed Hyperlink" xfId="22349" builtinId="9" hidden="1"/>
    <cellStyle name="Followed Hyperlink" xfId="22390" builtinId="9" hidden="1"/>
    <cellStyle name="Followed Hyperlink" xfId="22391" builtinId="9" hidden="1"/>
    <cellStyle name="Followed Hyperlink" xfId="22392" builtinId="9" hidden="1"/>
    <cellStyle name="Followed Hyperlink" xfId="22393" builtinId="9" hidden="1"/>
    <cellStyle name="Followed Hyperlink" xfId="22394" builtinId="9" hidden="1"/>
    <cellStyle name="Followed Hyperlink" xfId="22395" builtinId="9" hidden="1"/>
    <cellStyle name="Followed Hyperlink" xfId="22396" builtinId="9" hidden="1"/>
    <cellStyle name="Followed Hyperlink" xfId="22397" builtinId="9" hidden="1"/>
    <cellStyle name="Followed Hyperlink" xfId="22398" builtinId="9" hidden="1"/>
    <cellStyle name="Followed Hyperlink" xfId="22399" builtinId="9" hidden="1"/>
    <cellStyle name="Followed Hyperlink" xfId="22400" builtinId="9" hidden="1"/>
    <cellStyle name="Followed Hyperlink" xfId="22401" builtinId="9" hidden="1"/>
    <cellStyle name="Followed Hyperlink" xfId="22402" builtinId="9" hidden="1"/>
    <cellStyle name="Followed Hyperlink" xfId="22403" builtinId="9" hidden="1"/>
    <cellStyle name="Followed Hyperlink" xfId="22404" builtinId="9" hidden="1"/>
    <cellStyle name="Followed Hyperlink" xfId="22405" builtinId="9" hidden="1"/>
    <cellStyle name="Followed Hyperlink" xfId="22406" builtinId="9" hidden="1"/>
    <cellStyle name="Followed Hyperlink" xfId="22407" builtinId="9" hidden="1"/>
    <cellStyle name="Followed Hyperlink" xfId="22408" builtinId="9" hidden="1"/>
    <cellStyle name="Followed Hyperlink" xfId="22409" builtinId="9" hidden="1"/>
    <cellStyle name="Followed Hyperlink" xfId="22410" builtinId="9" hidden="1"/>
    <cellStyle name="Followed Hyperlink" xfId="22411" builtinId="9" hidden="1"/>
    <cellStyle name="Followed Hyperlink" xfId="22412" builtinId="9" hidden="1"/>
    <cellStyle name="Followed Hyperlink" xfId="22413" builtinId="9" hidden="1"/>
    <cellStyle name="Followed Hyperlink" xfId="22414" builtinId="9" hidden="1"/>
    <cellStyle name="Followed Hyperlink" xfId="22415" builtinId="9" hidden="1"/>
    <cellStyle name="Followed Hyperlink" xfId="22416" builtinId="9" hidden="1"/>
    <cellStyle name="Followed Hyperlink" xfId="22417" builtinId="9" hidden="1"/>
    <cellStyle name="Followed Hyperlink" xfId="22418" builtinId="9" hidden="1"/>
    <cellStyle name="Followed Hyperlink" xfId="22419" builtinId="9" hidden="1"/>
    <cellStyle name="Followed Hyperlink" xfId="22420" builtinId="9" hidden="1"/>
    <cellStyle name="Followed Hyperlink" xfId="22421" builtinId="9" hidden="1"/>
    <cellStyle name="Followed Hyperlink" xfId="22422" builtinId="9" hidden="1"/>
    <cellStyle name="Followed Hyperlink" xfId="22423" builtinId="9" hidden="1"/>
    <cellStyle name="Followed Hyperlink" xfId="22424" builtinId="9" hidden="1"/>
    <cellStyle name="Followed Hyperlink" xfId="22425" builtinId="9" hidden="1"/>
    <cellStyle name="Followed Hyperlink" xfId="22426" builtinId="9" hidden="1"/>
    <cellStyle name="Followed Hyperlink" xfId="22427" builtinId="9" hidden="1"/>
    <cellStyle name="Followed Hyperlink" xfId="22428" builtinId="9" hidden="1"/>
    <cellStyle name="Followed Hyperlink" xfId="22141" builtinId="9" hidden="1"/>
    <cellStyle name="Followed Hyperlink" xfId="22389" builtinId="9" hidden="1"/>
    <cellStyle name="Followed Hyperlink" xfId="22430" builtinId="9" hidden="1"/>
    <cellStyle name="Followed Hyperlink" xfId="22431" builtinId="9" hidden="1"/>
    <cellStyle name="Followed Hyperlink" xfId="22432" builtinId="9" hidden="1"/>
    <cellStyle name="Followed Hyperlink" xfId="22433" builtinId="9" hidden="1"/>
    <cellStyle name="Followed Hyperlink" xfId="22434" builtinId="9" hidden="1"/>
    <cellStyle name="Followed Hyperlink" xfId="22435" builtinId="9" hidden="1"/>
    <cellStyle name="Followed Hyperlink" xfId="22436" builtinId="9" hidden="1"/>
    <cellStyle name="Followed Hyperlink" xfId="22437" builtinId="9" hidden="1"/>
    <cellStyle name="Followed Hyperlink" xfId="22438" builtinId="9" hidden="1"/>
    <cellStyle name="Followed Hyperlink" xfId="22439" builtinId="9" hidden="1"/>
    <cellStyle name="Followed Hyperlink" xfId="22440" builtinId="9" hidden="1"/>
    <cellStyle name="Followed Hyperlink" xfId="22441" builtinId="9" hidden="1"/>
    <cellStyle name="Followed Hyperlink" xfId="22442" builtinId="9" hidden="1"/>
    <cellStyle name="Followed Hyperlink" xfId="22443" builtinId="9" hidden="1"/>
    <cellStyle name="Followed Hyperlink" xfId="22444" builtinId="9" hidden="1"/>
    <cellStyle name="Followed Hyperlink" xfId="22445" builtinId="9" hidden="1"/>
    <cellStyle name="Followed Hyperlink" xfId="22446" builtinId="9" hidden="1"/>
    <cellStyle name="Followed Hyperlink" xfId="22447" builtinId="9" hidden="1"/>
    <cellStyle name="Followed Hyperlink" xfId="22448" builtinId="9" hidden="1"/>
    <cellStyle name="Followed Hyperlink" xfId="22449" builtinId="9" hidden="1"/>
    <cellStyle name="Followed Hyperlink" xfId="22450" builtinId="9" hidden="1"/>
    <cellStyle name="Followed Hyperlink" xfId="22451" builtinId="9" hidden="1"/>
    <cellStyle name="Followed Hyperlink" xfId="22452" builtinId="9" hidden="1"/>
    <cellStyle name="Followed Hyperlink" xfId="22453" builtinId="9" hidden="1"/>
    <cellStyle name="Followed Hyperlink" xfId="22454" builtinId="9" hidden="1"/>
    <cellStyle name="Followed Hyperlink" xfId="22455" builtinId="9" hidden="1"/>
    <cellStyle name="Followed Hyperlink" xfId="22456" builtinId="9" hidden="1"/>
    <cellStyle name="Followed Hyperlink" xfId="22457" builtinId="9" hidden="1"/>
    <cellStyle name="Followed Hyperlink" xfId="22458" builtinId="9" hidden="1"/>
    <cellStyle name="Followed Hyperlink" xfId="22459" builtinId="9" hidden="1"/>
    <cellStyle name="Followed Hyperlink" xfId="22460" builtinId="9" hidden="1"/>
    <cellStyle name="Followed Hyperlink" xfId="22461" builtinId="9" hidden="1"/>
    <cellStyle name="Followed Hyperlink" xfId="22462" builtinId="9" hidden="1"/>
    <cellStyle name="Followed Hyperlink" xfId="22463" builtinId="9" hidden="1"/>
    <cellStyle name="Followed Hyperlink" xfId="22464" builtinId="9" hidden="1"/>
    <cellStyle name="Followed Hyperlink" xfId="22465" builtinId="9" hidden="1"/>
    <cellStyle name="Followed Hyperlink" xfId="22466" builtinId="9" hidden="1"/>
    <cellStyle name="Followed Hyperlink" xfId="22467" builtinId="9" hidden="1"/>
    <cellStyle name="Followed Hyperlink" xfId="22468" builtinId="9" hidden="1"/>
    <cellStyle name="Followed Hyperlink" xfId="22142" builtinId="9" hidden="1"/>
    <cellStyle name="Followed Hyperlink" xfId="22429" builtinId="9" hidden="1"/>
    <cellStyle name="Followed Hyperlink" xfId="22470" builtinId="9" hidden="1"/>
    <cellStyle name="Followed Hyperlink" xfId="22471" builtinId="9" hidden="1"/>
    <cellStyle name="Followed Hyperlink" xfId="22472" builtinId="9" hidden="1"/>
    <cellStyle name="Followed Hyperlink" xfId="22473" builtinId="9" hidden="1"/>
    <cellStyle name="Followed Hyperlink" xfId="22474" builtinId="9" hidden="1"/>
    <cellStyle name="Followed Hyperlink" xfId="22475" builtinId="9" hidden="1"/>
    <cellStyle name="Followed Hyperlink" xfId="22476" builtinId="9" hidden="1"/>
    <cellStyle name="Followed Hyperlink" xfId="22477" builtinId="9" hidden="1"/>
    <cellStyle name="Followed Hyperlink" xfId="22478" builtinId="9" hidden="1"/>
    <cellStyle name="Followed Hyperlink" xfId="22479" builtinId="9" hidden="1"/>
    <cellStyle name="Followed Hyperlink" xfId="22480" builtinId="9" hidden="1"/>
    <cellStyle name="Followed Hyperlink" xfId="22481" builtinId="9" hidden="1"/>
    <cellStyle name="Followed Hyperlink" xfId="22482" builtinId="9" hidden="1"/>
    <cellStyle name="Followed Hyperlink" xfId="22483" builtinId="9" hidden="1"/>
    <cellStyle name="Followed Hyperlink" xfId="22484" builtinId="9" hidden="1"/>
    <cellStyle name="Followed Hyperlink" xfId="22485" builtinId="9" hidden="1"/>
    <cellStyle name="Followed Hyperlink" xfId="22486" builtinId="9" hidden="1"/>
    <cellStyle name="Followed Hyperlink" xfId="22487" builtinId="9" hidden="1"/>
    <cellStyle name="Followed Hyperlink" xfId="22488" builtinId="9" hidden="1"/>
    <cellStyle name="Followed Hyperlink" xfId="22489" builtinId="9" hidden="1"/>
    <cellStyle name="Followed Hyperlink" xfId="22490" builtinId="9" hidden="1"/>
    <cellStyle name="Followed Hyperlink" xfId="22491" builtinId="9" hidden="1"/>
    <cellStyle name="Followed Hyperlink" xfId="22492" builtinId="9" hidden="1"/>
    <cellStyle name="Followed Hyperlink" xfId="22493" builtinId="9" hidden="1"/>
    <cellStyle name="Followed Hyperlink" xfId="22494" builtinId="9" hidden="1"/>
    <cellStyle name="Followed Hyperlink" xfId="22495" builtinId="9" hidden="1"/>
    <cellStyle name="Followed Hyperlink" xfId="22496" builtinId="9" hidden="1"/>
    <cellStyle name="Followed Hyperlink" xfId="22497" builtinId="9" hidden="1"/>
    <cellStyle name="Followed Hyperlink" xfId="22498" builtinId="9" hidden="1"/>
    <cellStyle name="Followed Hyperlink" xfId="22499" builtinId="9" hidden="1"/>
    <cellStyle name="Followed Hyperlink" xfId="22500" builtinId="9" hidden="1"/>
    <cellStyle name="Followed Hyperlink" xfId="22501" builtinId="9" hidden="1"/>
    <cellStyle name="Followed Hyperlink" xfId="22502" builtinId="9" hidden="1"/>
    <cellStyle name="Followed Hyperlink" xfId="22503" builtinId="9" hidden="1"/>
    <cellStyle name="Followed Hyperlink" xfId="22504" builtinId="9" hidden="1"/>
    <cellStyle name="Followed Hyperlink" xfId="22505" builtinId="9" hidden="1"/>
    <cellStyle name="Followed Hyperlink" xfId="22506" builtinId="9" hidden="1"/>
    <cellStyle name="Followed Hyperlink" xfId="22507" builtinId="9" hidden="1"/>
    <cellStyle name="Followed Hyperlink" xfId="22508" builtinId="9" hidden="1"/>
    <cellStyle name="Followed Hyperlink" xfId="22144" builtinId="9" hidden="1"/>
    <cellStyle name="Followed Hyperlink" xfId="22469" builtinId="9" hidden="1"/>
    <cellStyle name="Followed Hyperlink" xfId="22510" builtinId="9" hidden="1"/>
    <cellStyle name="Followed Hyperlink" xfId="22511" builtinId="9" hidden="1"/>
    <cellStyle name="Followed Hyperlink" xfId="22512" builtinId="9" hidden="1"/>
    <cellStyle name="Followed Hyperlink" xfId="22513" builtinId="9" hidden="1"/>
    <cellStyle name="Followed Hyperlink" xfId="22514" builtinId="9" hidden="1"/>
    <cellStyle name="Followed Hyperlink" xfId="22515" builtinId="9" hidden="1"/>
    <cellStyle name="Followed Hyperlink" xfId="22516" builtinId="9" hidden="1"/>
    <cellStyle name="Followed Hyperlink" xfId="22517" builtinId="9" hidden="1"/>
    <cellStyle name="Followed Hyperlink" xfId="22518" builtinId="9" hidden="1"/>
    <cellStyle name="Followed Hyperlink" xfId="22519" builtinId="9" hidden="1"/>
    <cellStyle name="Followed Hyperlink" xfId="22520" builtinId="9" hidden="1"/>
    <cellStyle name="Followed Hyperlink" xfId="22521" builtinId="9" hidden="1"/>
    <cellStyle name="Followed Hyperlink" xfId="22522" builtinId="9" hidden="1"/>
    <cellStyle name="Followed Hyperlink" xfId="22523" builtinId="9" hidden="1"/>
    <cellStyle name="Followed Hyperlink" xfId="22524" builtinId="9" hidden="1"/>
    <cellStyle name="Followed Hyperlink" xfId="22525" builtinId="9" hidden="1"/>
    <cellStyle name="Followed Hyperlink" xfId="22526" builtinId="9" hidden="1"/>
    <cellStyle name="Followed Hyperlink" xfId="22527" builtinId="9" hidden="1"/>
    <cellStyle name="Followed Hyperlink" xfId="22528" builtinId="9" hidden="1"/>
    <cellStyle name="Followed Hyperlink" xfId="22529" builtinId="9" hidden="1"/>
    <cellStyle name="Followed Hyperlink" xfId="22530" builtinId="9" hidden="1"/>
    <cellStyle name="Followed Hyperlink" xfId="22531" builtinId="9" hidden="1"/>
    <cellStyle name="Followed Hyperlink" xfId="22532" builtinId="9" hidden="1"/>
    <cellStyle name="Followed Hyperlink" xfId="22533" builtinId="9" hidden="1"/>
    <cellStyle name="Followed Hyperlink" xfId="22534" builtinId="9" hidden="1"/>
    <cellStyle name="Followed Hyperlink" xfId="22535" builtinId="9" hidden="1"/>
    <cellStyle name="Followed Hyperlink" xfId="22536" builtinId="9" hidden="1"/>
    <cellStyle name="Followed Hyperlink" xfId="22537" builtinId="9" hidden="1"/>
    <cellStyle name="Followed Hyperlink" xfId="22538" builtinId="9" hidden="1"/>
    <cellStyle name="Followed Hyperlink" xfId="22539" builtinId="9" hidden="1"/>
    <cellStyle name="Followed Hyperlink" xfId="22540" builtinId="9" hidden="1"/>
    <cellStyle name="Followed Hyperlink" xfId="22541" builtinId="9" hidden="1"/>
    <cellStyle name="Followed Hyperlink" xfId="22542" builtinId="9" hidden="1"/>
    <cellStyle name="Followed Hyperlink" xfId="22543" builtinId="9" hidden="1"/>
    <cellStyle name="Followed Hyperlink" xfId="22544" builtinId="9" hidden="1"/>
    <cellStyle name="Followed Hyperlink" xfId="22545" builtinId="9" hidden="1"/>
    <cellStyle name="Followed Hyperlink" xfId="22546" builtinId="9" hidden="1"/>
    <cellStyle name="Followed Hyperlink" xfId="22547" builtinId="9" hidden="1"/>
    <cellStyle name="Followed Hyperlink" xfId="22548" builtinId="9" hidden="1"/>
    <cellStyle name="Followed Hyperlink" xfId="22140" builtinId="9" hidden="1"/>
    <cellStyle name="Followed Hyperlink" xfId="22509" builtinId="9" hidden="1"/>
    <cellStyle name="Followed Hyperlink" xfId="22549" builtinId="9" hidden="1"/>
    <cellStyle name="Followed Hyperlink" xfId="22550" builtinId="9" hidden="1"/>
    <cellStyle name="Followed Hyperlink" xfId="22551" builtinId="9" hidden="1"/>
    <cellStyle name="Followed Hyperlink" xfId="22552" builtinId="9" hidden="1"/>
    <cellStyle name="Followed Hyperlink" xfId="22553" builtinId="9" hidden="1"/>
    <cellStyle name="Followed Hyperlink" xfId="22554" builtinId="9" hidden="1"/>
    <cellStyle name="Followed Hyperlink" xfId="22555" builtinId="9" hidden="1"/>
    <cellStyle name="Followed Hyperlink" xfId="22556" builtinId="9" hidden="1"/>
    <cellStyle name="Followed Hyperlink" xfId="22557" builtinId="9" hidden="1"/>
    <cellStyle name="Followed Hyperlink" xfId="22558" builtinId="9" hidden="1"/>
    <cellStyle name="Followed Hyperlink" xfId="22559" builtinId="9" hidden="1"/>
    <cellStyle name="Followed Hyperlink" xfId="22560" builtinId="9" hidden="1"/>
    <cellStyle name="Followed Hyperlink" xfId="22561" builtinId="9" hidden="1"/>
    <cellStyle name="Followed Hyperlink" xfId="22562" builtinId="9" hidden="1"/>
    <cellStyle name="Followed Hyperlink" xfId="22563" builtinId="9" hidden="1"/>
    <cellStyle name="Followed Hyperlink" xfId="22564" builtinId="9" hidden="1"/>
    <cellStyle name="Followed Hyperlink" xfId="22565" builtinId="9" hidden="1"/>
    <cellStyle name="Followed Hyperlink" xfId="22566" builtinId="9" hidden="1"/>
    <cellStyle name="Followed Hyperlink" xfId="22567" builtinId="9" hidden="1"/>
    <cellStyle name="Followed Hyperlink" xfId="22568" builtinId="9" hidden="1"/>
    <cellStyle name="Followed Hyperlink" xfId="22569" builtinId="9" hidden="1"/>
    <cellStyle name="Followed Hyperlink" xfId="22570" builtinId="9" hidden="1"/>
    <cellStyle name="Followed Hyperlink" xfId="22571" builtinId="9" hidden="1"/>
    <cellStyle name="Followed Hyperlink" xfId="22572" builtinId="9" hidden="1"/>
    <cellStyle name="Followed Hyperlink" xfId="22573" builtinId="9" hidden="1"/>
    <cellStyle name="Followed Hyperlink" xfId="22574" builtinId="9" hidden="1"/>
    <cellStyle name="Followed Hyperlink" xfId="22575" builtinId="9" hidden="1"/>
    <cellStyle name="Followed Hyperlink" xfId="22576" builtinId="9" hidden="1"/>
    <cellStyle name="Followed Hyperlink" xfId="22577" builtinId="9" hidden="1"/>
    <cellStyle name="Followed Hyperlink" xfId="22578" builtinId="9" hidden="1"/>
    <cellStyle name="Followed Hyperlink" xfId="22579" builtinId="9" hidden="1"/>
    <cellStyle name="Followed Hyperlink" xfId="22580" builtinId="9" hidden="1"/>
    <cellStyle name="Followed Hyperlink" xfId="22581" builtinId="9" hidden="1"/>
    <cellStyle name="Followed Hyperlink" xfId="22582" builtinId="9" hidden="1"/>
    <cellStyle name="Followed Hyperlink" xfId="22583" builtinId="9" hidden="1"/>
    <cellStyle name="Followed Hyperlink" xfId="22584" builtinId="9" hidden="1"/>
    <cellStyle name="Followed Hyperlink" xfId="22585" builtinId="9" hidden="1"/>
    <cellStyle name="Followed Hyperlink" xfId="22586" builtinId="9" hidden="1"/>
    <cellStyle name="Followed Hyperlink" xfId="22587" builtinId="9" hidden="1"/>
    <cellStyle name="Followed Hyperlink" xfId="20122" builtinId="9" hidden="1"/>
    <cellStyle name="Followed Hyperlink" xfId="20126" builtinId="9" hidden="1"/>
    <cellStyle name="Followed Hyperlink" xfId="22588" builtinId="9" hidden="1"/>
    <cellStyle name="Followed Hyperlink" xfId="22589" builtinId="9" hidden="1"/>
    <cellStyle name="Followed Hyperlink" xfId="22590" builtinId="9" hidden="1"/>
    <cellStyle name="Followed Hyperlink" xfId="22591" builtinId="9" hidden="1"/>
    <cellStyle name="Followed Hyperlink" xfId="22592" builtinId="9" hidden="1"/>
    <cellStyle name="Followed Hyperlink" xfId="22593" builtinId="9" hidden="1"/>
    <cellStyle name="Followed Hyperlink" xfId="22594" builtinId="9" hidden="1"/>
    <cellStyle name="Followed Hyperlink" xfId="22595" builtinId="9" hidden="1"/>
    <cellStyle name="Followed Hyperlink" xfId="22596" builtinId="9" hidden="1"/>
    <cellStyle name="Followed Hyperlink" xfId="22597" builtinId="9" hidden="1"/>
    <cellStyle name="Followed Hyperlink" xfId="22598" builtinId="9" hidden="1"/>
    <cellStyle name="Followed Hyperlink" xfId="22599" builtinId="9" hidden="1"/>
    <cellStyle name="Followed Hyperlink" xfId="22600" builtinId="9" hidden="1"/>
    <cellStyle name="Followed Hyperlink" xfId="22601" builtinId="9" hidden="1"/>
    <cellStyle name="Followed Hyperlink" xfId="22602" builtinId="9" hidden="1"/>
    <cellStyle name="Followed Hyperlink" xfId="22603" builtinId="9" hidden="1"/>
    <cellStyle name="Followed Hyperlink" xfId="22604" builtinId="9" hidden="1"/>
    <cellStyle name="Followed Hyperlink" xfId="22605" builtinId="9" hidden="1"/>
    <cellStyle name="Followed Hyperlink" xfId="22606" builtinId="9" hidden="1"/>
    <cellStyle name="Followed Hyperlink" xfId="22607" builtinId="9" hidden="1"/>
    <cellStyle name="Followed Hyperlink" xfId="22608" builtinId="9" hidden="1"/>
    <cellStyle name="Followed Hyperlink" xfId="22609" builtinId="9" hidden="1"/>
    <cellStyle name="Followed Hyperlink" xfId="22610" builtinId="9" hidden="1"/>
    <cellStyle name="Followed Hyperlink" xfId="22611" builtinId="9" hidden="1"/>
    <cellStyle name="Followed Hyperlink" xfId="22612" builtinId="9" hidden="1"/>
    <cellStyle name="Followed Hyperlink" xfId="22613" builtinId="9" hidden="1"/>
    <cellStyle name="Followed Hyperlink" xfId="22614" builtinId="9" hidden="1"/>
    <cellStyle name="Followed Hyperlink" xfId="22615" builtinId="9" hidden="1"/>
    <cellStyle name="Followed Hyperlink" xfId="22616" builtinId="9" hidden="1"/>
    <cellStyle name="Followed Hyperlink" xfId="22617" builtinId="9" hidden="1"/>
    <cellStyle name="Followed Hyperlink" xfId="22618" builtinId="9" hidden="1"/>
    <cellStyle name="Followed Hyperlink" xfId="22619" builtinId="9" hidden="1"/>
    <cellStyle name="Followed Hyperlink" xfId="22620" builtinId="9" hidden="1"/>
    <cellStyle name="Followed Hyperlink" xfId="22621" builtinId="9" hidden="1"/>
    <cellStyle name="Followed Hyperlink" xfId="22622" builtinId="9" hidden="1"/>
    <cellStyle name="Followed Hyperlink" xfId="22623" builtinId="9" hidden="1"/>
    <cellStyle name="Followed Hyperlink" xfId="22624" builtinId="9" hidden="1"/>
    <cellStyle name="Followed Hyperlink" xfId="22625" builtinId="9" hidden="1"/>
    <cellStyle name="Followed Hyperlink" xfId="22626" builtinId="9" hidden="1"/>
    <cellStyle name="Followed Hyperlink" xfId="22635" builtinId="9" hidden="1"/>
    <cellStyle name="Followed Hyperlink" xfId="22636" builtinId="9" hidden="1"/>
    <cellStyle name="Followed Hyperlink" xfId="22637" builtinId="9" hidden="1"/>
    <cellStyle name="Followed Hyperlink" xfId="22638" builtinId="9" hidden="1"/>
    <cellStyle name="Followed Hyperlink" xfId="22639" builtinId="9" hidden="1"/>
    <cellStyle name="Followed Hyperlink" xfId="22640" builtinId="9" hidden="1"/>
    <cellStyle name="Followed Hyperlink" xfId="22641" builtinId="9" hidden="1"/>
    <cellStyle name="Followed Hyperlink" xfId="22642" builtinId="9" hidden="1"/>
    <cellStyle name="Followed Hyperlink" xfId="22643" builtinId="9" hidden="1"/>
    <cellStyle name="Followed Hyperlink" xfId="22644" builtinId="9" hidden="1"/>
    <cellStyle name="Followed Hyperlink" xfId="22645" builtinId="9" hidden="1"/>
    <cellStyle name="Followed Hyperlink" xfId="22646" builtinId="9" hidden="1"/>
    <cellStyle name="Followed Hyperlink" xfId="22647" builtinId="9" hidden="1"/>
    <cellStyle name="Followed Hyperlink" xfId="22648" builtinId="9" hidden="1"/>
    <cellStyle name="Followed Hyperlink" xfId="22649" builtinId="9" hidden="1"/>
    <cellStyle name="Followed Hyperlink" xfId="22650" builtinId="9" hidden="1"/>
    <cellStyle name="Followed Hyperlink" xfId="22651" builtinId="9" hidden="1"/>
    <cellStyle name="Followed Hyperlink" xfId="22652" builtinId="9" hidden="1"/>
    <cellStyle name="Followed Hyperlink" xfId="22653" builtinId="9" hidden="1"/>
    <cellStyle name="Followed Hyperlink" xfId="22654" builtinId="9" hidden="1"/>
    <cellStyle name="Followed Hyperlink" xfId="22655" builtinId="9" hidden="1"/>
    <cellStyle name="Followed Hyperlink" xfId="22656" builtinId="9" hidden="1"/>
    <cellStyle name="Followed Hyperlink" xfId="22657" builtinId="9" hidden="1"/>
    <cellStyle name="Followed Hyperlink" xfId="22658" builtinId="9" hidden="1"/>
    <cellStyle name="Followed Hyperlink" xfId="22659" builtinId="9" hidden="1"/>
    <cellStyle name="Followed Hyperlink" xfId="22660" builtinId="9" hidden="1"/>
    <cellStyle name="Followed Hyperlink" xfId="22661" builtinId="9" hidden="1"/>
    <cellStyle name="Followed Hyperlink" xfId="22662" builtinId="9" hidden="1"/>
    <cellStyle name="Followed Hyperlink" xfId="22663" builtinId="9" hidden="1"/>
    <cellStyle name="Followed Hyperlink" xfId="22664" builtinId="9" hidden="1"/>
    <cellStyle name="Followed Hyperlink" xfId="22665" builtinId="9" hidden="1"/>
    <cellStyle name="Followed Hyperlink" xfId="22666" builtinId="9" hidden="1"/>
    <cellStyle name="Followed Hyperlink" xfId="22667" builtinId="9" hidden="1"/>
    <cellStyle name="Followed Hyperlink" xfId="22668" builtinId="9" hidden="1"/>
    <cellStyle name="Followed Hyperlink" xfId="22669" builtinId="9" hidden="1"/>
    <cellStyle name="Followed Hyperlink" xfId="22670" builtinId="9" hidden="1"/>
    <cellStyle name="Followed Hyperlink" xfId="22671" builtinId="9" hidden="1"/>
    <cellStyle name="Followed Hyperlink" xfId="22672" builtinId="9" hidden="1"/>
    <cellStyle name="Followed Hyperlink" xfId="22673" builtinId="9" hidden="1"/>
    <cellStyle name="Followed Hyperlink" xfId="22674" builtinId="9" hidden="1"/>
    <cellStyle name="Followed Hyperlink" xfId="22675" builtinId="9" hidden="1"/>
    <cellStyle name="Followed Hyperlink" xfId="22676" builtinId="9" hidden="1"/>
    <cellStyle name="Followed Hyperlink" xfId="22677" builtinId="9" hidden="1"/>
    <cellStyle name="Followed Hyperlink" xfId="22678" builtinId="9" hidden="1"/>
    <cellStyle name="Followed Hyperlink" xfId="22679" builtinId="9" hidden="1"/>
    <cellStyle name="Followed Hyperlink" xfId="22680" builtinId="9" hidden="1"/>
    <cellStyle name="Followed Hyperlink" xfId="22681" builtinId="9" hidden="1"/>
    <cellStyle name="Followed Hyperlink" xfId="22682" builtinId="9" hidden="1"/>
    <cellStyle name="Followed Hyperlink" xfId="22683" builtinId="9" hidden="1"/>
    <cellStyle name="Followed Hyperlink" xfId="22684" builtinId="9" hidden="1"/>
    <cellStyle name="Followed Hyperlink" xfId="22685" builtinId="9" hidden="1"/>
    <cellStyle name="Followed Hyperlink" xfId="22686" builtinId="9" hidden="1"/>
    <cellStyle name="Followed Hyperlink" xfId="22687" builtinId="9" hidden="1"/>
    <cellStyle name="Followed Hyperlink" xfId="22688" builtinId="9" hidden="1"/>
    <cellStyle name="Followed Hyperlink" xfId="22689" builtinId="9" hidden="1"/>
    <cellStyle name="Followed Hyperlink" xfId="22690" builtinId="9" hidden="1"/>
    <cellStyle name="Followed Hyperlink" xfId="22691" builtinId="9" hidden="1"/>
    <cellStyle name="Followed Hyperlink" xfId="22692" builtinId="9" hidden="1"/>
    <cellStyle name="Followed Hyperlink" xfId="22693" builtinId="9" hidden="1"/>
    <cellStyle name="Followed Hyperlink" xfId="22694" builtinId="9" hidden="1"/>
    <cellStyle name="Followed Hyperlink" xfId="22695" builtinId="9" hidden="1"/>
    <cellStyle name="Followed Hyperlink" xfId="22696" builtinId="9" hidden="1"/>
    <cellStyle name="Followed Hyperlink" xfId="22697" builtinId="9" hidden="1"/>
    <cellStyle name="Followed Hyperlink" xfId="22698" builtinId="9" hidden="1"/>
    <cellStyle name="Followed Hyperlink" xfId="22699" builtinId="9" hidden="1"/>
    <cellStyle name="Followed Hyperlink" xfId="22700" builtinId="9" hidden="1"/>
    <cellStyle name="Followed Hyperlink" xfId="22701" builtinId="9" hidden="1"/>
    <cellStyle name="Followed Hyperlink" xfId="22702" builtinId="9" hidden="1"/>
    <cellStyle name="Followed Hyperlink" xfId="22703" builtinId="9" hidden="1"/>
    <cellStyle name="Followed Hyperlink" xfId="22704" builtinId="9" hidden="1"/>
    <cellStyle name="Followed Hyperlink" xfId="22705" builtinId="9" hidden="1"/>
    <cellStyle name="Followed Hyperlink" xfId="22706" builtinId="9" hidden="1"/>
    <cellStyle name="Followed Hyperlink" xfId="22707" builtinId="9" hidden="1"/>
    <cellStyle name="Followed Hyperlink" xfId="22708" builtinId="9" hidden="1"/>
    <cellStyle name="Followed Hyperlink" xfId="22709" builtinId="9" hidden="1"/>
    <cellStyle name="Followed Hyperlink" xfId="22710" builtinId="9" hidden="1"/>
    <cellStyle name="Followed Hyperlink" xfId="22711" builtinId="9" hidden="1"/>
    <cellStyle name="Followed Hyperlink" xfId="22712" builtinId="9" hidden="1"/>
    <cellStyle name="Followed Hyperlink" xfId="22713" builtinId="9" hidden="1"/>
    <cellStyle name="Followed Hyperlink" xfId="22714" builtinId="9" hidden="1"/>
    <cellStyle name="Followed Hyperlink" xfId="22715" builtinId="9" hidden="1"/>
    <cellStyle name="Followed Hyperlink" xfId="22716" builtinId="9" hidden="1"/>
    <cellStyle name="Followed Hyperlink" xfId="22717" builtinId="9" hidden="1"/>
    <cellStyle name="Followed Hyperlink" xfId="22718" builtinId="9" hidden="1"/>
    <cellStyle name="Followed Hyperlink" xfId="22719" builtinId="9" hidden="1"/>
    <cellStyle name="Followed Hyperlink" xfId="22720" builtinId="9" hidden="1"/>
    <cellStyle name="Followed Hyperlink" xfId="22721" builtinId="9" hidden="1"/>
    <cellStyle name="Followed Hyperlink" xfId="22722" builtinId="9" hidden="1"/>
    <cellStyle name="Followed Hyperlink" xfId="22723" builtinId="9" hidden="1"/>
    <cellStyle name="Followed Hyperlink" xfId="22724" builtinId="9" hidden="1"/>
    <cellStyle name="Followed Hyperlink" xfId="22725" builtinId="9" hidden="1"/>
    <cellStyle name="Followed Hyperlink" xfId="22726" builtinId="9" hidden="1"/>
    <cellStyle name="Followed Hyperlink" xfId="22727" builtinId="9" hidden="1"/>
    <cellStyle name="Followed Hyperlink" xfId="22728" builtinId="9" hidden="1"/>
    <cellStyle name="Followed Hyperlink" xfId="22729" builtinId="9" hidden="1"/>
    <cellStyle name="Followed Hyperlink" xfId="22730" builtinId="9" hidden="1"/>
    <cellStyle name="Followed Hyperlink" xfId="22731" builtinId="9" hidden="1"/>
    <cellStyle name="Followed Hyperlink" xfId="22732" builtinId="9" hidden="1"/>
    <cellStyle name="Followed Hyperlink" xfId="22733" builtinId="9" hidden="1"/>
    <cellStyle name="Followed Hyperlink" xfId="22734" builtinId="9" hidden="1"/>
    <cellStyle name="Followed Hyperlink" xfId="22735" builtinId="9" hidden="1"/>
    <cellStyle name="Followed Hyperlink" xfId="22736" builtinId="9" hidden="1"/>
    <cellStyle name="Followed Hyperlink" xfId="22737" builtinId="9" hidden="1"/>
    <cellStyle name="Followed Hyperlink" xfId="22738" builtinId="9" hidden="1"/>
    <cellStyle name="Followed Hyperlink" xfId="22739" builtinId="9" hidden="1"/>
    <cellStyle name="Followed Hyperlink" xfId="22740" builtinId="9" hidden="1"/>
    <cellStyle name="Followed Hyperlink" xfId="22741" builtinId="9" hidden="1"/>
    <cellStyle name="Followed Hyperlink" xfId="22742" builtinId="9" hidden="1"/>
    <cellStyle name="Followed Hyperlink" xfId="22743" builtinId="9" hidden="1"/>
    <cellStyle name="Followed Hyperlink" xfId="22744" builtinId="9" hidden="1"/>
    <cellStyle name="Followed Hyperlink" xfId="22745" builtinId="9" hidden="1"/>
    <cellStyle name="Followed Hyperlink" xfId="22746" builtinId="9" hidden="1"/>
    <cellStyle name="Followed Hyperlink" xfId="22747" builtinId="9" hidden="1"/>
    <cellStyle name="Followed Hyperlink" xfId="22748" builtinId="9" hidden="1"/>
    <cellStyle name="Followed Hyperlink" xfId="22749" builtinId="9" hidden="1"/>
    <cellStyle name="Followed Hyperlink" xfId="22750" builtinId="9" hidden="1"/>
    <cellStyle name="Followed Hyperlink" xfId="22751" builtinId="9" hidden="1"/>
    <cellStyle name="Followed Hyperlink" xfId="22752" builtinId="9" hidden="1"/>
    <cellStyle name="Followed Hyperlink" xfId="22753" builtinId="9" hidden="1"/>
    <cellStyle name="Followed Hyperlink" xfId="22754" builtinId="9" hidden="1"/>
    <cellStyle name="Followed Hyperlink" xfId="22755" builtinId="9" hidden="1"/>
    <cellStyle name="Followed Hyperlink" xfId="22756" builtinId="9" hidden="1"/>
    <cellStyle name="Followed Hyperlink" xfId="22757" builtinId="9" hidden="1"/>
    <cellStyle name="Followed Hyperlink" xfId="22627" builtinId="9" hidden="1"/>
    <cellStyle name="Followed Hyperlink" xfId="20134" builtinId="9" hidden="1"/>
    <cellStyle name="Followed Hyperlink" xfId="22759" builtinId="9" hidden="1"/>
    <cellStyle name="Followed Hyperlink" xfId="22760" builtinId="9" hidden="1"/>
    <cellStyle name="Followed Hyperlink" xfId="22761" builtinId="9" hidden="1"/>
    <cellStyle name="Followed Hyperlink" xfId="22762" builtinId="9" hidden="1"/>
    <cellStyle name="Followed Hyperlink" xfId="22763" builtinId="9" hidden="1"/>
    <cellStyle name="Followed Hyperlink" xfId="22764" builtinId="9" hidden="1"/>
    <cellStyle name="Followed Hyperlink" xfId="22765" builtinId="9" hidden="1"/>
    <cellStyle name="Followed Hyperlink" xfId="22766" builtinId="9" hidden="1"/>
    <cellStyle name="Followed Hyperlink" xfId="22767" builtinId="9" hidden="1"/>
    <cellStyle name="Followed Hyperlink" xfId="22768" builtinId="9" hidden="1"/>
    <cellStyle name="Followed Hyperlink" xfId="22769" builtinId="9" hidden="1"/>
    <cellStyle name="Followed Hyperlink" xfId="22770" builtinId="9" hidden="1"/>
    <cellStyle name="Followed Hyperlink" xfId="22771" builtinId="9" hidden="1"/>
    <cellStyle name="Followed Hyperlink" xfId="22772" builtinId="9" hidden="1"/>
    <cellStyle name="Followed Hyperlink" xfId="22773" builtinId="9" hidden="1"/>
    <cellStyle name="Followed Hyperlink" xfId="22774" builtinId="9" hidden="1"/>
    <cellStyle name="Followed Hyperlink" xfId="22775" builtinId="9" hidden="1"/>
    <cellStyle name="Followed Hyperlink" xfId="22776" builtinId="9" hidden="1"/>
    <cellStyle name="Followed Hyperlink" xfId="22777" builtinId="9" hidden="1"/>
    <cellStyle name="Followed Hyperlink" xfId="22778" builtinId="9" hidden="1"/>
    <cellStyle name="Followed Hyperlink" xfId="22779" builtinId="9" hidden="1"/>
    <cellStyle name="Followed Hyperlink" xfId="22780" builtinId="9" hidden="1"/>
    <cellStyle name="Followed Hyperlink" xfId="22781" builtinId="9" hidden="1"/>
    <cellStyle name="Followed Hyperlink" xfId="22782" builtinId="9" hidden="1"/>
    <cellStyle name="Followed Hyperlink" xfId="22783" builtinId="9" hidden="1"/>
    <cellStyle name="Followed Hyperlink" xfId="22784" builtinId="9" hidden="1"/>
    <cellStyle name="Followed Hyperlink" xfId="22785" builtinId="9" hidden="1"/>
    <cellStyle name="Followed Hyperlink" xfId="22786" builtinId="9" hidden="1"/>
    <cellStyle name="Followed Hyperlink" xfId="22787" builtinId="9" hidden="1"/>
    <cellStyle name="Followed Hyperlink" xfId="22788" builtinId="9" hidden="1"/>
    <cellStyle name="Followed Hyperlink" xfId="22789" builtinId="9" hidden="1"/>
    <cellStyle name="Followed Hyperlink" xfId="22790" builtinId="9" hidden="1"/>
    <cellStyle name="Followed Hyperlink" xfId="22791" builtinId="9" hidden="1"/>
    <cellStyle name="Followed Hyperlink" xfId="22792" builtinId="9" hidden="1"/>
    <cellStyle name="Followed Hyperlink" xfId="22793" builtinId="9" hidden="1"/>
    <cellStyle name="Followed Hyperlink" xfId="22794" builtinId="9" hidden="1"/>
    <cellStyle name="Followed Hyperlink" xfId="22795" builtinId="9" hidden="1"/>
    <cellStyle name="Followed Hyperlink" xfId="22796" builtinId="9" hidden="1"/>
    <cellStyle name="Followed Hyperlink" xfId="22797" builtinId="9" hidden="1"/>
    <cellStyle name="Followed Hyperlink" xfId="22632" builtinId="9" hidden="1"/>
    <cellStyle name="Followed Hyperlink" xfId="22758" builtinId="9" hidden="1"/>
    <cellStyle name="Followed Hyperlink" xfId="22799" builtinId="9" hidden="1"/>
    <cellStyle name="Followed Hyperlink" xfId="22800" builtinId="9" hidden="1"/>
    <cellStyle name="Followed Hyperlink" xfId="22801" builtinId="9" hidden="1"/>
    <cellStyle name="Followed Hyperlink" xfId="22802" builtinId="9" hidden="1"/>
    <cellStyle name="Followed Hyperlink" xfId="22803" builtinId="9" hidden="1"/>
    <cellStyle name="Followed Hyperlink" xfId="22804" builtinId="9" hidden="1"/>
    <cellStyle name="Followed Hyperlink" xfId="22805" builtinId="9" hidden="1"/>
    <cellStyle name="Followed Hyperlink" xfId="22806" builtinId="9" hidden="1"/>
    <cellStyle name="Followed Hyperlink" xfId="22807" builtinId="9" hidden="1"/>
    <cellStyle name="Followed Hyperlink" xfId="22808" builtinId="9" hidden="1"/>
    <cellStyle name="Followed Hyperlink" xfId="22809" builtinId="9" hidden="1"/>
    <cellStyle name="Followed Hyperlink" xfId="22810" builtinId="9" hidden="1"/>
    <cellStyle name="Followed Hyperlink" xfId="22811" builtinId="9" hidden="1"/>
    <cellStyle name="Followed Hyperlink" xfId="22812" builtinId="9" hidden="1"/>
    <cellStyle name="Followed Hyperlink" xfId="22813" builtinId="9" hidden="1"/>
    <cellStyle name="Followed Hyperlink" xfId="22814" builtinId="9" hidden="1"/>
    <cellStyle name="Followed Hyperlink" xfId="22815" builtinId="9" hidden="1"/>
    <cellStyle name="Followed Hyperlink" xfId="22816" builtinId="9" hidden="1"/>
    <cellStyle name="Followed Hyperlink" xfId="22817" builtinId="9" hidden="1"/>
    <cellStyle name="Followed Hyperlink" xfId="22818" builtinId="9" hidden="1"/>
    <cellStyle name="Followed Hyperlink" xfId="22819" builtinId="9" hidden="1"/>
    <cellStyle name="Followed Hyperlink" xfId="22820" builtinId="9" hidden="1"/>
    <cellStyle name="Followed Hyperlink" xfId="22821" builtinId="9" hidden="1"/>
    <cellStyle name="Followed Hyperlink" xfId="22822" builtinId="9" hidden="1"/>
    <cellStyle name="Followed Hyperlink" xfId="22823" builtinId="9" hidden="1"/>
    <cellStyle name="Followed Hyperlink" xfId="22824" builtinId="9" hidden="1"/>
    <cellStyle name="Followed Hyperlink" xfId="22825" builtinId="9" hidden="1"/>
    <cellStyle name="Followed Hyperlink" xfId="22826" builtinId="9" hidden="1"/>
    <cellStyle name="Followed Hyperlink" xfId="22827" builtinId="9" hidden="1"/>
    <cellStyle name="Followed Hyperlink" xfId="22828" builtinId="9" hidden="1"/>
    <cellStyle name="Followed Hyperlink" xfId="22829" builtinId="9" hidden="1"/>
    <cellStyle name="Followed Hyperlink" xfId="22830" builtinId="9" hidden="1"/>
    <cellStyle name="Followed Hyperlink" xfId="22831" builtinId="9" hidden="1"/>
    <cellStyle name="Followed Hyperlink" xfId="22832" builtinId="9" hidden="1"/>
    <cellStyle name="Followed Hyperlink" xfId="22833" builtinId="9" hidden="1"/>
    <cellStyle name="Followed Hyperlink" xfId="22834" builtinId="9" hidden="1"/>
    <cellStyle name="Followed Hyperlink" xfId="22835" builtinId="9" hidden="1"/>
    <cellStyle name="Followed Hyperlink" xfId="22836" builtinId="9" hidden="1"/>
    <cellStyle name="Followed Hyperlink" xfId="22837" builtinId="9" hidden="1"/>
    <cellStyle name="Followed Hyperlink" xfId="22634" builtinId="9" hidden="1"/>
    <cellStyle name="Followed Hyperlink" xfId="22798" builtinId="9" hidden="1"/>
    <cellStyle name="Followed Hyperlink" xfId="22839" builtinId="9" hidden="1"/>
    <cellStyle name="Followed Hyperlink" xfId="22840" builtinId="9" hidden="1"/>
    <cellStyle name="Followed Hyperlink" xfId="22841" builtinId="9" hidden="1"/>
    <cellStyle name="Followed Hyperlink" xfId="22842" builtinId="9" hidden="1"/>
    <cellStyle name="Followed Hyperlink" xfId="22843" builtinId="9" hidden="1"/>
    <cellStyle name="Followed Hyperlink" xfId="22844" builtinId="9" hidden="1"/>
    <cellStyle name="Followed Hyperlink" xfId="22845" builtinId="9" hidden="1"/>
    <cellStyle name="Followed Hyperlink" xfId="22846" builtinId="9" hidden="1"/>
    <cellStyle name="Followed Hyperlink" xfId="22847" builtinId="9" hidden="1"/>
    <cellStyle name="Followed Hyperlink" xfId="22848" builtinId="9" hidden="1"/>
    <cellStyle name="Followed Hyperlink" xfId="22849" builtinId="9" hidden="1"/>
    <cellStyle name="Followed Hyperlink" xfId="22850" builtinId="9" hidden="1"/>
    <cellStyle name="Followed Hyperlink" xfId="22851" builtinId="9" hidden="1"/>
    <cellStyle name="Followed Hyperlink" xfId="22852" builtinId="9" hidden="1"/>
    <cellStyle name="Followed Hyperlink" xfId="22853" builtinId="9" hidden="1"/>
    <cellStyle name="Followed Hyperlink" xfId="22854" builtinId="9" hidden="1"/>
    <cellStyle name="Followed Hyperlink" xfId="22855" builtinId="9" hidden="1"/>
    <cellStyle name="Followed Hyperlink" xfId="22856" builtinId="9" hidden="1"/>
    <cellStyle name="Followed Hyperlink" xfId="22857" builtinId="9" hidden="1"/>
    <cellStyle name="Followed Hyperlink" xfId="22858" builtinId="9" hidden="1"/>
    <cellStyle name="Followed Hyperlink" xfId="22859" builtinId="9" hidden="1"/>
    <cellStyle name="Followed Hyperlink" xfId="22860" builtinId="9" hidden="1"/>
    <cellStyle name="Followed Hyperlink" xfId="22861" builtinId="9" hidden="1"/>
    <cellStyle name="Followed Hyperlink" xfId="22862" builtinId="9" hidden="1"/>
    <cellStyle name="Followed Hyperlink" xfId="22863" builtinId="9" hidden="1"/>
    <cellStyle name="Followed Hyperlink" xfId="22864" builtinId="9" hidden="1"/>
    <cellStyle name="Followed Hyperlink" xfId="22865" builtinId="9" hidden="1"/>
    <cellStyle name="Followed Hyperlink" xfId="22866" builtinId="9" hidden="1"/>
    <cellStyle name="Followed Hyperlink" xfId="22867" builtinId="9" hidden="1"/>
    <cellStyle name="Followed Hyperlink" xfId="22868" builtinId="9" hidden="1"/>
    <cellStyle name="Followed Hyperlink" xfId="22869" builtinId="9" hidden="1"/>
    <cellStyle name="Followed Hyperlink" xfId="22870" builtinId="9" hidden="1"/>
    <cellStyle name="Followed Hyperlink" xfId="22871" builtinId="9" hidden="1"/>
    <cellStyle name="Followed Hyperlink" xfId="22872" builtinId="9" hidden="1"/>
    <cellStyle name="Followed Hyperlink" xfId="22873" builtinId="9" hidden="1"/>
    <cellStyle name="Followed Hyperlink" xfId="22874" builtinId="9" hidden="1"/>
    <cellStyle name="Followed Hyperlink" xfId="22875" builtinId="9" hidden="1"/>
    <cellStyle name="Followed Hyperlink" xfId="22876" builtinId="9" hidden="1"/>
    <cellStyle name="Followed Hyperlink" xfId="22877" builtinId="9" hidden="1"/>
    <cellStyle name="Followed Hyperlink" xfId="22628" builtinId="9" hidden="1"/>
    <cellStyle name="Followed Hyperlink" xfId="22838" builtinId="9" hidden="1"/>
    <cellStyle name="Followed Hyperlink" xfId="22879" builtinId="9" hidden="1"/>
    <cellStyle name="Followed Hyperlink" xfId="22880" builtinId="9" hidden="1"/>
    <cellStyle name="Followed Hyperlink" xfId="22881" builtinId="9" hidden="1"/>
    <cellStyle name="Followed Hyperlink" xfId="22882" builtinId="9" hidden="1"/>
    <cellStyle name="Followed Hyperlink" xfId="22883" builtinId="9" hidden="1"/>
    <cellStyle name="Followed Hyperlink" xfId="22884" builtinId="9" hidden="1"/>
    <cellStyle name="Followed Hyperlink" xfId="22885" builtinId="9" hidden="1"/>
    <cellStyle name="Followed Hyperlink" xfId="22886" builtinId="9" hidden="1"/>
    <cellStyle name="Followed Hyperlink" xfId="22887" builtinId="9" hidden="1"/>
    <cellStyle name="Followed Hyperlink" xfId="22888" builtinId="9" hidden="1"/>
    <cellStyle name="Followed Hyperlink" xfId="22889" builtinId="9" hidden="1"/>
    <cellStyle name="Followed Hyperlink" xfId="22890" builtinId="9" hidden="1"/>
    <cellStyle name="Followed Hyperlink" xfId="22891" builtinId="9" hidden="1"/>
    <cellStyle name="Followed Hyperlink" xfId="22892" builtinId="9" hidden="1"/>
    <cellStyle name="Followed Hyperlink" xfId="22893" builtinId="9" hidden="1"/>
    <cellStyle name="Followed Hyperlink" xfId="22894" builtinId="9" hidden="1"/>
    <cellStyle name="Followed Hyperlink" xfId="22895" builtinId="9" hidden="1"/>
    <cellStyle name="Followed Hyperlink" xfId="22896" builtinId="9" hidden="1"/>
    <cellStyle name="Followed Hyperlink" xfId="22897" builtinId="9" hidden="1"/>
    <cellStyle name="Followed Hyperlink" xfId="22898" builtinId="9" hidden="1"/>
    <cellStyle name="Followed Hyperlink" xfId="22899" builtinId="9" hidden="1"/>
    <cellStyle name="Followed Hyperlink" xfId="22900" builtinId="9" hidden="1"/>
    <cellStyle name="Followed Hyperlink" xfId="22901" builtinId="9" hidden="1"/>
    <cellStyle name="Followed Hyperlink" xfId="22902" builtinId="9" hidden="1"/>
    <cellStyle name="Followed Hyperlink" xfId="22903" builtinId="9" hidden="1"/>
    <cellStyle name="Followed Hyperlink" xfId="22904" builtinId="9" hidden="1"/>
    <cellStyle name="Followed Hyperlink" xfId="22905" builtinId="9" hidden="1"/>
    <cellStyle name="Followed Hyperlink" xfId="22906" builtinId="9" hidden="1"/>
    <cellStyle name="Followed Hyperlink" xfId="22907" builtinId="9" hidden="1"/>
    <cellStyle name="Followed Hyperlink" xfId="22908" builtinId="9" hidden="1"/>
    <cellStyle name="Followed Hyperlink" xfId="22909" builtinId="9" hidden="1"/>
    <cellStyle name="Followed Hyperlink" xfId="22910" builtinId="9" hidden="1"/>
    <cellStyle name="Followed Hyperlink" xfId="22911" builtinId="9" hidden="1"/>
    <cellStyle name="Followed Hyperlink" xfId="22912" builtinId="9" hidden="1"/>
    <cellStyle name="Followed Hyperlink" xfId="22913" builtinId="9" hidden="1"/>
    <cellStyle name="Followed Hyperlink" xfId="22914" builtinId="9" hidden="1"/>
    <cellStyle name="Followed Hyperlink" xfId="22915" builtinId="9" hidden="1"/>
    <cellStyle name="Followed Hyperlink" xfId="22916" builtinId="9" hidden="1"/>
    <cellStyle name="Followed Hyperlink" xfId="22917" builtinId="9" hidden="1"/>
    <cellStyle name="Followed Hyperlink" xfId="22630" builtinId="9" hidden="1"/>
    <cellStyle name="Followed Hyperlink" xfId="22878" builtinId="9" hidden="1"/>
    <cellStyle name="Followed Hyperlink" xfId="22919" builtinId="9" hidden="1"/>
    <cellStyle name="Followed Hyperlink" xfId="22920" builtinId="9" hidden="1"/>
    <cellStyle name="Followed Hyperlink" xfId="22921" builtinId="9" hidden="1"/>
    <cellStyle name="Followed Hyperlink" xfId="22922" builtinId="9" hidden="1"/>
    <cellStyle name="Followed Hyperlink" xfId="22923" builtinId="9" hidden="1"/>
    <cellStyle name="Followed Hyperlink" xfId="22924" builtinId="9" hidden="1"/>
    <cellStyle name="Followed Hyperlink" xfId="22925" builtinId="9" hidden="1"/>
    <cellStyle name="Followed Hyperlink" xfId="22926" builtinId="9" hidden="1"/>
    <cellStyle name="Followed Hyperlink" xfId="22927" builtinId="9" hidden="1"/>
    <cellStyle name="Followed Hyperlink" xfId="22928" builtinId="9" hidden="1"/>
    <cellStyle name="Followed Hyperlink" xfId="22929" builtinId="9" hidden="1"/>
    <cellStyle name="Followed Hyperlink" xfId="22930" builtinId="9" hidden="1"/>
    <cellStyle name="Followed Hyperlink" xfId="22931" builtinId="9" hidden="1"/>
    <cellStyle name="Followed Hyperlink" xfId="22932" builtinId="9" hidden="1"/>
    <cellStyle name="Followed Hyperlink" xfId="22933" builtinId="9" hidden="1"/>
    <cellStyle name="Followed Hyperlink" xfId="22934" builtinId="9" hidden="1"/>
    <cellStyle name="Followed Hyperlink" xfId="22935" builtinId="9" hidden="1"/>
    <cellStyle name="Followed Hyperlink" xfId="22936" builtinId="9" hidden="1"/>
    <cellStyle name="Followed Hyperlink" xfId="22937" builtinId="9" hidden="1"/>
    <cellStyle name="Followed Hyperlink" xfId="22938" builtinId="9" hidden="1"/>
    <cellStyle name="Followed Hyperlink" xfId="22939" builtinId="9" hidden="1"/>
    <cellStyle name="Followed Hyperlink" xfId="22940" builtinId="9" hidden="1"/>
    <cellStyle name="Followed Hyperlink" xfId="22941" builtinId="9" hidden="1"/>
    <cellStyle name="Followed Hyperlink" xfId="22942" builtinId="9" hidden="1"/>
    <cellStyle name="Followed Hyperlink" xfId="22943" builtinId="9" hidden="1"/>
    <cellStyle name="Followed Hyperlink" xfId="22944" builtinId="9" hidden="1"/>
    <cellStyle name="Followed Hyperlink" xfId="22945" builtinId="9" hidden="1"/>
    <cellStyle name="Followed Hyperlink" xfId="22946" builtinId="9" hidden="1"/>
    <cellStyle name="Followed Hyperlink" xfId="22947" builtinId="9" hidden="1"/>
    <cellStyle name="Followed Hyperlink" xfId="22948" builtinId="9" hidden="1"/>
    <cellStyle name="Followed Hyperlink" xfId="22949" builtinId="9" hidden="1"/>
    <cellStyle name="Followed Hyperlink" xfId="22950" builtinId="9" hidden="1"/>
    <cellStyle name="Followed Hyperlink" xfId="22951" builtinId="9" hidden="1"/>
    <cellStyle name="Followed Hyperlink" xfId="22952" builtinId="9" hidden="1"/>
    <cellStyle name="Followed Hyperlink" xfId="22953" builtinId="9" hidden="1"/>
    <cellStyle name="Followed Hyperlink" xfId="22954" builtinId="9" hidden="1"/>
    <cellStyle name="Followed Hyperlink" xfId="22955" builtinId="9" hidden="1"/>
    <cellStyle name="Followed Hyperlink" xfId="22956" builtinId="9" hidden="1"/>
    <cellStyle name="Followed Hyperlink" xfId="22957" builtinId="9" hidden="1"/>
    <cellStyle name="Followed Hyperlink" xfId="22631" builtinId="9" hidden="1"/>
    <cellStyle name="Followed Hyperlink" xfId="22918" builtinId="9" hidden="1"/>
    <cellStyle name="Followed Hyperlink" xfId="22959" builtinId="9" hidden="1"/>
    <cellStyle name="Followed Hyperlink" xfId="22960" builtinId="9" hidden="1"/>
    <cellStyle name="Followed Hyperlink" xfId="22961" builtinId="9" hidden="1"/>
    <cellStyle name="Followed Hyperlink" xfId="22962" builtinId="9" hidden="1"/>
    <cellStyle name="Followed Hyperlink" xfId="22963" builtinId="9" hidden="1"/>
    <cellStyle name="Followed Hyperlink" xfId="22964" builtinId="9" hidden="1"/>
    <cellStyle name="Followed Hyperlink" xfId="22965" builtinId="9" hidden="1"/>
    <cellStyle name="Followed Hyperlink" xfId="22966" builtinId="9" hidden="1"/>
    <cellStyle name="Followed Hyperlink" xfId="22967" builtinId="9" hidden="1"/>
    <cellStyle name="Followed Hyperlink" xfId="22968" builtinId="9" hidden="1"/>
    <cellStyle name="Followed Hyperlink" xfId="22969" builtinId="9" hidden="1"/>
    <cellStyle name="Followed Hyperlink" xfId="22970" builtinId="9" hidden="1"/>
    <cellStyle name="Followed Hyperlink" xfId="22971" builtinId="9" hidden="1"/>
    <cellStyle name="Followed Hyperlink" xfId="22972" builtinId="9" hidden="1"/>
    <cellStyle name="Followed Hyperlink" xfId="22973" builtinId="9" hidden="1"/>
    <cellStyle name="Followed Hyperlink" xfId="22974" builtinId="9" hidden="1"/>
    <cellStyle name="Followed Hyperlink" xfId="22975" builtinId="9" hidden="1"/>
    <cellStyle name="Followed Hyperlink" xfId="22976" builtinId="9" hidden="1"/>
    <cellStyle name="Followed Hyperlink" xfId="22977" builtinId="9" hidden="1"/>
    <cellStyle name="Followed Hyperlink" xfId="22978" builtinId="9" hidden="1"/>
    <cellStyle name="Followed Hyperlink" xfId="22979" builtinId="9" hidden="1"/>
    <cellStyle name="Followed Hyperlink" xfId="22980" builtinId="9" hidden="1"/>
    <cellStyle name="Followed Hyperlink" xfId="22981" builtinId="9" hidden="1"/>
    <cellStyle name="Followed Hyperlink" xfId="22982" builtinId="9" hidden="1"/>
    <cellStyle name="Followed Hyperlink" xfId="22983" builtinId="9" hidden="1"/>
    <cellStyle name="Followed Hyperlink" xfId="22984" builtinId="9" hidden="1"/>
    <cellStyle name="Followed Hyperlink" xfId="22985" builtinId="9" hidden="1"/>
    <cellStyle name="Followed Hyperlink" xfId="22986" builtinId="9" hidden="1"/>
    <cellStyle name="Followed Hyperlink" xfId="22987" builtinId="9" hidden="1"/>
    <cellStyle name="Followed Hyperlink" xfId="22988" builtinId="9" hidden="1"/>
    <cellStyle name="Followed Hyperlink" xfId="22989" builtinId="9" hidden="1"/>
    <cellStyle name="Followed Hyperlink" xfId="22990" builtinId="9" hidden="1"/>
    <cellStyle name="Followed Hyperlink" xfId="22991" builtinId="9" hidden="1"/>
    <cellStyle name="Followed Hyperlink" xfId="22992" builtinId="9" hidden="1"/>
    <cellStyle name="Followed Hyperlink" xfId="22993" builtinId="9" hidden="1"/>
    <cellStyle name="Followed Hyperlink" xfId="22994" builtinId="9" hidden="1"/>
    <cellStyle name="Followed Hyperlink" xfId="22995" builtinId="9" hidden="1"/>
    <cellStyle name="Followed Hyperlink" xfId="22996" builtinId="9" hidden="1"/>
    <cellStyle name="Followed Hyperlink" xfId="22997" builtinId="9" hidden="1"/>
    <cellStyle name="Followed Hyperlink" xfId="22633" builtinId="9" hidden="1"/>
    <cellStyle name="Followed Hyperlink" xfId="22958" builtinId="9" hidden="1"/>
    <cellStyle name="Followed Hyperlink" xfId="22999" builtinId="9" hidden="1"/>
    <cellStyle name="Followed Hyperlink" xfId="23000" builtinId="9" hidden="1"/>
    <cellStyle name="Followed Hyperlink" xfId="23001" builtinId="9" hidden="1"/>
    <cellStyle name="Followed Hyperlink" xfId="23002" builtinId="9" hidden="1"/>
    <cellStyle name="Followed Hyperlink" xfId="23003" builtinId="9" hidden="1"/>
    <cellStyle name="Followed Hyperlink" xfId="23004" builtinId="9" hidden="1"/>
    <cellStyle name="Followed Hyperlink" xfId="23005" builtinId="9" hidden="1"/>
    <cellStyle name="Followed Hyperlink" xfId="23006" builtinId="9" hidden="1"/>
    <cellStyle name="Followed Hyperlink" xfId="23007" builtinId="9" hidden="1"/>
    <cellStyle name="Followed Hyperlink" xfId="23008" builtinId="9" hidden="1"/>
    <cellStyle name="Followed Hyperlink" xfId="23009" builtinId="9" hidden="1"/>
    <cellStyle name="Followed Hyperlink" xfId="23010" builtinId="9" hidden="1"/>
    <cellStyle name="Followed Hyperlink" xfId="23011" builtinId="9" hidden="1"/>
    <cellStyle name="Followed Hyperlink" xfId="23012" builtinId="9" hidden="1"/>
    <cellStyle name="Followed Hyperlink" xfId="23013" builtinId="9" hidden="1"/>
    <cellStyle name="Followed Hyperlink" xfId="23014" builtinId="9" hidden="1"/>
    <cellStyle name="Followed Hyperlink" xfId="23015" builtinId="9" hidden="1"/>
    <cellStyle name="Followed Hyperlink" xfId="23016" builtinId="9" hidden="1"/>
    <cellStyle name="Followed Hyperlink" xfId="23017" builtinId="9" hidden="1"/>
    <cellStyle name="Followed Hyperlink" xfId="23018" builtinId="9" hidden="1"/>
    <cellStyle name="Followed Hyperlink" xfId="23019" builtinId="9" hidden="1"/>
    <cellStyle name="Followed Hyperlink" xfId="23020" builtinId="9" hidden="1"/>
    <cellStyle name="Followed Hyperlink" xfId="23021" builtinId="9" hidden="1"/>
    <cellStyle name="Followed Hyperlink" xfId="23022" builtinId="9" hidden="1"/>
    <cellStyle name="Followed Hyperlink" xfId="23023" builtinId="9" hidden="1"/>
    <cellStyle name="Followed Hyperlink" xfId="23024" builtinId="9" hidden="1"/>
    <cellStyle name="Followed Hyperlink" xfId="23025" builtinId="9" hidden="1"/>
    <cellStyle name="Followed Hyperlink" xfId="23026" builtinId="9" hidden="1"/>
    <cellStyle name="Followed Hyperlink" xfId="23027" builtinId="9" hidden="1"/>
    <cellStyle name="Followed Hyperlink" xfId="23028" builtinId="9" hidden="1"/>
    <cellStyle name="Followed Hyperlink" xfId="23029" builtinId="9" hidden="1"/>
    <cellStyle name="Followed Hyperlink" xfId="23030" builtinId="9" hidden="1"/>
    <cellStyle name="Followed Hyperlink" xfId="23031" builtinId="9" hidden="1"/>
    <cellStyle name="Followed Hyperlink" xfId="23032" builtinId="9" hidden="1"/>
    <cellStyle name="Followed Hyperlink" xfId="23033" builtinId="9" hidden="1"/>
    <cellStyle name="Followed Hyperlink" xfId="23034" builtinId="9" hidden="1"/>
    <cellStyle name="Followed Hyperlink" xfId="23035" builtinId="9" hidden="1"/>
    <cellStyle name="Followed Hyperlink" xfId="23036" builtinId="9" hidden="1"/>
    <cellStyle name="Followed Hyperlink" xfId="23037" builtinId="9" hidden="1"/>
    <cellStyle name="Followed Hyperlink" xfId="22629" builtinId="9" hidden="1"/>
    <cellStyle name="Followed Hyperlink" xfId="22998" builtinId="9" hidden="1"/>
    <cellStyle name="Followed Hyperlink" xfId="23038" builtinId="9" hidden="1"/>
    <cellStyle name="Followed Hyperlink" xfId="23039" builtinId="9" hidden="1"/>
    <cellStyle name="Followed Hyperlink" xfId="23040" builtinId="9" hidden="1"/>
    <cellStyle name="Followed Hyperlink" xfId="23041" builtinId="9" hidden="1"/>
    <cellStyle name="Followed Hyperlink" xfId="23042" builtinId="9" hidden="1"/>
    <cellStyle name="Followed Hyperlink" xfId="23043" builtinId="9" hidden="1"/>
    <cellStyle name="Followed Hyperlink" xfId="23044" builtinId="9" hidden="1"/>
    <cellStyle name="Followed Hyperlink" xfId="23045" builtinId="9" hidden="1"/>
    <cellStyle name="Followed Hyperlink" xfId="23046" builtinId="9" hidden="1"/>
    <cellStyle name="Followed Hyperlink" xfId="23047" builtinId="9" hidden="1"/>
    <cellStyle name="Followed Hyperlink" xfId="23048" builtinId="9" hidden="1"/>
    <cellStyle name="Followed Hyperlink" xfId="23049" builtinId="9" hidden="1"/>
    <cellStyle name="Followed Hyperlink" xfId="23050" builtinId="9" hidden="1"/>
    <cellStyle name="Followed Hyperlink" xfId="23051" builtinId="9" hidden="1"/>
    <cellStyle name="Followed Hyperlink" xfId="23052" builtinId="9" hidden="1"/>
    <cellStyle name="Followed Hyperlink" xfId="23053" builtinId="9" hidden="1"/>
    <cellStyle name="Followed Hyperlink" xfId="23054" builtinId="9" hidden="1"/>
    <cellStyle name="Followed Hyperlink" xfId="23055" builtinId="9" hidden="1"/>
    <cellStyle name="Followed Hyperlink" xfId="23056" builtinId="9" hidden="1"/>
    <cellStyle name="Followed Hyperlink" xfId="23057" builtinId="9" hidden="1"/>
    <cellStyle name="Followed Hyperlink" xfId="23058" builtinId="9" hidden="1"/>
    <cellStyle name="Followed Hyperlink" xfId="23059" builtinId="9" hidden="1"/>
    <cellStyle name="Followed Hyperlink" xfId="23060" builtinId="9" hidden="1"/>
    <cellStyle name="Followed Hyperlink" xfId="23061" builtinId="9" hidden="1"/>
    <cellStyle name="Followed Hyperlink" xfId="23062" builtinId="9" hidden="1"/>
    <cellStyle name="Followed Hyperlink" xfId="23063" builtinId="9" hidden="1"/>
    <cellStyle name="Followed Hyperlink" xfId="23064" builtinId="9" hidden="1"/>
    <cellStyle name="Followed Hyperlink" xfId="23065" builtinId="9" hidden="1"/>
    <cellStyle name="Followed Hyperlink" xfId="23066" builtinId="9" hidden="1"/>
    <cellStyle name="Followed Hyperlink" xfId="23067" builtinId="9" hidden="1"/>
    <cellStyle name="Followed Hyperlink" xfId="23068" builtinId="9" hidden="1"/>
    <cellStyle name="Followed Hyperlink" xfId="23069" builtinId="9" hidden="1"/>
    <cellStyle name="Followed Hyperlink" xfId="23070" builtinId="9" hidden="1"/>
    <cellStyle name="Followed Hyperlink" xfId="23071" builtinId="9" hidden="1"/>
    <cellStyle name="Followed Hyperlink" xfId="23072" builtinId="9" hidden="1"/>
    <cellStyle name="Followed Hyperlink" xfId="23073" builtinId="9" hidden="1"/>
    <cellStyle name="Followed Hyperlink" xfId="23074" builtinId="9" hidden="1"/>
    <cellStyle name="Followed Hyperlink" xfId="23075" builtinId="9" hidden="1"/>
    <cellStyle name="Followed Hyperlink" xfId="23076" builtinId="9" hidden="1"/>
    <cellStyle name="Followed Hyperlink" xfId="20129" builtinId="9" hidden="1"/>
    <cellStyle name="Followed Hyperlink" xfId="20128" builtinId="9" hidden="1"/>
    <cellStyle name="Followed Hyperlink" xfId="23077" builtinId="9" hidden="1"/>
    <cellStyle name="Followed Hyperlink" xfId="23078" builtinId="9" hidden="1"/>
    <cellStyle name="Followed Hyperlink" xfId="23079" builtinId="9" hidden="1"/>
    <cellStyle name="Followed Hyperlink" xfId="23080" builtinId="9" hidden="1"/>
    <cellStyle name="Followed Hyperlink" xfId="23081" builtinId="9" hidden="1"/>
    <cellStyle name="Followed Hyperlink" xfId="23082" builtinId="9" hidden="1"/>
    <cellStyle name="Followed Hyperlink" xfId="23083" builtinId="9" hidden="1"/>
    <cellStyle name="Followed Hyperlink" xfId="23084" builtinId="9" hidden="1"/>
    <cellStyle name="Followed Hyperlink" xfId="23085" builtinId="9" hidden="1"/>
    <cellStyle name="Followed Hyperlink" xfId="23086" builtinId="9" hidden="1"/>
    <cellStyle name="Followed Hyperlink" xfId="23087" builtinId="9" hidden="1"/>
    <cellStyle name="Followed Hyperlink" xfId="23088" builtinId="9" hidden="1"/>
    <cellStyle name="Followed Hyperlink" xfId="23089" builtinId="9" hidden="1"/>
    <cellStyle name="Followed Hyperlink" xfId="23090" builtinId="9" hidden="1"/>
    <cellStyle name="Followed Hyperlink" xfId="23091" builtinId="9" hidden="1"/>
    <cellStyle name="Followed Hyperlink" xfId="23092" builtinId="9" hidden="1"/>
    <cellStyle name="Followed Hyperlink" xfId="23093" builtinId="9" hidden="1"/>
    <cellStyle name="Followed Hyperlink" xfId="23094" builtinId="9" hidden="1"/>
    <cellStyle name="Followed Hyperlink" xfId="23095" builtinId="9" hidden="1"/>
    <cellStyle name="Followed Hyperlink" xfId="23096" builtinId="9" hidden="1"/>
    <cellStyle name="Followed Hyperlink" xfId="23097" builtinId="9" hidden="1"/>
    <cellStyle name="Followed Hyperlink" xfId="23098" builtinId="9" hidden="1"/>
    <cellStyle name="Followed Hyperlink" xfId="23099" builtinId="9" hidden="1"/>
    <cellStyle name="Followed Hyperlink" xfId="23100" builtinId="9" hidden="1"/>
    <cellStyle name="Followed Hyperlink" xfId="23101" builtinId="9" hidden="1"/>
    <cellStyle name="Followed Hyperlink" xfId="23102" builtinId="9" hidden="1"/>
    <cellStyle name="Followed Hyperlink" xfId="23103" builtinId="9" hidden="1"/>
    <cellStyle name="Followed Hyperlink" xfId="23104" builtinId="9" hidden="1"/>
    <cellStyle name="Followed Hyperlink" xfId="23105" builtinId="9" hidden="1"/>
    <cellStyle name="Followed Hyperlink" xfId="23106" builtinId="9" hidden="1"/>
    <cellStyle name="Followed Hyperlink" xfId="23107" builtinId="9" hidden="1"/>
    <cellStyle name="Followed Hyperlink" xfId="23108" builtinId="9" hidden="1"/>
    <cellStyle name="Followed Hyperlink" xfId="23109" builtinId="9" hidden="1"/>
    <cellStyle name="Followed Hyperlink" xfId="23110" builtinId="9" hidden="1"/>
    <cellStyle name="Followed Hyperlink" xfId="23111" builtinId="9" hidden="1"/>
    <cellStyle name="Followed Hyperlink" xfId="23112" builtinId="9" hidden="1"/>
    <cellStyle name="Followed Hyperlink" xfId="23113" builtinId="9" hidden="1"/>
    <cellStyle name="Followed Hyperlink" xfId="23114" builtinId="9" hidden="1"/>
    <cellStyle name="Followed Hyperlink" xfId="23115" builtinId="9" hidden="1"/>
    <cellStyle name="Followed Hyperlink" xfId="23124" builtinId="9" hidden="1"/>
    <cellStyle name="Followed Hyperlink" xfId="23125" builtinId="9" hidden="1"/>
    <cellStyle name="Followed Hyperlink" xfId="23126" builtinId="9" hidden="1"/>
    <cellStyle name="Followed Hyperlink" xfId="23127" builtinId="9" hidden="1"/>
    <cellStyle name="Followed Hyperlink" xfId="23128" builtinId="9" hidden="1"/>
    <cellStyle name="Followed Hyperlink" xfId="23129" builtinId="9" hidden="1"/>
    <cellStyle name="Followed Hyperlink" xfId="23130" builtinId="9" hidden="1"/>
    <cellStyle name="Followed Hyperlink" xfId="23131" builtinId="9" hidden="1"/>
    <cellStyle name="Followed Hyperlink" xfId="23132" builtinId="9" hidden="1"/>
    <cellStyle name="Followed Hyperlink" xfId="23133" builtinId="9" hidden="1"/>
    <cellStyle name="Followed Hyperlink" xfId="23134" builtinId="9" hidden="1"/>
    <cellStyle name="Followed Hyperlink" xfId="23135" builtinId="9" hidden="1"/>
    <cellStyle name="Followed Hyperlink" xfId="23136" builtinId="9" hidden="1"/>
    <cellStyle name="Followed Hyperlink" xfId="23137" builtinId="9" hidden="1"/>
    <cellStyle name="Followed Hyperlink" xfId="23138" builtinId="9" hidden="1"/>
    <cellStyle name="Followed Hyperlink" xfId="23139" builtinId="9" hidden="1"/>
    <cellStyle name="Followed Hyperlink" xfId="23140" builtinId="9" hidden="1"/>
    <cellStyle name="Followed Hyperlink" xfId="23141" builtinId="9" hidden="1"/>
    <cellStyle name="Followed Hyperlink" xfId="23142" builtinId="9" hidden="1"/>
    <cellStyle name="Followed Hyperlink" xfId="23143" builtinId="9" hidden="1"/>
    <cellStyle name="Followed Hyperlink" xfId="23144" builtinId="9" hidden="1"/>
    <cellStyle name="Followed Hyperlink" xfId="23145" builtinId="9" hidden="1"/>
    <cellStyle name="Followed Hyperlink" xfId="23146" builtinId="9" hidden="1"/>
    <cellStyle name="Followed Hyperlink" xfId="23147" builtinId="9" hidden="1"/>
    <cellStyle name="Followed Hyperlink" xfId="23148" builtinId="9" hidden="1"/>
    <cellStyle name="Followed Hyperlink" xfId="23149" builtinId="9" hidden="1"/>
    <cellStyle name="Followed Hyperlink" xfId="23150" builtinId="9" hidden="1"/>
    <cellStyle name="Followed Hyperlink" xfId="23151" builtinId="9" hidden="1"/>
    <cellStyle name="Followed Hyperlink" xfId="23152" builtinId="9" hidden="1"/>
    <cellStyle name="Followed Hyperlink" xfId="23153" builtinId="9" hidden="1"/>
    <cellStyle name="Followed Hyperlink" xfId="23154" builtinId="9" hidden="1"/>
    <cellStyle name="Followed Hyperlink" xfId="23155" builtinId="9" hidden="1"/>
    <cellStyle name="Followed Hyperlink" xfId="23156" builtinId="9" hidden="1"/>
    <cellStyle name="Followed Hyperlink" xfId="23157" builtinId="9" hidden="1"/>
    <cellStyle name="Followed Hyperlink" xfId="23158" builtinId="9" hidden="1"/>
    <cellStyle name="Followed Hyperlink" xfId="23159" builtinId="9" hidden="1"/>
    <cellStyle name="Followed Hyperlink" xfId="23160" builtinId="9" hidden="1"/>
    <cellStyle name="Followed Hyperlink" xfId="23161" builtinId="9" hidden="1"/>
    <cellStyle name="Followed Hyperlink" xfId="23162" builtinId="9" hidden="1"/>
    <cellStyle name="Followed Hyperlink" xfId="23163" builtinId="9" hidden="1"/>
    <cellStyle name="Followed Hyperlink" xfId="23164" builtinId="9" hidden="1"/>
    <cellStyle name="Followed Hyperlink" xfId="23165" builtinId="9" hidden="1"/>
    <cellStyle name="Followed Hyperlink" xfId="23166" builtinId="9" hidden="1"/>
    <cellStyle name="Followed Hyperlink" xfId="23167" builtinId="9" hidden="1"/>
    <cellStyle name="Followed Hyperlink" xfId="23168" builtinId="9" hidden="1"/>
    <cellStyle name="Followed Hyperlink" xfId="23169" builtinId="9" hidden="1"/>
    <cellStyle name="Followed Hyperlink" xfId="23170" builtinId="9" hidden="1"/>
    <cellStyle name="Followed Hyperlink" xfId="23171" builtinId="9" hidden="1"/>
    <cellStyle name="Followed Hyperlink" xfId="23172" builtinId="9" hidden="1"/>
    <cellStyle name="Followed Hyperlink" xfId="23173" builtinId="9" hidden="1"/>
    <cellStyle name="Followed Hyperlink" xfId="23174" builtinId="9" hidden="1"/>
    <cellStyle name="Followed Hyperlink" xfId="23175" builtinId="9" hidden="1"/>
    <cellStyle name="Followed Hyperlink" xfId="23176" builtinId="9" hidden="1"/>
    <cellStyle name="Followed Hyperlink" xfId="23177" builtinId="9" hidden="1"/>
    <cellStyle name="Followed Hyperlink" xfId="23178" builtinId="9" hidden="1"/>
    <cellStyle name="Followed Hyperlink" xfId="23179" builtinId="9" hidden="1"/>
    <cellStyle name="Followed Hyperlink" xfId="23180" builtinId="9" hidden="1"/>
    <cellStyle name="Followed Hyperlink" xfId="23181" builtinId="9" hidden="1"/>
    <cellStyle name="Followed Hyperlink" xfId="23182" builtinId="9" hidden="1"/>
    <cellStyle name="Followed Hyperlink" xfId="23183" builtinId="9" hidden="1"/>
    <cellStyle name="Followed Hyperlink" xfId="23184" builtinId="9" hidden="1"/>
    <cellStyle name="Followed Hyperlink" xfId="23185" builtinId="9" hidden="1"/>
    <cellStyle name="Followed Hyperlink" xfId="23186" builtinId="9" hidden="1"/>
    <cellStyle name="Followed Hyperlink" xfId="23187" builtinId="9" hidden="1"/>
    <cellStyle name="Followed Hyperlink" xfId="23188" builtinId="9" hidden="1"/>
    <cellStyle name="Followed Hyperlink" xfId="23189" builtinId="9" hidden="1"/>
    <cellStyle name="Followed Hyperlink" xfId="23190" builtinId="9" hidden="1"/>
    <cellStyle name="Followed Hyperlink" xfId="23191" builtinId="9" hidden="1"/>
    <cellStyle name="Followed Hyperlink" xfId="23192" builtinId="9" hidden="1"/>
    <cellStyle name="Followed Hyperlink" xfId="23193" builtinId="9" hidden="1"/>
    <cellStyle name="Followed Hyperlink" xfId="23194" builtinId="9" hidden="1"/>
    <cellStyle name="Followed Hyperlink" xfId="23195" builtinId="9" hidden="1"/>
    <cellStyle name="Followed Hyperlink" xfId="23196" builtinId="9" hidden="1"/>
    <cellStyle name="Followed Hyperlink" xfId="23197" builtinId="9" hidden="1"/>
    <cellStyle name="Followed Hyperlink" xfId="23198" builtinId="9" hidden="1"/>
    <cellStyle name="Followed Hyperlink" xfId="23199" builtinId="9" hidden="1"/>
    <cellStyle name="Followed Hyperlink" xfId="23200" builtinId="9" hidden="1"/>
    <cellStyle name="Followed Hyperlink" xfId="23201" builtinId="9" hidden="1"/>
    <cellStyle name="Followed Hyperlink" xfId="23202" builtinId="9" hidden="1"/>
    <cellStyle name="Followed Hyperlink" xfId="23203" builtinId="9" hidden="1"/>
    <cellStyle name="Followed Hyperlink" xfId="23204" builtinId="9" hidden="1"/>
    <cellStyle name="Followed Hyperlink" xfId="23205" builtinId="9" hidden="1"/>
    <cellStyle name="Followed Hyperlink" xfId="23206" builtinId="9" hidden="1"/>
    <cellStyle name="Followed Hyperlink" xfId="23207" builtinId="9" hidden="1"/>
    <cellStyle name="Followed Hyperlink" xfId="23208" builtinId="9" hidden="1"/>
    <cellStyle name="Followed Hyperlink" xfId="23209" builtinId="9" hidden="1"/>
    <cellStyle name="Followed Hyperlink" xfId="23210" builtinId="9" hidden="1"/>
    <cellStyle name="Followed Hyperlink" xfId="23211" builtinId="9" hidden="1"/>
    <cellStyle name="Followed Hyperlink" xfId="23212" builtinId="9" hidden="1"/>
    <cellStyle name="Followed Hyperlink" xfId="23213" builtinId="9" hidden="1"/>
    <cellStyle name="Followed Hyperlink" xfId="23214" builtinId="9" hidden="1"/>
    <cellStyle name="Followed Hyperlink" xfId="23215" builtinId="9" hidden="1"/>
    <cellStyle name="Followed Hyperlink" xfId="23216" builtinId="9" hidden="1"/>
    <cellStyle name="Followed Hyperlink" xfId="23217" builtinId="9" hidden="1"/>
    <cellStyle name="Followed Hyperlink" xfId="23218" builtinId="9" hidden="1"/>
    <cellStyle name="Followed Hyperlink" xfId="23219" builtinId="9" hidden="1"/>
    <cellStyle name="Followed Hyperlink" xfId="23220" builtinId="9" hidden="1"/>
    <cellStyle name="Followed Hyperlink" xfId="23221" builtinId="9" hidden="1"/>
    <cellStyle name="Followed Hyperlink" xfId="23222" builtinId="9" hidden="1"/>
    <cellStyle name="Followed Hyperlink" xfId="23223" builtinId="9" hidden="1"/>
    <cellStyle name="Followed Hyperlink" xfId="23224" builtinId="9" hidden="1"/>
    <cellStyle name="Followed Hyperlink" xfId="23225" builtinId="9" hidden="1"/>
    <cellStyle name="Followed Hyperlink" xfId="23226" builtinId="9" hidden="1"/>
    <cellStyle name="Followed Hyperlink" xfId="23227" builtinId="9" hidden="1"/>
    <cellStyle name="Followed Hyperlink" xfId="23228" builtinId="9" hidden="1"/>
    <cellStyle name="Followed Hyperlink" xfId="23229" builtinId="9" hidden="1"/>
    <cellStyle name="Followed Hyperlink" xfId="23230" builtinId="9" hidden="1"/>
    <cellStyle name="Followed Hyperlink" xfId="23231" builtinId="9" hidden="1"/>
    <cellStyle name="Followed Hyperlink" xfId="23232" builtinId="9" hidden="1"/>
    <cellStyle name="Followed Hyperlink" xfId="23233" builtinId="9" hidden="1"/>
    <cellStyle name="Followed Hyperlink" xfId="23234" builtinId="9" hidden="1"/>
    <cellStyle name="Followed Hyperlink" xfId="23235" builtinId="9" hidden="1"/>
    <cellStyle name="Followed Hyperlink" xfId="23236" builtinId="9" hidden="1"/>
    <cellStyle name="Followed Hyperlink" xfId="23237" builtinId="9" hidden="1"/>
    <cellStyle name="Followed Hyperlink" xfId="23238" builtinId="9" hidden="1"/>
    <cellStyle name="Followed Hyperlink" xfId="23239" builtinId="9" hidden="1"/>
    <cellStyle name="Followed Hyperlink" xfId="23240" builtinId="9" hidden="1"/>
    <cellStyle name="Followed Hyperlink" xfId="23241" builtinId="9" hidden="1"/>
    <cellStyle name="Followed Hyperlink" xfId="23242" builtinId="9" hidden="1"/>
    <cellStyle name="Followed Hyperlink" xfId="23243" builtinId="9" hidden="1"/>
    <cellStyle name="Followed Hyperlink" xfId="23244" builtinId="9" hidden="1"/>
    <cellStyle name="Followed Hyperlink" xfId="23245" builtinId="9" hidden="1"/>
    <cellStyle name="Followed Hyperlink" xfId="23246" builtinId="9" hidden="1"/>
    <cellStyle name="Followed Hyperlink" xfId="23116" builtinId="9" hidden="1"/>
    <cellStyle name="Followed Hyperlink" xfId="20125" builtinId="9" hidden="1"/>
    <cellStyle name="Followed Hyperlink" xfId="23248" builtinId="9" hidden="1"/>
    <cellStyle name="Followed Hyperlink" xfId="23249" builtinId="9" hidden="1"/>
    <cellStyle name="Followed Hyperlink" xfId="23250" builtinId="9" hidden="1"/>
    <cellStyle name="Followed Hyperlink" xfId="23251" builtinId="9" hidden="1"/>
    <cellStyle name="Followed Hyperlink" xfId="23252" builtinId="9" hidden="1"/>
    <cellStyle name="Followed Hyperlink" xfId="23253" builtinId="9" hidden="1"/>
    <cellStyle name="Followed Hyperlink" xfId="23254" builtinId="9" hidden="1"/>
    <cellStyle name="Followed Hyperlink" xfId="23255" builtinId="9" hidden="1"/>
    <cellStyle name="Followed Hyperlink" xfId="23256" builtinId="9" hidden="1"/>
    <cellStyle name="Followed Hyperlink" xfId="23257" builtinId="9" hidden="1"/>
    <cellStyle name="Followed Hyperlink" xfId="23258" builtinId="9" hidden="1"/>
    <cellStyle name="Followed Hyperlink" xfId="23259" builtinId="9" hidden="1"/>
    <cellStyle name="Followed Hyperlink" xfId="23260" builtinId="9" hidden="1"/>
    <cellStyle name="Followed Hyperlink" xfId="23261" builtinId="9" hidden="1"/>
    <cellStyle name="Followed Hyperlink" xfId="23262" builtinId="9" hidden="1"/>
    <cellStyle name="Followed Hyperlink" xfId="23263" builtinId="9" hidden="1"/>
    <cellStyle name="Followed Hyperlink" xfId="23264" builtinId="9" hidden="1"/>
    <cellStyle name="Followed Hyperlink" xfId="23265" builtinId="9" hidden="1"/>
    <cellStyle name="Followed Hyperlink" xfId="23266" builtinId="9" hidden="1"/>
    <cellStyle name="Followed Hyperlink" xfId="23267" builtinId="9" hidden="1"/>
    <cellStyle name="Followed Hyperlink" xfId="23268" builtinId="9" hidden="1"/>
    <cellStyle name="Followed Hyperlink" xfId="23269" builtinId="9" hidden="1"/>
    <cellStyle name="Followed Hyperlink" xfId="23270" builtinId="9" hidden="1"/>
    <cellStyle name="Followed Hyperlink" xfId="23271" builtinId="9" hidden="1"/>
    <cellStyle name="Followed Hyperlink" xfId="23272" builtinId="9" hidden="1"/>
    <cellStyle name="Followed Hyperlink" xfId="23273" builtinId="9" hidden="1"/>
    <cellStyle name="Followed Hyperlink" xfId="23274" builtinId="9" hidden="1"/>
    <cellStyle name="Followed Hyperlink" xfId="23275" builtinId="9" hidden="1"/>
    <cellStyle name="Followed Hyperlink" xfId="23276" builtinId="9" hidden="1"/>
    <cellStyle name="Followed Hyperlink" xfId="23277" builtinId="9" hidden="1"/>
    <cellStyle name="Followed Hyperlink" xfId="23278" builtinId="9" hidden="1"/>
    <cellStyle name="Followed Hyperlink" xfId="23279" builtinId="9" hidden="1"/>
    <cellStyle name="Followed Hyperlink" xfId="23280" builtinId="9" hidden="1"/>
    <cellStyle name="Followed Hyperlink" xfId="23281" builtinId="9" hidden="1"/>
    <cellStyle name="Followed Hyperlink" xfId="23282" builtinId="9" hidden="1"/>
    <cellStyle name="Followed Hyperlink" xfId="23283" builtinId="9" hidden="1"/>
    <cellStyle name="Followed Hyperlink" xfId="23284" builtinId="9" hidden="1"/>
    <cellStyle name="Followed Hyperlink" xfId="23285" builtinId="9" hidden="1"/>
    <cellStyle name="Followed Hyperlink" xfId="23286" builtinId="9" hidden="1"/>
    <cellStyle name="Followed Hyperlink" xfId="23121" builtinId="9" hidden="1"/>
    <cellStyle name="Followed Hyperlink" xfId="23247" builtinId="9" hidden="1"/>
    <cellStyle name="Followed Hyperlink" xfId="23288" builtinId="9" hidden="1"/>
    <cellStyle name="Followed Hyperlink" xfId="23289" builtinId="9" hidden="1"/>
    <cellStyle name="Followed Hyperlink" xfId="23290" builtinId="9" hidden="1"/>
    <cellStyle name="Followed Hyperlink" xfId="23291" builtinId="9" hidden="1"/>
    <cellStyle name="Followed Hyperlink" xfId="23292" builtinId="9" hidden="1"/>
    <cellStyle name="Followed Hyperlink" xfId="23293" builtinId="9" hidden="1"/>
    <cellStyle name="Followed Hyperlink" xfId="23294" builtinId="9" hidden="1"/>
    <cellStyle name="Followed Hyperlink" xfId="23295" builtinId="9" hidden="1"/>
    <cellStyle name="Followed Hyperlink" xfId="23296" builtinId="9" hidden="1"/>
    <cellStyle name="Followed Hyperlink" xfId="23297" builtinId="9" hidden="1"/>
    <cellStyle name="Followed Hyperlink" xfId="23298" builtinId="9" hidden="1"/>
    <cellStyle name="Followed Hyperlink" xfId="23299" builtinId="9" hidden="1"/>
    <cellStyle name="Followed Hyperlink" xfId="23300" builtinId="9" hidden="1"/>
    <cellStyle name="Followed Hyperlink" xfId="23301" builtinId="9" hidden="1"/>
    <cellStyle name="Followed Hyperlink" xfId="23302" builtinId="9" hidden="1"/>
    <cellStyle name="Followed Hyperlink" xfId="23303" builtinId="9" hidden="1"/>
    <cellStyle name="Followed Hyperlink" xfId="23304" builtinId="9" hidden="1"/>
    <cellStyle name="Followed Hyperlink" xfId="23305" builtinId="9" hidden="1"/>
    <cellStyle name="Followed Hyperlink" xfId="23306" builtinId="9" hidden="1"/>
    <cellStyle name="Followed Hyperlink" xfId="23307" builtinId="9" hidden="1"/>
    <cellStyle name="Followed Hyperlink" xfId="23308" builtinId="9" hidden="1"/>
    <cellStyle name="Followed Hyperlink" xfId="23309" builtinId="9" hidden="1"/>
    <cellStyle name="Followed Hyperlink" xfId="23310" builtinId="9" hidden="1"/>
    <cellStyle name="Followed Hyperlink" xfId="23311" builtinId="9" hidden="1"/>
    <cellStyle name="Followed Hyperlink" xfId="23312" builtinId="9" hidden="1"/>
    <cellStyle name="Followed Hyperlink" xfId="23313" builtinId="9" hidden="1"/>
    <cellStyle name="Followed Hyperlink" xfId="23314" builtinId="9" hidden="1"/>
    <cellStyle name="Followed Hyperlink" xfId="23315" builtinId="9" hidden="1"/>
    <cellStyle name="Followed Hyperlink" xfId="23316" builtinId="9" hidden="1"/>
    <cellStyle name="Followed Hyperlink" xfId="23317" builtinId="9" hidden="1"/>
    <cellStyle name="Followed Hyperlink" xfId="23318" builtinId="9" hidden="1"/>
    <cellStyle name="Followed Hyperlink" xfId="23319" builtinId="9" hidden="1"/>
    <cellStyle name="Followed Hyperlink" xfId="23320" builtinId="9" hidden="1"/>
    <cellStyle name="Followed Hyperlink" xfId="23321" builtinId="9" hidden="1"/>
    <cellStyle name="Followed Hyperlink" xfId="23322" builtinId="9" hidden="1"/>
    <cellStyle name="Followed Hyperlink" xfId="23323" builtinId="9" hidden="1"/>
    <cellStyle name="Followed Hyperlink" xfId="23324" builtinId="9" hidden="1"/>
    <cellStyle name="Followed Hyperlink" xfId="23325" builtinId="9" hidden="1"/>
    <cellStyle name="Followed Hyperlink" xfId="23326" builtinId="9" hidden="1"/>
    <cellStyle name="Followed Hyperlink" xfId="23123" builtinId="9" hidden="1"/>
    <cellStyle name="Followed Hyperlink" xfId="23287" builtinId="9" hidden="1"/>
    <cellStyle name="Followed Hyperlink" xfId="23328" builtinId="9" hidden="1"/>
    <cellStyle name="Followed Hyperlink" xfId="23329" builtinId="9" hidden="1"/>
    <cellStyle name="Followed Hyperlink" xfId="23330" builtinId="9" hidden="1"/>
    <cellStyle name="Followed Hyperlink" xfId="23331" builtinId="9" hidden="1"/>
    <cellStyle name="Followed Hyperlink" xfId="23332" builtinId="9" hidden="1"/>
    <cellStyle name="Followed Hyperlink" xfId="23333" builtinId="9" hidden="1"/>
    <cellStyle name="Followed Hyperlink" xfId="23334" builtinId="9" hidden="1"/>
    <cellStyle name="Followed Hyperlink" xfId="23335" builtinId="9" hidden="1"/>
    <cellStyle name="Followed Hyperlink" xfId="23336" builtinId="9" hidden="1"/>
    <cellStyle name="Followed Hyperlink" xfId="23337" builtinId="9" hidden="1"/>
    <cellStyle name="Followed Hyperlink" xfId="23338" builtinId="9" hidden="1"/>
    <cellStyle name="Followed Hyperlink" xfId="23339" builtinId="9" hidden="1"/>
    <cellStyle name="Followed Hyperlink" xfId="23340" builtinId="9" hidden="1"/>
    <cellStyle name="Followed Hyperlink" xfId="23341" builtinId="9" hidden="1"/>
    <cellStyle name="Followed Hyperlink" xfId="23342" builtinId="9" hidden="1"/>
    <cellStyle name="Followed Hyperlink" xfId="23343" builtinId="9" hidden="1"/>
    <cellStyle name="Followed Hyperlink" xfId="23344" builtinId="9" hidden="1"/>
    <cellStyle name="Followed Hyperlink" xfId="23345" builtinId="9" hidden="1"/>
    <cellStyle name="Followed Hyperlink" xfId="23346" builtinId="9" hidden="1"/>
    <cellStyle name="Followed Hyperlink" xfId="23347" builtinId="9" hidden="1"/>
    <cellStyle name="Followed Hyperlink" xfId="23348" builtinId="9" hidden="1"/>
    <cellStyle name="Followed Hyperlink" xfId="23349" builtinId="9" hidden="1"/>
    <cellStyle name="Followed Hyperlink" xfId="23350" builtinId="9" hidden="1"/>
    <cellStyle name="Followed Hyperlink" xfId="23351" builtinId="9" hidden="1"/>
    <cellStyle name="Followed Hyperlink" xfId="23352" builtinId="9" hidden="1"/>
    <cellStyle name="Followed Hyperlink" xfId="23353" builtinId="9" hidden="1"/>
    <cellStyle name="Followed Hyperlink" xfId="23354" builtinId="9" hidden="1"/>
    <cellStyle name="Followed Hyperlink" xfId="23355" builtinId="9" hidden="1"/>
    <cellStyle name="Followed Hyperlink" xfId="23356" builtinId="9" hidden="1"/>
    <cellStyle name="Followed Hyperlink" xfId="23357" builtinId="9" hidden="1"/>
    <cellStyle name="Followed Hyperlink" xfId="23358" builtinId="9" hidden="1"/>
    <cellStyle name="Followed Hyperlink" xfId="23359" builtinId="9" hidden="1"/>
    <cellStyle name="Followed Hyperlink" xfId="23360" builtinId="9" hidden="1"/>
    <cellStyle name="Followed Hyperlink" xfId="23361" builtinId="9" hidden="1"/>
    <cellStyle name="Followed Hyperlink" xfId="23362" builtinId="9" hidden="1"/>
    <cellStyle name="Followed Hyperlink" xfId="23363" builtinId="9" hidden="1"/>
    <cellStyle name="Followed Hyperlink" xfId="23364" builtinId="9" hidden="1"/>
    <cellStyle name="Followed Hyperlink" xfId="23365" builtinId="9" hidden="1"/>
    <cellStyle name="Followed Hyperlink" xfId="23366" builtinId="9" hidden="1"/>
    <cellStyle name="Followed Hyperlink" xfId="23117" builtinId="9" hidden="1"/>
    <cellStyle name="Followed Hyperlink" xfId="23327" builtinId="9" hidden="1"/>
    <cellStyle name="Followed Hyperlink" xfId="23368" builtinId="9" hidden="1"/>
    <cellStyle name="Followed Hyperlink" xfId="23369" builtinId="9" hidden="1"/>
    <cellStyle name="Followed Hyperlink" xfId="23370" builtinId="9" hidden="1"/>
    <cellStyle name="Followed Hyperlink" xfId="23371" builtinId="9" hidden="1"/>
    <cellStyle name="Followed Hyperlink" xfId="23372" builtinId="9" hidden="1"/>
    <cellStyle name="Followed Hyperlink" xfId="23373" builtinId="9" hidden="1"/>
    <cellStyle name="Followed Hyperlink" xfId="23374" builtinId="9" hidden="1"/>
    <cellStyle name="Followed Hyperlink" xfId="23375" builtinId="9" hidden="1"/>
    <cellStyle name="Followed Hyperlink" xfId="23376" builtinId="9" hidden="1"/>
    <cellStyle name="Followed Hyperlink" xfId="23377" builtinId="9" hidden="1"/>
    <cellStyle name="Followed Hyperlink" xfId="23378" builtinId="9" hidden="1"/>
    <cellStyle name="Followed Hyperlink" xfId="23379" builtinId="9" hidden="1"/>
    <cellStyle name="Followed Hyperlink" xfId="23380" builtinId="9" hidden="1"/>
    <cellStyle name="Followed Hyperlink" xfId="23381" builtinId="9" hidden="1"/>
    <cellStyle name="Followed Hyperlink" xfId="23382" builtinId="9" hidden="1"/>
    <cellStyle name="Followed Hyperlink" xfId="23383" builtinId="9" hidden="1"/>
    <cellStyle name="Followed Hyperlink" xfId="23384" builtinId="9" hidden="1"/>
    <cellStyle name="Followed Hyperlink" xfId="23385" builtinId="9" hidden="1"/>
    <cellStyle name="Followed Hyperlink" xfId="23386" builtinId="9" hidden="1"/>
    <cellStyle name="Followed Hyperlink" xfId="23387" builtinId="9" hidden="1"/>
    <cellStyle name="Followed Hyperlink" xfId="23388" builtinId="9" hidden="1"/>
    <cellStyle name="Followed Hyperlink" xfId="23389" builtinId="9" hidden="1"/>
    <cellStyle name="Followed Hyperlink" xfId="23390" builtinId="9" hidden="1"/>
    <cellStyle name="Followed Hyperlink" xfId="23391" builtinId="9" hidden="1"/>
    <cellStyle name="Followed Hyperlink" xfId="23392" builtinId="9" hidden="1"/>
    <cellStyle name="Followed Hyperlink" xfId="23393" builtinId="9" hidden="1"/>
    <cellStyle name="Followed Hyperlink" xfId="23394" builtinId="9" hidden="1"/>
    <cellStyle name="Followed Hyperlink" xfId="23395" builtinId="9" hidden="1"/>
    <cellStyle name="Followed Hyperlink" xfId="23396" builtinId="9" hidden="1"/>
    <cellStyle name="Followed Hyperlink" xfId="23397" builtinId="9" hidden="1"/>
    <cellStyle name="Followed Hyperlink" xfId="23398" builtinId="9" hidden="1"/>
    <cellStyle name="Followed Hyperlink" xfId="23399" builtinId="9" hidden="1"/>
    <cellStyle name="Followed Hyperlink" xfId="23400" builtinId="9" hidden="1"/>
    <cellStyle name="Followed Hyperlink" xfId="23401" builtinId="9" hidden="1"/>
    <cellStyle name="Followed Hyperlink" xfId="23402" builtinId="9" hidden="1"/>
    <cellStyle name="Followed Hyperlink" xfId="23403" builtinId="9" hidden="1"/>
    <cellStyle name="Followed Hyperlink" xfId="23404" builtinId="9" hidden="1"/>
    <cellStyle name="Followed Hyperlink" xfId="23405" builtinId="9" hidden="1"/>
    <cellStyle name="Followed Hyperlink" xfId="23406" builtinId="9" hidden="1"/>
    <cellStyle name="Followed Hyperlink" xfId="23119" builtinId="9" hidden="1"/>
    <cellStyle name="Followed Hyperlink" xfId="23367" builtinId="9" hidden="1"/>
    <cellStyle name="Followed Hyperlink" xfId="23408" builtinId="9" hidden="1"/>
    <cellStyle name="Followed Hyperlink" xfId="23409" builtinId="9" hidden="1"/>
    <cellStyle name="Followed Hyperlink" xfId="23410" builtinId="9" hidden="1"/>
    <cellStyle name="Followed Hyperlink" xfId="23411" builtinId="9" hidden="1"/>
    <cellStyle name="Followed Hyperlink" xfId="23412" builtinId="9" hidden="1"/>
    <cellStyle name="Followed Hyperlink" xfId="23413" builtinId="9" hidden="1"/>
    <cellStyle name="Followed Hyperlink" xfId="23414" builtinId="9" hidden="1"/>
    <cellStyle name="Followed Hyperlink" xfId="23415" builtinId="9" hidden="1"/>
    <cellStyle name="Followed Hyperlink" xfId="23416" builtinId="9" hidden="1"/>
    <cellStyle name="Followed Hyperlink" xfId="23417" builtinId="9" hidden="1"/>
    <cellStyle name="Followed Hyperlink" xfId="23418" builtinId="9" hidden="1"/>
    <cellStyle name="Followed Hyperlink" xfId="23419" builtinId="9" hidden="1"/>
    <cellStyle name="Followed Hyperlink" xfId="23420" builtinId="9" hidden="1"/>
    <cellStyle name="Followed Hyperlink" xfId="23421" builtinId="9" hidden="1"/>
    <cellStyle name="Followed Hyperlink" xfId="23422" builtinId="9" hidden="1"/>
    <cellStyle name="Followed Hyperlink" xfId="23423" builtinId="9" hidden="1"/>
    <cellStyle name="Followed Hyperlink" xfId="23424" builtinId="9" hidden="1"/>
    <cellStyle name="Followed Hyperlink" xfId="23425" builtinId="9" hidden="1"/>
    <cellStyle name="Followed Hyperlink" xfId="23426" builtinId="9" hidden="1"/>
    <cellStyle name="Followed Hyperlink" xfId="23427" builtinId="9" hidden="1"/>
    <cellStyle name="Followed Hyperlink" xfId="23428" builtinId="9" hidden="1"/>
    <cellStyle name="Followed Hyperlink" xfId="23429" builtinId="9" hidden="1"/>
    <cellStyle name="Followed Hyperlink" xfId="23430" builtinId="9" hidden="1"/>
    <cellStyle name="Followed Hyperlink" xfId="23431" builtinId="9" hidden="1"/>
    <cellStyle name="Followed Hyperlink" xfId="23432" builtinId="9" hidden="1"/>
    <cellStyle name="Followed Hyperlink" xfId="23433" builtinId="9" hidden="1"/>
    <cellStyle name="Followed Hyperlink" xfId="23434" builtinId="9" hidden="1"/>
    <cellStyle name="Followed Hyperlink" xfId="23435" builtinId="9" hidden="1"/>
    <cellStyle name="Followed Hyperlink" xfId="23436" builtinId="9" hidden="1"/>
    <cellStyle name="Followed Hyperlink" xfId="23437" builtinId="9" hidden="1"/>
    <cellStyle name="Followed Hyperlink" xfId="23438" builtinId="9" hidden="1"/>
    <cellStyle name="Followed Hyperlink" xfId="23439" builtinId="9" hidden="1"/>
    <cellStyle name="Followed Hyperlink" xfId="23440" builtinId="9" hidden="1"/>
    <cellStyle name="Followed Hyperlink" xfId="23441" builtinId="9" hidden="1"/>
    <cellStyle name="Followed Hyperlink" xfId="23442" builtinId="9" hidden="1"/>
    <cellStyle name="Followed Hyperlink" xfId="23443" builtinId="9" hidden="1"/>
    <cellStyle name="Followed Hyperlink" xfId="23444" builtinId="9" hidden="1"/>
    <cellStyle name="Followed Hyperlink" xfId="23445" builtinId="9" hidden="1"/>
    <cellStyle name="Followed Hyperlink" xfId="23446" builtinId="9" hidden="1"/>
    <cellStyle name="Followed Hyperlink" xfId="23120" builtinId="9" hidden="1"/>
    <cellStyle name="Followed Hyperlink" xfId="23407" builtinId="9" hidden="1"/>
    <cellStyle name="Followed Hyperlink" xfId="23448" builtinId="9" hidden="1"/>
    <cellStyle name="Followed Hyperlink" xfId="23449" builtinId="9" hidden="1"/>
    <cellStyle name="Followed Hyperlink" xfId="23450" builtinId="9" hidden="1"/>
    <cellStyle name="Followed Hyperlink" xfId="23451" builtinId="9" hidden="1"/>
    <cellStyle name="Followed Hyperlink" xfId="23452" builtinId="9" hidden="1"/>
    <cellStyle name="Followed Hyperlink" xfId="23453" builtinId="9" hidden="1"/>
    <cellStyle name="Followed Hyperlink" xfId="23454" builtinId="9" hidden="1"/>
    <cellStyle name="Followed Hyperlink" xfId="23455" builtinId="9" hidden="1"/>
    <cellStyle name="Followed Hyperlink" xfId="23456" builtinId="9" hidden="1"/>
    <cellStyle name="Followed Hyperlink" xfId="23457" builtinId="9" hidden="1"/>
    <cellStyle name="Followed Hyperlink" xfId="23458" builtinId="9" hidden="1"/>
    <cellStyle name="Followed Hyperlink" xfId="23459" builtinId="9" hidden="1"/>
    <cellStyle name="Followed Hyperlink" xfId="23460" builtinId="9" hidden="1"/>
    <cellStyle name="Followed Hyperlink" xfId="23461" builtinId="9" hidden="1"/>
    <cellStyle name="Followed Hyperlink" xfId="23462" builtinId="9" hidden="1"/>
    <cellStyle name="Followed Hyperlink" xfId="23463" builtinId="9" hidden="1"/>
    <cellStyle name="Followed Hyperlink" xfId="23464" builtinId="9" hidden="1"/>
    <cellStyle name="Followed Hyperlink" xfId="23465" builtinId="9" hidden="1"/>
    <cellStyle name="Followed Hyperlink" xfId="23466" builtinId="9" hidden="1"/>
    <cellStyle name="Followed Hyperlink" xfId="23467" builtinId="9" hidden="1"/>
    <cellStyle name="Followed Hyperlink" xfId="23468" builtinId="9" hidden="1"/>
    <cellStyle name="Followed Hyperlink" xfId="23469" builtinId="9" hidden="1"/>
    <cellStyle name="Followed Hyperlink" xfId="23470" builtinId="9" hidden="1"/>
    <cellStyle name="Followed Hyperlink" xfId="23471" builtinId="9" hidden="1"/>
    <cellStyle name="Followed Hyperlink" xfId="23472" builtinId="9" hidden="1"/>
    <cellStyle name="Followed Hyperlink" xfId="23473" builtinId="9" hidden="1"/>
    <cellStyle name="Followed Hyperlink" xfId="23474" builtinId="9" hidden="1"/>
    <cellStyle name="Followed Hyperlink" xfId="23475" builtinId="9" hidden="1"/>
    <cellStyle name="Followed Hyperlink" xfId="23476" builtinId="9" hidden="1"/>
    <cellStyle name="Followed Hyperlink" xfId="23477" builtinId="9" hidden="1"/>
    <cellStyle name="Followed Hyperlink" xfId="23478" builtinId="9" hidden="1"/>
    <cellStyle name="Followed Hyperlink" xfId="23479" builtinId="9" hidden="1"/>
    <cellStyle name="Followed Hyperlink" xfId="23480" builtinId="9" hidden="1"/>
    <cellStyle name="Followed Hyperlink" xfId="23481" builtinId="9" hidden="1"/>
    <cellStyle name="Followed Hyperlink" xfId="23482" builtinId="9" hidden="1"/>
    <cellStyle name="Followed Hyperlink" xfId="23483" builtinId="9" hidden="1"/>
    <cellStyle name="Followed Hyperlink" xfId="23484" builtinId="9" hidden="1"/>
    <cellStyle name="Followed Hyperlink" xfId="23485" builtinId="9" hidden="1"/>
    <cellStyle name="Followed Hyperlink" xfId="23486" builtinId="9" hidden="1"/>
    <cellStyle name="Followed Hyperlink" xfId="23122" builtinId="9" hidden="1"/>
    <cellStyle name="Followed Hyperlink" xfId="23447" builtinId="9" hidden="1"/>
    <cellStyle name="Followed Hyperlink" xfId="23488" builtinId="9" hidden="1"/>
    <cellStyle name="Followed Hyperlink" xfId="23489" builtinId="9" hidden="1"/>
    <cellStyle name="Followed Hyperlink" xfId="23490" builtinId="9" hidden="1"/>
    <cellStyle name="Followed Hyperlink" xfId="23491" builtinId="9" hidden="1"/>
    <cellStyle name="Followed Hyperlink" xfId="23492" builtinId="9" hidden="1"/>
    <cellStyle name="Followed Hyperlink" xfId="23493" builtinId="9" hidden="1"/>
    <cellStyle name="Followed Hyperlink" xfId="23494" builtinId="9" hidden="1"/>
    <cellStyle name="Followed Hyperlink" xfId="23495" builtinId="9" hidden="1"/>
    <cellStyle name="Followed Hyperlink" xfId="23496" builtinId="9" hidden="1"/>
    <cellStyle name="Followed Hyperlink" xfId="23497" builtinId="9" hidden="1"/>
    <cellStyle name="Followed Hyperlink" xfId="23498" builtinId="9" hidden="1"/>
    <cellStyle name="Followed Hyperlink" xfId="23499" builtinId="9" hidden="1"/>
    <cellStyle name="Followed Hyperlink" xfId="23500" builtinId="9" hidden="1"/>
    <cellStyle name="Followed Hyperlink" xfId="23501" builtinId="9" hidden="1"/>
    <cellStyle name="Followed Hyperlink" xfId="23502" builtinId="9" hidden="1"/>
    <cellStyle name="Followed Hyperlink" xfId="23503" builtinId="9" hidden="1"/>
    <cellStyle name="Followed Hyperlink" xfId="23504" builtinId="9" hidden="1"/>
    <cellStyle name="Followed Hyperlink" xfId="23505" builtinId="9" hidden="1"/>
    <cellStyle name="Followed Hyperlink" xfId="23506" builtinId="9" hidden="1"/>
    <cellStyle name="Followed Hyperlink" xfId="23507" builtinId="9" hidden="1"/>
    <cellStyle name="Followed Hyperlink" xfId="23508" builtinId="9" hidden="1"/>
    <cellStyle name="Followed Hyperlink" xfId="23509" builtinId="9" hidden="1"/>
    <cellStyle name="Followed Hyperlink" xfId="23510" builtinId="9" hidden="1"/>
    <cellStyle name="Followed Hyperlink" xfId="23511" builtinId="9" hidden="1"/>
    <cellStyle name="Followed Hyperlink" xfId="23512" builtinId="9" hidden="1"/>
    <cellStyle name="Followed Hyperlink" xfId="23513" builtinId="9" hidden="1"/>
    <cellStyle name="Followed Hyperlink" xfId="23514" builtinId="9" hidden="1"/>
    <cellStyle name="Followed Hyperlink" xfId="23515" builtinId="9" hidden="1"/>
    <cellStyle name="Followed Hyperlink" xfId="23516" builtinId="9" hidden="1"/>
    <cellStyle name="Followed Hyperlink" xfId="23517" builtinId="9" hidden="1"/>
    <cellStyle name="Followed Hyperlink" xfId="23518" builtinId="9" hidden="1"/>
    <cellStyle name="Followed Hyperlink" xfId="23519" builtinId="9" hidden="1"/>
    <cellStyle name="Followed Hyperlink" xfId="23520" builtinId="9" hidden="1"/>
    <cellStyle name="Followed Hyperlink" xfId="23521" builtinId="9" hidden="1"/>
    <cellStyle name="Followed Hyperlink" xfId="23522" builtinId="9" hidden="1"/>
    <cellStyle name="Followed Hyperlink" xfId="23523" builtinId="9" hidden="1"/>
    <cellStyle name="Followed Hyperlink" xfId="23524" builtinId="9" hidden="1"/>
    <cellStyle name="Followed Hyperlink" xfId="23525" builtinId="9" hidden="1"/>
    <cellStyle name="Followed Hyperlink" xfId="23526" builtinId="9" hidden="1"/>
    <cellStyle name="Followed Hyperlink" xfId="23118" builtinId="9" hidden="1"/>
    <cellStyle name="Followed Hyperlink" xfId="23487" builtinId="9" hidden="1"/>
    <cellStyle name="Followed Hyperlink" xfId="23527" builtinId="9" hidden="1"/>
    <cellStyle name="Followed Hyperlink" xfId="23528" builtinId="9" hidden="1"/>
    <cellStyle name="Followed Hyperlink" xfId="23529" builtinId="9" hidden="1"/>
    <cellStyle name="Followed Hyperlink" xfId="23530" builtinId="9" hidden="1"/>
    <cellStyle name="Followed Hyperlink" xfId="23531" builtinId="9" hidden="1"/>
    <cellStyle name="Followed Hyperlink" xfId="23532" builtinId="9" hidden="1"/>
    <cellStyle name="Followed Hyperlink" xfId="23533" builtinId="9" hidden="1"/>
    <cellStyle name="Followed Hyperlink" xfId="23534" builtinId="9" hidden="1"/>
    <cellStyle name="Followed Hyperlink" xfId="23535" builtinId="9" hidden="1"/>
    <cellStyle name="Followed Hyperlink" xfId="23536" builtinId="9" hidden="1"/>
    <cellStyle name="Followed Hyperlink" xfId="23537" builtinId="9" hidden="1"/>
    <cellStyle name="Followed Hyperlink" xfId="23538" builtinId="9" hidden="1"/>
    <cellStyle name="Followed Hyperlink" xfId="23539" builtinId="9" hidden="1"/>
    <cellStyle name="Followed Hyperlink" xfId="23540" builtinId="9" hidden="1"/>
    <cellStyle name="Followed Hyperlink" xfId="23541" builtinId="9" hidden="1"/>
    <cellStyle name="Followed Hyperlink" xfId="23542" builtinId="9" hidden="1"/>
    <cellStyle name="Followed Hyperlink" xfId="23543" builtinId="9" hidden="1"/>
    <cellStyle name="Followed Hyperlink" xfId="23544" builtinId="9" hidden="1"/>
    <cellStyle name="Followed Hyperlink" xfId="23545" builtinId="9" hidden="1"/>
    <cellStyle name="Followed Hyperlink" xfId="23546" builtinId="9" hidden="1"/>
    <cellStyle name="Followed Hyperlink" xfId="23547" builtinId="9" hidden="1"/>
    <cellStyle name="Followed Hyperlink" xfId="23548" builtinId="9" hidden="1"/>
    <cellStyle name="Followed Hyperlink" xfId="23549" builtinId="9" hidden="1"/>
    <cellStyle name="Followed Hyperlink" xfId="23550" builtinId="9" hidden="1"/>
    <cellStyle name="Followed Hyperlink" xfId="23551" builtinId="9" hidden="1"/>
    <cellStyle name="Followed Hyperlink" xfId="23552" builtinId="9" hidden="1"/>
    <cellStyle name="Followed Hyperlink" xfId="23553" builtinId="9" hidden="1"/>
    <cellStyle name="Followed Hyperlink" xfId="23554" builtinId="9" hidden="1"/>
    <cellStyle name="Followed Hyperlink" xfId="23555" builtinId="9" hidden="1"/>
    <cellStyle name="Followed Hyperlink" xfId="23556" builtinId="9" hidden="1"/>
    <cellStyle name="Followed Hyperlink" xfId="23557" builtinId="9" hidden="1"/>
    <cellStyle name="Followed Hyperlink" xfId="23558" builtinId="9" hidden="1"/>
    <cellStyle name="Followed Hyperlink" xfId="23559" builtinId="9" hidden="1"/>
    <cellStyle name="Followed Hyperlink" xfId="23560" builtinId="9" hidden="1"/>
    <cellStyle name="Followed Hyperlink" xfId="23561" builtinId="9" hidden="1"/>
    <cellStyle name="Followed Hyperlink" xfId="23562" builtinId="9" hidden="1"/>
    <cellStyle name="Followed Hyperlink" xfId="23563" builtinId="9" hidden="1"/>
    <cellStyle name="Followed Hyperlink" xfId="23564" builtinId="9" hidden="1"/>
    <cellStyle name="Followed Hyperlink" xfId="23565" builtinId="9" hidden="1"/>
    <cellStyle name="Followed Hyperlink" xfId="23566" builtinId="9" hidden="1"/>
    <cellStyle name="Followed Hyperlink" xfId="23567" builtinId="9" hidden="1"/>
    <cellStyle name="Followed Hyperlink" xfId="23568" builtinId="9" hidden="1"/>
    <cellStyle name="Followed Hyperlink" xfId="23569" builtinId="9" hidden="1"/>
    <cellStyle name="Followed Hyperlink" xfId="23570" builtinId="9" hidden="1"/>
    <cellStyle name="Followed Hyperlink" xfId="23571" builtinId="9" hidden="1"/>
    <cellStyle name="Followed Hyperlink" xfId="23572" builtinId="9" hidden="1"/>
    <cellStyle name="Followed Hyperlink" xfId="23573" builtinId="9" hidden="1"/>
    <cellStyle name="Followed Hyperlink" xfId="23574" builtinId="9" hidden="1"/>
    <cellStyle name="Followed Hyperlink" xfId="23575" builtinId="9" hidden="1"/>
    <cellStyle name="Followed Hyperlink" xfId="23576" builtinId="9" hidden="1"/>
    <cellStyle name="Followed Hyperlink" xfId="23577" builtinId="9" hidden="1"/>
    <cellStyle name="Followed Hyperlink" xfId="23578" builtinId="9" hidden="1"/>
    <cellStyle name="Followed Hyperlink" xfId="23579" builtinId="9" hidden="1"/>
    <cellStyle name="Followed Hyperlink" xfId="23580" builtinId="9" hidden="1"/>
    <cellStyle name="Followed Hyperlink" xfId="23581" builtinId="9" hidden="1"/>
    <cellStyle name="Followed Hyperlink" xfId="23582" builtinId="9" hidden="1"/>
    <cellStyle name="Followed Hyperlink" xfId="23583" builtinId="9" hidden="1"/>
    <cellStyle name="Followed Hyperlink" xfId="23584" builtinId="9" hidden="1"/>
    <cellStyle name="Followed Hyperlink" xfId="23585" builtinId="9" hidden="1"/>
    <cellStyle name="Followed Hyperlink" xfId="23586" builtinId="9" hidden="1"/>
    <cellStyle name="Followed Hyperlink" xfId="23587" builtinId="9" hidden="1"/>
    <cellStyle name="Followed Hyperlink" xfId="23588" builtinId="9" hidden="1"/>
    <cellStyle name="Followed Hyperlink" xfId="23589" builtinId="9" hidden="1"/>
    <cellStyle name="Followed Hyperlink" xfId="23590" builtinId="9" hidden="1"/>
    <cellStyle name="Followed Hyperlink" xfId="23591" builtinId="9" hidden="1"/>
    <cellStyle name="Followed Hyperlink" xfId="23592" builtinId="9" hidden="1"/>
    <cellStyle name="Followed Hyperlink" xfId="23593" builtinId="9" hidden="1"/>
    <cellStyle name="Followed Hyperlink" xfId="23594" builtinId="9" hidden="1"/>
    <cellStyle name="Followed Hyperlink" xfId="23595" builtinId="9" hidden="1"/>
    <cellStyle name="Followed Hyperlink" xfId="23596" builtinId="9" hidden="1"/>
    <cellStyle name="Followed Hyperlink" xfId="23597" builtinId="9" hidden="1"/>
    <cellStyle name="Followed Hyperlink" xfId="23598" builtinId="9" hidden="1"/>
    <cellStyle name="Followed Hyperlink" xfId="23599" builtinId="9" hidden="1"/>
    <cellStyle name="Followed Hyperlink" xfId="23600" builtinId="9" hidden="1"/>
    <cellStyle name="Followed Hyperlink" xfId="23601" builtinId="9" hidden="1"/>
    <cellStyle name="Followed Hyperlink" xfId="23602" builtinId="9" hidden="1"/>
    <cellStyle name="Followed Hyperlink" xfId="23603" builtinId="9" hidden="1"/>
    <cellStyle name="Followed Hyperlink" xfId="23604" builtinId="9" hidden="1"/>
    <cellStyle name="Followed Hyperlink" xfId="23605" builtinId="9" hidden="1"/>
    <cellStyle name="Followed Hyperlink" xfId="23606" builtinId="9" hidden="1"/>
    <cellStyle name="Followed Hyperlink" xfId="23615" builtinId="9" hidden="1"/>
    <cellStyle name="Followed Hyperlink" xfId="23616" builtinId="9" hidden="1"/>
    <cellStyle name="Followed Hyperlink" xfId="23617" builtinId="9" hidden="1"/>
    <cellStyle name="Followed Hyperlink" xfId="23618" builtinId="9" hidden="1"/>
    <cellStyle name="Followed Hyperlink" xfId="23619" builtinId="9" hidden="1"/>
    <cellStyle name="Followed Hyperlink" xfId="23620" builtinId="9" hidden="1"/>
    <cellStyle name="Followed Hyperlink" xfId="23621" builtinId="9" hidden="1"/>
    <cellStyle name="Followed Hyperlink" xfId="23622" builtinId="9" hidden="1"/>
    <cellStyle name="Followed Hyperlink" xfId="23623" builtinId="9" hidden="1"/>
    <cellStyle name="Followed Hyperlink" xfId="23624" builtinId="9" hidden="1"/>
    <cellStyle name="Followed Hyperlink" xfId="23625" builtinId="9" hidden="1"/>
    <cellStyle name="Followed Hyperlink" xfId="23626" builtinId="9" hidden="1"/>
    <cellStyle name="Followed Hyperlink" xfId="23627" builtinId="9" hidden="1"/>
    <cellStyle name="Followed Hyperlink" xfId="23628" builtinId="9" hidden="1"/>
    <cellStyle name="Followed Hyperlink" xfId="23629" builtinId="9" hidden="1"/>
    <cellStyle name="Followed Hyperlink" xfId="23630" builtinId="9" hidden="1"/>
    <cellStyle name="Followed Hyperlink" xfId="23631" builtinId="9" hidden="1"/>
    <cellStyle name="Followed Hyperlink" xfId="23632" builtinId="9" hidden="1"/>
    <cellStyle name="Followed Hyperlink" xfId="23633" builtinId="9" hidden="1"/>
    <cellStyle name="Followed Hyperlink" xfId="23634" builtinId="9" hidden="1"/>
    <cellStyle name="Followed Hyperlink" xfId="23635" builtinId="9" hidden="1"/>
    <cellStyle name="Followed Hyperlink" xfId="23636" builtinId="9" hidden="1"/>
    <cellStyle name="Followed Hyperlink" xfId="23637" builtinId="9" hidden="1"/>
    <cellStyle name="Followed Hyperlink" xfId="23638" builtinId="9" hidden="1"/>
    <cellStyle name="Followed Hyperlink" xfId="23639" builtinId="9" hidden="1"/>
    <cellStyle name="Followed Hyperlink" xfId="23640" builtinId="9" hidden="1"/>
    <cellStyle name="Followed Hyperlink" xfId="23641" builtinId="9" hidden="1"/>
    <cellStyle name="Followed Hyperlink" xfId="23642" builtinId="9" hidden="1"/>
    <cellStyle name="Followed Hyperlink" xfId="23643" builtinId="9" hidden="1"/>
    <cellStyle name="Followed Hyperlink" xfId="23644" builtinId="9" hidden="1"/>
    <cellStyle name="Followed Hyperlink" xfId="23645" builtinId="9" hidden="1"/>
    <cellStyle name="Followed Hyperlink" xfId="23646" builtinId="9" hidden="1"/>
    <cellStyle name="Followed Hyperlink" xfId="23647" builtinId="9" hidden="1"/>
    <cellStyle name="Followed Hyperlink" xfId="23648" builtinId="9" hidden="1"/>
    <cellStyle name="Followed Hyperlink" xfId="23649" builtinId="9" hidden="1"/>
    <cellStyle name="Followed Hyperlink" xfId="23650" builtinId="9" hidden="1"/>
    <cellStyle name="Followed Hyperlink" xfId="23651" builtinId="9" hidden="1"/>
    <cellStyle name="Followed Hyperlink" xfId="23652" builtinId="9" hidden="1"/>
    <cellStyle name="Followed Hyperlink" xfId="23653" builtinId="9" hidden="1"/>
    <cellStyle name="Followed Hyperlink" xfId="23654" builtinId="9" hidden="1"/>
    <cellStyle name="Followed Hyperlink" xfId="23655" builtinId="9" hidden="1"/>
    <cellStyle name="Followed Hyperlink" xfId="23656" builtinId="9" hidden="1"/>
    <cellStyle name="Followed Hyperlink" xfId="23657" builtinId="9" hidden="1"/>
    <cellStyle name="Followed Hyperlink" xfId="23658" builtinId="9" hidden="1"/>
    <cellStyle name="Followed Hyperlink" xfId="23659" builtinId="9" hidden="1"/>
    <cellStyle name="Followed Hyperlink" xfId="23660" builtinId="9" hidden="1"/>
    <cellStyle name="Followed Hyperlink" xfId="23661" builtinId="9" hidden="1"/>
    <cellStyle name="Followed Hyperlink" xfId="23662" builtinId="9" hidden="1"/>
    <cellStyle name="Followed Hyperlink" xfId="23663" builtinId="9" hidden="1"/>
    <cellStyle name="Followed Hyperlink" xfId="23664" builtinId="9" hidden="1"/>
    <cellStyle name="Followed Hyperlink" xfId="23665" builtinId="9" hidden="1"/>
    <cellStyle name="Followed Hyperlink" xfId="23666" builtinId="9" hidden="1"/>
    <cellStyle name="Followed Hyperlink" xfId="23667" builtinId="9" hidden="1"/>
    <cellStyle name="Followed Hyperlink" xfId="23668" builtinId="9" hidden="1"/>
    <cellStyle name="Followed Hyperlink" xfId="23669" builtinId="9" hidden="1"/>
    <cellStyle name="Followed Hyperlink" xfId="23670" builtinId="9" hidden="1"/>
    <cellStyle name="Followed Hyperlink" xfId="23671" builtinId="9" hidden="1"/>
    <cellStyle name="Followed Hyperlink" xfId="23672" builtinId="9" hidden="1"/>
    <cellStyle name="Followed Hyperlink" xfId="23673" builtinId="9" hidden="1"/>
    <cellStyle name="Followed Hyperlink" xfId="23674" builtinId="9" hidden="1"/>
    <cellStyle name="Followed Hyperlink" xfId="23675" builtinId="9" hidden="1"/>
    <cellStyle name="Followed Hyperlink" xfId="23676" builtinId="9" hidden="1"/>
    <cellStyle name="Followed Hyperlink" xfId="23677" builtinId="9" hidden="1"/>
    <cellStyle name="Followed Hyperlink" xfId="23678" builtinId="9" hidden="1"/>
    <cellStyle name="Followed Hyperlink" xfId="23679" builtinId="9" hidden="1"/>
    <cellStyle name="Followed Hyperlink" xfId="23680" builtinId="9" hidden="1"/>
    <cellStyle name="Followed Hyperlink" xfId="23681" builtinId="9" hidden="1"/>
    <cellStyle name="Followed Hyperlink" xfId="23682" builtinId="9" hidden="1"/>
    <cellStyle name="Followed Hyperlink" xfId="23683" builtinId="9" hidden="1"/>
    <cellStyle name="Followed Hyperlink" xfId="23684" builtinId="9" hidden="1"/>
    <cellStyle name="Followed Hyperlink" xfId="23685" builtinId="9" hidden="1"/>
    <cellStyle name="Followed Hyperlink" xfId="23686" builtinId="9" hidden="1"/>
    <cellStyle name="Followed Hyperlink" xfId="23687" builtinId="9" hidden="1"/>
    <cellStyle name="Followed Hyperlink" xfId="23688" builtinId="9" hidden="1"/>
    <cellStyle name="Followed Hyperlink" xfId="23689" builtinId="9" hidden="1"/>
    <cellStyle name="Followed Hyperlink" xfId="23690" builtinId="9" hidden="1"/>
    <cellStyle name="Followed Hyperlink" xfId="23691" builtinId="9" hidden="1"/>
    <cellStyle name="Followed Hyperlink" xfId="23692" builtinId="9" hidden="1"/>
    <cellStyle name="Followed Hyperlink" xfId="23693" builtinId="9" hidden="1"/>
    <cellStyle name="Followed Hyperlink" xfId="23694" builtinId="9" hidden="1"/>
    <cellStyle name="Followed Hyperlink" xfId="23695" builtinId="9" hidden="1"/>
    <cellStyle name="Followed Hyperlink" xfId="23696" builtinId="9" hidden="1"/>
    <cellStyle name="Followed Hyperlink" xfId="23697" builtinId="9" hidden="1"/>
    <cellStyle name="Followed Hyperlink" xfId="23698" builtinId="9" hidden="1"/>
    <cellStyle name="Followed Hyperlink" xfId="23699" builtinId="9" hidden="1"/>
    <cellStyle name="Followed Hyperlink" xfId="23700" builtinId="9" hidden="1"/>
    <cellStyle name="Followed Hyperlink" xfId="23701" builtinId="9" hidden="1"/>
    <cellStyle name="Followed Hyperlink" xfId="23702" builtinId="9" hidden="1"/>
    <cellStyle name="Followed Hyperlink" xfId="23703" builtinId="9" hidden="1"/>
    <cellStyle name="Followed Hyperlink" xfId="23704" builtinId="9" hidden="1"/>
    <cellStyle name="Followed Hyperlink" xfId="23705" builtinId="9" hidden="1"/>
    <cellStyle name="Followed Hyperlink" xfId="23706" builtinId="9" hidden="1"/>
    <cellStyle name="Followed Hyperlink" xfId="23707" builtinId="9" hidden="1"/>
    <cellStyle name="Followed Hyperlink" xfId="23708" builtinId="9" hidden="1"/>
    <cellStyle name="Followed Hyperlink" xfId="23709" builtinId="9" hidden="1"/>
    <cellStyle name="Followed Hyperlink" xfId="23710" builtinId="9" hidden="1"/>
    <cellStyle name="Followed Hyperlink" xfId="23711" builtinId="9" hidden="1"/>
    <cellStyle name="Followed Hyperlink" xfId="23712" builtinId="9" hidden="1"/>
    <cellStyle name="Followed Hyperlink" xfId="23713" builtinId="9" hidden="1"/>
    <cellStyle name="Followed Hyperlink" xfId="23714" builtinId="9" hidden="1"/>
    <cellStyle name="Followed Hyperlink" xfId="23715" builtinId="9" hidden="1"/>
    <cellStyle name="Followed Hyperlink" xfId="23716" builtinId="9" hidden="1"/>
    <cellStyle name="Followed Hyperlink" xfId="23717" builtinId="9" hidden="1"/>
    <cellStyle name="Followed Hyperlink" xfId="23718" builtinId="9" hidden="1"/>
    <cellStyle name="Followed Hyperlink" xfId="23719" builtinId="9" hidden="1"/>
    <cellStyle name="Followed Hyperlink" xfId="23720" builtinId="9" hidden="1"/>
    <cellStyle name="Followed Hyperlink" xfId="23721" builtinId="9" hidden="1"/>
    <cellStyle name="Followed Hyperlink" xfId="23722" builtinId="9" hidden="1"/>
    <cellStyle name="Followed Hyperlink" xfId="23723" builtinId="9" hidden="1"/>
    <cellStyle name="Followed Hyperlink" xfId="23724" builtinId="9" hidden="1"/>
    <cellStyle name="Followed Hyperlink" xfId="23725" builtinId="9" hidden="1"/>
    <cellStyle name="Followed Hyperlink" xfId="23726" builtinId="9" hidden="1"/>
    <cellStyle name="Followed Hyperlink" xfId="23727" builtinId="9" hidden="1"/>
    <cellStyle name="Followed Hyperlink" xfId="23728" builtinId="9" hidden="1"/>
    <cellStyle name="Followed Hyperlink" xfId="23729" builtinId="9" hidden="1"/>
    <cellStyle name="Followed Hyperlink" xfId="23730" builtinId="9" hidden="1"/>
    <cellStyle name="Followed Hyperlink" xfId="23731" builtinId="9" hidden="1"/>
    <cellStyle name="Followed Hyperlink" xfId="23732" builtinId="9" hidden="1"/>
    <cellStyle name="Followed Hyperlink" xfId="23733" builtinId="9" hidden="1"/>
    <cellStyle name="Followed Hyperlink" xfId="23734" builtinId="9" hidden="1"/>
    <cellStyle name="Followed Hyperlink" xfId="23735" builtinId="9" hidden="1"/>
    <cellStyle name="Followed Hyperlink" xfId="23736" builtinId="9" hidden="1"/>
    <cellStyle name="Followed Hyperlink" xfId="23737" builtinId="9" hidden="1"/>
    <cellStyle name="Followed Hyperlink" xfId="23607" builtinId="9" hidden="1"/>
    <cellStyle name="Followed Hyperlink" xfId="20137" builtinId="9" hidden="1"/>
    <cellStyle name="Followed Hyperlink" xfId="23739" builtinId="9" hidden="1"/>
    <cellStyle name="Followed Hyperlink" xfId="23740" builtinId="9" hidden="1"/>
    <cellStyle name="Followed Hyperlink" xfId="23741" builtinId="9" hidden="1"/>
    <cellStyle name="Followed Hyperlink" xfId="23742" builtinId="9" hidden="1"/>
    <cellStyle name="Followed Hyperlink" xfId="23743" builtinId="9" hidden="1"/>
    <cellStyle name="Followed Hyperlink" xfId="23744" builtinId="9" hidden="1"/>
    <cellStyle name="Followed Hyperlink" xfId="23745" builtinId="9" hidden="1"/>
    <cellStyle name="Followed Hyperlink" xfId="23746" builtinId="9" hidden="1"/>
    <cellStyle name="Followed Hyperlink" xfId="23747" builtinId="9" hidden="1"/>
    <cellStyle name="Followed Hyperlink" xfId="23748" builtinId="9" hidden="1"/>
    <cellStyle name="Followed Hyperlink" xfId="23749" builtinId="9" hidden="1"/>
    <cellStyle name="Followed Hyperlink" xfId="23750" builtinId="9" hidden="1"/>
    <cellStyle name="Followed Hyperlink" xfId="23751" builtinId="9" hidden="1"/>
    <cellStyle name="Followed Hyperlink" xfId="23752" builtinId="9" hidden="1"/>
    <cellStyle name="Followed Hyperlink" xfId="23753" builtinId="9" hidden="1"/>
    <cellStyle name="Followed Hyperlink" xfId="23754" builtinId="9" hidden="1"/>
    <cellStyle name="Followed Hyperlink" xfId="23755" builtinId="9" hidden="1"/>
    <cellStyle name="Followed Hyperlink" xfId="23756" builtinId="9" hidden="1"/>
    <cellStyle name="Followed Hyperlink" xfId="23757" builtinId="9" hidden="1"/>
    <cellStyle name="Followed Hyperlink" xfId="23758" builtinId="9" hidden="1"/>
    <cellStyle name="Followed Hyperlink" xfId="23759" builtinId="9" hidden="1"/>
    <cellStyle name="Followed Hyperlink" xfId="23760" builtinId="9" hidden="1"/>
    <cellStyle name="Followed Hyperlink" xfId="23761" builtinId="9" hidden="1"/>
    <cellStyle name="Followed Hyperlink" xfId="23762" builtinId="9" hidden="1"/>
    <cellStyle name="Followed Hyperlink" xfId="23763" builtinId="9" hidden="1"/>
    <cellStyle name="Followed Hyperlink" xfId="23764" builtinId="9" hidden="1"/>
    <cellStyle name="Followed Hyperlink" xfId="23765" builtinId="9" hidden="1"/>
    <cellStyle name="Followed Hyperlink" xfId="23766" builtinId="9" hidden="1"/>
    <cellStyle name="Followed Hyperlink" xfId="23767" builtinId="9" hidden="1"/>
    <cellStyle name="Followed Hyperlink" xfId="23768" builtinId="9" hidden="1"/>
    <cellStyle name="Followed Hyperlink" xfId="23769" builtinId="9" hidden="1"/>
    <cellStyle name="Followed Hyperlink" xfId="23770" builtinId="9" hidden="1"/>
    <cellStyle name="Followed Hyperlink" xfId="23771" builtinId="9" hidden="1"/>
    <cellStyle name="Followed Hyperlink" xfId="23772" builtinId="9" hidden="1"/>
    <cellStyle name="Followed Hyperlink" xfId="23773" builtinId="9" hidden="1"/>
    <cellStyle name="Followed Hyperlink" xfId="23774" builtinId="9" hidden="1"/>
    <cellStyle name="Followed Hyperlink" xfId="23775" builtinId="9" hidden="1"/>
    <cellStyle name="Followed Hyperlink" xfId="23776" builtinId="9" hidden="1"/>
    <cellStyle name="Followed Hyperlink" xfId="23777" builtinId="9" hidden="1"/>
    <cellStyle name="Followed Hyperlink" xfId="23612" builtinId="9" hidden="1"/>
    <cellStyle name="Followed Hyperlink" xfId="23738" builtinId="9" hidden="1"/>
    <cellStyle name="Followed Hyperlink" xfId="23779" builtinId="9" hidden="1"/>
    <cellStyle name="Followed Hyperlink" xfId="23780" builtinId="9" hidden="1"/>
    <cellStyle name="Followed Hyperlink" xfId="23781" builtinId="9" hidden="1"/>
    <cellStyle name="Followed Hyperlink" xfId="23782" builtinId="9" hidden="1"/>
    <cellStyle name="Followed Hyperlink" xfId="23783" builtinId="9" hidden="1"/>
    <cellStyle name="Followed Hyperlink" xfId="23784" builtinId="9" hidden="1"/>
    <cellStyle name="Followed Hyperlink" xfId="23785" builtinId="9" hidden="1"/>
    <cellStyle name="Followed Hyperlink" xfId="23786" builtinId="9" hidden="1"/>
    <cellStyle name="Followed Hyperlink" xfId="23787" builtinId="9" hidden="1"/>
    <cellStyle name="Followed Hyperlink" xfId="23788" builtinId="9" hidden="1"/>
    <cellStyle name="Followed Hyperlink" xfId="23789" builtinId="9" hidden="1"/>
    <cellStyle name="Followed Hyperlink" xfId="23790" builtinId="9" hidden="1"/>
    <cellStyle name="Followed Hyperlink" xfId="23791" builtinId="9" hidden="1"/>
    <cellStyle name="Followed Hyperlink" xfId="23792" builtinId="9" hidden="1"/>
    <cellStyle name="Followed Hyperlink" xfId="23793" builtinId="9" hidden="1"/>
    <cellStyle name="Followed Hyperlink" xfId="23794" builtinId="9" hidden="1"/>
    <cellStyle name="Followed Hyperlink" xfId="23795" builtinId="9" hidden="1"/>
    <cellStyle name="Followed Hyperlink" xfId="23796" builtinId="9" hidden="1"/>
    <cellStyle name="Followed Hyperlink" xfId="23797" builtinId="9" hidden="1"/>
    <cellStyle name="Followed Hyperlink" xfId="23798" builtinId="9" hidden="1"/>
    <cellStyle name="Followed Hyperlink" xfId="23799" builtinId="9" hidden="1"/>
    <cellStyle name="Followed Hyperlink" xfId="23800" builtinId="9" hidden="1"/>
    <cellStyle name="Followed Hyperlink" xfId="23801" builtinId="9" hidden="1"/>
    <cellStyle name="Followed Hyperlink" xfId="23802" builtinId="9" hidden="1"/>
    <cellStyle name="Followed Hyperlink" xfId="23803" builtinId="9" hidden="1"/>
    <cellStyle name="Followed Hyperlink" xfId="23804" builtinId="9" hidden="1"/>
    <cellStyle name="Followed Hyperlink" xfId="23805" builtinId="9" hidden="1"/>
    <cellStyle name="Followed Hyperlink" xfId="23806" builtinId="9" hidden="1"/>
    <cellStyle name="Followed Hyperlink" xfId="23807" builtinId="9" hidden="1"/>
    <cellStyle name="Followed Hyperlink" xfId="23808" builtinId="9" hidden="1"/>
    <cellStyle name="Followed Hyperlink" xfId="23809" builtinId="9" hidden="1"/>
    <cellStyle name="Followed Hyperlink" xfId="23810" builtinId="9" hidden="1"/>
    <cellStyle name="Followed Hyperlink" xfId="23811" builtinId="9" hidden="1"/>
    <cellStyle name="Followed Hyperlink" xfId="23812" builtinId="9" hidden="1"/>
    <cellStyle name="Followed Hyperlink" xfId="23813" builtinId="9" hidden="1"/>
    <cellStyle name="Followed Hyperlink" xfId="23814" builtinId="9" hidden="1"/>
    <cellStyle name="Followed Hyperlink" xfId="23815" builtinId="9" hidden="1"/>
    <cellStyle name="Followed Hyperlink" xfId="23816" builtinId="9" hidden="1"/>
    <cellStyle name="Followed Hyperlink" xfId="23817" builtinId="9" hidden="1"/>
    <cellStyle name="Followed Hyperlink" xfId="23614" builtinId="9" hidden="1"/>
    <cellStyle name="Followed Hyperlink" xfId="23778" builtinId="9" hidden="1"/>
    <cellStyle name="Followed Hyperlink" xfId="23819" builtinId="9" hidden="1"/>
    <cellStyle name="Followed Hyperlink" xfId="23820" builtinId="9" hidden="1"/>
    <cellStyle name="Followed Hyperlink" xfId="23821" builtinId="9" hidden="1"/>
    <cellStyle name="Followed Hyperlink" xfId="23822" builtinId="9" hidden="1"/>
    <cellStyle name="Followed Hyperlink" xfId="23823" builtinId="9" hidden="1"/>
    <cellStyle name="Followed Hyperlink" xfId="23824" builtinId="9" hidden="1"/>
    <cellStyle name="Followed Hyperlink" xfId="23825" builtinId="9" hidden="1"/>
    <cellStyle name="Followed Hyperlink" xfId="23826" builtinId="9" hidden="1"/>
    <cellStyle name="Followed Hyperlink" xfId="23827" builtinId="9" hidden="1"/>
    <cellStyle name="Followed Hyperlink" xfId="23828" builtinId="9" hidden="1"/>
    <cellStyle name="Followed Hyperlink" xfId="23829" builtinId="9" hidden="1"/>
    <cellStyle name="Followed Hyperlink" xfId="23830" builtinId="9" hidden="1"/>
    <cellStyle name="Followed Hyperlink" xfId="23831" builtinId="9" hidden="1"/>
    <cellStyle name="Followed Hyperlink" xfId="23832" builtinId="9" hidden="1"/>
    <cellStyle name="Followed Hyperlink" xfId="23833" builtinId="9" hidden="1"/>
    <cellStyle name="Followed Hyperlink" xfId="23834" builtinId="9" hidden="1"/>
    <cellStyle name="Followed Hyperlink" xfId="23835" builtinId="9" hidden="1"/>
    <cellStyle name="Followed Hyperlink" xfId="23836" builtinId="9" hidden="1"/>
    <cellStyle name="Followed Hyperlink" xfId="23837" builtinId="9" hidden="1"/>
    <cellStyle name="Followed Hyperlink" xfId="23838" builtinId="9" hidden="1"/>
    <cellStyle name="Followed Hyperlink" xfId="23839" builtinId="9" hidden="1"/>
    <cellStyle name="Followed Hyperlink" xfId="23840" builtinId="9" hidden="1"/>
    <cellStyle name="Followed Hyperlink" xfId="23841" builtinId="9" hidden="1"/>
    <cellStyle name="Followed Hyperlink" xfId="23842" builtinId="9" hidden="1"/>
    <cellStyle name="Followed Hyperlink" xfId="23843" builtinId="9" hidden="1"/>
    <cellStyle name="Followed Hyperlink" xfId="23844" builtinId="9" hidden="1"/>
    <cellStyle name="Followed Hyperlink" xfId="23845" builtinId="9" hidden="1"/>
    <cellStyle name="Followed Hyperlink" xfId="23846" builtinId="9" hidden="1"/>
    <cellStyle name="Followed Hyperlink" xfId="23847" builtinId="9" hidden="1"/>
    <cellStyle name="Followed Hyperlink" xfId="23848" builtinId="9" hidden="1"/>
    <cellStyle name="Followed Hyperlink" xfId="23849" builtinId="9" hidden="1"/>
    <cellStyle name="Followed Hyperlink" xfId="23850" builtinId="9" hidden="1"/>
    <cellStyle name="Followed Hyperlink" xfId="23851" builtinId="9" hidden="1"/>
    <cellStyle name="Followed Hyperlink" xfId="23852" builtinId="9" hidden="1"/>
    <cellStyle name="Followed Hyperlink" xfId="23853" builtinId="9" hidden="1"/>
    <cellStyle name="Followed Hyperlink" xfId="23854" builtinId="9" hidden="1"/>
    <cellStyle name="Followed Hyperlink" xfId="23855" builtinId="9" hidden="1"/>
    <cellStyle name="Followed Hyperlink" xfId="23856" builtinId="9" hidden="1"/>
    <cellStyle name="Followed Hyperlink" xfId="23857" builtinId="9" hidden="1"/>
    <cellStyle name="Followed Hyperlink" xfId="23608" builtinId="9" hidden="1"/>
    <cellStyle name="Followed Hyperlink" xfId="23818" builtinId="9" hidden="1"/>
    <cellStyle name="Followed Hyperlink" xfId="23859" builtinId="9" hidden="1"/>
    <cellStyle name="Followed Hyperlink" xfId="23860" builtinId="9" hidden="1"/>
    <cellStyle name="Followed Hyperlink" xfId="23861" builtinId="9" hidden="1"/>
    <cellStyle name="Followed Hyperlink" xfId="23862" builtinId="9" hidden="1"/>
    <cellStyle name="Followed Hyperlink" xfId="23863" builtinId="9" hidden="1"/>
    <cellStyle name="Followed Hyperlink" xfId="23864" builtinId="9" hidden="1"/>
    <cellStyle name="Followed Hyperlink" xfId="23865" builtinId="9" hidden="1"/>
    <cellStyle name="Followed Hyperlink" xfId="23866" builtinId="9" hidden="1"/>
    <cellStyle name="Followed Hyperlink" xfId="23867" builtinId="9" hidden="1"/>
    <cellStyle name="Followed Hyperlink" xfId="23868" builtinId="9" hidden="1"/>
    <cellStyle name="Followed Hyperlink" xfId="23869" builtinId="9" hidden="1"/>
    <cellStyle name="Followed Hyperlink" xfId="23870" builtinId="9" hidden="1"/>
    <cellStyle name="Followed Hyperlink" xfId="23871" builtinId="9" hidden="1"/>
    <cellStyle name="Followed Hyperlink" xfId="23872" builtinId="9" hidden="1"/>
    <cellStyle name="Followed Hyperlink" xfId="23873" builtinId="9" hidden="1"/>
    <cellStyle name="Followed Hyperlink" xfId="23874" builtinId="9" hidden="1"/>
    <cellStyle name="Followed Hyperlink" xfId="23875" builtinId="9" hidden="1"/>
    <cellStyle name="Followed Hyperlink" xfId="23876" builtinId="9" hidden="1"/>
    <cellStyle name="Followed Hyperlink" xfId="23877" builtinId="9" hidden="1"/>
    <cellStyle name="Followed Hyperlink" xfId="23878" builtinId="9" hidden="1"/>
    <cellStyle name="Followed Hyperlink" xfId="23879" builtinId="9" hidden="1"/>
    <cellStyle name="Followed Hyperlink" xfId="23880" builtinId="9" hidden="1"/>
    <cellStyle name="Followed Hyperlink" xfId="23881" builtinId="9" hidden="1"/>
    <cellStyle name="Followed Hyperlink" xfId="23882" builtinId="9" hidden="1"/>
    <cellStyle name="Followed Hyperlink" xfId="23883" builtinId="9" hidden="1"/>
    <cellStyle name="Followed Hyperlink" xfId="23884" builtinId="9" hidden="1"/>
    <cellStyle name="Followed Hyperlink" xfId="23885" builtinId="9" hidden="1"/>
    <cellStyle name="Followed Hyperlink" xfId="23886" builtinId="9" hidden="1"/>
    <cellStyle name="Followed Hyperlink" xfId="23887" builtinId="9" hidden="1"/>
    <cellStyle name="Followed Hyperlink" xfId="23888" builtinId="9" hidden="1"/>
    <cellStyle name="Followed Hyperlink" xfId="23889" builtinId="9" hidden="1"/>
    <cellStyle name="Followed Hyperlink" xfId="23890" builtinId="9" hidden="1"/>
    <cellStyle name="Followed Hyperlink" xfId="23891" builtinId="9" hidden="1"/>
    <cellStyle name="Followed Hyperlink" xfId="23892" builtinId="9" hidden="1"/>
    <cellStyle name="Followed Hyperlink" xfId="23893" builtinId="9" hidden="1"/>
    <cellStyle name="Followed Hyperlink" xfId="23894" builtinId="9" hidden="1"/>
    <cellStyle name="Followed Hyperlink" xfId="23895" builtinId="9" hidden="1"/>
    <cellStyle name="Followed Hyperlink" xfId="23896" builtinId="9" hidden="1"/>
    <cellStyle name="Followed Hyperlink" xfId="23897" builtinId="9" hidden="1"/>
    <cellStyle name="Followed Hyperlink" xfId="23610" builtinId="9" hidden="1"/>
    <cellStyle name="Followed Hyperlink" xfId="23858" builtinId="9" hidden="1"/>
    <cellStyle name="Followed Hyperlink" xfId="23899" builtinId="9" hidden="1"/>
    <cellStyle name="Followed Hyperlink" xfId="23900" builtinId="9" hidden="1"/>
    <cellStyle name="Followed Hyperlink" xfId="23901" builtinId="9" hidden="1"/>
    <cellStyle name="Followed Hyperlink" xfId="23902" builtinId="9" hidden="1"/>
    <cellStyle name="Followed Hyperlink" xfId="23903" builtinId="9" hidden="1"/>
    <cellStyle name="Followed Hyperlink" xfId="23904" builtinId="9" hidden="1"/>
    <cellStyle name="Followed Hyperlink" xfId="23905" builtinId="9" hidden="1"/>
    <cellStyle name="Followed Hyperlink" xfId="23906" builtinId="9" hidden="1"/>
    <cellStyle name="Followed Hyperlink" xfId="23907" builtinId="9" hidden="1"/>
    <cellStyle name="Followed Hyperlink" xfId="23908" builtinId="9" hidden="1"/>
    <cellStyle name="Followed Hyperlink" xfId="23909" builtinId="9" hidden="1"/>
    <cellStyle name="Followed Hyperlink" xfId="23910" builtinId="9" hidden="1"/>
    <cellStyle name="Followed Hyperlink" xfId="23911" builtinId="9" hidden="1"/>
    <cellStyle name="Followed Hyperlink" xfId="23912" builtinId="9" hidden="1"/>
    <cellStyle name="Followed Hyperlink" xfId="23913" builtinId="9" hidden="1"/>
    <cellStyle name="Followed Hyperlink" xfId="23914" builtinId="9" hidden="1"/>
    <cellStyle name="Followed Hyperlink" xfId="23915" builtinId="9" hidden="1"/>
    <cellStyle name="Followed Hyperlink" xfId="23916" builtinId="9" hidden="1"/>
    <cellStyle name="Followed Hyperlink" xfId="23917" builtinId="9" hidden="1"/>
    <cellStyle name="Followed Hyperlink" xfId="23918" builtinId="9" hidden="1"/>
    <cellStyle name="Followed Hyperlink" xfId="23919" builtinId="9" hidden="1"/>
    <cellStyle name="Followed Hyperlink" xfId="23920" builtinId="9" hidden="1"/>
    <cellStyle name="Followed Hyperlink" xfId="23921" builtinId="9" hidden="1"/>
    <cellStyle name="Followed Hyperlink" xfId="23922" builtinId="9" hidden="1"/>
    <cellStyle name="Followed Hyperlink" xfId="23923" builtinId="9" hidden="1"/>
    <cellStyle name="Followed Hyperlink" xfId="23924" builtinId="9" hidden="1"/>
    <cellStyle name="Followed Hyperlink" xfId="23925" builtinId="9" hidden="1"/>
    <cellStyle name="Followed Hyperlink" xfId="23926" builtinId="9" hidden="1"/>
    <cellStyle name="Followed Hyperlink" xfId="23927" builtinId="9" hidden="1"/>
    <cellStyle name="Followed Hyperlink" xfId="23928" builtinId="9" hidden="1"/>
    <cellStyle name="Followed Hyperlink" xfId="23929" builtinId="9" hidden="1"/>
    <cellStyle name="Followed Hyperlink" xfId="23930" builtinId="9" hidden="1"/>
    <cellStyle name="Followed Hyperlink" xfId="23931" builtinId="9" hidden="1"/>
    <cellStyle name="Followed Hyperlink" xfId="23932" builtinId="9" hidden="1"/>
    <cellStyle name="Followed Hyperlink" xfId="23933" builtinId="9" hidden="1"/>
    <cellStyle name="Followed Hyperlink" xfId="23934" builtinId="9" hidden="1"/>
    <cellStyle name="Followed Hyperlink" xfId="23935" builtinId="9" hidden="1"/>
    <cellStyle name="Followed Hyperlink" xfId="23936" builtinId="9" hidden="1"/>
    <cellStyle name="Followed Hyperlink" xfId="23937" builtinId="9" hidden="1"/>
    <cellStyle name="Followed Hyperlink" xfId="23611" builtinId="9" hidden="1"/>
    <cellStyle name="Followed Hyperlink" xfId="23898" builtinId="9" hidden="1"/>
    <cellStyle name="Followed Hyperlink" xfId="23939" builtinId="9" hidden="1"/>
    <cellStyle name="Followed Hyperlink" xfId="23940" builtinId="9" hidden="1"/>
    <cellStyle name="Followed Hyperlink" xfId="23941" builtinId="9" hidden="1"/>
    <cellStyle name="Followed Hyperlink" xfId="23942" builtinId="9" hidden="1"/>
    <cellStyle name="Followed Hyperlink" xfId="23943" builtinId="9" hidden="1"/>
    <cellStyle name="Followed Hyperlink" xfId="23944" builtinId="9" hidden="1"/>
    <cellStyle name="Followed Hyperlink" xfId="23945" builtinId="9" hidden="1"/>
    <cellStyle name="Followed Hyperlink" xfId="23946" builtinId="9" hidden="1"/>
    <cellStyle name="Followed Hyperlink" xfId="23947" builtinId="9" hidden="1"/>
    <cellStyle name="Followed Hyperlink" xfId="23948" builtinId="9" hidden="1"/>
    <cellStyle name="Followed Hyperlink" xfId="23949" builtinId="9" hidden="1"/>
    <cellStyle name="Followed Hyperlink" xfId="23950" builtinId="9" hidden="1"/>
    <cellStyle name="Followed Hyperlink" xfId="23951" builtinId="9" hidden="1"/>
    <cellStyle name="Followed Hyperlink" xfId="23952" builtinId="9" hidden="1"/>
    <cellStyle name="Followed Hyperlink" xfId="23953" builtinId="9" hidden="1"/>
    <cellStyle name="Followed Hyperlink" xfId="23954" builtinId="9" hidden="1"/>
    <cellStyle name="Followed Hyperlink" xfId="23955" builtinId="9" hidden="1"/>
    <cellStyle name="Followed Hyperlink" xfId="23956" builtinId="9" hidden="1"/>
    <cellStyle name="Followed Hyperlink" xfId="23957" builtinId="9" hidden="1"/>
    <cellStyle name="Followed Hyperlink" xfId="23958" builtinId="9" hidden="1"/>
    <cellStyle name="Followed Hyperlink" xfId="23959" builtinId="9" hidden="1"/>
    <cellStyle name="Followed Hyperlink" xfId="23960" builtinId="9" hidden="1"/>
    <cellStyle name="Followed Hyperlink" xfId="23961" builtinId="9" hidden="1"/>
    <cellStyle name="Followed Hyperlink" xfId="23962" builtinId="9" hidden="1"/>
    <cellStyle name="Followed Hyperlink" xfId="23963" builtinId="9" hidden="1"/>
    <cellStyle name="Followed Hyperlink" xfId="23964" builtinId="9" hidden="1"/>
    <cellStyle name="Followed Hyperlink" xfId="23965" builtinId="9" hidden="1"/>
    <cellStyle name="Followed Hyperlink" xfId="23966" builtinId="9" hidden="1"/>
    <cellStyle name="Followed Hyperlink" xfId="23967" builtinId="9" hidden="1"/>
    <cellStyle name="Followed Hyperlink" xfId="23968" builtinId="9" hidden="1"/>
    <cellStyle name="Followed Hyperlink" xfId="23969" builtinId="9" hidden="1"/>
    <cellStyle name="Followed Hyperlink" xfId="23970" builtinId="9" hidden="1"/>
    <cellStyle name="Followed Hyperlink" xfId="23971" builtinId="9" hidden="1"/>
    <cellStyle name="Followed Hyperlink" xfId="23972" builtinId="9" hidden="1"/>
    <cellStyle name="Followed Hyperlink" xfId="23973" builtinId="9" hidden="1"/>
    <cellStyle name="Followed Hyperlink" xfId="23974" builtinId="9" hidden="1"/>
    <cellStyle name="Followed Hyperlink" xfId="23975" builtinId="9" hidden="1"/>
    <cellStyle name="Followed Hyperlink" xfId="23976" builtinId="9" hidden="1"/>
    <cellStyle name="Followed Hyperlink" xfId="23977" builtinId="9" hidden="1"/>
    <cellStyle name="Followed Hyperlink" xfId="23613" builtinId="9" hidden="1"/>
    <cellStyle name="Followed Hyperlink" xfId="23938" builtinId="9" hidden="1"/>
    <cellStyle name="Followed Hyperlink" xfId="23979" builtinId="9" hidden="1"/>
    <cellStyle name="Followed Hyperlink" xfId="23980" builtinId="9" hidden="1"/>
    <cellStyle name="Followed Hyperlink" xfId="23981" builtinId="9" hidden="1"/>
    <cellStyle name="Followed Hyperlink" xfId="23982" builtinId="9" hidden="1"/>
    <cellStyle name="Followed Hyperlink" xfId="23983" builtinId="9" hidden="1"/>
    <cellStyle name="Followed Hyperlink" xfId="23984" builtinId="9" hidden="1"/>
    <cellStyle name="Followed Hyperlink" xfId="23985" builtinId="9" hidden="1"/>
    <cellStyle name="Followed Hyperlink" xfId="23986" builtinId="9" hidden="1"/>
    <cellStyle name="Followed Hyperlink" xfId="23987" builtinId="9" hidden="1"/>
    <cellStyle name="Followed Hyperlink" xfId="23988" builtinId="9" hidden="1"/>
    <cellStyle name="Followed Hyperlink" xfId="23989" builtinId="9" hidden="1"/>
    <cellStyle name="Followed Hyperlink" xfId="23990" builtinId="9" hidden="1"/>
    <cellStyle name="Followed Hyperlink" xfId="23991" builtinId="9" hidden="1"/>
    <cellStyle name="Followed Hyperlink" xfId="23992" builtinId="9" hidden="1"/>
    <cellStyle name="Followed Hyperlink" xfId="23993" builtinId="9" hidden="1"/>
    <cellStyle name="Followed Hyperlink" xfId="23994" builtinId="9" hidden="1"/>
    <cellStyle name="Followed Hyperlink" xfId="23995" builtinId="9" hidden="1"/>
    <cellStyle name="Followed Hyperlink" xfId="23996" builtinId="9" hidden="1"/>
    <cellStyle name="Followed Hyperlink" xfId="23997" builtinId="9" hidden="1"/>
    <cellStyle name="Followed Hyperlink" xfId="23998" builtinId="9" hidden="1"/>
    <cellStyle name="Followed Hyperlink" xfId="23999" builtinId="9" hidden="1"/>
    <cellStyle name="Followed Hyperlink" xfId="24000" builtinId="9" hidden="1"/>
    <cellStyle name="Followed Hyperlink" xfId="24001" builtinId="9" hidden="1"/>
    <cellStyle name="Followed Hyperlink" xfId="24002" builtinId="9" hidden="1"/>
    <cellStyle name="Followed Hyperlink" xfId="24003" builtinId="9" hidden="1"/>
    <cellStyle name="Followed Hyperlink" xfId="24004" builtinId="9" hidden="1"/>
    <cellStyle name="Followed Hyperlink" xfId="24005" builtinId="9" hidden="1"/>
    <cellStyle name="Followed Hyperlink" xfId="24006" builtinId="9" hidden="1"/>
    <cellStyle name="Followed Hyperlink" xfId="24007" builtinId="9" hidden="1"/>
    <cellStyle name="Followed Hyperlink" xfId="24008" builtinId="9" hidden="1"/>
    <cellStyle name="Followed Hyperlink" xfId="24009" builtinId="9" hidden="1"/>
    <cellStyle name="Followed Hyperlink" xfId="24010" builtinId="9" hidden="1"/>
    <cellStyle name="Followed Hyperlink" xfId="24011" builtinId="9" hidden="1"/>
    <cellStyle name="Followed Hyperlink" xfId="24012" builtinId="9" hidden="1"/>
    <cellStyle name="Followed Hyperlink" xfId="24013" builtinId="9" hidden="1"/>
    <cellStyle name="Followed Hyperlink" xfId="24014" builtinId="9" hidden="1"/>
    <cellStyle name="Followed Hyperlink" xfId="24015" builtinId="9" hidden="1"/>
    <cellStyle name="Followed Hyperlink" xfId="24016" builtinId="9" hidden="1"/>
    <cellStyle name="Followed Hyperlink" xfId="24017" builtinId="9" hidden="1"/>
    <cellStyle name="Followed Hyperlink" xfId="23609" builtinId="9" hidden="1"/>
    <cellStyle name="Followed Hyperlink" xfId="23978" builtinId="9" hidden="1"/>
    <cellStyle name="Followed Hyperlink" xfId="24018" builtinId="9" hidden="1"/>
    <cellStyle name="Followed Hyperlink" xfId="24019" builtinId="9" hidden="1"/>
    <cellStyle name="Followed Hyperlink" xfId="24020" builtinId="9" hidden="1"/>
    <cellStyle name="Followed Hyperlink" xfId="24021" builtinId="9" hidden="1"/>
    <cellStyle name="Followed Hyperlink" xfId="24022" builtinId="9" hidden="1"/>
    <cellStyle name="Followed Hyperlink" xfId="24023" builtinId="9" hidden="1"/>
    <cellStyle name="Followed Hyperlink" xfId="24024" builtinId="9" hidden="1"/>
    <cellStyle name="Followed Hyperlink" xfId="24025" builtinId="9" hidden="1"/>
    <cellStyle name="Followed Hyperlink" xfId="24026" builtinId="9" hidden="1"/>
    <cellStyle name="Followed Hyperlink" xfId="24027" builtinId="9" hidden="1"/>
    <cellStyle name="Followed Hyperlink" xfId="24028" builtinId="9" hidden="1"/>
    <cellStyle name="Followed Hyperlink" xfId="24029" builtinId="9" hidden="1"/>
    <cellStyle name="Followed Hyperlink" xfId="24030" builtinId="9" hidden="1"/>
    <cellStyle name="Followed Hyperlink" xfId="24031" builtinId="9" hidden="1"/>
    <cellStyle name="Followed Hyperlink" xfId="24032" builtinId="9" hidden="1"/>
    <cellStyle name="Followed Hyperlink" xfId="24033" builtinId="9" hidden="1"/>
    <cellStyle name="Followed Hyperlink" xfId="24034" builtinId="9" hidden="1"/>
    <cellStyle name="Followed Hyperlink" xfId="24035" builtinId="9" hidden="1"/>
    <cellStyle name="Followed Hyperlink" xfId="24036" builtinId="9" hidden="1"/>
    <cellStyle name="Followed Hyperlink" xfId="24037" builtinId="9" hidden="1"/>
    <cellStyle name="Followed Hyperlink" xfId="24038" builtinId="9" hidden="1"/>
    <cellStyle name="Followed Hyperlink" xfId="24039" builtinId="9" hidden="1"/>
    <cellStyle name="Followed Hyperlink" xfId="24040" builtinId="9" hidden="1"/>
    <cellStyle name="Followed Hyperlink" xfId="24041" builtinId="9" hidden="1"/>
    <cellStyle name="Followed Hyperlink" xfId="24042" builtinId="9" hidden="1"/>
    <cellStyle name="Followed Hyperlink" xfId="24043" builtinId="9" hidden="1"/>
    <cellStyle name="Followed Hyperlink" xfId="24044" builtinId="9" hidden="1"/>
    <cellStyle name="Followed Hyperlink" xfId="24045" builtinId="9" hidden="1"/>
    <cellStyle name="Followed Hyperlink" xfId="24046" builtinId="9" hidden="1"/>
    <cellStyle name="Followed Hyperlink" xfId="24047" builtinId="9" hidden="1"/>
    <cellStyle name="Followed Hyperlink" xfId="24048" builtinId="9" hidden="1"/>
    <cellStyle name="Followed Hyperlink" xfId="24049" builtinId="9" hidden="1"/>
    <cellStyle name="Followed Hyperlink" xfId="24050" builtinId="9" hidden="1"/>
    <cellStyle name="Followed Hyperlink" xfId="24051" builtinId="9" hidden="1"/>
    <cellStyle name="Followed Hyperlink" xfId="24052" builtinId="9" hidden="1"/>
    <cellStyle name="Followed Hyperlink" xfId="24053" builtinId="9" hidden="1"/>
    <cellStyle name="Followed Hyperlink" xfId="24054" builtinId="9" hidden="1"/>
    <cellStyle name="Followed Hyperlink" xfId="24055" builtinId="9" hidden="1"/>
    <cellStyle name="Followed Hyperlink" xfId="24056" builtinId="9" hidden="1"/>
    <cellStyle name="Followed Hyperlink" xfId="24750" builtinId="9" hidden="1"/>
    <cellStyle name="Followed Hyperlink" xfId="24751" builtinId="9" hidden="1"/>
    <cellStyle name="Followed Hyperlink" xfId="24752" builtinId="9" hidden="1"/>
    <cellStyle name="Followed Hyperlink" xfId="24753" builtinId="9" hidden="1"/>
    <cellStyle name="Followed Hyperlink" xfId="24754" builtinId="9" hidden="1"/>
    <cellStyle name="Followed Hyperlink" xfId="24755" builtinId="9" hidden="1"/>
    <cellStyle name="Followed Hyperlink" xfId="24756" builtinId="9" hidden="1"/>
    <cellStyle name="Followed Hyperlink" xfId="24757" builtinId="9" hidden="1"/>
    <cellStyle name="Followed Hyperlink" xfId="24758" builtinId="9" hidden="1"/>
    <cellStyle name="Followed Hyperlink" xfId="24759" builtinId="9" hidden="1"/>
    <cellStyle name="Followed Hyperlink" xfId="24760" builtinId="9" hidden="1"/>
    <cellStyle name="Followed Hyperlink" xfId="24761" builtinId="9" hidden="1"/>
    <cellStyle name="Followed Hyperlink" xfId="24762" builtinId="9" hidden="1"/>
    <cellStyle name="Followed Hyperlink" xfId="24763" builtinId="9" hidden="1"/>
    <cellStyle name="Followed Hyperlink" xfId="24764" builtinId="9" hidden="1"/>
    <cellStyle name="Followed Hyperlink" xfId="24765" builtinId="9" hidden="1"/>
    <cellStyle name="Followed Hyperlink" xfId="24766" builtinId="9" hidden="1"/>
    <cellStyle name="Followed Hyperlink" xfId="24767" builtinId="9" hidden="1"/>
    <cellStyle name="Followed Hyperlink" xfId="24768" builtinId="9" hidden="1"/>
    <cellStyle name="Followed Hyperlink" xfId="24769" builtinId="9" hidden="1"/>
    <cellStyle name="Followed Hyperlink" xfId="24770" builtinId="9" hidden="1"/>
    <cellStyle name="Followed Hyperlink" xfId="24771" builtinId="9" hidden="1"/>
    <cellStyle name="Followed Hyperlink" xfId="24772" builtinId="9" hidden="1"/>
    <cellStyle name="Followed Hyperlink" xfId="24773" builtinId="9" hidden="1"/>
    <cellStyle name="Followed Hyperlink" xfId="24774" builtinId="9" hidden="1"/>
    <cellStyle name="Followed Hyperlink" xfId="24775" builtinId="9" hidden="1"/>
    <cellStyle name="Followed Hyperlink" xfId="24776" builtinId="9" hidden="1"/>
    <cellStyle name="Followed Hyperlink" xfId="24777" builtinId="9" hidden="1"/>
    <cellStyle name="Followed Hyperlink" xfId="24778" builtinId="9" hidden="1"/>
    <cellStyle name="Followed Hyperlink" xfId="24779" builtinId="9" hidden="1"/>
    <cellStyle name="Followed Hyperlink" xfId="24780" builtinId="9" hidden="1"/>
    <cellStyle name="Followed Hyperlink" xfId="24781" builtinId="9" hidden="1"/>
    <cellStyle name="Followed Hyperlink" xfId="24782" builtinId="9" hidden="1"/>
    <cellStyle name="Followed Hyperlink" xfId="24783" builtinId="9" hidden="1"/>
    <cellStyle name="Followed Hyperlink" xfId="24784" builtinId="9" hidden="1"/>
    <cellStyle name="Followed Hyperlink" xfId="24785" builtinId="9" hidden="1"/>
    <cellStyle name="Followed Hyperlink" xfId="24786" builtinId="9" hidden="1"/>
    <cellStyle name="Followed Hyperlink" xfId="24787" builtinId="9" hidden="1"/>
    <cellStyle name="Followed Hyperlink" xfId="24788" builtinId="9" hidden="1"/>
    <cellStyle name="Followed Hyperlink" xfId="24789" builtinId="9" hidden="1"/>
    <cellStyle name="Followed Hyperlink" xfId="24790" builtinId="9" hidden="1"/>
    <cellStyle name="Followed Hyperlink" xfId="24799" builtinId="9" hidden="1"/>
    <cellStyle name="Followed Hyperlink" xfId="24800" builtinId="9" hidden="1"/>
    <cellStyle name="Followed Hyperlink" xfId="24801" builtinId="9" hidden="1"/>
    <cellStyle name="Followed Hyperlink" xfId="24802" builtinId="9" hidden="1"/>
    <cellStyle name="Followed Hyperlink" xfId="24803" builtinId="9" hidden="1"/>
    <cellStyle name="Followed Hyperlink" xfId="24804" builtinId="9" hidden="1"/>
    <cellStyle name="Followed Hyperlink" xfId="24805" builtinId="9" hidden="1"/>
    <cellStyle name="Followed Hyperlink" xfId="24806" builtinId="9" hidden="1"/>
    <cellStyle name="Followed Hyperlink" xfId="24807" builtinId="9" hidden="1"/>
    <cellStyle name="Followed Hyperlink" xfId="24808" builtinId="9" hidden="1"/>
    <cellStyle name="Followed Hyperlink" xfId="24809" builtinId="9" hidden="1"/>
    <cellStyle name="Followed Hyperlink" xfId="24810" builtinId="9" hidden="1"/>
    <cellStyle name="Followed Hyperlink" xfId="24811" builtinId="9" hidden="1"/>
    <cellStyle name="Followed Hyperlink" xfId="24812" builtinId="9" hidden="1"/>
    <cellStyle name="Followed Hyperlink" xfId="24813" builtinId="9" hidden="1"/>
    <cellStyle name="Followed Hyperlink" xfId="24814" builtinId="9" hidden="1"/>
    <cellStyle name="Followed Hyperlink" xfId="24815" builtinId="9" hidden="1"/>
    <cellStyle name="Followed Hyperlink" xfId="24816" builtinId="9" hidden="1"/>
    <cellStyle name="Followed Hyperlink" xfId="24817" builtinId="9" hidden="1"/>
    <cellStyle name="Followed Hyperlink" xfId="24818" builtinId="9" hidden="1"/>
    <cellStyle name="Followed Hyperlink" xfId="24819" builtinId="9" hidden="1"/>
    <cellStyle name="Followed Hyperlink" xfId="24820" builtinId="9" hidden="1"/>
    <cellStyle name="Followed Hyperlink" xfId="24821" builtinId="9" hidden="1"/>
    <cellStyle name="Followed Hyperlink" xfId="24822" builtinId="9" hidden="1"/>
    <cellStyle name="Followed Hyperlink" xfId="24823" builtinId="9" hidden="1"/>
    <cellStyle name="Followed Hyperlink" xfId="24824" builtinId="9" hidden="1"/>
    <cellStyle name="Followed Hyperlink" xfId="24825" builtinId="9" hidden="1"/>
    <cellStyle name="Followed Hyperlink" xfId="24826" builtinId="9" hidden="1"/>
    <cellStyle name="Followed Hyperlink" xfId="24827" builtinId="9" hidden="1"/>
    <cellStyle name="Followed Hyperlink" xfId="24828" builtinId="9" hidden="1"/>
    <cellStyle name="Followed Hyperlink" xfId="24829" builtinId="9" hidden="1"/>
    <cellStyle name="Followed Hyperlink" xfId="24830" builtinId="9" hidden="1"/>
    <cellStyle name="Followed Hyperlink" xfId="24831" builtinId="9" hidden="1"/>
    <cellStyle name="Followed Hyperlink" xfId="24832" builtinId="9" hidden="1"/>
    <cellStyle name="Followed Hyperlink" xfId="24833" builtinId="9" hidden="1"/>
    <cellStyle name="Followed Hyperlink" xfId="24834" builtinId="9" hidden="1"/>
    <cellStyle name="Followed Hyperlink" xfId="24835" builtinId="9" hidden="1"/>
    <cellStyle name="Followed Hyperlink" xfId="24836" builtinId="9" hidden="1"/>
    <cellStyle name="Followed Hyperlink" xfId="24837" builtinId="9" hidden="1"/>
    <cellStyle name="Followed Hyperlink" xfId="24838" builtinId="9" hidden="1"/>
    <cellStyle name="Followed Hyperlink" xfId="24839" builtinId="9" hidden="1"/>
    <cellStyle name="Followed Hyperlink" xfId="24840" builtinId="9" hidden="1"/>
    <cellStyle name="Followed Hyperlink" xfId="24841" builtinId="9" hidden="1"/>
    <cellStyle name="Followed Hyperlink" xfId="24842" builtinId="9" hidden="1"/>
    <cellStyle name="Followed Hyperlink" xfId="24843" builtinId="9" hidden="1"/>
    <cellStyle name="Followed Hyperlink" xfId="24844" builtinId="9" hidden="1"/>
    <cellStyle name="Followed Hyperlink" xfId="24845" builtinId="9" hidden="1"/>
    <cellStyle name="Followed Hyperlink" xfId="24846" builtinId="9" hidden="1"/>
    <cellStyle name="Followed Hyperlink" xfId="24847" builtinId="9" hidden="1"/>
    <cellStyle name="Followed Hyperlink" xfId="24848" builtinId="9" hidden="1"/>
    <cellStyle name="Followed Hyperlink" xfId="24849" builtinId="9" hidden="1"/>
    <cellStyle name="Followed Hyperlink" xfId="24850" builtinId="9" hidden="1"/>
    <cellStyle name="Followed Hyperlink" xfId="24851" builtinId="9" hidden="1"/>
    <cellStyle name="Followed Hyperlink" xfId="24852" builtinId="9" hidden="1"/>
    <cellStyle name="Followed Hyperlink" xfId="24853" builtinId="9" hidden="1"/>
    <cellStyle name="Followed Hyperlink" xfId="24854" builtinId="9" hidden="1"/>
    <cellStyle name="Followed Hyperlink" xfId="24855" builtinId="9" hidden="1"/>
    <cellStyle name="Followed Hyperlink" xfId="24856" builtinId="9" hidden="1"/>
    <cellStyle name="Followed Hyperlink" xfId="24857" builtinId="9" hidden="1"/>
    <cellStyle name="Followed Hyperlink" xfId="24858" builtinId="9" hidden="1"/>
    <cellStyle name="Followed Hyperlink" xfId="24859" builtinId="9" hidden="1"/>
    <cellStyle name="Followed Hyperlink" xfId="24860" builtinId="9" hidden="1"/>
    <cellStyle name="Followed Hyperlink" xfId="24861" builtinId="9" hidden="1"/>
    <cellStyle name="Followed Hyperlink" xfId="24862" builtinId="9" hidden="1"/>
    <cellStyle name="Followed Hyperlink" xfId="24863" builtinId="9" hidden="1"/>
    <cellStyle name="Followed Hyperlink" xfId="24864" builtinId="9" hidden="1"/>
    <cellStyle name="Followed Hyperlink" xfId="24865" builtinId="9" hidden="1"/>
    <cellStyle name="Followed Hyperlink" xfId="24866" builtinId="9" hidden="1"/>
    <cellStyle name="Followed Hyperlink" xfId="24867" builtinId="9" hidden="1"/>
    <cellStyle name="Followed Hyperlink" xfId="24868" builtinId="9" hidden="1"/>
    <cellStyle name="Followed Hyperlink" xfId="24869" builtinId="9" hidden="1"/>
    <cellStyle name="Followed Hyperlink" xfId="24870" builtinId="9" hidden="1"/>
    <cellStyle name="Followed Hyperlink" xfId="24871" builtinId="9" hidden="1"/>
    <cellStyle name="Followed Hyperlink" xfId="24872" builtinId="9" hidden="1"/>
    <cellStyle name="Followed Hyperlink" xfId="24873" builtinId="9" hidden="1"/>
    <cellStyle name="Followed Hyperlink" xfId="24874" builtinId="9" hidden="1"/>
    <cellStyle name="Followed Hyperlink" xfId="24875" builtinId="9" hidden="1"/>
    <cellStyle name="Followed Hyperlink" xfId="24876" builtinId="9" hidden="1"/>
    <cellStyle name="Followed Hyperlink" xfId="24877" builtinId="9" hidden="1"/>
    <cellStyle name="Followed Hyperlink" xfId="24878" builtinId="9" hidden="1"/>
    <cellStyle name="Followed Hyperlink" xfId="24879" builtinId="9" hidden="1"/>
    <cellStyle name="Followed Hyperlink" xfId="24880" builtinId="9" hidden="1"/>
    <cellStyle name="Followed Hyperlink" xfId="24881" builtinId="9" hidden="1"/>
    <cellStyle name="Followed Hyperlink" xfId="24882" builtinId="9" hidden="1"/>
    <cellStyle name="Followed Hyperlink" xfId="24883" builtinId="9" hidden="1"/>
    <cellStyle name="Followed Hyperlink" xfId="24884" builtinId="9" hidden="1"/>
    <cellStyle name="Followed Hyperlink" xfId="24885" builtinId="9" hidden="1"/>
    <cellStyle name="Followed Hyperlink" xfId="24886" builtinId="9" hidden="1"/>
    <cellStyle name="Followed Hyperlink" xfId="24887" builtinId="9" hidden="1"/>
    <cellStyle name="Followed Hyperlink" xfId="24888" builtinId="9" hidden="1"/>
    <cellStyle name="Followed Hyperlink" xfId="24889" builtinId="9" hidden="1"/>
    <cellStyle name="Followed Hyperlink" xfId="24890" builtinId="9" hidden="1"/>
    <cellStyle name="Followed Hyperlink" xfId="24891" builtinId="9" hidden="1"/>
    <cellStyle name="Followed Hyperlink" xfId="24892" builtinId="9" hidden="1"/>
    <cellStyle name="Followed Hyperlink" xfId="24893" builtinId="9" hidden="1"/>
    <cellStyle name="Followed Hyperlink" xfId="24894" builtinId="9" hidden="1"/>
    <cellStyle name="Followed Hyperlink" xfId="24895" builtinId="9" hidden="1"/>
    <cellStyle name="Followed Hyperlink" xfId="24896" builtinId="9" hidden="1"/>
    <cellStyle name="Followed Hyperlink" xfId="24897" builtinId="9" hidden="1"/>
    <cellStyle name="Followed Hyperlink" xfId="24898" builtinId="9" hidden="1"/>
    <cellStyle name="Followed Hyperlink" xfId="24899" builtinId="9" hidden="1"/>
    <cellStyle name="Followed Hyperlink" xfId="24900" builtinId="9" hidden="1"/>
    <cellStyle name="Followed Hyperlink" xfId="24901" builtinId="9" hidden="1"/>
    <cellStyle name="Followed Hyperlink" xfId="24902" builtinId="9" hidden="1"/>
    <cellStyle name="Followed Hyperlink" xfId="24903" builtinId="9" hidden="1"/>
    <cellStyle name="Followed Hyperlink" xfId="24904" builtinId="9" hidden="1"/>
    <cellStyle name="Followed Hyperlink" xfId="24905" builtinId="9" hidden="1"/>
    <cellStyle name="Followed Hyperlink" xfId="24906" builtinId="9" hidden="1"/>
    <cellStyle name="Followed Hyperlink" xfId="24907" builtinId="9" hidden="1"/>
    <cellStyle name="Followed Hyperlink" xfId="24908" builtinId="9" hidden="1"/>
    <cellStyle name="Followed Hyperlink" xfId="24909" builtinId="9" hidden="1"/>
    <cellStyle name="Followed Hyperlink" xfId="24910" builtinId="9" hidden="1"/>
    <cellStyle name="Followed Hyperlink" xfId="24911" builtinId="9" hidden="1"/>
    <cellStyle name="Followed Hyperlink" xfId="24912" builtinId="9" hidden="1"/>
    <cellStyle name="Followed Hyperlink" xfId="24913" builtinId="9" hidden="1"/>
    <cellStyle name="Followed Hyperlink" xfId="24914" builtinId="9" hidden="1"/>
    <cellStyle name="Followed Hyperlink" xfId="24915" builtinId="9" hidden="1"/>
    <cellStyle name="Followed Hyperlink" xfId="24916" builtinId="9" hidden="1"/>
    <cellStyle name="Followed Hyperlink" xfId="24917" builtinId="9" hidden="1"/>
    <cellStyle name="Followed Hyperlink" xfId="24918" builtinId="9" hidden="1"/>
    <cellStyle name="Followed Hyperlink" xfId="24919" builtinId="9" hidden="1"/>
    <cellStyle name="Followed Hyperlink" xfId="24920" builtinId="9" hidden="1"/>
    <cellStyle name="Followed Hyperlink" xfId="24921" builtinId="9" hidden="1"/>
    <cellStyle name="Followed Hyperlink" xfId="24791" builtinId="9" hidden="1"/>
    <cellStyle name="Followed Hyperlink" xfId="24688" builtinId="9" hidden="1"/>
    <cellStyle name="Followed Hyperlink" xfId="24923" builtinId="9" hidden="1"/>
    <cellStyle name="Followed Hyperlink" xfId="24924" builtinId="9" hidden="1"/>
    <cellStyle name="Followed Hyperlink" xfId="24925" builtinId="9" hidden="1"/>
    <cellStyle name="Followed Hyperlink" xfId="24926" builtinId="9" hidden="1"/>
    <cellStyle name="Followed Hyperlink" xfId="24927" builtinId="9" hidden="1"/>
    <cellStyle name="Followed Hyperlink" xfId="24928" builtinId="9" hidden="1"/>
    <cellStyle name="Followed Hyperlink" xfId="24929" builtinId="9" hidden="1"/>
    <cellStyle name="Followed Hyperlink" xfId="24930" builtinId="9" hidden="1"/>
    <cellStyle name="Followed Hyperlink" xfId="24931" builtinId="9" hidden="1"/>
    <cellStyle name="Followed Hyperlink" xfId="24932" builtinId="9" hidden="1"/>
    <cellStyle name="Followed Hyperlink" xfId="24933" builtinId="9" hidden="1"/>
    <cellStyle name="Followed Hyperlink" xfId="24934" builtinId="9" hidden="1"/>
    <cellStyle name="Followed Hyperlink" xfId="24935" builtinId="9" hidden="1"/>
    <cellStyle name="Followed Hyperlink" xfId="24936" builtinId="9" hidden="1"/>
    <cellStyle name="Followed Hyperlink" xfId="24937" builtinId="9" hidden="1"/>
    <cellStyle name="Followed Hyperlink" xfId="24938" builtinId="9" hidden="1"/>
    <cellStyle name="Followed Hyperlink" xfId="24939" builtinId="9" hidden="1"/>
    <cellStyle name="Followed Hyperlink" xfId="24940" builtinId="9" hidden="1"/>
    <cellStyle name="Followed Hyperlink" xfId="24941" builtinId="9" hidden="1"/>
    <cellStyle name="Followed Hyperlink" xfId="24942" builtinId="9" hidden="1"/>
    <cellStyle name="Followed Hyperlink" xfId="24943" builtinId="9" hidden="1"/>
    <cellStyle name="Followed Hyperlink" xfId="24944" builtinId="9" hidden="1"/>
    <cellStyle name="Followed Hyperlink" xfId="24945" builtinId="9" hidden="1"/>
    <cellStyle name="Followed Hyperlink" xfId="24946" builtinId="9" hidden="1"/>
    <cellStyle name="Followed Hyperlink" xfId="24947" builtinId="9" hidden="1"/>
    <cellStyle name="Followed Hyperlink" xfId="24948" builtinId="9" hidden="1"/>
    <cellStyle name="Followed Hyperlink" xfId="24949" builtinId="9" hidden="1"/>
    <cellStyle name="Followed Hyperlink" xfId="24950" builtinId="9" hidden="1"/>
    <cellStyle name="Followed Hyperlink" xfId="24951" builtinId="9" hidden="1"/>
    <cellStyle name="Followed Hyperlink" xfId="24952" builtinId="9" hidden="1"/>
    <cellStyle name="Followed Hyperlink" xfId="24953" builtinId="9" hidden="1"/>
    <cellStyle name="Followed Hyperlink" xfId="24954" builtinId="9" hidden="1"/>
    <cellStyle name="Followed Hyperlink" xfId="24955" builtinId="9" hidden="1"/>
    <cellStyle name="Followed Hyperlink" xfId="24956" builtinId="9" hidden="1"/>
    <cellStyle name="Followed Hyperlink" xfId="24957" builtinId="9" hidden="1"/>
    <cellStyle name="Followed Hyperlink" xfId="24958" builtinId="9" hidden="1"/>
    <cellStyle name="Followed Hyperlink" xfId="24959" builtinId="9" hidden="1"/>
    <cellStyle name="Followed Hyperlink" xfId="24960" builtinId="9" hidden="1"/>
    <cellStyle name="Followed Hyperlink" xfId="24961" builtinId="9" hidden="1"/>
    <cellStyle name="Followed Hyperlink" xfId="24796" builtinId="9" hidden="1"/>
    <cellStyle name="Followed Hyperlink" xfId="24922" builtinId="9" hidden="1"/>
    <cellStyle name="Followed Hyperlink" xfId="24963" builtinId="9" hidden="1"/>
    <cellStyle name="Followed Hyperlink" xfId="24964" builtinId="9" hidden="1"/>
    <cellStyle name="Followed Hyperlink" xfId="24965" builtinId="9" hidden="1"/>
    <cellStyle name="Followed Hyperlink" xfId="24966" builtinId="9" hidden="1"/>
    <cellStyle name="Followed Hyperlink" xfId="24967" builtinId="9" hidden="1"/>
    <cellStyle name="Followed Hyperlink" xfId="24968" builtinId="9" hidden="1"/>
    <cellStyle name="Followed Hyperlink" xfId="24969" builtinId="9" hidden="1"/>
    <cellStyle name="Followed Hyperlink" xfId="24970" builtinId="9" hidden="1"/>
    <cellStyle name="Followed Hyperlink" xfId="24971" builtinId="9" hidden="1"/>
    <cellStyle name="Followed Hyperlink" xfId="24972" builtinId="9" hidden="1"/>
    <cellStyle name="Followed Hyperlink" xfId="24973" builtinId="9" hidden="1"/>
    <cellStyle name="Followed Hyperlink" xfId="24974" builtinId="9" hidden="1"/>
    <cellStyle name="Followed Hyperlink" xfId="24975" builtinId="9" hidden="1"/>
    <cellStyle name="Followed Hyperlink" xfId="24976" builtinId="9" hidden="1"/>
    <cellStyle name="Followed Hyperlink" xfId="24977" builtinId="9" hidden="1"/>
    <cellStyle name="Followed Hyperlink" xfId="24978" builtinId="9" hidden="1"/>
    <cellStyle name="Followed Hyperlink" xfId="24979" builtinId="9" hidden="1"/>
    <cellStyle name="Followed Hyperlink" xfId="24980" builtinId="9" hidden="1"/>
    <cellStyle name="Followed Hyperlink" xfId="24981" builtinId="9" hidden="1"/>
    <cellStyle name="Followed Hyperlink" xfId="24982" builtinId="9" hidden="1"/>
    <cellStyle name="Followed Hyperlink" xfId="24983" builtinId="9" hidden="1"/>
    <cellStyle name="Followed Hyperlink" xfId="24984" builtinId="9" hidden="1"/>
    <cellStyle name="Followed Hyperlink" xfId="24985" builtinId="9" hidden="1"/>
    <cellStyle name="Followed Hyperlink" xfId="24986" builtinId="9" hidden="1"/>
    <cellStyle name="Followed Hyperlink" xfId="24987" builtinId="9" hidden="1"/>
    <cellStyle name="Followed Hyperlink" xfId="24988" builtinId="9" hidden="1"/>
    <cellStyle name="Followed Hyperlink" xfId="24989" builtinId="9" hidden="1"/>
    <cellStyle name="Followed Hyperlink" xfId="24990" builtinId="9" hidden="1"/>
    <cellStyle name="Followed Hyperlink" xfId="24991" builtinId="9" hidden="1"/>
    <cellStyle name="Followed Hyperlink" xfId="24992" builtinId="9" hidden="1"/>
    <cellStyle name="Followed Hyperlink" xfId="24993" builtinId="9" hidden="1"/>
    <cellStyle name="Followed Hyperlink" xfId="24994" builtinId="9" hidden="1"/>
    <cellStyle name="Followed Hyperlink" xfId="24995" builtinId="9" hidden="1"/>
    <cellStyle name="Followed Hyperlink" xfId="24996" builtinId="9" hidden="1"/>
    <cellStyle name="Followed Hyperlink" xfId="24997" builtinId="9" hidden="1"/>
    <cellStyle name="Followed Hyperlink" xfId="24998" builtinId="9" hidden="1"/>
    <cellStyle name="Followed Hyperlink" xfId="24999" builtinId="9" hidden="1"/>
    <cellStyle name="Followed Hyperlink" xfId="25000" builtinId="9" hidden="1"/>
    <cellStyle name="Followed Hyperlink" xfId="25001" builtinId="9" hidden="1"/>
    <cellStyle name="Followed Hyperlink" xfId="24798" builtinId="9" hidden="1"/>
    <cellStyle name="Followed Hyperlink" xfId="24962" builtinId="9" hidden="1"/>
    <cellStyle name="Followed Hyperlink" xfId="25003" builtinId="9" hidden="1"/>
    <cellStyle name="Followed Hyperlink" xfId="25004" builtinId="9" hidden="1"/>
    <cellStyle name="Followed Hyperlink" xfId="25005" builtinId="9" hidden="1"/>
    <cellStyle name="Followed Hyperlink" xfId="25006" builtinId="9" hidden="1"/>
    <cellStyle name="Followed Hyperlink" xfId="25007" builtinId="9" hidden="1"/>
    <cellStyle name="Followed Hyperlink" xfId="25008" builtinId="9" hidden="1"/>
    <cellStyle name="Followed Hyperlink" xfId="25009" builtinId="9" hidden="1"/>
    <cellStyle name="Followed Hyperlink" xfId="25010" builtinId="9" hidden="1"/>
    <cellStyle name="Followed Hyperlink" xfId="25011" builtinId="9" hidden="1"/>
    <cellStyle name="Followed Hyperlink" xfId="25012" builtinId="9" hidden="1"/>
    <cellStyle name="Followed Hyperlink" xfId="25013" builtinId="9" hidden="1"/>
    <cellStyle name="Followed Hyperlink" xfId="25014" builtinId="9" hidden="1"/>
    <cellStyle name="Followed Hyperlink" xfId="25015" builtinId="9" hidden="1"/>
    <cellStyle name="Followed Hyperlink" xfId="25016" builtinId="9" hidden="1"/>
    <cellStyle name="Followed Hyperlink" xfId="25017" builtinId="9" hidden="1"/>
    <cellStyle name="Followed Hyperlink" xfId="25018" builtinId="9" hidden="1"/>
    <cellStyle name="Followed Hyperlink" xfId="25019" builtinId="9" hidden="1"/>
    <cellStyle name="Followed Hyperlink" xfId="25020" builtinId="9" hidden="1"/>
    <cellStyle name="Followed Hyperlink" xfId="25021" builtinId="9" hidden="1"/>
    <cellStyle name="Followed Hyperlink" xfId="25022" builtinId="9" hidden="1"/>
    <cellStyle name="Followed Hyperlink" xfId="25023" builtinId="9" hidden="1"/>
    <cellStyle name="Followed Hyperlink" xfId="25024" builtinId="9" hidden="1"/>
    <cellStyle name="Followed Hyperlink" xfId="25025" builtinId="9" hidden="1"/>
    <cellStyle name="Followed Hyperlink" xfId="25026" builtinId="9" hidden="1"/>
    <cellStyle name="Followed Hyperlink" xfId="25027" builtinId="9" hidden="1"/>
    <cellStyle name="Followed Hyperlink" xfId="25028" builtinId="9" hidden="1"/>
    <cellStyle name="Followed Hyperlink" xfId="25029" builtinId="9" hidden="1"/>
    <cellStyle name="Followed Hyperlink" xfId="25030" builtinId="9" hidden="1"/>
    <cellStyle name="Followed Hyperlink" xfId="25031" builtinId="9" hidden="1"/>
    <cellStyle name="Followed Hyperlink" xfId="25032" builtinId="9" hidden="1"/>
    <cellStyle name="Followed Hyperlink" xfId="25033" builtinId="9" hidden="1"/>
    <cellStyle name="Followed Hyperlink" xfId="25034" builtinId="9" hidden="1"/>
    <cellStyle name="Followed Hyperlink" xfId="25035" builtinId="9" hidden="1"/>
    <cellStyle name="Followed Hyperlink" xfId="25036" builtinId="9" hidden="1"/>
    <cellStyle name="Followed Hyperlink" xfId="25037" builtinId="9" hidden="1"/>
    <cellStyle name="Followed Hyperlink" xfId="25038" builtinId="9" hidden="1"/>
    <cellStyle name="Followed Hyperlink" xfId="25039" builtinId="9" hidden="1"/>
    <cellStyle name="Followed Hyperlink" xfId="25040" builtinId="9" hidden="1"/>
    <cellStyle name="Followed Hyperlink" xfId="25041" builtinId="9" hidden="1"/>
    <cellStyle name="Followed Hyperlink" xfId="24792" builtinId="9" hidden="1"/>
    <cellStyle name="Followed Hyperlink" xfId="25002" builtinId="9" hidden="1"/>
    <cellStyle name="Followed Hyperlink" xfId="25043" builtinId="9" hidden="1"/>
    <cellStyle name="Followed Hyperlink" xfId="25044" builtinId="9" hidden="1"/>
    <cellStyle name="Followed Hyperlink" xfId="25045" builtinId="9" hidden="1"/>
    <cellStyle name="Followed Hyperlink" xfId="25046" builtinId="9" hidden="1"/>
    <cellStyle name="Followed Hyperlink" xfId="25047" builtinId="9" hidden="1"/>
    <cellStyle name="Followed Hyperlink" xfId="25048" builtinId="9" hidden="1"/>
    <cellStyle name="Followed Hyperlink" xfId="25049" builtinId="9" hidden="1"/>
    <cellStyle name="Followed Hyperlink" xfId="25050" builtinId="9" hidden="1"/>
    <cellStyle name="Followed Hyperlink" xfId="25051" builtinId="9" hidden="1"/>
    <cellStyle name="Followed Hyperlink" xfId="25052" builtinId="9" hidden="1"/>
    <cellStyle name="Followed Hyperlink" xfId="25053" builtinId="9" hidden="1"/>
    <cellStyle name="Followed Hyperlink" xfId="25054" builtinId="9" hidden="1"/>
    <cellStyle name="Followed Hyperlink" xfId="25055" builtinId="9" hidden="1"/>
    <cellStyle name="Followed Hyperlink" xfId="25056" builtinId="9" hidden="1"/>
    <cellStyle name="Followed Hyperlink" xfId="25057" builtinId="9" hidden="1"/>
    <cellStyle name="Followed Hyperlink" xfId="25058" builtinId="9" hidden="1"/>
    <cellStyle name="Followed Hyperlink" xfId="25059" builtinId="9" hidden="1"/>
    <cellStyle name="Followed Hyperlink" xfId="25060" builtinId="9" hidden="1"/>
    <cellStyle name="Followed Hyperlink" xfId="25061" builtinId="9" hidden="1"/>
    <cellStyle name="Followed Hyperlink" xfId="25062" builtinId="9" hidden="1"/>
    <cellStyle name="Followed Hyperlink" xfId="25063" builtinId="9" hidden="1"/>
    <cellStyle name="Followed Hyperlink" xfId="25064" builtinId="9" hidden="1"/>
    <cellStyle name="Followed Hyperlink" xfId="25065" builtinId="9" hidden="1"/>
    <cellStyle name="Followed Hyperlink" xfId="25066" builtinId="9" hidden="1"/>
    <cellStyle name="Followed Hyperlink" xfId="25067" builtinId="9" hidden="1"/>
    <cellStyle name="Followed Hyperlink" xfId="25068" builtinId="9" hidden="1"/>
    <cellStyle name="Followed Hyperlink" xfId="25069" builtinId="9" hidden="1"/>
    <cellStyle name="Followed Hyperlink" xfId="25070" builtinId="9" hidden="1"/>
    <cellStyle name="Followed Hyperlink" xfId="25071" builtinId="9" hidden="1"/>
    <cellStyle name="Followed Hyperlink" xfId="25072" builtinId="9" hidden="1"/>
    <cellStyle name="Followed Hyperlink" xfId="25073" builtinId="9" hidden="1"/>
    <cellStyle name="Followed Hyperlink" xfId="25074" builtinId="9" hidden="1"/>
    <cellStyle name="Followed Hyperlink" xfId="25075" builtinId="9" hidden="1"/>
    <cellStyle name="Followed Hyperlink" xfId="25076" builtinId="9" hidden="1"/>
    <cellStyle name="Followed Hyperlink" xfId="25077" builtinId="9" hidden="1"/>
    <cellStyle name="Followed Hyperlink" xfId="25078" builtinId="9" hidden="1"/>
    <cellStyle name="Followed Hyperlink" xfId="25079" builtinId="9" hidden="1"/>
    <cellStyle name="Followed Hyperlink" xfId="25080" builtinId="9" hidden="1"/>
    <cellStyle name="Followed Hyperlink" xfId="25081" builtinId="9" hidden="1"/>
    <cellStyle name="Followed Hyperlink" xfId="24794" builtinId="9" hidden="1"/>
    <cellStyle name="Followed Hyperlink" xfId="25042" builtinId="9" hidden="1"/>
    <cellStyle name="Followed Hyperlink" xfId="25083" builtinId="9" hidden="1"/>
    <cellStyle name="Followed Hyperlink" xfId="25084" builtinId="9" hidden="1"/>
    <cellStyle name="Followed Hyperlink" xfId="25085" builtinId="9" hidden="1"/>
    <cellStyle name="Followed Hyperlink" xfId="25086" builtinId="9" hidden="1"/>
    <cellStyle name="Followed Hyperlink" xfId="25087" builtinId="9" hidden="1"/>
    <cellStyle name="Followed Hyperlink" xfId="25088" builtinId="9" hidden="1"/>
    <cellStyle name="Followed Hyperlink" xfId="25089" builtinId="9" hidden="1"/>
    <cellStyle name="Followed Hyperlink" xfId="25090" builtinId="9" hidden="1"/>
    <cellStyle name="Followed Hyperlink" xfId="25091" builtinId="9" hidden="1"/>
    <cellStyle name="Followed Hyperlink" xfId="25092" builtinId="9" hidden="1"/>
    <cellStyle name="Followed Hyperlink" xfId="25093" builtinId="9" hidden="1"/>
    <cellStyle name="Followed Hyperlink" xfId="25094" builtinId="9" hidden="1"/>
    <cellStyle name="Followed Hyperlink" xfId="25095" builtinId="9" hidden="1"/>
    <cellStyle name="Followed Hyperlink" xfId="25096" builtinId="9" hidden="1"/>
    <cellStyle name="Followed Hyperlink" xfId="25097" builtinId="9" hidden="1"/>
    <cellStyle name="Followed Hyperlink" xfId="25098" builtinId="9" hidden="1"/>
    <cellStyle name="Followed Hyperlink" xfId="25099" builtinId="9" hidden="1"/>
    <cellStyle name="Followed Hyperlink" xfId="25100" builtinId="9" hidden="1"/>
    <cellStyle name="Followed Hyperlink" xfId="25101" builtinId="9" hidden="1"/>
    <cellStyle name="Followed Hyperlink" xfId="25102" builtinId="9" hidden="1"/>
    <cellStyle name="Followed Hyperlink" xfId="25103" builtinId="9" hidden="1"/>
    <cellStyle name="Followed Hyperlink" xfId="25104" builtinId="9" hidden="1"/>
    <cellStyle name="Followed Hyperlink" xfId="25105" builtinId="9" hidden="1"/>
    <cellStyle name="Followed Hyperlink" xfId="25106" builtinId="9" hidden="1"/>
    <cellStyle name="Followed Hyperlink" xfId="25107" builtinId="9" hidden="1"/>
    <cellStyle name="Followed Hyperlink" xfId="25108" builtinId="9" hidden="1"/>
    <cellStyle name="Followed Hyperlink" xfId="25109" builtinId="9" hidden="1"/>
    <cellStyle name="Followed Hyperlink" xfId="25110" builtinId="9" hidden="1"/>
    <cellStyle name="Followed Hyperlink" xfId="25111" builtinId="9" hidden="1"/>
    <cellStyle name="Followed Hyperlink" xfId="25112" builtinId="9" hidden="1"/>
    <cellStyle name="Followed Hyperlink" xfId="25113" builtinId="9" hidden="1"/>
    <cellStyle name="Followed Hyperlink" xfId="25114" builtinId="9" hidden="1"/>
    <cellStyle name="Followed Hyperlink" xfId="25115" builtinId="9" hidden="1"/>
    <cellStyle name="Followed Hyperlink" xfId="25116" builtinId="9" hidden="1"/>
    <cellStyle name="Followed Hyperlink" xfId="25117" builtinId="9" hidden="1"/>
    <cellStyle name="Followed Hyperlink" xfId="25118" builtinId="9" hidden="1"/>
    <cellStyle name="Followed Hyperlink" xfId="25119" builtinId="9" hidden="1"/>
    <cellStyle name="Followed Hyperlink" xfId="25120" builtinId="9" hidden="1"/>
    <cellStyle name="Followed Hyperlink" xfId="25121" builtinId="9" hidden="1"/>
    <cellStyle name="Followed Hyperlink" xfId="24795" builtinId="9" hidden="1"/>
    <cellStyle name="Followed Hyperlink" xfId="25082" builtinId="9" hidden="1"/>
    <cellStyle name="Followed Hyperlink" xfId="25123" builtinId="9" hidden="1"/>
    <cellStyle name="Followed Hyperlink" xfId="25124" builtinId="9" hidden="1"/>
    <cellStyle name="Followed Hyperlink" xfId="25125" builtinId="9" hidden="1"/>
    <cellStyle name="Followed Hyperlink" xfId="25126" builtinId="9" hidden="1"/>
    <cellStyle name="Followed Hyperlink" xfId="25127" builtinId="9" hidden="1"/>
    <cellStyle name="Followed Hyperlink" xfId="25128" builtinId="9" hidden="1"/>
    <cellStyle name="Followed Hyperlink" xfId="25129" builtinId="9" hidden="1"/>
    <cellStyle name="Followed Hyperlink" xfId="25130" builtinId="9" hidden="1"/>
    <cellStyle name="Followed Hyperlink" xfId="25131" builtinId="9" hidden="1"/>
    <cellStyle name="Followed Hyperlink" xfId="25132" builtinId="9" hidden="1"/>
    <cellStyle name="Followed Hyperlink" xfId="25133" builtinId="9" hidden="1"/>
    <cellStyle name="Followed Hyperlink" xfId="25134" builtinId="9" hidden="1"/>
    <cellStyle name="Followed Hyperlink" xfId="25135" builtinId="9" hidden="1"/>
    <cellStyle name="Followed Hyperlink" xfId="25136" builtinId="9" hidden="1"/>
    <cellStyle name="Followed Hyperlink" xfId="25137" builtinId="9" hidden="1"/>
    <cellStyle name="Followed Hyperlink" xfId="25138" builtinId="9" hidden="1"/>
    <cellStyle name="Followed Hyperlink" xfId="25139" builtinId="9" hidden="1"/>
    <cellStyle name="Followed Hyperlink" xfId="25140" builtinId="9" hidden="1"/>
    <cellStyle name="Followed Hyperlink" xfId="25141" builtinId="9" hidden="1"/>
    <cellStyle name="Followed Hyperlink" xfId="25142" builtinId="9" hidden="1"/>
    <cellStyle name="Followed Hyperlink" xfId="25143" builtinId="9" hidden="1"/>
    <cellStyle name="Followed Hyperlink" xfId="25144" builtinId="9" hidden="1"/>
    <cellStyle name="Followed Hyperlink" xfId="25145" builtinId="9" hidden="1"/>
    <cellStyle name="Followed Hyperlink" xfId="25146" builtinId="9" hidden="1"/>
    <cellStyle name="Followed Hyperlink" xfId="25147" builtinId="9" hidden="1"/>
    <cellStyle name="Followed Hyperlink" xfId="25148" builtinId="9" hidden="1"/>
    <cellStyle name="Followed Hyperlink" xfId="25149" builtinId="9" hidden="1"/>
    <cellStyle name="Followed Hyperlink" xfId="25150" builtinId="9" hidden="1"/>
    <cellStyle name="Followed Hyperlink" xfId="25151" builtinId="9" hidden="1"/>
    <cellStyle name="Followed Hyperlink" xfId="25152" builtinId="9" hidden="1"/>
    <cellStyle name="Followed Hyperlink" xfId="25153" builtinId="9" hidden="1"/>
    <cellStyle name="Followed Hyperlink" xfId="25154" builtinId="9" hidden="1"/>
    <cellStyle name="Followed Hyperlink" xfId="25155" builtinId="9" hidden="1"/>
    <cellStyle name="Followed Hyperlink" xfId="25156" builtinId="9" hidden="1"/>
    <cellStyle name="Followed Hyperlink" xfId="25157" builtinId="9" hidden="1"/>
    <cellStyle name="Followed Hyperlink" xfId="25158" builtinId="9" hidden="1"/>
    <cellStyle name="Followed Hyperlink" xfId="25159" builtinId="9" hidden="1"/>
    <cellStyle name="Followed Hyperlink" xfId="25160" builtinId="9" hidden="1"/>
    <cellStyle name="Followed Hyperlink" xfId="25161" builtinId="9" hidden="1"/>
    <cellStyle name="Followed Hyperlink" xfId="24797" builtinId="9" hidden="1"/>
    <cellStyle name="Followed Hyperlink" xfId="25122" builtinId="9" hidden="1"/>
    <cellStyle name="Followed Hyperlink" xfId="25163" builtinId="9" hidden="1"/>
    <cellStyle name="Followed Hyperlink" xfId="25164" builtinId="9" hidden="1"/>
    <cellStyle name="Followed Hyperlink" xfId="25165" builtinId="9" hidden="1"/>
    <cellStyle name="Followed Hyperlink" xfId="25166" builtinId="9" hidden="1"/>
    <cellStyle name="Followed Hyperlink" xfId="25167" builtinId="9" hidden="1"/>
    <cellStyle name="Followed Hyperlink" xfId="25168" builtinId="9" hidden="1"/>
    <cellStyle name="Followed Hyperlink" xfId="25169" builtinId="9" hidden="1"/>
    <cellStyle name="Followed Hyperlink" xfId="25170" builtinId="9" hidden="1"/>
    <cellStyle name="Followed Hyperlink" xfId="25171" builtinId="9" hidden="1"/>
    <cellStyle name="Followed Hyperlink" xfId="25172" builtinId="9" hidden="1"/>
    <cellStyle name="Followed Hyperlink" xfId="25173" builtinId="9" hidden="1"/>
    <cellStyle name="Followed Hyperlink" xfId="25174" builtinId="9" hidden="1"/>
    <cellStyle name="Followed Hyperlink" xfId="25175" builtinId="9" hidden="1"/>
    <cellStyle name="Followed Hyperlink" xfId="25176" builtinId="9" hidden="1"/>
    <cellStyle name="Followed Hyperlink" xfId="25177" builtinId="9" hidden="1"/>
    <cellStyle name="Followed Hyperlink" xfId="25178" builtinId="9" hidden="1"/>
    <cellStyle name="Followed Hyperlink" xfId="25179" builtinId="9" hidden="1"/>
    <cellStyle name="Followed Hyperlink" xfId="25180" builtinId="9" hidden="1"/>
    <cellStyle name="Followed Hyperlink" xfId="25181" builtinId="9" hidden="1"/>
    <cellStyle name="Followed Hyperlink" xfId="25182" builtinId="9" hidden="1"/>
    <cellStyle name="Followed Hyperlink" xfId="25183" builtinId="9" hidden="1"/>
    <cellStyle name="Followed Hyperlink" xfId="25184" builtinId="9" hidden="1"/>
    <cellStyle name="Followed Hyperlink" xfId="25185" builtinId="9" hidden="1"/>
    <cellStyle name="Followed Hyperlink" xfId="25186" builtinId="9" hidden="1"/>
    <cellStyle name="Followed Hyperlink" xfId="25187" builtinId="9" hidden="1"/>
    <cellStyle name="Followed Hyperlink" xfId="25188" builtinId="9" hidden="1"/>
    <cellStyle name="Followed Hyperlink" xfId="25189" builtinId="9" hidden="1"/>
    <cellStyle name="Followed Hyperlink" xfId="25190" builtinId="9" hidden="1"/>
    <cellStyle name="Followed Hyperlink" xfId="25191" builtinId="9" hidden="1"/>
    <cellStyle name="Followed Hyperlink" xfId="25192" builtinId="9" hidden="1"/>
    <cellStyle name="Followed Hyperlink" xfId="25193" builtinId="9" hidden="1"/>
    <cellStyle name="Followed Hyperlink" xfId="25194" builtinId="9" hidden="1"/>
    <cellStyle name="Followed Hyperlink" xfId="25195" builtinId="9" hidden="1"/>
    <cellStyle name="Followed Hyperlink" xfId="25196" builtinId="9" hidden="1"/>
    <cellStyle name="Followed Hyperlink" xfId="25197" builtinId="9" hidden="1"/>
    <cellStyle name="Followed Hyperlink" xfId="25198" builtinId="9" hidden="1"/>
    <cellStyle name="Followed Hyperlink" xfId="25199" builtinId="9" hidden="1"/>
    <cellStyle name="Followed Hyperlink" xfId="25200" builtinId="9" hidden="1"/>
    <cellStyle name="Followed Hyperlink" xfId="25201" builtinId="9" hidden="1"/>
    <cellStyle name="Followed Hyperlink" xfId="24793" builtinId="9" hidden="1"/>
    <cellStyle name="Followed Hyperlink" xfId="25162" builtinId="9" hidden="1"/>
    <cellStyle name="Followed Hyperlink" xfId="25202" builtinId="9" hidden="1"/>
    <cellStyle name="Followed Hyperlink" xfId="25203" builtinId="9" hidden="1"/>
    <cellStyle name="Followed Hyperlink" xfId="25204" builtinId="9" hidden="1"/>
    <cellStyle name="Followed Hyperlink" xfId="25205" builtinId="9" hidden="1"/>
    <cellStyle name="Followed Hyperlink" xfId="25206" builtinId="9" hidden="1"/>
    <cellStyle name="Followed Hyperlink" xfId="25207" builtinId="9" hidden="1"/>
    <cellStyle name="Followed Hyperlink" xfId="25208" builtinId="9" hidden="1"/>
    <cellStyle name="Followed Hyperlink" xfId="25209" builtinId="9" hidden="1"/>
    <cellStyle name="Followed Hyperlink" xfId="25210" builtinId="9" hidden="1"/>
    <cellStyle name="Followed Hyperlink" xfId="25211" builtinId="9" hidden="1"/>
    <cellStyle name="Followed Hyperlink" xfId="25212" builtinId="9" hidden="1"/>
    <cellStyle name="Followed Hyperlink" xfId="25213" builtinId="9" hidden="1"/>
    <cellStyle name="Followed Hyperlink" xfId="25214" builtinId="9" hidden="1"/>
    <cellStyle name="Followed Hyperlink" xfId="25215" builtinId="9" hidden="1"/>
    <cellStyle name="Followed Hyperlink" xfId="25216" builtinId="9" hidden="1"/>
    <cellStyle name="Followed Hyperlink" xfId="25217" builtinId="9" hidden="1"/>
    <cellStyle name="Followed Hyperlink" xfId="25218" builtinId="9" hidden="1"/>
    <cellStyle name="Followed Hyperlink" xfId="25219" builtinId="9" hidden="1"/>
    <cellStyle name="Followed Hyperlink" xfId="25220" builtinId="9" hidden="1"/>
    <cellStyle name="Followed Hyperlink" xfId="25221" builtinId="9" hidden="1"/>
    <cellStyle name="Followed Hyperlink" xfId="25222" builtinId="9" hidden="1"/>
    <cellStyle name="Followed Hyperlink" xfId="25223" builtinId="9" hidden="1"/>
    <cellStyle name="Followed Hyperlink" xfId="25224" builtinId="9" hidden="1"/>
    <cellStyle name="Followed Hyperlink" xfId="25225" builtinId="9" hidden="1"/>
    <cellStyle name="Followed Hyperlink" xfId="25226" builtinId="9" hidden="1"/>
    <cellStyle name="Followed Hyperlink" xfId="25227" builtinId="9" hidden="1"/>
    <cellStyle name="Followed Hyperlink" xfId="25228" builtinId="9" hidden="1"/>
    <cellStyle name="Followed Hyperlink" xfId="25229" builtinId="9" hidden="1"/>
    <cellStyle name="Followed Hyperlink" xfId="25230" builtinId="9" hidden="1"/>
    <cellStyle name="Followed Hyperlink" xfId="25231" builtinId="9" hidden="1"/>
    <cellStyle name="Followed Hyperlink" xfId="25232" builtinId="9" hidden="1"/>
    <cellStyle name="Followed Hyperlink" xfId="25233" builtinId="9" hidden="1"/>
    <cellStyle name="Followed Hyperlink" xfId="25234" builtinId="9" hidden="1"/>
    <cellStyle name="Followed Hyperlink" xfId="25235" builtinId="9" hidden="1"/>
    <cellStyle name="Followed Hyperlink" xfId="25236" builtinId="9" hidden="1"/>
    <cellStyle name="Followed Hyperlink" xfId="25237" builtinId="9" hidden="1"/>
    <cellStyle name="Followed Hyperlink" xfId="25238" builtinId="9" hidden="1"/>
    <cellStyle name="Followed Hyperlink" xfId="25239" builtinId="9" hidden="1"/>
    <cellStyle name="Followed Hyperlink" xfId="25240" builtinId="9" hidden="1"/>
    <cellStyle name="Followed Hyperlink" xfId="25266" builtinId="9" hidden="1"/>
    <cellStyle name="Followed Hyperlink" xfId="25267" builtinId="9" hidden="1"/>
    <cellStyle name="Followed Hyperlink" xfId="25268" builtinId="9" hidden="1"/>
    <cellStyle name="Followed Hyperlink" xfId="25269" builtinId="9" hidden="1"/>
    <cellStyle name="Followed Hyperlink" xfId="25270" builtinId="9" hidden="1"/>
    <cellStyle name="Followed Hyperlink" xfId="25271" builtinId="9" hidden="1"/>
    <cellStyle name="Followed Hyperlink" xfId="25272" builtinId="9" hidden="1"/>
    <cellStyle name="Followed Hyperlink" xfId="25273" builtinId="9" hidden="1"/>
    <cellStyle name="Followed Hyperlink" xfId="25274" builtinId="9" hidden="1"/>
    <cellStyle name="Followed Hyperlink" xfId="25275" builtinId="9" hidden="1"/>
    <cellStyle name="Followed Hyperlink" xfId="25276" builtinId="9" hidden="1"/>
    <cellStyle name="Followed Hyperlink" xfId="25277" builtinId="9" hidden="1"/>
    <cellStyle name="Followed Hyperlink" xfId="25278" builtinId="9" hidden="1"/>
    <cellStyle name="Followed Hyperlink" xfId="25279" builtinId="9" hidden="1"/>
    <cellStyle name="Followed Hyperlink" xfId="25280" builtinId="9" hidden="1"/>
    <cellStyle name="Followed Hyperlink" xfId="25281" builtinId="9" hidden="1"/>
    <cellStyle name="Followed Hyperlink" xfId="25282" builtinId="9" hidden="1"/>
    <cellStyle name="Followed Hyperlink" xfId="25283" builtinId="9" hidden="1"/>
    <cellStyle name="Followed Hyperlink" xfId="25284" builtinId="9" hidden="1"/>
    <cellStyle name="Followed Hyperlink" xfId="25285" builtinId="9" hidden="1"/>
    <cellStyle name="Followed Hyperlink" xfId="25286" builtinId="9" hidden="1"/>
    <cellStyle name="Followed Hyperlink" xfId="25287" builtinId="9" hidden="1"/>
    <cellStyle name="Followed Hyperlink" xfId="25288" builtinId="9" hidden="1"/>
    <cellStyle name="Followed Hyperlink" xfId="25289" builtinId="9" hidden="1"/>
    <cellStyle name="Followed Hyperlink" xfId="25290" builtinId="9" hidden="1"/>
    <cellStyle name="Followed Hyperlink" xfId="25291" builtinId="9" hidden="1"/>
    <cellStyle name="Followed Hyperlink" xfId="25292" builtinId="9" hidden="1"/>
    <cellStyle name="Followed Hyperlink" xfId="25293" builtinId="9" hidden="1"/>
    <cellStyle name="Followed Hyperlink" xfId="25294" builtinId="9" hidden="1"/>
    <cellStyle name="Followed Hyperlink" xfId="25295" builtinId="9" hidden="1"/>
    <cellStyle name="Followed Hyperlink" xfId="25296" builtinId="9" hidden="1"/>
    <cellStyle name="Followed Hyperlink" xfId="25297" builtinId="9" hidden="1"/>
    <cellStyle name="Followed Hyperlink" xfId="25298" builtinId="9" hidden="1"/>
    <cellStyle name="Followed Hyperlink" xfId="25299" builtinId="9" hidden="1"/>
    <cellStyle name="Followed Hyperlink" xfId="25300" builtinId="9" hidden="1"/>
    <cellStyle name="Followed Hyperlink" xfId="25301" builtinId="9" hidden="1"/>
    <cellStyle name="Followed Hyperlink" xfId="25302" builtinId="9" hidden="1"/>
    <cellStyle name="Followed Hyperlink" xfId="25303" builtinId="9" hidden="1"/>
    <cellStyle name="Followed Hyperlink" xfId="25304" builtinId="9" hidden="1"/>
    <cellStyle name="Followed Hyperlink" xfId="25305" builtinId="9" hidden="1"/>
    <cellStyle name="Followed Hyperlink" xfId="25306" builtinId="9" hidden="1"/>
    <cellStyle name="Followed Hyperlink" xfId="25315" builtinId="9" hidden="1"/>
    <cellStyle name="Followed Hyperlink" xfId="25316" builtinId="9" hidden="1"/>
    <cellStyle name="Followed Hyperlink" xfId="25317" builtinId="9" hidden="1"/>
    <cellStyle name="Followed Hyperlink" xfId="25318" builtinId="9" hidden="1"/>
    <cellStyle name="Followed Hyperlink" xfId="25319" builtinId="9" hidden="1"/>
    <cellStyle name="Followed Hyperlink" xfId="25320" builtinId="9" hidden="1"/>
    <cellStyle name="Followed Hyperlink" xfId="25321" builtinId="9" hidden="1"/>
    <cellStyle name="Followed Hyperlink" xfId="25322" builtinId="9" hidden="1"/>
    <cellStyle name="Followed Hyperlink" xfId="25323" builtinId="9" hidden="1"/>
    <cellStyle name="Followed Hyperlink" xfId="25324" builtinId="9" hidden="1"/>
    <cellStyle name="Followed Hyperlink" xfId="25325" builtinId="9" hidden="1"/>
    <cellStyle name="Followed Hyperlink" xfId="25326" builtinId="9" hidden="1"/>
    <cellStyle name="Followed Hyperlink" xfId="25327" builtinId="9" hidden="1"/>
    <cellStyle name="Followed Hyperlink" xfId="25328" builtinId="9" hidden="1"/>
    <cellStyle name="Followed Hyperlink" xfId="25329" builtinId="9" hidden="1"/>
    <cellStyle name="Followed Hyperlink" xfId="25330" builtinId="9" hidden="1"/>
    <cellStyle name="Followed Hyperlink" xfId="25331" builtinId="9" hidden="1"/>
    <cellStyle name="Followed Hyperlink" xfId="25332" builtinId="9" hidden="1"/>
    <cellStyle name="Followed Hyperlink" xfId="25333" builtinId="9" hidden="1"/>
    <cellStyle name="Followed Hyperlink" xfId="25334" builtinId="9" hidden="1"/>
    <cellStyle name="Followed Hyperlink" xfId="25335" builtinId="9" hidden="1"/>
    <cellStyle name="Followed Hyperlink" xfId="25336" builtinId="9" hidden="1"/>
    <cellStyle name="Followed Hyperlink" xfId="25337" builtinId="9" hidden="1"/>
    <cellStyle name="Followed Hyperlink" xfId="25338" builtinId="9" hidden="1"/>
    <cellStyle name="Followed Hyperlink" xfId="25339" builtinId="9" hidden="1"/>
    <cellStyle name="Followed Hyperlink" xfId="25340" builtinId="9" hidden="1"/>
    <cellStyle name="Followed Hyperlink" xfId="25341" builtinId="9" hidden="1"/>
    <cellStyle name="Followed Hyperlink" xfId="25342" builtinId="9" hidden="1"/>
    <cellStyle name="Followed Hyperlink" xfId="25343" builtinId="9" hidden="1"/>
    <cellStyle name="Followed Hyperlink" xfId="25344" builtinId="9" hidden="1"/>
    <cellStyle name="Followed Hyperlink" xfId="25345" builtinId="9" hidden="1"/>
    <cellStyle name="Followed Hyperlink" xfId="25346" builtinId="9" hidden="1"/>
    <cellStyle name="Followed Hyperlink" xfId="25347" builtinId="9" hidden="1"/>
    <cellStyle name="Followed Hyperlink" xfId="25348" builtinId="9" hidden="1"/>
    <cellStyle name="Followed Hyperlink" xfId="25349" builtinId="9" hidden="1"/>
    <cellStyle name="Followed Hyperlink" xfId="25350" builtinId="9" hidden="1"/>
    <cellStyle name="Followed Hyperlink" xfId="25351" builtinId="9" hidden="1"/>
    <cellStyle name="Followed Hyperlink" xfId="25352" builtinId="9" hidden="1"/>
    <cellStyle name="Followed Hyperlink" xfId="25353" builtinId="9" hidden="1"/>
    <cellStyle name="Followed Hyperlink" xfId="25354" builtinId="9" hidden="1"/>
    <cellStyle name="Followed Hyperlink" xfId="25355" builtinId="9" hidden="1"/>
    <cellStyle name="Followed Hyperlink" xfId="25356" builtinId="9" hidden="1"/>
    <cellStyle name="Followed Hyperlink" xfId="25357" builtinId="9" hidden="1"/>
    <cellStyle name="Followed Hyperlink" xfId="25358" builtinId="9" hidden="1"/>
    <cellStyle name="Followed Hyperlink" xfId="25359" builtinId="9" hidden="1"/>
    <cellStyle name="Followed Hyperlink" xfId="25360" builtinId="9" hidden="1"/>
    <cellStyle name="Followed Hyperlink" xfId="25361" builtinId="9" hidden="1"/>
    <cellStyle name="Followed Hyperlink" xfId="25362" builtinId="9" hidden="1"/>
    <cellStyle name="Followed Hyperlink" xfId="25363" builtinId="9" hidden="1"/>
    <cellStyle name="Followed Hyperlink" xfId="25364" builtinId="9" hidden="1"/>
    <cellStyle name="Followed Hyperlink" xfId="25365" builtinId="9" hidden="1"/>
    <cellStyle name="Followed Hyperlink" xfId="25366" builtinId="9" hidden="1"/>
    <cellStyle name="Followed Hyperlink" xfId="25367" builtinId="9" hidden="1"/>
    <cellStyle name="Followed Hyperlink" xfId="25368" builtinId="9" hidden="1"/>
    <cellStyle name="Followed Hyperlink" xfId="25369" builtinId="9" hidden="1"/>
    <cellStyle name="Followed Hyperlink" xfId="25370" builtinId="9" hidden="1"/>
    <cellStyle name="Followed Hyperlink" xfId="25371" builtinId="9" hidden="1"/>
    <cellStyle name="Followed Hyperlink" xfId="25372" builtinId="9" hidden="1"/>
    <cellStyle name="Followed Hyperlink" xfId="25373" builtinId="9" hidden="1"/>
    <cellStyle name="Followed Hyperlink" xfId="25374" builtinId="9" hidden="1"/>
    <cellStyle name="Followed Hyperlink" xfId="25375" builtinId="9" hidden="1"/>
    <cellStyle name="Followed Hyperlink" xfId="25376" builtinId="9" hidden="1"/>
    <cellStyle name="Followed Hyperlink" xfId="25377" builtinId="9" hidden="1"/>
    <cellStyle name="Followed Hyperlink" xfId="25378" builtinId="9" hidden="1"/>
    <cellStyle name="Followed Hyperlink" xfId="25379" builtinId="9" hidden="1"/>
    <cellStyle name="Followed Hyperlink" xfId="25380" builtinId="9" hidden="1"/>
    <cellStyle name="Followed Hyperlink" xfId="25381" builtinId="9" hidden="1"/>
    <cellStyle name="Followed Hyperlink" xfId="25382" builtinId="9" hidden="1"/>
    <cellStyle name="Followed Hyperlink" xfId="25383" builtinId="9" hidden="1"/>
    <cellStyle name="Followed Hyperlink" xfId="25384" builtinId="9" hidden="1"/>
    <cellStyle name="Followed Hyperlink" xfId="25385" builtinId="9" hidden="1"/>
    <cellStyle name="Followed Hyperlink" xfId="25386" builtinId="9" hidden="1"/>
    <cellStyle name="Followed Hyperlink" xfId="25387" builtinId="9" hidden="1"/>
    <cellStyle name="Followed Hyperlink" xfId="25388" builtinId="9" hidden="1"/>
    <cellStyle name="Followed Hyperlink" xfId="25389" builtinId="9" hidden="1"/>
    <cellStyle name="Followed Hyperlink" xfId="25390" builtinId="9" hidden="1"/>
    <cellStyle name="Followed Hyperlink" xfId="25391" builtinId="9" hidden="1"/>
    <cellStyle name="Followed Hyperlink" xfId="25392" builtinId="9" hidden="1"/>
    <cellStyle name="Followed Hyperlink" xfId="25393" builtinId="9" hidden="1"/>
    <cellStyle name="Followed Hyperlink" xfId="25394" builtinId="9" hidden="1"/>
    <cellStyle name="Followed Hyperlink" xfId="25395" builtinId="9" hidden="1"/>
    <cellStyle name="Followed Hyperlink" xfId="25396" builtinId="9" hidden="1"/>
    <cellStyle name="Followed Hyperlink" xfId="25397" builtinId="9" hidden="1"/>
    <cellStyle name="Followed Hyperlink" xfId="25398" builtinId="9" hidden="1"/>
    <cellStyle name="Followed Hyperlink" xfId="25399" builtinId="9" hidden="1"/>
    <cellStyle name="Followed Hyperlink" xfId="25400" builtinId="9" hidden="1"/>
    <cellStyle name="Followed Hyperlink" xfId="25401" builtinId="9" hidden="1"/>
    <cellStyle name="Followed Hyperlink" xfId="25402" builtinId="9" hidden="1"/>
    <cellStyle name="Followed Hyperlink" xfId="25403" builtinId="9" hidden="1"/>
    <cellStyle name="Followed Hyperlink" xfId="25404" builtinId="9" hidden="1"/>
    <cellStyle name="Followed Hyperlink" xfId="25405" builtinId="9" hidden="1"/>
    <cellStyle name="Followed Hyperlink" xfId="25406" builtinId="9" hidden="1"/>
    <cellStyle name="Followed Hyperlink" xfId="25407" builtinId="9" hidden="1"/>
    <cellStyle name="Followed Hyperlink" xfId="25408" builtinId="9" hidden="1"/>
    <cellStyle name="Followed Hyperlink" xfId="25409" builtinId="9" hidden="1"/>
    <cellStyle name="Followed Hyperlink" xfId="25410" builtinId="9" hidden="1"/>
    <cellStyle name="Followed Hyperlink" xfId="25411" builtinId="9" hidden="1"/>
    <cellStyle name="Followed Hyperlink" xfId="25412" builtinId="9" hidden="1"/>
    <cellStyle name="Followed Hyperlink" xfId="25413" builtinId="9" hidden="1"/>
    <cellStyle name="Followed Hyperlink" xfId="25414" builtinId="9" hidden="1"/>
    <cellStyle name="Followed Hyperlink" xfId="25415" builtinId="9" hidden="1"/>
    <cellStyle name="Followed Hyperlink" xfId="25416" builtinId="9" hidden="1"/>
    <cellStyle name="Followed Hyperlink" xfId="25417" builtinId="9" hidden="1"/>
    <cellStyle name="Followed Hyperlink" xfId="25418" builtinId="9" hidden="1"/>
    <cellStyle name="Followed Hyperlink" xfId="25419" builtinId="9" hidden="1"/>
    <cellStyle name="Followed Hyperlink" xfId="25420" builtinId="9" hidden="1"/>
    <cellStyle name="Followed Hyperlink" xfId="25421" builtinId="9" hidden="1"/>
    <cellStyle name="Followed Hyperlink" xfId="25422" builtinId="9" hidden="1"/>
    <cellStyle name="Followed Hyperlink" xfId="25423" builtinId="9" hidden="1"/>
    <cellStyle name="Followed Hyperlink" xfId="25424" builtinId="9" hidden="1"/>
    <cellStyle name="Followed Hyperlink" xfId="25425" builtinId="9" hidden="1"/>
    <cellStyle name="Followed Hyperlink" xfId="25426" builtinId="9" hidden="1"/>
    <cellStyle name="Followed Hyperlink" xfId="25427" builtinId="9" hidden="1"/>
    <cellStyle name="Followed Hyperlink" xfId="25428" builtinId="9" hidden="1"/>
    <cellStyle name="Followed Hyperlink" xfId="25429" builtinId="9" hidden="1"/>
    <cellStyle name="Followed Hyperlink" xfId="25430" builtinId="9" hidden="1"/>
    <cellStyle name="Followed Hyperlink" xfId="25431" builtinId="9" hidden="1"/>
    <cellStyle name="Followed Hyperlink" xfId="25432" builtinId="9" hidden="1"/>
    <cellStyle name="Followed Hyperlink" xfId="25433" builtinId="9" hidden="1"/>
    <cellStyle name="Followed Hyperlink" xfId="25434" builtinId="9" hidden="1"/>
    <cellStyle name="Followed Hyperlink" xfId="25435" builtinId="9" hidden="1"/>
    <cellStyle name="Followed Hyperlink" xfId="25436" builtinId="9" hidden="1"/>
    <cellStyle name="Followed Hyperlink" xfId="25437" builtinId="9" hidden="1"/>
    <cellStyle name="Followed Hyperlink" xfId="25307" builtinId="9" hidden="1"/>
    <cellStyle name="Followed Hyperlink" xfId="25265" builtinId="9" hidden="1"/>
    <cellStyle name="Followed Hyperlink" xfId="25439" builtinId="9" hidden="1"/>
    <cellStyle name="Followed Hyperlink" xfId="25440" builtinId="9" hidden="1"/>
    <cellStyle name="Followed Hyperlink" xfId="25441" builtinId="9" hidden="1"/>
    <cellStyle name="Followed Hyperlink" xfId="25442" builtinId="9" hidden="1"/>
    <cellStyle name="Followed Hyperlink" xfId="25443" builtinId="9" hidden="1"/>
    <cellStyle name="Followed Hyperlink" xfId="25444" builtinId="9" hidden="1"/>
    <cellStyle name="Followed Hyperlink" xfId="25445" builtinId="9" hidden="1"/>
    <cellStyle name="Followed Hyperlink" xfId="25446" builtinId="9" hidden="1"/>
    <cellStyle name="Followed Hyperlink" xfId="25447" builtinId="9" hidden="1"/>
    <cellStyle name="Followed Hyperlink" xfId="25448" builtinId="9" hidden="1"/>
    <cellStyle name="Followed Hyperlink" xfId="25449" builtinId="9" hidden="1"/>
    <cellStyle name="Followed Hyperlink" xfId="25450" builtinId="9" hidden="1"/>
    <cellStyle name="Followed Hyperlink" xfId="25451" builtinId="9" hidden="1"/>
    <cellStyle name="Followed Hyperlink" xfId="25452" builtinId="9" hidden="1"/>
    <cellStyle name="Followed Hyperlink" xfId="25453" builtinId="9" hidden="1"/>
    <cellStyle name="Followed Hyperlink" xfId="25454" builtinId="9" hidden="1"/>
    <cellStyle name="Followed Hyperlink" xfId="25455" builtinId="9" hidden="1"/>
    <cellStyle name="Followed Hyperlink" xfId="25456" builtinId="9" hidden="1"/>
    <cellStyle name="Followed Hyperlink" xfId="25457" builtinId="9" hidden="1"/>
    <cellStyle name="Followed Hyperlink" xfId="25458" builtinId="9" hidden="1"/>
    <cellStyle name="Followed Hyperlink" xfId="25459" builtinId="9" hidden="1"/>
    <cellStyle name="Followed Hyperlink" xfId="25460" builtinId="9" hidden="1"/>
    <cellStyle name="Followed Hyperlink" xfId="25461" builtinId="9" hidden="1"/>
    <cellStyle name="Followed Hyperlink" xfId="25462" builtinId="9" hidden="1"/>
    <cellStyle name="Followed Hyperlink" xfId="25463" builtinId="9" hidden="1"/>
    <cellStyle name="Followed Hyperlink" xfId="25464" builtinId="9" hidden="1"/>
    <cellStyle name="Followed Hyperlink" xfId="25465" builtinId="9" hidden="1"/>
    <cellStyle name="Followed Hyperlink" xfId="25466" builtinId="9" hidden="1"/>
    <cellStyle name="Followed Hyperlink" xfId="25467" builtinId="9" hidden="1"/>
    <cellStyle name="Followed Hyperlink" xfId="25468" builtinId="9" hidden="1"/>
    <cellStyle name="Followed Hyperlink" xfId="25469" builtinId="9" hidden="1"/>
    <cellStyle name="Followed Hyperlink" xfId="25470" builtinId="9" hidden="1"/>
    <cellStyle name="Followed Hyperlink" xfId="25471" builtinId="9" hidden="1"/>
    <cellStyle name="Followed Hyperlink" xfId="25472" builtinId="9" hidden="1"/>
    <cellStyle name="Followed Hyperlink" xfId="25473" builtinId="9" hidden="1"/>
    <cellStyle name="Followed Hyperlink" xfId="25474" builtinId="9" hidden="1"/>
    <cellStyle name="Followed Hyperlink" xfId="25475" builtinId="9" hidden="1"/>
    <cellStyle name="Followed Hyperlink" xfId="25476" builtinId="9" hidden="1"/>
    <cellStyle name="Followed Hyperlink" xfId="25477" builtinId="9" hidden="1"/>
    <cellStyle name="Followed Hyperlink" xfId="25312" builtinId="9" hidden="1"/>
    <cellStyle name="Followed Hyperlink" xfId="25438" builtinId="9" hidden="1"/>
    <cellStyle name="Followed Hyperlink" xfId="25479" builtinId="9" hidden="1"/>
    <cellStyle name="Followed Hyperlink" xfId="25480" builtinId="9" hidden="1"/>
    <cellStyle name="Followed Hyperlink" xfId="25481" builtinId="9" hidden="1"/>
    <cellStyle name="Followed Hyperlink" xfId="25482" builtinId="9" hidden="1"/>
    <cellStyle name="Followed Hyperlink" xfId="25483" builtinId="9" hidden="1"/>
    <cellStyle name="Followed Hyperlink" xfId="25484" builtinId="9" hidden="1"/>
    <cellStyle name="Followed Hyperlink" xfId="25485" builtinId="9" hidden="1"/>
    <cellStyle name="Followed Hyperlink" xfId="25486" builtinId="9" hidden="1"/>
    <cellStyle name="Followed Hyperlink" xfId="25487" builtinId="9" hidden="1"/>
    <cellStyle name="Followed Hyperlink" xfId="25488" builtinId="9" hidden="1"/>
    <cellStyle name="Followed Hyperlink" xfId="25489" builtinId="9" hidden="1"/>
    <cellStyle name="Followed Hyperlink" xfId="25490" builtinId="9" hidden="1"/>
    <cellStyle name="Followed Hyperlink" xfId="25491" builtinId="9" hidden="1"/>
    <cellStyle name="Followed Hyperlink" xfId="25492" builtinId="9" hidden="1"/>
    <cellStyle name="Followed Hyperlink" xfId="25493" builtinId="9" hidden="1"/>
    <cellStyle name="Followed Hyperlink" xfId="25494" builtinId="9" hidden="1"/>
    <cellStyle name="Followed Hyperlink" xfId="25495" builtinId="9" hidden="1"/>
    <cellStyle name="Followed Hyperlink" xfId="25496" builtinId="9" hidden="1"/>
    <cellStyle name="Followed Hyperlink" xfId="25497" builtinId="9" hidden="1"/>
    <cellStyle name="Followed Hyperlink" xfId="25498" builtinId="9" hidden="1"/>
    <cellStyle name="Followed Hyperlink" xfId="25499" builtinId="9" hidden="1"/>
    <cellStyle name="Followed Hyperlink" xfId="25500" builtinId="9" hidden="1"/>
    <cellStyle name="Followed Hyperlink" xfId="25501" builtinId="9" hidden="1"/>
    <cellStyle name="Followed Hyperlink" xfId="25502" builtinId="9" hidden="1"/>
    <cellStyle name="Followed Hyperlink" xfId="25503" builtinId="9" hidden="1"/>
    <cellStyle name="Followed Hyperlink" xfId="25504" builtinId="9" hidden="1"/>
    <cellStyle name="Followed Hyperlink" xfId="25505" builtinId="9" hidden="1"/>
    <cellStyle name="Followed Hyperlink" xfId="25506" builtinId="9" hidden="1"/>
    <cellStyle name="Followed Hyperlink" xfId="25507" builtinId="9" hidden="1"/>
    <cellStyle name="Followed Hyperlink" xfId="25508" builtinId="9" hidden="1"/>
    <cellStyle name="Followed Hyperlink" xfId="25509" builtinId="9" hidden="1"/>
    <cellStyle name="Followed Hyperlink" xfId="25510" builtinId="9" hidden="1"/>
    <cellStyle name="Followed Hyperlink" xfId="25511" builtinId="9" hidden="1"/>
    <cellStyle name="Followed Hyperlink" xfId="25512" builtinId="9" hidden="1"/>
    <cellStyle name="Followed Hyperlink" xfId="25513" builtinId="9" hidden="1"/>
    <cellStyle name="Followed Hyperlink" xfId="25514" builtinId="9" hidden="1"/>
    <cellStyle name="Followed Hyperlink" xfId="25515" builtinId="9" hidden="1"/>
    <cellStyle name="Followed Hyperlink" xfId="25516" builtinId="9" hidden="1"/>
    <cellStyle name="Followed Hyperlink" xfId="25517" builtinId="9" hidden="1"/>
    <cellStyle name="Followed Hyperlink" xfId="25314" builtinId="9" hidden="1"/>
    <cellStyle name="Followed Hyperlink" xfId="25478" builtinId="9" hidden="1"/>
    <cellStyle name="Followed Hyperlink" xfId="25519" builtinId="9" hidden="1"/>
    <cellStyle name="Followed Hyperlink" xfId="25520" builtinId="9" hidden="1"/>
    <cellStyle name="Followed Hyperlink" xfId="25521" builtinId="9" hidden="1"/>
    <cellStyle name="Followed Hyperlink" xfId="25522" builtinId="9" hidden="1"/>
    <cellStyle name="Followed Hyperlink" xfId="25523" builtinId="9" hidden="1"/>
    <cellStyle name="Followed Hyperlink" xfId="25524" builtinId="9" hidden="1"/>
    <cellStyle name="Followed Hyperlink" xfId="25525" builtinId="9" hidden="1"/>
    <cellStyle name="Followed Hyperlink" xfId="25526" builtinId="9" hidden="1"/>
    <cellStyle name="Followed Hyperlink" xfId="25527" builtinId="9" hidden="1"/>
    <cellStyle name="Followed Hyperlink" xfId="25528" builtinId="9" hidden="1"/>
    <cellStyle name="Followed Hyperlink" xfId="25529" builtinId="9" hidden="1"/>
    <cellStyle name="Followed Hyperlink" xfId="25530" builtinId="9" hidden="1"/>
    <cellStyle name="Followed Hyperlink" xfId="25531" builtinId="9" hidden="1"/>
    <cellStyle name="Followed Hyperlink" xfId="25532" builtinId="9" hidden="1"/>
    <cellStyle name="Followed Hyperlink" xfId="25533" builtinId="9" hidden="1"/>
    <cellStyle name="Followed Hyperlink" xfId="25534" builtinId="9" hidden="1"/>
    <cellStyle name="Followed Hyperlink" xfId="25535" builtinId="9" hidden="1"/>
    <cellStyle name="Followed Hyperlink" xfId="25536" builtinId="9" hidden="1"/>
    <cellStyle name="Followed Hyperlink" xfId="25537" builtinId="9" hidden="1"/>
    <cellStyle name="Followed Hyperlink" xfId="25538" builtinId="9" hidden="1"/>
    <cellStyle name="Followed Hyperlink" xfId="25539" builtinId="9" hidden="1"/>
    <cellStyle name="Followed Hyperlink" xfId="25540" builtinId="9" hidden="1"/>
    <cellStyle name="Followed Hyperlink" xfId="25541" builtinId="9" hidden="1"/>
    <cellStyle name="Followed Hyperlink" xfId="25542" builtinId="9" hidden="1"/>
    <cellStyle name="Followed Hyperlink" xfId="25543" builtinId="9" hidden="1"/>
    <cellStyle name="Followed Hyperlink" xfId="25544" builtinId="9" hidden="1"/>
    <cellStyle name="Followed Hyperlink" xfId="25545" builtinId="9" hidden="1"/>
    <cellStyle name="Followed Hyperlink" xfId="25546" builtinId="9" hidden="1"/>
    <cellStyle name="Followed Hyperlink" xfId="25547" builtinId="9" hidden="1"/>
    <cellStyle name="Followed Hyperlink" xfId="25548" builtinId="9" hidden="1"/>
    <cellStyle name="Followed Hyperlink" xfId="25549" builtinId="9" hidden="1"/>
    <cellStyle name="Followed Hyperlink" xfId="25550" builtinId="9" hidden="1"/>
    <cellStyle name="Followed Hyperlink" xfId="25551" builtinId="9" hidden="1"/>
    <cellStyle name="Followed Hyperlink" xfId="25552" builtinId="9" hidden="1"/>
    <cellStyle name="Followed Hyperlink" xfId="25553" builtinId="9" hidden="1"/>
    <cellStyle name="Followed Hyperlink" xfId="25554" builtinId="9" hidden="1"/>
    <cellStyle name="Followed Hyperlink" xfId="25555" builtinId="9" hidden="1"/>
    <cellStyle name="Followed Hyperlink" xfId="25556" builtinId="9" hidden="1"/>
    <cellStyle name="Followed Hyperlink" xfId="25557" builtinId="9" hidden="1"/>
    <cellStyle name="Followed Hyperlink" xfId="25308" builtinId="9" hidden="1"/>
    <cellStyle name="Followed Hyperlink" xfId="25518" builtinId="9" hidden="1"/>
    <cellStyle name="Followed Hyperlink" xfId="25559" builtinId="9" hidden="1"/>
    <cellStyle name="Followed Hyperlink" xfId="25560" builtinId="9" hidden="1"/>
    <cellStyle name="Followed Hyperlink" xfId="25561" builtinId="9" hidden="1"/>
    <cellStyle name="Followed Hyperlink" xfId="25562" builtinId="9" hidden="1"/>
    <cellStyle name="Followed Hyperlink" xfId="25563" builtinId="9" hidden="1"/>
    <cellStyle name="Followed Hyperlink" xfId="25564" builtinId="9" hidden="1"/>
    <cellStyle name="Followed Hyperlink" xfId="25565" builtinId="9" hidden="1"/>
    <cellStyle name="Followed Hyperlink" xfId="25566" builtinId="9" hidden="1"/>
    <cellStyle name="Followed Hyperlink" xfId="25567" builtinId="9" hidden="1"/>
    <cellStyle name="Followed Hyperlink" xfId="25568" builtinId="9" hidden="1"/>
    <cellStyle name="Followed Hyperlink" xfId="25569" builtinId="9" hidden="1"/>
    <cellStyle name="Followed Hyperlink" xfId="25570" builtinId="9" hidden="1"/>
    <cellStyle name="Followed Hyperlink" xfId="25571" builtinId="9" hidden="1"/>
    <cellStyle name="Followed Hyperlink" xfId="25572" builtinId="9" hidden="1"/>
    <cellStyle name="Followed Hyperlink" xfId="25573" builtinId="9" hidden="1"/>
    <cellStyle name="Followed Hyperlink" xfId="25574" builtinId="9" hidden="1"/>
    <cellStyle name="Followed Hyperlink" xfId="25575" builtinId="9" hidden="1"/>
    <cellStyle name="Followed Hyperlink" xfId="25576" builtinId="9" hidden="1"/>
    <cellStyle name="Followed Hyperlink" xfId="25577" builtinId="9" hidden="1"/>
    <cellStyle name="Followed Hyperlink" xfId="25578" builtinId="9" hidden="1"/>
    <cellStyle name="Followed Hyperlink" xfId="25579" builtinId="9" hidden="1"/>
    <cellStyle name="Followed Hyperlink" xfId="25580" builtinId="9" hidden="1"/>
    <cellStyle name="Followed Hyperlink" xfId="25581" builtinId="9" hidden="1"/>
    <cellStyle name="Followed Hyperlink" xfId="25582" builtinId="9" hidden="1"/>
    <cellStyle name="Followed Hyperlink" xfId="25583" builtinId="9" hidden="1"/>
    <cellStyle name="Followed Hyperlink" xfId="25584" builtinId="9" hidden="1"/>
    <cellStyle name="Followed Hyperlink" xfId="25585" builtinId="9" hidden="1"/>
    <cellStyle name="Followed Hyperlink" xfId="25586" builtinId="9" hidden="1"/>
    <cellStyle name="Followed Hyperlink" xfId="25587" builtinId="9" hidden="1"/>
    <cellStyle name="Followed Hyperlink" xfId="25588" builtinId="9" hidden="1"/>
    <cellStyle name="Followed Hyperlink" xfId="25589" builtinId="9" hidden="1"/>
    <cellStyle name="Followed Hyperlink" xfId="25590" builtinId="9" hidden="1"/>
    <cellStyle name="Followed Hyperlink" xfId="25591" builtinId="9" hidden="1"/>
    <cellStyle name="Followed Hyperlink" xfId="25592" builtinId="9" hidden="1"/>
    <cellStyle name="Followed Hyperlink" xfId="25593" builtinId="9" hidden="1"/>
    <cellStyle name="Followed Hyperlink" xfId="25594" builtinId="9" hidden="1"/>
    <cellStyle name="Followed Hyperlink" xfId="25595" builtinId="9" hidden="1"/>
    <cellStyle name="Followed Hyperlink" xfId="25596" builtinId="9" hidden="1"/>
    <cellStyle name="Followed Hyperlink" xfId="25597" builtinId="9" hidden="1"/>
    <cellStyle name="Followed Hyperlink" xfId="25310" builtinId="9" hidden="1"/>
    <cellStyle name="Followed Hyperlink" xfId="25558" builtinId="9" hidden="1"/>
    <cellStyle name="Followed Hyperlink" xfId="25599" builtinId="9" hidden="1"/>
    <cellStyle name="Followed Hyperlink" xfId="25600" builtinId="9" hidden="1"/>
    <cellStyle name="Followed Hyperlink" xfId="25601" builtinId="9" hidden="1"/>
    <cellStyle name="Followed Hyperlink" xfId="25602" builtinId="9" hidden="1"/>
    <cellStyle name="Followed Hyperlink" xfId="25603" builtinId="9" hidden="1"/>
    <cellStyle name="Followed Hyperlink" xfId="25604" builtinId="9" hidden="1"/>
    <cellStyle name="Followed Hyperlink" xfId="25605" builtinId="9" hidden="1"/>
    <cellStyle name="Followed Hyperlink" xfId="25606" builtinId="9" hidden="1"/>
    <cellStyle name="Followed Hyperlink" xfId="25607" builtinId="9" hidden="1"/>
    <cellStyle name="Followed Hyperlink" xfId="25608" builtinId="9" hidden="1"/>
    <cellStyle name="Followed Hyperlink" xfId="25609" builtinId="9" hidden="1"/>
    <cellStyle name="Followed Hyperlink" xfId="25610" builtinId="9" hidden="1"/>
    <cellStyle name="Followed Hyperlink" xfId="25611" builtinId="9" hidden="1"/>
    <cellStyle name="Followed Hyperlink" xfId="25612" builtinId="9" hidden="1"/>
    <cellStyle name="Followed Hyperlink" xfId="25613" builtinId="9" hidden="1"/>
    <cellStyle name="Followed Hyperlink" xfId="25614" builtinId="9" hidden="1"/>
    <cellStyle name="Followed Hyperlink" xfId="25615" builtinId="9" hidden="1"/>
    <cellStyle name="Followed Hyperlink" xfId="25616" builtinId="9" hidden="1"/>
    <cellStyle name="Followed Hyperlink" xfId="25617" builtinId="9" hidden="1"/>
    <cellStyle name="Followed Hyperlink" xfId="25618" builtinId="9" hidden="1"/>
    <cellStyle name="Followed Hyperlink" xfId="25619" builtinId="9" hidden="1"/>
    <cellStyle name="Followed Hyperlink" xfId="25620" builtinId="9" hidden="1"/>
    <cellStyle name="Followed Hyperlink" xfId="25621" builtinId="9" hidden="1"/>
    <cellStyle name="Followed Hyperlink" xfId="25622" builtinId="9" hidden="1"/>
    <cellStyle name="Followed Hyperlink" xfId="25623" builtinId="9" hidden="1"/>
    <cellStyle name="Followed Hyperlink" xfId="25624" builtinId="9" hidden="1"/>
    <cellStyle name="Followed Hyperlink" xfId="25625" builtinId="9" hidden="1"/>
    <cellStyle name="Followed Hyperlink" xfId="25626" builtinId="9" hidden="1"/>
    <cellStyle name="Followed Hyperlink" xfId="25627" builtinId="9" hidden="1"/>
    <cellStyle name="Followed Hyperlink" xfId="25628" builtinId="9" hidden="1"/>
    <cellStyle name="Followed Hyperlink" xfId="25629" builtinId="9" hidden="1"/>
    <cellStyle name="Followed Hyperlink" xfId="25630" builtinId="9" hidden="1"/>
    <cellStyle name="Followed Hyperlink" xfId="25631" builtinId="9" hidden="1"/>
    <cellStyle name="Followed Hyperlink" xfId="25632" builtinId="9" hidden="1"/>
    <cellStyle name="Followed Hyperlink" xfId="25633" builtinId="9" hidden="1"/>
    <cellStyle name="Followed Hyperlink" xfId="25634" builtinId="9" hidden="1"/>
    <cellStyle name="Followed Hyperlink" xfId="25635" builtinId="9" hidden="1"/>
    <cellStyle name="Followed Hyperlink" xfId="25636" builtinId="9" hidden="1"/>
    <cellStyle name="Followed Hyperlink" xfId="25637" builtinId="9" hidden="1"/>
    <cellStyle name="Followed Hyperlink" xfId="25311" builtinId="9" hidden="1"/>
    <cellStyle name="Followed Hyperlink" xfId="25598" builtinId="9" hidden="1"/>
    <cellStyle name="Followed Hyperlink" xfId="25639" builtinId="9" hidden="1"/>
    <cellStyle name="Followed Hyperlink" xfId="25640" builtinId="9" hidden="1"/>
    <cellStyle name="Followed Hyperlink" xfId="25641" builtinId="9" hidden="1"/>
    <cellStyle name="Followed Hyperlink" xfId="25642" builtinId="9" hidden="1"/>
    <cellStyle name="Followed Hyperlink" xfId="25643" builtinId="9" hidden="1"/>
    <cellStyle name="Followed Hyperlink" xfId="25644" builtinId="9" hidden="1"/>
    <cellStyle name="Followed Hyperlink" xfId="25645" builtinId="9" hidden="1"/>
    <cellStyle name="Followed Hyperlink" xfId="25646" builtinId="9" hidden="1"/>
    <cellStyle name="Followed Hyperlink" xfId="25647" builtinId="9" hidden="1"/>
    <cellStyle name="Followed Hyperlink" xfId="25648" builtinId="9" hidden="1"/>
    <cellStyle name="Followed Hyperlink" xfId="25649" builtinId="9" hidden="1"/>
    <cellStyle name="Followed Hyperlink" xfId="25650" builtinId="9" hidden="1"/>
    <cellStyle name="Followed Hyperlink" xfId="25651" builtinId="9" hidden="1"/>
    <cellStyle name="Followed Hyperlink" xfId="25652" builtinId="9" hidden="1"/>
    <cellStyle name="Followed Hyperlink" xfId="25653" builtinId="9" hidden="1"/>
    <cellStyle name="Followed Hyperlink" xfId="25654" builtinId="9" hidden="1"/>
    <cellStyle name="Followed Hyperlink" xfId="25655" builtinId="9" hidden="1"/>
    <cellStyle name="Followed Hyperlink" xfId="25656" builtinId="9" hidden="1"/>
    <cellStyle name="Followed Hyperlink" xfId="25657" builtinId="9" hidden="1"/>
    <cellStyle name="Followed Hyperlink" xfId="25658" builtinId="9" hidden="1"/>
    <cellStyle name="Followed Hyperlink" xfId="25659" builtinId="9" hidden="1"/>
    <cellStyle name="Followed Hyperlink" xfId="25660" builtinId="9" hidden="1"/>
    <cellStyle name="Followed Hyperlink" xfId="25661" builtinId="9" hidden="1"/>
    <cellStyle name="Followed Hyperlink" xfId="25662" builtinId="9" hidden="1"/>
    <cellStyle name="Followed Hyperlink" xfId="25663" builtinId="9" hidden="1"/>
    <cellStyle name="Followed Hyperlink" xfId="25664" builtinId="9" hidden="1"/>
    <cellStyle name="Followed Hyperlink" xfId="25665" builtinId="9" hidden="1"/>
    <cellStyle name="Followed Hyperlink" xfId="25666" builtinId="9" hidden="1"/>
    <cellStyle name="Followed Hyperlink" xfId="25667" builtinId="9" hidden="1"/>
    <cellStyle name="Followed Hyperlink" xfId="25668" builtinId="9" hidden="1"/>
    <cellStyle name="Followed Hyperlink" xfId="25669" builtinId="9" hidden="1"/>
    <cellStyle name="Followed Hyperlink" xfId="25670" builtinId="9" hidden="1"/>
    <cellStyle name="Followed Hyperlink" xfId="25671" builtinId="9" hidden="1"/>
    <cellStyle name="Followed Hyperlink" xfId="25672" builtinId="9" hidden="1"/>
    <cellStyle name="Followed Hyperlink" xfId="25673" builtinId="9" hidden="1"/>
    <cellStyle name="Followed Hyperlink" xfId="25674" builtinId="9" hidden="1"/>
    <cellStyle name="Followed Hyperlink" xfId="25675" builtinId="9" hidden="1"/>
    <cellStyle name="Followed Hyperlink" xfId="25676" builtinId="9" hidden="1"/>
    <cellStyle name="Followed Hyperlink" xfId="25677" builtinId="9" hidden="1"/>
    <cellStyle name="Followed Hyperlink" xfId="25313" builtinId="9" hidden="1"/>
    <cellStyle name="Followed Hyperlink" xfId="25638" builtinId="9" hidden="1"/>
    <cellStyle name="Followed Hyperlink" xfId="25679" builtinId="9" hidden="1"/>
    <cellStyle name="Followed Hyperlink" xfId="25680" builtinId="9" hidden="1"/>
    <cellStyle name="Followed Hyperlink" xfId="25681" builtinId="9" hidden="1"/>
    <cellStyle name="Followed Hyperlink" xfId="25682" builtinId="9" hidden="1"/>
    <cellStyle name="Followed Hyperlink" xfId="25683" builtinId="9" hidden="1"/>
    <cellStyle name="Followed Hyperlink" xfId="25684" builtinId="9" hidden="1"/>
    <cellStyle name="Followed Hyperlink" xfId="25685" builtinId="9" hidden="1"/>
    <cellStyle name="Followed Hyperlink" xfId="25686" builtinId="9" hidden="1"/>
    <cellStyle name="Followed Hyperlink" xfId="25687" builtinId="9" hidden="1"/>
    <cellStyle name="Followed Hyperlink" xfId="25688" builtinId="9" hidden="1"/>
    <cellStyle name="Followed Hyperlink" xfId="25689" builtinId="9" hidden="1"/>
    <cellStyle name="Followed Hyperlink" xfId="25690" builtinId="9" hidden="1"/>
    <cellStyle name="Followed Hyperlink" xfId="25691" builtinId="9" hidden="1"/>
    <cellStyle name="Followed Hyperlink" xfId="25692" builtinId="9" hidden="1"/>
    <cellStyle name="Followed Hyperlink" xfId="25693" builtinId="9" hidden="1"/>
    <cellStyle name="Followed Hyperlink" xfId="25694" builtinId="9" hidden="1"/>
    <cellStyle name="Followed Hyperlink" xfId="25695" builtinId="9" hidden="1"/>
    <cellStyle name="Followed Hyperlink" xfId="25696" builtinId="9" hidden="1"/>
    <cellStyle name="Followed Hyperlink" xfId="25697" builtinId="9" hidden="1"/>
    <cellStyle name="Followed Hyperlink" xfId="25698" builtinId="9" hidden="1"/>
    <cellStyle name="Followed Hyperlink" xfId="25699" builtinId="9" hidden="1"/>
    <cellStyle name="Followed Hyperlink" xfId="25700" builtinId="9" hidden="1"/>
    <cellStyle name="Followed Hyperlink" xfId="25701" builtinId="9" hidden="1"/>
    <cellStyle name="Followed Hyperlink" xfId="25702" builtinId="9" hidden="1"/>
    <cellStyle name="Followed Hyperlink" xfId="25703" builtinId="9" hidden="1"/>
    <cellStyle name="Followed Hyperlink" xfId="25704" builtinId="9" hidden="1"/>
    <cellStyle name="Followed Hyperlink" xfId="25705" builtinId="9" hidden="1"/>
    <cellStyle name="Followed Hyperlink" xfId="25706" builtinId="9" hidden="1"/>
    <cellStyle name="Followed Hyperlink" xfId="25707" builtinId="9" hidden="1"/>
    <cellStyle name="Followed Hyperlink" xfId="25708" builtinId="9" hidden="1"/>
    <cellStyle name="Followed Hyperlink" xfId="25709" builtinId="9" hidden="1"/>
    <cellStyle name="Followed Hyperlink" xfId="25710" builtinId="9" hidden="1"/>
    <cellStyle name="Followed Hyperlink" xfId="25711" builtinId="9" hidden="1"/>
    <cellStyle name="Followed Hyperlink" xfId="25712" builtinId="9" hidden="1"/>
    <cellStyle name="Followed Hyperlink" xfId="25713" builtinId="9" hidden="1"/>
    <cellStyle name="Followed Hyperlink" xfId="25714" builtinId="9" hidden="1"/>
    <cellStyle name="Followed Hyperlink" xfId="25715" builtinId="9" hidden="1"/>
    <cellStyle name="Followed Hyperlink" xfId="25716" builtinId="9" hidden="1"/>
    <cellStyle name="Followed Hyperlink" xfId="25717" builtinId="9" hidden="1"/>
    <cellStyle name="Followed Hyperlink" xfId="25309" builtinId="9" hidden="1"/>
    <cellStyle name="Followed Hyperlink" xfId="25678" builtinId="9" hidden="1"/>
    <cellStyle name="Followed Hyperlink" xfId="25718" builtinId="9" hidden="1"/>
    <cellStyle name="Followed Hyperlink" xfId="25719" builtinId="9" hidden="1"/>
    <cellStyle name="Followed Hyperlink" xfId="25720" builtinId="9" hidden="1"/>
    <cellStyle name="Followed Hyperlink" xfId="25721" builtinId="9" hidden="1"/>
    <cellStyle name="Followed Hyperlink" xfId="25722" builtinId="9" hidden="1"/>
    <cellStyle name="Followed Hyperlink" xfId="25723" builtinId="9" hidden="1"/>
    <cellStyle name="Followed Hyperlink" xfId="25724" builtinId="9" hidden="1"/>
    <cellStyle name="Followed Hyperlink" xfId="25725" builtinId="9" hidden="1"/>
    <cellStyle name="Followed Hyperlink" xfId="25726" builtinId="9" hidden="1"/>
    <cellStyle name="Followed Hyperlink" xfId="25727" builtinId="9" hidden="1"/>
    <cellStyle name="Followed Hyperlink" xfId="25728" builtinId="9" hidden="1"/>
    <cellStyle name="Followed Hyperlink" xfId="25729" builtinId="9" hidden="1"/>
    <cellStyle name="Followed Hyperlink" xfId="25730" builtinId="9" hidden="1"/>
    <cellStyle name="Followed Hyperlink" xfId="25731" builtinId="9" hidden="1"/>
    <cellStyle name="Followed Hyperlink" xfId="25732" builtinId="9" hidden="1"/>
    <cellStyle name="Followed Hyperlink" xfId="25733" builtinId="9" hidden="1"/>
    <cellStyle name="Followed Hyperlink" xfId="25734" builtinId="9" hidden="1"/>
    <cellStyle name="Followed Hyperlink" xfId="25735" builtinId="9" hidden="1"/>
    <cellStyle name="Followed Hyperlink" xfId="25736" builtinId="9" hidden="1"/>
    <cellStyle name="Followed Hyperlink" xfId="25737" builtinId="9" hidden="1"/>
    <cellStyle name="Followed Hyperlink" xfId="25738" builtinId="9" hidden="1"/>
    <cellStyle name="Followed Hyperlink" xfId="25739" builtinId="9" hidden="1"/>
    <cellStyle name="Followed Hyperlink" xfId="25740" builtinId="9" hidden="1"/>
    <cellStyle name="Followed Hyperlink" xfId="25741" builtinId="9" hidden="1"/>
    <cellStyle name="Followed Hyperlink" xfId="25742" builtinId="9" hidden="1"/>
    <cellStyle name="Followed Hyperlink" xfId="25743" builtinId="9" hidden="1"/>
    <cellStyle name="Followed Hyperlink" xfId="25744" builtinId="9" hidden="1"/>
    <cellStyle name="Followed Hyperlink" xfId="25745" builtinId="9" hidden="1"/>
    <cellStyle name="Followed Hyperlink" xfId="25746" builtinId="9" hidden="1"/>
    <cellStyle name="Followed Hyperlink" xfId="25747" builtinId="9" hidden="1"/>
    <cellStyle name="Followed Hyperlink" xfId="25748" builtinId="9" hidden="1"/>
    <cellStyle name="Followed Hyperlink" xfId="25749" builtinId="9" hidden="1"/>
    <cellStyle name="Followed Hyperlink" xfId="25750" builtinId="9" hidden="1"/>
    <cellStyle name="Followed Hyperlink" xfId="25751" builtinId="9" hidden="1"/>
    <cellStyle name="Followed Hyperlink" xfId="25752" builtinId="9" hidden="1"/>
    <cellStyle name="Followed Hyperlink" xfId="25753" builtinId="9" hidden="1"/>
    <cellStyle name="Followed Hyperlink" xfId="25754" builtinId="9" hidden="1"/>
    <cellStyle name="Followed Hyperlink" xfId="25755" builtinId="9" hidden="1"/>
    <cellStyle name="Followed Hyperlink" xfId="25756" builtinId="9" hidden="1"/>
    <cellStyle name="Followed Hyperlink" xfId="25244" builtinId="9" hidden="1"/>
    <cellStyle name="Followed Hyperlink" xfId="24078" builtinId="9" hidden="1"/>
    <cellStyle name="Followed Hyperlink" xfId="25757" builtinId="9" hidden="1"/>
    <cellStyle name="Followed Hyperlink" xfId="25758" builtinId="9" hidden="1"/>
    <cellStyle name="Followed Hyperlink" xfId="25759" builtinId="9" hidden="1"/>
    <cellStyle name="Followed Hyperlink" xfId="25760" builtinId="9" hidden="1"/>
    <cellStyle name="Followed Hyperlink" xfId="25761" builtinId="9" hidden="1"/>
    <cellStyle name="Followed Hyperlink" xfId="25762" builtinId="9" hidden="1"/>
    <cellStyle name="Followed Hyperlink" xfId="25763" builtinId="9" hidden="1"/>
    <cellStyle name="Followed Hyperlink" xfId="25764" builtinId="9" hidden="1"/>
    <cellStyle name="Followed Hyperlink" xfId="25765" builtinId="9" hidden="1"/>
    <cellStyle name="Followed Hyperlink" xfId="25766" builtinId="9" hidden="1"/>
    <cellStyle name="Followed Hyperlink" xfId="25767" builtinId="9" hidden="1"/>
    <cellStyle name="Followed Hyperlink" xfId="25768" builtinId="9" hidden="1"/>
    <cellStyle name="Followed Hyperlink" xfId="25769" builtinId="9" hidden="1"/>
    <cellStyle name="Followed Hyperlink" xfId="25770" builtinId="9" hidden="1"/>
    <cellStyle name="Followed Hyperlink" xfId="25771" builtinId="9" hidden="1"/>
    <cellStyle name="Followed Hyperlink" xfId="25772" builtinId="9" hidden="1"/>
    <cellStyle name="Followed Hyperlink" xfId="25773" builtinId="9" hidden="1"/>
    <cellStyle name="Followed Hyperlink" xfId="25774" builtinId="9" hidden="1"/>
    <cellStyle name="Followed Hyperlink" xfId="25775" builtinId="9" hidden="1"/>
    <cellStyle name="Followed Hyperlink" xfId="25776" builtinId="9" hidden="1"/>
    <cellStyle name="Followed Hyperlink" xfId="25777" builtinId="9" hidden="1"/>
    <cellStyle name="Followed Hyperlink" xfId="25778" builtinId="9" hidden="1"/>
    <cellStyle name="Followed Hyperlink" xfId="25779" builtinId="9" hidden="1"/>
    <cellStyle name="Followed Hyperlink" xfId="25780" builtinId="9" hidden="1"/>
    <cellStyle name="Followed Hyperlink" xfId="25781" builtinId="9" hidden="1"/>
    <cellStyle name="Followed Hyperlink" xfId="25782" builtinId="9" hidden="1"/>
    <cellStyle name="Followed Hyperlink" xfId="25783" builtinId="9" hidden="1"/>
    <cellStyle name="Followed Hyperlink" xfId="25784" builtinId="9" hidden="1"/>
    <cellStyle name="Followed Hyperlink" xfId="25785" builtinId="9" hidden="1"/>
    <cellStyle name="Followed Hyperlink" xfId="25786" builtinId="9" hidden="1"/>
    <cellStyle name="Followed Hyperlink" xfId="25787" builtinId="9" hidden="1"/>
    <cellStyle name="Followed Hyperlink" xfId="25788" builtinId="9" hidden="1"/>
    <cellStyle name="Followed Hyperlink" xfId="25789" builtinId="9" hidden="1"/>
    <cellStyle name="Followed Hyperlink" xfId="25790" builtinId="9" hidden="1"/>
    <cellStyle name="Followed Hyperlink" xfId="25791" builtinId="9" hidden="1"/>
    <cellStyle name="Followed Hyperlink" xfId="25792" builtinId="9" hidden="1"/>
    <cellStyle name="Followed Hyperlink" xfId="25793" builtinId="9" hidden="1"/>
    <cellStyle name="Followed Hyperlink" xfId="25794" builtinId="9" hidden="1"/>
    <cellStyle name="Followed Hyperlink" xfId="25795" builtinId="9" hidden="1"/>
    <cellStyle name="Followed Hyperlink" xfId="25804" builtinId="9" hidden="1"/>
    <cellStyle name="Followed Hyperlink" xfId="25805" builtinId="9" hidden="1"/>
    <cellStyle name="Followed Hyperlink" xfId="25806" builtinId="9" hidden="1"/>
    <cellStyle name="Followed Hyperlink" xfId="25807" builtinId="9" hidden="1"/>
    <cellStyle name="Followed Hyperlink" xfId="25808" builtinId="9" hidden="1"/>
    <cellStyle name="Followed Hyperlink" xfId="25809" builtinId="9" hidden="1"/>
    <cellStyle name="Followed Hyperlink" xfId="25810" builtinId="9" hidden="1"/>
    <cellStyle name="Followed Hyperlink" xfId="25811" builtinId="9" hidden="1"/>
    <cellStyle name="Followed Hyperlink" xfId="25812" builtinId="9" hidden="1"/>
    <cellStyle name="Followed Hyperlink" xfId="25813" builtinId="9" hidden="1"/>
    <cellStyle name="Followed Hyperlink" xfId="25814" builtinId="9" hidden="1"/>
    <cellStyle name="Followed Hyperlink" xfId="25815" builtinId="9" hidden="1"/>
    <cellStyle name="Followed Hyperlink" xfId="25816" builtinId="9" hidden="1"/>
    <cellStyle name="Followed Hyperlink" xfId="25817" builtinId="9" hidden="1"/>
    <cellStyle name="Followed Hyperlink" xfId="25818" builtinId="9" hidden="1"/>
    <cellStyle name="Followed Hyperlink" xfId="25819" builtinId="9" hidden="1"/>
    <cellStyle name="Followed Hyperlink" xfId="25820" builtinId="9" hidden="1"/>
    <cellStyle name="Followed Hyperlink" xfId="25821" builtinId="9" hidden="1"/>
    <cellStyle name="Followed Hyperlink" xfId="25822" builtinId="9" hidden="1"/>
    <cellStyle name="Followed Hyperlink" xfId="25823" builtinId="9" hidden="1"/>
    <cellStyle name="Followed Hyperlink" xfId="25824" builtinId="9" hidden="1"/>
    <cellStyle name="Followed Hyperlink" xfId="25825" builtinId="9" hidden="1"/>
    <cellStyle name="Followed Hyperlink" xfId="25826" builtinId="9" hidden="1"/>
    <cellStyle name="Followed Hyperlink" xfId="25827" builtinId="9" hidden="1"/>
    <cellStyle name="Followed Hyperlink" xfId="25828" builtinId="9" hidden="1"/>
    <cellStyle name="Followed Hyperlink" xfId="25829" builtinId="9" hidden="1"/>
    <cellStyle name="Followed Hyperlink" xfId="25830" builtinId="9" hidden="1"/>
    <cellStyle name="Followed Hyperlink" xfId="25831" builtinId="9" hidden="1"/>
    <cellStyle name="Followed Hyperlink" xfId="25832" builtinId="9" hidden="1"/>
    <cellStyle name="Followed Hyperlink" xfId="25833" builtinId="9" hidden="1"/>
    <cellStyle name="Followed Hyperlink" xfId="25834" builtinId="9" hidden="1"/>
    <cellStyle name="Followed Hyperlink" xfId="25835" builtinId="9" hidden="1"/>
    <cellStyle name="Followed Hyperlink" xfId="25836" builtinId="9" hidden="1"/>
    <cellStyle name="Followed Hyperlink" xfId="25837" builtinId="9" hidden="1"/>
    <cellStyle name="Followed Hyperlink" xfId="25838" builtinId="9" hidden="1"/>
    <cellStyle name="Followed Hyperlink" xfId="25839" builtinId="9" hidden="1"/>
    <cellStyle name="Followed Hyperlink" xfId="25840" builtinId="9" hidden="1"/>
    <cellStyle name="Followed Hyperlink" xfId="25841" builtinId="9" hidden="1"/>
    <cellStyle name="Followed Hyperlink" xfId="25842" builtinId="9" hidden="1"/>
    <cellStyle name="Followed Hyperlink" xfId="25843" builtinId="9" hidden="1"/>
    <cellStyle name="Followed Hyperlink" xfId="25844" builtinId="9" hidden="1"/>
    <cellStyle name="Followed Hyperlink" xfId="25845" builtinId="9" hidden="1"/>
    <cellStyle name="Followed Hyperlink" xfId="25846" builtinId="9" hidden="1"/>
    <cellStyle name="Followed Hyperlink" xfId="25847" builtinId="9" hidden="1"/>
    <cellStyle name="Followed Hyperlink" xfId="25848" builtinId="9" hidden="1"/>
    <cellStyle name="Followed Hyperlink" xfId="25849" builtinId="9" hidden="1"/>
    <cellStyle name="Followed Hyperlink" xfId="25850" builtinId="9" hidden="1"/>
    <cellStyle name="Followed Hyperlink" xfId="25851" builtinId="9" hidden="1"/>
    <cellStyle name="Followed Hyperlink" xfId="25852" builtinId="9" hidden="1"/>
    <cellStyle name="Followed Hyperlink" xfId="25853" builtinId="9" hidden="1"/>
    <cellStyle name="Followed Hyperlink" xfId="25854" builtinId="9" hidden="1"/>
    <cellStyle name="Followed Hyperlink" xfId="25855" builtinId="9" hidden="1"/>
    <cellStyle name="Followed Hyperlink" xfId="25856" builtinId="9" hidden="1"/>
    <cellStyle name="Followed Hyperlink" xfId="25857" builtinId="9" hidden="1"/>
    <cellStyle name="Followed Hyperlink" xfId="25858" builtinId="9" hidden="1"/>
    <cellStyle name="Followed Hyperlink" xfId="25859" builtinId="9" hidden="1"/>
    <cellStyle name="Followed Hyperlink" xfId="25860" builtinId="9" hidden="1"/>
    <cellStyle name="Followed Hyperlink" xfId="25861" builtinId="9" hidden="1"/>
    <cellStyle name="Followed Hyperlink" xfId="25862" builtinId="9" hidden="1"/>
    <cellStyle name="Followed Hyperlink" xfId="25863" builtinId="9" hidden="1"/>
    <cellStyle name="Followed Hyperlink" xfId="25864" builtinId="9" hidden="1"/>
    <cellStyle name="Followed Hyperlink" xfId="25865" builtinId="9" hidden="1"/>
    <cellStyle name="Followed Hyperlink" xfId="25866" builtinId="9" hidden="1"/>
    <cellStyle name="Followed Hyperlink" xfId="25867" builtinId="9" hidden="1"/>
    <cellStyle name="Followed Hyperlink" xfId="25868" builtinId="9" hidden="1"/>
    <cellStyle name="Followed Hyperlink" xfId="25869" builtinId="9" hidden="1"/>
    <cellStyle name="Followed Hyperlink" xfId="25870" builtinId="9" hidden="1"/>
    <cellStyle name="Followed Hyperlink" xfId="25871" builtinId="9" hidden="1"/>
    <cellStyle name="Followed Hyperlink" xfId="25872" builtinId="9" hidden="1"/>
    <cellStyle name="Followed Hyperlink" xfId="25873" builtinId="9" hidden="1"/>
    <cellStyle name="Followed Hyperlink" xfId="25874" builtinId="9" hidden="1"/>
    <cellStyle name="Followed Hyperlink" xfId="25875" builtinId="9" hidden="1"/>
    <cellStyle name="Followed Hyperlink" xfId="25876" builtinId="9" hidden="1"/>
    <cellStyle name="Followed Hyperlink" xfId="25877" builtinId="9" hidden="1"/>
    <cellStyle name="Followed Hyperlink" xfId="25878" builtinId="9" hidden="1"/>
    <cellStyle name="Followed Hyperlink" xfId="25879" builtinId="9" hidden="1"/>
    <cellStyle name="Followed Hyperlink" xfId="25880" builtinId="9" hidden="1"/>
    <cellStyle name="Followed Hyperlink" xfId="25881" builtinId="9" hidden="1"/>
    <cellStyle name="Followed Hyperlink" xfId="25882" builtinId="9" hidden="1"/>
    <cellStyle name="Followed Hyperlink" xfId="25883" builtinId="9" hidden="1"/>
    <cellStyle name="Followed Hyperlink" xfId="25884" builtinId="9" hidden="1"/>
    <cellStyle name="Followed Hyperlink" xfId="25885" builtinId="9" hidden="1"/>
    <cellStyle name="Followed Hyperlink" xfId="25886" builtinId="9" hidden="1"/>
    <cellStyle name="Followed Hyperlink" xfId="25887" builtinId="9" hidden="1"/>
    <cellStyle name="Followed Hyperlink" xfId="25888" builtinId="9" hidden="1"/>
    <cellStyle name="Followed Hyperlink" xfId="25889" builtinId="9" hidden="1"/>
    <cellStyle name="Followed Hyperlink" xfId="25890" builtinId="9" hidden="1"/>
    <cellStyle name="Followed Hyperlink" xfId="25891" builtinId="9" hidden="1"/>
    <cellStyle name="Followed Hyperlink" xfId="25892" builtinId="9" hidden="1"/>
    <cellStyle name="Followed Hyperlink" xfId="25893" builtinId="9" hidden="1"/>
    <cellStyle name="Followed Hyperlink" xfId="25894" builtinId="9" hidden="1"/>
    <cellStyle name="Followed Hyperlink" xfId="25895" builtinId="9" hidden="1"/>
    <cellStyle name="Followed Hyperlink" xfId="25896" builtinId="9" hidden="1"/>
    <cellStyle name="Followed Hyperlink" xfId="25897" builtinId="9" hidden="1"/>
    <cellStyle name="Followed Hyperlink" xfId="25898" builtinId="9" hidden="1"/>
    <cellStyle name="Followed Hyperlink" xfId="25899" builtinId="9" hidden="1"/>
    <cellStyle name="Followed Hyperlink" xfId="25900" builtinId="9" hidden="1"/>
    <cellStyle name="Followed Hyperlink" xfId="25901" builtinId="9" hidden="1"/>
    <cellStyle name="Followed Hyperlink" xfId="25902" builtinId="9" hidden="1"/>
    <cellStyle name="Followed Hyperlink" xfId="25903" builtinId="9" hidden="1"/>
    <cellStyle name="Followed Hyperlink" xfId="25904" builtinId="9" hidden="1"/>
    <cellStyle name="Followed Hyperlink" xfId="25905" builtinId="9" hidden="1"/>
    <cellStyle name="Followed Hyperlink" xfId="25906" builtinId="9" hidden="1"/>
    <cellStyle name="Followed Hyperlink" xfId="25907" builtinId="9" hidden="1"/>
    <cellStyle name="Followed Hyperlink" xfId="25908" builtinId="9" hidden="1"/>
    <cellStyle name="Followed Hyperlink" xfId="25909" builtinId="9" hidden="1"/>
    <cellStyle name="Followed Hyperlink" xfId="25910" builtinId="9" hidden="1"/>
    <cellStyle name="Followed Hyperlink" xfId="25911" builtinId="9" hidden="1"/>
    <cellStyle name="Followed Hyperlink" xfId="25912" builtinId="9" hidden="1"/>
    <cellStyle name="Followed Hyperlink" xfId="25913" builtinId="9" hidden="1"/>
    <cellStyle name="Followed Hyperlink" xfId="25914" builtinId="9" hidden="1"/>
    <cellStyle name="Followed Hyperlink" xfId="25915" builtinId="9" hidden="1"/>
    <cellStyle name="Followed Hyperlink" xfId="25916" builtinId="9" hidden="1"/>
    <cellStyle name="Followed Hyperlink" xfId="25917" builtinId="9" hidden="1"/>
    <cellStyle name="Followed Hyperlink" xfId="25918" builtinId="9" hidden="1"/>
    <cellStyle name="Followed Hyperlink" xfId="25919" builtinId="9" hidden="1"/>
    <cellStyle name="Followed Hyperlink" xfId="25920" builtinId="9" hidden="1"/>
    <cellStyle name="Followed Hyperlink" xfId="25921" builtinId="9" hidden="1"/>
    <cellStyle name="Followed Hyperlink" xfId="25922" builtinId="9" hidden="1"/>
    <cellStyle name="Followed Hyperlink" xfId="25923" builtinId="9" hidden="1"/>
    <cellStyle name="Followed Hyperlink" xfId="25924" builtinId="9" hidden="1"/>
    <cellStyle name="Followed Hyperlink" xfId="25925" builtinId="9" hidden="1"/>
    <cellStyle name="Followed Hyperlink" xfId="25926" builtinId="9" hidden="1"/>
    <cellStyle name="Followed Hyperlink" xfId="25796" builtinId="9" hidden="1"/>
    <cellStyle name="Followed Hyperlink" xfId="25245" builtinId="9" hidden="1"/>
    <cellStyle name="Followed Hyperlink" xfId="25928" builtinId="9" hidden="1"/>
    <cellStyle name="Followed Hyperlink" xfId="25929" builtinId="9" hidden="1"/>
    <cellStyle name="Followed Hyperlink" xfId="25930" builtinId="9" hidden="1"/>
    <cellStyle name="Followed Hyperlink" xfId="25931" builtinId="9" hidden="1"/>
    <cellStyle name="Followed Hyperlink" xfId="25932" builtinId="9" hidden="1"/>
    <cellStyle name="Followed Hyperlink" xfId="25933" builtinId="9" hidden="1"/>
    <cellStyle name="Followed Hyperlink" xfId="25934" builtinId="9" hidden="1"/>
    <cellStyle name="Followed Hyperlink" xfId="25935" builtinId="9" hidden="1"/>
    <cellStyle name="Followed Hyperlink" xfId="25936" builtinId="9" hidden="1"/>
    <cellStyle name="Followed Hyperlink" xfId="25937" builtinId="9" hidden="1"/>
    <cellStyle name="Followed Hyperlink" xfId="25938" builtinId="9" hidden="1"/>
    <cellStyle name="Followed Hyperlink" xfId="25939" builtinId="9" hidden="1"/>
    <cellStyle name="Followed Hyperlink" xfId="25940" builtinId="9" hidden="1"/>
    <cellStyle name="Followed Hyperlink" xfId="25941" builtinId="9" hidden="1"/>
    <cellStyle name="Followed Hyperlink" xfId="25942" builtinId="9" hidden="1"/>
    <cellStyle name="Followed Hyperlink" xfId="25943" builtinId="9" hidden="1"/>
    <cellStyle name="Followed Hyperlink" xfId="25944" builtinId="9" hidden="1"/>
    <cellStyle name="Followed Hyperlink" xfId="25945" builtinId="9" hidden="1"/>
    <cellStyle name="Followed Hyperlink" xfId="25946" builtinId="9" hidden="1"/>
    <cellStyle name="Followed Hyperlink" xfId="25947" builtinId="9" hidden="1"/>
    <cellStyle name="Followed Hyperlink" xfId="25948" builtinId="9" hidden="1"/>
    <cellStyle name="Followed Hyperlink" xfId="25949" builtinId="9" hidden="1"/>
    <cellStyle name="Followed Hyperlink" xfId="25950" builtinId="9" hidden="1"/>
    <cellStyle name="Followed Hyperlink" xfId="25951" builtinId="9" hidden="1"/>
    <cellStyle name="Followed Hyperlink" xfId="25952" builtinId="9" hidden="1"/>
    <cellStyle name="Followed Hyperlink" xfId="25953" builtinId="9" hidden="1"/>
    <cellStyle name="Followed Hyperlink" xfId="25954" builtinId="9" hidden="1"/>
    <cellStyle name="Followed Hyperlink" xfId="25955" builtinId="9" hidden="1"/>
    <cellStyle name="Followed Hyperlink" xfId="25956" builtinId="9" hidden="1"/>
    <cellStyle name="Followed Hyperlink" xfId="25957" builtinId="9" hidden="1"/>
    <cellStyle name="Followed Hyperlink" xfId="25958" builtinId="9" hidden="1"/>
    <cellStyle name="Followed Hyperlink" xfId="25959" builtinId="9" hidden="1"/>
    <cellStyle name="Followed Hyperlink" xfId="25960" builtinId="9" hidden="1"/>
    <cellStyle name="Followed Hyperlink" xfId="25961" builtinId="9" hidden="1"/>
    <cellStyle name="Followed Hyperlink" xfId="25962" builtinId="9" hidden="1"/>
    <cellStyle name="Followed Hyperlink" xfId="25963" builtinId="9" hidden="1"/>
    <cellStyle name="Followed Hyperlink" xfId="25964" builtinId="9" hidden="1"/>
    <cellStyle name="Followed Hyperlink" xfId="25965" builtinId="9" hidden="1"/>
    <cellStyle name="Followed Hyperlink" xfId="25966" builtinId="9" hidden="1"/>
    <cellStyle name="Followed Hyperlink" xfId="25801" builtinId="9" hidden="1"/>
    <cellStyle name="Followed Hyperlink" xfId="25927" builtinId="9" hidden="1"/>
    <cellStyle name="Followed Hyperlink" xfId="25968" builtinId="9" hidden="1"/>
    <cellStyle name="Followed Hyperlink" xfId="25969" builtinId="9" hidden="1"/>
    <cellStyle name="Followed Hyperlink" xfId="25970" builtinId="9" hidden="1"/>
    <cellStyle name="Followed Hyperlink" xfId="25971" builtinId="9" hidden="1"/>
    <cellStyle name="Followed Hyperlink" xfId="25972" builtinId="9" hidden="1"/>
    <cellStyle name="Followed Hyperlink" xfId="25973" builtinId="9" hidden="1"/>
    <cellStyle name="Followed Hyperlink" xfId="25974" builtinId="9" hidden="1"/>
    <cellStyle name="Followed Hyperlink" xfId="25975" builtinId="9" hidden="1"/>
    <cellStyle name="Followed Hyperlink" xfId="25976" builtinId="9" hidden="1"/>
    <cellStyle name="Followed Hyperlink" xfId="25977" builtinId="9" hidden="1"/>
    <cellStyle name="Followed Hyperlink" xfId="25978" builtinId="9" hidden="1"/>
    <cellStyle name="Followed Hyperlink" xfId="25979" builtinId="9" hidden="1"/>
    <cellStyle name="Followed Hyperlink" xfId="25980" builtinId="9" hidden="1"/>
    <cellStyle name="Followed Hyperlink" xfId="25981" builtinId="9" hidden="1"/>
    <cellStyle name="Followed Hyperlink" xfId="25982" builtinId="9" hidden="1"/>
    <cellStyle name="Followed Hyperlink" xfId="25983" builtinId="9" hidden="1"/>
    <cellStyle name="Followed Hyperlink" xfId="25984" builtinId="9" hidden="1"/>
    <cellStyle name="Followed Hyperlink" xfId="25985" builtinId="9" hidden="1"/>
    <cellStyle name="Followed Hyperlink" xfId="25986" builtinId="9" hidden="1"/>
    <cellStyle name="Followed Hyperlink" xfId="25987" builtinId="9" hidden="1"/>
    <cellStyle name="Followed Hyperlink" xfId="25988" builtinId="9" hidden="1"/>
    <cellStyle name="Followed Hyperlink" xfId="25989" builtinId="9" hidden="1"/>
    <cellStyle name="Followed Hyperlink" xfId="25990" builtinId="9" hidden="1"/>
    <cellStyle name="Followed Hyperlink" xfId="25991" builtinId="9" hidden="1"/>
    <cellStyle name="Followed Hyperlink" xfId="25992" builtinId="9" hidden="1"/>
    <cellStyle name="Followed Hyperlink" xfId="25993" builtinId="9" hidden="1"/>
    <cellStyle name="Followed Hyperlink" xfId="25994" builtinId="9" hidden="1"/>
    <cellStyle name="Followed Hyperlink" xfId="25995" builtinId="9" hidden="1"/>
    <cellStyle name="Followed Hyperlink" xfId="25996" builtinId="9" hidden="1"/>
    <cellStyle name="Followed Hyperlink" xfId="25997" builtinId="9" hidden="1"/>
    <cellStyle name="Followed Hyperlink" xfId="25998" builtinId="9" hidden="1"/>
    <cellStyle name="Followed Hyperlink" xfId="25999" builtinId="9" hidden="1"/>
    <cellStyle name="Followed Hyperlink" xfId="26000" builtinId="9" hidden="1"/>
    <cellStyle name="Followed Hyperlink" xfId="26001" builtinId="9" hidden="1"/>
    <cellStyle name="Followed Hyperlink" xfId="26002" builtinId="9" hidden="1"/>
    <cellStyle name="Followed Hyperlink" xfId="26003" builtinId="9" hidden="1"/>
    <cellStyle name="Followed Hyperlink" xfId="26004" builtinId="9" hidden="1"/>
    <cellStyle name="Followed Hyperlink" xfId="26005" builtinId="9" hidden="1"/>
    <cellStyle name="Followed Hyperlink" xfId="26006" builtinId="9" hidden="1"/>
    <cellStyle name="Followed Hyperlink" xfId="25803" builtinId="9" hidden="1"/>
    <cellStyle name="Followed Hyperlink" xfId="25967" builtinId="9" hidden="1"/>
    <cellStyle name="Followed Hyperlink" xfId="26008" builtinId="9" hidden="1"/>
    <cellStyle name="Followed Hyperlink" xfId="26009" builtinId="9" hidden="1"/>
    <cellStyle name="Followed Hyperlink" xfId="26010" builtinId="9" hidden="1"/>
    <cellStyle name="Followed Hyperlink" xfId="26011" builtinId="9" hidden="1"/>
    <cellStyle name="Followed Hyperlink" xfId="26012" builtinId="9" hidden="1"/>
    <cellStyle name="Followed Hyperlink" xfId="26013" builtinId="9" hidden="1"/>
    <cellStyle name="Followed Hyperlink" xfId="26014" builtinId="9" hidden="1"/>
    <cellStyle name="Followed Hyperlink" xfId="26015" builtinId="9" hidden="1"/>
    <cellStyle name="Followed Hyperlink" xfId="26016" builtinId="9" hidden="1"/>
    <cellStyle name="Followed Hyperlink" xfId="26017" builtinId="9" hidden="1"/>
    <cellStyle name="Followed Hyperlink" xfId="26018" builtinId="9" hidden="1"/>
    <cellStyle name="Followed Hyperlink" xfId="26019" builtinId="9" hidden="1"/>
    <cellStyle name="Followed Hyperlink" xfId="26020" builtinId="9" hidden="1"/>
    <cellStyle name="Followed Hyperlink" xfId="26021" builtinId="9" hidden="1"/>
    <cellStyle name="Followed Hyperlink" xfId="26022" builtinId="9" hidden="1"/>
    <cellStyle name="Followed Hyperlink" xfId="26023" builtinId="9" hidden="1"/>
    <cellStyle name="Followed Hyperlink" xfId="26024" builtinId="9" hidden="1"/>
    <cellStyle name="Followed Hyperlink" xfId="26025" builtinId="9" hidden="1"/>
    <cellStyle name="Followed Hyperlink" xfId="26026" builtinId="9" hidden="1"/>
    <cellStyle name="Followed Hyperlink" xfId="26027" builtinId="9" hidden="1"/>
    <cellStyle name="Followed Hyperlink" xfId="26028" builtinId="9" hidden="1"/>
    <cellStyle name="Followed Hyperlink" xfId="26029" builtinId="9" hidden="1"/>
    <cellStyle name="Followed Hyperlink" xfId="26030" builtinId="9" hidden="1"/>
    <cellStyle name="Followed Hyperlink" xfId="26031" builtinId="9" hidden="1"/>
    <cellStyle name="Followed Hyperlink" xfId="26032" builtinId="9" hidden="1"/>
    <cellStyle name="Followed Hyperlink" xfId="26033" builtinId="9" hidden="1"/>
    <cellStyle name="Followed Hyperlink" xfId="26034" builtinId="9" hidden="1"/>
    <cellStyle name="Followed Hyperlink" xfId="26035" builtinId="9" hidden="1"/>
    <cellStyle name="Followed Hyperlink" xfId="26036" builtinId="9" hidden="1"/>
    <cellStyle name="Followed Hyperlink" xfId="26037" builtinId="9" hidden="1"/>
    <cellStyle name="Followed Hyperlink" xfId="26038" builtinId="9" hidden="1"/>
    <cellStyle name="Followed Hyperlink" xfId="26039" builtinId="9" hidden="1"/>
    <cellStyle name="Followed Hyperlink" xfId="26040" builtinId="9" hidden="1"/>
    <cellStyle name="Followed Hyperlink" xfId="26041" builtinId="9" hidden="1"/>
    <cellStyle name="Followed Hyperlink" xfId="26042" builtinId="9" hidden="1"/>
    <cellStyle name="Followed Hyperlink" xfId="26043" builtinId="9" hidden="1"/>
    <cellStyle name="Followed Hyperlink" xfId="26044" builtinId="9" hidden="1"/>
    <cellStyle name="Followed Hyperlink" xfId="26045" builtinId="9" hidden="1"/>
    <cellStyle name="Followed Hyperlink" xfId="26046" builtinId="9" hidden="1"/>
    <cellStyle name="Followed Hyperlink" xfId="25797" builtinId="9" hidden="1"/>
    <cellStyle name="Followed Hyperlink" xfId="26007" builtinId="9" hidden="1"/>
    <cellStyle name="Followed Hyperlink" xfId="26048" builtinId="9" hidden="1"/>
    <cellStyle name="Followed Hyperlink" xfId="26049" builtinId="9" hidden="1"/>
    <cellStyle name="Followed Hyperlink" xfId="26050" builtinId="9" hidden="1"/>
    <cellStyle name="Followed Hyperlink" xfId="26051" builtinId="9" hidden="1"/>
    <cellStyle name="Followed Hyperlink" xfId="26052" builtinId="9" hidden="1"/>
    <cellStyle name="Followed Hyperlink" xfId="26053" builtinId="9" hidden="1"/>
    <cellStyle name="Followed Hyperlink" xfId="26054" builtinId="9" hidden="1"/>
    <cellStyle name="Followed Hyperlink" xfId="26055" builtinId="9" hidden="1"/>
    <cellStyle name="Followed Hyperlink" xfId="26056" builtinId="9" hidden="1"/>
    <cellStyle name="Followed Hyperlink" xfId="26057" builtinId="9" hidden="1"/>
    <cellStyle name="Followed Hyperlink" xfId="26058" builtinId="9" hidden="1"/>
    <cellStyle name="Followed Hyperlink" xfId="26059" builtinId="9" hidden="1"/>
    <cellStyle name="Followed Hyperlink" xfId="26060" builtinId="9" hidden="1"/>
    <cellStyle name="Followed Hyperlink" xfId="26061" builtinId="9" hidden="1"/>
    <cellStyle name="Followed Hyperlink" xfId="26062" builtinId="9" hidden="1"/>
    <cellStyle name="Followed Hyperlink" xfId="26063" builtinId="9" hidden="1"/>
    <cellStyle name="Followed Hyperlink" xfId="26064" builtinId="9" hidden="1"/>
    <cellStyle name="Followed Hyperlink" xfId="26065" builtinId="9" hidden="1"/>
    <cellStyle name="Followed Hyperlink" xfId="26066" builtinId="9" hidden="1"/>
    <cellStyle name="Followed Hyperlink" xfId="26067" builtinId="9" hidden="1"/>
    <cellStyle name="Followed Hyperlink" xfId="26068" builtinId="9" hidden="1"/>
    <cellStyle name="Followed Hyperlink" xfId="26069" builtinId="9" hidden="1"/>
    <cellStyle name="Followed Hyperlink" xfId="26070" builtinId="9" hidden="1"/>
    <cellStyle name="Followed Hyperlink" xfId="26071" builtinId="9" hidden="1"/>
    <cellStyle name="Followed Hyperlink" xfId="26072" builtinId="9" hidden="1"/>
    <cellStyle name="Followed Hyperlink" xfId="26073" builtinId="9" hidden="1"/>
    <cellStyle name="Followed Hyperlink" xfId="26074" builtinId="9" hidden="1"/>
    <cellStyle name="Followed Hyperlink" xfId="26075" builtinId="9" hidden="1"/>
    <cellStyle name="Followed Hyperlink" xfId="26076" builtinId="9" hidden="1"/>
    <cellStyle name="Followed Hyperlink" xfId="26077" builtinId="9" hidden="1"/>
    <cellStyle name="Followed Hyperlink" xfId="26078" builtinId="9" hidden="1"/>
    <cellStyle name="Followed Hyperlink" xfId="26079" builtinId="9" hidden="1"/>
    <cellStyle name="Followed Hyperlink" xfId="26080" builtinId="9" hidden="1"/>
    <cellStyle name="Followed Hyperlink" xfId="26081" builtinId="9" hidden="1"/>
    <cellStyle name="Followed Hyperlink" xfId="26082" builtinId="9" hidden="1"/>
    <cellStyle name="Followed Hyperlink" xfId="26083" builtinId="9" hidden="1"/>
    <cellStyle name="Followed Hyperlink" xfId="26084" builtinId="9" hidden="1"/>
    <cellStyle name="Followed Hyperlink" xfId="26085" builtinId="9" hidden="1"/>
    <cellStyle name="Followed Hyperlink" xfId="26086" builtinId="9" hidden="1"/>
    <cellStyle name="Followed Hyperlink" xfId="25799" builtinId="9" hidden="1"/>
    <cellStyle name="Followed Hyperlink" xfId="26047" builtinId="9" hidden="1"/>
    <cellStyle name="Followed Hyperlink" xfId="26088" builtinId="9" hidden="1"/>
    <cellStyle name="Followed Hyperlink" xfId="26089" builtinId="9" hidden="1"/>
    <cellStyle name="Followed Hyperlink" xfId="26090" builtinId="9" hidden="1"/>
    <cellStyle name="Followed Hyperlink" xfId="26091" builtinId="9" hidden="1"/>
    <cellStyle name="Followed Hyperlink" xfId="26092" builtinId="9" hidden="1"/>
    <cellStyle name="Followed Hyperlink" xfId="26093" builtinId="9" hidden="1"/>
    <cellStyle name="Followed Hyperlink" xfId="26094" builtinId="9" hidden="1"/>
    <cellStyle name="Followed Hyperlink" xfId="26095" builtinId="9" hidden="1"/>
    <cellStyle name="Followed Hyperlink" xfId="26096" builtinId="9" hidden="1"/>
    <cellStyle name="Followed Hyperlink" xfId="26097" builtinId="9" hidden="1"/>
    <cellStyle name="Followed Hyperlink" xfId="26098" builtinId="9" hidden="1"/>
    <cellStyle name="Followed Hyperlink" xfId="26099" builtinId="9" hidden="1"/>
    <cellStyle name="Followed Hyperlink" xfId="26100" builtinId="9" hidden="1"/>
    <cellStyle name="Followed Hyperlink" xfId="26101" builtinId="9" hidden="1"/>
    <cellStyle name="Followed Hyperlink" xfId="26102" builtinId="9" hidden="1"/>
    <cellStyle name="Followed Hyperlink" xfId="26103" builtinId="9" hidden="1"/>
    <cellStyle name="Followed Hyperlink" xfId="26104" builtinId="9" hidden="1"/>
    <cellStyle name="Followed Hyperlink" xfId="26105" builtinId="9" hidden="1"/>
    <cellStyle name="Followed Hyperlink" xfId="26106" builtinId="9" hidden="1"/>
    <cellStyle name="Followed Hyperlink" xfId="26107" builtinId="9" hidden="1"/>
    <cellStyle name="Followed Hyperlink" xfId="26108" builtinId="9" hidden="1"/>
    <cellStyle name="Followed Hyperlink" xfId="26109" builtinId="9" hidden="1"/>
    <cellStyle name="Followed Hyperlink" xfId="26110" builtinId="9" hidden="1"/>
    <cellStyle name="Followed Hyperlink" xfId="26111" builtinId="9" hidden="1"/>
    <cellStyle name="Followed Hyperlink" xfId="26112" builtinId="9" hidden="1"/>
    <cellStyle name="Followed Hyperlink" xfId="26113" builtinId="9" hidden="1"/>
    <cellStyle name="Followed Hyperlink" xfId="26114" builtinId="9" hidden="1"/>
    <cellStyle name="Followed Hyperlink" xfId="26115" builtinId="9" hidden="1"/>
    <cellStyle name="Followed Hyperlink" xfId="26116" builtinId="9" hidden="1"/>
    <cellStyle name="Followed Hyperlink" xfId="26117" builtinId="9" hidden="1"/>
    <cellStyle name="Followed Hyperlink" xfId="26118" builtinId="9" hidden="1"/>
    <cellStyle name="Followed Hyperlink" xfId="26119" builtinId="9" hidden="1"/>
    <cellStyle name="Followed Hyperlink" xfId="26120" builtinId="9" hidden="1"/>
    <cellStyle name="Followed Hyperlink" xfId="26121" builtinId="9" hidden="1"/>
    <cellStyle name="Followed Hyperlink" xfId="26122" builtinId="9" hidden="1"/>
    <cellStyle name="Followed Hyperlink" xfId="26123" builtinId="9" hidden="1"/>
    <cellStyle name="Followed Hyperlink" xfId="26124" builtinId="9" hidden="1"/>
    <cellStyle name="Followed Hyperlink" xfId="26125" builtinId="9" hidden="1"/>
    <cellStyle name="Followed Hyperlink" xfId="26126" builtinId="9" hidden="1"/>
    <cellStyle name="Followed Hyperlink" xfId="25800" builtinId="9" hidden="1"/>
    <cellStyle name="Followed Hyperlink" xfId="26087" builtinId="9" hidden="1"/>
    <cellStyle name="Followed Hyperlink" xfId="26128" builtinId="9" hidden="1"/>
    <cellStyle name="Followed Hyperlink" xfId="26129" builtinId="9" hidden="1"/>
    <cellStyle name="Followed Hyperlink" xfId="26130" builtinId="9" hidden="1"/>
    <cellStyle name="Followed Hyperlink" xfId="26131" builtinId="9" hidden="1"/>
    <cellStyle name="Followed Hyperlink" xfId="26132" builtinId="9" hidden="1"/>
    <cellStyle name="Followed Hyperlink" xfId="26133" builtinId="9" hidden="1"/>
    <cellStyle name="Followed Hyperlink" xfId="26134" builtinId="9" hidden="1"/>
    <cellStyle name="Followed Hyperlink" xfId="26135" builtinId="9" hidden="1"/>
    <cellStyle name="Followed Hyperlink" xfId="26136" builtinId="9" hidden="1"/>
    <cellStyle name="Followed Hyperlink" xfId="26137" builtinId="9" hidden="1"/>
    <cellStyle name="Followed Hyperlink" xfId="26138" builtinId="9" hidden="1"/>
    <cellStyle name="Followed Hyperlink" xfId="26139" builtinId="9" hidden="1"/>
    <cellStyle name="Followed Hyperlink" xfId="26140" builtinId="9" hidden="1"/>
    <cellStyle name="Followed Hyperlink" xfId="26141" builtinId="9" hidden="1"/>
    <cellStyle name="Followed Hyperlink" xfId="26142" builtinId="9" hidden="1"/>
    <cellStyle name="Followed Hyperlink" xfId="26143" builtinId="9" hidden="1"/>
    <cellStyle name="Followed Hyperlink" xfId="26144" builtinId="9" hidden="1"/>
    <cellStyle name="Followed Hyperlink" xfId="26145" builtinId="9" hidden="1"/>
    <cellStyle name="Followed Hyperlink" xfId="26146" builtinId="9" hidden="1"/>
    <cellStyle name="Followed Hyperlink" xfId="26147" builtinId="9" hidden="1"/>
    <cellStyle name="Followed Hyperlink" xfId="26148" builtinId="9" hidden="1"/>
    <cellStyle name="Followed Hyperlink" xfId="26149" builtinId="9" hidden="1"/>
    <cellStyle name="Followed Hyperlink" xfId="26150" builtinId="9" hidden="1"/>
    <cellStyle name="Followed Hyperlink" xfId="26151" builtinId="9" hidden="1"/>
    <cellStyle name="Followed Hyperlink" xfId="26152" builtinId="9" hidden="1"/>
    <cellStyle name="Followed Hyperlink" xfId="26153" builtinId="9" hidden="1"/>
    <cellStyle name="Followed Hyperlink" xfId="26154" builtinId="9" hidden="1"/>
    <cellStyle name="Followed Hyperlink" xfId="26155" builtinId="9" hidden="1"/>
    <cellStyle name="Followed Hyperlink" xfId="26156" builtinId="9" hidden="1"/>
    <cellStyle name="Followed Hyperlink" xfId="26157" builtinId="9" hidden="1"/>
    <cellStyle name="Followed Hyperlink" xfId="26158" builtinId="9" hidden="1"/>
    <cellStyle name="Followed Hyperlink" xfId="26159" builtinId="9" hidden="1"/>
    <cellStyle name="Followed Hyperlink" xfId="26160" builtinId="9" hidden="1"/>
    <cellStyle name="Followed Hyperlink" xfId="26161" builtinId="9" hidden="1"/>
    <cellStyle name="Followed Hyperlink" xfId="26162" builtinId="9" hidden="1"/>
    <cellStyle name="Followed Hyperlink" xfId="26163" builtinId="9" hidden="1"/>
    <cellStyle name="Followed Hyperlink" xfId="26164" builtinId="9" hidden="1"/>
    <cellStyle name="Followed Hyperlink" xfId="26165" builtinId="9" hidden="1"/>
    <cellStyle name="Followed Hyperlink" xfId="26166" builtinId="9" hidden="1"/>
    <cellStyle name="Followed Hyperlink" xfId="25802" builtinId="9" hidden="1"/>
    <cellStyle name="Followed Hyperlink" xfId="26127" builtinId="9" hidden="1"/>
    <cellStyle name="Followed Hyperlink" xfId="26168" builtinId="9" hidden="1"/>
    <cellStyle name="Followed Hyperlink" xfId="26169" builtinId="9" hidden="1"/>
    <cellStyle name="Followed Hyperlink" xfId="26170" builtinId="9" hidden="1"/>
    <cellStyle name="Followed Hyperlink" xfId="26171" builtinId="9" hidden="1"/>
    <cellStyle name="Followed Hyperlink" xfId="26172" builtinId="9" hidden="1"/>
    <cellStyle name="Followed Hyperlink" xfId="26173" builtinId="9" hidden="1"/>
    <cellStyle name="Followed Hyperlink" xfId="26174" builtinId="9" hidden="1"/>
    <cellStyle name="Followed Hyperlink" xfId="26175" builtinId="9" hidden="1"/>
    <cellStyle name="Followed Hyperlink" xfId="26176" builtinId="9" hidden="1"/>
    <cellStyle name="Followed Hyperlink" xfId="26177" builtinId="9" hidden="1"/>
    <cellStyle name="Followed Hyperlink" xfId="26178" builtinId="9" hidden="1"/>
    <cellStyle name="Followed Hyperlink" xfId="26179" builtinId="9" hidden="1"/>
    <cellStyle name="Followed Hyperlink" xfId="26180" builtinId="9" hidden="1"/>
    <cellStyle name="Followed Hyperlink" xfId="26181" builtinId="9" hidden="1"/>
    <cellStyle name="Followed Hyperlink" xfId="26182" builtinId="9" hidden="1"/>
    <cellStyle name="Followed Hyperlink" xfId="26183" builtinId="9" hidden="1"/>
    <cellStyle name="Followed Hyperlink" xfId="26184" builtinId="9" hidden="1"/>
    <cellStyle name="Followed Hyperlink" xfId="26185" builtinId="9" hidden="1"/>
    <cellStyle name="Followed Hyperlink" xfId="26186" builtinId="9" hidden="1"/>
    <cellStyle name="Followed Hyperlink" xfId="26187" builtinId="9" hidden="1"/>
    <cellStyle name="Followed Hyperlink" xfId="26188" builtinId="9" hidden="1"/>
    <cellStyle name="Followed Hyperlink" xfId="26189" builtinId="9" hidden="1"/>
    <cellStyle name="Followed Hyperlink" xfId="26190" builtinId="9" hidden="1"/>
    <cellStyle name="Followed Hyperlink" xfId="26191" builtinId="9" hidden="1"/>
    <cellStyle name="Followed Hyperlink" xfId="26192" builtinId="9" hidden="1"/>
    <cellStyle name="Followed Hyperlink" xfId="26193" builtinId="9" hidden="1"/>
    <cellStyle name="Followed Hyperlink" xfId="26194" builtinId="9" hidden="1"/>
    <cellStyle name="Followed Hyperlink" xfId="26195" builtinId="9" hidden="1"/>
    <cellStyle name="Followed Hyperlink" xfId="26196" builtinId="9" hidden="1"/>
    <cellStyle name="Followed Hyperlink" xfId="26197" builtinId="9" hidden="1"/>
    <cellStyle name="Followed Hyperlink" xfId="26198" builtinId="9" hidden="1"/>
    <cellStyle name="Followed Hyperlink" xfId="26199" builtinId="9" hidden="1"/>
    <cellStyle name="Followed Hyperlink" xfId="26200" builtinId="9" hidden="1"/>
    <cellStyle name="Followed Hyperlink" xfId="26201" builtinId="9" hidden="1"/>
    <cellStyle name="Followed Hyperlink" xfId="26202" builtinId="9" hidden="1"/>
    <cellStyle name="Followed Hyperlink" xfId="26203" builtinId="9" hidden="1"/>
    <cellStyle name="Followed Hyperlink" xfId="26204" builtinId="9" hidden="1"/>
    <cellStyle name="Followed Hyperlink" xfId="26205" builtinId="9" hidden="1"/>
    <cellStyle name="Followed Hyperlink" xfId="26206" builtinId="9" hidden="1"/>
    <cellStyle name="Followed Hyperlink" xfId="25798" builtinId="9" hidden="1"/>
    <cellStyle name="Followed Hyperlink" xfId="26167" builtinId="9" hidden="1"/>
    <cellStyle name="Followed Hyperlink" xfId="26207" builtinId="9" hidden="1"/>
    <cellStyle name="Followed Hyperlink" xfId="26208" builtinId="9" hidden="1"/>
    <cellStyle name="Followed Hyperlink" xfId="26209" builtinId="9" hidden="1"/>
    <cellStyle name="Followed Hyperlink" xfId="26210" builtinId="9" hidden="1"/>
    <cellStyle name="Followed Hyperlink" xfId="26211" builtinId="9" hidden="1"/>
    <cellStyle name="Followed Hyperlink" xfId="26212" builtinId="9" hidden="1"/>
    <cellStyle name="Followed Hyperlink" xfId="26213" builtinId="9" hidden="1"/>
    <cellStyle name="Followed Hyperlink" xfId="26214" builtinId="9" hidden="1"/>
    <cellStyle name="Followed Hyperlink" xfId="26215" builtinId="9" hidden="1"/>
    <cellStyle name="Followed Hyperlink" xfId="26216" builtinId="9" hidden="1"/>
    <cellStyle name="Followed Hyperlink" xfId="26217" builtinId="9" hidden="1"/>
    <cellStyle name="Followed Hyperlink" xfId="26218" builtinId="9" hidden="1"/>
    <cellStyle name="Followed Hyperlink" xfId="26219" builtinId="9" hidden="1"/>
    <cellStyle name="Followed Hyperlink" xfId="26220" builtinId="9" hidden="1"/>
    <cellStyle name="Followed Hyperlink" xfId="26221" builtinId="9" hidden="1"/>
    <cellStyle name="Followed Hyperlink" xfId="26222" builtinId="9" hidden="1"/>
    <cellStyle name="Followed Hyperlink" xfId="26223" builtinId="9" hidden="1"/>
    <cellStyle name="Followed Hyperlink" xfId="26224" builtinId="9" hidden="1"/>
    <cellStyle name="Followed Hyperlink" xfId="26225" builtinId="9" hidden="1"/>
    <cellStyle name="Followed Hyperlink" xfId="26226" builtinId="9" hidden="1"/>
    <cellStyle name="Followed Hyperlink" xfId="26227" builtinId="9" hidden="1"/>
    <cellStyle name="Followed Hyperlink" xfId="26228" builtinId="9" hidden="1"/>
    <cellStyle name="Followed Hyperlink" xfId="26229" builtinId="9" hidden="1"/>
    <cellStyle name="Followed Hyperlink" xfId="26230" builtinId="9" hidden="1"/>
    <cellStyle name="Followed Hyperlink" xfId="26231" builtinId="9" hidden="1"/>
    <cellStyle name="Followed Hyperlink" xfId="26232" builtinId="9" hidden="1"/>
    <cellStyle name="Followed Hyperlink" xfId="26233" builtinId="9" hidden="1"/>
    <cellStyle name="Followed Hyperlink" xfId="26234" builtinId="9" hidden="1"/>
    <cellStyle name="Followed Hyperlink" xfId="26235" builtinId="9" hidden="1"/>
    <cellStyle name="Followed Hyperlink" xfId="26236" builtinId="9" hidden="1"/>
    <cellStyle name="Followed Hyperlink" xfId="26237" builtinId="9" hidden="1"/>
    <cellStyle name="Followed Hyperlink" xfId="26238" builtinId="9" hidden="1"/>
    <cellStyle name="Followed Hyperlink" xfId="26239" builtinId="9" hidden="1"/>
    <cellStyle name="Followed Hyperlink" xfId="26240" builtinId="9" hidden="1"/>
    <cellStyle name="Followed Hyperlink" xfId="26241" builtinId="9" hidden="1"/>
    <cellStyle name="Followed Hyperlink" xfId="26242" builtinId="9" hidden="1"/>
    <cellStyle name="Followed Hyperlink" xfId="26243" builtinId="9" hidden="1"/>
    <cellStyle name="Followed Hyperlink" xfId="26244" builtinId="9" hidden="1"/>
    <cellStyle name="Followed Hyperlink" xfId="26245" builtinId="9" hidden="1"/>
    <cellStyle name="Followed Hyperlink" xfId="25254" builtinId="9" hidden="1"/>
    <cellStyle name="Followed Hyperlink" xfId="25259" builtinId="9" hidden="1"/>
    <cellStyle name="Followed Hyperlink" xfId="26246" builtinId="9" hidden="1"/>
    <cellStyle name="Followed Hyperlink" xfId="26247" builtinId="9" hidden="1"/>
    <cellStyle name="Followed Hyperlink" xfId="26248" builtinId="9" hidden="1"/>
    <cellStyle name="Followed Hyperlink" xfId="26249" builtinId="9" hidden="1"/>
    <cellStyle name="Followed Hyperlink" xfId="26250" builtinId="9" hidden="1"/>
    <cellStyle name="Followed Hyperlink" xfId="26251" builtinId="9" hidden="1"/>
    <cellStyle name="Followed Hyperlink" xfId="26252" builtinId="9" hidden="1"/>
    <cellStyle name="Followed Hyperlink" xfId="26253" builtinId="9" hidden="1"/>
    <cellStyle name="Followed Hyperlink" xfId="26254" builtinId="9" hidden="1"/>
    <cellStyle name="Followed Hyperlink" xfId="26255" builtinId="9" hidden="1"/>
    <cellStyle name="Followed Hyperlink" xfId="26256" builtinId="9" hidden="1"/>
    <cellStyle name="Followed Hyperlink" xfId="26257" builtinId="9" hidden="1"/>
    <cellStyle name="Followed Hyperlink" xfId="26258" builtinId="9" hidden="1"/>
    <cellStyle name="Followed Hyperlink" xfId="26259" builtinId="9" hidden="1"/>
    <cellStyle name="Followed Hyperlink" xfId="26260" builtinId="9" hidden="1"/>
    <cellStyle name="Followed Hyperlink" xfId="26261" builtinId="9" hidden="1"/>
    <cellStyle name="Followed Hyperlink" xfId="26262" builtinId="9" hidden="1"/>
    <cellStyle name="Followed Hyperlink" xfId="26263" builtinId="9" hidden="1"/>
    <cellStyle name="Followed Hyperlink" xfId="26264" builtinId="9" hidden="1"/>
    <cellStyle name="Followed Hyperlink" xfId="26265" builtinId="9" hidden="1"/>
    <cellStyle name="Followed Hyperlink" xfId="26266" builtinId="9" hidden="1"/>
    <cellStyle name="Followed Hyperlink" xfId="26267" builtinId="9" hidden="1"/>
    <cellStyle name="Followed Hyperlink" xfId="26268" builtinId="9" hidden="1"/>
    <cellStyle name="Followed Hyperlink" xfId="26269" builtinId="9" hidden="1"/>
    <cellStyle name="Followed Hyperlink" xfId="26270" builtinId="9" hidden="1"/>
    <cellStyle name="Followed Hyperlink" xfId="26271" builtinId="9" hidden="1"/>
    <cellStyle name="Followed Hyperlink" xfId="26272" builtinId="9" hidden="1"/>
    <cellStyle name="Followed Hyperlink" xfId="26273" builtinId="9" hidden="1"/>
    <cellStyle name="Followed Hyperlink" xfId="26274" builtinId="9" hidden="1"/>
    <cellStyle name="Followed Hyperlink" xfId="26275" builtinId="9" hidden="1"/>
    <cellStyle name="Followed Hyperlink" xfId="26276" builtinId="9" hidden="1"/>
    <cellStyle name="Followed Hyperlink" xfId="26277" builtinId="9" hidden="1"/>
    <cellStyle name="Followed Hyperlink" xfId="26278" builtinId="9" hidden="1"/>
    <cellStyle name="Followed Hyperlink" xfId="26279" builtinId="9" hidden="1"/>
    <cellStyle name="Followed Hyperlink" xfId="26280" builtinId="9" hidden="1"/>
    <cellStyle name="Followed Hyperlink" xfId="26281" builtinId="9" hidden="1"/>
    <cellStyle name="Followed Hyperlink" xfId="26282" builtinId="9" hidden="1"/>
    <cellStyle name="Followed Hyperlink" xfId="26283" builtinId="9" hidden="1"/>
    <cellStyle name="Followed Hyperlink" xfId="26284" builtinId="9" hidden="1"/>
    <cellStyle name="Followed Hyperlink" xfId="26293" builtinId="9" hidden="1"/>
    <cellStyle name="Followed Hyperlink" xfId="26294" builtinId="9" hidden="1"/>
    <cellStyle name="Followed Hyperlink" xfId="26295" builtinId="9" hidden="1"/>
    <cellStyle name="Followed Hyperlink" xfId="26296" builtinId="9" hidden="1"/>
    <cellStyle name="Followed Hyperlink" xfId="26297" builtinId="9" hidden="1"/>
    <cellStyle name="Followed Hyperlink" xfId="26298" builtinId="9" hidden="1"/>
    <cellStyle name="Followed Hyperlink" xfId="26299" builtinId="9" hidden="1"/>
    <cellStyle name="Followed Hyperlink" xfId="26300" builtinId="9" hidden="1"/>
    <cellStyle name="Followed Hyperlink" xfId="26301" builtinId="9" hidden="1"/>
    <cellStyle name="Followed Hyperlink" xfId="26302" builtinId="9" hidden="1"/>
    <cellStyle name="Followed Hyperlink" xfId="26303" builtinId="9" hidden="1"/>
    <cellStyle name="Followed Hyperlink" xfId="26304" builtinId="9" hidden="1"/>
    <cellStyle name="Followed Hyperlink" xfId="26305" builtinId="9" hidden="1"/>
    <cellStyle name="Followed Hyperlink" xfId="26306" builtinId="9" hidden="1"/>
    <cellStyle name="Followed Hyperlink" xfId="26307" builtinId="9" hidden="1"/>
    <cellStyle name="Followed Hyperlink" xfId="26308" builtinId="9" hidden="1"/>
    <cellStyle name="Followed Hyperlink" xfId="26309" builtinId="9" hidden="1"/>
    <cellStyle name="Followed Hyperlink" xfId="26310" builtinId="9" hidden="1"/>
    <cellStyle name="Followed Hyperlink" xfId="26311" builtinId="9" hidden="1"/>
    <cellStyle name="Followed Hyperlink" xfId="26312" builtinId="9" hidden="1"/>
    <cellStyle name="Followed Hyperlink" xfId="26313" builtinId="9" hidden="1"/>
    <cellStyle name="Followed Hyperlink" xfId="26314" builtinId="9" hidden="1"/>
    <cellStyle name="Followed Hyperlink" xfId="26315" builtinId="9" hidden="1"/>
    <cellStyle name="Followed Hyperlink" xfId="26316" builtinId="9" hidden="1"/>
    <cellStyle name="Followed Hyperlink" xfId="26317" builtinId="9" hidden="1"/>
    <cellStyle name="Followed Hyperlink" xfId="26318" builtinId="9" hidden="1"/>
    <cellStyle name="Followed Hyperlink" xfId="26319" builtinId="9" hidden="1"/>
    <cellStyle name="Followed Hyperlink" xfId="26320" builtinId="9" hidden="1"/>
    <cellStyle name="Followed Hyperlink" xfId="26321" builtinId="9" hidden="1"/>
    <cellStyle name="Followed Hyperlink" xfId="26322" builtinId="9" hidden="1"/>
    <cellStyle name="Followed Hyperlink" xfId="26323" builtinId="9" hidden="1"/>
    <cellStyle name="Followed Hyperlink" xfId="26324" builtinId="9" hidden="1"/>
    <cellStyle name="Followed Hyperlink" xfId="26325" builtinId="9" hidden="1"/>
    <cellStyle name="Followed Hyperlink" xfId="26326" builtinId="9" hidden="1"/>
    <cellStyle name="Followed Hyperlink" xfId="26327" builtinId="9" hidden="1"/>
    <cellStyle name="Followed Hyperlink" xfId="26328" builtinId="9" hidden="1"/>
    <cellStyle name="Followed Hyperlink" xfId="26329" builtinId="9" hidden="1"/>
    <cellStyle name="Followed Hyperlink" xfId="26330" builtinId="9" hidden="1"/>
    <cellStyle name="Followed Hyperlink" xfId="26331" builtinId="9" hidden="1"/>
    <cellStyle name="Followed Hyperlink" xfId="26332" builtinId="9" hidden="1"/>
    <cellStyle name="Followed Hyperlink" xfId="26333" builtinId="9" hidden="1"/>
    <cellStyle name="Followed Hyperlink" xfId="26334" builtinId="9" hidden="1"/>
    <cellStyle name="Followed Hyperlink" xfId="26335" builtinId="9" hidden="1"/>
    <cellStyle name="Followed Hyperlink" xfId="26336" builtinId="9" hidden="1"/>
    <cellStyle name="Followed Hyperlink" xfId="26337" builtinId="9" hidden="1"/>
    <cellStyle name="Followed Hyperlink" xfId="26338" builtinId="9" hidden="1"/>
    <cellStyle name="Followed Hyperlink" xfId="26339" builtinId="9" hidden="1"/>
    <cellStyle name="Followed Hyperlink" xfId="26340" builtinId="9" hidden="1"/>
    <cellStyle name="Followed Hyperlink" xfId="26341" builtinId="9" hidden="1"/>
    <cellStyle name="Followed Hyperlink" xfId="26342" builtinId="9" hidden="1"/>
    <cellStyle name="Followed Hyperlink" xfId="26343" builtinId="9" hidden="1"/>
    <cellStyle name="Followed Hyperlink" xfId="26344" builtinId="9" hidden="1"/>
    <cellStyle name="Followed Hyperlink" xfId="26345" builtinId="9" hidden="1"/>
    <cellStyle name="Followed Hyperlink" xfId="26346" builtinId="9" hidden="1"/>
    <cellStyle name="Followed Hyperlink" xfId="26347" builtinId="9" hidden="1"/>
    <cellStyle name="Followed Hyperlink" xfId="26348" builtinId="9" hidden="1"/>
    <cellStyle name="Followed Hyperlink" xfId="26349" builtinId="9" hidden="1"/>
    <cellStyle name="Followed Hyperlink" xfId="26350" builtinId="9" hidden="1"/>
    <cellStyle name="Followed Hyperlink" xfId="26351" builtinId="9" hidden="1"/>
    <cellStyle name="Followed Hyperlink" xfId="26352" builtinId="9" hidden="1"/>
    <cellStyle name="Followed Hyperlink" xfId="26353" builtinId="9" hidden="1"/>
    <cellStyle name="Followed Hyperlink" xfId="26354" builtinId="9" hidden="1"/>
    <cellStyle name="Followed Hyperlink" xfId="26355" builtinId="9" hidden="1"/>
    <cellStyle name="Followed Hyperlink" xfId="26356" builtinId="9" hidden="1"/>
    <cellStyle name="Followed Hyperlink" xfId="26357" builtinId="9" hidden="1"/>
    <cellStyle name="Followed Hyperlink" xfId="26358" builtinId="9" hidden="1"/>
    <cellStyle name="Followed Hyperlink" xfId="26359" builtinId="9" hidden="1"/>
    <cellStyle name="Followed Hyperlink" xfId="26360" builtinId="9" hidden="1"/>
    <cellStyle name="Followed Hyperlink" xfId="26361" builtinId="9" hidden="1"/>
    <cellStyle name="Followed Hyperlink" xfId="26362" builtinId="9" hidden="1"/>
    <cellStyle name="Followed Hyperlink" xfId="26363" builtinId="9" hidden="1"/>
    <cellStyle name="Followed Hyperlink" xfId="26364" builtinId="9" hidden="1"/>
    <cellStyle name="Followed Hyperlink" xfId="26365" builtinId="9" hidden="1"/>
    <cellStyle name="Followed Hyperlink" xfId="26366" builtinId="9" hidden="1"/>
    <cellStyle name="Followed Hyperlink" xfId="26367" builtinId="9" hidden="1"/>
    <cellStyle name="Followed Hyperlink" xfId="26368" builtinId="9" hidden="1"/>
    <cellStyle name="Followed Hyperlink" xfId="26369" builtinId="9" hidden="1"/>
    <cellStyle name="Followed Hyperlink" xfId="26370" builtinId="9" hidden="1"/>
    <cellStyle name="Followed Hyperlink" xfId="26371" builtinId="9" hidden="1"/>
    <cellStyle name="Followed Hyperlink" xfId="26372" builtinId="9" hidden="1"/>
    <cellStyle name="Followed Hyperlink" xfId="26373" builtinId="9" hidden="1"/>
    <cellStyle name="Followed Hyperlink" xfId="26374" builtinId="9" hidden="1"/>
    <cellStyle name="Followed Hyperlink" xfId="26375" builtinId="9" hidden="1"/>
    <cellStyle name="Followed Hyperlink" xfId="26376" builtinId="9" hidden="1"/>
    <cellStyle name="Followed Hyperlink" xfId="26377" builtinId="9" hidden="1"/>
    <cellStyle name="Followed Hyperlink" xfId="26378" builtinId="9" hidden="1"/>
    <cellStyle name="Followed Hyperlink" xfId="26379" builtinId="9" hidden="1"/>
    <cellStyle name="Followed Hyperlink" xfId="26380" builtinId="9" hidden="1"/>
    <cellStyle name="Followed Hyperlink" xfId="26381" builtinId="9" hidden="1"/>
    <cellStyle name="Followed Hyperlink" xfId="26382" builtinId="9" hidden="1"/>
    <cellStyle name="Followed Hyperlink" xfId="26383" builtinId="9" hidden="1"/>
    <cellStyle name="Followed Hyperlink" xfId="26384" builtinId="9" hidden="1"/>
    <cellStyle name="Followed Hyperlink" xfId="26385" builtinId="9" hidden="1"/>
    <cellStyle name="Followed Hyperlink" xfId="26386" builtinId="9" hidden="1"/>
    <cellStyle name="Followed Hyperlink" xfId="26387" builtinId="9" hidden="1"/>
    <cellStyle name="Followed Hyperlink" xfId="26388" builtinId="9" hidden="1"/>
    <cellStyle name="Followed Hyperlink" xfId="26389" builtinId="9" hidden="1"/>
    <cellStyle name="Followed Hyperlink" xfId="26390" builtinId="9" hidden="1"/>
    <cellStyle name="Followed Hyperlink" xfId="26391" builtinId="9" hidden="1"/>
    <cellStyle name="Followed Hyperlink" xfId="26392" builtinId="9" hidden="1"/>
    <cellStyle name="Followed Hyperlink" xfId="26393" builtinId="9" hidden="1"/>
    <cellStyle name="Followed Hyperlink" xfId="26394" builtinId="9" hidden="1"/>
    <cellStyle name="Followed Hyperlink" xfId="26395" builtinId="9" hidden="1"/>
    <cellStyle name="Followed Hyperlink" xfId="26396" builtinId="9" hidden="1"/>
    <cellStyle name="Followed Hyperlink" xfId="26397" builtinId="9" hidden="1"/>
    <cellStyle name="Followed Hyperlink" xfId="26398" builtinId="9" hidden="1"/>
    <cellStyle name="Followed Hyperlink" xfId="26399" builtinId="9" hidden="1"/>
    <cellStyle name="Followed Hyperlink" xfId="26400" builtinId="9" hidden="1"/>
    <cellStyle name="Followed Hyperlink" xfId="26401" builtinId="9" hidden="1"/>
    <cellStyle name="Followed Hyperlink" xfId="26402" builtinId="9" hidden="1"/>
    <cellStyle name="Followed Hyperlink" xfId="26403" builtinId="9" hidden="1"/>
    <cellStyle name="Followed Hyperlink" xfId="26404" builtinId="9" hidden="1"/>
    <cellStyle name="Followed Hyperlink" xfId="26405" builtinId="9" hidden="1"/>
    <cellStyle name="Followed Hyperlink" xfId="26406" builtinId="9" hidden="1"/>
    <cellStyle name="Followed Hyperlink" xfId="26407" builtinId="9" hidden="1"/>
    <cellStyle name="Followed Hyperlink" xfId="26408" builtinId="9" hidden="1"/>
    <cellStyle name="Followed Hyperlink" xfId="26409" builtinId="9" hidden="1"/>
    <cellStyle name="Followed Hyperlink" xfId="26410" builtinId="9" hidden="1"/>
    <cellStyle name="Followed Hyperlink" xfId="26411" builtinId="9" hidden="1"/>
    <cellStyle name="Followed Hyperlink" xfId="26412" builtinId="9" hidden="1"/>
    <cellStyle name="Followed Hyperlink" xfId="26413" builtinId="9" hidden="1"/>
    <cellStyle name="Followed Hyperlink" xfId="26414" builtinId="9" hidden="1"/>
    <cellStyle name="Followed Hyperlink" xfId="26415" builtinId="9" hidden="1"/>
    <cellStyle name="Followed Hyperlink" xfId="26285" builtinId="9" hidden="1"/>
    <cellStyle name="Followed Hyperlink" xfId="25258" builtinId="9" hidden="1"/>
    <cellStyle name="Followed Hyperlink" xfId="26417" builtinId="9" hidden="1"/>
    <cellStyle name="Followed Hyperlink" xfId="26418" builtinId="9" hidden="1"/>
    <cellStyle name="Followed Hyperlink" xfId="26419" builtinId="9" hidden="1"/>
    <cellStyle name="Followed Hyperlink" xfId="26420" builtinId="9" hidden="1"/>
    <cellStyle name="Followed Hyperlink" xfId="26421" builtinId="9" hidden="1"/>
    <cellStyle name="Followed Hyperlink" xfId="26422" builtinId="9" hidden="1"/>
    <cellStyle name="Followed Hyperlink" xfId="26423" builtinId="9" hidden="1"/>
    <cellStyle name="Followed Hyperlink" xfId="26424" builtinId="9" hidden="1"/>
    <cellStyle name="Followed Hyperlink" xfId="26425" builtinId="9" hidden="1"/>
    <cellStyle name="Followed Hyperlink" xfId="26426" builtinId="9" hidden="1"/>
    <cellStyle name="Followed Hyperlink" xfId="26427" builtinId="9" hidden="1"/>
    <cellStyle name="Followed Hyperlink" xfId="26428" builtinId="9" hidden="1"/>
    <cellStyle name="Followed Hyperlink" xfId="26429" builtinId="9" hidden="1"/>
    <cellStyle name="Followed Hyperlink" xfId="26430" builtinId="9" hidden="1"/>
    <cellStyle name="Followed Hyperlink" xfId="26431" builtinId="9" hidden="1"/>
    <cellStyle name="Followed Hyperlink" xfId="26432" builtinId="9" hidden="1"/>
    <cellStyle name="Followed Hyperlink" xfId="26433" builtinId="9" hidden="1"/>
    <cellStyle name="Followed Hyperlink" xfId="26434" builtinId="9" hidden="1"/>
    <cellStyle name="Followed Hyperlink" xfId="26435" builtinId="9" hidden="1"/>
    <cellStyle name="Followed Hyperlink" xfId="26436" builtinId="9" hidden="1"/>
    <cellStyle name="Followed Hyperlink" xfId="26437" builtinId="9" hidden="1"/>
    <cellStyle name="Followed Hyperlink" xfId="26438" builtinId="9" hidden="1"/>
    <cellStyle name="Followed Hyperlink" xfId="26439" builtinId="9" hidden="1"/>
    <cellStyle name="Followed Hyperlink" xfId="26440" builtinId="9" hidden="1"/>
    <cellStyle name="Followed Hyperlink" xfId="26441" builtinId="9" hidden="1"/>
    <cellStyle name="Followed Hyperlink" xfId="26442" builtinId="9" hidden="1"/>
    <cellStyle name="Followed Hyperlink" xfId="26443" builtinId="9" hidden="1"/>
    <cellStyle name="Followed Hyperlink" xfId="26444" builtinId="9" hidden="1"/>
    <cellStyle name="Followed Hyperlink" xfId="26445" builtinId="9" hidden="1"/>
    <cellStyle name="Followed Hyperlink" xfId="26446" builtinId="9" hidden="1"/>
    <cellStyle name="Followed Hyperlink" xfId="26447" builtinId="9" hidden="1"/>
    <cellStyle name="Followed Hyperlink" xfId="26448" builtinId="9" hidden="1"/>
    <cellStyle name="Followed Hyperlink" xfId="26449" builtinId="9" hidden="1"/>
    <cellStyle name="Followed Hyperlink" xfId="26450" builtinId="9" hidden="1"/>
    <cellStyle name="Followed Hyperlink" xfId="26451" builtinId="9" hidden="1"/>
    <cellStyle name="Followed Hyperlink" xfId="26452" builtinId="9" hidden="1"/>
    <cellStyle name="Followed Hyperlink" xfId="26453" builtinId="9" hidden="1"/>
    <cellStyle name="Followed Hyperlink" xfId="26454" builtinId="9" hidden="1"/>
    <cellStyle name="Followed Hyperlink" xfId="26455" builtinId="9" hidden="1"/>
    <cellStyle name="Followed Hyperlink" xfId="26290" builtinId="9" hidden="1"/>
    <cellStyle name="Followed Hyperlink" xfId="26416" builtinId="9" hidden="1"/>
    <cellStyle name="Followed Hyperlink" xfId="26457" builtinId="9" hidden="1"/>
    <cellStyle name="Followed Hyperlink" xfId="26458" builtinId="9" hidden="1"/>
    <cellStyle name="Followed Hyperlink" xfId="26459" builtinId="9" hidden="1"/>
    <cellStyle name="Followed Hyperlink" xfId="26460" builtinId="9" hidden="1"/>
    <cellStyle name="Followed Hyperlink" xfId="26461" builtinId="9" hidden="1"/>
    <cellStyle name="Followed Hyperlink" xfId="26462" builtinId="9" hidden="1"/>
    <cellStyle name="Followed Hyperlink" xfId="26463" builtinId="9" hidden="1"/>
    <cellStyle name="Followed Hyperlink" xfId="26464" builtinId="9" hidden="1"/>
    <cellStyle name="Followed Hyperlink" xfId="26465" builtinId="9" hidden="1"/>
    <cellStyle name="Followed Hyperlink" xfId="26466" builtinId="9" hidden="1"/>
    <cellStyle name="Followed Hyperlink" xfId="26467" builtinId="9" hidden="1"/>
    <cellStyle name="Followed Hyperlink" xfId="26468" builtinId="9" hidden="1"/>
    <cellStyle name="Followed Hyperlink" xfId="26469" builtinId="9" hidden="1"/>
    <cellStyle name="Followed Hyperlink" xfId="26470" builtinId="9" hidden="1"/>
    <cellStyle name="Followed Hyperlink" xfId="26471" builtinId="9" hidden="1"/>
    <cellStyle name="Followed Hyperlink" xfId="26472" builtinId="9" hidden="1"/>
    <cellStyle name="Followed Hyperlink" xfId="26473" builtinId="9" hidden="1"/>
    <cellStyle name="Followed Hyperlink" xfId="26474" builtinId="9" hidden="1"/>
    <cellStyle name="Followed Hyperlink" xfId="26475" builtinId="9" hidden="1"/>
    <cellStyle name="Followed Hyperlink" xfId="26476" builtinId="9" hidden="1"/>
    <cellStyle name="Followed Hyperlink" xfId="26477" builtinId="9" hidden="1"/>
    <cellStyle name="Followed Hyperlink" xfId="26478" builtinId="9" hidden="1"/>
    <cellStyle name="Followed Hyperlink" xfId="26479" builtinId="9" hidden="1"/>
    <cellStyle name="Followed Hyperlink" xfId="26480" builtinId="9" hidden="1"/>
    <cellStyle name="Followed Hyperlink" xfId="26481" builtinId="9" hidden="1"/>
    <cellStyle name="Followed Hyperlink" xfId="26482" builtinId="9" hidden="1"/>
    <cellStyle name="Followed Hyperlink" xfId="26483" builtinId="9" hidden="1"/>
    <cellStyle name="Followed Hyperlink" xfId="26484" builtinId="9" hidden="1"/>
    <cellStyle name="Followed Hyperlink" xfId="26485" builtinId="9" hidden="1"/>
    <cellStyle name="Followed Hyperlink" xfId="26486" builtinId="9" hidden="1"/>
    <cellStyle name="Followed Hyperlink" xfId="26487" builtinId="9" hidden="1"/>
    <cellStyle name="Followed Hyperlink" xfId="26488" builtinId="9" hidden="1"/>
    <cellStyle name="Followed Hyperlink" xfId="26489" builtinId="9" hidden="1"/>
    <cellStyle name="Followed Hyperlink" xfId="26490" builtinId="9" hidden="1"/>
    <cellStyle name="Followed Hyperlink" xfId="26491" builtinId="9" hidden="1"/>
    <cellStyle name="Followed Hyperlink" xfId="26492" builtinId="9" hidden="1"/>
    <cellStyle name="Followed Hyperlink" xfId="26493" builtinId="9" hidden="1"/>
    <cellStyle name="Followed Hyperlink" xfId="26494" builtinId="9" hidden="1"/>
    <cellStyle name="Followed Hyperlink" xfId="26495" builtinId="9" hidden="1"/>
    <cellStyle name="Followed Hyperlink" xfId="26292" builtinId="9" hidden="1"/>
    <cellStyle name="Followed Hyperlink" xfId="26456" builtinId="9" hidden="1"/>
    <cellStyle name="Followed Hyperlink" xfId="26497" builtinId="9" hidden="1"/>
    <cellStyle name="Followed Hyperlink" xfId="26498" builtinId="9" hidden="1"/>
    <cellStyle name="Followed Hyperlink" xfId="26499" builtinId="9" hidden="1"/>
    <cellStyle name="Followed Hyperlink" xfId="26500" builtinId="9" hidden="1"/>
    <cellStyle name="Followed Hyperlink" xfId="26501" builtinId="9" hidden="1"/>
    <cellStyle name="Followed Hyperlink" xfId="26502" builtinId="9" hidden="1"/>
    <cellStyle name="Followed Hyperlink" xfId="26503" builtinId="9" hidden="1"/>
    <cellStyle name="Followed Hyperlink" xfId="26504" builtinId="9" hidden="1"/>
    <cellStyle name="Followed Hyperlink" xfId="26505" builtinId="9" hidden="1"/>
    <cellStyle name="Followed Hyperlink" xfId="26506" builtinId="9" hidden="1"/>
    <cellStyle name="Followed Hyperlink" xfId="26507" builtinId="9" hidden="1"/>
    <cellStyle name="Followed Hyperlink" xfId="26508" builtinId="9" hidden="1"/>
    <cellStyle name="Followed Hyperlink" xfId="26509" builtinId="9" hidden="1"/>
    <cellStyle name="Followed Hyperlink" xfId="26510" builtinId="9" hidden="1"/>
    <cellStyle name="Followed Hyperlink" xfId="26511" builtinId="9" hidden="1"/>
    <cellStyle name="Followed Hyperlink" xfId="26512" builtinId="9" hidden="1"/>
    <cellStyle name="Followed Hyperlink" xfId="26513" builtinId="9" hidden="1"/>
    <cellStyle name="Followed Hyperlink" xfId="26514" builtinId="9" hidden="1"/>
    <cellStyle name="Followed Hyperlink" xfId="26515" builtinId="9" hidden="1"/>
    <cellStyle name="Followed Hyperlink" xfId="26516" builtinId="9" hidden="1"/>
    <cellStyle name="Followed Hyperlink" xfId="26517" builtinId="9" hidden="1"/>
    <cellStyle name="Followed Hyperlink" xfId="26518" builtinId="9" hidden="1"/>
    <cellStyle name="Followed Hyperlink" xfId="26519" builtinId="9" hidden="1"/>
    <cellStyle name="Followed Hyperlink" xfId="26520" builtinId="9" hidden="1"/>
    <cellStyle name="Followed Hyperlink" xfId="26521" builtinId="9" hidden="1"/>
    <cellStyle name="Followed Hyperlink" xfId="26522" builtinId="9" hidden="1"/>
    <cellStyle name="Followed Hyperlink" xfId="26523" builtinId="9" hidden="1"/>
    <cellStyle name="Followed Hyperlink" xfId="26524" builtinId="9" hidden="1"/>
    <cellStyle name="Followed Hyperlink" xfId="26525" builtinId="9" hidden="1"/>
    <cellStyle name="Followed Hyperlink" xfId="26526" builtinId="9" hidden="1"/>
    <cellStyle name="Followed Hyperlink" xfId="26527" builtinId="9" hidden="1"/>
    <cellStyle name="Followed Hyperlink" xfId="26528" builtinId="9" hidden="1"/>
    <cellStyle name="Followed Hyperlink" xfId="26529" builtinId="9" hidden="1"/>
    <cellStyle name="Followed Hyperlink" xfId="26530" builtinId="9" hidden="1"/>
    <cellStyle name="Followed Hyperlink" xfId="26531" builtinId="9" hidden="1"/>
    <cellStyle name="Followed Hyperlink" xfId="26532" builtinId="9" hidden="1"/>
    <cellStyle name="Followed Hyperlink" xfId="26533" builtinId="9" hidden="1"/>
    <cellStyle name="Followed Hyperlink" xfId="26534" builtinId="9" hidden="1"/>
    <cellStyle name="Followed Hyperlink" xfId="26535" builtinId="9" hidden="1"/>
    <cellStyle name="Followed Hyperlink" xfId="26286" builtinId="9" hidden="1"/>
    <cellStyle name="Followed Hyperlink" xfId="26496" builtinId="9" hidden="1"/>
    <cellStyle name="Followed Hyperlink" xfId="26537" builtinId="9" hidden="1"/>
    <cellStyle name="Followed Hyperlink" xfId="26538" builtinId="9" hidden="1"/>
    <cellStyle name="Followed Hyperlink" xfId="26539" builtinId="9" hidden="1"/>
    <cellStyle name="Followed Hyperlink" xfId="26540" builtinId="9" hidden="1"/>
    <cellStyle name="Followed Hyperlink" xfId="26541" builtinId="9" hidden="1"/>
    <cellStyle name="Followed Hyperlink" xfId="26542" builtinId="9" hidden="1"/>
    <cellStyle name="Followed Hyperlink" xfId="26543" builtinId="9" hidden="1"/>
    <cellStyle name="Followed Hyperlink" xfId="26544" builtinId="9" hidden="1"/>
    <cellStyle name="Followed Hyperlink" xfId="26545" builtinId="9" hidden="1"/>
    <cellStyle name="Followed Hyperlink" xfId="26546" builtinId="9" hidden="1"/>
    <cellStyle name="Followed Hyperlink" xfId="26547" builtinId="9" hidden="1"/>
    <cellStyle name="Followed Hyperlink" xfId="26548" builtinId="9" hidden="1"/>
    <cellStyle name="Followed Hyperlink" xfId="26549" builtinId="9" hidden="1"/>
    <cellStyle name="Followed Hyperlink" xfId="26550" builtinId="9" hidden="1"/>
    <cellStyle name="Followed Hyperlink" xfId="26551" builtinId="9" hidden="1"/>
    <cellStyle name="Followed Hyperlink" xfId="26552" builtinId="9" hidden="1"/>
    <cellStyle name="Followed Hyperlink" xfId="26553" builtinId="9" hidden="1"/>
    <cellStyle name="Followed Hyperlink" xfId="26554" builtinId="9" hidden="1"/>
    <cellStyle name="Followed Hyperlink" xfId="26555" builtinId="9" hidden="1"/>
    <cellStyle name="Followed Hyperlink" xfId="26556" builtinId="9" hidden="1"/>
    <cellStyle name="Followed Hyperlink" xfId="26557" builtinId="9" hidden="1"/>
    <cellStyle name="Followed Hyperlink" xfId="26558" builtinId="9" hidden="1"/>
    <cellStyle name="Followed Hyperlink" xfId="26559" builtinId="9" hidden="1"/>
    <cellStyle name="Followed Hyperlink" xfId="26560" builtinId="9" hidden="1"/>
    <cellStyle name="Followed Hyperlink" xfId="26561" builtinId="9" hidden="1"/>
    <cellStyle name="Followed Hyperlink" xfId="26562" builtinId="9" hidden="1"/>
    <cellStyle name="Followed Hyperlink" xfId="26563" builtinId="9" hidden="1"/>
    <cellStyle name="Followed Hyperlink" xfId="26564" builtinId="9" hidden="1"/>
    <cellStyle name="Followed Hyperlink" xfId="26565" builtinId="9" hidden="1"/>
    <cellStyle name="Followed Hyperlink" xfId="26566" builtinId="9" hidden="1"/>
    <cellStyle name="Followed Hyperlink" xfId="26567" builtinId="9" hidden="1"/>
    <cellStyle name="Followed Hyperlink" xfId="26568" builtinId="9" hidden="1"/>
    <cellStyle name="Followed Hyperlink" xfId="26569" builtinId="9" hidden="1"/>
    <cellStyle name="Followed Hyperlink" xfId="26570" builtinId="9" hidden="1"/>
    <cellStyle name="Followed Hyperlink" xfId="26571" builtinId="9" hidden="1"/>
    <cellStyle name="Followed Hyperlink" xfId="26572" builtinId="9" hidden="1"/>
    <cellStyle name="Followed Hyperlink" xfId="26573" builtinId="9" hidden="1"/>
    <cellStyle name="Followed Hyperlink" xfId="26574" builtinId="9" hidden="1"/>
    <cellStyle name="Followed Hyperlink" xfId="26575" builtinId="9" hidden="1"/>
    <cellStyle name="Followed Hyperlink" xfId="26288" builtinId="9" hidden="1"/>
    <cellStyle name="Followed Hyperlink" xfId="26536" builtinId="9" hidden="1"/>
    <cellStyle name="Followed Hyperlink" xfId="26577" builtinId="9" hidden="1"/>
    <cellStyle name="Followed Hyperlink" xfId="26578" builtinId="9" hidden="1"/>
    <cellStyle name="Followed Hyperlink" xfId="26579" builtinId="9" hidden="1"/>
    <cellStyle name="Followed Hyperlink" xfId="26580" builtinId="9" hidden="1"/>
    <cellStyle name="Followed Hyperlink" xfId="26581" builtinId="9" hidden="1"/>
    <cellStyle name="Followed Hyperlink" xfId="26582" builtinId="9" hidden="1"/>
    <cellStyle name="Followed Hyperlink" xfId="26583" builtinId="9" hidden="1"/>
    <cellStyle name="Followed Hyperlink" xfId="26584" builtinId="9" hidden="1"/>
    <cellStyle name="Followed Hyperlink" xfId="26585" builtinId="9" hidden="1"/>
    <cellStyle name="Followed Hyperlink" xfId="26586" builtinId="9" hidden="1"/>
    <cellStyle name="Followed Hyperlink" xfId="26587" builtinId="9" hidden="1"/>
    <cellStyle name="Followed Hyperlink" xfId="26588" builtinId="9" hidden="1"/>
    <cellStyle name="Followed Hyperlink" xfId="26589" builtinId="9" hidden="1"/>
    <cellStyle name="Followed Hyperlink" xfId="26590" builtinId="9" hidden="1"/>
    <cellStyle name="Followed Hyperlink" xfId="26591" builtinId="9" hidden="1"/>
    <cellStyle name="Followed Hyperlink" xfId="26592" builtinId="9" hidden="1"/>
    <cellStyle name="Followed Hyperlink" xfId="26593" builtinId="9" hidden="1"/>
    <cellStyle name="Followed Hyperlink" xfId="26594" builtinId="9" hidden="1"/>
    <cellStyle name="Followed Hyperlink" xfId="26595" builtinId="9" hidden="1"/>
    <cellStyle name="Followed Hyperlink" xfId="26596" builtinId="9" hidden="1"/>
    <cellStyle name="Followed Hyperlink" xfId="26597" builtinId="9" hidden="1"/>
    <cellStyle name="Followed Hyperlink" xfId="26598" builtinId="9" hidden="1"/>
    <cellStyle name="Followed Hyperlink" xfId="26599" builtinId="9" hidden="1"/>
    <cellStyle name="Followed Hyperlink" xfId="26600" builtinId="9" hidden="1"/>
    <cellStyle name="Followed Hyperlink" xfId="26601" builtinId="9" hidden="1"/>
    <cellStyle name="Followed Hyperlink" xfId="26602" builtinId="9" hidden="1"/>
    <cellStyle name="Followed Hyperlink" xfId="26603" builtinId="9" hidden="1"/>
    <cellStyle name="Followed Hyperlink" xfId="26604" builtinId="9" hidden="1"/>
    <cellStyle name="Followed Hyperlink" xfId="26605" builtinId="9" hidden="1"/>
    <cellStyle name="Followed Hyperlink" xfId="26606" builtinId="9" hidden="1"/>
    <cellStyle name="Followed Hyperlink" xfId="26607" builtinId="9" hidden="1"/>
    <cellStyle name="Followed Hyperlink" xfId="26608" builtinId="9" hidden="1"/>
    <cellStyle name="Followed Hyperlink" xfId="26609" builtinId="9" hidden="1"/>
    <cellStyle name="Followed Hyperlink" xfId="26610" builtinId="9" hidden="1"/>
    <cellStyle name="Followed Hyperlink" xfId="26611" builtinId="9" hidden="1"/>
    <cellStyle name="Followed Hyperlink" xfId="26612" builtinId="9" hidden="1"/>
    <cellStyle name="Followed Hyperlink" xfId="26613" builtinId="9" hidden="1"/>
    <cellStyle name="Followed Hyperlink" xfId="26614" builtinId="9" hidden="1"/>
    <cellStyle name="Followed Hyperlink" xfId="26615" builtinId="9" hidden="1"/>
    <cellStyle name="Followed Hyperlink" xfId="26289" builtinId="9" hidden="1"/>
    <cellStyle name="Followed Hyperlink" xfId="26576" builtinId="9" hidden="1"/>
    <cellStyle name="Followed Hyperlink" xfId="26617" builtinId="9" hidden="1"/>
    <cellStyle name="Followed Hyperlink" xfId="26618" builtinId="9" hidden="1"/>
    <cellStyle name="Followed Hyperlink" xfId="26619" builtinId="9" hidden="1"/>
    <cellStyle name="Followed Hyperlink" xfId="26620" builtinId="9" hidden="1"/>
    <cellStyle name="Followed Hyperlink" xfId="26621" builtinId="9" hidden="1"/>
    <cellStyle name="Followed Hyperlink" xfId="26622" builtinId="9" hidden="1"/>
    <cellStyle name="Followed Hyperlink" xfId="26623" builtinId="9" hidden="1"/>
    <cellStyle name="Followed Hyperlink" xfId="26624" builtinId="9" hidden="1"/>
    <cellStyle name="Followed Hyperlink" xfId="26625" builtinId="9" hidden="1"/>
    <cellStyle name="Followed Hyperlink" xfId="26626" builtinId="9" hidden="1"/>
    <cellStyle name="Followed Hyperlink" xfId="26627" builtinId="9" hidden="1"/>
    <cellStyle name="Followed Hyperlink" xfId="26628" builtinId="9" hidden="1"/>
    <cellStyle name="Followed Hyperlink" xfId="26629" builtinId="9" hidden="1"/>
    <cellStyle name="Followed Hyperlink" xfId="26630" builtinId="9" hidden="1"/>
    <cellStyle name="Followed Hyperlink" xfId="26631" builtinId="9" hidden="1"/>
    <cellStyle name="Followed Hyperlink" xfId="26632" builtinId="9" hidden="1"/>
    <cellStyle name="Followed Hyperlink" xfId="26633" builtinId="9" hidden="1"/>
    <cellStyle name="Followed Hyperlink" xfId="26634" builtinId="9" hidden="1"/>
    <cellStyle name="Followed Hyperlink" xfId="26635" builtinId="9" hidden="1"/>
    <cellStyle name="Followed Hyperlink" xfId="26636" builtinId="9" hidden="1"/>
    <cellStyle name="Followed Hyperlink" xfId="26637" builtinId="9" hidden="1"/>
    <cellStyle name="Followed Hyperlink" xfId="26638" builtinId="9" hidden="1"/>
    <cellStyle name="Followed Hyperlink" xfId="26639" builtinId="9" hidden="1"/>
    <cellStyle name="Followed Hyperlink" xfId="26640" builtinId="9" hidden="1"/>
    <cellStyle name="Followed Hyperlink" xfId="26641" builtinId="9" hidden="1"/>
    <cellStyle name="Followed Hyperlink" xfId="26642" builtinId="9" hidden="1"/>
    <cellStyle name="Followed Hyperlink" xfId="26643" builtinId="9" hidden="1"/>
    <cellStyle name="Followed Hyperlink" xfId="26644" builtinId="9" hidden="1"/>
    <cellStyle name="Followed Hyperlink" xfId="26645" builtinId="9" hidden="1"/>
    <cellStyle name="Followed Hyperlink" xfId="26646" builtinId="9" hidden="1"/>
    <cellStyle name="Followed Hyperlink" xfId="26647" builtinId="9" hidden="1"/>
    <cellStyle name="Followed Hyperlink" xfId="26648" builtinId="9" hidden="1"/>
    <cellStyle name="Followed Hyperlink" xfId="26649" builtinId="9" hidden="1"/>
    <cellStyle name="Followed Hyperlink" xfId="26650" builtinId="9" hidden="1"/>
    <cellStyle name="Followed Hyperlink" xfId="26651" builtinId="9" hidden="1"/>
    <cellStyle name="Followed Hyperlink" xfId="26652" builtinId="9" hidden="1"/>
    <cellStyle name="Followed Hyperlink" xfId="26653" builtinId="9" hidden="1"/>
    <cellStyle name="Followed Hyperlink" xfId="26654" builtinId="9" hidden="1"/>
    <cellStyle name="Followed Hyperlink" xfId="26655" builtinId="9" hidden="1"/>
    <cellStyle name="Followed Hyperlink" xfId="26291" builtinId="9" hidden="1"/>
    <cellStyle name="Followed Hyperlink" xfId="26616" builtinId="9" hidden="1"/>
    <cellStyle name="Followed Hyperlink" xfId="26657" builtinId="9" hidden="1"/>
    <cellStyle name="Followed Hyperlink" xfId="26658" builtinId="9" hidden="1"/>
    <cellStyle name="Followed Hyperlink" xfId="26659" builtinId="9" hidden="1"/>
    <cellStyle name="Followed Hyperlink" xfId="26660" builtinId="9" hidden="1"/>
    <cellStyle name="Followed Hyperlink" xfId="26661" builtinId="9" hidden="1"/>
    <cellStyle name="Followed Hyperlink" xfId="26662" builtinId="9" hidden="1"/>
    <cellStyle name="Followed Hyperlink" xfId="26663" builtinId="9" hidden="1"/>
    <cellStyle name="Followed Hyperlink" xfId="26664" builtinId="9" hidden="1"/>
    <cellStyle name="Followed Hyperlink" xfId="26665" builtinId="9" hidden="1"/>
    <cellStyle name="Followed Hyperlink" xfId="26666" builtinId="9" hidden="1"/>
    <cellStyle name="Followed Hyperlink" xfId="26667" builtinId="9" hidden="1"/>
    <cellStyle name="Followed Hyperlink" xfId="26668" builtinId="9" hidden="1"/>
    <cellStyle name="Followed Hyperlink" xfId="26669" builtinId="9" hidden="1"/>
    <cellStyle name="Followed Hyperlink" xfId="26670" builtinId="9" hidden="1"/>
    <cellStyle name="Followed Hyperlink" xfId="26671" builtinId="9" hidden="1"/>
    <cellStyle name="Followed Hyperlink" xfId="26672" builtinId="9" hidden="1"/>
    <cellStyle name="Followed Hyperlink" xfId="26673" builtinId="9" hidden="1"/>
    <cellStyle name="Followed Hyperlink" xfId="26674" builtinId="9" hidden="1"/>
    <cellStyle name="Followed Hyperlink" xfId="26675" builtinId="9" hidden="1"/>
    <cellStyle name="Followed Hyperlink" xfId="26676" builtinId="9" hidden="1"/>
    <cellStyle name="Followed Hyperlink" xfId="26677" builtinId="9" hidden="1"/>
    <cellStyle name="Followed Hyperlink" xfId="26678" builtinId="9" hidden="1"/>
    <cellStyle name="Followed Hyperlink" xfId="26679" builtinId="9" hidden="1"/>
    <cellStyle name="Followed Hyperlink" xfId="26680" builtinId="9" hidden="1"/>
    <cellStyle name="Followed Hyperlink" xfId="26681" builtinId="9" hidden="1"/>
    <cellStyle name="Followed Hyperlink" xfId="26682" builtinId="9" hidden="1"/>
    <cellStyle name="Followed Hyperlink" xfId="26683" builtinId="9" hidden="1"/>
    <cellStyle name="Followed Hyperlink" xfId="26684" builtinId="9" hidden="1"/>
    <cellStyle name="Followed Hyperlink" xfId="26685" builtinId="9" hidden="1"/>
    <cellStyle name="Followed Hyperlink" xfId="26686" builtinId="9" hidden="1"/>
    <cellStyle name="Followed Hyperlink" xfId="26687" builtinId="9" hidden="1"/>
    <cellStyle name="Followed Hyperlink" xfId="26688" builtinId="9" hidden="1"/>
    <cellStyle name="Followed Hyperlink" xfId="26689" builtinId="9" hidden="1"/>
    <cellStyle name="Followed Hyperlink" xfId="26690" builtinId="9" hidden="1"/>
    <cellStyle name="Followed Hyperlink" xfId="26691" builtinId="9" hidden="1"/>
    <cellStyle name="Followed Hyperlink" xfId="26692" builtinId="9" hidden="1"/>
    <cellStyle name="Followed Hyperlink" xfId="26693" builtinId="9" hidden="1"/>
    <cellStyle name="Followed Hyperlink" xfId="26694" builtinId="9" hidden="1"/>
    <cellStyle name="Followed Hyperlink" xfId="26695" builtinId="9" hidden="1"/>
    <cellStyle name="Followed Hyperlink" xfId="26287" builtinId="9" hidden="1"/>
    <cellStyle name="Followed Hyperlink" xfId="26656" builtinId="9" hidden="1"/>
    <cellStyle name="Followed Hyperlink" xfId="26696" builtinId="9" hidden="1"/>
    <cellStyle name="Followed Hyperlink" xfId="26697" builtinId="9" hidden="1"/>
    <cellStyle name="Followed Hyperlink" xfId="26698" builtinId="9" hidden="1"/>
    <cellStyle name="Followed Hyperlink" xfId="26699" builtinId="9" hidden="1"/>
    <cellStyle name="Followed Hyperlink" xfId="26700" builtinId="9" hidden="1"/>
    <cellStyle name="Followed Hyperlink" xfId="26701" builtinId="9" hidden="1"/>
    <cellStyle name="Followed Hyperlink" xfId="26702" builtinId="9" hidden="1"/>
    <cellStyle name="Followed Hyperlink" xfId="26703" builtinId="9" hidden="1"/>
    <cellStyle name="Followed Hyperlink" xfId="26704" builtinId="9" hidden="1"/>
    <cellStyle name="Followed Hyperlink" xfId="26705" builtinId="9" hidden="1"/>
    <cellStyle name="Followed Hyperlink" xfId="26706" builtinId="9" hidden="1"/>
    <cellStyle name="Followed Hyperlink" xfId="26707" builtinId="9" hidden="1"/>
    <cellStyle name="Followed Hyperlink" xfId="26708" builtinId="9" hidden="1"/>
    <cellStyle name="Followed Hyperlink" xfId="26709" builtinId="9" hidden="1"/>
    <cellStyle name="Followed Hyperlink" xfId="26710" builtinId="9" hidden="1"/>
    <cellStyle name="Followed Hyperlink" xfId="26711" builtinId="9" hidden="1"/>
    <cellStyle name="Followed Hyperlink" xfId="26712" builtinId="9" hidden="1"/>
    <cellStyle name="Followed Hyperlink" xfId="26713" builtinId="9" hidden="1"/>
    <cellStyle name="Followed Hyperlink" xfId="26714" builtinId="9" hidden="1"/>
    <cellStyle name="Followed Hyperlink" xfId="26715" builtinId="9" hidden="1"/>
    <cellStyle name="Followed Hyperlink" xfId="26716" builtinId="9" hidden="1"/>
    <cellStyle name="Followed Hyperlink" xfId="26717" builtinId="9" hidden="1"/>
    <cellStyle name="Followed Hyperlink" xfId="26718" builtinId="9" hidden="1"/>
    <cellStyle name="Followed Hyperlink" xfId="26719" builtinId="9" hidden="1"/>
    <cellStyle name="Followed Hyperlink" xfId="26720" builtinId="9" hidden="1"/>
    <cellStyle name="Followed Hyperlink" xfId="26721" builtinId="9" hidden="1"/>
    <cellStyle name="Followed Hyperlink" xfId="26722" builtinId="9" hidden="1"/>
    <cellStyle name="Followed Hyperlink" xfId="26723" builtinId="9" hidden="1"/>
    <cellStyle name="Followed Hyperlink" xfId="26724" builtinId="9" hidden="1"/>
    <cellStyle name="Followed Hyperlink" xfId="26725" builtinId="9" hidden="1"/>
    <cellStyle name="Followed Hyperlink" xfId="26726" builtinId="9" hidden="1"/>
    <cellStyle name="Followed Hyperlink" xfId="26727" builtinId="9" hidden="1"/>
    <cellStyle name="Followed Hyperlink" xfId="26728" builtinId="9" hidden="1"/>
    <cellStyle name="Followed Hyperlink" xfId="26729" builtinId="9" hidden="1"/>
    <cellStyle name="Followed Hyperlink" xfId="26730" builtinId="9" hidden="1"/>
    <cellStyle name="Followed Hyperlink" xfId="26731" builtinId="9" hidden="1"/>
    <cellStyle name="Followed Hyperlink" xfId="26732" builtinId="9" hidden="1"/>
    <cellStyle name="Followed Hyperlink" xfId="26733" builtinId="9" hidden="1"/>
    <cellStyle name="Followed Hyperlink" xfId="26734" builtinId="9" hidden="1"/>
    <cellStyle name="Followed Hyperlink" xfId="25241" builtinId="9" hidden="1"/>
    <cellStyle name="Followed Hyperlink" xfId="25257" builtinId="9" hidden="1"/>
    <cellStyle name="Followed Hyperlink" xfId="26735" builtinId="9" hidden="1"/>
    <cellStyle name="Followed Hyperlink" xfId="26736" builtinId="9" hidden="1"/>
    <cellStyle name="Followed Hyperlink" xfId="26737" builtinId="9" hidden="1"/>
    <cellStyle name="Followed Hyperlink" xfId="26738" builtinId="9" hidden="1"/>
    <cellStyle name="Followed Hyperlink" xfId="26739" builtinId="9" hidden="1"/>
    <cellStyle name="Followed Hyperlink" xfId="26740" builtinId="9" hidden="1"/>
    <cellStyle name="Followed Hyperlink" xfId="26741" builtinId="9" hidden="1"/>
    <cellStyle name="Followed Hyperlink" xfId="26742" builtinId="9" hidden="1"/>
    <cellStyle name="Followed Hyperlink" xfId="26743" builtinId="9" hidden="1"/>
    <cellStyle name="Followed Hyperlink" xfId="26744" builtinId="9" hidden="1"/>
    <cellStyle name="Followed Hyperlink" xfId="26745" builtinId="9" hidden="1"/>
    <cellStyle name="Followed Hyperlink" xfId="26746" builtinId="9" hidden="1"/>
    <cellStyle name="Followed Hyperlink" xfId="26747" builtinId="9" hidden="1"/>
    <cellStyle name="Followed Hyperlink" xfId="26748" builtinId="9" hidden="1"/>
    <cellStyle name="Followed Hyperlink" xfId="26749" builtinId="9" hidden="1"/>
    <cellStyle name="Followed Hyperlink" xfId="26750" builtinId="9" hidden="1"/>
    <cellStyle name="Followed Hyperlink" xfId="26751" builtinId="9" hidden="1"/>
    <cellStyle name="Followed Hyperlink" xfId="26752" builtinId="9" hidden="1"/>
    <cellStyle name="Followed Hyperlink" xfId="26753" builtinId="9" hidden="1"/>
    <cellStyle name="Followed Hyperlink" xfId="26754" builtinId="9" hidden="1"/>
    <cellStyle name="Followed Hyperlink" xfId="26755" builtinId="9" hidden="1"/>
    <cellStyle name="Followed Hyperlink" xfId="26756" builtinId="9" hidden="1"/>
    <cellStyle name="Followed Hyperlink" xfId="26757" builtinId="9" hidden="1"/>
    <cellStyle name="Followed Hyperlink" xfId="26758" builtinId="9" hidden="1"/>
    <cellStyle name="Followed Hyperlink" xfId="26759" builtinId="9" hidden="1"/>
    <cellStyle name="Followed Hyperlink" xfId="26760" builtinId="9" hidden="1"/>
    <cellStyle name="Followed Hyperlink" xfId="26761" builtinId="9" hidden="1"/>
    <cellStyle name="Followed Hyperlink" xfId="26762" builtinId="9" hidden="1"/>
    <cellStyle name="Followed Hyperlink" xfId="26763" builtinId="9" hidden="1"/>
    <cellStyle name="Followed Hyperlink" xfId="26764" builtinId="9" hidden="1"/>
    <cellStyle name="Followed Hyperlink" xfId="26765" builtinId="9" hidden="1"/>
    <cellStyle name="Followed Hyperlink" xfId="26766" builtinId="9" hidden="1"/>
    <cellStyle name="Followed Hyperlink" xfId="26767" builtinId="9" hidden="1"/>
    <cellStyle name="Followed Hyperlink" xfId="26768" builtinId="9" hidden="1"/>
    <cellStyle name="Followed Hyperlink" xfId="26769" builtinId="9" hidden="1"/>
    <cellStyle name="Followed Hyperlink" xfId="26770" builtinId="9" hidden="1"/>
    <cellStyle name="Followed Hyperlink" xfId="26771" builtinId="9" hidden="1"/>
    <cellStyle name="Followed Hyperlink" xfId="26772" builtinId="9" hidden="1"/>
    <cellStyle name="Followed Hyperlink" xfId="26773" builtinId="9" hidden="1"/>
    <cellStyle name="Followed Hyperlink" xfId="26782" builtinId="9" hidden="1"/>
    <cellStyle name="Followed Hyperlink" xfId="26783" builtinId="9" hidden="1"/>
    <cellStyle name="Followed Hyperlink" xfId="26784" builtinId="9" hidden="1"/>
    <cellStyle name="Followed Hyperlink" xfId="26785" builtinId="9" hidden="1"/>
    <cellStyle name="Followed Hyperlink" xfId="26786" builtinId="9" hidden="1"/>
    <cellStyle name="Followed Hyperlink" xfId="26787" builtinId="9" hidden="1"/>
    <cellStyle name="Followed Hyperlink" xfId="26788" builtinId="9" hidden="1"/>
    <cellStyle name="Followed Hyperlink" xfId="26789" builtinId="9" hidden="1"/>
    <cellStyle name="Followed Hyperlink" xfId="26790" builtinId="9" hidden="1"/>
    <cellStyle name="Followed Hyperlink" xfId="26791" builtinId="9" hidden="1"/>
    <cellStyle name="Followed Hyperlink" xfId="26792" builtinId="9" hidden="1"/>
    <cellStyle name="Followed Hyperlink" xfId="26793" builtinId="9" hidden="1"/>
    <cellStyle name="Followed Hyperlink" xfId="26794" builtinId="9" hidden="1"/>
    <cellStyle name="Followed Hyperlink" xfId="26795" builtinId="9" hidden="1"/>
    <cellStyle name="Followed Hyperlink" xfId="26796" builtinId="9" hidden="1"/>
    <cellStyle name="Followed Hyperlink" xfId="26797" builtinId="9" hidden="1"/>
    <cellStyle name="Followed Hyperlink" xfId="26798" builtinId="9" hidden="1"/>
    <cellStyle name="Followed Hyperlink" xfId="26799" builtinId="9" hidden="1"/>
    <cellStyle name="Followed Hyperlink" xfId="26800" builtinId="9" hidden="1"/>
    <cellStyle name="Followed Hyperlink" xfId="26801" builtinId="9" hidden="1"/>
    <cellStyle name="Followed Hyperlink" xfId="26802" builtinId="9" hidden="1"/>
    <cellStyle name="Followed Hyperlink" xfId="26803" builtinId="9" hidden="1"/>
    <cellStyle name="Followed Hyperlink" xfId="26804" builtinId="9" hidden="1"/>
    <cellStyle name="Followed Hyperlink" xfId="26805" builtinId="9" hidden="1"/>
    <cellStyle name="Followed Hyperlink" xfId="26806" builtinId="9" hidden="1"/>
    <cellStyle name="Followed Hyperlink" xfId="26807" builtinId="9" hidden="1"/>
    <cellStyle name="Followed Hyperlink" xfId="26808" builtinId="9" hidden="1"/>
    <cellStyle name="Followed Hyperlink" xfId="26809" builtinId="9" hidden="1"/>
    <cellStyle name="Followed Hyperlink" xfId="26810" builtinId="9" hidden="1"/>
    <cellStyle name="Followed Hyperlink" xfId="26811" builtinId="9" hidden="1"/>
    <cellStyle name="Followed Hyperlink" xfId="26812" builtinId="9" hidden="1"/>
    <cellStyle name="Followed Hyperlink" xfId="26813" builtinId="9" hidden="1"/>
    <cellStyle name="Followed Hyperlink" xfId="26814" builtinId="9" hidden="1"/>
    <cellStyle name="Followed Hyperlink" xfId="26815" builtinId="9" hidden="1"/>
    <cellStyle name="Followed Hyperlink" xfId="26816" builtinId="9" hidden="1"/>
    <cellStyle name="Followed Hyperlink" xfId="26817" builtinId="9" hidden="1"/>
    <cellStyle name="Followed Hyperlink" xfId="26818" builtinId="9" hidden="1"/>
    <cellStyle name="Followed Hyperlink" xfId="26819" builtinId="9" hidden="1"/>
    <cellStyle name="Followed Hyperlink" xfId="26820" builtinId="9" hidden="1"/>
    <cellStyle name="Followed Hyperlink" xfId="26821" builtinId="9" hidden="1"/>
    <cellStyle name="Followed Hyperlink" xfId="26822" builtinId="9" hidden="1"/>
    <cellStyle name="Followed Hyperlink" xfId="26823" builtinId="9" hidden="1"/>
    <cellStyle name="Followed Hyperlink" xfId="26824" builtinId="9" hidden="1"/>
    <cellStyle name="Followed Hyperlink" xfId="26825" builtinId="9" hidden="1"/>
    <cellStyle name="Followed Hyperlink" xfId="26826" builtinId="9" hidden="1"/>
    <cellStyle name="Followed Hyperlink" xfId="26827" builtinId="9" hidden="1"/>
    <cellStyle name="Followed Hyperlink" xfId="26828" builtinId="9" hidden="1"/>
    <cellStyle name="Followed Hyperlink" xfId="26829" builtinId="9" hidden="1"/>
    <cellStyle name="Followed Hyperlink" xfId="26830" builtinId="9" hidden="1"/>
    <cellStyle name="Followed Hyperlink" xfId="26831" builtinId="9" hidden="1"/>
    <cellStyle name="Followed Hyperlink" xfId="26832" builtinId="9" hidden="1"/>
    <cellStyle name="Followed Hyperlink" xfId="26833" builtinId="9" hidden="1"/>
    <cellStyle name="Followed Hyperlink" xfId="26834" builtinId="9" hidden="1"/>
    <cellStyle name="Followed Hyperlink" xfId="26835" builtinId="9" hidden="1"/>
    <cellStyle name="Followed Hyperlink" xfId="26836" builtinId="9" hidden="1"/>
    <cellStyle name="Followed Hyperlink" xfId="26837" builtinId="9" hidden="1"/>
    <cellStyle name="Followed Hyperlink" xfId="26838" builtinId="9" hidden="1"/>
    <cellStyle name="Followed Hyperlink" xfId="26839" builtinId="9" hidden="1"/>
    <cellStyle name="Followed Hyperlink" xfId="26840" builtinId="9" hidden="1"/>
    <cellStyle name="Followed Hyperlink" xfId="26841" builtinId="9" hidden="1"/>
    <cellStyle name="Followed Hyperlink" xfId="26842" builtinId="9" hidden="1"/>
    <cellStyle name="Followed Hyperlink" xfId="26843" builtinId="9" hidden="1"/>
    <cellStyle name="Followed Hyperlink" xfId="26844" builtinId="9" hidden="1"/>
    <cellStyle name="Followed Hyperlink" xfId="26845" builtinId="9" hidden="1"/>
    <cellStyle name="Followed Hyperlink" xfId="26846" builtinId="9" hidden="1"/>
    <cellStyle name="Followed Hyperlink" xfId="26847" builtinId="9" hidden="1"/>
    <cellStyle name="Followed Hyperlink" xfId="26848" builtinId="9" hidden="1"/>
    <cellStyle name="Followed Hyperlink" xfId="26849" builtinId="9" hidden="1"/>
    <cellStyle name="Followed Hyperlink" xfId="26850" builtinId="9" hidden="1"/>
    <cellStyle name="Followed Hyperlink" xfId="26851" builtinId="9" hidden="1"/>
    <cellStyle name="Followed Hyperlink" xfId="26852" builtinId="9" hidden="1"/>
    <cellStyle name="Followed Hyperlink" xfId="26853" builtinId="9" hidden="1"/>
    <cellStyle name="Followed Hyperlink" xfId="26854" builtinId="9" hidden="1"/>
    <cellStyle name="Followed Hyperlink" xfId="26855" builtinId="9" hidden="1"/>
    <cellStyle name="Followed Hyperlink" xfId="26856" builtinId="9" hidden="1"/>
    <cellStyle name="Followed Hyperlink" xfId="26857" builtinId="9" hidden="1"/>
    <cellStyle name="Followed Hyperlink" xfId="26858" builtinId="9" hidden="1"/>
    <cellStyle name="Followed Hyperlink" xfId="26859" builtinId="9" hidden="1"/>
    <cellStyle name="Followed Hyperlink" xfId="26860" builtinId="9" hidden="1"/>
    <cellStyle name="Followed Hyperlink" xfId="26861" builtinId="9" hidden="1"/>
    <cellStyle name="Followed Hyperlink" xfId="26862" builtinId="9" hidden="1"/>
    <cellStyle name="Followed Hyperlink" xfId="26863" builtinId="9" hidden="1"/>
    <cellStyle name="Followed Hyperlink" xfId="26864" builtinId="9" hidden="1"/>
    <cellStyle name="Followed Hyperlink" xfId="26865" builtinId="9" hidden="1"/>
    <cellStyle name="Followed Hyperlink" xfId="26866" builtinId="9" hidden="1"/>
    <cellStyle name="Followed Hyperlink" xfId="26867" builtinId="9" hidden="1"/>
    <cellStyle name="Followed Hyperlink" xfId="26868" builtinId="9" hidden="1"/>
    <cellStyle name="Followed Hyperlink" xfId="26869" builtinId="9" hidden="1"/>
    <cellStyle name="Followed Hyperlink" xfId="26870" builtinId="9" hidden="1"/>
    <cellStyle name="Followed Hyperlink" xfId="26871" builtinId="9" hidden="1"/>
    <cellStyle name="Followed Hyperlink" xfId="26872" builtinId="9" hidden="1"/>
    <cellStyle name="Followed Hyperlink" xfId="26873" builtinId="9" hidden="1"/>
    <cellStyle name="Followed Hyperlink" xfId="26874" builtinId="9" hidden="1"/>
    <cellStyle name="Followed Hyperlink" xfId="26875" builtinId="9" hidden="1"/>
    <cellStyle name="Followed Hyperlink" xfId="26876" builtinId="9" hidden="1"/>
    <cellStyle name="Followed Hyperlink" xfId="26877" builtinId="9" hidden="1"/>
    <cellStyle name="Followed Hyperlink" xfId="26878" builtinId="9" hidden="1"/>
    <cellStyle name="Followed Hyperlink" xfId="26879" builtinId="9" hidden="1"/>
    <cellStyle name="Followed Hyperlink" xfId="26880" builtinId="9" hidden="1"/>
    <cellStyle name="Followed Hyperlink" xfId="26881" builtinId="9" hidden="1"/>
    <cellStyle name="Followed Hyperlink" xfId="26882" builtinId="9" hidden="1"/>
    <cellStyle name="Followed Hyperlink" xfId="26883" builtinId="9" hidden="1"/>
    <cellStyle name="Followed Hyperlink" xfId="26884" builtinId="9" hidden="1"/>
    <cellStyle name="Followed Hyperlink" xfId="26885" builtinId="9" hidden="1"/>
    <cellStyle name="Followed Hyperlink" xfId="26886" builtinId="9" hidden="1"/>
    <cellStyle name="Followed Hyperlink" xfId="26887" builtinId="9" hidden="1"/>
    <cellStyle name="Followed Hyperlink" xfId="26888" builtinId="9" hidden="1"/>
    <cellStyle name="Followed Hyperlink" xfId="26889" builtinId="9" hidden="1"/>
    <cellStyle name="Followed Hyperlink" xfId="26890" builtinId="9" hidden="1"/>
    <cellStyle name="Followed Hyperlink" xfId="26891" builtinId="9" hidden="1"/>
    <cellStyle name="Followed Hyperlink" xfId="26892" builtinId="9" hidden="1"/>
    <cellStyle name="Followed Hyperlink" xfId="26893" builtinId="9" hidden="1"/>
    <cellStyle name="Followed Hyperlink" xfId="26894" builtinId="9" hidden="1"/>
    <cellStyle name="Followed Hyperlink" xfId="26895" builtinId="9" hidden="1"/>
    <cellStyle name="Followed Hyperlink" xfId="26896" builtinId="9" hidden="1"/>
    <cellStyle name="Followed Hyperlink" xfId="26897" builtinId="9" hidden="1"/>
    <cellStyle name="Followed Hyperlink" xfId="26898" builtinId="9" hidden="1"/>
    <cellStyle name="Followed Hyperlink" xfId="26899" builtinId="9" hidden="1"/>
    <cellStyle name="Followed Hyperlink" xfId="26900" builtinId="9" hidden="1"/>
    <cellStyle name="Followed Hyperlink" xfId="26901" builtinId="9" hidden="1"/>
    <cellStyle name="Followed Hyperlink" xfId="26902" builtinId="9" hidden="1"/>
    <cellStyle name="Followed Hyperlink" xfId="26903" builtinId="9" hidden="1"/>
    <cellStyle name="Followed Hyperlink" xfId="26904" builtinId="9" hidden="1"/>
    <cellStyle name="Followed Hyperlink" xfId="26774" builtinId="9" hidden="1"/>
    <cellStyle name="Followed Hyperlink" xfId="25242" builtinId="9" hidden="1"/>
    <cellStyle name="Followed Hyperlink" xfId="26906" builtinId="9" hidden="1"/>
    <cellStyle name="Followed Hyperlink" xfId="26907" builtinId="9" hidden="1"/>
    <cellStyle name="Followed Hyperlink" xfId="26908" builtinId="9" hidden="1"/>
    <cellStyle name="Followed Hyperlink" xfId="26909" builtinId="9" hidden="1"/>
    <cellStyle name="Followed Hyperlink" xfId="26910" builtinId="9" hidden="1"/>
    <cellStyle name="Followed Hyperlink" xfId="26911" builtinId="9" hidden="1"/>
    <cellStyle name="Followed Hyperlink" xfId="26912" builtinId="9" hidden="1"/>
    <cellStyle name="Followed Hyperlink" xfId="26913" builtinId="9" hidden="1"/>
    <cellStyle name="Followed Hyperlink" xfId="26914" builtinId="9" hidden="1"/>
    <cellStyle name="Followed Hyperlink" xfId="26915" builtinId="9" hidden="1"/>
    <cellStyle name="Followed Hyperlink" xfId="26916" builtinId="9" hidden="1"/>
    <cellStyle name="Followed Hyperlink" xfId="26917" builtinId="9" hidden="1"/>
    <cellStyle name="Followed Hyperlink" xfId="26918" builtinId="9" hidden="1"/>
    <cellStyle name="Followed Hyperlink" xfId="26919" builtinId="9" hidden="1"/>
    <cellStyle name="Followed Hyperlink" xfId="26920" builtinId="9" hidden="1"/>
    <cellStyle name="Followed Hyperlink" xfId="26921" builtinId="9" hidden="1"/>
    <cellStyle name="Followed Hyperlink" xfId="26922" builtinId="9" hidden="1"/>
    <cellStyle name="Followed Hyperlink" xfId="26923" builtinId="9" hidden="1"/>
    <cellStyle name="Followed Hyperlink" xfId="26924" builtinId="9" hidden="1"/>
    <cellStyle name="Followed Hyperlink" xfId="26925" builtinId="9" hidden="1"/>
    <cellStyle name="Followed Hyperlink" xfId="26926" builtinId="9" hidden="1"/>
    <cellStyle name="Followed Hyperlink" xfId="26927" builtinId="9" hidden="1"/>
    <cellStyle name="Followed Hyperlink" xfId="26928" builtinId="9" hidden="1"/>
    <cellStyle name="Followed Hyperlink" xfId="26929" builtinId="9" hidden="1"/>
    <cellStyle name="Followed Hyperlink" xfId="26930" builtinId="9" hidden="1"/>
    <cellStyle name="Followed Hyperlink" xfId="26931" builtinId="9" hidden="1"/>
    <cellStyle name="Followed Hyperlink" xfId="26932" builtinId="9" hidden="1"/>
    <cellStyle name="Followed Hyperlink" xfId="26933" builtinId="9" hidden="1"/>
    <cellStyle name="Followed Hyperlink" xfId="26934" builtinId="9" hidden="1"/>
    <cellStyle name="Followed Hyperlink" xfId="26935" builtinId="9" hidden="1"/>
    <cellStyle name="Followed Hyperlink" xfId="26936" builtinId="9" hidden="1"/>
    <cellStyle name="Followed Hyperlink" xfId="26937" builtinId="9" hidden="1"/>
    <cellStyle name="Followed Hyperlink" xfId="26938" builtinId="9" hidden="1"/>
    <cellStyle name="Followed Hyperlink" xfId="26939" builtinId="9" hidden="1"/>
    <cellStyle name="Followed Hyperlink" xfId="26940" builtinId="9" hidden="1"/>
    <cellStyle name="Followed Hyperlink" xfId="26941" builtinId="9" hidden="1"/>
    <cellStyle name="Followed Hyperlink" xfId="26942" builtinId="9" hidden="1"/>
    <cellStyle name="Followed Hyperlink" xfId="26943" builtinId="9" hidden="1"/>
    <cellStyle name="Followed Hyperlink" xfId="26944" builtinId="9" hidden="1"/>
    <cellStyle name="Followed Hyperlink" xfId="26779" builtinId="9" hidden="1"/>
    <cellStyle name="Followed Hyperlink" xfId="26905" builtinId="9" hidden="1"/>
    <cellStyle name="Followed Hyperlink" xfId="26946" builtinId="9" hidden="1"/>
    <cellStyle name="Followed Hyperlink" xfId="26947" builtinId="9" hidden="1"/>
    <cellStyle name="Followed Hyperlink" xfId="26948" builtinId="9" hidden="1"/>
    <cellStyle name="Followed Hyperlink" xfId="26949" builtinId="9" hidden="1"/>
    <cellStyle name="Followed Hyperlink" xfId="26950" builtinId="9" hidden="1"/>
    <cellStyle name="Followed Hyperlink" xfId="26951" builtinId="9" hidden="1"/>
    <cellStyle name="Followed Hyperlink" xfId="26952" builtinId="9" hidden="1"/>
    <cellStyle name="Followed Hyperlink" xfId="26953" builtinId="9" hidden="1"/>
    <cellStyle name="Followed Hyperlink" xfId="26954" builtinId="9" hidden="1"/>
    <cellStyle name="Followed Hyperlink" xfId="26955" builtinId="9" hidden="1"/>
    <cellStyle name="Followed Hyperlink" xfId="26956" builtinId="9" hidden="1"/>
    <cellStyle name="Followed Hyperlink" xfId="26957" builtinId="9" hidden="1"/>
    <cellStyle name="Followed Hyperlink" xfId="26958" builtinId="9" hidden="1"/>
    <cellStyle name="Followed Hyperlink" xfId="26959" builtinId="9" hidden="1"/>
    <cellStyle name="Followed Hyperlink" xfId="26960" builtinId="9" hidden="1"/>
    <cellStyle name="Followed Hyperlink" xfId="26961" builtinId="9" hidden="1"/>
    <cellStyle name="Followed Hyperlink" xfId="26962" builtinId="9" hidden="1"/>
    <cellStyle name="Followed Hyperlink" xfId="26963" builtinId="9" hidden="1"/>
    <cellStyle name="Followed Hyperlink" xfId="26964" builtinId="9" hidden="1"/>
    <cellStyle name="Followed Hyperlink" xfId="26965" builtinId="9" hidden="1"/>
    <cellStyle name="Followed Hyperlink" xfId="26966" builtinId="9" hidden="1"/>
    <cellStyle name="Followed Hyperlink" xfId="26967" builtinId="9" hidden="1"/>
    <cellStyle name="Followed Hyperlink" xfId="26968" builtinId="9" hidden="1"/>
    <cellStyle name="Followed Hyperlink" xfId="26969" builtinId="9" hidden="1"/>
    <cellStyle name="Followed Hyperlink" xfId="26970" builtinId="9" hidden="1"/>
    <cellStyle name="Followed Hyperlink" xfId="26971" builtinId="9" hidden="1"/>
    <cellStyle name="Followed Hyperlink" xfId="26972" builtinId="9" hidden="1"/>
    <cellStyle name="Followed Hyperlink" xfId="26973" builtinId="9" hidden="1"/>
    <cellStyle name="Followed Hyperlink" xfId="26974" builtinId="9" hidden="1"/>
    <cellStyle name="Followed Hyperlink" xfId="26975" builtinId="9" hidden="1"/>
    <cellStyle name="Followed Hyperlink" xfId="26976" builtinId="9" hidden="1"/>
    <cellStyle name="Followed Hyperlink" xfId="26977" builtinId="9" hidden="1"/>
    <cellStyle name="Followed Hyperlink" xfId="26978" builtinId="9" hidden="1"/>
    <cellStyle name="Followed Hyperlink" xfId="26979" builtinId="9" hidden="1"/>
    <cellStyle name="Followed Hyperlink" xfId="26980" builtinId="9" hidden="1"/>
    <cellStyle name="Followed Hyperlink" xfId="26981" builtinId="9" hidden="1"/>
    <cellStyle name="Followed Hyperlink" xfId="26982" builtinId="9" hidden="1"/>
    <cellStyle name="Followed Hyperlink" xfId="26983" builtinId="9" hidden="1"/>
    <cellStyle name="Followed Hyperlink" xfId="26984" builtinId="9" hidden="1"/>
    <cellStyle name="Followed Hyperlink" xfId="26781" builtinId="9" hidden="1"/>
    <cellStyle name="Followed Hyperlink" xfId="26945" builtinId="9" hidden="1"/>
    <cellStyle name="Followed Hyperlink" xfId="26986" builtinId="9" hidden="1"/>
    <cellStyle name="Followed Hyperlink" xfId="26987" builtinId="9" hidden="1"/>
    <cellStyle name="Followed Hyperlink" xfId="26988" builtinId="9" hidden="1"/>
    <cellStyle name="Followed Hyperlink" xfId="26989" builtinId="9" hidden="1"/>
    <cellStyle name="Followed Hyperlink" xfId="26990" builtinId="9" hidden="1"/>
    <cellStyle name="Followed Hyperlink" xfId="26991" builtinId="9" hidden="1"/>
    <cellStyle name="Followed Hyperlink" xfId="26992" builtinId="9" hidden="1"/>
    <cellStyle name="Followed Hyperlink" xfId="26993" builtinId="9" hidden="1"/>
    <cellStyle name="Followed Hyperlink" xfId="26994" builtinId="9" hidden="1"/>
    <cellStyle name="Followed Hyperlink" xfId="26995" builtinId="9" hidden="1"/>
    <cellStyle name="Followed Hyperlink" xfId="26996" builtinId="9" hidden="1"/>
    <cellStyle name="Followed Hyperlink" xfId="26997" builtinId="9" hidden="1"/>
    <cellStyle name="Followed Hyperlink" xfId="26998" builtinId="9" hidden="1"/>
    <cellStyle name="Followed Hyperlink" xfId="26999" builtinId="9" hidden="1"/>
    <cellStyle name="Followed Hyperlink" xfId="27000" builtinId="9" hidden="1"/>
    <cellStyle name="Followed Hyperlink" xfId="27001" builtinId="9" hidden="1"/>
    <cellStyle name="Followed Hyperlink" xfId="27002" builtinId="9" hidden="1"/>
    <cellStyle name="Followed Hyperlink" xfId="27003" builtinId="9" hidden="1"/>
    <cellStyle name="Followed Hyperlink" xfId="27004" builtinId="9" hidden="1"/>
    <cellStyle name="Followed Hyperlink" xfId="27005" builtinId="9" hidden="1"/>
    <cellStyle name="Followed Hyperlink" xfId="27006" builtinId="9" hidden="1"/>
    <cellStyle name="Followed Hyperlink" xfId="27007" builtinId="9" hidden="1"/>
    <cellStyle name="Followed Hyperlink" xfId="27008" builtinId="9" hidden="1"/>
    <cellStyle name="Followed Hyperlink" xfId="27009" builtinId="9" hidden="1"/>
    <cellStyle name="Followed Hyperlink" xfId="27010" builtinId="9" hidden="1"/>
    <cellStyle name="Followed Hyperlink" xfId="27011" builtinId="9" hidden="1"/>
    <cellStyle name="Followed Hyperlink" xfId="27012" builtinId="9" hidden="1"/>
    <cellStyle name="Followed Hyperlink" xfId="27013" builtinId="9" hidden="1"/>
    <cellStyle name="Followed Hyperlink" xfId="27014" builtinId="9" hidden="1"/>
    <cellStyle name="Followed Hyperlink" xfId="27015" builtinId="9" hidden="1"/>
    <cellStyle name="Followed Hyperlink" xfId="27016" builtinId="9" hidden="1"/>
    <cellStyle name="Followed Hyperlink" xfId="27017" builtinId="9" hidden="1"/>
    <cellStyle name="Followed Hyperlink" xfId="27018" builtinId="9" hidden="1"/>
    <cellStyle name="Followed Hyperlink" xfId="27019" builtinId="9" hidden="1"/>
    <cellStyle name="Followed Hyperlink" xfId="27020" builtinId="9" hidden="1"/>
    <cellStyle name="Followed Hyperlink" xfId="27021" builtinId="9" hidden="1"/>
    <cellStyle name="Followed Hyperlink" xfId="27022" builtinId="9" hidden="1"/>
    <cellStyle name="Followed Hyperlink" xfId="27023" builtinId="9" hidden="1"/>
    <cellStyle name="Followed Hyperlink" xfId="27024" builtinId="9" hidden="1"/>
    <cellStyle name="Followed Hyperlink" xfId="26775" builtinId="9" hidden="1"/>
    <cellStyle name="Followed Hyperlink" xfId="26985" builtinId="9" hidden="1"/>
    <cellStyle name="Followed Hyperlink" xfId="27026" builtinId="9" hidden="1"/>
    <cellStyle name="Followed Hyperlink" xfId="27027" builtinId="9" hidden="1"/>
    <cellStyle name="Followed Hyperlink" xfId="27028" builtinId="9" hidden="1"/>
    <cellStyle name="Followed Hyperlink" xfId="27029" builtinId="9" hidden="1"/>
    <cellStyle name="Followed Hyperlink" xfId="27030" builtinId="9" hidden="1"/>
    <cellStyle name="Followed Hyperlink" xfId="27031" builtinId="9" hidden="1"/>
    <cellStyle name="Followed Hyperlink" xfId="27032" builtinId="9" hidden="1"/>
    <cellStyle name="Followed Hyperlink" xfId="27033" builtinId="9" hidden="1"/>
    <cellStyle name="Followed Hyperlink" xfId="27034" builtinId="9" hidden="1"/>
    <cellStyle name="Followed Hyperlink" xfId="27035" builtinId="9" hidden="1"/>
    <cellStyle name="Followed Hyperlink" xfId="27036" builtinId="9" hidden="1"/>
    <cellStyle name="Followed Hyperlink" xfId="27037" builtinId="9" hidden="1"/>
    <cellStyle name="Followed Hyperlink" xfId="27038" builtinId="9" hidden="1"/>
    <cellStyle name="Followed Hyperlink" xfId="27039" builtinId="9" hidden="1"/>
    <cellStyle name="Followed Hyperlink" xfId="27040" builtinId="9" hidden="1"/>
    <cellStyle name="Followed Hyperlink" xfId="27041" builtinId="9" hidden="1"/>
    <cellStyle name="Followed Hyperlink" xfId="27042" builtinId="9" hidden="1"/>
    <cellStyle name="Followed Hyperlink" xfId="27043" builtinId="9" hidden="1"/>
    <cellStyle name="Followed Hyperlink" xfId="27044" builtinId="9" hidden="1"/>
    <cellStyle name="Followed Hyperlink" xfId="27045" builtinId="9" hidden="1"/>
    <cellStyle name="Followed Hyperlink" xfId="27046" builtinId="9" hidden="1"/>
    <cellStyle name="Followed Hyperlink" xfId="27047" builtinId="9" hidden="1"/>
    <cellStyle name="Followed Hyperlink" xfId="27048" builtinId="9" hidden="1"/>
    <cellStyle name="Followed Hyperlink" xfId="27049" builtinId="9" hidden="1"/>
    <cellStyle name="Followed Hyperlink" xfId="27050" builtinId="9" hidden="1"/>
    <cellStyle name="Followed Hyperlink" xfId="27051" builtinId="9" hidden="1"/>
    <cellStyle name="Followed Hyperlink" xfId="27052" builtinId="9" hidden="1"/>
    <cellStyle name="Followed Hyperlink" xfId="27053" builtinId="9" hidden="1"/>
    <cellStyle name="Followed Hyperlink" xfId="27054" builtinId="9" hidden="1"/>
    <cellStyle name="Followed Hyperlink" xfId="27055" builtinId="9" hidden="1"/>
    <cellStyle name="Followed Hyperlink" xfId="27056" builtinId="9" hidden="1"/>
    <cellStyle name="Followed Hyperlink" xfId="27057" builtinId="9" hidden="1"/>
    <cellStyle name="Followed Hyperlink" xfId="27058" builtinId="9" hidden="1"/>
    <cellStyle name="Followed Hyperlink" xfId="27059" builtinId="9" hidden="1"/>
    <cellStyle name="Followed Hyperlink" xfId="27060" builtinId="9" hidden="1"/>
    <cellStyle name="Followed Hyperlink" xfId="27061" builtinId="9" hidden="1"/>
    <cellStyle name="Followed Hyperlink" xfId="27062" builtinId="9" hidden="1"/>
    <cellStyle name="Followed Hyperlink" xfId="27063" builtinId="9" hidden="1"/>
    <cellStyle name="Followed Hyperlink" xfId="27064" builtinId="9" hidden="1"/>
    <cellStyle name="Followed Hyperlink" xfId="26777" builtinId="9" hidden="1"/>
    <cellStyle name="Followed Hyperlink" xfId="27025" builtinId="9" hidden="1"/>
    <cellStyle name="Followed Hyperlink" xfId="27066" builtinId="9" hidden="1"/>
    <cellStyle name="Followed Hyperlink" xfId="27067" builtinId="9" hidden="1"/>
    <cellStyle name="Followed Hyperlink" xfId="27068" builtinId="9" hidden="1"/>
    <cellStyle name="Followed Hyperlink" xfId="27069" builtinId="9" hidden="1"/>
    <cellStyle name="Followed Hyperlink" xfId="27070" builtinId="9" hidden="1"/>
    <cellStyle name="Followed Hyperlink" xfId="27071" builtinId="9" hidden="1"/>
    <cellStyle name="Followed Hyperlink" xfId="27072" builtinId="9" hidden="1"/>
    <cellStyle name="Followed Hyperlink" xfId="27073" builtinId="9" hidden="1"/>
    <cellStyle name="Followed Hyperlink" xfId="27074" builtinId="9" hidden="1"/>
    <cellStyle name="Followed Hyperlink" xfId="27075" builtinId="9" hidden="1"/>
    <cellStyle name="Followed Hyperlink" xfId="27076" builtinId="9" hidden="1"/>
    <cellStyle name="Followed Hyperlink" xfId="27077" builtinId="9" hidden="1"/>
    <cellStyle name="Followed Hyperlink" xfId="27078" builtinId="9" hidden="1"/>
    <cellStyle name="Followed Hyperlink" xfId="27079" builtinId="9" hidden="1"/>
    <cellStyle name="Followed Hyperlink" xfId="27080" builtinId="9" hidden="1"/>
    <cellStyle name="Followed Hyperlink" xfId="27081" builtinId="9" hidden="1"/>
    <cellStyle name="Followed Hyperlink" xfId="27082" builtinId="9" hidden="1"/>
    <cellStyle name="Followed Hyperlink" xfId="27083" builtinId="9" hidden="1"/>
    <cellStyle name="Followed Hyperlink" xfId="27084" builtinId="9" hidden="1"/>
    <cellStyle name="Followed Hyperlink" xfId="27085" builtinId="9" hidden="1"/>
    <cellStyle name="Followed Hyperlink" xfId="27086" builtinId="9" hidden="1"/>
    <cellStyle name="Followed Hyperlink" xfId="27087" builtinId="9" hidden="1"/>
    <cellStyle name="Followed Hyperlink" xfId="27088" builtinId="9" hidden="1"/>
    <cellStyle name="Followed Hyperlink" xfId="27089" builtinId="9" hidden="1"/>
    <cellStyle name="Followed Hyperlink" xfId="27090" builtinId="9" hidden="1"/>
    <cellStyle name="Followed Hyperlink" xfId="27091" builtinId="9" hidden="1"/>
    <cellStyle name="Followed Hyperlink" xfId="27092" builtinId="9" hidden="1"/>
    <cellStyle name="Followed Hyperlink" xfId="27093" builtinId="9" hidden="1"/>
    <cellStyle name="Followed Hyperlink" xfId="27094" builtinId="9" hidden="1"/>
    <cellStyle name="Followed Hyperlink" xfId="27095" builtinId="9" hidden="1"/>
    <cellStyle name="Followed Hyperlink" xfId="27096" builtinId="9" hidden="1"/>
    <cellStyle name="Followed Hyperlink" xfId="27097" builtinId="9" hidden="1"/>
    <cellStyle name="Followed Hyperlink" xfId="27098" builtinId="9" hidden="1"/>
    <cellStyle name="Followed Hyperlink" xfId="27099" builtinId="9" hidden="1"/>
    <cellStyle name="Followed Hyperlink" xfId="27100" builtinId="9" hidden="1"/>
    <cellStyle name="Followed Hyperlink" xfId="27101" builtinId="9" hidden="1"/>
    <cellStyle name="Followed Hyperlink" xfId="27102" builtinId="9" hidden="1"/>
    <cellStyle name="Followed Hyperlink" xfId="27103" builtinId="9" hidden="1"/>
    <cellStyle name="Followed Hyperlink" xfId="27104" builtinId="9" hidden="1"/>
    <cellStyle name="Followed Hyperlink" xfId="26778" builtinId="9" hidden="1"/>
    <cellStyle name="Followed Hyperlink" xfId="27065" builtinId="9" hidden="1"/>
    <cellStyle name="Followed Hyperlink" xfId="27106" builtinId="9" hidden="1"/>
    <cellStyle name="Followed Hyperlink" xfId="27107" builtinId="9" hidden="1"/>
    <cellStyle name="Followed Hyperlink" xfId="27108" builtinId="9" hidden="1"/>
    <cellStyle name="Followed Hyperlink" xfId="27109" builtinId="9" hidden="1"/>
    <cellStyle name="Followed Hyperlink" xfId="27110" builtinId="9" hidden="1"/>
    <cellStyle name="Followed Hyperlink" xfId="27111" builtinId="9" hidden="1"/>
    <cellStyle name="Followed Hyperlink" xfId="27112" builtinId="9" hidden="1"/>
    <cellStyle name="Followed Hyperlink" xfId="27113" builtinId="9" hidden="1"/>
    <cellStyle name="Followed Hyperlink" xfId="27114" builtinId="9" hidden="1"/>
    <cellStyle name="Followed Hyperlink" xfId="27115" builtinId="9" hidden="1"/>
    <cellStyle name="Followed Hyperlink" xfId="27116" builtinId="9" hidden="1"/>
    <cellStyle name="Followed Hyperlink" xfId="27117" builtinId="9" hidden="1"/>
    <cellStyle name="Followed Hyperlink" xfId="27118" builtinId="9" hidden="1"/>
    <cellStyle name="Followed Hyperlink" xfId="27119" builtinId="9" hidden="1"/>
    <cellStyle name="Followed Hyperlink" xfId="27120" builtinId="9" hidden="1"/>
    <cellStyle name="Followed Hyperlink" xfId="27121" builtinId="9" hidden="1"/>
    <cellStyle name="Followed Hyperlink" xfId="27122" builtinId="9" hidden="1"/>
    <cellStyle name="Followed Hyperlink" xfId="27123" builtinId="9" hidden="1"/>
    <cellStyle name="Followed Hyperlink" xfId="27124" builtinId="9" hidden="1"/>
    <cellStyle name="Followed Hyperlink" xfId="27125" builtinId="9" hidden="1"/>
    <cellStyle name="Followed Hyperlink" xfId="27126" builtinId="9" hidden="1"/>
    <cellStyle name="Followed Hyperlink" xfId="27127" builtinId="9" hidden="1"/>
    <cellStyle name="Followed Hyperlink" xfId="27128" builtinId="9" hidden="1"/>
    <cellStyle name="Followed Hyperlink" xfId="27129" builtinId="9" hidden="1"/>
    <cellStyle name="Followed Hyperlink" xfId="27130" builtinId="9" hidden="1"/>
    <cellStyle name="Followed Hyperlink" xfId="27131" builtinId="9" hidden="1"/>
    <cellStyle name="Followed Hyperlink" xfId="27132" builtinId="9" hidden="1"/>
    <cellStyle name="Followed Hyperlink" xfId="27133" builtinId="9" hidden="1"/>
    <cellStyle name="Followed Hyperlink" xfId="27134" builtinId="9" hidden="1"/>
    <cellStyle name="Followed Hyperlink" xfId="27135" builtinId="9" hidden="1"/>
    <cellStyle name="Followed Hyperlink" xfId="27136" builtinId="9" hidden="1"/>
    <cellStyle name="Followed Hyperlink" xfId="27137" builtinId="9" hidden="1"/>
    <cellStyle name="Followed Hyperlink" xfId="27138" builtinId="9" hidden="1"/>
    <cellStyle name="Followed Hyperlink" xfId="27139" builtinId="9" hidden="1"/>
    <cellStyle name="Followed Hyperlink" xfId="27140" builtinId="9" hidden="1"/>
    <cellStyle name="Followed Hyperlink" xfId="27141" builtinId="9" hidden="1"/>
    <cellStyle name="Followed Hyperlink" xfId="27142" builtinId="9" hidden="1"/>
    <cellStyle name="Followed Hyperlink" xfId="27143" builtinId="9" hidden="1"/>
    <cellStyle name="Followed Hyperlink" xfId="27144" builtinId="9" hidden="1"/>
    <cellStyle name="Followed Hyperlink" xfId="26780" builtinId="9" hidden="1"/>
    <cellStyle name="Followed Hyperlink" xfId="27105" builtinId="9" hidden="1"/>
    <cellStyle name="Followed Hyperlink" xfId="27146" builtinId="9" hidden="1"/>
    <cellStyle name="Followed Hyperlink" xfId="27147" builtinId="9" hidden="1"/>
    <cellStyle name="Followed Hyperlink" xfId="27148" builtinId="9" hidden="1"/>
    <cellStyle name="Followed Hyperlink" xfId="27149" builtinId="9" hidden="1"/>
    <cellStyle name="Followed Hyperlink" xfId="27150" builtinId="9" hidden="1"/>
    <cellStyle name="Followed Hyperlink" xfId="27151" builtinId="9" hidden="1"/>
    <cellStyle name="Followed Hyperlink" xfId="27152" builtinId="9" hidden="1"/>
    <cellStyle name="Followed Hyperlink" xfId="27153" builtinId="9" hidden="1"/>
    <cellStyle name="Followed Hyperlink" xfId="27154" builtinId="9" hidden="1"/>
    <cellStyle name="Followed Hyperlink" xfId="27155" builtinId="9" hidden="1"/>
    <cellStyle name="Followed Hyperlink" xfId="27156" builtinId="9" hidden="1"/>
    <cellStyle name="Followed Hyperlink" xfId="27157" builtinId="9" hidden="1"/>
    <cellStyle name="Followed Hyperlink" xfId="27158" builtinId="9" hidden="1"/>
    <cellStyle name="Followed Hyperlink" xfId="27159" builtinId="9" hidden="1"/>
    <cellStyle name="Followed Hyperlink" xfId="27160" builtinId="9" hidden="1"/>
    <cellStyle name="Followed Hyperlink" xfId="27161" builtinId="9" hidden="1"/>
    <cellStyle name="Followed Hyperlink" xfId="27162" builtinId="9" hidden="1"/>
    <cellStyle name="Followed Hyperlink" xfId="27163" builtinId="9" hidden="1"/>
    <cellStyle name="Followed Hyperlink" xfId="27164" builtinId="9" hidden="1"/>
    <cellStyle name="Followed Hyperlink" xfId="27165" builtinId="9" hidden="1"/>
    <cellStyle name="Followed Hyperlink" xfId="27166" builtinId="9" hidden="1"/>
    <cellStyle name="Followed Hyperlink" xfId="27167" builtinId="9" hidden="1"/>
    <cellStyle name="Followed Hyperlink" xfId="27168" builtinId="9" hidden="1"/>
    <cellStyle name="Followed Hyperlink" xfId="27169" builtinId="9" hidden="1"/>
    <cellStyle name="Followed Hyperlink" xfId="27170" builtinId="9" hidden="1"/>
    <cellStyle name="Followed Hyperlink" xfId="27171" builtinId="9" hidden="1"/>
    <cellStyle name="Followed Hyperlink" xfId="27172" builtinId="9" hidden="1"/>
    <cellStyle name="Followed Hyperlink" xfId="27173" builtinId="9" hidden="1"/>
    <cellStyle name="Followed Hyperlink" xfId="27174" builtinId="9" hidden="1"/>
    <cellStyle name="Followed Hyperlink" xfId="27175" builtinId="9" hidden="1"/>
    <cellStyle name="Followed Hyperlink" xfId="27176" builtinId="9" hidden="1"/>
    <cellStyle name="Followed Hyperlink" xfId="27177" builtinId="9" hidden="1"/>
    <cellStyle name="Followed Hyperlink" xfId="27178" builtinId="9" hidden="1"/>
    <cellStyle name="Followed Hyperlink" xfId="27179" builtinId="9" hidden="1"/>
    <cellStyle name="Followed Hyperlink" xfId="27180" builtinId="9" hidden="1"/>
    <cellStyle name="Followed Hyperlink" xfId="27181" builtinId="9" hidden="1"/>
    <cellStyle name="Followed Hyperlink" xfId="27182" builtinId="9" hidden="1"/>
    <cellStyle name="Followed Hyperlink" xfId="27183" builtinId="9" hidden="1"/>
    <cellStyle name="Followed Hyperlink" xfId="27184" builtinId="9" hidden="1"/>
    <cellStyle name="Followed Hyperlink" xfId="26776" builtinId="9" hidden="1"/>
    <cellStyle name="Followed Hyperlink" xfId="27145" builtinId="9" hidden="1"/>
    <cellStyle name="Followed Hyperlink" xfId="27185" builtinId="9" hidden="1"/>
    <cellStyle name="Followed Hyperlink" xfId="27186" builtinId="9" hidden="1"/>
    <cellStyle name="Followed Hyperlink" xfId="27187" builtinId="9" hidden="1"/>
    <cellStyle name="Followed Hyperlink" xfId="27188" builtinId="9" hidden="1"/>
    <cellStyle name="Followed Hyperlink" xfId="27189" builtinId="9" hidden="1"/>
    <cellStyle name="Followed Hyperlink" xfId="27190" builtinId="9" hidden="1"/>
    <cellStyle name="Followed Hyperlink" xfId="27191" builtinId="9" hidden="1"/>
    <cellStyle name="Followed Hyperlink" xfId="27192" builtinId="9" hidden="1"/>
    <cellStyle name="Followed Hyperlink" xfId="27193" builtinId="9" hidden="1"/>
    <cellStyle name="Followed Hyperlink" xfId="27194" builtinId="9" hidden="1"/>
    <cellStyle name="Followed Hyperlink" xfId="27195" builtinId="9" hidden="1"/>
    <cellStyle name="Followed Hyperlink" xfId="27196" builtinId="9" hidden="1"/>
    <cellStyle name="Followed Hyperlink" xfId="27197" builtinId="9" hidden="1"/>
    <cellStyle name="Followed Hyperlink" xfId="27198" builtinId="9" hidden="1"/>
    <cellStyle name="Followed Hyperlink" xfId="27199" builtinId="9" hidden="1"/>
    <cellStyle name="Followed Hyperlink" xfId="27200" builtinId="9" hidden="1"/>
    <cellStyle name="Followed Hyperlink" xfId="27201" builtinId="9" hidden="1"/>
    <cellStyle name="Followed Hyperlink" xfId="27202" builtinId="9" hidden="1"/>
    <cellStyle name="Followed Hyperlink" xfId="27203" builtinId="9" hidden="1"/>
    <cellStyle name="Followed Hyperlink" xfId="27204" builtinId="9" hidden="1"/>
    <cellStyle name="Followed Hyperlink" xfId="27205" builtinId="9" hidden="1"/>
    <cellStyle name="Followed Hyperlink" xfId="27206" builtinId="9" hidden="1"/>
    <cellStyle name="Followed Hyperlink" xfId="27207" builtinId="9" hidden="1"/>
    <cellStyle name="Followed Hyperlink" xfId="27208" builtinId="9" hidden="1"/>
    <cellStyle name="Followed Hyperlink" xfId="27209" builtinId="9" hidden="1"/>
    <cellStyle name="Followed Hyperlink" xfId="27210" builtinId="9" hidden="1"/>
    <cellStyle name="Followed Hyperlink" xfId="27211" builtinId="9" hidden="1"/>
    <cellStyle name="Followed Hyperlink" xfId="27212" builtinId="9" hidden="1"/>
    <cellStyle name="Followed Hyperlink" xfId="27213" builtinId="9" hidden="1"/>
    <cellStyle name="Followed Hyperlink" xfId="27214" builtinId="9" hidden="1"/>
    <cellStyle name="Followed Hyperlink" xfId="27215" builtinId="9" hidden="1"/>
    <cellStyle name="Followed Hyperlink" xfId="27216" builtinId="9" hidden="1"/>
    <cellStyle name="Followed Hyperlink" xfId="27217" builtinId="9" hidden="1"/>
    <cellStyle name="Followed Hyperlink" xfId="27218" builtinId="9" hidden="1"/>
    <cellStyle name="Followed Hyperlink" xfId="27219" builtinId="9" hidden="1"/>
    <cellStyle name="Followed Hyperlink" xfId="27220" builtinId="9" hidden="1"/>
    <cellStyle name="Followed Hyperlink" xfId="27221" builtinId="9" hidden="1"/>
    <cellStyle name="Followed Hyperlink" xfId="27222" builtinId="9" hidden="1"/>
    <cellStyle name="Followed Hyperlink" xfId="27223" builtinId="9" hidden="1"/>
    <cellStyle name="Followed Hyperlink" xfId="25261" builtinId="9" hidden="1"/>
    <cellStyle name="Followed Hyperlink" xfId="25243" builtinId="9" hidden="1"/>
    <cellStyle name="Followed Hyperlink" xfId="27224" builtinId="9" hidden="1"/>
    <cellStyle name="Followed Hyperlink" xfId="27225" builtinId="9" hidden="1"/>
    <cellStyle name="Followed Hyperlink" xfId="27226" builtinId="9" hidden="1"/>
    <cellStyle name="Followed Hyperlink" xfId="27227" builtinId="9" hidden="1"/>
    <cellStyle name="Followed Hyperlink" xfId="27228" builtinId="9" hidden="1"/>
    <cellStyle name="Followed Hyperlink" xfId="27229" builtinId="9" hidden="1"/>
    <cellStyle name="Followed Hyperlink" xfId="27230" builtinId="9" hidden="1"/>
    <cellStyle name="Followed Hyperlink" xfId="27231" builtinId="9" hidden="1"/>
    <cellStyle name="Followed Hyperlink" xfId="27232" builtinId="9" hidden="1"/>
    <cellStyle name="Followed Hyperlink" xfId="27233" builtinId="9" hidden="1"/>
    <cellStyle name="Followed Hyperlink" xfId="27234" builtinId="9" hidden="1"/>
    <cellStyle name="Followed Hyperlink" xfId="27235" builtinId="9" hidden="1"/>
    <cellStyle name="Followed Hyperlink" xfId="27236" builtinId="9" hidden="1"/>
    <cellStyle name="Followed Hyperlink" xfId="27237" builtinId="9" hidden="1"/>
    <cellStyle name="Followed Hyperlink" xfId="27238" builtinId="9" hidden="1"/>
    <cellStyle name="Followed Hyperlink" xfId="27239" builtinId="9" hidden="1"/>
    <cellStyle name="Followed Hyperlink" xfId="27240" builtinId="9" hidden="1"/>
    <cellStyle name="Followed Hyperlink" xfId="27241" builtinId="9" hidden="1"/>
    <cellStyle name="Followed Hyperlink" xfId="27242" builtinId="9" hidden="1"/>
    <cellStyle name="Followed Hyperlink" xfId="27243" builtinId="9" hidden="1"/>
    <cellStyle name="Followed Hyperlink" xfId="27244" builtinId="9" hidden="1"/>
    <cellStyle name="Followed Hyperlink" xfId="27245" builtinId="9" hidden="1"/>
    <cellStyle name="Followed Hyperlink" xfId="27246" builtinId="9" hidden="1"/>
    <cellStyle name="Followed Hyperlink" xfId="27247" builtinId="9" hidden="1"/>
    <cellStyle name="Followed Hyperlink" xfId="27248" builtinId="9" hidden="1"/>
    <cellStyle name="Followed Hyperlink" xfId="27249" builtinId="9" hidden="1"/>
    <cellStyle name="Followed Hyperlink" xfId="27250" builtinId="9" hidden="1"/>
    <cellStyle name="Followed Hyperlink" xfId="27251" builtinId="9" hidden="1"/>
    <cellStyle name="Followed Hyperlink" xfId="27252" builtinId="9" hidden="1"/>
    <cellStyle name="Followed Hyperlink" xfId="27253" builtinId="9" hidden="1"/>
    <cellStyle name="Followed Hyperlink" xfId="27254" builtinId="9" hidden="1"/>
    <cellStyle name="Followed Hyperlink" xfId="27255" builtinId="9" hidden="1"/>
    <cellStyle name="Followed Hyperlink" xfId="27256" builtinId="9" hidden="1"/>
    <cellStyle name="Followed Hyperlink" xfId="27257" builtinId="9" hidden="1"/>
    <cellStyle name="Followed Hyperlink" xfId="27258" builtinId="9" hidden="1"/>
    <cellStyle name="Followed Hyperlink" xfId="27259" builtinId="9" hidden="1"/>
    <cellStyle name="Followed Hyperlink" xfId="27260" builtinId="9" hidden="1"/>
    <cellStyle name="Followed Hyperlink" xfId="27261" builtinId="9" hidden="1"/>
    <cellStyle name="Followed Hyperlink" xfId="27262" builtinId="9" hidden="1"/>
    <cellStyle name="Followed Hyperlink" xfId="27271" builtinId="9" hidden="1"/>
    <cellStyle name="Followed Hyperlink" xfId="27272" builtinId="9" hidden="1"/>
    <cellStyle name="Followed Hyperlink" xfId="27273" builtinId="9" hidden="1"/>
    <cellStyle name="Followed Hyperlink" xfId="27274" builtinId="9" hidden="1"/>
    <cellStyle name="Followed Hyperlink" xfId="27275" builtinId="9" hidden="1"/>
    <cellStyle name="Followed Hyperlink" xfId="27276" builtinId="9" hidden="1"/>
    <cellStyle name="Followed Hyperlink" xfId="27277" builtinId="9" hidden="1"/>
    <cellStyle name="Followed Hyperlink" xfId="27278" builtinId="9" hidden="1"/>
    <cellStyle name="Followed Hyperlink" xfId="27279" builtinId="9" hidden="1"/>
    <cellStyle name="Followed Hyperlink" xfId="27280" builtinId="9" hidden="1"/>
    <cellStyle name="Followed Hyperlink" xfId="27281" builtinId="9" hidden="1"/>
    <cellStyle name="Followed Hyperlink" xfId="27282" builtinId="9" hidden="1"/>
    <cellStyle name="Followed Hyperlink" xfId="27283" builtinId="9" hidden="1"/>
    <cellStyle name="Followed Hyperlink" xfId="27284" builtinId="9" hidden="1"/>
    <cellStyle name="Followed Hyperlink" xfId="27285" builtinId="9" hidden="1"/>
    <cellStyle name="Followed Hyperlink" xfId="27286" builtinId="9" hidden="1"/>
    <cellStyle name="Followed Hyperlink" xfId="27287" builtinId="9" hidden="1"/>
    <cellStyle name="Followed Hyperlink" xfId="27288" builtinId="9" hidden="1"/>
    <cellStyle name="Followed Hyperlink" xfId="27289" builtinId="9" hidden="1"/>
    <cellStyle name="Followed Hyperlink" xfId="27290" builtinId="9" hidden="1"/>
    <cellStyle name="Followed Hyperlink" xfId="27291" builtinId="9" hidden="1"/>
    <cellStyle name="Followed Hyperlink" xfId="27292" builtinId="9" hidden="1"/>
    <cellStyle name="Followed Hyperlink" xfId="27293" builtinId="9" hidden="1"/>
    <cellStyle name="Followed Hyperlink" xfId="27294" builtinId="9" hidden="1"/>
    <cellStyle name="Followed Hyperlink" xfId="27295" builtinId="9" hidden="1"/>
    <cellStyle name="Followed Hyperlink" xfId="27296" builtinId="9" hidden="1"/>
    <cellStyle name="Followed Hyperlink" xfId="27297" builtinId="9" hidden="1"/>
    <cellStyle name="Followed Hyperlink" xfId="27298" builtinId="9" hidden="1"/>
    <cellStyle name="Followed Hyperlink" xfId="27299" builtinId="9" hidden="1"/>
    <cellStyle name="Followed Hyperlink" xfId="27300" builtinId="9" hidden="1"/>
    <cellStyle name="Followed Hyperlink" xfId="27301" builtinId="9" hidden="1"/>
    <cellStyle name="Followed Hyperlink" xfId="27302" builtinId="9" hidden="1"/>
    <cellStyle name="Followed Hyperlink" xfId="27303" builtinId="9" hidden="1"/>
    <cellStyle name="Followed Hyperlink" xfId="27304" builtinId="9" hidden="1"/>
    <cellStyle name="Followed Hyperlink" xfId="27305" builtinId="9" hidden="1"/>
    <cellStyle name="Followed Hyperlink" xfId="27306" builtinId="9" hidden="1"/>
    <cellStyle name="Followed Hyperlink" xfId="27307" builtinId="9" hidden="1"/>
    <cellStyle name="Followed Hyperlink" xfId="27308" builtinId="9" hidden="1"/>
    <cellStyle name="Followed Hyperlink" xfId="27309" builtinId="9" hidden="1"/>
    <cellStyle name="Followed Hyperlink" xfId="27310" builtinId="9" hidden="1"/>
    <cellStyle name="Followed Hyperlink" xfId="27311" builtinId="9" hidden="1"/>
    <cellStyle name="Followed Hyperlink" xfId="27312" builtinId="9" hidden="1"/>
    <cellStyle name="Followed Hyperlink" xfId="27313" builtinId="9" hidden="1"/>
    <cellStyle name="Followed Hyperlink" xfId="27314" builtinId="9" hidden="1"/>
    <cellStyle name="Followed Hyperlink" xfId="27315" builtinId="9" hidden="1"/>
    <cellStyle name="Followed Hyperlink" xfId="27316" builtinId="9" hidden="1"/>
    <cellStyle name="Followed Hyperlink" xfId="27317" builtinId="9" hidden="1"/>
    <cellStyle name="Followed Hyperlink" xfId="27318" builtinId="9" hidden="1"/>
    <cellStyle name="Followed Hyperlink" xfId="27319" builtinId="9" hidden="1"/>
    <cellStyle name="Followed Hyperlink" xfId="27320" builtinId="9" hidden="1"/>
    <cellStyle name="Followed Hyperlink" xfId="27321" builtinId="9" hidden="1"/>
    <cellStyle name="Followed Hyperlink" xfId="27322" builtinId="9" hidden="1"/>
    <cellStyle name="Followed Hyperlink" xfId="27323" builtinId="9" hidden="1"/>
    <cellStyle name="Followed Hyperlink" xfId="27324" builtinId="9" hidden="1"/>
    <cellStyle name="Followed Hyperlink" xfId="27325" builtinId="9" hidden="1"/>
    <cellStyle name="Followed Hyperlink" xfId="27326" builtinId="9" hidden="1"/>
    <cellStyle name="Followed Hyperlink" xfId="27327" builtinId="9" hidden="1"/>
    <cellStyle name="Followed Hyperlink" xfId="27328" builtinId="9" hidden="1"/>
    <cellStyle name="Followed Hyperlink" xfId="27329" builtinId="9" hidden="1"/>
    <cellStyle name="Followed Hyperlink" xfId="27330" builtinId="9" hidden="1"/>
    <cellStyle name="Followed Hyperlink" xfId="27331" builtinId="9" hidden="1"/>
    <cellStyle name="Followed Hyperlink" xfId="27332" builtinId="9" hidden="1"/>
    <cellStyle name="Followed Hyperlink" xfId="27333" builtinId="9" hidden="1"/>
    <cellStyle name="Followed Hyperlink" xfId="27334" builtinId="9" hidden="1"/>
    <cellStyle name="Followed Hyperlink" xfId="27335" builtinId="9" hidden="1"/>
    <cellStyle name="Followed Hyperlink" xfId="27336" builtinId="9" hidden="1"/>
    <cellStyle name="Followed Hyperlink" xfId="27337" builtinId="9" hidden="1"/>
    <cellStyle name="Followed Hyperlink" xfId="27338" builtinId="9" hidden="1"/>
    <cellStyle name="Followed Hyperlink" xfId="27339" builtinId="9" hidden="1"/>
    <cellStyle name="Followed Hyperlink" xfId="27340" builtinId="9" hidden="1"/>
    <cellStyle name="Followed Hyperlink" xfId="27341" builtinId="9" hidden="1"/>
    <cellStyle name="Followed Hyperlink" xfId="27342" builtinId="9" hidden="1"/>
    <cellStyle name="Followed Hyperlink" xfId="27343" builtinId="9" hidden="1"/>
    <cellStyle name="Followed Hyperlink" xfId="27344" builtinId="9" hidden="1"/>
    <cellStyle name="Followed Hyperlink" xfId="27345" builtinId="9" hidden="1"/>
    <cellStyle name="Followed Hyperlink" xfId="27346" builtinId="9" hidden="1"/>
    <cellStyle name="Followed Hyperlink" xfId="27347" builtinId="9" hidden="1"/>
    <cellStyle name="Followed Hyperlink" xfId="27348" builtinId="9" hidden="1"/>
    <cellStyle name="Followed Hyperlink" xfId="27349" builtinId="9" hidden="1"/>
    <cellStyle name="Followed Hyperlink" xfId="27350" builtinId="9" hidden="1"/>
    <cellStyle name="Followed Hyperlink" xfId="27351" builtinId="9" hidden="1"/>
    <cellStyle name="Followed Hyperlink" xfId="27352" builtinId="9" hidden="1"/>
    <cellStyle name="Followed Hyperlink" xfId="27353" builtinId="9" hidden="1"/>
    <cellStyle name="Followed Hyperlink" xfId="27354" builtinId="9" hidden="1"/>
    <cellStyle name="Followed Hyperlink" xfId="27355" builtinId="9" hidden="1"/>
    <cellStyle name="Followed Hyperlink" xfId="27356" builtinId="9" hidden="1"/>
    <cellStyle name="Followed Hyperlink" xfId="27357" builtinId="9" hidden="1"/>
    <cellStyle name="Followed Hyperlink" xfId="27358" builtinId="9" hidden="1"/>
    <cellStyle name="Followed Hyperlink" xfId="27359" builtinId="9" hidden="1"/>
    <cellStyle name="Followed Hyperlink" xfId="27360" builtinId="9" hidden="1"/>
    <cellStyle name="Followed Hyperlink" xfId="27361" builtinId="9" hidden="1"/>
    <cellStyle name="Followed Hyperlink" xfId="27362" builtinId="9" hidden="1"/>
    <cellStyle name="Followed Hyperlink" xfId="27363" builtinId="9" hidden="1"/>
    <cellStyle name="Followed Hyperlink" xfId="27364" builtinId="9" hidden="1"/>
    <cellStyle name="Followed Hyperlink" xfId="27365" builtinId="9" hidden="1"/>
    <cellStyle name="Followed Hyperlink" xfId="27366" builtinId="9" hidden="1"/>
    <cellStyle name="Followed Hyperlink" xfId="27367" builtinId="9" hidden="1"/>
    <cellStyle name="Followed Hyperlink" xfId="27368" builtinId="9" hidden="1"/>
    <cellStyle name="Followed Hyperlink" xfId="27369" builtinId="9" hidden="1"/>
    <cellStyle name="Followed Hyperlink" xfId="27370" builtinId="9" hidden="1"/>
    <cellStyle name="Followed Hyperlink" xfId="27371" builtinId="9" hidden="1"/>
    <cellStyle name="Followed Hyperlink" xfId="27372" builtinId="9" hidden="1"/>
    <cellStyle name="Followed Hyperlink" xfId="27373" builtinId="9" hidden="1"/>
    <cellStyle name="Followed Hyperlink" xfId="27374" builtinId="9" hidden="1"/>
    <cellStyle name="Followed Hyperlink" xfId="27375" builtinId="9" hidden="1"/>
    <cellStyle name="Followed Hyperlink" xfId="27376" builtinId="9" hidden="1"/>
    <cellStyle name="Followed Hyperlink" xfId="27377" builtinId="9" hidden="1"/>
    <cellStyle name="Followed Hyperlink" xfId="27378" builtinId="9" hidden="1"/>
    <cellStyle name="Followed Hyperlink" xfId="27379" builtinId="9" hidden="1"/>
    <cellStyle name="Followed Hyperlink" xfId="27380" builtinId="9" hidden="1"/>
    <cellStyle name="Followed Hyperlink" xfId="27381" builtinId="9" hidden="1"/>
    <cellStyle name="Followed Hyperlink" xfId="27382" builtinId="9" hidden="1"/>
    <cellStyle name="Followed Hyperlink" xfId="27383" builtinId="9" hidden="1"/>
    <cellStyle name="Followed Hyperlink" xfId="27384" builtinId="9" hidden="1"/>
    <cellStyle name="Followed Hyperlink" xfId="27385" builtinId="9" hidden="1"/>
    <cellStyle name="Followed Hyperlink" xfId="27386" builtinId="9" hidden="1"/>
    <cellStyle name="Followed Hyperlink" xfId="27387" builtinId="9" hidden="1"/>
    <cellStyle name="Followed Hyperlink" xfId="27388" builtinId="9" hidden="1"/>
    <cellStyle name="Followed Hyperlink" xfId="27389" builtinId="9" hidden="1"/>
    <cellStyle name="Followed Hyperlink" xfId="27390" builtinId="9" hidden="1"/>
    <cellStyle name="Followed Hyperlink" xfId="27391" builtinId="9" hidden="1"/>
    <cellStyle name="Followed Hyperlink" xfId="27392" builtinId="9" hidden="1"/>
    <cellStyle name="Followed Hyperlink" xfId="27393" builtinId="9" hidden="1"/>
    <cellStyle name="Followed Hyperlink" xfId="27263" builtinId="9" hidden="1"/>
    <cellStyle name="Followed Hyperlink" xfId="25256" builtinId="9" hidden="1"/>
    <cellStyle name="Followed Hyperlink" xfId="27395" builtinId="9" hidden="1"/>
    <cellStyle name="Followed Hyperlink" xfId="27396" builtinId="9" hidden="1"/>
    <cellStyle name="Followed Hyperlink" xfId="27397" builtinId="9" hidden="1"/>
    <cellStyle name="Followed Hyperlink" xfId="27398" builtinId="9" hidden="1"/>
    <cellStyle name="Followed Hyperlink" xfId="27399" builtinId="9" hidden="1"/>
    <cellStyle name="Followed Hyperlink" xfId="27400" builtinId="9" hidden="1"/>
    <cellStyle name="Followed Hyperlink" xfId="27401" builtinId="9" hidden="1"/>
    <cellStyle name="Followed Hyperlink" xfId="27402" builtinId="9" hidden="1"/>
    <cellStyle name="Followed Hyperlink" xfId="27403" builtinId="9" hidden="1"/>
    <cellStyle name="Followed Hyperlink" xfId="27404" builtinId="9" hidden="1"/>
    <cellStyle name="Followed Hyperlink" xfId="27405" builtinId="9" hidden="1"/>
    <cellStyle name="Followed Hyperlink" xfId="27406" builtinId="9" hidden="1"/>
    <cellStyle name="Followed Hyperlink" xfId="27407" builtinId="9" hidden="1"/>
    <cellStyle name="Followed Hyperlink" xfId="27408" builtinId="9" hidden="1"/>
    <cellStyle name="Followed Hyperlink" xfId="27409" builtinId="9" hidden="1"/>
    <cellStyle name="Followed Hyperlink" xfId="27410" builtinId="9" hidden="1"/>
    <cellStyle name="Followed Hyperlink" xfId="27411" builtinId="9" hidden="1"/>
    <cellStyle name="Followed Hyperlink" xfId="27412" builtinId="9" hidden="1"/>
    <cellStyle name="Followed Hyperlink" xfId="27413" builtinId="9" hidden="1"/>
    <cellStyle name="Followed Hyperlink" xfId="27414" builtinId="9" hidden="1"/>
    <cellStyle name="Followed Hyperlink" xfId="27415" builtinId="9" hidden="1"/>
    <cellStyle name="Followed Hyperlink" xfId="27416" builtinId="9" hidden="1"/>
    <cellStyle name="Followed Hyperlink" xfId="27417" builtinId="9" hidden="1"/>
    <cellStyle name="Followed Hyperlink" xfId="27418" builtinId="9" hidden="1"/>
    <cellStyle name="Followed Hyperlink" xfId="27419" builtinId="9" hidden="1"/>
    <cellStyle name="Followed Hyperlink" xfId="27420" builtinId="9" hidden="1"/>
    <cellStyle name="Followed Hyperlink" xfId="27421" builtinId="9" hidden="1"/>
    <cellStyle name="Followed Hyperlink" xfId="27422" builtinId="9" hidden="1"/>
    <cellStyle name="Followed Hyperlink" xfId="27423" builtinId="9" hidden="1"/>
    <cellStyle name="Followed Hyperlink" xfId="27424" builtinId="9" hidden="1"/>
    <cellStyle name="Followed Hyperlink" xfId="27425" builtinId="9" hidden="1"/>
    <cellStyle name="Followed Hyperlink" xfId="27426" builtinId="9" hidden="1"/>
    <cellStyle name="Followed Hyperlink" xfId="27427" builtinId="9" hidden="1"/>
    <cellStyle name="Followed Hyperlink" xfId="27428" builtinId="9" hidden="1"/>
    <cellStyle name="Followed Hyperlink" xfId="27429" builtinId="9" hidden="1"/>
    <cellStyle name="Followed Hyperlink" xfId="27430" builtinId="9" hidden="1"/>
    <cellStyle name="Followed Hyperlink" xfId="27431" builtinId="9" hidden="1"/>
    <cellStyle name="Followed Hyperlink" xfId="27432" builtinId="9" hidden="1"/>
    <cellStyle name="Followed Hyperlink" xfId="27433" builtinId="9" hidden="1"/>
    <cellStyle name="Followed Hyperlink" xfId="27268" builtinId="9" hidden="1"/>
    <cellStyle name="Followed Hyperlink" xfId="27394" builtinId="9" hidden="1"/>
    <cellStyle name="Followed Hyperlink" xfId="27435" builtinId="9" hidden="1"/>
    <cellStyle name="Followed Hyperlink" xfId="27436" builtinId="9" hidden="1"/>
    <cellStyle name="Followed Hyperlink" xfId="27437" builtinId="9" hidden="1"/>
    <cellStyle name="Followed Hyperlink" xfId="27438" builtinId="9" hidden="1"/>
    <cellStyle name="Followed Hyperlink" xfId="27439" builtinId="9" hidden="1"/>
    <cellStyle name="Followed Hyperlink" xfId="27440" builtinId="9" hidden="1"/>
    <cellStyle name="Followed Hyperlink" xfId="27441" builtinId="9" hidden="1"/>
    <cellStyle name="Followed Hyperlink" xfId="27442" builtinId="9" hidden="1"/>
    <cellStyle name="Followed Hyperlink" xfId="27443" builtinId="9" hidden="1"/>
    <cellStyle name="Followed Hyperlink" xfId="27444" builtinId="9" hidden="1"/>
    <cellStyle name="Followed Hyperlink" xfId="27445" builtinId="9" hidden="1"/>
    <cellStyle name="Followed Hyperlink" xfId="27446" builtinId="9" hidden="1"/>
    <cellStyle name="Followed Hyperlink" xfId="27447" builtinId="9" hidden="1"/>
    <cellStyle name="Followed Hyperlink" xfId="27448" builtinId="9" hidden="1"/>
    <cellStyle name="Followed Hyperlink" xfId="27449" builtinId="9" hidden="1"/>
    <cellStyle name="Followed Hyperlink" xfId="27450" builtinId="9" hidden="1"/>
    <cellStyle name="Followed Hyperlink" xfId="27451" builtinId="9" hidden="1"/>
    <cellStyle name="Followed Hyperlink" xfId="27452" builtinId="9" hidden="1"/>
    <cellStyle name="Followed Hyperlink" xfId="27453" builtinId="9" hidden="1"/>
    <cellStyle name="Followed Hyperlink" xfId="27454" builtinId="9" hidden="1"/>
    <cellStyle name="Followed Hyperlink" xfId="27455" builtinId="9" hidden="1"/>
    <cellStyle name="Followed Hyperlink" xfId="27456" builtinId="9" hidden="1"/>
    <cellStyle name="Followed Hyperlink" xfId="27457" builtinId="9" hidden="1"/>
    <cellStyle name="Followed Hyperlink" xfId="27458" builtinId="9" hidden="1"/>
    <cellStyle name="Followed Hyperlink" xfId="27459" builtinId="9" hidden="1"/>
    <cellStyle name="Followed Hyperlink" xfId="27460" builtinId="9" hidden="1"/>
    <cellStyle name="Followed Hyperlink" xfId="27461" builtinId="9" hidden="1"/>
    <cellStyle name="Followed Hyperlink" xfId="27462" builtinId="9" hidden="1"/>
    <cellStyle name="Followed Hyperlink" xfId="27463" builtinId="9" hidden="1"/>
    <cellStyle name="Followed Hyperlink" xfId="27464" builtinId="9" hidden="1"/>
    <cellStyle name="Followed Hyperlink" xfId="27465" builtinId="9" hidden="1"/>
    <cellStyle name="Followed Hyperlink" xfId="27466" builtinId="9" hidden="1"/>
    <cellStyle name="Followed Hyperlink" xfId="27467" builtinId="9" hidden="1"/>
    <cellStyle name="Followed Hyperlink" xfId="27468" builtinId="9" hidden="1"/>
    <cellStyle name="Followed Hyperlink" xfId="27469" builtinId="9" hidden="1"/>
    <cellStyle name="Followed Hyperlink" xfId="27470" builtinId="9" hidden="1"/>
    <cellStyle name="Followed Hyperlink" xfId="27471" builtinId="9" hidden="1"/>
    <cellStyle name="Followed Hyperlink" xfId="27472" builtinId="9" hidden="1"/>
    <cellStyle name="Followed Hyperlink" xfId="27473" builtinId="9" hidden="1"/>
    <cellStyle name="Followed Hyperlink" xfId="27270" builtinId="9" hidden="1"/>
    <cellStyle name="Followed Hyperlink" xfId="27434" builtinId="9" hidden="1"/>
    <cellStyle name="Followed Hyperlink" xfId="27475" builtinId="9" hidden="1"/>
    <cellStyle name="Followed Hyperlink" xfId="27476" builtinId="9" hidden="1"/>
    <cellStyle name="Followed Hyperlink" xfId="27477" builtinId="9" hidden="1"/>
    <cellStyle name="Followed Hyperlink" xfId="27478" builtinId="9" hidden="1"/>
    <cellStyle name="Followed Hyperlink" xfId="27479" builtinId="9" hidden="1"/>
    <cellStyle name="Followed Hyperlink" xfId="27480" builtinId="9" hidden="1"/>
    <cellStyle name="Followed Hyperlink" xfId="27481" builtinId="9" hidden="1"/>
    <cellStyle name="Followed Hyperlink" xfId="27482" builtinId="9" hidden="1"/>
    <cellStyle name="Followed Hyperlink" xfId="27483" builtinId="9" hidden="1"/>
    <cellStyle name="Followed Hyperlink" xfId="27484" builtinId="9" hidden="1"/>
    <cellStyle name="Followed Hyperlink" xfId="27485" builtinId="9" hidden="1"/>
    <cellStyle name="Followed Hyperlink" xfId="27486" builtinId="9" hidden="1"/>
    <cellStyle name="Followed Hyperlink" xfId="27487" builtinId="9" hidden="1"/>
    <cellStyle name="Followed Hyperlink" xfId="27488" builtinId="9" hidden="1"/>
    <cellStyle name="Followed Hyperlink" xfId="27489" builtinId="9" hidden="1"/>
    <cellStyle name="Followed Hyperlink" xfId="27490" builtinId="9" hidden="1"/>
    <cellStyle name="Followed Hyperlink" xfId="27491" builtinId="9" hidden="1"/>
    <cellStyle name="Followed Hyperlink" xfId="27492" builtinId="9" hidden="1"/>
    <cellStyle name="Followed Hyperlink" xfId="27493" builtinId="9" hidden="1"/>
    <cellStyle name="Followed Hyperlink" xfId="27494" builtinId="9" hidden="1"/>
    <cellStyle name="Followed Hyperlink" xfId="27495" builtinId="9" hidden="1"/>
    <cellStyle name="Followed Hyperlink" xfId="27496" builtinId="9" hidden="1"/>
    <cellStyle name="Followed Hyperlink" xfId="27497" builtinId="9" hidden="1"/>
    <cellStyle name="Followed Hyperlink" xfId="27498" builtinId="9" hidden="1"/>
    <cellStyle name="Followed Hyperlink" xfId="27499" builtinId="9" hidden="1"/>
    <cellStyle name="Followed Hyperlink" xfId="27500" builtinId="9" hidden="1"/>
    <cellStyle name="Followed Hyperlink" xfId="27501" builtinId="9" hidden="1"/>
    <cellStyle name="Followed Hyperlink" xfId="27502" builtinId="9" hidden="1"/>
    <cellStyle name="Followed Hyperlink" xfId="27503" builtinId="9" hidden="1"/>
    <cellStyle name="Followed Hyperlink" xfId="27504" builtinId="9" hidden="1"/>
    <cellStyle name="Followed Hyperlink" xfId="27505" builtinId="9" hidden="1"/>
    <cellStyle name="Followed Hyperlink" xfId="27506" builtinId="9" hidden="1"/>
    <cellStyle name="Followed Hyperlink" xfId="27507" builtinId="9" hidden="1"/>
    <cellStyle name="Followed Hyperlink" xfId="27508" builtinId="9" hidden="1"/>
    <cellStyle name="Followed Hyperlink" xfId="27509" builtinId="9" hidden="1"/>
    <cellStyle name="Followed Hyperlink" xfId="27510" builtinId="9" hidden="1"/>
    <cellStyle name="Followed Hyperlink" xfId="27511" builtinId="9" hidden="1"/>
    <cellStyle name="Followed Hyperlink" xfId="27512" builtinId="9" hidden="1"/>
    <cellStyle name="Followed Hyperlink" xfId="27513" builtinId="9" hidden="1"/>
    <cellStyle name="Followed Hyperlink" xfId="27264" builtinId="9" hidden="1"/>
    <cellStyle name="Followed Hyperlink" xfId="27474" builtinId="9" hidden="1"/>
    <cellStyle name="Followed Hyperlink" xfId="27515" builtinId="9" hidden="1"/>
    <cellStyle name="Followed Hyperlink" xfId="27516" builtinId="9" hidden="1"/>
    <cellStyle name="Followed Hyperlink" xfId="27517" builtinId="9" hidden="1"/>
    <cellStyle name="Followed Hyperlink" xfId="27518" builtinId="9" hidden="1"/>
    <cellStyle name="Followed Hyperlink" xfId="27519" builtinId="9" hidden="1"/>
    <cellStyle name="Followed Hyperlink" xfId="27520" builtinId="9" hidden="1"/>
    <cellStyle name="Followed Hyperlink" xfId="27521" builtinId="9" hidden="1"/>
    <cellStyle name="Followed Hyperlink" xfId="27522" builtinId="9" hidden="1"/>
    <cellStyle name="Followed Hyperlink" xfId="27523" builtinId="9" hidden="1"/>
    <cellStyle name="Followed Hyperlink" xfId="27524" builtinId="9" hidden="1"/>
    <cellStyle name="Followed Hyperlink" xfId="27525" builtinId="9" hidden="1"/>
    <cellStyle name="Followed Hyperlink" xfId="27526" builtinId="9" hidden="1"/>
    <cellStyle name="Followed Hyperlink" xfId="27527" builtinId="9" hidden="1"/>
    <cellStyle name="Followed Hyperlink" xfId="27528" builtinId="9" hidden="1"/>
    <cellStyle name="Followed Hyperlink" xfId="27529" builtinId="9" hidden="1"/>
    <cellStyle name="Followed Hyperlink" xfId="27530" builtinId="9" hidden="1"/>
    <cellStyle name="Followed Hyperlink" xfId="27531" builtinId="9" hidden="1"/>
    <cellStyle name="Followed Hyperlink" xfId="27532" builtinId="9" hidden="1"/>
    <cellStyle name="Followed Hyperlink" xfId="27533" builtinId="9" hidden="1"/>
    <cellStyle name="Followed Hyperlink" xfId="27534" builtinId="9" hidden="1"/>
    <cellStyle name="Followed Hyperlink" xfId="27535" builtinId="9" hidden="1"/>
    <cellStyle name="Followed Hyperlink" xfId="27536" builtinId="9" hidden="1"/>
    <cellStyle name="Followed Hyperlink" xfId="27537" builtinId="9" hidden="1"/>
    <cellStyle name="Followed Hyperlink" xfId="27538" builtinId="9" hidden="1"/>
    <cellStyle name="Followed Hyperlink" xfId="27539" builtinId="9" hidden="1"/>
    <cellStyle name="Followed Hyperlink" xfId="27540" builtinId="9" hidden="1"/>
    <cellStyle name="Followed Hyperlink" xfId="27541" builtinId="9" hidden="1"/>
    <cellStyle name="Followed Hyperlink" xfId="27542" builtinId="9" hidden="1"/>
    <cellStyle name="Followed Hyperlink" xfId="27543" builtinId="9" hidden="1"/>
    <cellStyle name="Followed Hyperlink" xfId="27544" builtinId="9" hidden="1"/>
    <cellStyle name="Followed Hyperlink" xfId="27545" builtinId="9" hidden="1"/>
    <cellStyle name="Followed Hyperlink" xfId="27546" builtinId="9" hidden="1"/>
    <cellStyle name="Followed Hyperlink" xfId="27547" builtinId="9" hidden="1"/>
    <cellStyle name="Followed Hyperlink" xfId="27548" builtinId="9" hidden="1"/>
    <cellStyle name="Followed Hyperlink" xfId="27549" builtinId="9" hidden="1"/>
    <cellStyle name="Followed Hyperlink" xfId="27550" builtinId="9" hidden="1"/>
    <cellStyle name="Followed Hyperlink" xfId="27551" builtinId="9" hidden="1"/>
    <cellStyle name="Followed Hyperlink" xfId="27552" builtinId="9" hidden="1"/>
    <cellStyle name="Followed Hyperlink" xfId="27553" builtinId="9" hidden="1"/>
    <cellStyle name="Followed Hyperlink" xfId="27266" builtinId="9" hidden="1"/>
    <cellStyle name="Followed Hyperlink" xfId="27514" builtinId="9" hidden="1"/>
    <cellStyle name="Followed Hyperlink" xfId="27555" builtinId="9" hidden="1"/>
    <cellStyle name="Followed Hyperlink" xfId="27556" builtinId="9" hidden="1"/>
    <cellStyle name="Followed Hyperlink" xfId="27557" builtinId="9" hidden="1"/>
    <cellStyle name="Followed Hyperlink" xfId="27558" builtinId="9" hidden="1"/>
    <cellStyle name="Followed Hyperlink" xfId="27559" builtinId="9" hidden="1"/>
    <cellStyle name="Followed Hyperlink" xfId="27560" builtinId="9" hidden="1"/>
    <cellStyle name="Followed Hyperlink" xfId="27561" builtinId="9" hidden="1"/>
    <cellStyle name="Followed Hyperlink" xfId="27562" builtinId="9" hidden="1"/>
    <cellStyle name="Followed Hyperlink" xfId="27563" builtinId="9" hidden="1"/>
    <cellStyle name="Followed Hyperlink" xfId="27564" builtinId="9" hidden="1"/>
    <cellStyle name="Followed Hyperlink" xfId="27565" builtinId="9" hidden="1"/>
    <cellStyle name="Followed Hyperlink" xfId="27566" builtinId="9" hidden="1"/>
    <cellStyle name="Followed Hyperlink" xfId="27567" builtinId="9" hidden="1"/>
    <cellStyle name="Followed Hyperlink" xfId="27568" builtinId="9" hidden="1"/>
    <cellStyle name="Followed Hyperlink" xfId="27569" builtinId="9" hidden="1"/>
    <cellStyle name="Followed Hyperlink" xfId="27570" builtinId="9" hidden="1"/>
    <cellStyle name="Followed Hyperlink" xfId="27571" builtinId="9" hidden="1"/>
    <cellStyle name="Followed Hyperlink" xfId="27572" builtinId="9" hidden="1"/>
    <cellStyle name="Followed Hyperlink" xfId="27573" builtinId="9" hidden="1"/>
    <cellStyle name="Followed Hyperlink" xfId="27574" builtinId="9" hidden="1"/>
    <cellStyle name="Followed Hyperlink" xfId="27575" builtinId="9" hidden="1"/>
    <cellStyle name="Followed Hyperlink" xfId="27576" builtinId="9" hidden="1"/>
    <cellStyle name="Followed Hyperlink" xfId="27577" builtinId="9" hidden="1"/>
    <cellStyle name="Followed Hyperlink" xfId="27578" builtinId="9" hidden="1"/>
    <cellStyle name="Followed Hyperlink" xfId="27579" builtinId="9" hidden="1"/>
    <cellStyle name="Followed Hyperlink" xfId="27580" builtinId="9" hidden="1"/>
    <cellStyle name="Followed Hyperlink" xfId="27581" builtinId="9" hidden="1"/>
    <cellStyle name="Followed Hyperlink" xfId="27582" builtinId="9" hidden="1"/>
    <cellStyle name="Followed Hyperlink" xfId="27583" builtinId="9" hidden="1"/>
    <cellStyle name="Followed Hyperlink" xfId="27584" builtinId="9" hidden="1"/>
    <cellStyle name="Followed Hyperlink" xfId="27585" builtinId="9" hidden="1"/>
    <cellStyle name="Followed Hyperlink" xfId="27586" builtinId="9" hidden="1"/>
    <cellStyle name="Followed Hyperlink" xfId="27587" builtinId="9" hidden="1"/>
    <cellStyle name="Followed Hyperlink" xfId="27588" builtinId="9" hidden="1"/>
    <cellStyle name="Followed Hyperlink" xfId="27589" builtinId="9" hidden="1"/>
    <cellStyle name="Followed Hyperlink" xfId="27590" builtinId="9" hidden="1"/>
    <cellStyle name="Followed Hyperlink" xfId="27591" builtinId="9" hidden="1"/>
    <cellStyle name="Followed Hyperlink" xfId="27592" builtinId="9" hidden="1"/>
    <cellStyle name="Followed Hyperlink" xfId="27593" builtinId="9" hidden="1"/>
    <cellStyle name="Followed Hyperlink" xfId="27267" builtinId="9" hidden="1"/>
    <cellStyle name="Followed Hyperlink" xfId="27554" builtinId="9" hidden="1"/>
    <cellStyle name="Followed Hyperlink" xfId="27595" builtinId="9" hidden="1"/>
    <cellStyle name="Followed Hyperlink" xfId="27596" builtinId="9" hidden="1"/>
    <cellStyle name="Followed Hyperlink" xfId="27597" builtinId="9" hidden="1"/>
    <cellStyle name="Followed Hyperlink" xfId="27598" builtinId="9" hidden="1"/>
    <cellStyle name="Followed Hyperlink" xfId="27599" builtinId="9" hidden="1"/>
    <cellStyle name="Followed Hyperlink" xfId="27600" builtinId="9" hidden="1"/>
    <cellStyle name="Followed Hyperlink" xfId="27601" builtinId="9" hidden="1"/>
    <cellStyle name="Followed Hyperlink" xfId="27602" builtinId="9" hidden="1"/>
    <cellStyle name="Followed Hyperlink" xfId="27603" builtinId="9" hidden="1"/>
    <cellStyle name="Followed Hyperlink" xfId="27604" builtinId="9" hidden="1"/>
    <cellStyle name="Followed Hyperlink" xfId="27605" builtinId="9" hidden="1"/>
    <cellStyle name="Followed Hyperlink" xfId="27606" builtinId="9" hidden="1"/>
    <cellStyle name="Followed Hyperlink" xfId="27607" builtinId="9" hidden="1"/>
    <cellStyle name="Followed Hyperlink" xfId="27608" builtinId="9" hidden="1"/>
    <cellStyle name="Followed Hyperlink" xfId="27609" builtinId="9" hidden="1"/>
    <cellStyle name="Followed Hyperlink" xfId="27610" builtinId="9" hidden="1"/>
    <cellStyle name="Followed Hyperlink" xfId="27611" builtinId="9" hidden="1"/>
    <cellStyle name="Followed Hyperlink" xfId="27612" builtinId="9" hidden="1"/>
    <cellStyle name="Followed Hyperlink" xfId="27613" builtinId="9" hidden="1"/>
    <cellStyle name="Followed Hyperlink" xfId="27614" builtinId="9" hidden="1"/>
    <cellStyle name="Followed Hyperlink" xfId="27615" builtinId="9" hidden="1"/>
    <cellStyle name="Followed Hyperlink" xfId="27616" builtinId="9" hidden="1"/>
    <cellStyle name="Followed Hyperlink" xfId="27617" builtinId="9" hidden="1"/>
    <cellStyle name="Followed Hyperlink" xfId="27618" builtinId="9" hidden="1"/>
    <cellStyle name="Followed Hyperlink" xfId="27619" builtinId="9" hidden="1"/>
    <cellStyle name="Followed Hyperlink" xfId="27620" builtinId="9" hidden="1"/>
    <cellStyle name="Followed Hyperlink" xfId="27621" builtinId="9" hidden="1"/>
    <cellStyle name="Followed Hyperlink" xfId="27622" builtinId="9" hidden="1"/>
    <cellStyle name="Followed Hyperlink" xfId="27623" builtinId="9" hidden="1"/>
    <cellStyle name="Followed Hyperlink" xfId="27624" builtinId="9" hidden="1"/>
    <cellStyle name="Followed Hyperlink" xfId="27625" builtinId="9" hidden="1"/>
    <cellStyle name="Followed Hyperlink" xfId="27626" builtinId="9" hidden="1"/>
    <cellStyle name="Followed Hyperlink" xfId="27627" builtinId="9" hidden="1"/>
    <cellStyle name="Followed Hyperlink" xfId="27628" builtinId="9" hidden="1"/>
    <cellStyle name="Followed Hyperlink" xfId="27629" builtinId="9" hidden="1"/>
    <cellStyle name="Followed Hyperlink" xfId="27630" builtinId="9" hidden="1"/>
    <cellStyle name="Followed Hyperlink" xfId="27631" builtinId="9" hidden="1"/>
    <cellStyle name="Followed Hyperlink" xfId="27632" builtinId="9" hidden="1"/>
    <cellStyle name="Followed Hyperlink" xfId="27633" builtinId="9" hidden="1"/>
    <cellStyle name="Followed Hyperlink" xfId="27269" builtinId="9" hidden="1"/>
    <cellStyle name="Followed Hyperlink" xfId="27594" builtinId="9" hidden="1"/>
    <cellStyle name="Followed Hyperlink" xfId="27635" builtinId="9" hidden="1"/>
    <cellStyle name="Followed Hyperlink" xfId="27636" builtinId="9" hidden="1"/>
    <cellStyle name="Followed Hyperlink" xfId="27637" builtinId="9" hidden="1"/>
    <cellStyle name="Followed Hyperlink" xfId="27638" builtinId="9" hidden="1"/>
    <cellStyle name="Followed Hyperlink" xfId="27639" builtinId="9" hidden="1"/>
    <cellStyle name="Followed Hyperlink" xfId="27640" builtinId="9" hidden="1"/>
    <cellStyle name="Followed Hyperlink" xfId="27641" builtinId="9" hidden="1"/>
    <cellStyle name="Followed Hyperlink" xfId="27642" builtinId="9" hidden="1"/>
    <cellStyle name="Followed Hyperlink" xfId="27643" builtinId="9" hidden="1"/>
    <cellStyle name="Followed Hyperlink" xfId="27644" builtinId="9" hidden="1"/>
    <cellStyle name="Followed Hyperlink" xfId="27645" builtinId="9" hidden="1"/>
    <cellStyle name="Followed Hyperlink" xfId="27646" builtinId="9" hidden="1"/>
    <cellStyle name="Followed Hyperlink" xfId="27647" builtinId="9" hidden="1"/>
    <cellStyle name="Followed Hyperlink" xfId="27648" builtinId="9" hidden="1"/>
    <cellStyle name="Followed Hyperlink" xfId="27649" builtinId="9" hidden="1"/>
    <cellStyle name="Followed Hyperlink" xfId="27650" builtinId="9" hidden="1"/>
    <cellStyle name="Followed Hyperlink" xfId="27651" builtinId="9" hidden="1"/>
    <cellStyle name="Followed Hyperlink" xfId="27652" builtinId="9" hidden="1"/>
    <cellStyle name="Followed Hyperlink" xfId="27653" builtinId="9" hidden="1"/>
    <cellStyle name="Followed Hyperlink" xfId="27654" builtinId="9" hidden="1"/>
    <cellStyle name="Followed Hyperlink" xfId="27655" builtinId="9" hidden="1"/>
    <cellStyle name="Followed Hyperlink" xfId="27656" builtinId="9" hidden="1"/>
    <cellStyle name="Followed Hyperlink" xfId="27657" builtinId="9" hidden="1"/>
    <cellStyle name="Followed Hyperlink" xfId="27658" builtinId="9" hidden="1"/>
    <cellStyle name="Followed Hyperlink" xfId="27659" builtinId="9" hidden="1"/>
    <cellStyle name="Followed Hyperlink" xfId="27660" builtinId="9" hidden="1"/>
    <cellStyle name="Followed Hyperlink" xfId="27661" builtinId="9" hidden="1"/>
    <cellStyle name="Followed Hyperlink" xfId="27662" builtinId="9" hidden="1"/>
    <cellStyle name="Followed Hyperlink" xfId="27663" builtinId="9" hidden="1"/>
    <cellStyle name="Followed Hyperlink" xfId="27664" builtinId="9" hidden="1"/>
    <cellStyle name="Followed Hyperlink" xfId="27665" builtinId="9" hidden="1"/>
    <cellStyle name="Followed Hyperlink" xfId="27666" builtinId="9" hidden="1"/>
    <cellStyle name="Followed Hyperlink" xfId="27667" builtinId="9" hidden="1"/>
    <cellStyle name="Followed Hyperlink" xfId="27668" builtinId="9" hidden="1"/>
    <cellStyle name="Followed Hyperlink" xfId="27669" builtinId="9" hidden="1"/>
    <cellStyle name="Followed Hyperlink" xfId="27670" builtinId="9" hidden="1"/>
    <cellStyle name="Followed Hyperlink" xfId="27671" builtinId="9" hidden="1"/>
    <cellStyle name="Followed Hyperlink" xfId="27672" builtinId="9" hidden="1"/>
    <cellStyle name="Followed Hyperlink" xfId="27673" builtinId="9" hidden="1"/>
    <cellStyle name="Followed Hyperlink" xfId="27265" builtinId="9" hidden="1"/>
    <cellStyle name="Followed Hyperlink" xfId="27634" builtinId="9" hidden="1"/>
    <cellStyle name="Followed Hyperlink" xfId="27674" builtinId="9" hidden="1"/>
    <cellStyle name="Followed Hyperlink" xfId="27675" builtinId="9" hidden="1"/>
    <cellStyle name="Followed Hyperlink" xfId="27676" builtinId="9" hidden="1"/>
    <cellStyle name="Followed Hyperlink" xfId="27677" builtinId="9" hidden="1"/>
    <cellStyle name="Followed Hyperlink" xfId="27678" builtinId="9" hidden="1"/>
    <cellStyle name="Followed Hyperlink" xfId="27679" builtinId="9" hidden="1"/>
    <cellStyle name="Followed Hyperlink" xfId="27680" builtinId="9" hidden="1"/>
    <cellStyle name="Followed Hyperlink" xfId="27681" builtinId="9" hidden="1"/>
    <cellStyle name="Followed Hyperlink" xfId="27682" builtinId="9" hidden="1"/>
    <cellStyle name="Followed Hyperlink" xfId="27683" builtinId="9" hidden="1"/>
    <cellStyle name="Followed Hyperlink" xfId="27684" builtinId="9" hidden="1"/>
    <cellStyle name="Followed Hyperlink" xfId="27685" builtinId="9" hidden="1"/>
    <cellStyle name="Followed Hyperlink" xfId="27686" builtinId="9" hidden="1"/>
    <cellStyle name="Followed Hyperlink" xfId="27687" builtinId="9" hidden="1"/>
    <cellStyle name="Followed Hyperlink" xfId="27688" builtinId="9" hidden="1"/>
    <cellStyle name="Followed Hyperlink" xfId="27689" builtinId="9" hidden="1"/>
    <cellStyle name="Followed Hyperlink" xfId="27690" builtinId="9" hidden="1"/>
    <cellStyle name="Followed Hyperlink" xfId="27691" builtinId="9" hidden="1"/>
    <cellStyle name="Followed Hyperlink" xfId="27692" builtinId="9" hidden="1"/>
    <cellStyle name="Followed Hyperlink" xfId="27693" builtinId="9" hidden="1"/>
    <cellStyle name="Followed Hyperlink" xfId="27694" builtinId="9" hidden="1"/>
    <cellStyle name="Followed Hyperlink" xfId="27695" builtinId="9" hidden="1"/>
    <cellStyle name="Followed Hyperlink" xfId="27696" builtinId="9" hidden="1"/>
    <cellStyle name="Followed Hyperlink" xfId="27697" builtinId="9" hidden="1"/>
    <cellStyle name="Followed Hyperlink" xfId="27698" builtinId="9" hidden="1"/>
    <cellStyle name="Followed Hyperlink" xfId="27699" builtinId="9" hidden="1"/>
    <cellStyle name="Followed Hyperlink" xfId="27700" builtinId="9" hidden="1"/>
    <cellStyle name="Followed Hyperlink" xfId="27701" builtinId="9" hidden="1"/>
    <cellStyle name="Followed Hyperlink" xfId="27702" builtinId="9" hidden="1"/>
    <cellStyle name="Followed Hyperlink" xfId="27703" builtinId="9" hidden="1"/>
    <cellStyle name="Followed Hyperlink" xfId="27704" builtinId="9" hidden="1"/>
    <cellStyle name="Followed Hyperlink" xfId="27705" builtinId="9" hidden="1"/>
    <cellStyle name="Followed Hyperlink" xfId="27706" builtinId="9" hidden="1"/>
    <cellStyle name="Followed Hyperlink" xfId="27707" builtinId="9" hidden="1"/>
    <cellStyle name="Followed Hyperlink" xfId="27708" builtinId="9" hidden="1"/>
    <cellStyle name="Followed Hyperlink" xfId="27709" builtinId="9" hidden="1"/>
    <cellStyle name="Followed Hyperlink" xfId="27710" builtinId="9" hidden="1"/>
    <cellStyle name="Followed Hyperlink" xfId="27711" builtinId="9" hidden="1"/>
    <cellStyle name="Followed Hyperlink" xfId="27712" builtinId="9" hidden="1"/>
    <cellStyle name="Followed Hyperlink" xfId="25253" builtinId="9" hidden="1"/>
    <cellStyle name="Followed Hyperlink" xfId="25262" builtinId="9" hidden="1"/>
    <cellStyle name="Followed Hyperlink" xfId="27713" builtinId="9" hidden="1"/>
    <cellStyle name="Followed Hyperlink" xfId="27714" builtinId="9" hidden="1"/>
    <cellStyle name="Followed Hyperlink" xfId="27715" builtinId="9" hidden="1"/>
    <cellStyle name="Followed Hyperlink" xfId="27716" builtinId="9" hidden="1"/>
    <cellStyle name="Followed Hyperlink" xfId="27717" builtinId="9" hidden="1"/>
    <cellStyle name="Followed Hyperlink" xfId="27718" builtinId="9" hidden="1"/>
    <cellStyle name="Followed Hyperlink" xfId="27719" builtinId="9" hidden="1"/>
    <cellStyle name="Followed Hyperlink" xfId="27720" builtinId="9" hidden="1"/>
    <cellStyle name="Followed Hyperlink" xfId="27721" builtinId="9" hidden="1"/>
    <cellStyle name="Followed Hyperlink" xfId="27722" builtinId="9" hidden="1"/>
    <cellStyle name="Followed Hyperlink" xfId="27723" builtinId="9" hidden="1"/>
    <cellStyle name="Followed Hyperlink" xfId="27724" builtinId="9" hidden="1"/>
    <cellStyle name="Followed Hyperlink" xfId="27725" builtinId="9" hidden="1"/>
    <cellStyle name="Followed Hyperlink" xfId="27726" builtinId="9" hidden="1"/>
    <cellStyle name="Followed Hyperlink" xfId="27727" builtinId="9" hidden="1"/>
    <cellStyle name="Followed Hyperlink" xfId="27728" builtinId="9" hidden="1"/>
    <cellStyle name="Followed Hyperlink" xfId="27729" builtinId="9" hidden="1"/>
    <cellStyle name="Followed Hyperlink" xfId="27730" builtinId="9" hidden="1"/>
    <cellStyle name="Followed Hyperlink" xfId="27731" builtinId="9" hidden="1"/>
    <cellStyle name="Followed Hyperlink" xfId="27732" builtinId="9" hidden="1"/>
    <cellStyle name="Followed Hyperlink" xfId="27733" builtinId="9" hidden="1"/>
    <cellStyle name="Followed Hyperlink" xfId="27734" builtinId="9" hidden="1"/>
    <cellStyle name="Followed Hyperlink" xfId="27735" builtinId="9" hidden="1"/>
    <cellStyle name="Followed Hyperlink" xfId="27736" builtinId="9" hidden="1"/>
    <cellStyle name="Followed Hyperlink" xfId="27737" builtinId="9" hidden="1"/>
    <cellStyle name="Followed Hyperlink" xfId="27738" builtinId="9" hidden="1"/>
    <cellStyle name="Followed Hyperlink" xfId="27739" builtinId="9" hidden="1"/>
    <cellStyle name="Followed Hyperlink" xfId="27740" builtinId="9" hidden="1"/>
    <cellStyle name="Followed Hyperlink" xfId="27741" builtinId="9" hidden="1"/>
    <cellStyle name="Followed Hyperlink" xfId="27742" builtinId="9" hidden="1"/>
    <cellStyle name="Followed Hyperlink" xfId="27743" builtinId="9" hidden="1"/>
    <cellStyle name="Followed Hyperlink" xfId="27744" builtinId="9" hidden="1"/>
    <cellStyle name="Followed Hyperlink" xfId="27745" builtinId="9" hidden="1"/>
    <cellStyle name="Followed Hyperlink" xfId="27746" builtinId="9" hidden="1"/>
    <cellStyle name="Followed Hyperlink" xfId="27747" builtinId="9" hidden="1"/>
    <cellStyle name="Followed Hyperlink" xfId="27748" builtinId="9" hidden="1"/>
    <cellStyle name="Followed Hyperlink" xfId="27749" builtinId="9" hidden="1"/>
    <cellStyle name="Followed Hyperlink" xfId="27750" builtinId="9" hidden="1"/>
    <cellStyle name="Followed Hyperlink" xfId="27751" builtinId="9" hidden="1"/>
    <cellStyle name="Followed Hyperlink" xfId="27760" builtinId="9" hidden="1"/>
    <cellStyle name="Followed Hyperlink" xfId="27761" builtinId="9" hidden="1"/>
    <cellStyle name="Followed Hyperlink" xfId="27762" builtinId="9" hidden="1"/>
    <cellStyle name="Followed Hyperlink" xfId="27763" builtinId="9" hidden="1"/>
    <cellStyle name="Followed Hyperlink" xfId="27764" builtinId="9" hidden="1"/>
    <cellStyle name="Followed Hyperlink" xfId="27765" builtinId="9" hidden="1"/>
    <cellStyle name="Followed Hyperlink" xfId="27766" builtinId="9" hidden="1"/>
    <cellStyle name="Followed Hyperlink" xfId="27767" builtinId="9" hidden="1"/>
    <cellStyle name="Followed Hyperlink" xfId="27768" builtinId="9" hidden="1"/>
    <cellStyle name="Followed Hyperlink" xfId="27769" builtinId="9" hidden="1"/>
    <cellStyle name="Followed Hyperlink" xfId="27770" builtinId="9" hidden="1"/>
    <cellStyle name="Followed Hyperlink" xfId="27771" builtinId="9" hidden="1"/>
    <cellStyle name="Followed Hyperlink" xfId="27772" builtinId="9" hidden="1"/>
    <cellStyle name="Followed Hyperlink" xfId="27773" builtinId="9" hidden="1"/>
    <cellStyle name="Followed Hyperlink" xfId="27774" builtinId="9" hidden="1"/>
    <cellStyle name="Followed Hyperlink" xfId="27775" builtinId="9" hidden="1"/>
    <cellStyle name="Followed Hyperlink" xfId="27776" builtinId="9" hidden="1"/>
    <cellStyle name="Followed Hyperlink" xfId="27777" builtinId="9" hidden="1"/>
    <cellStyle name="Followed Hyperlink" xfId="27778" builtinId="9" hidden="1"/>
    <cellStyle name="Followed Hyperlink" xfId="27779" builtinId="9" hidden="1"/>
    <cellStyle name="Followed Hyperlink" xfId="27780" builtinId="9" hidden="1"/>
    <cellStyle name="Followed Hyperlink" xfId="27781" builtinId="9" hidden="1"/>
    <cellStyle name="Followed Hyperlink" xfId="27782" builtinId="9" hidden="1"/>
    <cellStyle name="Followed Hyperlink" xfId="27783" builtinId="9" hidden="1"/>
    <cellStyle name="Followed Hyperlink" xfId="27784" builtinId="9" hidden="1"/>
    <cellStyle name="Followed Hyperlink" xfId="27785" builtinId="9" hidden="1"/>
    <cellStyle name="Followed Hyperlink" xfId="27786" builtinId="9" hidden="1"/>
    <cellStyle name="Followed Hyperlink" xfId="27787" builtinId="9" hidden="1"/>
    <cellStyle name="Followed Hyperlink" xfId="27788" builtinId="9" hidden="1"/>
    <cellStyle name="Followed Hyperlink" xfId="27789" builtinId="9" hidden="1"/>
    <cellStyle name="Followed Hyperlink" xfId="27790" builtinId="9" hidden="1"/>
    <cellStyle name="Followed Hyperlink" xfId="27791" builtinId="9" hidden="1"/>
    <cellStyle name="Followed Hyperlink" xfId="27792" builtinId="9" hidden="1"/>
    <cellStyle name="Followed Hyperlink" xfId="27793" builtinId="9" hidden="1"/>
    <cellStyle name="Followed Hyperlink" xfId="27794" builtinId="9" hidden="1"/>
    <cellStyle name="Followed Hyperlink" xfId="27795" builtinId="9" hidden="1"/>
    <cellStyle name="Followed Hyperlink" xfId="27796" builtinId="9" hidden="1"/>
    <cellStyle name="Followed Hyperlink" xfId="27797" builtinId="9" hidden="1"/>
    <cellStyle name="Followed Hyperlink" xfId="27798" builtinId="9" hidden="1"/>
    <cellStyle name="Followed Hyperlink" xfId="27799" builtinId="9" hidden="1"/>
    <cellStyle name="Followed Hyperlink" xfId="27800" builtinId="9" hidden="1"/>
    <cellStyle name="Followed Hyperlink" xfId="27801" builtinId="9" hidden="1"/>
    <cellStyle name="Followed Hyperlink" xfId="27802" builtinId="9" hidden="1"/>
    <cellStyle name="Followed Hyperlink" xfId="27803" builtinId="9" hidden="1"/>
    <cellStyle name="Followed Hyperlink" xfId="27804" builtinId="9" hidden="1"/>
    <cellStyle name="Followed Hyperlink" xfId="27805" builtinId="9" hidden="1"/>
    <cellStyle name="Followed Hyperlink" xfId="27806" builtinId="9" hidden="1"/>
    <cellStyle name="Followed Hyperlink" xfId="27807" builtinId="9" hidden="1"/>
    <cellStyle name="Followed Hyperlink" xfId="27808" builtinId="9" hidden="1"/>
    <cellStyle name="Followed Hyperlink" xfId="27809" builtinId="9" hidden="1"/>
    <cellStyle name="Followed Hyperlink" xfId="27810" builtinId="9" hidden="1"/>
    <cellStyle name="Followed Hyperlink" xfId="27811" builtinId="9" hidden="1"/>
    <cellStyle name="Followed Hyperlink" xfId="27812" builtinId="9" hidden="1"/>
    <cellStyle name="Followed Hyperlink" xfId="27813" builtinId="9" hidden="1"/>
    <cellStyle name="Followed Hyperlink" xfId="27814" builtinId="9" hidden="1"/>
    <cellStyle name="Followed Hyperlink" xfId="27815" builtinId="9" hidden="1"/>
    <cellStyle name="Followed Hyperlink" xfId="27816" builtinId="9" hidden="1"/>
    <cellStyle name="Followed Hyperlink" xfId="27817" builtinId="9" hidden="1"/>
    <cellStyle name="Followed Hyperlink" xfId="27818" builtinId="9" hidden="1"/>
    <cellStyle name="Followed Hyperlink" xfId="27819" builtinId="9" hidden="1"/>
    <cellStyle name="Followed Hyperlink" xfId="27820" builtinId="9" hidden="1"/>
    <cellStyle name="Followed Hyperlink" xfId="27821" builtinId="9" hidden="1"/>
    <cellStyle name="Followed Hyperlink" xfId="27822" builtinId="9" hidden="1"/>
    <cellStyle name="Followed Hyperlink" xfId="27823" builtinId="9" hidden="1"/>
    <cellStyle name="Followed Hyperlink" xfId="27824" builtinId="9" hidden="1"/>
    <cellStyle name="Followed Hyperlink" xfId="27825" builtinId="9" hidden="1"/>
    <cellStyle name="Followed Hyperlink" xfId="27826" builtinId="9" hidden="1"/>
    <cellStyle name="Followed Hyperlink" xfId="27827" builtinId="9" hidden="1"/>
    <cellStyle name="Followed Hyperlink" xfId="27828" builtinId="9" hidden="1"/>
    <cellStyle name="Followed Hyperlink" xfId="27829" builtinId="9" hidden="1"/>
    <cellStyle name="Followed Hyperlink" xfId="27830" builtinId="9" hidden="1"/>
    <cellStyle name="Followed Hyperlink" xfId="27831" builtinId="9" hidden="1"/>
    <cellStyle name="Followed Hyperlink" xfId="27832" builtinId="9" hidden="1"/>
    <cellStyle name="Followed Hyperlink" xfId="27833" builtinId="9" hidden="1"/>
    <cellStyle name="Followed Hyperlink" xfId="27834" builtinId="9" hidden="1"/>
    <cellStyle name="Followed Hyperlink" xfId="27835" builtinId="9" hidden="1"/>
    <cellStyle name="Followed Hyperlink" xfId="27836" builtinId="9" hidden="1"/>
    <cellStyle name="Followed Hyperlink" xfId="27837" builtinId="9" hidden="1"/>
    <cellStyle name="Followed Hyperlink" xfId="27838" builtinId="9" hidden="1"/>
    <cellStyle name="Followed Hyperlink" xfId="27839" builtinId="9" hidden="1"/>
    <cellStyle name="Followed Hyperlink" xfId="27840" builtinId="9" hidden="1"/>
    <cellStyle name="Followed Hyperlink" xfId="27841" builtinId="9" hidden="1"/>
    <cellStyle name="Followed Hyperlink" xfId="27842" builtinId="9" hidden="1"/>
    <cellStyle name="Followed Hyperlink" xfId="27843" builtinId="9" hidden="1"/>
    <cellStyle name="Followed Hyperlink" xfId="27844" builtinId="9" hidden="1"/>
    <cellStyle name="Followed Hyperlink" xfId="27845" builtinId="9" hidden="1"/>
    <cellStyle name="Followed Hyperlink" xfId="27846" builtinId="9" hidden="1"/>
    <cellStyle name="Followed Hyperlink" xfId="27847" builtinId="9" hidden="1"/>
    <cellStyle name="Followed Hyperlink" xfId="27848" builtinId="9" hidden="1"/>
    <cellStyle name="Followed Hyperlink" xfId="27849" builtinId="9" hidden="1"/>
    <cellStyle name="Followed Hyperlink" xfId="27850" builtinId="9" hidden="1"/>
    <cellStyle name="Followed Hyperlink" xfId="27851" builtinId="9" hidden="1"/>
    <cellStyle name="Followed Hyperlink" xfId="27852" builtinId="9" hidden="1"/>
    <cellStyle name="Followed Hyperlink" xfId="27853" builtinId="9" hidden="1"/>
    <cellStyle name="Followed Hyperlink" xfId="27854" builtinId="9" hidden="1"/>
    <cellStyle name="Followed Hyperlink" xfId="27855" builtinId="9" hidden="1"/>
    <cellStyle name="Followed Hyperlink" xfId="27856" builtinId="9" hidden="1"/>
    <cellStyle name="Followed Hyperlink" xfId="27857" builtinId="9" hidden="1"/>
    <cellStyle name="Followed Hyperlink" xfId="27858" builtinId="9" hidden="1"/>
    <cellStyle name="Followed Hyperlink" xfId="27859" builtinId="9" hidden="1"/>
    <cellStyle name="Followed Hyperlink" xfId="27860" builtinId="9" hidden="1"/>
    <cellStyle name="Followed Hyperlink" xfId="27861" builtinId="9" hidden="1"/>
    <cellStyle name="Followed Hyperlink" xfId="27862" builtinId="9" hidden="1"/>
    <cellStyle name="Followed Hyperlink" xfId="27863" builtinId="9" hidden="1"/>
    <cellStyle name="Followed Hyperlink" xfId="27864" builtinId="9" hidden="1"/>
    <cellStyle name="Followed Hyperlink" xfId="27865" builtinId="9" hidden="1"/>
    <cellStyle name="Followed Hyperlink" xfId="27866" builtinId="9" hidden="1"/>
    <cellStyle name="Followed Hyperlink" xfId="27867" builtinId="9" hidden="1"/>
    <cellStyle name="Followed Hyperlink" xfId="27868" builtinId="9" hidden="1"/>
    <cellStyle name="Followed Hyperlink" xfId="27869" builtinId="9" hidden="1"/>
    <cellStyle name="Followed Hyperlink" xfId="27870" builtinId="9" hidden="1"/>
    <cellStyle name="Followed Hyperlink" xfId="27871" builtinId="9" hidden="1"/>
    <cellStyle name="Followed Hyperlink" xfId="27872" builtinId="9" hidden="1"/>
    <cellStyle name="Followed Hyperlink" xfId="27873" builtinId="9" hidden="1"/>
    <cellStyle name="Followed Hyperlink" xfId="27874" builtinId="9" hidden="1"/>
    <cellStyle name="Followed Hyperlink" xfId="27875" builtinId="9" hidden="1"/>
    <cellStyle name="Followed Hyperlink" xfId="27876" builtinId="9" hidden="1"/>
    <cellStyle name="Followed Hyperlink" xfId="27877" builtinId="9" hidden="1"/>
    <cellStyle name="Followed Hyperlink" xfId="27878" builtinId="9" hidden="1"/>
    <cellStyle name="Followed Hyperlink" xfId="27879" builtinId="9" hidden="1"/>
    <cellStyle name="Followed Hyperlink" xfId="27880" builtinId="9" hidden="1"/>
    <cellStyle name="Followed Hyperlink" xfId="27881" builtinId="9" hidden="1"/>
    <cellStyle name="Followed Hyperlink" xfId="27882" builtinId="9" hidden="1"/>
    <cellStyle name="Followed Hyperlink" xfId="27752" builtinId="9" hidden="1"/>
    <cellStyle name="Followed Hyperlink" xfId="25249" builtinId="9" hidden="1"/>
    <cellStyle name="Followed Hyperlink" xfId="27884" builtinId="9" hidden="1"/>
    <cellStyle name="Followed Hyperlink" xfId="27885" builtinId="9" hidden="1"/>
    <cellStyle name="Followed Hyperlink" xfId="27886" builtinId="9" hidden="1"/>
    <cellStyle name="Followed Hyperlink" xfId="27887" builtinId="9" hidden="1"/>
    <cellStyle name="Followed Hyperlink" xfId="27888" builtinId="9" hidden="1"/>
    <cellStyle name="Followed Hyperlink" xfId="27889" builtinId="9" hidden="1"/>
    <cellStyle name="Followed Hyperlink" xfId="27890" builtinId="9" hidden="1"/>
    <cellStyle name="Followed Hyperlink" xfId="27891" builtinId="9" hidden="1"/>
    <cellStyle name="Followed Hyperlink" xfId="27892" builtinId="9" hidden="1"/>
    <cellStyle name="Followed Hyperlink" xfId="27893" builtinId="9" hidden="1"/>
    <cellStyle name="Followed Hyperlink" xfId="27894" builtinId="9" hidden="1"/>
    <cellStyle name="Followed Hyperlink" xfId="27895" builtinId="9" hidden="1"/>
    <cellStyle name="Followed Hyperlink" xfId="27896" builtinId="9" hidden="1"/>
    <cellStyle name="Followed Hyperlink" xfId="27897" builtinId="9" hidden="1"/>
    <cellStyle name="Followed Hyperlink" xfId="27898" builtinId="9" hidden="1"/>
    <cellStyle name="Followed Hyperlink" xfId="27899" builtinId="9" hidden="1"/>
    <cellStyle name="Followed Hyperlink" xfId="27900" builtinId="9" hidden="1"/>
    <cellStyle name="Followed Hyperlink" xfId="27901" builtinId="9" hidden="1"/>
    <cellStyle name="Followed Hyperlink" xfId="27902" builtinId="9" hidden="1"/>
    <cellStyle name="Followed Hyperlink" xfId="27903" builtinId="9" hidden="1"/>
    <cellStyle name="Followed Hyperlink" xfId="27904" builtinId="9" hidden="1"/>
    <cellStyle name="Followed Hyperlink" xfId="27905" builtinId="9" hidden="1"/>
    <cellStyle name="Followed Hyperlink" xfId="27906" builtinId="9" hidden="1"/>
    <cellStyle name="Followed Hyperlink" xfId="27907" builtinId="9" hidden="1"/>
    <cellStyle name="Followed Hyperlink" xfId="27908" builtinId="9" hidden="1"/>
    <cellStyle name="Followed Hyperlink" xfId="27909" builtinId="9" hidden="1"/>
    <cellStyle name="Followed Hyperlink" xfId="27910" builtinId="9" hidden="1"/>
    <cellStyle name="Followed Hyperlink" xfId="27911" builtinId="9" hidden="1"/>
    <cellStyle name="Followed Hyperlink" xfId="27912" builtinId="9" hidden="1"/>
    <cellStyle name="Followed Hyperlink" xfId="27913" builtinId="9" hidden="1"/>
    <cellStyle name="Followed Hyperlink" xfId="27914" builtinId="9" hidden="1"/>
    <cellStyle name="Followed Hyperlink" xfId="27915" builtinId="9" hidden="1"/>
    <cellStyle name="Followed Hyperlink" xfId="27916" builtinId="9" hidden="1"/>
    <cellStyle name="Followed Hyperlink" xfId="27917" builtinId="9" hidden="1"/>
    <cellStyle name="Followed Hyperlink" xfId="27918" builtinId="9" hidden="1"/>
    <cellStyle name="Followed Hyperlink" xfId="27919" builtinId="9" hidden="1"/>
    <cellStyle name="Followed Hyperlink" xfId="27920" builtinId="9" hidden="1"/>
    <cellStyle name="Followed Hyperlink" xfId="27921" builtinId="9" hidden="1"/>
    <cellStyle name="Followed Hyperlink" xfId="27922" builtinId="9" hidden="1"/>
    <cellStyle name="Followed Hyperlink" xfId="27757" builtinId="9" hidden="1"/>
    <cellStyle name="Followed Hyperlink" xfId="27883" builtinId="9" hidden="1"/>
    <cellStyle name="Followed Hyperlink" xfId="27924" builtinId="9" hidden="1"/>
    <cellStyle name="Followed Hyperlink" xfId="27925" builtinId="9" hidden="1"/>
    <cellStyle name="Followed Hyperlink" xfId="27926" builtinId="9" hidden="1"/>
    <cellStyle name="Followed Hyperlink" xfId="27927" builtinId="9" hidden="1"/>
    <cellStyle name="Followed Hyperlink" xfId="27928" builtinId="9" hidden="1"/>
    <cellStyle name="Followed Hyperlink" xfId="27929" builtinId="9" hidden="1"/>
    <cellStyle name="Followed Hyperlink" xfId="27930" builtinId="9" hidden="1"/>
    <cellStyle name="Followed Hyperlink" xfId="27931" builtinId="9" hidden="1"/>
    <cellStyle name="Followed Hyperlink" xfId="27932" builtinId="9" hidden="1"/>
    <cellStyle name="Followed Hyperlink" xfId="27933" builtinId="9" hidden="1"/>
    <cellStyle name="Followed Hyperlink" xfId="27934" builtinId="9" hidden="1"/>
    <cellStyle name="Followed Hyperlink" xfId="27935" builtinId="9" hidden="1"/>
    <cellStyle name="Followed Hyperlink" xfId="27936" builtinId="9" hidden="1"/>
    <cellStyle name="Followed Hyperlink" xfId="27937" builtinId="9" hidden="1"/>
    <cellStyle name="Followed Hyperlink" xfId="27938" builtinId="9" hidden="1"/>
    <cellStyle name="Followed Hyperlink" xfId="27939" builtinId="9" hidden="1"/>
    <cellStyle name="Followed Hyperlink" xfId="27940" builtinId="9" hidden="1"/>
    <cellStyle name="Followed Hyperlink" xfId="27941" builtinId="9" hidden="1"/>
    <cellStyle name="Followed Hyperlink" xfId="27942" builtinId="9" hidden="1"/>
    <cellStyle name="Followed Hyperlink" xfId="27943" builtinId="9" hidden="1"/>
    <cellStyle name="Followed Hyperlink" xfId="27944" builtinId="9" hidden="1"/>
    <cellStyle name="Followed Hyperlink" xfId="27945" builtinId="9" hidden="1"/>
    <cellStyle name="Followed Hyperlink" xfId="27946" builtinId="9" hidden="1"/>
    <cellStyle name="Followed Hyperlink" xfId="27947" builtinId="9" hidden="1"/>
    <cellStyle name="Followed Hyperlink" xfId="27948" builtinId="9" hidden="1"/>
    <cellStyle name="Followed Hyperlink" xfId="27949" builtinId="9" hidden="1"/>
    <cellStyle name="Followed Hyperlink" xfId="27950" builtinId="9" hidden="1"/>
    <cellStyle name="Followed Hyperlink" xfId="27951" builtinId="9" hidden="1"/>
    <cellStyle name="Followed Hyperlink" xfId="27952" builtinId="9" hidden="1"/>
    <cellStyle name="Followed Hyperlink" xfId="27953" builtinId="9" hidden="1"/>
    <cellStyle name="Followed Hyperlink" xfId="27954" builtinId="9" hidden="1"/>
    <cellStyle name="Followed Hyperlink" xfId="27955" builtinId="9" hidden="1"/>
    <cellStyle name="Followed Hyperlink" xfId="27956" builtinId="9" hidden="1"/>
    <cellStyle name="Followed Hyperlink" xfId="27957" builtinId="9" hidden="1"/>
    <cellStyle name="Followed Hyperlink" xfId="27958" builtinId="9" hidden="1"/>
    <cellStyle name="Followed Hyperlink" xfId="27959" builtinId="9" hidden="1"/>
    <cellStyle name="Followed Hyperlink" xfId="27960" builtinId="9" hidden="1"/>
    <cellStyle name="Followed Hyperlink" xfId="27961" builtinId="9" hidden="1"/>
    <cellStyle name="Followed Hyperlink" xfId="27962" builtinId="9" hidden="1"/>
    <cellStyle name="Followed Hyperlink" xfId="27759" builtinId="9" hidden="1"/>
    <cellStyle name="Followed Hyperlink" xfId="27923" builtinId="9" hidden="1"/>
    <cellStyle name="Followed Hyperlink" xfId="27964" builtinId="9" hidden="1"/>
    <cellStyle name="Followed Hyperlink" xfId="27965" builtinId="9" hidden="1"/>
    <cellStyle name="Followed Hyperlink" xfId="27966" builtinId="9" hidden="1"/>
    <cellStyle name="Followed Hyperlink" xfId="27967" builtinId="9" hidden="1"/>
    <cellStyle name="Followed Hyperlink" xfId="27968" builtinId="9" hidden="1"/>
    <cellStyle name="Followed Hyperlink" xfId="27969" builtinId="9" hidden="1"/>
    <cellStyle name="Followed Hyperlink" xfId="27970" builtinId="9" hidden="1"/>
    <cellStyle name="Followed Hyperlink" xfId="27971" builtinId="9" hidden="1"/>
    <cellStyle name="Followed Hyperlink" xfId="27972" builtinId="9" hidden="1"/>
    <cellStyle name="Followed Hyperlink" xfId="27973" builtinId="9" hidden="1"/>
    <cellStyle name="Followed Hyperlink" xfId="27974" builtinId="9" hidden="1"/>
    <cellStyle name="Followed Hyperlink" xfId="27975" builtinId="9" hidden="1"/>
    <cellStyle name="Followed Hyperlink" xfId="27976" builtinId="9" hidden="1"/>
    <cellStyle name="Followed Hyperlink" xfId="27977" builtinId="9" hidden="1"/>
    <cellStyle name="Followed Hyperlink" xfId="27978" builtinId="9" hidden="1"/>
    <cellStyle name="Followed Hyperlink" xfId="27979" builtinId="9" hidden="1"/>
    <cellStyle name="Followed Hyperlink" xfId="27980" builtinId="9" hidden="1"/>
    <cellStyle name="Followed Hyperlink" xfId="27981" builtinId="9" hidden="1"/>
    <cellStyle name="Followed Hyperlink" xfId="27982" builtinId="9" hidden="1"/>
    <cellStyle name="Followed Hyperlink" xfId="27983" builtinId="9" hidden="1"/>
    <cellStyle name="Followed Hyperlink" xfId="27984" builtinId="9" hidden="1"/>
    <cellStyle name="Followed Hyperlink" xfId="27985" builtinId="9" hidden="1"/>
    <cellStyle name="Followed Hyperlink" xfId="27986" builtinId="9" hidden="1"/>
    <cellStyle name="Followed Hyperlink" xfId="27987" builtinId="9" hidden="1"/>
    <cellStyle name="Followed Hyperlink" xfId="27988" builtinId="9" hidden="1"/>
    <cellStyle name="Followed Hyperlink" xfId="27989" builtinId="9" hidden="1"/>
    <cellStyle name="Followed Hyperlink" xfId="27990" builtinId="9" hidden="1"/>
    <cellStyle name="Followed Hyperlink" xfId="27991" builtinId="9" hidden="1"/>
    <cellStyle name="Followed Hyperlink" xfId="27992" builtinId="9" hidden="1"/>
    <cellStyle name="Followed Hyperlink" xfId="27993" builtinId="9" hidden="1"/>
    <cellStyle name="Followed Hyperlink" xfId="27994" builtinId="9" hidden="1"/>
    <cellStyle name="Followed Hyperlink" xfId="27995" builtinId="9" hidden="1"/>
    <cellStyle name="Followed Hyperlink" xfId="27996" builtinId="9" hidden="1"/>
    <cellStyle name="Followed Hyperlink" xfId="27997" builtinId="9" hidden="1"/>
    <cellStyle name="Followed Hyperlink" xfId="27998" builtinId="9" hidden="1"/>
    <cellStyle name="Followed Hyperlink" xfId="27999" builtinId="9" hidden="1"/>
    <cellStyle name="Followed Hyperlink" xfId="28000" builtinId="9" hidden="1"/>
    <cellStyle name="Followed Hyperlink" xfId="28001" builtinId="9" hidden="1"/>
    <cellStyle name="Followed Hyperlink" xfId="28002" builtinId="9" hidden="1"/>
    <cellStyle name="Followed Hyperlink" xfId="27753" builtinId="9" hidden="1"/>
    <cellStyle name="Followed Hyperlink" xfId="27963" builtinId="9" hidden="1"/>
    <cellStyle name="Followed Hyperlink" xfId="28004" builtinId="9" hidden="1"/>
    <cellStyle name="Followed Hyperlink" xfId="28005" builtinId="9" hidden="1"/>
    <cellStyle name="Followed Hyperlink" xfId="28006" builtinId="9" hidden="1"/>
    <cellStyle name="Followed Hyperlink" xfId="28007" builtinId="9" hidden="1"/>
    <cellStyle name="Followed Hyperlink" xfId="28008" builtinId="9" hidden="1"/>
    <cellStyle name="Followed Hyperlink" xfId="28009" builtinId="9" hidden="1"/>
    <cellStyle name="Followed Hyperlink" xfId="28010" builtinId="9" hidden="1"/>
    <cellStyle name="Followed Hyperlink" xfId="28011" builtinId="9" hidden="1"/>
    <cellStyle name="Followed Hyperlink" xfId="28012" builtinId="9" hidden="1"/>
    <cellStyle name="Followed Hyperlink" xfId="28013" builtinId="9" hidden="1"/>
    <cellStyle name="Followed Hyperlink" xfId="28014" builtinId="9" hidden="1"/>
    <cellStyle name="Followed Hyperlink" xfId="28015" builtinId="9" hidden="1"/>
    <cellStyle name="Followed Hyperlink" xfId="28016" builtinId="9" hidden="1"/>
    <cellStyle name="Followed Hyperlink" xfId="28017" builtinId="9" hidden="1"/>
    <cellStyle name="Followed Hyperlink" xfId="28018" builtinId="9" hidden="1"/>
    <cellStyle name="Followed Hyperlink" xfId="28019" builtinId="9" hidden="1"/>
    <cellStyle name="Followed Hyperlink" xfId="28020" builtinId="9" hidden="1"/>
    <cellStyle name="Followed Hyperlink" xfId="28021" builtinId="9" hidden="1"/>
    <cellStyle name="Followed Hyperlink" xfId="28022" builtinId="9" hidden="1"/>
    <cellStyle name="Followed Hyperlink" xfId="28023" builtinId="9" hidden="1"/>
    <cellStyle name="Followed Hyperlink" xfId="28024" builtinId="9" hidden="1"/>
    <cellStyle name="Followed Hyperlink" xfId="28025" builtinId="9" hidden="1"/>
    <cellStyle name="Followed Hyperlink" xfId="28026" builtinId="9" hidden="1"/>
    <cellStyle name="Followed Hyperlink" xfId="28027" builtinId="9" hidden="1"/>
    <cellStyle name="Followed Hyperlink" xfId="28028" builtinId="9" hidden="1"/>
    <cellStyle name="Followed Hyperlink" xfId="28029" builtinId="9" hidden="1"/>
    <cellStyle name="Followed Hyperlink" xfId="28030" builtinId="9" hidden="1"/>
    <cellStyle name="Followed Hyperlink" xfId="28031" builtinId="9" hidden="1"/>
    <cellStyle name="Followed Hyperlink" xfId="28032" builtinId="9" hidden="1"/>
    <cellStyle name="Followed Hyperlink" xfId="28033" builtinId="9" hidden="1"/>
    <cellStyle name="Followed Hyperlink" xfId="28034" builtinId="9" hidden="1"/>
    <cellStyle name="Followed Hyperlink" xfId="28035" builtinId="9" hidden="1"/>
    <cellStyle name="Followed Hyperlink" xfId="28036" builtinId="9" hidden="1"/>
    <cellStyle name="Followed Hyperlink" xfId="28037" builtinId="9" hidden="1"/>
    <cellStyle name="Followed Hyperlink" xfId="28038" builtinId="9" hidden="1"/>
    <cellStyle name="Followed Hyperlink" xfId="28039" builtinId="9" hidden="1"/>
    <cellStyle name="Followed Hyperlink" xfId="28040" builtinId="9" hidden="1"/>
    <cellStyle name="Followed Hyperlink" xfId="28041" builtinId="9" hidden="1"/>
    <cellStyle name="Followed Hyperlink" xfId="28042" builtinId="9" hidden="1"/>
    <cellStyle name="Followed Hyperlink" xfId="27755" builtinId="9" hidden="1"/>
    <cellStyle name="Followed Hyperlink" xfId="28003" builtinId="9" hidden="1"/>
    <cellStyle name="Followed Hyperlink" xfId="28044" builtinId="9" hidden="1"/>
    <cellStyle name="Followed Hyperlink" xfId="28045" builtinId="9" hidden="1"/>
    <cellStyle name="Followed Hyperlink" xfId="28046" builtinId="9" hidden="1"/>
    <cellStyle name="Followed Hyperlink" xfId="28047" builtinId="9" hidden="1"/>
    <cellStyle name="Followed Hyperlink" xfId="28048" builtinId="9" hidden="1"/>
    <cellStyle name="Followed Hyperlink" xfId="28049" builtinId="9" hidden="1"/>
    <cellStyle name="Followed Hyperlink" xfId="28050" builtinId="9" hidden="1"/>
    <cellStyle name="Followed Hyperlink" xfId="28051" builtinId="9" hidden="1"/>
    <cellStyle name="Followed Hyperlink" xfId="28052" builtinId="9" hidden="1"/>
    <cellStyle name="Followed Hyperlink" xfId="28053" builtinId="9" hidden="1"/>
    <cellStyle name="Followed Hyperlink" xfId="28054" builtinId="9" hidden="1"/>
    <cellStyle name="Followed Hyperlink" xfId="28055" builtinId="9" hidden="1"/>
    <cellStyle name="Followed Hyperlink" xfId="28056" builtinId="9" hidden="1"/>
    <cellStyle name="Followed Hyperlink" xfId="28057" builtinId="9" hidden="1"/>
    <cellStyle name="Followed Hyperlink" xfId="28058" builtinId="9" hidden="1"/>
    <cellStyle name="Followed Hyperlink" xfId="28059" builtinId="9" hidden="1"/>
    <cellStyle name="Followed Hyperlink" xfId="28060" builtinId="9" hidden="1"/>
    <cellStyle name="Followed Hyperlink" xfId="28061" builtinId="9" hidden="1"/>
    <cellStyle name="Followed Hyperlink" xfId="28062" builtinId="9" hidden="1"/>
    <cellStyle name="Followed Hyperlink" xfId="28063" builtinId="9" hidden="1"/>
    <cellStyle name="Followed Hyperlink" xfId="28064" builtinId="9" hidden="1"/>
    <cellStyle name="Followed Hyperlink" xfId="28065" builtinId="9" hidden="1"/>
    <cellStyle name="Followed Hyperlink" xfId="28066" builtinId="9" hidden="1"/>
    <cellStyle name="Followed Hyperlink" xfId="28067" builtinId="9" hidden="1"/>
    <cellStyle name="Followed Hyperlink" xfId="28068" builtinId="9" hidden="1"/>
    <cellStyle name="Followed Hyperlink" xfId="28069" builtinId="9" hidden="1"/>
    <cellStyle name="Followed Hyperlink" xfId="28070" builtinId="9" hidden="1"/>
    <cellStyle name="Followed Hyperlink" xfId="28071" builtinId="9" hidden="1"/>
    <cellStyle name="Followed Hyperlink" xfId="28072" builtinId="9" hidden="1"/>
    <cellStyle name="Followed Hyperlink" xfId="28073" builtinId="9" hidden="1"/>
    <cellStyle name="Followed Hyperlink" xfId="28074" builtinId="9" hidden="1"/>
    <cellStyle name="Followed Hyperlink" xfId="28075" builtinId="9" hidden="1"/>
    <cellStyle name="Followed Hyperlink" xfId="28076" builtinId="9" hidden="1"/>
    <cellStyle name="Followed Hyperlink" xfId="28077" builtinId="9" hidden="1"/>
    <cellStyle name="Followed Hyperlink" xfId="28078" builtinId="9" hidden="1"/>
    <cellStyle name="Followed Hyperlink" xfId="28079" builtinId="9" hidden="1"/>
    <cellStyle name="Followed Hyperlink" xfId="28080" builtinId="9" hidden="1"/>
    <cellStyle name="Followed Hyperlink" xfId="28081" builtinId="9" hidden="1"/>
    <cellStyle name="Followed Hyperlink" xfId="28082" builtinId="9" hidden="1"/>
    <cellStyle name="Followed Hyperlink" xfId="27756" builtinId="9" hidden="1"/>
    <cellStyle name="Followed Hyperlink" xfId="28043" builtinId="9" hidden="1"/>
    <cellStyle name="Followed Hyperlink" xfId="28084" builtinId="9" hidden="1"/>
    <cellStyle name="Followed Hyperlink" xfId="28085" builtinId="9" hidden="1"/>
    <cellStyle name="Followed Hyperlink" xfId="28086" builtinId="9" hidden="1"/>
    <cellStyle name="Followed Hyperlink" xfId="28087" builtinId="9" hidden="1"/>
    <cellStyle name="Followed Hyperlink" xfId="28088" builtinId="9" hidden="1"/>
    <cellStyle name="Followed Hyperlink" xfId="28089" builtinId="9" hidden="1"/>
    <cellStyle name="Followed Hyperlink" xfId="28090" builtinId="9" hidden="1"/>
    <cellStyle name="Followed Hyperlink" xfId="28091" builtinId="9" hidden="1"/>
    <cellStyle name="Followed Hyperlink" xfId="28092" builtinId="9" hidden="1"/>
    <cellStyle name="Followed Hyperlink" xfId="28093" builtinId="9" hidden="1"/>
    <cellStyle name="Followed Hyperlink" xfId="28094" builtinId="9" hidden="1"/>
    <cellStyle name="Followed Hyperlink" xfId="28095" builtinId="9" hidden="1"/>
    <cellStyle name="Followed Hyperlink" xfId="28096" builtinId="9" hidden="1"/>
    <cellStyle name="Followed Hyperlink" xfId="28097" builtinId="9" hidden="1"/>
    <cellStyle name="Followed Hyperlink" xfId="28098" builtinId="9" hidden="1"/>
    <cellStyle name="Followed Hyperlink" xfId="28099" builtinId="9" hidden="1"/>
    <cellStyle name="Followed Hyperlink" xfId="28100" builtinId="9" hidden="1"/>
    <cellStyle name="Followed Hyperlink" xfId="28101" builtinId="9" hidden="1"/>
    <cellStyle name="Followed Hyperlink" xfId="28102" builtinId="9" hidden="1"/>
    <cellStyle name="Followed Hyperlink" xfId="28103" builtinId="9" hidden="1"/>
    <cellStyle name="Followed Hyperlink" xfId="28104" builtinId="9" hidden="1"/>
    <cellStyle name="Followed Hyperlink" xfId="28105" builtinId="9" hidden="1"/>
    <cellStyle name="Followed Hyperlink" xfId="28106" builtinId="9" hidden="1"/>
    <cellStyle name="Followed Hyperlink" xfId="28107" builtinId="9" hidden="1"/>
    <cellStyle name="Followed Hyperlink" xfId="28108" builtinId="9" hidden="1"/>
    <cellStyle name="Followed Hyperlink" xfId="28109" builtinId="9" hidden="1"/>
    <cellStyle name="Followed Hyperlink" xfId="28110" builtinId="9" hidden="1"/>
    <cellStyle name="Followed Hyperlink" xfId="28111" builtinId="9" hidden="1"/>
    <cellStyle name="Followed Hyperlink" xfId="28112" builtinId="9" hidden="1"/>
    <cellStyle name="Followed Hyperlink" xfId="28113" builtinId="9" hidden="1"/>
    <cellStyle name="Followed Hyperlink" xfId="28114" builtinId="9" hidden="1"/>
    <cellStyle name="Followed Hyperlink" xfId="28115" builtinId="9" hidden="1"/>
    <cellStyle name="Followed Hyperlink" xfId="28116" builtinId="9" hidden="1"/>
    <cellStyle name="Followed Hyperlink" xfId="28117" builtinId="9" hidden="1"/>
    <cellStyle name="Followed Hyperlink" xfId="28118" builtinId="9" hidden="1"/>
    <cellStyle name="Followed Hyperlink" xfId="28119" builtinId="9" hidden="1"/>
    <cellStyle name="Followed Hyperlink" xfId="28120" builtinId="9" hidden="1"/>
    <cellStyle name="Followed Hyperlink" xfId="28121" builtinId="9" hidden="1"/>
    <cellStyle name="Followed Hyperlink" xfId="28122" builtinId="9" hidden="1"/>
    <cellStyle name="Followed Hyperlink" xfId="27758" builtinId="9" hidden="1"/>
    <cellStyle name="Followed Hyperlink" xfId="28083" builtinId="9" hidden="1"/>
    <cellStyle name="Followed Hyperlink" xfId="28124" builtinId="9" hidden="1"/>
    <cellStyle name="Followed Hyperlink" xfId="28125" builtinId="9" hidden="1"/>
    <cellStyle name="Followed Hyperlink" xfId="28126" builtinId="9" hidden="1"/>
    <cellStyle name="Followed Hyperlink" xfId="28127" builtinId="9" hidden="1"/>
    <cellStyle name="Followed Hyperlink" xfId="28128" builtinId="9" hidden="1"/>
    <cellStyle name="Followed Hyperlink" xfId="28129" builtinId="9" hidden="1"/>
    <cellStyle name="Followed Hyperlink" xfId="28130" builtinId="9" hidden="1"/>
    <cellStyle name="Followed Hyperlink" xfId="28131" builtinId="9" hidden="1"/>
    <cellStyle name="Followed Hyperlink" xfId="28132" builtinId="9" hidden="1"/>
    <cellStyle name="Followed Hyperlink" xfId="28133" builtinId="9" hidden="1"/>
    <cellStyle name="Followed Hyperlink" xfId="28134" builtinId="9" hidden="1"/>
    <cellStyle name="Followed Hyperlink" xfId="28135" builtinId="9" hidden="1"/>
    <cellStyle name="Followed Hyperlink" xfId="28136" builtinId="9" hidden="1"/>
    <cellStyle name="Followed Hyperlink" xfId="28137" builtinId="9" hidden="1"/>
    <cellStyle name="Followed Hyperlink" xfId="28138" builtinId="9" hidden="1"/>
    <cellStyle name="Followed Hyperlink" xfId="28139" builtinId="9" hidden="1"/>
    <cellStyle name="Followed Hyperlink" xfId="28140" builtinId="9" hidden="1"/>
    <cellStyle name="Followed Hyperlink" xfId="28141" builtinId="9" hidden="1"/>
    <cellStyle name="Followed Hyperlink" xfId="28142" builtinId="9" hidden="1"/>
    <cellStyle name="Followed Hyperlink" xfId="28143" builtinId="9" hidden="1"/>
    <cellStyle name="Followed Hyperlink" xfId="28144" builtinId="9" hidden="1"/>
    <cellStyle name="Followed Hyperlink" xfId="28145" builtinId="9" hidden="1"/>
    <cellStyle name="Followed Hyperlink" xfId="28146" builtinId="9" hidden="1"/>
    <cellStyle name="Followed Hyperlink" xfId="28147" builtinId="9" hidden="1"/>
    <cellStyle name="Followed Hyperlink" xfId="28148" builtinId="9" hidden="1"/>
    <cellStyle name="Followed Hyperlink" xfId="28149" builtinId="9" hidden="1"/>
    <cellStyle name="Followed Hyperlink" xfId="28150" builtinId="9" hidden="1"/>
    <cellStyle name="Followed Hyperlink" xfId="28151" builtinId="9" hidden="1"/>
    <cellStyle name="Followed Hyperlink" xfId="28152" builtinId="9" hidden="1"/>
    <cellStyle name="Followed Hyperlink" xfId="28153" builtinId="9" hidden="1"/>
    <cellStyle name="Followed Hyperlink" xfId="28154" builtinId="9" hidden="1"/>
    <cellStyle name="Followed Hyperlink" xfId="28155" builtinId="9" hidden="1"/>
    <cellStyle name="Followed Hyperlink" xfId="28156" builtinId="9" hidden="1"/>
    <cellStyle name="Followed Hyperlink" xfId="28157" builtinId="9" hidden="1"/>
    <cellStyle name="Followed Hyperlink" xfId="28158" builtinId="9" hidden="1"/>
    <cellStyle name="Followed Hyperlink" xfId="28159" builtinId="9" hidden="1"/>
    <cellStyle name="Followed Hyperlink" xfId="28160" builtinId="9" hidden="1"/>
    <cellStyle name="Followed Hyperlink" xfId="28161" builtinId="9" hidden="1"/>
    <cellStyle name="Followed Hyperlink" xfId="28162" builtinId="9" hidden="1"/>
    <cellStyle name="Followed Hyperlink" xfId="27754" builtinId="9" hidden="1"/>
    <cellStyle name="Followed Hyperlink" xfId="28123" builtinId="9" hidden="1"/>
    <cellStyle name="Followed Hyperlink" xfId="28163" builtinId="9" hidden="1"/>
    <cellStyle name="Followed Hyperlink" xfId="28164" builtinId="9" hidden="1"/>
    <cellStyle name="Followed Hyperlink" xfId="28165" builtinId="9" hidden="1"/>
    <cellStyle name="Followed Hyperlink" xfId="28166" builtinId="9" hidden="1"/>
    <cellStyle name="Followed Hyperlink" xfId="28167" builtinId="9" hidden="1"/>
    <cellStyle name="Followed Hyperlink" xfId="28168" builtinId="9" hidden="1"/>
    <cellStyle name="Followed Hyperlink" xfId="28169" builtinId="9" hidden="1"/>
    <cellStyle name="Followed Hyperlink" xfId="28170" builtinId="9" hidden="1"/>
    <cellStyle name="Followed Hyperlink" xfId="28171" builtinId="9" hidden="1"/>
    <cellStyle name="Followed Hyperlink" xfId="28172" builtinId="9" hidden="1"/>
    <cellStyle name="Followed Hyperlink" xfId="28173" builtinId="9" hidden="1"/>
    <cellStyle name="Followed Hyperlink" xfId="28174" builtinId="9" hidden="1"/>
    <cellStyle name="Followed Hyperlink" xfId="28175" builtinId="9" hidden="1"/>
    <cellStyle name="Followed Hyperlink" xfId="28176" builtinId="9" hidden="1"/>
    <cellStyle name="Followed Hyperlink" xfId="28177" builtinId="9" hidden="1"/>
    <cellStyle name="Followed Hyperlink" xfId="28178" builtinId="9" hidden="1"/>
    <cellStyle name="Followed Hyperlink" xfId="28179" builtinId="9" hidden="1"/>
    <cellStyle name="Followed Hyperlink" xfId="28180" builtinId="9" hidden="1"/>
    <cellStyle name="Followed Hyperlink" xfId="28181" builtinId="9" hidden="1"/>
    <cellStyle name="Followed Hyperlink" xfId="28182" builtinId="9" hidden="1"/>
    <cellStyle name="Followed Hyperlink" xfId="28183" builtinId="9" hidden="1"/>
    <cellStyle name="Followed Hyperlink" xfId="28184" builtinId="9" hidden="1"/>
    <cellStyle name="Followed Hyperlink" xfId="28185" builtinId="9" hidden="1"/>
    <cellStyle name="Followed Hyperlink" xfId="28186" builtinId="9" hidden="1"/>
    <cellStyle name="Followed Hyperlink" xfId="28187" builtinId="9" hidden="1"/>
    <cellStyle name="Followed Hyperlink" xfId="28188" builtinId="9" hidden="1"/>
    <cellStyle name="Followed Hyperlink" xfId="28189" builtinId="9" hidden="1"/>
    <cellStyle name="Followed Hyperlink" xfId="28190" builtinId="9" hidden="1"/>
    <cellStyle name="Followed Hyperlink" xfId="28191" builtinId="9" hidden="1"/>
    <cellStyle name="Followed Hyperlink" xfId="28192" builtinId="9" hidden="1"/>
    <cellStyle name="Followed Hyperlink" xfId="28193" builtinId="9" hidden="1"/>
    <cellStyle name="Followed Hyperlink" xfId="28194" builtinId="9" hidden="1"/>
    <cellStyle name="Followed Hyperlink" xfId="28195" builtinId="9" hidden="1"/>
    <cellStyle name="Followed Hyperlink" xfId="28196" builtinId="9" hidden="1"/>
    <cellStyle name="Followed Hyperlink" xfId="28197" builtinId="9" hidden="1"/>
    <cellStyle name="Followed Hyperlink" xfId="28198" builtinId="9" hidden="1"/>
    <cellStyle name="Followed Hyperlink" xfId="28199" builtinId="9" hidden="1"/>
    <cellStyle name="Followed Hyperlink" xfId="28200" builtinId="9" hidden="1"/>
    <cellStyle name="Followed Hyperlink" xfId="28201" builtinId="9" hidden="1"/>
    <cellStyle name="Followed Hyperlink" xfId="25251" builtinId="9" hidden="1"/>
    <cellStyle name="Followed Hyperlink" xfId="25247" builtinId="9" hidden="1"/>
    <cellStyle name="Followed Hyperlink" xfId="28202" builtinId="9" hidden="1"/>
    <cellStyle name="Followed Hyperlink" xfId="28203" builtinId="9" hidden="1"/>
    <cellStyle name="Followed Hyperlink" xfId="28204" builtinId="9" hidden="1"/>
    <cellStyle name="Followed Hyperlink" xfId="28205" builtinId="9" hidden="1"/>
    <cellStyle name="Followed Hyperlink" xfId="28206" builtinId="9" hidden="1"/>
    <cellStyle name="Followed Hyperlink" xfId="28207" builtinId="9" hidden="1"/>
    <cellStyle name="Followed Hyperlink" xfId="28208" builtinId="9" hidden="1"/>
    <cellStyle name="Followed Hyperlink" xfId="28209" builtinId="9" hidden="1"/>
    <cellStyle name="Followed Hyperlink" xfId="28210" builtinId="9" hidden="1"/>
    <cellStyle name="Followed Hyperlink" xfId="28211" builtinId="9" hidden="1"/>
    <cellStyle name="Followed Hyperlink" xfId="28212" builtinId="9" hidden="1"/>
    <cellStyle name="Followed Hyperlink" xfId="28213" builtinId="9" hidden="1"/>
    <cellStyle name="Followed Hyperlink" xfId="28214" builtinId="9" hidden="1"/>
    <cellStyle name="Followed Hyperlink" xfId="28215" builtinId="9" hidden="1"/>
    <cellStyle name="Followed Hyperlink" xfId="28216" builtinId="9" hidden="1"/>
    <cellStyle name="Followed Hyperlink" xfId="28217" builtinId="9" hidden="1"/>
    <cellStyle name="Followed Hyperlink" xfId="28218" builtinId="9" hidden="1"/>
    <cellStyle name="Followed Hyperlink" xfId="28219" builtinId="9" hidden="1"/>
    <cellStyle name="Followed Hyperlink" xfId="28220" builtinId="9" hidden="1"/>
    <cellStyle name="Followed Hyperlink" xfId="28221" builtinId="9" hidden="1"/>
    <cellStyle name="Followed Hyperlink" xfId="28222" builtinId="9" hidden="1"/>
    <cellStyle name="Followed Hyperlink" xfId="28223" builtinId="9" hidden="1"/>
    <cellStyle name="Followed Hyperlink" xfId="28224" builtinId="9" hidden="1"/>
    <cellStyle name="Followed Hyperlink" xfId="28225" builtinId="9" hidden="1"/>
    <cellStyle name="Followed Hyperlink" xfId="28226" builtinId="9" hidden="1"/>
    <cellStyle name="Followed Hyperlink" xfId="28227" builtinId="9" hidden="1"/>
    <cellStyle name="Followed Hyperlink" xfId="28228" builtinId="9" hidden="1"/>
    <cellStyle name="Followed Hyperlink" xfId="28229" builtinId="9" hidden="1"/>
    <cellStyle name="Followed Hyperlink" xfId="28230" builtinId="9" hidden="1"/>
    <cellStyle name="Followed Hyperlink" xfId="28231" builtinId="9" hidden="1"/>
    <cellStyle name="Followed Hyperlink" xfId="28232" builtinId="9" hidden="1"/>
    <cellStyle name="Followed Hyperlink" xfId="28233" builtinId="9" hidden="1"/>
    <cellStyle name="Followed Hyperlink" xfId="28234" builtinId="9" hidden="1"/>
    <cellStyle name="Followed Hyperlink" xfId="28235" builtinId="9" hidden="1"/>
    <cellStyle name="Followed Hyperlink" xfId="28236" builtinId="9" hidden="1"/>
    <cellStyle name="Followed Hyperlink" xfId="28237" builtinId="9" hidden="1"/>
    <cellStyle name="Followed Hyperlink" xfId="28238" builtinId="9" hidden="1"/>
    <cellStyle name="Followed Hyperlink" xfId="28239" builtinId="9" hidden="1"/>
    <cellStyle name="Followed Hyperlink" xfId="28240" builtinId="9" hidden="1"/>
    <cellStyle name="Followed Hyperlink" xfId="28249" builtinId="9" hidden="1"/>
    <cellStyle name="Followed Hyperlink" xfId="28250" builtinId="9" hidden="1"/>
    <cellStyle name="Followed Hyperlink" xfId="28251" builtinId="9" hidden="1"/>
    <cellStyle name="Followed Hyperlink" xfId="28252" builtinId="9" hidden="1"/>
    <cellStyle name="Followed Hyperlink" xfId="28253" builtinId="9" hidden="1"/>
    <cellStyle name="Followed Hyperlink" xfId="28254" builtinId="9" hidden="1"/>
    <cellStyle name="Followed Hyperlink" xfId="28255" builtinId="9" hidden="1"/>
    <cellStyle name="Followed Hyperlink" xfId="28256" builtinId="9" hidden="1"/>
    <cellStyle name="Followed Hyperlink" xfId="28257" builtinId="9" hidden="1"/>
    <cellStyle name="Followed Hyperlink" xfId="28258" builtinId="9" hidden="1"/>
    <cellStyle name="Followed Hyperlink" xfId="28259" builtinId="9" hidden="1"/>
    <cellStyle name="Followed Hyperlink" xfId="28260" builtinId="9" hidden="1"/>
    <cellStyle name="Followed Hyperlink" xfId="28261" builtinId="9" hidden="1"/>
    <cellStyle name="Followed Hyperlink" xfId="28262" builtinId="9" hidden="1"/>
    <cellStyle name="Followed Hyperlink" xfId="28263" builtinId="9" hidden="1"/>
    <cellStyle name="Followed Hyperlink" xfId="28264" builtinId="9" hidden="1"/>
    <cellStyle name="Followed Hyperlink" xfId="28265" builtinId="9" hidden="1"/>
    <cellStyle name="Followed Hyperlink" xfId="28266" builtinId="9" hidden="1"/>
    <cellStyle name="Followed Hyperlink" xfId="28267" builtinId="9" hidden="1"/>
    <cellStyle name="Followed Hyperlink" xfId="28268" builtinId="9" hidden="1"/>
    <cellStyle name="Followed Hyperlink" xfId="28269" builtinId="9" hidden="1"/>
    <cellStyle name="Followed Hyperlink" xfId="28270" builtinId="9" hidden="1"/>
    <cellStyle name="Followed Hyperlink" xfId="28271" builtinId="9" hidden="1"/>
    <cellStyle name="Followed Hyperlink" xfId="28272" builtinId="9" hidden="1"/>
    <cellStyle name="Followed Hyperlink" xfId="28273" builtinId="9" hidden="1"/>
    <cellStyle name="Followed Hyperlink" xfId="28274" builtinId="9" hidden="1"/>
    <cellStyle name="Followed Hyperlink" xfId="28275" builtinId="9" hidden="1"/>
    <cellStyle name="Followed Hyperlink" xfId="28276" builtinId="9" hidden="1"/>
    <cellStyle name="Followed Hyperlink" xfId="28277" builtinId="9" hidden="1"/>
    <cellStyle name="Followed Hyperlink" xfId="28278" builtinId="9" hidden="1"/>
    <cellStyle name="Followed Hyperlink" xfId="28279" builtinId="9" hidden="1"/>
    <cellStyle name="Followed Hyperlink" xfId="28280" builtinId="9" hidden="1"/>
    <cellStyle name="Followed Hyperlink" xfId="28281" builtinId="9" hidden="1"/>
    <cellStyle name="Followed Hyperlink" xfId="28282" builtinId="9" hidden="1"/>
    <cellStyle name="Followed Hyperlink" xfId="28283" builtinId="9" hidden="1"/>
    <cellStyle name="Followed Hyperlink" xfId="28284" builtinId="9" hidden="1"/>
    <cellStyle name="Followed Hyperlink" xfId="28285" builtinId="9" hidden="1"/>
    <cellStyle name="Followed Hyperlink" xfId="28286" builtinId="9" hidden="1"/>
    <cellStyle name="Followed Hyperlink" xfId="28287" builtinId="9" hidden="1"/>
    <cellStyle name="Followed Hyperlink" xfId="28288" builtinId="9" hidden="1"/>
    <cellStyle name="Followed Hyperlink" xfId="28289" builtinId="9" hidden="1"/>
    <cellStyle name="Followed Hyperlink" xfId="28290" builtinId="9" hidden="1"/>
    <cellStyle name="Followed Hyperlink" xfId="28291" builtinId="9" hidden="1"/>
    <cellStyle name="Followed Hyperlink" xfId="28292" builtinId="9" hidden="1"/>
    <cellStyle name="Followed Hyperlink" xfId="28293" builtinId="9" hidden="1"/>
    <cellStyle name="Followed Hyperlink" xfId="28294" builtinId="9" hidden="1"/>
    <cellStyle name="Followed Hyperlink" xfId="28295" builtinId="9" hidden="1"/>
    <cellStyle name="Followed Hyperlink" xfId="28296" builtinId="9" hidden="1"/>
    <cellStyle name="Followed Hyperlink" xfId="28297" builtinId="9" hidden="1"/>
    <cellStyle name="Followed Hyperlink" xfId="28298" builtinId="9" hidden="1"/>
    <cellStyle name="Followed Hyperlink" xfId="28299" builtinId="9" hidden="1"/>
    <cellStyle name="Followed Hyperlink" xfId="28300" builtinId="9" hidden="1"/>
    <cellStyle name="Followed Hyperlink" xfId="28301" builtinId="9" hidden="1"/>
    <cellStyle name="Followed Hyperlink" xfId="28302" builtinId="9" hidden="1"/>
    <cellStyle name="Followed Hyperlink" xfId="28303" builtinId="9" hidden="1"/>
    <cellStyle name="Followed Hyperlink" xfId="28304" builtinId="9" hidden="1"/>
    <cellStyle name="Followed Hyperlink" xfId="28305" builtinId="9" hidden="1"/>
    <cellStyle name="Followed Hyperlink" xfId="28306" builtinId="9" hidden="1"/>
    <cellStyle name="Followed Hyperlink" xfId="28307" builtinId="9" hidden="1"/>
    <cellStyle name="Followed Hyperlink" xfId="28308" builtinId="9" hidden="1"/>
    <cellStyle name="Followed Hyperlink" xfId="28309" builtinId="9" hidden="1"/>
    <cellStyle name="Followed Hyperlink" xfId="28310" builtinId="9" hidden="1"/>
    <cellStyle name="Followed Hyperlink" xfId="28311" builtinId="9" hidden="1"/>
    <cellStyle name="Followed Hyperlink" xfId="28312" builtinId="9" hidden="1"/>
    <cellStyle name="Followed Hyperlink" xfId="28313" builtinId="9" hidden="1"/>
    <cellStyle name="Followed Hyperlink" xfId="28314" builtinId="9" hidden="1"/>
    <cellStyle name="Followed Hyperlink" xfId="28315" builtinId="9" hidden="1"/>
    <cellStyle name="Followed Hyperlink" xfId="28316" builtinId="9" hidden="1"/>
    <cellStyle name="Followed Hyperlink" xfId="28317" builtinId="9" hidden="1"/>
    <cellStyle name="Followed Hyperlink" xfId="28318" builtinId="9" hidden="1"/>
    <cellStyle name="Followed Hyperlink" xfId="28319" builtinId="9" hidden="1"/>
    <cellStyle name="Followed Hyperlink" xfId="28320" builtinId="9" hidden="1"/>
    <cellStyle name="Followed Hyperlink" xfId="28321" builtinId="9" hidden="1"/>
    <cellStyle name="Followed Hyperlink" xfId="28322" builtinId="9" hidden="1"/>
    <cellStyle name="Followed Hyperlink" xfId="28323" builtinId="9" hidden="1"/>
    <cellStyle name="Followed Hyperlink" xfId="28324" builtinId="9" hidden="1"/>
    <cellStyle name="Followed Hyperlink" xfId="28325" builtinId="9" hidden="1"/>
    <cellStyle name="Followed Hyperlink" xfId="28326" builtinId="9" hidden="1"/>
    <cellStyle name="Followed Hyperlink" xfId="28327" builtinId="9" hidden="1"/>
    <cellStyle name="Followed Hyperlink" xfId="28328" builtinId="9" hidden="1"/>
    <cellStyle name="Followed Hyperlink" xfId="28329" builtinId="9" hidden="1"/>
    <cellStyle name="Followed Hyperlink" xfId="28330" builtinId="9" hidden="1"/>
    <cellStyle name="Followed Hyperlink" xfId="28331" builtinId="9" hidden="1"/>
    <cellStyle name="Followed Hyperlink" xfId="28332" builtinId="9" hidden="1"/>
    <cellStyle name="Followed Hyperlink" xfId="28333" builtinId="9" hidden="1"/>
    <cellStyle name="Followed Hyperlink" xfId="28334" builtinId="9" hidden="1"/>
    <cellStyle name="Followed Hyperlink" xfId="28335" builtinId="9" hidden="1"/>
    <cellStyle name="Followed Hyperlink" xfId="28336" builtinId="9" hidden="1"/>
    <cellStyle name="Followed Hyperlink" xfId="28337" builtinId="9" hidden="1"/>
    <cellStyle name="Followed Hyperlink" xfId="28338" builtinId="9" hidden="1"/>
    <cellStyle name="Followed Hyperlink" xfId="28339" builtinId="9" hidden="1"/>
    <cellStyle name="Followed Hyperlink" xfId="28340" builtinId="9" hidden="1"/>
    <cellStyle name="Followed Hyperlink" xfId="28341" builtinId="9" hidden="1"/>
    <cellStyle name="Followed Hyperlink" xfId="28342" builtinId="9" hidden="1"/>
    <cellStyle name="Followed Hyperlink" xfId="28343" builtinId="9" hidden="1"/>
    <cellStyle name="Followed Hyperlink" xfId="28344" builtinId="9" hidden="1"/>
    <cellStyle name="Followed Hyperlink" xfId="28345" builtinId="9" hidden="1"/>
    <cellStyle name="Followed Hyperlink" xfId="28346" builtinId="9" hidden="1"/>
    <cellStyle name="Followed Hyperlink" xfId="28347" builtinId="9" hidden="1"/>
    <cellStyle name="Followed Hyperlink" xfId="28348" builtinId="9" hidden="1"/>
    <cellStyle name="Followed Hyperlink" xfId="28349" builtinId="9" hidden="1"/>
    <cellStyle name="Followed Hyperlink" xfId="28350" builtinId="9" hidden="1"/>
    <cellStyle name="Followed Hyperlink" xfId="28351" builtinId="9" hidden="1"/>
    <cellStyle name="Followed Hyperlink" xfId="28352" builtinId="9" hidden="1"/>
    <cellStyle name="Followed Hyperlink" xfId="28353" builtinId="9" hidden="1"/>
    <cellStyle name="Followed Hyperlink" xfId="28354" builtinId="9" hidden="1"/>
    <cellStyle name="Followed Hyperlink" xfId="28355" builtinId="9" hidden="1"/>
    <cellStyle name="Followed Hyperlink" xfId="28356" builtinId="9" hidden="1"/>
    <cellStyle name="Followed Hyperlink" xfId="28357" builtinId="9" hidden="1"/>
    <cellStyle name="Followed Hyperlink" xfId="28358" builtinId="9" hidden="1"/>
    <cellStyle name="Followed Hyperlink" xfId="28359" builtinId="9" hidden="1"/>
    <cellStyle name="Followed Hyperlink" xfId="28360" builtinId="9" hidden="1"/>
    <cellStyle name="Followed Hyperlink" xfId="28361" builtinId="9" hidden="1"/>
    <cellStyle name="Followed Hyperlink" xfId="28362" builtinId="9" hidden="1"/>
    <cellStyle name="Followed Hyperlink" xfId="28363" builtinId="9" hidden="1"/>
    <cellStyle name="Followed Hyperlink" xfId="28364" builtinId="9" hidden="1"/>
    <cellStyle name="Followed Hyperlink" xfId="28365" builtinId="9" hidden="1"/>
    <cellStyle name="Followed Hyperlink" xfId="28366" builtinId="9" hidden="1"/>
    <cellStyle name="Followed Hyperlink" xfId="28367" builtinId="9" hidden="1"/>
    <cellStyle name="Followed Hyperlink" xfId="28368" builtinId="9" hidden="1"/>
    <cellStyle name="Followed Hyperlink" xfId="28369" builtinId="9" hidden="1"/>
    <cellStyle name="Followed Hyperlink" xfId="28370" builtinId="9" hidden="1"/>
    <cellStyle name="Followed Hyperlink" xfId="28371" builtinId="9" hidden="1"/>
    <cellStyle name="Followed Hyperlink" xfId="28241" builtinId="9" hidden="1"/>
    <cellStyle name="Followed Hyperlink" xfId="25246" builtinId="9" hidden="1"/>
    <cellStyle name="Followed Hyperlink" xfId="28373" builtinId="9" hidden="1"/>
    <cellStyle name="Followed Hyperlink" xfId="28374" builtinId="9" hidden="1"/>
    <cellStyle name="Followed Hyperlink" xfId="28375" builtinId="9" hidden="1"/>
    <cellStyle name="Followed Hyperlink" xfId="28376" builtinId="9" hidden="1"/>
    <cellStyle name="Followed Hyperlink" xfId="28377" builtinId="9" hidden="1"/>
    <cellStyle name="Followed Hyperlink" xfId="28378" builtinId="9" hidden="1"/>
    <cellStyle name="Followed Hyperlink" xfId="28379" builtinId="9" hidden="1"/>
    <cellStyle name="Followed Hyperlink" xfId="28380" builtinId="9" hidden="1"/>
    <cellStyle name="Followed Hyperlink" xfId="28381" builtinId="9" hidden="1"/>
    <cellStyle name="Followed Hyperlink" xfId="28382" builtinId="9" hidden="1"/>
    <cellStyle name="Followed Hyperlink" xfId="28383" builtinId="9" hidden="1"/>
    <cellStyle name="Followed Hyperlink" xfId="28384" builtinId="9" hidden="1"/>
    <cellStyle name="Followed Hyperlink" xfId="28385" builtinId="9" hidden="1"/>
    <cellStyle name="Followed Hyperlink" xfId="28386" builtinId="9" hidden="1"/>
    <cellStyle name="Followed Hyperlink" xfId="28387" builtinId="9" hidden="1"/>
    <cellStyle name="Followed Hyperlink" xfId="28388" builtinId="9" hidden="1"/>
    <cellStyle name="Followed Hyperlink" xfId="28389" builtinId="9" hidden="1"/>
    <cellStyle name="Followed Hyperlink" xfId="28390" builtinId="9" hidden="1"/>
    <cellStyle name="Followed Hyperlink" xfId="28391" builtinId="9" hidden="1"/>
    <cellStyle name="Followed Hyperlink" xfId="28392" builtinId="9" hidden="1"/>
    <cellStyle name="Followed Hyperlink" xfId="28393" builtinId="9" hidden="1"/>
    <cellStyle name="Followed Hyperlink" xfId="28394" builtinId="9" hidden="1"/>
    <cellStyle name="Followed Hyperlink" xfId="28395" builtinId="9" hidden="1"/>
    <cellStyle name="Followed Hyperlink" xfId="28396" builtinId="9" hidden="1"/>
    <cellStyle name="Followed Hyperlink" xfId="28397" builtinId="9" hidden="1"/>
    <cellStyle name="Followed Hyperlink" xfId="28398" builtinId="9" hidden="1"/>
    <cellStyle name="Followed Hyperlink" xfId="28399" builtinId="9" hidden="1"/>
    <cellStyle name="Followed Hyperlink" xfId="28400" builtinId="9" hidden="1"/>
    <cellStyle name="Followed Hyperlink" xfId="28401" builtinId="9" hidden="1"/>
    <cellStyle name="Followed Hyperlink" xfId="28402" builtinId="9" hidden="1"/>
    <cellStyle name="Followed Hyperlink" xfId="28403" builtinId="9" hidden="1"/>
    <cellStyle name="Followed Hyperlink" xfId="28404" builtinId="9" hidden="1"/>
    <cellStyle name="Followed Hyperlink" xfId="28405" builtinId="9" hidden="1"/>
    <cellStyle name="Followed Hyperlink" xfId="28406" builtinId="9" hidden="1"/>
    <cellStyle name="Followed Hyperlink" xfId="28407" builtinId="9" hidden="1"/>
    <cellStyle name="Followed Hyperlink" xfId="28408" builtinId="9" hidden="1"/>
    <cellStyle name="Followed Hyperlink" xfId="28409" builtinId="9" hidden="1"/>
    <cellStyle name="Followed Hyperlink" xfId="28410" builtinId="9" hidden="1"/>
    <cellStyle name="Followed Hyperlink" xfId="28411" builtinId="9" hidden="1"/>
    <cellStyle name="Followed Hyperlink" xfId="28246" builtinId="9" hidden="1"/>
    <cellStyle name="Followed Hyperlink" xfId="28372" builtinId="9" hidden="1"/>
    <cellStyle name="Followed Hyperlink" xfId="28413" builtinId="9" hidden="1"/>
    <cellStyle name="Followed Hyperlink" xfId="28414" builtinId="9" hidden="1"/>
    <cellStyle name="Followed Hyperlink" xfId="28415" builtinId="9" hidden="1"/>
    <cellStyle name="Followed Hyperlink" xfId="28416" builtinId="9" hidden="1"/>
    <cellStyle name="Followed Hyperlink" xfId="28417" builtinId="9" hidden="1"/>
    <cellStyle name="Followed Hyperlink" xfId="28418" builtinId="9" hidden="1"/>
    <cellStyle name="Followed Hyperlink" xfId="28419" builtinId="9" hidden="1"/>
    <cellStyle name="Followed Hyperlink" xfId="28420" builtinId="9" hidden="1"/>
    <cellStyle name="Followed Hyperlink" xfId="28421" builtinId="9" hidden="1"/>
    <cellStyle name="Followed Hyperlink" xfId="28422" builtinId="9" hidden="1"/>
    <cellStyle name="Followed Hyperlink" xfId="28423" builtinId="9" hidden="1"/>
    <cellStyle name="Followed Hyperlink" xfId="28424" builtinId="9" hidden="1"/>
    <cellStyle name="Followed Hyperlink" xfId="28425" builtinId="9" hidden="1"/>
    <cellStyle name="Followed Hyperlink" xfId="28426" builtinId="9" hidden="1"/>
    <cellStyle name="Followed Hyperlink" xfId="28427" builtinId="9" hidden="1"/>
    <cellStyle name="Followed Hyperlink" xfId="28428" builtinId="9" hidden="1"/>
    <cellStyle name="Followed Hyperlink" xfId="28429" builtinId="9" hidden="1"/>
    <cellStyle name="Followed Hyperlink" xfId="28430" builtinId="9" hidden="1"/>
    <cellStyle name="Followed Hyperlink" xfId="28431" builtinId="9" hidden="1"/>
    <cellStyle name="Followed Hyperlink" xfId="28432" builtinId="9" hidden="1"/>
    <cellStyle name="Followed Hyperlink" xfId="28433" builtinId="9" hidden="1"/>
    <cellStyle name="Followed Hyperlink" xfId="28434" builtinId="9" hidden="1"/>
    <cellStyle name="Followed Hyperlink" xfId="28435" builtinId="9" hidden="1"/>
    <cellStyle name="Followed Hyperlink" xfId="28436" builtinId="9" hidden="1"/>
    <cellStyle name="Followed Hyperlink" xfId="28437" builtinId="9" hidden="1"/>
    <cellStyle name="Followed Hyperlink" xfId="28438" builtinId="9" hidden="1"/>
    <cellStyle name="Followed Hyperlink" xfId="28439" builtinId="9" hidden="1"/>
    <cellStyle name="Followed Hyperlink" xfId="28440" builtinId="9" hidden="1"/>
    <cellStyle name="Followed Hyperlink" xfId="28441" builtinId="9" hidden="1"/>
    <cellStyle name="Followed Hyperlink" xfId="28442" builtinId="9" hidden="1"/>
    <cellStyle name="Followed Hyperlink" xfId="28443" builtinId="9" hidden="1"/>
    <cellStyle name="Followed Hyperlink" xfId="28444" builtinId="9" hidden="1"/>
    <cellStyle name="Followed Hyperlink" xfId="28445" builtinId="9" hidden="1"/>
    <cellStyle name="Followed Hyperlink" xfId="28446" builtinId="9" hidden="1"/>
    <cellStyle name="Followed Hyperlink" xfId="28447" builtinId="9" hidden="1"/>
    <cellStyle name="Followed Hyperlink" xfId="28448" builtinId="9" hidden="1"/>
    <cellStyle name="Followed Hyperlink" xfId="28449" builtinId="9" hidden="1"/>
    <cellStyle name="Followed Hyperlink" xfId="28450" builtinId="9" hidden="1"/>
    <cellStyle name="Followed Hyperlink" xfId="28451" builtinId="9" hidden="1"/>
    <cellStyle name="Followed Hyperlink" xfId="28248" builtinId="9" hidden="1"/>
    <cellStyle name="Followed Hyperlink" xfId="28412" builtinId="9" hidden="1"/>
    <cellStyle name="Followed Hyperlink" xfId="28453" builtinId="9" hidden="1"/>
    <cellStyle name="Followed Hyperlink" xfId="28454" builtinId="9" hidden="1"/>
    <cellStyle name="Followed Hyperlink" xfId="28455" builtinId="9" hidden="1"/>
    <cellStyle name="Followed Hyperlink" xfId="28456" builtinId="9" hidden="1"/>
    <cellStyle name="Followed Hyperlink" xfId="28457" builtinId="9" hidden="1"/>
    <cellStyle name="Followed Hyperlink" xfId="28458" builtinId="9" hidden="1"/>
    <cellStyle name="Followed Hyperlink" xfId="28459" builtinId="9" hidden="1"/>
    <cellStyle name="Followed Hyperlink" xfId="28460" builtinId="9" hidden="1"/>
    <cellStyle name="Followed Hyperlink" xfId="28461" builtinId="9" hidden="1"/>
    <cellStyle name="Followed Hyperlink" xfId="28462" builtinId="9" hidden="1"/>
    <cellStyle name="Followed Hyperlink" xfId="28463" builtinId="9" hidden="1"/>
    <cellStyle name="Followed Hyperlink" xfId="28464" builtinId="9" hidden="1"/>
    <cellStyle name="Followed Hyperlink" xfId="28465" builtinId="9" hidden="1"/>
    <cellStyle name="Followed Hyperlink" xfId="28466" builtinId="9" hidden="1"/>
    <cellStyle name="Followed Hyperlink" xfId="28467" builtinId="9" hidden="1"/>
    <cellStyle name="Followed Hyperlink" xfId="28468" builtinId="9" hidden="1"/>
    <cellStyle name="Followed Hyperlink" xfId="28469" builtinId="9" hidden="1"/>
    <cellStyle name="Followed Hyperlink" xfId="28470" builtinId="9" hidden="1"/>
    <cellStyle name="Followed Hyperlink" xfId="28471" builtinId="9" hidden="1"/>
    <cellStyle name="Followed Hyperlink" xfId="28472" builtinId="9" hidden="1"/>
    <cellStyle name="Followed Hyperlink" xfId="28473" builtinId="9" hidden="1"/>
    <cellStyle name="Followed Hyperlink" xfId="28474" builtinId="9" hidden="1"/>
    <cellStyle name="Followed Hyperlink" xfId="28475" builtinId="9" hidden="1"/>
    <cellStyle name="Followed Hyperlink" xfId="28476" builtinId="9" hidden="1"/>
    <cellStyle name="Followed Hyperlink" xfId="28477" builtinId="9" hidden="1"/>
    <cellStyle name="Followed Hyperlink" xfId="28478" builtinId="9" hidden="1"/>
    <cellStyle name="Followed Hyperlink" xfId="28479" builtinId="9" hidden="1"/>
    <cellStyle name="Followed Hyperlink" xfId="28480" builtinId="9" hidden="1"/>
    <cellStyle name="Followed Hyperlink" xfId="28481" builtinId="9" hidden="1"/>
    <cellStyle name="Followed Hyperlink" xfId="28482" builtinId="9" hidden="1"/>
    <cellStyle name="Followed Hyperlink" xfId="28483" builtinId="9" hidden="1"/>
    <cellStyle name="Followed Hyperlink" xfId="28484" builtinId="9" hidden="1"/>
    <cellStyle name="Followed Hyperlink" xfId="28485" builtinId="9" hidden="1"/>
    <cellStyle name="Followed Hyperlink" xfId="28486" builtinId="9" hidden="1"/>
    <cellStyle name="Followed Hyperlink" xfId="28487" builtinId="9" hidden="1"/>
    <cellStyle name="Followed Hyperlink" xfId="28488" builtinId="9" hidden="1"/>
    <cellStyle name="Followed Hyperlink" xfId="28489" builtinId="9" hidden="1"/>
    <cellStyle name="Followed Hyperlink" xfId="28490" builtinId="9" hidden="1"/>
    <cellStyle name="Followed Hyperlink" xfId="28491" builtinId="9" hidden="1"/>
    <cellStyle name="Followed Hyperlink" xfId="28242" builtinId="9" hidden="1"/>
    <cellStyle name="Followed Hyperlink" xfId="28452" builtinId="9" hidden="1"/>
    <cellStyle name="Followed Hyperlink" xfId="28493" builtinId="9" hidden="1"/>
    <cellStyle name="Followed Hyperlink" xfId="28494" builtinId="9" hidden="1"/>
    <cellStyle name="Followed Hyperlink" xfId="28495" builtinId="9" hidden="1"/>
    <cellStyle name="Followed Hyperlink" xfId="28496" builtinId="9" hidden="1"/>
    <cellStyle name="Followed Hyperlink" xfId="28497" builtinId="9" hidden="1"/>
    <cellStyle name="Followed Hyperlink" xfId="28498" builtinId="9" hidden="1"/>
    <cellStyle name="Followed Hyperlink" xfId="28499" builtinId="9" hidden="1"/>
    <cellStyle name="Followed Hyperlink" xfId="28500" builtinId="9" hidden="1"/>
    <cellStyle name="Followed Hyperlink" xfId="28501" builtinId="9" hidden="1"/>
    <cellStyle name="Followed Hyperlink" xfId="28502" builtinId="9" hidden="1"/>
    <cellStyle name="Followed Hyperlink" xfId="28503" builtinId="9" hidden="1"/>
    <cellStyle name="Followed Hyperlink" xfId="28504" builtinId="9" hidden="1"/>
    <cellStyle name="Followed Hyperlink" xfId="28505" builtinId="9" hidden="1"/>
    <cellStyle name="Followed Hyperlink" xfId="28506" builtinId="9" hidden="1"/>
    <cellStyle name="Followed Hyperlink" xfId="28507" builtinId="9" hidden="1"/>
    <cellStyle name="Followed Hyperlink" xfId="28508" builtinId="9" hidden="1"/>
    <cellStyle name="Followed Hyperlink" xfId="28509" builtinId="9" hidden="1"/>
    <cellStyle name="Followed Hyperlink" xfId="28510" builtinId="9" hidden="1"/>
    <cellStyle name="Followed Hyperlink" xfId="28511" builtinId="9" hidden="1"/>
    <cellStyle name="Followed Hyperlink" xfId="28512" builtinId="9" hidden="1"/>
    <cellStyle name="Followed Hyperlink" xfId="28513" builtinId="9" hidden="1"/>
    <cellStyle name="Followed Hyperlink" xfId="28514" builtinId="9" hidden="1"/>
    <cellStyle name="Followed Hyperlink" xfId="28515" builtinId="9" hidden="1"/>
    <cellStyle name="Followed Hyperlink" xfId="28516" builtinId="9" hidden="1"/>
    <cellStyle name="Followed Hyperlink" xfId="28517" builtinId="9" hidden="1"/>
    <cellStyle name="Followed Hyperlink" xfId="28518" builtinId="9" hidden="1"/>
    <cellStyle name="Followed Hyperlink" xfId="28519" builtinId="9" hidden="1"/>
    <cellStyle name="Followed Hyperlink" xfId="28520" builtinId="9" hidden="1"/>
    <cellStyle name="Followed Hyperlink" xfId="28521" builtinId="9" hidden="1"/>
    <cellStyle name="Followed Hyperlink" xfId="28522" builtinId="9" hidden="1"/>
    <cellStyle name="Followed Hyperlink" xfId="28523" builtinId="9" hidden="1"/>
    <cellStyle name="Followed Hyperlink" xfId="28524" builtinId="9" hidden="1"/>
    <cellStyle name="Followed Hyperlink" xfId="28525" builtinId="9" hidden="1"/>
    <cellStyle name="Followed Hyperlink" xfId="28526" builtinId="9" hidden="1"/>
    <cellStyle name="Followed Hyperlink" xfId="28527" builtinId="9" hidden="1"/>
    <cellStyle name="Followed Hyperlink" xfId="28528" builtinId="9" hidden="1"/>
    <cellStyle name="Followed Hyperlink" xfId="28529" builtinId="9" hidden="1"/>
    <cellStyle name="Followed Hyperlink" xfId="28530" builtinId="9" hidden="1"/>
    <cellStyle name="Followed Hyperlink" xfId="28531" builtinId="9" hidden="1"/>
    <cellStyle name="Followed Hyperlink" xfId="28244" builtinId="9" hidden="1"/>
    <cellStyle name="Followed Hyperlink" xfId="28492" builtinId="9" hidden="1"/>
    <cellStyle name="Followed Hyperlink" xfId="28533" builtinId="9" hidden="1"/>
    <cellStyle name="Followed Hyperlink" xfId="28534" builtinId="9" hidden="1"/>
    <cellStyle name="Followed Hyperlink" xfId="28535" builtinId="9" hidden="1"/>
    <cellStyle name="Followed Hyperlink" xfId="28536" builtinId="9" hidden="1"/>
    <cellStyle name="Followed Hyperlink" xfId="28537" builtinId="9" hidden="1"/>
    <cellStyle name="Followed Hyperlink" xfId="28538" builtinId="9" hidden="1"/>
    <cellStyle name="Followed Hyperlink" xfId="28539" builtinId="9" hidden="1"/>
    <cellStyle name="Followed Hyperlink" xfId="28540" builtinId="9" hidden="1"/>
    <cellStyle name="Followed Hyperlink" xfId="28541" builtinId="9" hidden="1"/>
    <cellStyle name="Followed Hyperlink" xfId="28542" builtinId="9" hidden="1"/>
    <cellStyle name="Followed Hyperlink" xfId="28543" builtinId="9" hidden="1"/>
    <cellStyle name="Followed Hyperlink" xfId="28544" builtinId="9" hidden="1"/>
    <cellStyle name="Followed Hyperlink" xfId="28545" builtinId="9" hidden="1"/>
    <cellStyle name="Followed Hyperlink" xfId="28546" builtinId="9" hidden="1"/>
    <cellStyle name="Followed Hyperlink" xfId="28547" builtinId="9" hidden="1"/>
    <cellStyle name="Followed Hyperlink" xfId="28548" builtinId="9" hidden="1"/>
    <cellStyle name="Followed Hyperlink" xfId="28549" builtinId="9" hidden="1"/>
    <cellStyle name="Followed Hyperlink" xfId="28550" builtinId="9" hidden="1"/>
    <cellStyle name="Followed Hyperlink" xfId="28551" builtinId="9" hidden="1"/>
    <cellStyle name="Followed Hyperlink" xfId="28552" builtinId="9" hidden="1"/>
    <cellStyle name="Followed Hyperlink" xfId="28553" builtinId="9" hidden="1"/>
    <cellStyle name="Followed Hyperlink" xfId="28554" builtinId="9" hidden="1"/>
    <cellStyle name="Followed Hyperlink" xfId="28555" builtinId="9" hidden="1"/>
    <cellStyle name="Followed Hyperlink" xfId="28556" builtinId="9" hidden="1"/>
    <cellStyle name="Followed Hyperlink" xfId="28557" builtinId="9" hidden="1"/>
    <cellStyle name="Followed Hyperlink" xfId="28558" builtinId="9" hidden="1"/>
    <cellStyle name="Followed Hyperlink" xfId="28559" builtinId="9" hidden="1"/>
    <cellStyle name="Followed Hyperlink" xfId="28560" builtinId="9" hidden="1"/>
    <cellStyle name="Followed Hyperlink" xfId="28561" builtinId="9" hidden="1"/>
    <cellStyle name="Followed Hyperlink" xfId="28562" builtinId="9" hidden="1"/>
    <cellStyle name="Followed Hyperlink" xfId="28563" builtinId="9" hidden="1"/>
    <cellStyle name="Followed Hyperlink" xfId="28564" builtinId="9" hidden="1"/>
    <cellStyle name="Followed Hyperlink" xfId="28565" builtinId="9" hidden="1"/>
    <cellStyle name="Followed Hyperlink" xfId="28566" builtinId="9" hidden="1"/>
    <cellStyle name="Followed Hyperlink" xfId="28567" builtinId="9" hidden="1"/>
    <cellStyle name="Followed Hyperlink" xfId="28568" builtinId="9" hidden="1"/>
    <cellStyle name="Followed Hyperlink" xfId="28569" builtinId="9" hidden="1"/>
    <cellStyle name="Followed Hyperlink" xfId="28570" builtinId="9" hidden="1"/>
    <cellStyle name="Followed Hyperlink" xfId="28571" builtinId="9" hidden="1"/>
    <cellStyle name="Followed Hyperlink" xfId="28245" builtinId="9" hidden="1"/>
    <cellStyle name="Followed Hyperlink" xfId="28532" builtinId="9" hidden="1"/>
    <cellStyle name="Followed Hyperlink" xfId="28573" builtinId="9" hidden="1"/>
    <cellStyle name="Followed Hyperlink" xfId="28574" builtinId="9" hidden="1"/>
    <cellStyle name="Followed Hyperlink" xfId="28575" builtinId="9" hidden="1"/>
    <cellStyle name="Followed Hyperlink" xfId="28576" builtinId="9" hidden="1"/>
    <cellStyle name="Followed Hyperlink" xfId="28577" builtinId="9" hidden="1"/>
    <cellStyle name="Followed Hyperlink" xfId="28578" builtinId="9" hidden="1"/>
    <cellStyle name="Followed Hyperlink" xfId="28579" builtinId="9" hidden="1"/>
    <cellStyle name="Followed Hyperlink" xfId="28580" builtinId="9" hidden="1"/>
    <cellStyle name="Followed Hyperlink" xfId="28581" builtinId="9" hidden="1"/>
    <cellStyle name="Followed Hyperlink" xfId="28582" builtinId="9" hidden="1"/>
    <cellStyle name="Followed Hyperlink" xfId="28583" builtinId="9" hidden="1"/>
    <cellStyle name="Followed Hyperlink" xfId="28584" builtinId="9" hidden="1"/>
    <cellStyle name="Followed Hyperlink" xfId="28585" builtinId="9" hidden="1"/>
    <cellStyle name="Followed Hyperlink" xfId="28586" builtinId="9" hidden="1"/>
    <cellStyle name="Followed Hyperlink" xfId="28587" builtinId="9" hidden="1"/>
    <cellStyle name="Followed Hyperlink" xfId="28588" builtinId="9" hidden="1"/>
    <cellStyle name="Followed Hyperlink" xfId="28589" builtinId="9" hidden="1"/>
    <cellStyle name="Followed Hyperlink" xfId="28590" builtinId="9" hidden="1"/>
    <cellStyle name="Followed Hyperlink" xfId="28591" builtinId="9" hidden="1"/>
    <cellStyle name="Followed Hyperlink" xfId="28592" builtinId="9" hidden="1"/>
    <cellStyle name="Followed Hyperlink" xfId="28593" builtinId="9" hidden="1"/>
    <cellStyle name="Followed Hyperlink" xfId="28594" builtinId="9" hidden="1"/>
    <cellStyle name="Followed Hyperlink" xfId="28595" builtinId="9" hidden="1"/>
    <cellStyle name="Followed Hyperlink" xfId="28596" builtinId="9" hidden="1"/>
    <cellStyle name="Followed Hyperlink" xfId="28597" builtinId="9" hidden="1"/>
    <cellStyle name="Followed Hyperlink" xfId="28598" builtinId="9" hidden="1"/>
    <cellStyle name="Followed Hyperlink" xfId="28599" builtinId="9" hidden="1"/>
    <cellStyle name="Followed Hyperlink" xfId="28600" builtinId="9" hidden="1"/>
    <cellStyle name="Followed Hyperlink" xfId="28601" builtinId="9" hidden="1"/>
    <cellStyle name="Followed Hyperlink" xfId="28602" builtinId="9" hidden="1"/>
    <cellStyle name="Followed Hyperlink" xfId="28603" builtinId="9" hidden="1"/>
    <cellStyle name="Followed Hyperlink" xfId="28604" builtinId="9" hidden="1"/>
    <cellStyle name="Followed Hyperlink" xfId="28605" builtinId="9" hidden="1"/>
    <cellStyle name="Followed Hyperlink" xfId="28606" builtinId="9" hidden="1"/>
    <cellStyle name="Followed Hyperlink" xfId="28607" builtinId="9" hidden="1"/>
    <cellStyle name="Followed Hyperlink" xfId="28608" builtinId="9" hidden="1"/>
    <cellStyle name="Followed Hyperlink" xfId="28609" builtinId="9" hidden="1"/>
    <cellStyle name="Followed Hyperlink" xfId="28610" builtinId="9" hidden="1"/>
    <cellStyle name="Followed Hyperlink" xfId="28611" builtinId="9" hidden="1"/>
    <cellStyle name="Followed Hyperlink" xfId="28247" builtinId="9" hidden="1"/>
    <cellStyle name="Followed Hyperlink" xfId="28572" builtinId="9" hidden="1"/>
    <cellStyle name="Followed Hyperlink" xfId="28613" builtinId="9" hidden="1"/>
    <cellStyle name="Followed Hyperlink" xfId="28614" builtinId="9" hidden="1"/>
    <cellStyle name="Followed Hyperlink" xfId="28615" builtinId="9" hidden="1"/>
    <cellStyle name="Followed Hyperlink" xfId="28616" builtinId="9" hidden="1"/>
    <cellStyle name="Followed Hyperlink" xfId="28617" builtinId="9" hidden="1"/>
    <cellStyle name="Followed Hyperlink" xfId="28618" builtinId="9" hidden="1"/>
    <cellStyle name="Followed Hyperlink" xfId="28619" builtinId="9" hidden="1"/>
    <cellStyle name="Followed Hyperlink" xfId="28620" builtinId="9" hidden="1"/>
    <cellStyle name="Followed Hyperlink" xfId="28621" builtinId="9" hidden="1"/>
    <cellStyle name="Followed Hyperlink" xfId="28622" builtinId="9" hidden="1"/>
    <cellStyle name="Followed Hyperlink" xfId="28623" builtinId="9" hidden="1"/>
    <cellStyle name="Followed Hyperlink" xfId="28624" builtinId="9" hidden="1"/>
    <cellStyle name="Followed Hyperlink" xfId="28625" builtinId="9" hidden="1"/>
    <cellStyle name="Followed Hyperlink" xfId="28626" builtinId="9" hidden="1"/>
    <cellStyle name="Followed Hyperlink" xfId="28627" builtinId="9" hidden="1"/>
    <cellStyle name="Followed Hyperlink" xfId="28628" builtinId="9" hidden="1"/>
    <cellStyle name="Followed Hyperlink" xfId="28629" builtinId="9" hidden="1"/>
    <cellStyle name="Followed Hyperlink" xfId="28630" builtinId="9" hidden="1"/>
    <cellStyle name="Followed Hyperlink" xfId="28631" builtinId="9" hidden="1"/>
    <cellStyle name="Followed Hyperlink" xfId="28632" builtinId="9" hidden="1"/>
    <cellStyle name="Followed Hyperlink" xfId="28633" builtinId="9" hidden="1"/>
    <cellStyle name="Followed Hyperlink" xfId="28634" builtinId="9" hidden="1"/>
    <cellStyle name="Followed Hyperlink" xfId="28635" builtinId="9" hidden="1"/>
    <cellStyle name="Followed Hyperlink" xfId="28636" builtinId="9" hidden="1"/>
    <cellStyle name="Followed Hyperlink" xfId="28637" builtinId="9" hidden="1"/>
    <cellStyle name="Followed Hyperlink" xfId="28638" builtinId="9" hidden="1"/>
    <cellStyle name="Followed Hyperlink" xfId="28639" builtinId="9" hidden="1"/>
    <cellStyle name="Followed Hyperlink" xfId="28640" builtinId="9" hidden="1"/>
    <cellStyle name="Followed Hyperlink" xfId="28641" builtinId="9" hidden="1"/>
    <cellStyle name="Followed Hyperlink" xfId="28642" builtinId="9" hidden="1"/>
    <cellStyle name="Followed Hyperlink" xfId="28643" builtinId="9" hidden="1"/>
    <cellStyle name="Followed Hyperlink" xfId="28644" builtinId="9" hidden="1"/>
    <cellStyle name="Followed Hyperlink" xfId="28645" builtinId="9" hidden="1"/>
    <cellStyle name="Followed Hyperlink" xfId="28646" builtinId="9" hidden="1"/>
    <cellStyle name="Followed Hyperlink" xfId="28647" builtinId="9" hidden="1"/>
    <cellStyle name="Followed Hyperlink" xfId="28648" builtinId="9" hidden="1"/>
    <cellStyle name="Followed Hyperlink" xfId="28649" builtinId="9" hidden="1"/>
    <cellStyle name="Followed Hyperlink" xfId="28650" builtinId="9" hidden="1"/>
    <cellStyle name="Followed Hyperlink" xfId="28651" builtinId="9" hidden="1"/>
    <cellStyle name="Followed Hyperlink" xfId="28243" builtinId="9" hidden="1"/>
    <cellStyle name="Followed Hyperlink" xfId="28612" builtinId="9" hidden="1"/>
    <cellStyle name="Followed Hyperlink" xfId="28652" builtinId="9" hidden="1"/>
    <cellStyle name="Followed Hyperlink" xfId="28653" builtinId="9" hidden="1"/>
    <cellStyle name="Followed Hyperlink" xfId="28654" builtinId="9" hidden="1"/>
    <cellStyle name="Followed Hyperlink" xfId="28655" builtinId="9" hidden="1"/>
    <cellStyle name="Followed Hyperlink" xfId="28656" builtinId="9" hidden="1"/>
    <cellStyle name="Followed Hyperlink" xfId="28657" builtinId="9" hidden="1"/>
    <cellStyle name="Followed Hyperlink" xfId="28658" builtinId="9" hidden="1"/>
    <cellStyle name="Followed Hyperlink" xfId="28659" builtinId="9" hidden="1"/>
    <cellStyle name="Followed Hyperlink" xfId="28660" builtinId="9" hidden="1"/>
    <cellStyle name="Followed Hyperlink" xfId="28661" builtinId="9" hidden="1"/>
    <cellStyle name="Followed Hyperlink" xfId="28662" builtinId="9" hidden="1"/>
    <cellStyle name="Followed Hyperlink" xfId="28663" builtinId="9" hidden="1"/>
    <cellStyle name="Followed Hyperlink" xfId="28664" builtinId="9" hidden="1"/>
    <cellStyle name="Followed Hyperlink" xfId="28665" builtinId="9" hidden="1"/>
    <cellStyle name="Followed Hyperlink" xfId="28666" builtinId="9" hidden="1"/>
    <cellStyle name="Followed Hyperlink" xfId="28667" builtinId="9" hidden="1"/>
    <cellStyle name="Followed Hyperlink" xfId="28668" builtinId="9" hidden="1"/>
    <cellStyle name="Followed Hyperlink" xfId="28669" builtinId="9" hidden="1"/>
    <cellStyle name="Followed Hyperlink" xfId="28670" builtinId="9" hidden="1"/>
    <cellStyle name="Followed Hyperlink" xfId="28671" builtinId="9" hidden="1"/>
    <cellStyle name="Followed Hyperlink" xfId="28672" builtinId="9" hidden="1"/>
    <cellStyle name="Followed Hyperlink" xfId="28673" builtinId="9" hidden="1"/>
    <cellStyle name="Followed Hyperlink" xfId="28674" builtinId="9" hidden="1"/>
    <cellStyle name="Followed Hyperlink" xfId="28675" builtinId="9" hidden="1"/>
    <cellStyle name="Followed Hyperlink" xfId="28676" builtinId="9" hidden="1"/>
    <cellStyle name="Followed Hyperlink" xfId="28677" builtinId="9" hidden="1"/>
    <cellStyle name="Followed Hyperlink" xfId="28678" builtinId="9" hidden="1"/>
    <cellStyle name="Followed Hyperlink" xfId="28679" builtinId="9" hidden="1"/>
    <cellStyle name="Followed Hyperlink" xfId="28680" builtinId="9" hidden="1"/>
    <cellStyle name="Followed Hyperlink" xfId="28681" builtinId="9" hidden="1"/>
    <cellStyle name="Followed Hyperlink" xfId="28682" builtinId="9" hidden="1"/>
    <cellStyle name="Followed Hyperlink" xfId="28683" builtinId="9" hidden="1"/>
    <cellStyle name="Followed Hyperlink" xfId="28684" builtinId="9" hidden="1"/>
    <cellStyle name="Followed Hyperlink" xfId="28685" builtinId="9" hidden="1"/>
    <cellStyle name="Followed Hyperlink" xfId="28686" builtinId="9" hidden="1"/>
    <cellStyle name="Followed Hyperlink" xfId="28687" builtinId="9" hidden="1"/>
    <cellStyle name="Followed Hyperlink" xfId="28688" builtinId="9" hidden="1"/>
    <cellStyle name="Followed Hyperlink" xfId="28689" builtinId="9" hidden="1"/>
    <cellStyle name="Followed Hyperlink" xfId="28690" builtinId="9" hidden="1"/>
    <cellStyle name="Followed Hyperlink" xfId="25248" builtinId="9" hidden="1"/>
    <cellStyle name="Followed Hyperlink" xfId="25255" builtinId="9" hidden="1"/>
    <cellStyle name="Followed Hyperlink" xfId="28691" builtinId="9" hidden="1"/>
    <cellStyle name="Followed Hyperlink" xfId="28692" builtinId="9" hidden="1"/>
    <cellStyle name="Followed Hyperlink" xfId="28693" builtinId="9" hidden="1"/>
    <cellStyle name="Followed Hyperlink" xfId="28694" builtinId="9" hidden="1"/>
    <cellStyle name="Followed Hyperlink" xfId="28695" builtinId="9" hidden="1"/>
    <cellStyle name="Followed Hyperlink" xfId="28696" builtinId="9" hidden="1"/>
    <cellStyle name="Followed Hyperlink" xfId="28697" builtinId="9" hidden="1"/>
    <cellStyle name="Followed Hyperlink" xfId="28698" builtinId="9" hidden="1"/>
    <cellStyle name="Followed Hyperlink" xfId="28699" builtinId="9" hidden="1"/>
    <cellStyle name="Followed Hyperlink" xfId="28700" builtinId="9" hidden="1"/>
    <cellStyle name="Followed Hyperlink" xfId="28701" builtinId="9" hidden="1"/>
    <cellStyle name="Followed Hyperlink" xfId="28702" builtinId="9" hidden="1"/>
    <cellStyle name="Followed Hyperlink" xfId="28703" builtinId="9" hidden="1"/>
    <cellStyle name="Followed Hyperlink" xfId="28704" builtinId="9" hidden="1"/>
    <cellStyle name="Followed Hyperlink" xfId="28705" builtinId="9" hidden="1"/>
    <cellStyle name="Followed Hyperlink" xfId="28706" builtinId="9" hidden="1"/>
    <cellStyle name="Followed Hyperlink" xfId="28707" builtinId="9" hidden="1"/>
    <cellStyle name="Followed Hyperlink" xfId="28708" builtinId="9" hidden="1"/>
    <cellStyle name="Followed Hyperlink" xfId="28709" builtinId="9" hidden="1"/>
    <cellStyle name="Followed Hyperlink" xfId="28710" builtinId="9" hidden="1"/>
    <cellStyle name="Followed Hyperlink" xfId="28711" builtinId="9" hidden="1"/>
    <cellStyle name="Followed Hyperlink" xfId="28712" builtinId="9" hidden="1"/>
    <cellStyle name="Followed Hyperlink" xfId="28713" builtinId="9" hidden="1"/>
    <cellStyle name="Followed Hyperlink" xfId="28714" builtinId="9" hidden="1"/>
    <cellStyle name="Followed Hyperlink" xfId="28715" builtinId="9" hidden="1"/>
    <cellStyle name="Followed Hyperlink" xfId="28716" builtinId="9" hidden="1"/>
    <cellStyle name="Followed Hyperlink" xfId="28717" builtinId="9" hidden="1"/>
    <cellStyle name="Followed Hyperlink" xfId="28718" builtinId="9" hidden="1"/>
    <cellStyle name="Followed Hyperlink" xfId="28719" builtinId="9" hidden="1"/>
    <cellStyle name="Followed Hyperlink" xfId="28720" builtinId="9" hidden="1"/>
    <cellStyle name="Followed Hyperlink" xfId="28721" builtinId="9" hidden="1"/>
    <cellStyle name="Followed Hyperlink" xfId="28722" builtinId="9" hidden="1"/>
    <cellStyle name="Followed Hyperlink" xfId="28723" builtinId="9" hidden="1"/>
    <cellStyle name="Followed Hyperlink" xfId="28724" builtinId="9" hidden="1"/>
    <cellStyle name="Followed Hyperlink" xfId="28725" builtinId="9" hidden="1"/>
    <cellStyle name="Followed Hyperlink" xfId="28726" builtinId="9" hidden="1"/>
    <cellStyle name="Followed Hyperlink" xfId="28727" builtinId="9" hidden="1"/>
    <cellStyle name="Followed Hyperlink" xfId="28728" builtinId="9" hidden="1"/>
    <cellStyle name="Followed Hyperlink" xfId="28729" builtinId="9" hidden="1"/>
    <cellStyle name="Followed Hyperlink" xfId="28738" builtinId="9" hidden="1"/>
    <cellStyle name="Followed Hyperlink" xfId="28739" builtinId="9" hidden="1"/>
    <cellStyle name="Followed Hyperlink" xfId="28740" builtinId="9" hidden="1"/>
    <cellStyle name="Followed Hyperlink" xfId="28741" builtinId="9" hidden="1"/>
    <cellStyle name="Followed Hyperlink" xfId="28742" builtinId="9" hidden="1"/>
    <cellStyle name="Followed Hyperlink" xfId="28743" builtinId="9" hidden="1"/>
    <cellStyle name="Followed Hyperlink" xfId="28744" builtinId="9" hidden="1"/>
    <cellStyle name="Followed Hyperlink" xfId="28745" builtinId="9" hidden="1"/>
    <cellStyle name="Followed Hyperlink" xfId="28746" builtinId="9" hidden="1"/>
    <cellStyle name="Followed Hyperlink" xfId="28747" builtinId="9" hidden="1"/>
    <cellStyle name="Followed Hyperlink" xfId="28748" builtinId="9" hidden="1"/>
    <cellStyle name="Followed Hyperlink" xfId="28749" builtinId="9" hidden="1"/>
    <cellStyle name="Followed Hyperlink" xfId="28750" builtinId="9" hidden="1"/>
    <cellStyle name="Followed Hyperlink" xfId="28751" builtinId="9" hidden="1"/>
    <cellStyle name="Followed Hyperlink" xfId="28752" builtinId="9" hidden="1"/>
    <cellStyle name="Followed Hyperlink" xfId="28753" builtinId="9" hidden="1"/>
    <cellStyle name="Followed Hyperlink" xfId="28754" builtinId="9" hidden="1"/>
    <cellStyle name="Followed Hyperlink" xfId="28755" builtinId="9" hidden="1"/>
    <cellStyle name="Followed Hyperlink" xfId="28756" builtinId="9" hidden="1"/>
    <cellStyle name="Followed Hyperlink" xfId="28757" builtinId="9" hidden="1"/>
    <cellStyle name="Followed Hyperlink" xfId="28758" builtinId="9" hidden="1"/>
    <cellStyle name="Followed Hyperlink" xfId="28759" builtinId="9" hidden="1"/>
    <cellStyle name="Followed Hyperlink" xfId="28760" builtinId="9" hidden="1"/>
    <cellStyle name="Followed Hyperlink" xfId="28761" builtinId="9" hidden="1"/>
    <cellStyle name="Followed Hyperlink" xfId="28762" builtinId="9" hidden="1"/>
    <cellStyle name="Followed Hyperlink" xfId="28763" builtinId="9" hidden="1"/>
    <cellStyle name="Followed Hyperlink" xfId="28764" builtinId="9" hidden="1"/>
    <cellStyle name="Followed Hyperlink" xfId="28765" builtinId="9" hidden="1"/>
    <cellStyle name="Followed Hyperlink" xfId="28766" builtinId="9" hidden="1"/>
    <cellStyle name="Followed Hyperlink" xfId="28767" builtinId="9" hidden="1"/>
    <cellStyle name="Followed Hyperlink" xfId="28768" builtinId="9" hidden="1"/>
    <cellStyle name="Followed Hyperlink" xfId="28769" builtinId="9" hidden="1"/>
    <cellStyle name="Followed Hyperlink" xfId="28770" builtinId="9" hidden="1"/>
    <cellStyle name="Followed Hyperlink" xfId="28771" builtinId="9" hidden="1"/>
    <cellStyle name="Followed Hyperlink" xfId="28772" builtinId="9" hidden="1"/>
    <cellStyle name="Followed Hyperlink" xfId="28773" builtinId="9" hidden="1"/>
    <cellStyle name="Followed Hyperlink" xfId="28774" builtinId="9" hidden="1"/>
    <cellStyle name="Followed Hyperlink" xfId="28775" builtinId="9" hidden="1"/>
    <cellStyle name="Followed Hyperlink" xfId="28776" builtinId="9" hidden="1"/>
    <cellStyle name="Followed Hyperlink" xfId="28777" builtinId="9" hidden="1"/>
    <cellStyle name="Followed Hyperlink" xfId="28778" builtinId="9" hidden="1"/>
    <cellStyle name="Followed Hyperlink" xfId="28779" builtinId="9" hidden="1"/>
    <cellStyle name="Followed Hyperlink" xfId="28780" builtinId="9" hidden="1"/>
    <cellStyle name="Followed Hyperlink" xfId="28781" builtinId="9" hidden="1"/>
    <cellStyle name="Followed Hyperlink" xfId="28782" builtinId="9" hidden="1"/>
    <cellStyle name="Followed Hyperlink" xfId="28783" builtinId="9" hidden="1"/>
    <cellStyle name="Followed Hyperlink" xfId="28784" builtinId="9" hidden="1"/>
    <cellStyle name="Followed Hyperlink" xfId="28785" builtinId="9" hidden="1"/>
    <cellStyle name="Followed Hyperlink" xfId="28786" builtinId="9" hidden="1"/>
    <cellStyle name="Followed Hyperlink" xfId="28787" builtinId="9" hidden="1"/>
    <cellStyle name="Followed Hyperlink" xfId="28788" builtinId="9" hidden="1"/>
    <cellStyle name="Followed Hyperlink" xfId="28789" builtinId="9" hidden="1"/>
    <cellStyle name="Followed Hyperlink" xfId="28790" builtinId="9" hidden="1"/>
    <cellStyle name="Followed Hyperlink" xfId="28791" builtinId="9" hidden="1"/>
    <cellStyle name="Followed Hyperlink" xfId="28792" builtinId="9" hidden="1"/>
    <cellStyle name="Followed Hyperlink" xfId="28793" builtinId="9" hidden="1"/>
    <cellStyle name="Followed Hyperlink" xfId="28794" builtinId="9" hidden="1"/>
    <cellStyle name="Followed Hyperlink" xfId="28795" builtinId="9" hidden="1"/>
    <cellStyle name="Followed Hyperlink" xfId="28796" builtinId="9" hidden="1"/>
    <cellStyle name="Followed Hyperlink" xfId="28797" builtinId="9" hidden="1"/>
    <cellStyle name="Followed Hyperlink" xfId="28798" builtinId="9" hidden="1"/>
    <cellStyle name="Followed Hyperlink" xfId="28799" builtinId="9" hidden="1"/>
    <cellStyle name="Followed Hyperlink" xfId="28800" builtinId="9" hidden="1"/>
    <cellStyle name="Followed Hyperlink" xfId="28801" builtinId="9" hidden="1"/>
    <cellStyle name="Followed Hyperlink" xfId="28802" builtinId="9" hidden="1"/>
    <cellStyle name="Followed Hyperlink" xfId="28803" builtinId="9" hidden="1"/>
    <cellStyle name="Followed Hyperlink" xfId="28804" builtinId="9" hidden="1"/>
    <cellStyle name="Followed Hyperlink" xfId="28805" builtinId="9" hidden="1"/>
    <cellStyle name="Followed Hyperlink" xfId="28806" builtinId="9" hidden="1"/>
    <cellStyle name="Followed Hyperlink" xfId="28807" builtinId="9" hidden="1"/>
    <cellStyle name="Followed Hyperlink" xfId="28808" builtinId="9" hidden="1"/>
    <cellStyle name="Followed Hyperlink" xfId="28809" builtinId="9" hidden="1"/>
    <cellStyle name="Followed Hyperlink" xfId="28810" builtinId="9" hidden="1"/>
    <cellStyle name="Followed Hyperlink" xfId="28811" builtinId="9" hidden="1"/>
    <cellStyle name="Followed Hyperlink" xfId="28812" builtinId="9" hidden="1"/>
    <cellStyle name="Followed Hyperlink" xfId="28813" builtinId="9" hidden="1"/>
    <cellStyle name="Followed Hyperlink" xfId="28814" builtinId="9" hidden="1"/>
    <cellStyle name="Followed Hyperlink" xfId="28815" builtinId="9" hidden="1"/>
    <cellStyle name="Followed Hyperlink" xfId="28816" builtinId="9" hidden="1"/>
    <cellStyle name="Followed Hyperlink" xfId="28817" builtinId="9" hidden="1"/>
    <cellStyle name="Followed Hyperlink" xfId="28818" builtinId="9" hidden="1"/>
    <cellStyle name="Followed Hyperlink" xfId="28819" builtinId="9" hidden="1"/>
    <cellStyle name="Followed Hyperlink" xfId="28820" builtinId="9" hidden="1"/>
    <cellStyle name="Followed Hyperlink" xfId="28821" builtinId="9" hidden="1"/>
    <cellStyle name="Followed Hyperlink" xfId="28822" builtinId="9" hidden="1"/>
    <cellStyle name="Followed Hyperlink" xfId="28823" builtinId="9" hidden="1"/>
    <cellStyle name="Followed Hyperlink" xfId="28824" builtinId="9" hidden="1"/>
    <cellStyle name="Followed Hyperlink" xfId="28825" builtinId="9" hidden="1"/>
    <cellStyle name="Followed Hyperlink" xfId="28826" builtinId="9" hidden="1"/>
    <cellStyle name="Followed Hyperlink" xfId="28827" builtinId="9" hidden="1"/>
    <cellStyle name="Followed Hyperlink" xfId="28828" builtinId="9" hidden="1"/>
    <cellStyle name="Followed Hyperlink" xfId="28829" builtinId="9" hidden="1"/>
    <cellStyle name="Followed Hyperlink" xfId="28830" builtinId="9" hidden="1"/>
    <cellStyle name="Followed Hyperlink" xfId="28831" builtinId="9" hidden="1"/>
    <cellStyle name="Followed Hyperlink" xfId="28832" builtinId="9" hidden="1"/>
    <cellStyle name="Followed Hyperlink" xfId="28833" builtinId="9" hidden="1"/>
    <cellStyle name="Followed Hyperlink" xfId="28834" builtinId="9" hidden="1"/>
    <cellStyle name="Followed Hyperlink" xfId="28835" builtinId="9" hidden="1"/>
    <cellStyle name="Followed Hyperlink" xfId="28836" builtinId="9" hidden="1"/>
    <cellStyle name="Followed Hyperlink" xfId="28837" builtinId="9" hidden="1"/>
    <cellStyle name="Followed Hyperlink" xfId="28838" builtinId="9" hidden="1"/>
    <cellStyle name="Followed Hyperlink" xfId="28839" builtinId="9" hidden="1"/>
    <cellStyle name="Followed Hyperlink" xfId="28840" builtinId="9" hidden="1"/>
    <cellStyle name="Followed Hyperlink" xfId="28841" builtinId="9" hidden="1"/>
    <cellStyle name="Followed Hyperlink" xfId="28842" builtinId="9" hidden="1"/>
    <cellStyle name="Followed Hyperlink" xfId="28843" builtinId="9" hidden="1"/>
    <cellStyle name="Followed Hyperlink" xfId="28844" builtinId="9" hidden="1"/>
    <cellStyle name="Followed Hyperlink" xfId="28845" builtinId="9" hidden="1"/>
    <cellStyle name="Followed Hyperlink" xfId="28846" builtinId="9" hidden="1"/>
    <cellStyle name="Followed Hyperlink" xfId="28847" builtinId="9" hidden="1"/>
    <cellStyle name="Followed Hyperlink" xfId="28848" builtinId="9" hidden="1"/>
    <cellStyle name="Followed Hyperlink" xfId="28849" builtinId="9" hidden="1"/>
    <cellStyle name="Followed Hyperlink" xfId="28850" builtinId="9" hidden="1"/>
    <cellStyle name="Followed Hyperlink" xfId="28851" builtinId="9" hidden="1"/>
    <cellStyle name="Followed Hyperlink" xfId="28852" builtinId="9" hidden="1"/>
    <cellStyle name="Followed Hyperlink" xfId="28853" builtinId="9" hidden="1"/>
    <cellStyle name="Followed Hyperlink" xfId="28854" builtinId="9" hidden="1"/>
    <cellStyle name="Followed Hyperlink" xfId="28855" builtinId="9" hidden="1"/>
    <cellStyle name="Followed Hyperlink" xfId="28856" builtinId="9" hidden="1"/>
    <cellStyle name="Followed Hyperlink" xfId="28857" builtinId="9" hidden="1"/>
    <cellStyle name="Followed Hyperlink" xfId="28858" builtinId="9" hidden="1"/>
    <cellStyle name="Followed Hyperlink" xfId="28859" builtinId="9" hidden="1"/>
    <cellStyle name="Followed Hyperlink" xfId="28860" builtinId="9" hidden="1"/>
    <cellStyle name="Followed Hyperlink" xfId="28730" builtinId="9" hidden="1"/>
    <cellStyle name="Followed Hyperlink" xfId="25250" builtinId="9" hidden="1"/>
    <cellStyle name="Followed Hyperlink" xfId="28862" builtinId="9" hidden="1"/>
    <cellStyle name="Followed Hyperlink" xfId="28863" builtinId="9" hidden="1"/>
    <cellStyle name="Followed Hyperlink" xfId="28864" builtinId="9" hidden="1"/>
    <cellStyle name="Followed Hyperlink" xfId="28865" builtinId="9" hidden="1"/>
    <cellStyle name="Followed Hyperlink" xfId="28866" builtinId="9" hidden="1"/>
    <cellStyle name="Followed Hyperlink" xfId="28867" builtinId="9" hidden="1"/>
    <cellStyle name="Followed Hyperlink" xfId="28868" builtinId="9" hidden="1"/>
    <cellStyle name="Followed Hyperlink" xfId="28869" builtinId="9" hidden="1"/>
    <cellStyle name="Followed Hyperlink" xfId="28870" builtinId="9" hidden="1"/>
    <cellStyle name="Followed Hyperlink" xfId="28871" builtinId="9" hidden="1"/>
    <cellStyle name="Followed Hyperlink" xfId="28872" builtinId="9" hidden="1"/>
    <cellStyle name="Followed Hyperlink" xfId="28873" builtinId="9" hidden="1"/>
    <cellStyle name="Followed Hyperlink" xfId="28874" builtinId="9" hidden="1"/>
    <cellStyle name="Followed Hyperlink" xfId="28875" builtinId="9" hidden="1"/>
    <cellStyle name="Followed Hyperlink" xfId="28876" builtinId="9" hidden="1"/>
    <cellStyle name="Followed Hyperlink" xfId="28877" builtinId="9" hidden="1"/>
    <cellStyle name="Followed Hyperlink" xfId="28878" builtinId="9" hidden="1"/>
    <cellStyle name="Followed Hyperlink" xfId="28879" builtinId="9" hidden="1"/>
    <cellStyle name="Followed Hyperlink" xfId="28880" builtinId="9" hidden="1"/>
    <cellStyle name="Followed Hyperlink" xfId="28881" builtinId="9" hidden="1"/>
    <cellStyle name="Followed Hyperlink" xfId="28882" builtinId="9" hidden="1"/>
    <cellStyle name="Followed Hyperlink" xfId="28883" builtinId="9" hidden="1"/>
    <cellStyle name="Followed Hyperlink" xfId="28884" builtinId="9" hidden="1"/>
    <cellStyle name="Followed Hyperlink" xfId="28885" builtinId="9" hidden="1"/>
    <cellStyle name="Followed Hyperlink" xfId="28886" builtinId="9" hidden="1"/>
    <cellStyle name="Followed Hyperlink" xfId="28887" builtinId="9" hidden="1"/>
    <cellStyle name="Followed Hyperlink" xfId="28888" builtinId="9" hidden="1"/>
    <cellStyle name="Followed Hyperlink" xfId="28889" builtinId="9" hidden="1"/>
    <cellStyle name="Followed Hyperlink" xfId="28890" builtinId="9" hidden="1"/>
    <cellStyle name="Followed Hyperlink" xfId="28891" builtinId="9" hidden="1"/>
    <cellStyle name="Followed Hyperlink" xfId="28892" builtinId="9" hidden="1"/>
    <cellStyle name="Followed Hyperlink" xfId="28893" builtinId="9" hidden="1"/>
    <cellStyle name="Followed Hyperlink" xfId="28894" builtinId="9" hidden="1"/>
    <cellStyle name="Followed Hyperlink" xfId="28895" builtinId="9" hidden="1"/>
    <cellStyle name="Followed Hyperlink" xfId="28896" builtinId="9" hidden="1"/>
    <cellStyle name="Followed Hyperlink" xfId="28897" builtinId="9" hidden="1"/>
    <cellStyle name="Followed Hyperlink" xfId="28898" builtinId="9" hidden="1"/>
    <cellStyle name="Followed Hyperlink" xfId="28899" builtinId="9" hidden="1"/>
    <cellStyle name="Followed Hyperlink" xfId="28900" builtinId="9" hidden="1"/>
    <cellStyle name="Followed Hyperlink" xfId="28735" builtinId="9" hidden="1"/>
    <cellStyle name="Followed Hyperlink" xfId="28861" builtinId="9" hidden="1"/>
    <cellStyle name="Followed Hyperlink" xfId="28902" builtinId="9" hidden="1"/>
    <cellStyle name="Followed Hyperlink" xfId="28903" builtinId="9" hidden="1"/>
    <cellStyle name="Followed Hyperlink" xfId="28904" builtinId="9" hidden="1"/>
    <cellStyle name="Followed Hyperlink" xfId="28905" builtinId="9" hidden="1"/>
    <cellStyle name="Followed Hyperlink" xfId="28906" builtinId="9" hidden="1"/>
    <cellStyle name="Followed Hyperlink" xfId="28907" builtinId="9" hidden="1"/>
    <cellStyle name="Followed Hyperlink" xfId="28908" builtinId="9" hidden="1"/>
    <cellStyle name="Followed Hyperlink" xfId="28909" builtinId="9" hidden="1"/>
    <cellStyle name="Followed Hyperlink" xfId="28910" builtinId="9" hidden="1"/>
    <cellStyle name="Followed Hyperlink" xfId="28911" builtinId="9" hidden="1"/>
    <cellStyle name="Followed Hyperlink" xfId="28912" builtinId="9" hidden="1"/>
    <cellStyle name="Followed Hyperlink" xfId="28913" builtinId="9" hidden="1"/>
    <cellStyle name="Followed Hyperlink" xfId="28914" builtinId="9" hidden="1"/>
    <cellStyle name="Followed Hyperlink" xfId="28915" builtinId="9" hidden="1"/>
    <cellStyle name="Followed Hyperlink" xfId="28916" builtinId="9" hidden="1"/>
    <cellStyle name="Followed Hyperlink" xfId="28917" builtinId="9" hidden="1"/>
    <cellStyle name="Followed Hyperlink" xfId="28918" builtinId="9" hidden="1"/>
    <cellStyle name="Followed Hyperlink" xfId="28919" builtinId="9" hidden="1"/>
    <cellStyle name="Followed Hyperlink" xfId="28920" builtinId="9" hidden="1"/>
    <cellStyle name="Followed Hyperlink" xfId="28921" builtinId="9" hidden="1"/>
    <cellStyle name="Followed Hyperlink" xfId="28922" builtinId="9" hidden="1"/>
    <cellStyle name="Followed Hyperlink" xfId="28923" builtinId="9" hidden="1"/>
    <cellStyle name="Followed Hyperlink" xfId="28924" builtinId="9" hidden="1"/>
    <cellStyle name="Followed Hyperlink" xfId="28925" builtinId="9" hidden="1"/>
    <cellStyle name="Followed Hyperlink" xfId="28926" builtinId="9" hidden="1"/>
    <cellStyle name="Followed Hyperlink" xfId="28927" builtinId="9" hidden="1"/>
    <cellStyle name="Followed Hyperlink" xfId="28928" builtinId="9" hidden="1"/>
    <cellStyle name="Followed Hyperlink" xfId="28929" builtinId="9" hidden="1"/>
    <cellStyle name="Followed Hyperlink" xfId="28930" builtinId="9" hidden="1"/>
    <cellStyle name="Followed Hyperlink" xfId="28931" builtinId="9" hidden="1"/>
    <cellStyle name="Followed Hyperlink" xfId="28932" builtinId="9" hidden="1"/>
    <cellStyle name="Followed Hyperlink" xfId="28933" builtinId="9" hidden="1"/>
    <cellStyle name="Followed Hyperlink" xfId="28934" builtinId="9" hidden="1"/>
    <cellStyle name="Followed Hyperlink" xfId="28935" builtinId="9" hidden="1"/>
    <cellStyle name="Followed Hyperlink" xfId="28936" builtinId="9" hidden="1"/>
    <cellStyle name="Followed Hyperlink" xfId="28937" builtinId="9" hidden="1"/>
    <cellStyle name="Followed Hyperlink" xfId="28938" builtinId="9" hidden="1"/>
    <cellStyle name="Followed Hyperlink" xfId="28939" builtinId="9" hidden="1"/>
    <cellStyle name="Followed Hyperlink" xfId="28940" builtinId="9" hidden="1"/>
    <cellStyle name="Followed Hyperlink" xfId="28737" builtinId="9" hidden="1"/>
    <cellStyle name="Followed Hyperlink" xfId="28901" builtinId="9" hidden="1"/>
    <cellStyle name="Followed Hyperlink" xfId="28942" builtinId="9" hidden="1"/>
    <cellStyle name="Followed Hyperlink" xfId="28943" builtinId="9" hidden="1"/>
    <cellStyle name="Followed Hyperlink" xfId="28944" builtinId="9" hidden="1"/>
    <cellStyle name="Followed Hyperlink" xfId="28945" builtinId="9" hidden="1"/>
    <cellStyle name="Followed Hyperlink" xfId="28946" builtinId="9" hidden="1"/>
    <cellStyle name="Followed Hyperlink" xfId="28947" builtinId="9" hidden="1"/>
    <cellStyle name="Followed Hyperlink" xfId="28948" builtinId="9" hidden="1"/>
    <cellStyle name="Followed Hyperlink" xfId="28949" builtinId="9" hidden="1"/>
    <cellStyle name="Followed Hyperlink" xfId="28950" builtinId="9" hidden="1"/>
    <cellStyle name="Followed Hyperlink" xfId="28951" builtinId="9" hidden="1"/>
    <cellStyle name="Followed Hyperlink" xfId="28952" builtinId="9" hidden="1"/>
    <cellStyle name="Followed Hyperlink" xfId="28953" builtinId="9" hidden="1"/>
    <cellStyle name="Followed Hyperlink" xfId="28954" builtinId="9" hidden="1"/>
    <cellStyle name="Followed Hyperlink" xfId="28955" builtinId="9" hidden="1"/>
    <cellStyle name="Followed Hyperlink" xfId="28956" builtinId="9" hidden="1"/>
    <cellStyle name="Followed Hyperlink" xfId="28957" builtinId="9" hidden="1"/>
    <cellStyle name="Followed Hyperlink" xfId="28958" builtinId="9" hidden="1"/>
    <cellStyle name="Followed Hyperlink" xfId="28959" builtinId="9" hidden="1"/>
    <cellStyle name="Followed Hyperlink" xfId="28960" builtinId="9" hidden="1"/>
    <cellStyle name="Followed Hyperlink" xfId="28961" builtinId="9" hidden="1"/>
    <cellStyle name="Followed Hyperlink" xfId="28962" builtinId="9" hidden="1"/>
    <cellStyle name="Followed Hyperlink" xfId="28963" builtinId="9" hidden="1"/>
    <cellStyle name="Followed Hyperlink" xfId="28964" builtinId="9" hidden="1"/>
    <cellStyle name="Followed Hyperlink" xfId="28965" builtinId="9" hidden="1"/>
    <cellStyle name="Followed Hyperlink" xfId="28966" builtinId="9" hidden="1"/>
    <cellStyle name="Followed Hyperlink" xfId="28967" builtinId="9" hidden="1"/>
    <cellStyle name="Followed Hyperlink" xfId="28968" builtinId="9" hidden="1"/>
    <cellStyle name="Followed Hyperlink" xfId="28969" builtinId="9" hidden="1"/>
    <cellStyle name="Followed Hyperlink" xfId="28970" builtinId="9" hidden="1"/>
    <cellStyle name="Followed Hyperlink" xfId="28971" builtinId="9" hidden="1"/>
    <cellStyle name="Followed Hyperlink" xfId="28972" builtinId="9" hidden="1"/>
    <cellStyle name="Followed Hyperlink" xfId="28973" builtinId="9" hidden="1"/>
    <cellStyle name="Followed Hyperlink" xfId="28974" builtinId="9" hidden="1"/>
    <cellStyle name="Followed Hyperlink" xfId="28975" builtinId="9" hidden="1"/>
    <cellStyle name="Followed Hyperlink" xfId="28976" builtinId="9" hidden="1"/>
    <cellStyle name="Followed Hyperlink" xfId="28977" builtinId="9" hidden="1"/>
    <cellStyle name="Followed Hyperlink" xfId="28978" builtinId="9" hidden="1"/>
    <cellStyle name="Followed Hyperlink" xfId="28979" builtinId="9" hidden="1"/>
    <cellStyle name="Followed Hyperlink" xfId="28980" builtinId="9" hidden="1"/>
    <cellStyle name="Followed Hyperlink" xfId="28731" builtinId="9" hidden="1"/>
    <cellStyle name="Followed Hyperlink" xfId="28941" builtinId="9" hidden="1"/>
    <cellStyle name="Followed Hyperlink" xfId="28982" builtinId="9" hidden="1"/>
    <cellStyle name="Followed Hyperlink" xfId="28983" builtinId="9" hidden="1"/>
    <cellStyle name="Followed Hyperlink" xfId="28984" builtinId="9" hidden="1"/>
    <cellStyle name="Followed Hyperlink" xfId="28985" builtinId="9" hidden="1"/>
    <cellStyle name="Followed Hyperlink" xfId="28986" builtinId="9" hidden="1"/>
    <cellStyle name="Followed Hyperlink" xfId="28987" builtinId="9" hidden="1"/>
    <cellStyle name="Followed Hyperlink" xfId="28988" builtinId="9" hidden="1"/>
    <cellStyle name="Followed Hyperlink" xfId="28989" builtinId="9" hidden="1"/>
    <cellStyle name="Followed Hyperlink" xfId="28990" builtinId="9" hidden="1"/>
    <cellStyle name="Followed Hyperlink" xfId="28991" builtinId="9" hidden="1"/>
    <cellStyle name="Followed Hyperlink" xfId="28992" builtinId="9" hidden="1"/>
    <cellStyle name="Followed Hyperlink" xfId="28993" builtinId="9" hidden="1"/>
    <cellStyle name="Followed Hyperlink" xfId="28994" builtinId="9" hidden="1"/>
    <cellStyle name="Followed Hyperlink" xfId="28995" builtinId="9" hidden="1"/>
    <cellStyle name="Followed Hyperlink" xfId="28996" builtinId="9" hidden="1"/>
    <cellStyle name="Followed Hyperlink" xfId="28997" builtinId="9" hidden="1"/>
    <cellStyle name="Followed Hyperlink" xfId="28998" builtinId="9" hidden="1"/>
    <cellStyle name="Followed Hyperlink" xfId="28999" builtinId="9" hidden="1"/>
    <cellStyle name="Followed Hyperlink" xfId="29000" builtinId="9" hidden="1"/>
    <cellStyle name="Followed Hyperlink" xfId="29001" builtinId="9" hidden="1"/>
    <cellStyle name="Followed Hyperlink" xfId="29002" builtinId="9" hidden="1"/>
    <cellStyle name="Followed Hyperlink" xfId="29003" builtinId="9" hidden="1"/>
    <cellStyle name="Followed Hyperlink" xfId="29004" builtinId="9" hidden="1"/>
    <cellStyle name="Followed Hyperlink" xfId="29005" builtinId="9" hidden="1"/>
    <cellStyle name="Followed Hyperlink" xfId="29006" builtinId="9" hidden="1"/>
    <cellStyle name="Followed Hyperlink" xfId="29007" builtinId="9" hidden="1"/>
    <cellStyle name="Followed Hyperlink" xfId="29008" builtinId="9" hidden="1"/>
    <cellStyle name="Followed Hyperlink" xfId="29009" builtinId="9" hidden="1"/>
    <cellStyle name="Followed Hyperlink" xfId="29010" builtinId="9" hidden="1"/>
    <cellStyle name="Followed Hyperlink" xfId="29011" builtinId="9" hidden="1"/>
    <cellStyle name="Followed Hyperlink" xfId="29012" builtinId="9" hidden="1"/>
    <cellStyle name="Followed Hyperlink" xfId="29013" builtinId="9" hidden="1"/>
    <cellStyle name="Followed Hyperlink" xfId="29014" builtinId="9" hidden="1"/>
    <cellStyle name="Followed Hyperlink" xfId="29015" builtinId="9" hidden="1"/>
    <cellStyle name="Followed Hyperlink" xfId="29016" builtinId="9" hidden="1"/>
    <cellStyle name="Followed Hyperlink" xfId="29017" builtinId="9" hidden="1"/>
    <cellStyle name="Followed Hyperlink" xfId="29018" builtinId="9" hidden="1"/>
    <cellStyle name="Followed Hyperlink" xfId="29019" builtinId="9" hidden="1"/>
    <cellStyle name="Followed Hyperlink" xfId="29020" builtinId="9" hidden="1"/>
    <cellStyle name="Followed Hyperlink" xfId="28733" builtinId="9" hidden="1"/>
    <cellStyle name="Followed Hyperlink" xfId="28981" builtinId="9" hidden="1"/>
    <cellStyle name="Followed Hyperlink" xfId="29022" builtinId="9" hidden="1"/>
    <cellStyle name="Followed Hyperlink" xfId="29023" builtinId="9" hidden="1"/>
    <cellStyle name="Followed Hyperlink" xfId="29024" builtinId="9" hidden="1"/>
    <cellStyle name="Followed Hyperlink" xfId="29025" builtinId="9" hidden="1"/>
    <cellStyle name="Followed Hyperlink" xfId="29026" builtinId="9" hidden="1"/>
    <cellStyle name="Followed Hyperlink" xfId="29027" builtinId="9" hidden="1"/>
    <cellStyle name="Followed Hyperlink" xfId="29028" builtinId="9" hidden="1"/>
    <cellStyle name="Followed Hyperlink" xfId="29029" builtinId="9" hidden="1"/>
    <cellStyle name="Followed Hyperlink" xfId="29030" builtinId="9" hidden="1"/>
    <cellStyle name="Followed Hyperlink" xfId="29031" builtinId="9" hidden="1"/>
    <cellStyle name="Followed Hyperlink" xfId="29032" builtinId="9" hidden="1"/>
    <cellStyle name="Followed Hyperlink" xfId="29033" builtinId="9" hidden="1"/>
    <cellStyle name="Followed Hyperlink" xfId="29034" builtinId="9" hidden="1"/>
    <cellStyle name="Followed Hyperlink" xfId="29035" builtinId="9" hidden="1"/>
    <cellStyle name="Followed Hyperlink" xfId="29036" builtinId="9" hidden="1"/>
    <cellStyle name="Followed Hyperlink" xfId="29037" builtinId="9" hidden="1"/>
    <cellStyle name="Followed Hyperlink" xfId="29038" builtinId="9" hidden="1"/>
    <cellStyle name="Followed Hyperlink" xfId="29039" builtinId="9" hidden="1"/>
    <cellStyle name="Followed Hyperlink" xfId="29040" builtinId="9" hidden="1"/>
    <cellStyle name="Followed Hyperlink" xfId="29041" builtinId="9" hidden="1"/>
    <cellStyle name="Followed Hyperlink" xfId="29042" builtinId="9" hidden="1"/>
    <cellStyle name="Followed Hyperlink" xfId="29043" builtinId="9" hidden="1"/>
    <cellStyle name="Followed Hyperlink" xfId="29044" builtinId="9" hidden="1"/>
    <cellStyle name="Followed Hyperlink" xfId="29045" builtinId="9" hidden="1"/>
    <cellStyle name="Followed Hyperlink" xfId="29046" builtinId="9" hidden="1"/>
    <cellStyle name="Followed Hyperlink" xfId="29047" builtinId="9" hidden="1"/>
    <cellStyle name="Followed Hyperlink" xfId="29048" builtinId="9" hidden="1"/>
    <cellStyle name="Followed Hyperlink" xfId="29049" builtinId="9" hidden="1"/>
    <cellStyle name="Followed Hyperlink" xfId="29050" builtinId="9" hidden="1"/>
    <cellStyle name="Followed Hyperlink" xfId="29051" builtinId="9" hidden="1"/>
    <cellStyle name="Followed Hyperlink" xfId="29052" builtinId="9" hidden="1"/>
    <cellStyle name="Followed Hyperlink" xfId="29053" builtinId="9" hidden="1"/>
    <cellStyle name="Followed Hyperlink" xfId="29054" builtinId="9" hidden="1"/>
    <cellStyle name="Followed Hyperlink" xfId="29055" builtinId="9" hidden="1"/>
    <cellStyle name="Followed Hyperlink" xfId="29056" builtinId="9" hidden="1"/>
    <cellStyle name="Followed Hyperlink" xfId="29057" builtinId="9" hidden="1"/>
    <cellStyle name="Followed Hyperlink" xfId="29058" builtinId="9" hidden="1"/>
    <cellStyle name="Followed Hyperlink" xfId="29059" builtinId="9" hidden="1"/>
    <cellStyle name="Followed Hyperlink" xfId="29060" builtinId="9" hidden="1"/>
    <cellStyle name="Followed Hyperlink" xfId="28734" builtinId="9" hidden="1"/>
    <cellStyle name="Followed Hyperlink" xfId="29021" builtinId="9" hidden="1"/>
    <cellStyle name="Followed Hyperlink" xfId="29062" builtinId="9" hidden="1"/>
    <cellStyle name="Followed Hyperlink" xfId="29063" builtinId="9" hidden="1"/>
    <cellStyle name="Followed Hyperlink" xfId="29064" builtinId="9" hidden="1"/>
    <cellStyle name="Followed Hyperlink" xfId="29065" builtinId="9" hidden="1"/>
    <cellStyle name="Followed Hyperlink" xfId="29066" builtinId="9" hidden="1"/>
    <cellStyle name="Followed Hyperlink" xfId="29067" builtinId="9" hidden="1"/>
    <cellStyle name="Followed Hyperlink" xfId="29068" builtinId="9" hidden="1"/>
    <cellStyle name="Followed Hyperlink" xfId="29069" builtinId="9" hidden="1"/>
    <cellStyle name="Followed Hyperlink" xfId="29070" builtinId="9" hidden="1"/>
    <cellStyle name="Followed Hyperlink" xfId="29071" builtinId="9" hidden="1"/>
    <cellStyle name="Followed Hyperlink" xfId="29072" builtinId="9" hidden="1"/>
    <cellStyle name="Followed Hyperlink" xfId="29073" builtinId="9" hidden="1"/>
    <cellStyle name="Followed Hyperlink" xfId="29074" builtinId="9" hidden="1"/>
    <cellStyle name="Followed Hyperlink" xfId="29075" builtinId="9" hidden="1"/>
    <cellStyle name="Followed Hyperlink" xfId="29076" builtinId="9" hidden="1"/>
    <cellStyle name="Followed Hyperlink" xfId="29077" builtinId="9" hidden="1"/>
    <cellStyle name="Followed Hyperlink" xfId="29078" builtinId="9" hidden="1"/>
    <cellStyle name="Followed Hyperlink" xfId="29079" builtinId="9" hidden="1"/>
    <cellStyle name="Followed Hyperlink" xfId="29080" builtinId="9" hidden="1"/>
    <cellStyle name="Followed Hyperlink" xfId="29081" builtinId="9" hidden="1"/>
    <cellStyle name="Followed Hyperlink" xfId="29082" builtinId="9" hidden="1"/>
    <cellStyle name="Followed Hyperlink" xfId="29083" builtinId="9" hidden="1"/>
    <cellStyle name="Followed Hyperlink" xfId="29084" builtinId="9" hidden="1"/>
    <cellStyle name="Followed Hyperlink" xfId="29085" builtinId="9" hidden="1"/>
    <cellStyle name="Followed Hyperlink" xfId="29086" builtinId="9" hidden="1"/>
    <cellStyle name="Followed Hyperlink" xfId="29087" builtinId="9" hidden="1"/>
    <cellStyle name="Followed Hyperlink" xfId="29088" builtinId="9" hidden="1"/>
    <cellStyle name="Followed Hyperlink" xfId="29089" builtinId="9" hidden="1"/>
    <cellStyle name="Followed Hyperlink" xfId="29090" builtinId="9" hidden="1"/>
    <cellStyle name="Followed Hyperlink" xfId="29091" builtinId="9" hidden="1"/>
    <cellStyle name="Followed Hyperlink" xfId="29092" builtinId="9" hidden="1"/>
    <cellStyle name="Followed Hyperlink" xfId="29093" builtinId="9" hidden="1"/>
    <cellStyle name="Followed Hyperlink" xfId="29094" builtinId="9" hidden="1"/>
    <cellStyle name="Followed Hyperlink" xfId="29095" builtinId="9" hidden="1"/>
    <cellStyle name="Followed Hyperlink" xfId="29096" builtinId="9" hidden="1"/>
    <cellStyle name="Followed Hyperlink" xfId="29097" builtinId="9" hidden="1"/>
    <cellStyle name="Followed Hyperlink" xfId="29098" builtinId="9" hidden="1"/>
    <cellStyle name="Followed Hyperlink" xfId="29099" builtinId="9" hidden="1"/>
    <cellStyle name="Followed Hyperlink" xfId="29100" builtinId="9" hidden="1"/>
    <cellStyle name="Followed Hyperlink" xfId="28736" builtinId="9" hidden="1"/>
    <cellStyle name="Followed Hyperlink" xfId="29061" builtinId="9" hidden="1"/>
    <cellStyle name="Followed Hyperlink" xfId="29102" builtinId="9" hidden="1"/>
    <cellStyle name="Followed Hyperlink" xfId="29103" builtinId="9" hidden="1"/>
    <cellStyle name="Followed Hyperlink" xfId="29104" builtinId="9" hidden="1"/>
    <cellStyle name="Followed Hyperlink" xfId="29105" builtinId="9" hidden="1"/>
    <cellStyle name="Followed Hyperlink" xfId="29106" builtinId="9" hidden="1"/>
    <cellStyle name="Followed Hyperlink" xfId="29107" builtinId="9" hidden="1"/>
    <cellStyle name="Followed Hyperlink" xfId="29108" builtinId="9" hidden="1"/>
    <cellStyle name="Followed Hyperlink" xfId="29109" builtinId="9" hidden="1"/>
    <cellStyle name="Followed Hyperlink" xfId="29110" builtinId="9" hidden="1"/>
    <cellStyle name="Followed Hyperlink" xfId="29111" builtinId="9" hidden="1"/>
    <cellStyle name="Followed Hyperlink" xfId="29112" builtinId="9" hidden="1"/>
    <cellStyle name="Followed Hyperlink" xfId="29113" builtinId="9" hidden="1"/>
    <cellStyle name="Followed Hyperlink" xfId="29114" builtinId="9" hidden="1"/>
    <cellStyle name="Followed Hyperlink" xfId="29115" builtinId="9" hidden="1"/>
    <cellStyle name="Followed Hyperlink" xfId="29116" builtinId="9" hidden="1"/>
    <cellStyle name="Followed Hyperlink" xfId="29117" builtinId="9" hidden="1"/>
    <cellStyle name="Followed Hyperlink" xfId="29118" builtinId="9" hidden="1"/>
    <cellStyle name="Followed Hyperlink" xfId="29119" builtinId="9" hidden="1"/>
    <cellStyle name="Followed Hyperlink" xfId="29120" builtinId="9" hidden="1"/>
    <cellStyle name="Followed Hyperlink" xfId="29121" builtinId="9" hidden="1"/>
    <cellStyle name="Followed Hyperlink" xfId="29122" builtinId="9" hidden="1"/>
    <cellStyle name="Followed Hyperlink" xfId="29123" builtinId="9" hidden="1"/>
    <cellStyle name="Followed Hyperlink" xfId="29124" builtinId="9" hidden="1"/>
    <cellStyle name="Followed Hyperlink" xfId="29125" builtinId="9" hidden="1"/>
    <cellStyle name="Followed Hyperlink" xfId="29126" builtinId="9" hidden="1"/>
    <cellStyle name="Followed Hyperlink" xfId="29127" builtinId="9" hidden="1"/>
    <cellStyle name="Followed Hyperlink" xfId="29128" builtinId="9" hidden="1"/>
    <cellStyle name="Followed Hyperlink" xfId="29129" builtinId="9" hidden="1"/>
    <cellStyle name="Followed Hyperlink" xfId="29130" builtinId="9" hidden="1"/>
    <cellStyle name="Followed Hyperlink" xfId="29131" builtinId="9" hidden="1"/>
    <cellStyle name="Followed Hyperlink" xfId="29132" builtinId="9" hidden="1"/>
    <cellStyle name="Followed Hyperlink" xfId="29133" builtinId="9" hidden="1"/>
    <cellStyle name="Followed Hyperlink" xfId="29134" builtinId="9" hidden="1"/>
    <cellStyle name="Followed Hyperlink" xfId="29135" builtinId="9" hidden="1"/>
    <cellStyle name="Followed Hyperlink" xfId="29136" builtinId="9" hidden="1"/>
    <cellStyle name="Followed Hyperlink" xfId="29137" builtinId="9" hidden="1"/>
    <cellStyle name="Followed Hyperlink" xfId="29138" builtinId="9" hidden="1"/>
    <cellStyle name="Followed Hyperlink" xfId="29139" builtinId="9" hidden="1"/>
    <cellStyle name="Followed Hyperlink" xfId="29140" builtinId="9" hidden="1"/>
    <cellStyle name="Followed Hyperlink" xfId="28732" builtinId="9" hidden="1"/>
    <cellStyle name="Followed Hyperlink" xfId="29101" builtinId="9" hidden="1"/>
    <cellStyle name="Followed Hyperlink" xfId="29141" builtinId="9" hidden="1"/>
    <cellStyle name="Followed Hyperlink" xfId="29142" builtinId="9" hidden="1"/>
    <cellStyle name="Followed Hyperlink" xfId="29143" builtinId="9" hidden="1"/>
    <cellStyle name="Followed Hyperlink" xfId="29144" builtinId="9" hidden="1"/>
    <cellStyle name="Followed Hyperlink" xfId="29145" builtinId="9" hidden="1"/>
    <cellStyle name="Followed Hyperlink" xfId="29146" builtinId="9" hidden="1"/>
    <cellStyle name="Followed Hyperlink" xfId="29147" builtinId="9" hidden="1"/>
    <cellStyle name="Followed Hyperlink" xfId="29148" builtinId="9" hidden="1"/>
    <cellStyle name="Followed Hyperlink" xfId="29149" builtinId="9" hidden="1"/>
    <cellStyle name="Followed Hyperlink" xfId="29150" builtinId="9" hidden="1"/>
    <cellStyle name="Followed Hyperlink" xfId="29151" builtinId="9" hidden="1"/>
    <cellStyle name="Followed Hyperlink" xfId="29152" builtinId="9" hidden="1"/>
    <cellStyle name="Followed Hyperlink" xfId="29153" builtinId="9" hidden="1"/>
    <cellStyle name="Followed Hyperlink" xfId="29154" builtinId="9" hidden="1"/>
    <cellStyle name="Followed Hyperlink" xfId="29155" builtinId="9" hidden="1"/>
    <cellStyle name="Followed Hyperlink" xfId="29156" builtinId="9" hidden="1"/>
    <cellStyle name="Followed Hyperlink" xfId="29157" builtinId="9" hidden="1"/>
    <cellStyle name="Followed Hyperlink" xfId="29158" builtinId="9" hidden="1"/>
    <cellStyle name="Followed Hyperlink" xfId="29159" builtinId="9" hidden="1"/>
    <cellStyle name="Followed Hyperlink" xfId="29160" builtinId="9" hidden="1"/>
    <cellStyle name="Followed Hyperlink" xfId="29161" builtinId="9" hidden="1"/>
    <cellStyle name="Followed Hyperlink" xfId="29162" builtinId="9" hidden="1"/>
    <cellStyle name="Followed Hyperlink" xfId="29163" builtinId="9" hidden="1"/>
    <cellStyle name="Followed Hyperlink" xfId="29164" builtinId="9" hidden="1"/>
    <cellStyle name="Followed Hyperlink" xfId="29165" builtinId="9" hidden="1"/>
    <cellStyle name="Followed Hyperlink" xfId="29166" builtinId="9" hidden="1"/>
    <cellStyle name="Followed Hyperlink" xfId="29167" builtinId="9" hidden="1"/>
    <cellStyle name="Followed Hyperlink" xfId="29168" builtinId="9" hidden="1"/>
    <cellStyle name="Followed Hyperlink" xfId="29169" builtinId="9" hidden="1"/>
    <cellStyle name="Followed Hyperlink" xfId="29170" builtinId="9" hidden="1"/>
    <cellStyle name="Followed Hyperlink" xfId="29171" builtinId="9" hidden="1"/>
    <cellStyle name="Followed Hyperlink" xfId="29172" builtinId="9" hidden="1"/>
    <cellStyle name="Followed Hyperlink" xfId="29173" builtinId="9" hidden="1"/>
    <cellStyle name="Followed Hyperlink" xfId="29174" builtinId="9" hidden="1"/>
    <cellStyle name="Followed Hyperlink" xfId="29175" builtinId="9" hidden="1"/>
    <cellStyle name="Followed Hyperlink" xfId="29176" builtinId="9" hidden="1"/>
    <cellStyle name="Followed Hyperlink" xfId="29177" builtinId="9" hidden="1"/>
    <cellStyle name="Followed Hyperlink" xfId="29178" builtinId="9" hidden="1"/>
    <cellStyle name="Followed Hyperlink" xfId="29179" builtinId="9" hidden="1"/>
    <cellStyle name="Followed Hyperlink" xfId="29180" builtinId="9" hidden="1"/>
    <cellStyle name="Followed Hyperlink" xfId="29181" builtinId="9" hidden="1"/>
    <cellStyle name="Followed Hyperlink" xfId="29182" builtinId="9" hidden="1"/>
    <cellStyle name="Followed Hyperlink" xfId="29183" builtinId="9" hidden="1"/>
    <cellStyle name="Followed Hyperlink" xfId="29184" builtinId="9" hidden="1"/>
    <cellStyle name="Followed Hyperlink" xfId="29185" builtinId="9" hidden="1"/>
    <cellStyle name="Followed Hyperlink" xfId="29186" builtinId="9" hidden="1"/>
    <cellStyle name="Followed Hyperlink" xfId="29187" builtinId="9" hidden="1"/>
    <cellStyle name="Followed Hyperlink" xfId="29188" builtinId="9" hidden="1"/>
    <cellStyle name="Followed Hyperlink" xfId="29189" builtinId="9" hidden="1"/>
    <cellStyle name="Followed Hyperlink" xfId="29190" builtinId="9" hidden="1"/>
    <cellStyle name="Followed Hyperlink" xfId="29191" builtinId="9" hidden="1"/>
    <cellStyle name="Followed Hyperlink" xfId="29192" builtinId="9" hidden="1"/>
    <cellStyle name="Followed Hyperlink" xfId="29193" builtinId="9" hidden="1"/>
    <cellStyle name="Followed Hyperlink" xfId="29194" builtinId="9" hidden="1"/>
    <cellStyle name="Followed Hyperlink" xfId="29195" builtinId="9" hidden="1"/>
    <cellStyle name="Followed Hyperlink" xfId="29196" builtinId="9" hidden="1"/>
    <cellStyle name="Followed Hyperlink" xfId="29197" builtinId="9" hidden="1"/>
    <cellStyle name="Followed Hyperlink" xfId="29198" builtinId="9" hidden="1"/>
    <cellStyle name="Followed Hyperlink" xfId="29199" builtinId="9" hidden="1"/>
    <cellStyle name="Followed Hyperlink" xfId="29200" builtinId="9" hidden="1"/>
    <cellStyle name="Followed Hyperlink" xfId="29201" builtinId="9" hidden="1"/>
    <cellStyle name="Followed Hyperlink" xfId="29202" builtinId="9" hidden="1"/>
    <cellStyle name="Followed Hyperlink" xfId="29203" builtinId="9" hidden="1"/>
    <cellStyle name="Followed Hyperlink" xfId="29204" builtinId="9" hidden="1"/>
    <cellStyle name="Followed Hyperlink" xfId="29205" builtinId="9" hidden="1"/>
    <cellStyle name="Followed Hyperlink" xfId="29206" builtinId="9" hidden="1"/>
    <cellStyle name="Followed Hyperlink" xfId="29207" builtinId="9" hidden="1"/>
    <cellStyle name="Followed Hyperlink" xfId="29208" builtinId="9" hidden="1"/>
    <cellStyle name="Followed Hyperlink" xfId="29209" builtinId="9" hidden="1"/>
    <cellStyle name="Followed Hyperlink" xfId="29210" builtinId="9" hidden="1"/>
    <cellStyle name="Followed Hyperlink" xfId="29211" builtinId="9" hidden="1"/>
    <cellStyle name="Followed Hyperlink" xfId="29212" builtinId="9" hidden="1"/>
    <cellStyle name="Followed Hyperlink" xfId="29213" builtinId="9" hidden="1"/>
    <cellStyle name="Followed Hyperlink" xfId="29214" builtinId="9" hidden="1"/>
    <cellStyle name="Followed Hyperlink" xfId="29215" builtinId="9" hidden="1"/>
    <cellStyle name="Followed Hyperlink" xfId="29216" builtinId="9" hidden="1"/>
    <cellStyle name="Followed Hyperlink" xfId="29217" builtinId="9" hidden="1"/>
    <cellStyle name="Followed Hyperlink" xfId="29218" builtinId="9" hidden="1"/>
    <cellStyle name="Followed Hyperlink" xfId="29219" builtinId="9" hidden="1"/>
    <cellStyle name="Followed Hyperlink" xfId="29220" builtinId="9" hidden="1"/>
    <cellStyle name="Followed Hyperlink" xfId="29229" builtinId="9" hidden="1"/>
    <cellStyle name="Followed Hyperlink" xfId="29230" builtinId="9" hidden="1"/>
    <cellStyle name="Followed Hyperlink" xfId="29231" builtinId="9" hidden="1"/>
    <cellStyle name="Followed Hyperlink" xfId="29232" builtinId="9" hidden="1"/>
    <cellStyle name="Followed Hyperlink" xfId="29233" builtinId="9" hidden="1"/>
    <cellStyle name="Followed Hyperlink" xfId="29234" builtinId="9" hidden="1"/>
    <cellStyle name="Followed Hyperlink" xfId="29235" builtinId="9" hidden="1"/>
    <cellStyle name="Followed Hyperlink" xfId="29236" builtinId="9" hidden="1"/>
    <cellStyle name="Followed Hyperlink" xfId="29237" builtinId="9" hidden="1"/>
    <cellStyle name="Followed Hyperlink" xfId="29238" builtinId="9" hidden="1"/>
    <cellStyle name="Followed Hyperlink" xfId="29239" builtinId="9" hidden="1"/>
    <cellStyle name="Followed Hyperlink" xfId="29240" builtinId="9" hidden="1"/>
    <cellStyle name="Followed Hyperlink" xfId="29241" builtinId="9" hidden="1"/>
    <cellStyle name="Followed Hyperlink" xfId="29242" builtinId="9" hidden="1"/>
    <cellStyle name="Followed Hyperlink" xfId="29243" builtinId="9" hidden="1"/>
    <cellStyle name="Followed Hyperlink" xfId="29244" builtinId="9" hidden="1"/>
    <cellStyle name="Followed Hyperlink" xfId="29245" builtinId="9" hidden="1"/>
    <cellStyle name="Followed Hyperlink" xfId="29246" builtinId="9" hidden="1"/>
    <cellStyle name="Followed Hyperlink" xfId="29247" builtinId="9" hidden="1"/>
    <cellStyle name="Followed Hyperlink" xfId="29248" builtinId="9" hidden="1"/>
    <cellStyle name="Followed Hyperlink" xfId="29249" builtinId="9" hidden="1"/>
    <cellStyle name="Followed Hyperlink" xfId="29250" builtinId="9" hidden="1"/>
    <cellStyle name="Followed Hyperlink" xfId="29251" builtinId="9" hidden="1"/>
    <cellStyle name="Followed Hyperlink" xfId="29252" builtinId="9" hidden="1"/>
    <cellStyle name="Followed Hyperlink" xfId="29253" builtinId="9" hidden="1"/>
    <cellStyle name="Followed Hyperlink" xfId="29254" builtinId="9" hidden="1"/>
    <cellStyle name="Followed Hyperlink" xfId="29255" builtinId="9" hidden="1"/>
    <cellStyle name="Followed Hyperlink" xfId="29256" builtinId="9" hidden="1"/>
    <cellStyle name="Followed Hyperlink" xfId="29257" builtinId="9" hidden="1"/>
    <cellStyle name="Followed Hyperlink" xfId="29258" builtinId="9" hidden="1"/>
    <cellStyle name="Followed Hyperlink" xfId="29259" builtinId="9" hidden="1"/>
    <cellStyle name="Followed Hyperlink" xfId="29260" builtinId="9" hidden="1"/>
    <cellStyle name="Followed Hyperlink" xfId="29261" builtinId="9" hidden="1"/>
    <cellStyle name="Followed Hyperlink" xfId="29262" builtinId="9" hidden="1"/>
    <cellStyle name="Followed Hyperlink" xfId="29263" builtinId="9" hidden="1"/>
    <cellStyle name="Followed Hyperlink" xfId="29264" builtinId="9" hidden="1"/>
    <cellStyle name="Followed Hyperlink" xfId="29265" builtinId="9" hidden="1"/>
    <cellStyle name="Followed Hyperlink" xfId="29266" builtinId="9" hidden="1"/>
    <cellStyle name="Followed Hyperlink" xfId="29267" builtinId="9" hidden="1"/>
    <cellStyle name="Followed Hyperlink" xfId="29268" builtinId="9" hidden="1"/>
    <cellStyle name="Followed Hyperlink" xfId="29269" builtinId="9" hidden="1"/>
    <cellStyle name="Followed Hyperlink" xfId="29270" builtinId="9" hidden="1"/>
    <cellStyle name="Followed Hyperlink" xfId="29271" builtinId="9" hidden="1"/>
    <cellStyle name="Followed Hyperlink" xfId="29272" builtinId="9" hidden="1"/>
    <cellStyle name="Followed Hyperlink" xfId="29273" builtinId="9" hidden="1"/>
    <cellStyle name="Followed Hyperlink" xfId="29274" builtinId="9" hidden="1"/>
    <cellStyle name="Followed Hyperlink" xfId="29275" builtinId="9" hidden="1"/>
    <cellStyle name="Followed Hyperlink" xfId="29276" builtinId="9" hidden="1"/>
    <cellStyle name="Followed Hyperlink" xfId="29277" builtinId="9" hidden="1"/>
    <cellStyle name="Followed Hyperlink" xfId="29278" builtinId="9" hidden="1"/>
    <cellStyle name="Followed Hyperlink" xfId="29279" builtinId="9" hidden="1"/>
    <cellStyle name="Followed Hyperlink" xfId="29280" builtinId="9" hidden="1"/>
    <cellStyle name="Followed Hyperlink" xfId="29281" builtinId="9" hidden="1"/>
    <cellStyle name="Followed Hyperlink" xfId="29282" builtinId="9" hidden="1"/>
    <cellStyle name="Followed Hyperlink" xfId="29283" builtinId="9" hidden="1"/>
    <cellStyle name="Followed Hyperlink" xfId="29284" builtinId="9" hidden="1"/>
    <cellStyle name="Followed Hyperlink" xfId="29285" builtinId="9" hidden="1"/>
    <cellStyle name="Followed Hyperlink" xfId="29286" builtinId="9" hidden="1"/>
    <cellStyle name="Followed Hyperlink" xfId="29287" builtinId="9" hidden="1"/>
    <cellStyle name="Followed Hyperlink" xfId="29288" builtinId="9" hidden="1"/>
    <cellStyle name="Followed Hyperlink" xfId="29289" builtinId="9" hidden="1"/>
    <cellStyle name="Followed Hyperlink" xfId="29290" builtinId="9" hidden="1"/>
    <cellStyle name="Followed Hyperlink" xfId="29291" builtinId="9" hidden="1"/>
    <cellStyle name="Followed Hyperlink" xfId="29292" builtinId="9" hidden="1"/>
    <cellStyle name="Followed Hyperlink" xfId="29293" builtinId="9" hidden="1"/>
    <cellStyle name="Followed Hyperlink" xfId="29294" builtinId="9" hidden="1"/>
    <cellStyle name="Followed Hyperlink" xfId="29295" builtinId="9" hidden="1"/>
    <cellStyle name="Followed Hyperlink" xfId="29296" builtinId="9" hidden="1"/>
    <cellStyle name="Followed Hyperlink" xfId="29297" builtinId="9" hidden="1"/>
    <cellStyle name="Followed Hyperlink" xfId="29298" builtinId="9" hidden="1"/>
    <cellStyle name="Followed Hyperlink" xfId="29299" builtinId="9" hidden="1"/>
    <cellStyle name="Followed Hyperlink" xfId="29300" builtinId="9" hidden="1"/>
    <cellStyle name="Followed Hyperlink" xfId="29301" builtinId="9" hidden="1"/>
    <cellStyle name="Followed Hyperlink" xfId="29302" builtinId="9" hidden="1"/>
    <cellStyle name="Followed Hyperlink" xfId="29303" builtinId="9" hidden="1"/>
    <cellStyle name="Followed Hyperlink" xfId="29304" builtinId="9" hidden="1"/>
    <cellStyle name="Followed Hyperlink" xfId="29305" builtinId="9" hidden="1"/>
    <cellStyle name="Followed Hyperlink" xfId="29306" builtinId="9" hidden="1"/>
    <cellStyle name="Followed Hyperlink" xfId="29307" builtinId="9" hidden="1"/>
    <cellStyle name="Followed Hyperlink" xfId="29308" builtinId="9" hidden="1"/>
    <cellStyle name="Followed Hyperlink" xfId="29309" builtinId="9" hidden="1"/>
    <cellStyle name="Followed Hyperlink" xfId="29310" builtinId="9" hidden="1"/>
    <cellStyle name="Followed Hyperlink" xfId="29311" builtinId="9" hidden="1"/>
    <cellStyle name="Followed Hyperlink" xfId="29312" builtinId="9" hidden="1"/>
    <cellStyle name="Followed Hyperlink" xfId="29313" builtinId="9" hidden="1"/>
    <cellStyle name="Followed Hyperlink" xfId="29314" builtinId="9" hidden="1"/>
    <cellStyle name="Followed Hyperlink" xfId="29315" builtinId="9" hidden="1"/>
    <cellStyle name="Followed Hyperlink" xfId="29316" builtinId="9" hidden="1"/>
    <cellStyle name="Followed Hyperlink" xfId="29317" builtinId="9" hidden="1"/>
    <cellStyle name="Followed Hyperlink" xfId="29318" builtinId="9" hidden="1"/>
    <cellStyle name="Followed Hyperlink" xfId="29319" builtinId="9" hidden="1"/>
    <cellStyle name="Followed Hyperlink" xfId="29320" builtinId="9" hidden="1"/>
    <cellStyle name="Followed Hyperlink" xfId="29321" builtinId="9" hidden="1"/>
    <cellStyle name="Followed Hyperlink" xfId="29322" builtinId="9" hidden="1"/>
    <cellStyle name="Followed Hyperlink" xfId="29323" builtinId="9" hidden="1"/>
    <cellStyle name="Followed Hyperlink" xfId="29324" builtinId="9" hidden="1"/>
    <cellStyle name="Followed Hyperlink" xfId="29325" builtinId="9" hidden="1"/>
    <cellStyle name="Followed Hyperlink" xfId="29326" builtinId="9" hidden="1"/>
    <cellStyle name="Followed Hyperlink" xfId="29327" builtinId="9" hidden="1"/>
    <cellStyle name="Followed Hyperlink" xfId="29328" builtinId="9" hidden="1"/>
    <cellStyle name="Followed Hyperlink" xfId="29329" builtinId="9" hidden="1"/>
    <cellStyle name="Followed Hyperlink" xfId="29330" builtinId="9" hidden="1"/>
    <cellStyle name="Followed Hyperlink" xfId="29331" builtinId="9" hidden="1"/>
    <cellStyle name="Followed Hyperlink" xfId="29332" builtinId="9" hidden="1"/>
    <cellStyle name="Followed Hyperlink" xfId="29333" builtinId="9" hidden="1"/>
    <cellStyle name="Followed Hyperlink" xfId="29334" builtinId="9" hidden="1"/>
    <cellStyle name="Followed Hyperlink" xfId="29335" builtinId="9" hidden="1"/>
    <cellStyle name="Followed Hyperlink" xfId="29336" builtinId="9" hidden="1"/>
    <cellStyle name="Followed Hyperlink" xfId="29337" builtinId="9" hidden="1"/>
    <cellStyle name="Followed Hyperlink" xfId="29338" builtinId="9" hidden="1"/>
    <cellStyle name="Followed Hyperlink" xfId="29339" builtinId="9" hidden="1"/>
    <cellStyle name="Followed Hyperlink" xfId="29340" builtinId="9" hidden="1"/>
    <cellStyle name="Followed Hyperlink" xfId="29341" builtinId="9" hidden="1"/>
    <cellStyle name="Followed Hyperlink" xfId="29342" builtinId="9" hidden="1"/>
    <cellStyle name="Followed Hyperlink" xfId="29343" builtinId="9" hidden="1"/>
    <cellStyle name="Followed Hyperlink" xfId="29344" builtinId="9" hidden="1"/>
    <cellStyle name="Followed Hyperlink" xfId="29345" builtinId="9" hidden="1"/>
    <cellStyle name="Followed Hyperlink" xfId="29346" builtinId="9" hidden="1"/>
    <cellStyle name="Followed Hyperlink" xfId="29347" builtinId="9" hidden="1"/>
    <cellStyle name="Followed Hyperlink" xfId="29348" builtinId="9" hidden="1"/>
    <cellStyle name="Followed Hyperlink" xfId="29349" builtinId="9" hidden="1"/>
    <cellStyle name="Followed Hyperlink" xfId="29350" builtinId="9" hidden="1"/>
    <cellStyle name="Followed Hyperlink" xfId="29351" builtinId="9" hidden="1"/>
    <cellStyle name="Followed Hyperlink" xfId="29221" builtinId="9" hidden="1"/>
    <cellStyle name="Followed Hyperlink" xfId="25252" builtinId="9" hidden="1"/>
    <cellStyle name="Followed Hyperlink" xfId="29353" builtinId="9" hidden="1"/>
    <cellStyle name="Followed Hyperlink" xfId="29354" builtinId="9" hidden="1"/>
    <cellStyle name="Followed Hyperlink" xfId="29355" builtinId="9" hidden="1"/>
    <cellStyle name="Followed Hyperlink" xfId="29356" builtinId="9" hidden="1"/>
    <cellStyle name="Followed Hyperlink" xfId="29357" builtinId="9" hidden="1"/>
    <cellStyle name="Followed Hyperlink" xfId="29358" builtinId="9" hidden="1"/>
    <cellStyle name="Followed Hyperlink" xfId="29359" builtinId="9" hidden="1"/>
    <cellStyle name="Followed Hyperlink" xfId="29360" builtinId="9" hidden="1"/>
    <cellStyle name="Followed Hyperlink" xfId="29361" builtinId="9" hidden="1"/>
    <cellStyle name="Followed Hyperlink" xfId="29362" builtinId="9" hidden="1"/>
    <cellStyle name="Followed Hyperlink" xfId="29363" builtinId="9" hidden="1"/>
    <cellStyle name="Followed Hyperlink" xfId="29364" builtinId="9" hidden="1"/>
    <cellStyle name="Followed Hyperlink" xfId="29365" builtinId="9" hidden="1"/>
    <cellStyle name="Followed Hyperlink" xfId="29366" builtinId="9" hidden="1"/>
    <cellStyle name="Followed Hyperlink" xfId="29367" builtinId="9" hidden="1"/>
    <cellStyle name="Followed Hyperlink" xfId="29368" builtinId="9" hidden="1"/>
    <cellStyle name="Followed Hyperlink" xfId="29369" builtinId="9" hidden="1"/>
    <cellStyle name="Followed Hyperlink" xfId="29370" builtinId="9" hidden="1"/>
    <cellStyle name="Followed Hyperlink" xfId="29371" builtinId="9" hidden="1"/>
    <cellStyle name="Followed Hyperlink" xfId="29372" builtinId="9" hidden="1"/>
    <cellStyle name="Followed Hyperlink" xfId="29373" builtinId="9" hidden="1"/>
    <cellStyle name="Followed Hyperlink" xfId="29374" builtinId="9" hidden="1"/>
    <cellStyle name="Followed Hyperlink" xfId="29375" builtinId="9" hidden="1"/>
    <cellStyle name="Followed Hyperlink" xfId="29376" builtinId="9" hidden="1"/>
    <cellStyle name="Followed Hyperlink" xfId="29377" builtinId="9" hidden="1"/>
    <cellStyle name="Followed Hyperlink" xfId="29378" builtinId="9" hidden="1"/>
    <cellStyle name="Followed Hyperlink" xfId="29379" builtinId="9" hidden="1"/>
    <cellStyle name="Followed Hyperlink" xfId="29380" builtinId="9" hidden="1"/>
    <cellStyle name="Followed Hyperlink" xfId="29381" builtinId="9" hidden="1"/>
    <cellStyle name="Followed Hyperlink" xfId="29382" builtinId="9" hidden="1"/>
    <cellStyle name="Followed Hyperlink" xfId="29383" builtinId="9" hidden="1"/>
    <cellStyle name="Followed Hyperlink" xfId="29384" builtinId="9" hidden="1"/>
    <cellStyle name="Followed Hyperlink" xfId="29385" builtinId="9" hidden="1"/>
    <cellStyle name="Followed Hyperlink" xfId="29386" builtinId="9" hidden="1"/>
    <cellStyle name="Followed Hyperlink" xfId="29387" builtinId="9" hidden="1"/>
    <cellStyle name="Followed Hyperlink" xfId="29388" builtinId="9" hidden="1"/>
    <cellStyle name="Followed Hyperlink" xfId="29389" builtinId="9" hidden="1"/>
    <cellStyle name="Followed Hyperlink" xfId="29390" builtinId="9" hidden="1"/>
    <cellStyle name="Followed Hyperlink" xfId="29391" builtinId="9" hidden="1"/>
    <cellStyle name="Followed Hyperlink" xfId="29226" builtinId="9" hidden="1"/>
    <cellStyle name="Followed Hyperlink" xfId="29352" builtinId="9" hidden="1"/>
    <cellStyle name="Followed Hyperlink" xfId="29393" builtinId="9" hidden="1"/>
    <cellStyle name="Followed Hyperlink" xfId="29394" builtinId="9" hidden="1"/>
    <cellStyle name="Followed Hyperlink" xfId="29395" builtinId="9" hidden="1"/>
    <cellStyle name="Followed Hyperlink" xfId="29396" builtinId="9" hidden="1"/>
    <cellStyle name="Followed Hyperlink" xfId="29397" builtinId="9" hidden="1"/>
    <cellStyle name="Followed Hyperlink" xfId="29398" builtinId="9" hidden="1"/>
    <cellStyle name="Followed Hyperlink" xfId="29399" builtinId="9" hidden="1"/>
    <cellStyle name="Followed Hyperlink" xfId="29400" builtinId="9" hidden="1"/>
    <cellStyle name="Followed Hyperlink" xfId="29401" builtinId="9" hidden="1"/>
    <cellStyle name="Followed Hyperlink" xfId="29402" builtinId="9" hidden="1"/>
    <cellStyle name="Followed Hyperlink" xfId="29403" builtinId="9" hidden="1"/>
    <cellStyle name="Followed Hyperlink" xfId="29404" builtinId="9" hidden="1"/>
    <cellStyle name="Followed Hyperlink" xfId="29405" builtinId="9" hidden="1"/>
    <cellStyle name="Followed Hyperlink" xfId="29406" builtinId="9" hidden="1"/>
    <cellStyle name="Followed Hyperlink" xfId="29407" builtinId="9" hidden="1"/>
    <cellStyle name="Followed Hyperlink" xfId="29408" builtinId="9" hidden="1"/>
    <cellStyle name="Followed Hyperlink" xfId="29409" builtinId="9" hidden="1"/>
    <cellStyle name="Followed Hyperlink" xfId="29410" builtinId="9" hidden="1"/>
    <cellStyle name="Followed Hyperlink" xfId="29411" builtinId="9" hidden="1"/>
    <cellStyle name="Followed Hyperlink" xfId="29412" builtinId="9" hidden="1"/>
    <cellStyle name="Followed Hyperlink" xfId="29413" builtinId="9" hidden="1"/>
    <cellStyle name="Followed Hyperlink" xfId="29414" builtinId="9" hidden="1"/>
    <cellStyle name="Followed Hyperlink" xfId="29415" builtinId="9" hidden="1"/>
    <cellStyle name="Followed Hyperlink" xfId="29416" builtinId="9" hidden="1"/>
    <cellStyle name="Followed Hyperlink" xfId="29417" builtinId="9" hidden="1"/>
    <cellStyle name="Followed Hyperlink" xfId="29418" builtinId="9" hidden="1"/>
    <cellStyle name="Followed Hyperlink" xfId="29419" builtinId="9" hidden="1"/>
    <cellStyle name="Followed Hyperlink" xfId="29420" builtinId="9" hidden="1"/>
    <cellStyle name="Followed Hyperlink" xfId="29421" builtinId="9" hidden="1"/>
    <cellStyle name="Followed Hyperlink" xfId="29422" builtinId="9" hidden="1"/>
    <cellStyle name="Followed Hyperlink" xfId="29423" builtinId="9" hidden="1"/>
    <cellStyle name="Followed Hyperlink" xfId="29424" builtinId="9" hidden="1"/>
    <cellStyle name="Followed Hyperlink" xfId="29425" builtinId="9" hidden="1"/>
    <cellStyle name="Followed Hyperlink" xfId="29426" builtinId="9" hidden="1"/>
    <cellStyle name="Followed Hyperlink" xfId="29427" builtinId="9" hidden="1"/>
    <cellStyle name="Followed Hyperlink" xfId="29428" builtinId="9" hidden="1"/>
    <cellStyle name="Followed Hyperlink" xfId="29429" builtinId="9" hidden="1"/>
    <cellStyle name="Followed Hyperlink" xfId="29430" builtinId="9" hidden="1"/>
    <cellStyle name="Followed Hyperlink" xfId="29431" builtinId="9" hidden="1"/>
    <cellStyle name="Followed Hyperlink" xfId="29228" builtinId="9" hidden="1"/>
    <cellStyle name="Followed Hyperlink" xfId="29392" builtinId="9" hidden="1"/>
    <cellStyle name="Followed Hyperlink" xfId="29433" builtinId="9" hidden="1"/>
    <cellStyle name="Followed Hyperlink" xfId="29434" builtinId="9" hidden="1"/>
    <cellStyle name="Followed Hyperlink" xfId="29435" builtinId="9" hidden="1"/>
    <cellStyle name="Followed Hyperlink" xfId="29436" builtinId="9" hidden="1"/>
    <cellStyle name="Followed Hyperlink" xfId="29437" builtinId="9" hidden="1"/>
    <cellStyle name="Followed Hyperlink" xfId="29438" builtinId="9" hidden="1"/>
    <cellStyle name="Followed Hyperlink" xfId="29439" builtinId="9" hidden="1"/>
    <cellStyle name="Followed Hyperlink" xfId="29440" builtinId="9" hidden="1"/>
    <cellStyle name="Followed Hyperlink" xfId="29441" builtinId="9" hidden="1"/>
    <cellStyle name="Followed Hyperlink" xfId="29442" builtinId="9" hidden="1"/>
    <cellStyle name="Followed Hyperlink" xfId="29443" builtinId="9" hidden="1"/>
    <cellStyle name="Followed Hyperlink" xfId="29444" builtinId="9" hidden="1"/>
    <cellStyle name="Followed Hyperlink" xfId="29445" builtinId="9" hidden="1"/>
    <cellStyle name="Followed Hyperlink" xfId="29446" builtinId="9" hidden="1"/>
    <cellStyle name="Followed Hyperlink" xfId="29447" builtinId="9" hidden="1"/>
    <cellStyle name="Followed Hyperlink" xfId="29448" builtinId="9" hidden="1"/>
    <cellStyle name="Followed Hyperlink" xfId="29449" builtinId="9" hidden="1"/>
    <cellStyle name="Followed Hyperlink" xfId="29450" builtinId="9" hidden="1"/>
    <cellStyle name="Followed Hyperlink" xfId="29451" builtinId="9" hidden="1"/>
    <cellStyle name="Followed Hyperlink" xfId="29452" builtinId="9" hidden="1"/>
    <cellStyle name="Followed Hyperlink" xfId="29453" builtinId="9" hidden="1"/>
    <cellStyle name="Followed Hyperlink" xfId="29454" builtinId="9" hidden="1"/>
    <cellStyle name="Followed Hyperlink" xfId="29455" builtinId="9" hidden="1"/>
    <cellStyle name="Followed Hyperlink" xfId="29456" builtinId="9" hidden="1"/>
    <cellStyle name="Followed Hyperlink" xfId="29457" builtinId="9" hidden="1"/>
    <cellStyle name="Followed Hyperlink" xfId="29458" builtinId="9" hidden="1"/>
    <cellStyle name="Followed Hyperlink" xfId="29459" builtinId="9" hidden="1"/>
    <cellStyle name="Followed Hyperlink" xfId="29460" builtinId="9" hidden="1"/>
    <cellStyle name="Followed Hyperlink" xfId="29461" builtinId="9" hidden="1"/>
    <cellStyle name="Followed Hyperlink" xfId="29462" builtinId="9" hidden="1"/>
    <cellStyle name="Followed Hyperlink" xfId="29463" builtinId="9" hidden="1"/>
    <cellStyle name="Followed Hyperlink" xfId="29464" builtinId="9" hidden="1"/>
    <cellStyle name="Followed Hyperlink" xfId="29465" builtinId="9" hidden="1"/>
    <cellStyle name="Followed Hyperlink" xfId="29466" builtinId="9" hidden="1"/>
    <cellStyle name="Followed Hyperlink" xfId="29467" builtinId="9" hidden="1"/>
    <cellStyle name="Followed Hyperlink" xfId="29468" builtinId="9" hidden="1"/>
    <cellStyle name="Followed Hyperlink" xfId="29469" builtinId="9" hidden="1"/>
    <cellStyle name="Followed Hyperlink" xfId="29470" builtinId="9" hidden="1"/>
    <cellStyle name="Followed Hyperlink" xfId="29471" builtinId="9" hidden="1"/>
    <cellStyle name="Followed Hyperlink" xfId="29222" builtinId="9" hidden="1"/>
    <cellStyle name="Followed Hyperlink" xfId="29432" builtinId="9" hidden="1"/>
    <cellStyle name="Followed Hyperlink" xfId="29473" builtinId="9" hidden="1"/>
    <cellStyle name="Followed Hyperlink" xfId="29474" builtinId="9" hidden="1"/>
    <cellStyle name="Followed Hyperlink" xfId="29475" builtinId="9" hidden="1"/>
    <cellStyle name="Followed Hyperlink" xfId="29476" builtinId="9" hidden="1"/>
    <cellStyle name="Followed Hyperlink" xfId="29477" builtinId="9" hidden="1"/>
    <cellStyle name="Followed Hyperlink" xfId="29478" builtinId="9" hidden="1"/>
    <cellStyle name="Followed Hyperlink" xfId="29479" builtinId="9" hidden="1"/>
    <cellStyle name="Followed Hyperlink" xfId="29480" builtinId="9" hidden="1"/>
    <cellStyle name="Followed Hyperlink" xfId="29481" builtinId="9" hidden="1"/>
    <cellStyle name="Followed Hyperlink" xfId="29482" builtinId="9" hidden="1"/>
    <cellStyle name="Followed Hyperlink" xfId="29483" builtinId="9" hidden="1"/>
    <cellStyle name="Followed Hyperlink" xfId="29484" builtinId="9" hidden="1"/>
    <cellStyle name="Followed Hyperlink" xfId="29485" builtinId="9" hidden="1"/>
    <cellStyle name="Followed Hyperlink" xfId="29486" builtinId="9" hidden="1"/>
    <cellStyle name="Followed Hyperlink" xfId="29487" builtinId="9" hidden="1"/>
    <cellStyle name="Followed Hyperlink" xfId="29488" builtinId="9" hidden="1"/>
    <cellStyle name="Followed Hyperlink" xfId="29489" builtinId="9" hidden="1"/>
    <cellStyle name="Followed Hyperlink" xfId="29490" builtinId="9" hidden="1"/>
    <cellStyle name="Followed Hyperlink" xfId="29491" builtinId="9" hidden="1"/>
    <cellStyle name="Followed Hyperlink" xfId="29492" builtinId="9" hidden="1"/>
    <cellStyle name="Followed Hyperlink" xfId="29493" builtinId="9" hidden="1"/>
    <cellStyle name="Followed Hyperlink" xfId="29494" builtinId="9" hidden="1"/>
    <cellStyle name="Followed Hyperlink" xfId="29495" builtinId="9" hidden="1"/>
    <cellStyle name="Followed Hyperlink" xfId="29496" builtinId="9" hidden="1"/>
    <cellStyle name="Followed Hyperlink" xfId="29497" builtinId="9" hidden="1"/>
    <cellStyle name="Followed Hyperlink" xfId="29498" builtinId="9" hidden="1"/>
    <cellStyle name="Followed Hyperlink" xfId="29499" builtinId="9" hidden="1"/>
    <cellStyle name="Followed Hyperlink" xfId="29500" builtinId="9" hidden="1"/>
    <cellStyle name="Followed Hyperlink" xfId="29501" builtinId="9" hidden="1"/>
    <cellStyle name="Followed Hyperlink" xfId="29502" builtinId="9" hidden="1"/>
    <cellStyle name="Followed Hyperlink" xfId="29503" builtinId="9" hidden="1"/>
    <cellStyle name="Followed Hyperlink" xfId="29504" builtinId="9" hidden="1"/>
    <cellStyle name="Followed Hyperlink" xfId="29505" builtinId="9" hidden="1"/>
    <cellStyle name="Followed Hyperlink" xfId="29506" builtinId="9" hidden="1"/>
    <cellStyle name="Followed Hyperlink" xfId="29507" builtinId="9" hidden="1"/>
    <cellStyle name="Followed Hyperlink" xfId="29508" builtinId="9" hidden="1"/>
    <cellStyle name="Followed Hyperlink" xfId="29509" builtinId="9" hidden="1"/>
    <cellStyle name="Followed Hyperlink" xfId="29510" builtinId="9" hidden="1"/>
    <cellStyle name="Followed Hyperlink" xfId="29511" builtinId="9" hidden="1"/>
    <cellStyle name="Followed Hyperlink" xfId="29224" builtinId="9" hidden="1"/>
    <cellStyle name="Followed Hyperlink" xfId="29472" builtinId="9" hidden="1"/>
    <cellStyle name="Followed Hyperlink" xfId="29513" builtinId="9" hidden="1"/>
    <cellStyle name="Followed Hyperlink" xfId="29514" builtinId="9" hidden="1"/>
    <cellStyle name="Followed Hyperlink" xfId="29515" builtinId="9" hidden="1"/>
    <cellStyle name="Followed Hyperlink" xfId="29516" builtinId="9" hidden="1"/>
    <cellStyle name="Followed Hyperlink" xfId="29517" builtinId="9" hidden="1"/>
    <cellStyle name="Followed Hyperlink" xfId="29518" builtinId="9" hidden="1"/>
    <cellStyle name="Followed Hyperlink" xfId="29519" builtinId="9" hidden="1"/>
    <cellStyle name="Followed Hyperlink" xfId="29520" builtinId="9" hidden="1"/>
    <cellStyle name="Followed Hyperlink" xfId="29521" builtinId="9" hidden="1"/>
    <cellStyle name="Followed Hyperlink" xfId="29522" builtinId="9" hidden="1"/>
    <cellStyle name="Followed Hyperlink" xfId="29523" builtinId="9" hidden="1"/>
    <cellStyle name="Followed Hyperlink" xfId="29524" builtinId="9" hidden="1"/>
    <cellStyle name="Followed Hyperlink" xfId="29525" builtinId="9" hidden="1"/>
    <cellStyle name="Followed Hyperlink" xfId="29526" builtinId="9" hidden="1"/>
    <cellStyle name="Followed Hyperlink" xfId="29527" builtinId="9" hidden="1"/>
    <cellStyle name="Followed Hyperlink" xfId="29528" builtinId="9" hidden="1"/>
    <cellStyle name="Followed Hyperlink" xfId="29529" builtinId="9" hidden="1"/>
    <cellStyle name="Followed Hyperlink" xfId="29530" builtinId="9" hidden="1"/>
    <cellStyle name="Followed Hyperlink" xfId="29531" builtinId="9" hidden="1"/>
    <cellStyle name="Followed Hyperlink" xfId="29532" builtinId="9" hidden="1"/>
    <cellStyle name="Followed Hyperlink" xfId="29533" builtinId="9" hidden="1"/>
    <cellStyle name="Followed Hyperlink" xfId="29534" builtinId="9" hidden="1"/>
    <cellStyle name="Followed Hyperlink" xfId="29535" builtinId="9" hidden="1"/>
    <cellStyle name="Followed Hyperlink" xfId="29536" builtinId="9" hidden="1"/>
    <cellStyle name="Followed Hyperlink" xfId="29537" builtinId="9" hidden="1"/>
    <cellStyle name="Followed Hyperlink" xfId="29538" builtinId="9" hidden="1"/>
    <cellStyle name="Followed Hyperlink" xfId="29539" builtinId="9" hidden="1"/>
    <cellStyle name="Followed Hyperlink" xfId="29540" builtinId="9" hidden="1"/>
    <cellStyle name="Followed Hyperlink" xfId="29541" builtinId="9" hidden="1"/>
    <cellStyle name="Followed Hyperlink" xfId="29542" builtinId="9" hidden="1"/>
    <cellStyle name="Followed Hyperlink" xfId="29543" builtinId="9" hidden="1"/>
    <cellStyle name="Followed Hyperlink" xfId="29544" builtinId="9" hidden="1"/>
    <cellStyle name="Followed Hyperlink" xfId="29545" builtinId="9" hidden="1"/>
    <cellStyle name="Followed Hyperlink" xfId="29546" builtinId="9" hidden="1"/>
    <cellStyle name="Followed Hyperlink" xfId="29547" builtinId="9" hidden="1"/>
    <cellStyle name="Followed Hyperlink" xfId="29548" builtinId="9" hidden="1"/>
    <cellStyle name="Followed Hyperlink" xfId="29549" builtinId="9" hidden="1"/>
    <cellStyle name="Followed Hyperlink" xfId="29550" builtinId="9" hidden="1"/>
    <cellStyle name="Followed Hyperlink" xfId="29551" builtinId="9" hidden="1"/>
    <cellStyle name="Followed Hyperlink" xfId="29225" builtinId="9" hidden="1"/>
    <cellStyle name="Followed Hyperlink" xfId="29512" builtinId="9" hidden="1"/>
    <cellStyle name="Followed Hyperlink" xfId="29553" builtinId="9" hidden="1"/>
    <cellStyle name="Followed Hyperlink" xfId="29554" builtinId="9" hidden="1"/>
    <cellStyle name="Followed Hyperlink" xfId="29555" builtinId="9" hidden="1"/>
    <cellStyle name="Followed Hyperlink" xfId="29556" builtinId="9" hidden="1"/>
    <cellStyle name="Followed Hyperlink" xfId="29557" builtinId="9" hidden="1"/>
    <cellStyle name="Followed Hyperlink" xfId="29558" builtinId="9" hidden="1"/>
    <cellStyle name="Followed Hyperlink" xfId="29559" builtinId="9" hidden="1"/>
    <cellStyle name="Followed Hyperlink" xfId="29560" builtinId="9" hidden="1"/>
    <cellStyle name="Followed Hyperlink" xfId="29561" builtinId="9" hidden="1"/>
    <cellStyle name="Followed Hyperlink" xfId="29562" builtinId="9" hidden="1"/>
    <cellStyle name="Followed Hyperlink" xfId="29563" builtinId="9" hidden="1"/>
    <cellStyle name="Followed Hyperlink" xfId="29564" builtinId="9" hidden="1"/>
    <cellStyle name="Followed Hyperlink" xfId="29565" builtinId="9" hidden="1"/>
    <cellStyle name="Followed Hyperlink" xfId="29566" builtinId="9" hidden="1"/>
    <cellStyle name="Followed Hyperlink" xfId="29567" builtinId="9" hidden="1"/>
    <cellStyle name="Followed Hyperlink" xfId="29568" builtinId="9" hidden="1"/>
    <cellStyle name="Followed Hyperlink" xfId="29569" builtinId="9" hidden="1"/>
    <cellStyle name="Followed Hyperlink" xfId="29570" builtinId="9" hidden="1"/>
    <cellStyle name="Followed Hyperlink" xfId="29571" builtinId="9" hidden="1"/>
    <cellStyle name="Followed Hyperlink" xfId="29572" builtinId="9" hidden="1"/>
    <cellStyle name="Followed Hyperlink" xfId="29573" builtinId="9" hidden="1"/>
    <cellStyle name="Followed Hyperlink" xfId="29574" builtinId="9" hidden="1"/>
    <cellStyle name="Followed Hyperlink" xfId="29575" builtinId="9" hidden="1"/>
    <cellStyle name="Followed Hyperlink" xfId="29576" builtinId="9" hidden="1"/>
    <cellStyle name="Followed Hyperlink" xfId="29577" builtinId="9" hidden="1"/>
    <cellStyle name="Followed Hyperlink" xfId="29578" builtinId="9" hidden="1"/>
    <cellStyle name="Followed Hyperlink" xfId="29579" builtinId="9" hidden="1"/>
    <cellStyle name="Followed Hyperlink" xfId="29580" builtinId="9" hidden="1"/>
    <cellStyle name="Followed Hyperlink" xfId="29581" builtinId="9" hidden="1"/>
    <cellStyle name="Followed Hyperlink" xfId="29582" builtinId="9" hidden="1"/>
    <cellStyle name="Followed Hyperlink" xfId="29583" builtinId="9" hidden="1"/>
    <cellStyle name="Followed Hyperlink" xfId="29584" builtinId="9" hidden="1"/>
    <cellStyle name="Followed Hyperlink" xfId="29585" builtinId="9" hidden="1"/>
    <cellStyle name="Followed Hyperlink" xfId="29586" builtinId="9" hidden="1"/>
    <cellStyle name="Followed Hyperlink" xfId="29587" builtinId="9" hidden="1"/>
    <cellStyle name="Followed Hyperlink" xfId="29588" builtinId="9" hidden="1"/>
    <cellStyle name="Followed Hyperlink" xfId="29589" builtinId="9" hidden="1"/>
    <cellStyle name="Followed Hyperlink" xfId="29590" builtinId="9" hidden="1"/>
    <cellStyle name="Followed Hyperlink" xfId="29591" builtinId="9" hidden="1"/>
    <cellStyle name="Followed Hyperlink" xfId="29227" builtinId="9" hidden="1"/>
    <cellStyle name="Followed Hyperlink" xfId="29552" builtinId="9" hidden="1"/>
    <cellStyle name="Followed Hyperlink" xfId="29593" builtinId="9" hidden="1"/>
    <cellStyle name="Followed Hyperlink" xfId="29594" builtinId="9" hidden="1"/>
    <cellStyle name="Followed Hyperlink" xfId="29595" builtinId="9" hidden="1"/>
    <cellStyle name="Followed Hyperlink" xfId="29596" builtinId="9" hidden="1"/>
    <cellStyle name="Followed Hyperlink" xfId="29597" builtinId="9" hidden="1"/>
    <cellStyle name="Followed Hyperlink" xfId="29598" builtinId="9" hidden="1"/>
    <cellStyle name="Followed Hyperlink" xfId="29599" builtinId="9" hidden="1"/>
    <cellStyle name="Followed Hyperlink" xfId="29600" builtinId="9" hidden="1"/>
    <cellStyle name="Followed Hyperlink" xfId="29601" builtinId="9" hidden="1"/>
    <cellStyle name="Followed Hyperlink" xfId="29602" builtinId="9" hidden="1"/>
    <cellStyle name="Followed Hyperlink" xfId="29603" builtinId="9" hidden="1"/>
    <cellStyle name="Followed Hyperlink" xfId="29604" builtinId="9" hidden="1"/>
    <cellStyle name="Followed Hyperlink" xfId="29605" builtinId="9" hidden="1"/>
    <cellStyle name="Followed Hyperlink" xfId="29606" builtinId="9" hidden="1"/>
    <cellStyle name="Followed Hyperlink" xfId="29607" builtinId="9" hidden="1"/>
    <cellStyle name="Followed Hyperlink" xfId="29608" builtinId="9" hidden="1"/>
    <cellStyle name="Followed Hyperlink" xfId="29609" builtinId="9" hidden="1"/>
    <cellStyle name="Followed Hyperlink" xfId="29610" builtinId="9" hidden="1"/>
    <cellStyle name="Followed Hyperlink" xfId="29611" builtinId="9" hidden="1"/>
    <cellStyle name="Followed Hyperlink" xfId="29612" builtinId="9" hidden="1"/>
    <cellStyle name="Followed Hyperlink" xfId="29613" builtinId="9" hidden="1"/>
    <cellStyle name="Followed Hyperlink" xfId="29614" builtinId="9" hidden="1"/>
    <cellStyle name="Followed Hyperlink" xfId="29615" builtinId="9" hidden="1"/>
    <cellStyle name="Followed Hyperlink" xfId="29616" builtinId="9" hidden="1"/>
    <cellStyle name="Followed Hyperlink" xfId="29617" builtinId="9" hidden="1"/>
    <cellStyle name="Followed Hyperlink" xfId="29618" builtinId="9" hidden="1"/>
    <cellStyle name="Followed Hyperlink" xfId="29619" builtinId="9" hidden="1"/>
    <cellStyle name="Followed Hyperlink" xfId="29620" builtinId="9" hidden="1"/>
    <cellStyle name="Followed Hyperlink" xfId="29621" builtinId="9" hidden="1"/>
    <cellStyle name="Followed Hyperlink" xfId="29622" builtinId="9" hidden="1"/>
    <cellStyle name="Followed Hyperlink" xfId="29623" builtinId="9" hidden="1"/>
    <cellStyle name="Followed Hyperlink" xfId="29624" builtinId="9" hidden="1"/>
    <cellStyle name="Followed Hyperlink" xfId="29625" builtinId="9" hidden="1"/>
    <cellStyle name="Followed Hyperlink" xfId="29626" builtinId="9" hidden="1"/>
    <cellStyle name="Followed Hyperlink" xfId="29627" builtinId="9" hidden="1"/>
    <cellStyle name="Followed Hyperlink" xfId="29628" builtinId="9" hidden="1"/>
    <cellStyle name="Followed Hyperlink" xfId="29629" builtinId="9" hidden="1"/>
    <cellStyle name="Followed Hyperlink" xfId="29630" builtinId="9" hidden="1"/>
    <cellStyle name="Followed Hyperlink" xfId="29631" builtinId="9" hidden="1"/>
    <cellStyle name="Followed Hyperlink" xfId="29223" builtinId="9" hidden="1"/>
    <cellStyle name="Followed Hyperlink" xfId="29592" builtinId="9" hidden="1"/>
    <cellStyle name="Followed Hyperlink" xfId="29632" builtinId="9" hidden="1"/>
    <cellStyle name="Followed Hyperlink" xfId="29633" builtinId="9" hidden="1"/>
    <cellStyle name="Followed Hyperlink" xfId="29634" builtinId="9" hidden="1"/>
    <cellStyle name="Followed Hyperlink" xfId="29635" builtinId="9" hidden="1"/>
    <cellStyle name="Followed Hyperlink" xfId="29636" builtinId="9" hidden="1"/>
    <cellStyle name="Followed Hyperlink" xfId="29637" builtinId="9" hidden="1"/>
    <cellStyle name="Followed Hyperlink" xfId="29638" builtinId="9" hidden="1"/>
    <cellStyle name="Followed Hyperlink" xfId="29639" builtinId="9" hidden="1"/>
    <cellStyle name="Followed Hyperlink" xfId="29640" builtinId="9" hidden="1"/>
    <cellStyle name="Followed Hyperlink" xfId="29641" builtinId="9" hidden="1"/>
    <cellStyle name="Followed Hyperlink" xfId="29642" builtinId="9" hidden="1"/>
    <cellStyle name="Followed Hyperlink" xfId="29643" builtinId="9" hidden="1"/>
    <cellStyle name="Followed Hyperlink" xfId="29644" builtinId="9" hidden="1"/>
    <cellStyle name="Followed Hyperlink" xfId="29645" builtinId="9" hidden="1"/>
    <cellStyle name="Followed Hyperlink" xfId="29646" builtinId="9" hidden="1"/>
    <cellStyle name="Followed Hyperlink" xfId="29647" builtinId="9" hidden="1"/>
    <cellStyle name="Followed Hyperlink" xfId="29648" builtinId="9" hidden="1"/>
    <cellStyle name="Followed Hyperlink" xfId="29649" builtinId="9" hidden="1"/>
    <cellStyle name="Followed Hyperlink" xfId="29650" builtinId="9" hidden="1"/>
    <cellStyle name="Followed Hyperlink" xfId="29651" builtinId="9" hidden="1"/>
    <cellStyle name="Followed Hyperlink" xfId="29652" builtinId="9" hidden="1"/>
    <cellStyle name="Followed Hyperlink" xfId="29653" builtinId="9" hidden="1"/>
    <cellStyle name="Followed Hyperlink" xfId="29654" builtinId="9" hidden="1"/>
    <cellStyle name="Followed Hyperlink" xfId="29655" builtinId="9" hidden="1"/>
    <cellStyle name="Followed Hyperlink" xfId="29656" builtinId="9" hidden="1"/>
    <cellStyle name="Followed Hyperlink" xfId="29657" builtinId="9" hidden="1"/>
    <cellStyle name="Followed Hyperlink" xfId="29658" builtinId="9" hidden="1"/>
    <cellStyle name="Followed Hyperlink" xfId="29659" builtinId="9" hidden="1"/>
    <cellStyle name="Followed Hyperlink" xfId="29660" builtinId="9" hidden="1"/>
    <cellStyle name="Followed Hyperlink" xfId="29661" builtinId="9" hidden="1"/>
    <cellStyle name="Followed Hyperlink" xfId="29662" builtinId="9" hidden="1"/>
    <cellStyle name="Followed Hyperlink" xfId="29663" builtinId="9" hidden="1"/>
    <cellStyle name="Followed Hyperlink" xfId="29664" builtinId="9" hidden="1"/>
    <cellStyle name="Followed Hyperlink" xfId="29665" builtinId="9" hidden="1"/>
    <cellStyle name="Followed Hyperlink" xfId="29666" builtinId="9" hidden="1"/>
    <cellStyle name="Followed Hyperlink" xfId="29667" builtinId="9" hidden="1"/>
    <cellStyle name="Followed Hyperlink" xfId="29668" builtinId="9" hidden="1"/>
    <cellStyle name="Followed Hyperlink" xfId="29669" builtinId="9" hidden="1"/>
    <cellStyle name="Followed Hyperlink" xfId="29670" builtinId="9" hidden="1"/>
    <cellStyle name="Followed Hyperlink" xfId="25264" builtinId="9" hidden="1"/>
    <cellStyle name="Followed Hyperlink" xfId="25260" builtinId="9" hidden="1"/>
    <cellStyle name="Followed Hyperlink" xfId="29671" builtinId="9" hidden="1"/>
    <cellStyle name="Followed Hyperlink" xfId="29672" builtinId="9" hidden="1"/>
    <cellStyle name="Followed Hyperlink" xfId="29673" builtinId="9" hidden="1"/>
    <cellStyle name="Followed Hyperlink" xfId="29674" builtinId="9" hidden="1"/>
    <cellStyle name="Followed Hyperlink" xfId="29675" builtinId="9" hidden="1"/>
    <cellStyle name="Followed Hyperlink" xfId="29676" builtinId="9" hidden="1"/>
    <cellStyle name="Followed Hyperlink" xfId="29677" builtinId="9" hidden="1"/>
    <cellStyle name="Followed Hyperlink" xfId="29678" builtinId="9" hidden="1"/>
    <cellStyle name="Followed Hyperlink" xfId="29679" builtinId="9" hidden="1"/>
    <cellStyle name="Followed Hyperlink" xfId="29680" builtinId="9" hidden="1"/>
    <cellStyle name="Followed Hyperlink" xfId="29681" builtinId="9" hidden="1"/>
    <cellStyle name="Followed Hyperlink" xfId="29682" builtinId="9" hidden="1"/>
    <cellStyle name="Followed Hyperlink" xfId="29683" builtinId="9" hidden="1"/>
    <cellStyle name="Followed Hyperlink" xfId="29684" builtinId="9" hidden="1"/>
    <cellStyle name="Followed Hyperlink" xfId="29685" builtinId="9" hidden="1"/>
    <cellStyle name="Followed Hyperlink" xfId="29686" builtinId="9" hidden="1"/>
    <cellStyle name="Followed Hyperlink" xfId="29687" builtinId="9" hidden="1"/>
    <cellStyle name="Followed Hyperlink" xfId="29688" builtinId="9" hidden="1"/>
    <cellStyle name="Followed Hyperlink" xfId="29689" builtinId="9" hidden="1"/>
    <cellStyle name="Followed Hyperlink" xfId="29690" builtinId="9" hidden="1"/>
    <cellStyle name="Followed Hyperlink" xfId="29691" builtinId="9" hidden="1"/>
    <cellStyle name="Followed Hyperlink" xfId="29692" builtinId="9" hidden="1"/>
    <cellStyle name="Followed Hyperlink" xfId="29693" builtinId="9" hidden="1"/>
    <cellStyle name="Followed Hyperlink" xfId="29694" builtinId="9" hidden="1"/>
    <cellStyle name="Followed Hyperlink" xfId="29695" builtinId="9" hidden="1"/>
    <cellStyle name="Followed Hyperlink" xfId="29696" builtinId="9" hidden="1"/>
    <cellStyle name="Followed Hyperlink" xfId="29697" builtinId="9" hidden="1"/>
    <cellStyle name="Followed Hyperlink" xfId="29698" builtinId="9" hidden="1"/>
    <cellStyle name="Followed Hyperlink" xfId="29699" builtinId="9" hidden="1"/>
    <cellStyle name="Followed Hyperlink" xfId="29700" builtinId="9" hidden="1"/>
    <cellStyle name="Followed Hyperlink" xfId="29701" builtinId="9" hidden="1"/>
    <cellStyle name="Followed Hyperlink" xfId="29702" builtinId="9" hidden="1"/>
    <cellStyle name="Followed Hyperlink" xfId="29703" builtinId="9" hidden="1"/>
    <cellStyle name="Followed Hyperlink" xfId="29704" builtinId="9" hidden="1"/>
    <cellStyle name="Followed Hyperlink" xfId="29705" builtinId="9" hidden="1"/>
    <cellStyle name="Followed Hyperlink" xfId="29706" builtinId="9" hidden="1"/>
    <cellStyle name="Followed Hyperlink" xfId="29707" builtinId="9" hidden="1"/>
    <cellStyle name="Followed Hyperlink" xfId="29708" builtinId="9" hidden="1"/>
    <cellStyle name="Followed Hyperlink" xfId="29709" builtinId="9" hidden="1"/>
    <cellStyle name="Followed Hyperlink" xfId="29718" builtinId="9" hidden="1"/>
    <cellStyle name="Followed Hyperlink" xfId="29719" builtinId="9" hidden="1"/>
    <cellStyle name="Followed Hyperlink" xfId="29720" builtinId="9" hidden="1"/>
    <cellStyle name="Followed Hyperlink" xfId="29721" builtinId="9" hidden="1"/>
    <cellStyle name="Followed Hyperlink" xfId="29722" builtinId="9" hidden="1"/>
    <cellStyle name="Followed Hyperlink" xfId="29723" builtinId="9" hidden="1"/>
    <cellStyle name="Followed Hyperlink" xfId="29724" builtinId="9" hidden="1"/>
    <cellStyle name="Followed Hyperlink" xfId="29725" builtinId="9" hidden="1"/>
    <cellStyle name="Followed Hyperlink" xfId="29726" builtinId="9" hidden="1"/>
    <cellStyle name="Followed Hyperlink" xfId="29727" builtinId="9" hidden="1"/>
    <cellStyle name="Followed Hyperlink" xfId="29728" builtinId="9" hidden="1"/>
    <cellStyle name="Followed Hyperlink" xfId="29729" builtinId="9" hidden="1"/>
    <cellStyle name="Followed Hyperlink" xfId="29730" builtinId="9" hidden="1"/>
    <cellStyle name="Followed Hyperlink" xfId="29731" builtinId="9" hidden="1"/>
    <cellStyle name="Followed Hyperlink" xfId="29732" builtinId="9" hidden="1"/>
    <cellStyle name="Followed Hyperlink" xfId="29733" builtinId="9" hidden="1"/>
    <cellStyle name="Followed Hyperlink" xfId="29734" builtinId="9" hidden="1"/>
    <cellStyle name="Followed Hyperlink" xfId="29735" builtinId="9" hidden="1"/>
    <cellStyle name="Followed Hyperlink" xfId="29736" builtinId="9" hidden="1"/>
    <cellStyle name="Followed Hyperlink" xfId="29737" builtinId="9" hidden="1"/>
    <cellStyle name="Followed Hyperlink" xfId="29738" builtinId="9" hidden="1"/>
    <cellStyle name="Followed Hyperlink" xfId="29739" builtinId="9" hidden="1"/>
    <cellStyle name="Followed Hyperlink" xfId="29740" builtinId="9" hidden="1"/>
    <cellStyle name="Followed Hyperlink" xfId="29741" builtinId="9" hidden="1"/>
    <cellStyle name="Followed Hyperlink" xfId="29742" builtinId="9" hidden="1"/>
    <cellStyle name="Followed Hyperlink" xfId="29743" builtinId="9" hidden="1"/>
    <cellStyle name="Followed Hyperlink" xfId="29744" builtinId="9" hidden="1"/>
    <cellStyle name="Followed Hyperlink" xfId="29745" builtinId="9" hidden="1"/>
    <cellStyle name="Followed Hyperlink" xfId="29746" builtinId="9" hidden="1"/>
    <cellStyle name="Followed Hyperlink" xfId="29747" builtinId="9" hidden="1"/>
    <cellStyle name="Followed Hyperlink" xfId="29748" builtinId="9" hidden="1"/>
    <cellStyle name="Followed Hyperlink" xfId="29749" builtinId="9" hidden="1"/>
    <cellStyle name="Followed Hyperlink" xfId="29750" builtinId="9" hidden="1"/>
    <cellStyle name="Followed Hyperlink" xfId="29751" builtinId="9" hidden="1"/>
    <cellStyle name="Followed Hyperlink" xfId="29752" builtinId="9" hidden="1"/>
    <cellStyle name="Followed Hyperlink" xfId="29753" builtinId="9" hidden="1"/>
    <cellStyle name="Followed Hyperlink" xfId="29754" builtinId="9" hidden="1"/>
    <cellStyle name="Followed Hyperlink" xfId="29755" builtinId="9" hidden="1"/>
    <cellStyle name="Followed Hyperlink" xfId="29756" builtinId="9" hidden="1"/>
    <cellStyle name="Followed Hyperlink" xfId="29757" builtinId="9" hidden="1"/>
    <cellStyle name="Followed Hyperlink" xfId="29758" builtinId="9" hidden="1"/>
    <cellStyle name="Followed Hyperlink" xfId="29759" builtinId="9" hidden="1"/>
    <cellStyle name="Followed Hyperlink" xfId="29760" builtinId="9" hidden="1"/>
    <cellStyle name="Followed Hyperlink" xfId="29761" builtinId="9" hidden="1"/>
    <cellStyle name="Followed Hyperlink" xfId="29762" builtinId="9" hidden="1"/>
    <cellStyle name="Followed Hyperlink" xfId="29763" builtinId="9" hidden="1"/>
    <cellStyle name="Followed Hyperlink" xfId="29764" builtinId="9" hidden="1"/>
    <cellStyle name="Followed Hyperlink" xfId="29765" builtinId="9" hidden="1"/>
    <cellStyle name="Followed Hyperlink" xfId="29766" builtinId="9" hidden="1"/>
    <cellStyle name="Followed Hyperlink" xfId="29767" builtinId="9" hidden="1"/>
    <cellStyle name="Followed Hyperlink" xfId="29768" builtinId="9" hidden="1"/>
    <cellStyle name="Followed Hyperlink" xfId="29769" builtinId="9" hidden="1"/>
    <cellStyle name="Followed Hyperlink" xfId="29770" builtinId="9" hidden="1"/>
    <cellStyle name="Followed Hyperlink" xfId="29771" builtinId="9" hidden="1"/>
    <cellStyle name="Followed Hyperlink" xfId="29772" builtinId="9" hidden="1"/>
    <cellStyle name="Followed Hyperlink" xfId="29773" builtinId="9" hidden="1"/>
    <cellStyle name="Followed Hyperlink" xfId="29774" builtinId="9" hidden="1"/>
    <cellStyle name="Followed Hyperlink" xfId="29775" builtinId="9" hidden="1"/>
    <cellStyle name="Followed Hyperlink" xfId="29776" builtinId="9" hidden="1"/>
    <cellStyle name="Followed Hyperlink" xfId="29777" builtinId="9" hidden="1"/>
    <cellStyle name="Followed Hyperlink" xfId="29778" builtinId="9" hidden="1"/>
    <cellStyle name="Followed Hyperlink" xfId="29779" builtinId="9" hidden="1"/>
    <cellStyle name="Followed Hyperlink" xfId="29780" builtinId="9" hidden="1"/>
    <cellStyle name="Followed Hyperlink" xfId="29781" builtinId="9" hidden="1"/>
    <cellStyle name="Followed Hyperlink" xfId="29782" builtinId="9" hidden="1"/>
    <cellStyle name="Followed Hyperlink" xfId="29783" builtinId="9" hidden="1"/>
    <cellStyle name="Followed Hyperlink" xfId="29784" builtinId="9" hidden="1"/>
    <cellStyle name="Followed Hyperlink" xfId="29785" builtinId="9" hidden="1"/>
    <cellStyle name="Followed Hyperlink" xfId="29786" builtinId="9" hidden="1"/>
    <cellStyle name="Followed Hyperlink" xfId="29787" builtinId="9" hidden="1"/>
    <cellStyle name="Followed Hyperlink" xfId="29788" builtinId="9" hidden="1"/>
    <cellStyle name="Followed Hyperlink" xfId="29789" builtinId="9" hidden="1"/>
    <cellStyle name="Followed Hyperlink" xfId="29790" builtinId="9" hidden="1"/>
    <cellStyle name="Followed Hyperlink" xfId="29791" builtinId="9" hidden="1"/>
    <cellStyle name="Followed Hyperlink" xfId="29792" builtinId="9" hidden="1"/>
    <cellStyle name="Followed Hyperlink" xfId="29793" builtinId="9" hidden="1"/>
    <cellStyle name="Followed Hyperlink" xfId="29794" builtinId="9" hidden="1"/>
    <cellStyle name="Followed Hyperlink" xfId="29795" builtinId="9" hidden="1"/>
    <cellStyle name="Followed Hyperlink" xfId="29796" builtinId="9" hidden="1"/>
    <cellStyle name="Followed Hyperlink" xfId="29797" builtinId="9" hidden="1"/>
    <cellStyle name="Followed Hyperlink" xfId="29798" builtinId="9" hidden="1"/>
    <cellStyle name="Followed Hyperlink" xfId="29799" builtinId="9" hidden="1"/>
    <cellStyle name="Followed Hyperlink" xfId="29800" builtinId="9" hidden="1"/>
    <cellStyle name="Followed Hyperlink" xfId="29801" builtinId="9" hidden="1"/>
    <cellStyle name="Followed Hyperlink" xfId="29802" builtinId="9" hidden="1"/>
    <cellStyle name="Followed Hyperlink" xfId="29803" builtinId="9" hidden="1"/>
    <cellStyle name="Followed Hyperlink" xfId="29804" builtinId="9" hidden="1"/>
    <cellStyle name="Followed Hyperlink" xfId="29805" builtinId="9" hidden="1"/>
    <cellStyle name="Followed Hyperlink" xfId="29806" builtinId="9" hidden="1"/>
    <cellStyle name="Followed Hyperlink" xfId="29807" builtinId="9" hidden="1"/>
    <cellStyle name="Followed Hyperlink" xfId="29808" builtinId="9" hidden="1"/>
    <cellStyle name="Followed Hyperlink" xfId="29809" builtinId="9" hidden="1"/>
    <cellStyle name="Followed Hyperlink" xfId="29810" builtinId="9" hidden="1"/>
    <cellStyle name="Followed Hyperlink" xfId="29811" builtinId="9" hidden="1"/>
    <cellStyle name="Followed Hyperlink" xfId="29812" builtinId="9" hidden="1"/>
    <cellStyle name="Followed Hyperlink" xfId="29813" builtinId="9" hidden="1"/>
    <cellStyle name="Followed Hyperlink" xfId="29814" builtinId="9" hidden="1"/>
    <cellStyle name="Followed Hyperlink" xfId="29815" builtinId="9" hidden="1"/>
    <cellStyle name="Followed Hyperlink" xfId="29816" builtinId="9" hidden="1"/>
    <cellStyle name="Followed Hyperlink" xfId="29817" builtinId="9" hidden="1"/>
    <cellStyle name="Followed Hyperlink" xfId="29818" builtinId="9" hidden="1"/>
    <cellStyle name="Followed Hyperlink" xfId="29819" builtinId="9" hidden="1"/>
    <cellStyle name="Followed Hyperlink" xfId="29820" builtinId="9" hidden="1"/>
    <cellStyle name="Followed Hyperlink" xfId="29821" builtinId="9" hidden="1"/>
    <cellStyle name="Followed Hyperlink" xfId="29822" builtinId="9" hidden="1"/>
    <cellStyle name="Followed Hyperlink" xfId="29823" builtinId="9" hidden="1"/>
    <cellStyle name="Followed Hyperlink" xfId="29824" builtinId="9" hidden="1"/>
    <cellStyle name="Followed Hyperlink" xfId="29825" builtinId="9" hidden="1"/>
    <cellStyle name="Followed Hyperlink" xfId="29826" builtinId="9" hidden="1"/>
    <cellStyle name="Followed Hyperlink" xfId="29827" builtinId="9" hidden="1"/>
    <cellStyle name="Followed Hyperlink" xfId="29828" builtinId="9" hidden="1"/>
    <cellStyle name="Followed Hyperlink" xfId="29829" builtinId="9" hidden="1"/>
    <cellStyle name="Followed Hyperlink" xfId="29830" builtinId="9" hidden="1"/>
    <cellStyle name="Followed Hyperlink" xfId="29831" builtinId="9" hidden="1"/>
    <cellStyle name="Followed Hyperlink" xfId="29832" builtinId="9" hidden="1"/>
    <cellStyle name="Followed Hyperlink" xfId="29833" builtinId="9" hidden="1"/>
    <cellStyle name="Followed Hyperlink" xfId="29834" builtinId="9" hidden="1"/>
    <cellStyle name="Followed Hyperlink" xfId="29835" builtinId="9" hidden="1"/>
    <cellStyle name="Followed Hyperlink" xfId="29836" builtinId="9" hidden="1"/>
    <cellStyle name="Followed Hyperlink" xfId="29837" builtinId="9" hidden="1"/>
    <cellStyle name="Followed Hyperlink" xfId="29838" builtinId="9" hidden="1"/>
    <cellStyle name="Followed Hyperlink" xfId="29839" builtinId="9" hidden="1"/>
    <cellStyle name="Followed Hyperlink" xfId="29840" builtinId="9" hidden="1"/>
    <cellStyle name="Followed Hyperlink" xfId="29710" builtinId="9" hidden="1"/>
    <cellStyle name="Followed Hyperlink" xfId="25263" builtinId="9" hidden="1"/>
    <cellStyle name="Followed Hyperlink" xfId="29842" builtinId="9" hidden="1"/>
    <cellStyle name="Followed Hyperlink" xfId="29843" builtinId="9" hidden="1"/>
    <cellStyle name="Followed Hyperlink" xfId="29844" builtinId="9" hidden="1"/>
    <cellStyle name="Followed Hyperlink" xfId="29845" builtinId="9" hidden="1"/>
    <cellStyle name="Followed Hyperlink" xfId="29846" builtinId="9" hidden="1"/>
    <cellStyle name="Followed Hyperlink" xfId="29847" builtinId="9" hidden="1"/>
    <cellStyle name="Followed Hyperlink" xfId="29848" builtinId="9" hidden="1"/>
    <cellStyle name="Followed Hyperlink" xfId="29849" builtinId="9" hidden="1"/>
    <cellStyle name="Followed Hyperlink" xfId="29850" builtinId="9" hidden="1"/>
    <cellStyle name="Followed Hyperlink" xfId="29851" builtinId="9" hidden="1"/>
    <cellStyle name="Followed Hyperlink" xfId="29852" builtinId="9" hidden="1"/>
    <cellStyle name="Followed Hyperlink" xfId="29853" builtinId="9" hidden="1"/>
    <cellStyle name="Followed Hyperlink" xfId="29854" builtinId="9" hidden="1"/>
    <cellStyle name="Followed Hyperlink" xfId="29855" builtinId="9" hidden="1"/>
    <cellStyle name="Followed Hyperlink" xfId="29856" builtinId="9" hidden="1"/>
    <cellStyle name="Followed Hyperlink" xfId="29857" builtinId="9" hidden="1"/>
    <cellStyle name="Followed Hyperlink" xfId="29858" builtinId="9" hidden="1"/>
    <cellStyle name="Followed Hyperlink" xfId="29859" builtinId="9" hidden="1"/>
    <cellStyle name="Followed Hyperlink" xfId="29860" builtinId="9" hidden="1"/>
    <cellStyle name="Followed Hyperlink" xfId="29861" builtinId="9" hidden="1"/>
    <cellStyle name="Followed Hyperlink" xfId="29862" builtinId="9" hidden="1"/>
    <cellStyle name="Followed Hyperlink" xfId="29863" builtinId="9" hidden="1"/>
    <cellStyle name="Followed Hyperlink" xfId="29864" builtinId="9" hidden="1"/>
    <cellStyle name="Followed Hyperlink" xfId="29865" builtinId="9" hidden="1"/>
    <cellStyle name="Followed Hyperlink" xfId="29866" builtinId="9" hidden="1"/>
    <cellStyle name="Followed Hyperlink" xfId="29867" builtinId="9" hidden="1"/>
    <cellStyle name="Followed Hyperlink" xfId="29868" builtinId="9" hidden="1"/>
    <cellStyle name="Followed Hyperlink" xfId="29869" builtinId="9" hidden="1"/>
    <cellStyle name="Followed Hyperlink" xfId="29870" builtinId="9" hidden="1"/>
    <cellStyle name="Followed Hyperlink" xfId="29871" builtinId="9" hidden="1"/>
    <cellStyle name="Followed Hyperlink" xfId="29872" builtinId="9" hidden="1"/>
    <cellStyle name="Followed Hyperlink" xfId="29873" builtinId="9" hidden="1"/>
    <cellStyle name="Followed Hyperlink" xfId="29874" builtinId="9" hidden="1"/>
    <cellStyle name="Followed Hyperlink" xfId="29875" builtinId="9" hidden="1"/>
    <cellStyle name="Followed Hyperlink" xfId="29876" builtinId="9" hidden="1"/>
    <cellStyle name="Followed Hyperlink" xfId="29877" builtinId="9" hidden="1"/>
    <cellStyle name="Followed Hyperlink" xfId="29878" builtinId="9" hidden="1"/>
    <cellStyle name="Followed Hyperlink" xfId="29879" builtinId="9" hidden="1"/>
    <cellStyle name="Followed Hyperlink" xfId="29880" builtinId="9" hidden="1"/>
    <cellStyle name="Followed Hyperlink" xfId="29715" builtinId="9" hidden="1"/>
    <cellStyle name="Followed Hyperlink" xfId="29841" builtinId="9" hidden="1"/>
    <cellStyle name="Followed Hyperlink" xfId="29882" builtinId="9" hidden="1"/>
    <cellStyle name="Followed Hyperlink" xfId="29883" builtinId="9" hidden="1"/>
    <cellStyle name="Followed Hyperlink" xfId="29884" builtinId="9" hidden="1"/>
    <cellStyle name="Followed Hyperlink" xfId="29885" builtinId="9" hidden="1"/>
    <cellStyle name="Followed Hyperlink" xfId="29886" builtinId="9" hidden="1"/>
    <cellStyle name="Followed Hyperlink" xfId="29887" builtinId="9" hidden="1"/>
    <cellStyle name="Followed Hyperlink" xfId="29888" builtinId="9" hidden="1"/>
    <cellStyle name="Followed Hyperlink" xfId="29889" builtinId="9" hidden="1"/>
    <cellStyle name="Followed Hyperlink" xfId="29890" builtinId="9" hidden="1"/>
    <cellStyle name="Followed Hyperlink" xfId="29891" builtinId="9" hidden="1"/>
    <cellStyle name="Followed Hyperlink" xfId="29892" builtinId="9" hidden="1"/>
    <cellStyle name="Followed Hyperlink" xfId="29893" builtinId="9" hidden="1"/>
    <cellStyle name="Followed Hyperlink" xfId="29894" builtinId="9" hidden="1"/>
    <cellStyle name="Followed Hyperlink" xfId="29895" builtinId="9" hidden="1"/>
    <cellStyle name="Followed Hyperlink" xfId="29896" builtinId="9" hidden="1"/>
    <cellStyle name="Followed Hyperlink" xfId="29897" builtinId="9" hidden="1"/>
    <cellStyle name="Followed Hyperlink" xfId="29898" builtinId="9" hidden="1"/>
    <cellStyle name="Followed Hyperlink" xfId="29899" builtinId="9" hidden="1"/>
    <cellStyle name="Followed Hyperlink" xfId="29900" builtinId="9" hidden="1"/>
    <cellStyle name="Followed Hyperlink" xfId="29901" builtinId="9" hidden="1"/>
    <cellStyle name="Followed Hyperlink" xfId="29902" builtinId="9" hidden="1"/>
    <cellStyle name="Followed Hyperlink" xfId="29903" builtinId="9" hidden="1"/>
    <cellStyle name="Followed Hyperlink" xfId="29904" builtinId="9" hidden="1"/>
    <cellStyle name="Followed Hyperlink" xfId="29905" builtinId="9" hidden="1"/>
    <cellStyle name="Followed Hyperlink" xfId="29906" builtinId="9" hidden="1"/>
    <cellStyle name="Followed Hyperlink" xfId="29907" builtinId="9" hidden="1"/>
    <cellStyle name="Followed Hyperlink" xfId="29908" builtinId="9" hidden="1"/>
    <cellStyle name="Followed Hyperlink" xfId="29909" builtinId="9" hidden="1"/>
    <cellStyle name="Followed Hyperlink" xfId="29910" builtinId="9" hidden="1"/>
    <cellStyle name="Followed Hyperlink" xfId="29911" builtinId="9" hidden="1"/>
    <cellStyle name="Followed Hyperlink" xfId="29912" builtinId="9" hidden="1"/>
    <cellStyle name="Followed Hyperlink" xfId="29913" builtinId="9" hidden="1"/>
    <cellStyle name="Followed Hyperlink" xfId="29914" builtinId="9" hidden="1"/>
    <cellStyle name="Followed Hyperlink" xfId="29915" builtinId="9" hidden="1"/>
    <cellStyle name="Followed Hyperlink" xfId="29916" builtinId="9" hidden="1"/>
    <cellStyle name="Followed Hyperlink" xfId="29917" builtinId="9" hidden="1"/>
    <cellStyle name="Followed Hyperlink" xfId="29918" builtinId="9" hidden="1"/>
    <cellStyle name="Followed Hyperlink" xfId="29919" builtinId="9" hidden="1"/>
    <cellStyle name="Followed Hyperlink" xfId="29920" builtinId="9" hidden="1"/>
    <cellStyle name="Followed Hyperlink" xfId="29717" builtinId="9" hidden="1"/>
    <cellStyle name="Followed Hyperlink" xfId="29881" builtinId="9" hidden="1"/>
    <cellStyle name="Followed Hyperlink" xfId="29922" builtinId="9" hidden="1"/>
    <cellStyle name="Followed Hyperlink" xfId="29923" builtinId="9" hidden="1"/>
    <cellStyle name="Followed Hyperlink" xfId="29924" builtinId="9" hidden="1"/>
    <cellStyle name="Followed Hyperlink" xfId="29925" builtinId="9" hidden="1"/>
    <cellStyle name="Followed Hyperlink" xfId="29926" builtinId="9" hidden="1"/>
    <cellStyle name="Followed Hyperlink" xfId="29927" builtinId="9" hidden="1"/>
    <cellStyle name="Followed Hyperlink" xfId="29928" builtinId="9" hidden="1"/>
    <cellStyle name="Followed Hyperlink" xfId="29929" builtinId="9" hidden="1"/>
    <cellStyle name="Followed Hyperlink" xfId="29930" builtinId="9" hidden="1"/>
    <cellStyle name="Followed Hyperlink" xfId="29931" builtinId="9" hidden="1"/>
    <cellStyle name="Followed Hyperlink" xfId="29932" builtinId="9" hidden="1"/>
    <cellStyle name="Followed Hyperlink" xfId="29933" builtinId="9" hidden="1"/>
    <cellStyle name="Followed Hyperlink" xfId="29934" builtinId="9" hidden="1"/>
    <cellStyle name="Followed Hyperlink" xfId="29935" builtinId="9" hidden="1"/>
    <cellStyle name="Followed Hyperlink" xfId="29936" builtinId="9" hidden="1"/>
    <cellStyle name="Followed Hyperlink" xfId="29937" builtinId="9" hidden="1"/>
    <cellStyle name="Followed Hyperlink" xfId="29938" builtinId="9" hidden="1"/>
    <cellStyle name="Followed Hyperlink" xfId="29939" builtinId="9" hidden="1"/>
    <cellStyle name="Followed Hyperlink" xfId="29940" builtinId="9" hidden="1"/>
    <cellStyle name="Followed Hyperlink" xfId="29941" builtinId="9" hidden="1"/>
    <cellStyle name="Followed Hyperlink" xfId="29942" builtinId="9" hidden="1"/>
    <cellStyle name="Followed Hyperlink" xfId="29943" builtinId="9" hidden="1"/>
    <cellStyle name="Followed Hyperlink" xfId="29944" builtinId="9" hidden="1"/>
    <cellStyle name="Followed Hyperlink" xfId="29945" builtinId="9" hidden="1"/>
    <cellStyle name="Followed Hyperlink" xfId="29946" builtinId="9" hidden="1"/>
    <cellStyle name="Followed Hyperlink" xfId="29947" builtinId="9" hidden="1"/>
    <cellStyle name="Followed Hyperlink" xfId="29948" builtinId="9" hidden="1"/>
    <cellStyle name="Followed Hyperlink" xfId="29949" builtinId="9" hidden="1"/>
    <cellStyle name="Followed Hyperlink" xfId="29950" builtinId="9" hidden="1"/>
    <cellStyle name="Followed Hyperlink" xfId="29951" builtinId="9" hidden="1"/>
    <cellStyle name="Followed Hyperlink" xfId="29952" builtinId="9" hidden="1"/>
    <cellStyle name="Followed Hyperlink" xfId="29953" builtinId="9" hidden="1"/>
    <cellStyle name="Followed Hyperlink" xfId="29954" builtinId="9" hidden="1"/>
    <cellStyle name="Followed Hyperlink" xfId="29955" builtinId="9" hidden="1"/>
    <cellStyle name="Followed Hyperlink" xfId="29956" builtinId="9" hidden="1"/>
    <cellStyle name="Followed Hyperlink" xfId="29957" builtinId="9" hidden="1"/>
    <cellStyle name="Followed Hyperlink" xfId="29958" builtinId="9" hidden="1"/>
    <cellStyle name="Followed Hyperlink" xfId="29959" builtinId="9" hidden="1"/>
    <cellStyle name="Followed Hyperlink" xfId="29960" builtinId="9" hidden="1"/>
    <cellStyle name="Followed Hyperlink" xfId="29711" builtinId="9" hidden="1"/>
    <cellStyle name="Followed Hyperlink" xfId="29921" builtinId="9" hidden="1"/>
    <cellStyle name="Followed Hyperlink" xfId="29962" builtinId="9" hidden="1"/>
    <cellStyle name="Followed Hyperlink" xfId="29963" builtinId="9" hidden="1"/>
    <cellStyle name="Followed Hyperlink" xfId="29964" builtinId="9" hidden="1"/>
    <cellStyle name="Followed Hyperlink" xfId="29965" builtinId="9" hidden="1"/>
    <cellStyle name="Followed Hyperlink" xfId="29966" builtinId="9" hidden="1"/>
    <cellStyle name="Followed Hyperlink" xfId="29967" builtinId="9" hidden="1"/>
    <cellStyle name="Followed Hyperlink" xfId="29968" builtinId="9" hidden="1"/>
    <cellStyle name="Followed Hyperlink" xfId="29969" builtinId="9" hidden="1"/>
    <cellStyle name="Followed Hyperlink" xfId="29970" builtinId="9" hidden="1"/>
    <cellStyle name="Followed Hyperlink" xfId="29971" builtinId="9" hidden="1"/>
    <cellStyle name="Followed Hyperlink" xfId="29972" builtinId="9" hidden="1"/>
    <cellStyle name="Followed Hyperlink" xfId="29973" builtinId="9" hidden="1"/>
    <cellStyle name="Followed Hyperlink" xfId="29974" builtinId="9" hidden="1"/>
    <cellStyle name="Followed Hyperlink" xfId="29975" builtinId="9" hidden="1"/>
    <cellStyle name="Followed Hyperlink" xfId="29976" builtinId="9" hidden="1"/>
    <cellStyle name="Followed Hyperlink" xfId="29977" builtinId="9" hidden="1"/>
    <cellStyle name="Followed Hyperlink" xfId="29978" builtinId="9" hidden="1"/>
    <cellStyle name="Followed Hyperlink" xfId="29979" builtinId="9" hidden="1"/>
    <cellStyle name="Followed Hyperlink" xfId="29980" builtinId="9" hidden="1"/>
    <cellStyle name="Followed Hyperlink" xfId="29981" builtinId="9" hidden="1"/>
    <cellStyle name="Followed Hyperlink" xfId="29982" builtinId="9" hidden="1"/>
    <cellStyle name="Followed Hyperlink" xfId="29983" builtinId="9" hidden="1"/>
    <cellStyle name="Followed Hyperlink" xfId="29984" builtinId="9" hidden="1"/>
    <cellStyle name="Followed Hyperlink" xfId="29985" builtinId="9" hidden="1"/>
    <cellStyle name="Followed Hyperlink" xfId="29986" builtinId="9" hidden="1"/>
    <cellStyle name="Followed Hyperlink" xfId="29987" builtinId="9" hidden="1"/>
    <cellStyle name="Followed Hyperlink" xfId="29988" builtinId="9" hidden="1"/>
    <cellStyle name="Followed Hyperlink" xfId="29989" builtinId="9" hidden="1"/>
    <cellStyle name="Followed Hyperlink" xfId="29990" builtinId="9" hidden="1"/>
    <cellStyle name="Followed Hyperlink" xfId="29991" builtinId="9" hidden="1"/>
    <cellStyle name="Followed Hyperlink" xfId="29992" builtinId="9" hidden="1"/>
    <cellStyle name="Followed Hyperlink" xfId="29993" builtinId="9" hidden="1"/>
    <cellStyle name="Followed Hyperlink" xfId="29994" builtinId="9" hidden="1"/>
    <cellStyle name="Followed Hyperlink" xfId="29995" builtinId="9" hidden="1"/>
    <cellStyle name="Followed Hyperlink" xfId="29996" builtinId="9" hidden="1"/>
    <cellStyle name="Followed Hyperlink" xfId="29997" builtinId="9" hidden="1"/>
    <cellStyle name="Followed Hyperlink" xfId="29998" builtinId="9" hidden="1"/>
    <cellStyle name="Followed Hyperlink" xfId="29999" builtinId="9" hidden="1"/>
    <cellStyle name="Followed Hyperlink" xfId="30000" builtinId="9" hidden="1"/>
    <cellStyle name="Followed Hyperlink" xfId="29713" builtinId="9" hidden="1"/>
    <cellStyle name="Followed Hyperlink" xfId="29961" builtinId="9" hidden="1"/>
    <cellStyle name="Followed Hyperlink" xfId="30002" builtinId="9" hidden="1"/>
    <cellStyle name="Followed Hyperlink" xfId="30003" builtinId="9" hidden="1"/>
    <cellStyle name="Followed Hyperlink" xfId="30004" builtinId="9" hidden="1"/>
    <cellStyle name="Followed Hyperlink" xfId="30005" builtinId="9" hidden="1"/>
    <cellStyle name="Followed Hyperlink" xfId="30006" builtinId="9" hidden="1"/>
    <cellStyle name="Followed Hyperlink" xfId="30007" builtinId="9" hidden="1"/>
    <cellStyle name="Followed Hyperlink" xfId="30008" builtinId="9" hidden="1"/>
    <cellStyle name="Followed Hyperlink" xfId="30009" builtinId="9" hidden="1"/>
    <cellStyle name="Followed Hyperlink" xfId="30010" builtinId="9" hidden="1"/>
    <cellStyle name="Followed Hyperlink" xfId="30011" builtinId="9" hidden="1"/>
    <cellStyle name="Followed Hyperlink" xfId="30012" builtinId="9" hidden="1"/>
    <cellStyle name="Followed Hyperlink" xfId="30013" builtinId="9" hidden="1"/>
    <cellStyle name="Followed Hyperlink" xfId="30014" builtinId="9" hidden="1"/>
    <cellStyle name="Followed Hyperlink" xfId="30015" builtinId="9" hidden="1"/>
    <cellStyle name="Followed Hyperlink" xfId="30016" builtinId="9" hidden="1"/>
    <cellStyle name="Followed Hyperlink" xfId="30017" builtinId="9" hidden="1"/>
    <cellStyle name="Followed Hyperlink" xfId="30018" builtinId="9" hidden="1"/>
    <cellStyle name="Followed Hyperlink" xfId="30019" builtinId="9" hidden="1"/>
    <cellStyle name="Followed Hyperlink" xfId="30020" builtinId="9" hidden="1"/>
    <cellStyle name="Followed Hyperlink" xfId="30021" builtinId="9" hidden="1"/>
    <cellStyle name="Followed Hyperlink" xfId="30022" builtinId="9" hidden="1"/>
    <cellStyle name="Followed Hyperlink" xfId="30023" builtinId="9" hidden="1"/>
    <cellStyle name="Followed Hyperlink" xfId="30024" builtinId="9" hidden="1"/>
    <cellStyle name="Followed Hyperlink" xfId="30025" builtinId="9" hidden="1"/>
    <cellStyle name="Followed Hyperlink" xfId="30026" builtinId="9" hidden="1"/>
    <cellStyle name="Followed Hyperlink" xfId="30027" builtinId="9" hidden="1"/>
    <cellStyle name="Followed Hyperlink" xfId="30028" builtinId="9" hidden="1"/>
    <cellStyle name="Followed Hyperlink" xfId="30029" builtinId="9" hidden="1"/>
    <cellStyle name="Followed Hyperlink" xfId="30030" builtinId="9" hidden="1"/>
    <cellStyle name="Followed Hyperlink" xfId="30031" builtinId="9" hidden="1"/>
    <cellStyle name="Followed Hyperlink" xfId="30032" builtinId="9" hidden="1"/>
    <cellStyle name="Followed Hyperlink" xfId="30033" builtinId="9" hidden="1"/>
    <cellStyle name="Followed Hyperlink" xfId="30034" builtinId="9" hidden="1"/>
    <cellStyle name="Followed Hyperlink" xfId="30035" builtinId="9" hidden="1"/>
    <cellStyle name="Followed Hyperlink" xfId="30036" builtinId="9" hidden="1"/>
    <cellStyle name="Followed Hyperlink" xfId="30037" builtinId="9" hidden="1"/>
    <cellStyle name="Followed Hyperlink" xfId="30038" builtinId="9" hidden="1"/>
    <cellStyle name="Followed Hyperlink" xfId="30039" builtinId="9" hidden="1"/>
    <cellStyle name="Followed Hyperlink" xfId="30040" builtinId="9" hidden="1"/>
    <cellStyle name="Followed Hyperlink" xfId="29714" builtinId="9" hidden="1"/>
    <cellStyle name="Followed Hyperlink" xfId="30001" builtinId="9" hidden="1"/>
    <cellStyle name="Followed Hyperlink" xfId="30042" builtinId="9" hidden="1"/>
    <cellStyle name="Followed Hyperlink" xfId="30043" builtinId="9" hidden="1"/>
    <cellStyle name="Followed Hyperlink" xfId="30044" builtinId="9" hidden="1"/>
    <cellStyle name="Followed Hyperlink" xfId="30045" builtinId="9" hidden="1"/>
    <cellStyle name="Followed Hyperlink" xfId="30046" builtinId="9" hidden="1"/>
    <cellStyle name="Followed Hyperlink" xfId="30047" builtinId="9" hidden="1"/>
    <cellStyle name="Followed Hyperlink" xfId="30048" builtinId="9" hidden="1"/>
    <cellStyle name="Followed Hyperlink" xfId="30049" builtinId="9" hidden="1"/>
    <cellStyle name="Followed Hyperlink" xfId="30050" builtinId="9" hidden="1"/>
    <cellStyle name="Followed Hyperlink" xfId="30051" builtinId="9" hidden="1"/>
    <cellStyle name="Followed Hyperlink" xfId="30052" builtinId="9" hidden="1"/>
    <cellStyle name="Followed Hyperlink" xfId="30053" builtinId="9" hidden="1"/>
    <cellStyle name="Followed Hyperlink" xfId="30054" builtinId="9" hidden="1"/>
    <cellStyle name="Followed Hyperlink" xfId="30055" builtinId="9" hidden="1"/>
    <cellStyle name="Followed Hyperlink" xfId="30056" builtinId="9" hidden="1"/>
    <cellStyle name="Followed Hyperlink" xfId="30057" builtinId="9" hidden="1"/>
    <cellStyle name="Followed Hyperlink" xfId="30058" builtinId="9" hidden="1"/>
    <cellStyle name="Followed Hyperlink" xfId="30059" builtinId="9" hidden="1"/>
    <cellStyle name="Followed Hyperlink" xfId="30060" builtinId="9" hidden="1"/>
    <cellStyle name="Followed Hyperlink" xfId="30061" builtinId="9" hidden="1"/>
    <cellStyle name="Followed Hyperlink" xfId="30062" builtinId="9" hidden="1"/>
    <cellStyle name="Followed Hyperlink" xfId="30063" builtinId="9" hidden="1"/>
    <cellStyle name="Followed Hyperlink" xfId="30064" builtinId="9" hidden="1"/>
    <cellStyle name="Followed Hyperlink" xfId="30065" builtinId="9" hidden="1"/>
    <cellStyle name="Followed Hyperlink" xfId="30066" builtinId="9" hidden="1"/>
    <cellStyle name="Followed Hyperlink" xfId="30067" builtinId="9" hidden="1"/>
    <cellStyle name="Followed Hyperlink" xfId="30068" builtinId="9" hidden="1"/>
    <cellStyle name="Followed Hyperlink" xfId="30069" builtinId="9" hidden="1"/>
    <cellStyle name="Followed Hyperlink" xfId="30070" builtinId="9" hidden="1"/>
    <cellStyle name="Followed Hyperlink" xfId="30071" builtinId="9" hidden="1"/>
    <cellStyle name="Followed Hyperlink" xfId="30072" builtinId="9" hidden="1"/>
    <cellStyle name="Followed Hyperlink" xfId="30073" builtinId="9" hidden="1"/>
    <cellStyle name="Followed Hyperlink" xfId="30074" builtinId="9" hidden="1"/>
    <cellStyle name="Followed Hyperlink" xfId="30075" builtinId="9" hidden="1"/>
    <cellStyle name="Followed Hyperlink" xfId="30076" builtinId="9" hidden="1"/>
    <cellStyle name="Followed Hyperlink" xfId="30077" builtinId="9" hidden="1"/>
    <cellStyle name="Followed Hyperlink" xfId="30078" builtinId="9" hidden="1"/>
    <cellStyle name="Followed Hyperlink" xfId="30079" builtinId="9" hidden="1"/>
    <cellStyle name="Followed Hyperlink" xfId="30080" builtinId="9" hidden="1"/>
    <cellStyle name="Followed Hyperlink" xfId="29716" builtinId="9" hidden="1"/>
    <cellStyle name="Followed Hyperlink" xfId="30041" builtinId="9" hidden="1"/>
    <cellStyle name="Followed Hyperlink" xfId="30082" builtinId="9" hidden="1"/>
    <cellStyle name="Followed Hyperlink" xfId="30083" builtinId="9" hidden="1"/>
    <cellStyle name="Followed Hyperlink" xfId="30084" builtinId="9" hidden="1"/>
    <cellStyle name="Followed Hyperlink" xfId="30085" builtinId="9" hidden="1"/>
    <cellStyle name="Followed Hyperlink" xfId="30086" builtinId="9" hidden="1"/>
    <cellStyle name="Followed Hyperlink" xfId="30087" builtinId="9" hidden="1"/>
    <cellStyle name="Followed Hyperlink" xfId="30088" builtinId="9" hidden="1"/>
    <cellStyle name="Followed Hyperlink" xfId="30089" builtinId="9" hidden="1"/>
    <cellStyle name="Followed Hyperlink" xfId="30090" builtinId="9" hidden="1"/>
    <cellStyle name="Followed Hyperlink" xfId="30091" builtinId="9" hidden="1"/>
    <cellStyle name="Followed Hyperlink" xfId="30092" builtinId="9" hidden="1"/>
    <cellStyle name="Followed Hyperlink" xfId="30093" builtinId="9" hidden="1"/>
    <cellStyle name="Followed Hyperlink" xfId="30094" builtinId="9" hidden="1"/>
    <cellStyle name="Followed Hyperlink" xfId="30095" builtinId="9" hidden="1"/>
    <cellStyle name="Followed Hyperlink" xfId="30096" builtinId="9" hidden="1"/>
    <cellStyle name="Followed Hyperlink" xfId="30097" builtinId="9" hidden="1"/>
    <cellStyle name="Followed Hyperlink" xfId="30098" builtinId="9" hidden="1"/>
    <cellStyle name="Followed Hyperlink" xfId="30099" builtinId="9" hidden="1"/>
    <cellStyle name="Followed Hyperlink" xfId="30100" builtinId="9" hidden="1"/>
    <cellStyle name="Followed Hyperlink" xfId="30101" builtinId="9" hidden="1"/>
    <cellStyle name="Followed Hyperlink" xfId="30102" builtinId="9" hidden="1"/>
    <cellStyle name="Followed Hyperlink" xfId="30103" builtinId="9" hidden="1"/>
    <cellStyle name="Followed Hyperlink" xfId="30104" builtinId="9" hidden="1"/>
    <cellStyle name="Followed Hyperlink" xfId="30105" builtinId="9" hidden="1"/>
    <cellStyle name="Followed Hyperlink" xfId="30106" builtinId="9" hidden="1"/>
    <cellStyle name="Followed Hyperlink" xfId="30107" builtinId="9" hidden="1"/>
    <cellStyle name="Followed Hyperlink" xfId="30108" builtinId="9" hidden="1"/>
    <cellStyle name="Followed Hyperlink" xfId="30109" builtinId="9" hidden="1"/>
    <cellStyle name="Followed Hyperlink" xfId="30110" builtinId="9" hidden="1"/>
    <cellStyle name="Followed Hyperlink" xfId="30111" builtinId="9" hidden="1"/>
    <cellStyle name="Followed Hyperlink" xfId="30112" builtinId="9" hidden="1"/>
    <cellStyle name="Followed Hyperlink" xfId="30113" builtinId="9" hidden="1"/>
    <cellStyle name="Followed Hyperlink" xfId="30114" builtinId="9" hidden="1"/>
    <cellStyle name="Followed Hyperlink" xfId="30115" builtinId="9" hidden="1"/>
    <cellStyle name="Followed Hyperlink" xfId="30116" builtinId="9" hidden="1"/>
    <cellStyle name="Followed Hyperlink" xfId="30117" builtinId="9" hidden="1"/>
    <cellStyle name="Followed Hyperlink" xfId="30118" builtinId="9" hidden="1"/>
    <cellStyle name="Followed Hyperlink" xfId="30119" builtinId="9" hidden="1"/>
    <cellStyle name="Followed Hyperlink" xfId="30120" builtinId="9" hidden="1"/>
    <cellStyle name="Followed Hyperlink" xfId="29712" builtinId="9" hidden="1"/>
    <cellStyle name="Followed Hyperlink" xfId="30081" builtinId="9" hidden="1"/>
    <cellStyle name="Followed Hyperlink" xfId="30121" builtinId="9" hidden="1"/>
    <cellStyle name="Followed Hyperlink" xfId="30122" builtinId="9" hidden="1"/>
    <cellStyle name="Followed Hyperlink" xfId="30123" builtinId="9" hidden="1"/>
    <cellStyle name="Followed Hyperlink" xfId="30124" builtinId="9" hidden="1"/>
    <cellStyle name="Followed Hyperlink" xfId="30125" builtinId="9" hidden="1"/>
    <cellStyle name="Followed Hyperlink" xfId="30126" builtinId="9" hidden="1"/>
    <cellStyle name="Followed Hyperlink" xfId="30127" builtinId="9" hidden="1"/>
    <cellStyle name="Followed Hyperlink" xfId="30128" builtinId="9" hidden="1"/>
    <cellStyle name="Followed Hyperlink" xfId="30129" builtinId="9" hidden="1"/>
    <cellStyle name="Followed Hyperlink" xfId="30130" builtinId="9" hidden="1"/>
    <cellStyle name="Followed Hyperlink" xfId="30131" builtinId="9" hidden="1"/>
    <cellStyle name="Followed Hyperlink" xfId="30132" builtinId="9" hidden="1"/>
    <cellStyle name="Followed Hyperlink" xfId="30133" builtinId="9" hidden="1"/>
    <cellStyle name="Followed Hyperlink" xfId="30134" builtinId="9" hidden="1"/>
    <cellStyle name="Followed Hyperlink" xfId="30135" builtinId="9" hidden="1"/>
    <cellStyle name="Followed Hyperlink" xfId="30136" builtinId="9" hidden="1"/>
    <cellStyle name="Followed Hyperlink" xfId="30137" builtinId="9" hidden="1"/>
    <cellStyle name="Followed Hyperlink" xfId="30138" builtinId="9" hidden="1"/>
    <cellStyle name="Followed Hyperlink" xfId="30139" builtinId="9" hidden="1"/>
    <cellStyle name="Followed Hyperlink" xfId="30140" builtinId="9" hidden="1"/>
    <cellStyle name="Followed Hyperlink" xfId="30141" builtinId="9" hidden="1"/>
    <cellStyle name="Followed Hyperlink" xfId="30142" builtinId="9" hidden="1"/>
    <cellStyle name="Followed Hyperlink" xfId="30143" builtinId="9" hidden="1"/>
    <cellStyle name="Followed Hyperlink" xfId="30144" builtinId="9" hidden="1"/>
    <cellStyle name="Followed Hyperlink" xfId="30145" builtinId="9" hidden="1"/>
    <cellStyle name="Followed Hyperlink" xfId="30146" builtinId="9" hidden="1"/>
    <cellStyle name="Followed Hyperlink" xfId="30147" builtinId="9" hidden="1"/>
    <cellStyle name="Followed Hyperlink" xfId="30148" builtinId="9" hidden="1"/>
    <cellStyle name="Followed Hyperlink" xfId="30149" builtinId="9" hidden="1"/>
    <cellStyle name="Followed Hyperlink" xfId="30150" builtinId="9" hidden="1"/>
    <cellStyle name="Followed Hyperlink" xfId="30151" builtinId="9" hidden="1"/>
    <cellStyle name="Followed Hyperlink" xfId="30152" builtinId="9" hidden="1"/>
    <cellStyle name="Followed Hyperlink" xfId="30153" builtinId="9" hidden="1"/>
    <cellStyle name="Followed Hyperlink" xfId="30154" builtinId="9" hidden="1"/>
    <cellStyle name="Followed Hyperlink" xfId="30155" builtinId="9" hidden="1"/>
    <cellStyle name="Followed Hyperlink" xfId="30156" builtinId="9" hidden="1"/>
    <cellStyle name="Followed Hyperlink" xfId="30157" builtinId="9" hidden="1"/>
    <cellStyle name="Followed Hyperlink" xfId="30158" builtinId="9" hidden="1"/>
    <cellStyle name="Followed Hyperlink" xfId="30159" builtinId="9" hidden="1"/>
    <cellStyle name="Followed Hyperlink" xfId="24539" builtinId="9" hidden="1"/>
    <cellStyle name="Followed Hyperlink" xfId="19419" builtinId="9" hidden="1"/>
    <cellStyle name="Followed Hyperlink" xfId="18692" builtinId="9" hidden="1"/>
    <cellStyle name="Followed Hyperlink" xfId="18563" builtinId="9" hidden="1"/>
    <cellStyle name="Followed Hyperlink" xfId="24134" builtinId="9" hidden="1"/>
    <cellStyle name="Followed Hyperlink" xfId="19015" builtinId="9" hidden="1"/>
    <cellStyle name="Followed Hyperlink" xfId="24709" builtinId="9" hidden="1"/>
    <cellStyle name="Followed Hyperlink" xfId="19588" builtinId="9" hidden="1"/>
    <cellStyle name="Followed Hyperlink" xfId="24283" builtinId="9" hidden="1"/>
    <cellStyle name="Followed Hyperlink" xfId="19163" builtinId="9" hidden="1"/>
    <cellStyle name="Followed Hyperlink" xfId="18863" builtinId="9" hidden="1"/>
    <cellStyle name="Followed Hyperlink" xfId="24581" builtinId="9" hidden="1"/>
    <cellStyle name="Followed Hyperlink" xfId="19461" builtinId="9" hidden="1"/>
    <cellStyle name="Followed Hyperlink" xfId="18739" builtinId="9" hidden="1"/>
    <cellStyle name="Followed Hyperlink" xfId="24506" builtinId="9" hidden="1"/>
    <cellStyle name="Followed Hyperlink" xfId="19386" builtinId="9" hidden="1"/>
    <cellStyle name="Followed Hyperlink" xfId="18659" builtinId="9" hidden="1"/>
    <cellStyle name="Followed Hyperlink" xfId="24399" builtinId="9" hidden="1"/>
    <cellStyle name="Followed Hyperlink" xfId="19279" builtinId="9" hidden="1"/>
    <cellStyle name="Followed Hyperlink" xfId="18530" builtinId="9" hidden="1"/>
    <cellStyle name="Followed Hyperlink" xfId="18413" builtinId="9" hidden="1"/>
    <cellStyle name="Followed Hyperlink" xfId="24101" builtinId="9" hidden="1"/>
    <cellStyle name="Followed Hyperlink" xfId="18380" builtinId="9" hidden="1"/>
    <cellStyle name="Followed Hyperlink" xfId="24217" builtinId="9" hidden="1"/>
    <cellStyle name="Followed Hyperlink" xfId="19097" builtinId="9" hidden="1"/>
    <cellStyle name="Followed Hyperlink" xfId="18618" builtinId="9" hidden="1"/>
    <cellStyle name="Followed Hyperlink" xfId="24292" builtinId="9" hidden="1"/>
    <cellStyle name="Followed Hyperlink" xfId="19172" builtinId="9" hidden="1"/>
    <cellStyle name="Followed Hyperlink" xfId="18422" builtinId="9" hidden="1"/>
    <cellStyle name="Followed Hyperlink" xfId="24333" builtinId="9" hidden="1"/>
    <cellStyle name="Followed Hyperlink" xfId="19213" builtinId="9" hidden="1"/>
    <cellStyle name="Followed Hyperlink" xfId="18464" builtinId="9" hidden="1"/>
    <cellStyle name="Followed Hyperlink" xfId="24174" builtinId="9" hidden="1"/>
    <cellStyle name="Followed Hyperlink" xfId="19054" builtinId="9" hidden="1"/>
    <cellStyle name="Followed Hyperlink" xfId="24748" builtinId="9" hidden="1"/>
    <cellStyle name="Followed Hyperlink" xfId="19626" builtinId="9" hidden="1"/>
    <cellStyle name="Followed Hyperlink" xfId="24439" builtinId="9" hidden="1"/>
    <cellStyle name="Followed Hyperlink" xfId="19319" builtinId="9" hidden="1"/>
    <cellStyle name="Followed Hyperlink" xfId="18903" builtinId="9" hidden="1"/>
    <cellStyle name="Followed Hyperlink" xfId="24622" builtinId="9" hidden="1"/>
    <cellStyle name="Followed Hyperlink" xfId="19501" builtinId="9" hidden="1"/>
    <cellStyle name="Followed Hyperlink" xfId="18770" builtinId="9" hidden="1"/>
    <cellStyle name="Followed Hyperlink" xfId="24537" builtinId="9" hidden="1"/>
    <cellStyle name="Followed Hyperlink" xfId="19417" builtinId="9" hidden="1"/>
    <cellStyle name="Followed Hyperlink" xfId="18690" builtinId="9" hidden="1"/>
    <cellStyle name="Followed Hyperlink" xfId="18561" builtinId="9" hidden="1"/>
    <cellStyle name="Followed Hyperlink" xfId="24132" builtinId="9" hidden="1"/>
    <cellStyle name="Followed Hyperlink" xfId="19013" builtinId="9" hidden="1"/>
    <cellStyle name="Followed Hyperlink" xfId="24707" builtinId="9" hidden="1"/>
    <cellStyle name="Followed Hyperlink" xfId="19586" builtinId="9" hidden="1"/>
    <cellStyle name="Followed Hyperlink" xfId="24281" builtinId="9" hidden="1"/>
    <cellStyle name="Followed Hyperlink" xfId="19161" builtinId="9" hidden="1"/>
    <cellStyle name="Followed Hyperlink" xfId="18861" builtinId="9" hidden="1"/>
    <cellStyle name="Followed Hyperlink" xfId="24579" builtinId="9" hidden="1"/>
    <cellStyle name="Followed Hyperlink" xfId="19459" builtinId="9" hidden="1"/>
    <cellStyle name="Followed Hyperlink" xfId="18737" builtinId="9" hidden="1"/>
    <cellStyle name="Followed Hyperlink" xfId="24504" builtinId="9" hidden="1"/>
    <cellStyle name="Followed Hyperlink" xfId="19384" builtinId="9" hidden="1"/>
    <cellStyle name="Followed Hyperlink" xfId="18657" builtinId="9" hidden="1"/>
    <cellStyle name="Followed Hyperlink" xfId="24397" builtinId="9" hidden="1"/>
    <cellStyle name="Followed Hyperlink" xfId="19277" builtinId="9" hidden="1"/>
    <cellStyle name="Followed Hyperlink" xfId="18528" builtinId="9" hidden="1"/>
    <cellStyle name="Followed Hyperlink" xfId="18411" builtinId="9" hidden="1"/>
    <cellStyle name="Followed Hyperlink" xfId="24099" builtinId="9" hidden="1"/>
    <cellStyle name="Followed Hyperlink" xfId="18978" builtinId="9" hidden="1"/>
    <cellStyle name="Followed Hyperlink" xfId="24686" builtinId="9" hidden="1"/>
    <cellStyle name="Followed Hyperlink" xfId="19565" builtinId="9" hidden="1"/>
    <cellStyle name="Followed Hyperlink" xfId="24249" builtinId="9" hidden="1"/>
    <cellStyle name="Followed Hyperlink" xfId="19129" builtinId="9" hidden="1"/>
    <cellStyle name="Followed Hyperlink" xfId="18626" builtinId="9" hidden="1"/>
    <cellStyle name="Followed Hyperlink" xfId="24324" builtinId="9" hidden="1"/>
    <cellStyle name="Followed Hyperlink" xfId="19204" builtinId="9" hidden="1"/>
    <cellStyle name="Followed Hyperlink" xfId="18455" builtinId="9" hidden="1"/>
    <cellStyle name="Followed Hyperlink" xfId="24365" builtinId="9" hidden="1"/>
    <cellStyle name="Followed Hyperlink" xfId="19245" builtinId="9" hidden="1"/>
    <cellStyle name="Followed Hyperlink" xfId="18496" builtinId="9" hidden="1"/>
    <cellStyle name="Followed Hyperlink" xfId="24206" builtinId="9" hidden="1"/>
    <cellStyle name="Followed Hyperlink" xfId="19086" builtinId="9" hidden="1"/>
    <cellStyle name="Followed Hyperlink" xfId="24471" builtinId="9" hidden="1"/>
    <cellStyle name="Followed Hyperlink" xfId="19351" builtinId="9" hidden="1"/>
    <cellStyle name="Followed Hyperlink" xfId="18935" builtinId="9" hidden="1"/>
    <cellStyle name="Followed Hyperlink" xfId="24654" builtinId="9" hidden="1"/>
    <cellStyle name="Followed Hyperlink" xfId="19533" builtinId="9" hidden="1"/>
    <cellStyle name="Followed Hyperlink" xfId="18810" builtinId="9" hidden="1"/>
    <cellStyle name="Followed Hyperlink" xfId="24548" builtinId="9" hidden="1"/>
    <cellStyle name="Followed Hyperlink" xfId="19428" builtinId="9" hidden="1"/>
    <cellStyle name="Followed Hyperlink" xfId="18701" builtinId="9" hidden="1"/>
    <cellStyle name="Followed Hyperlink" xfId="18603" builtinId="9" hidden="1"/>
    <cellStyle name="Followed Hyperlink" xfId="18378" builtinId="9" hidden="1"/>
    <cellStyle name="Followed Hyperlink" xfId="18979" builtinId="9" hidden="1"/>
    <cellStyle name="Followed Hyperlink" xfId="24687" builtinId="9" hidden="1"/>
    <cellStyle name="Followed Hyperlink" xfId="19566" builtinId="9" hidden="1"/>
    <cellStyle name="Followed Hyperlink" xfId="24250" builtinId="9" hidden="1"/>
    <cellStyle name="Followed Hyperlink" xfId="19130" builtinId="9" hidden="1"/>
    <cellStyle name="Followed Hyperlink" xfId="18703" builtinId="9" hidden="1"/>
    <cellStyle name="Followed Hyperlink" xfId="24325" builtinId="9" hidden="1"/>
    <cellStyle name="Followed Hyperlink" xfId="19205" builtinId="9" hidden="1"/>
    <cellStyle name="Followed Hyperlink" xfId="18456" builtinId="9" hidden="1"/>
    <cellStyle name="Followed Hyperlink" xfId="24366" builtinId="9" hidden="1"/>
    <cellStyle name="Followed Hyperlink" xfId="19246" builtinId="9" hidden="1"/>
    <cellStyle name="Followed Hyperlink" xfId="18497" builtinId="9" hidden="1"/>
    <cellStyle name="Followed Hyperlink" xfId="24207" builtinId="9" hidden="1"/>
    <cellStyle name="Followed Hyperlink" xfId="19087" builtinId="9" hidden="1"/>
    <cellStyle name="Followed Hyperlink" xfId="24749" builtinId="9" hidden="1"/>
    <cellStyle name="Followed Hyperlink" xfId="19627" builtinId="9" hidden="1"/>
    <cellStyle name="Followed Hyperlink" xfId="24472" builtinId="9" hidden="1"/>
    <cellStyle name="Followed Hyperlink" xfId="19352" builtinId="9" hidden="1"/>
    <cellStyle name="Followed Hyperlink" xfId="18936" builtinId="9" hidden="1"/>
    <cellStyle name="Followed Hyperlink" xfId="24655" builtinId="9" hidden="1"/>
    <cellStyle name="Followed Hyperlink" xfId="19534" builtinId="9" hidden="1"/>
    <cellStyle name="Followed Hyperlink" xfId="18811" builtinId="9" hidden="1"/>
    <cellStyle name="Followed Hyperlink" xfId="18604" builtinId="9" hidden="1"/>
    <cellStyle name="Followed Hyperlink" xfId="24166" builtinId="9" hidden="1"/>
    <cellStyle name="Followed Hyperlink" xfId="19046" builtinId="9" hidden="1"/>
    <cellStyle name="Followed Hyperlink" xfId="24729" builtinId="9" hidden="1"/>
    <cellStyle name="Followed Hyperlink" xfId="19607" builtinId="9" hidden="1"/>
    <cellStyle name="Followed Hyperlink" xfId="24431" builtinId="9" hidden="1"/>
    <cellStyle name="Followed Hyperlink" xfId="19311" builtinId="9" hidden="1"/>
    <cellStyle name="Followed Hyperlink" xfId="18895" builtinId="9" hidden="1"/>
    <cellStyle name="Followed Hyperlink" xfId="24613" builtinId="9" hidden="1"/>
    <cellStyle name="Followed Hyperlink" xfId="19493" builtinId="9" hidden="1"/>
    <cellStyle name="Followed Hyperlink" xfId="18771" builtinId="9" hidden="1"/>
    <cellStyle name="Followed Hyperlink" xfId="24538" builtinId="9" hidden="1"/>
    <cellStyle name="Followed Hyperlink" xfId="19418" builtinId="9" hidden="1"/>
    <cellStyle name="Followed Hyperlink" xfId="18691" builtinId="9" hidden="1"/>
    <cellStyle name="Followed Hyperlink" xfId="18562" builtinId="9" hidden="1"/>
    <cellStyle name="Followed Hyperlink" xfId="24133" builtinId="9" hidden="1"/>
    <cellStyle name="Followed Hyperlink" xfId="19014" builtinId="9" hidden="1"/>
    <cellStyle name="Followed Hyperlink" xfId="24708" builtinId="9" hidden="1"/>
    <cellStyle name="Followed Hyperlink" xfId="19587" builtinId="9" hidden="1"/>
    <cellStyle name="Followed Hyperlink" xfId="24282" builtinId="9" hidden="1"/>
    <cellStyle name="Followed Hyperlink" xfId="19162" builtinId="9" hidden="1"/>
    <cellStyle name="Followed Hyperlink" xfId="18862" builtinId="9" hidden="1"/>
    <cellStyle name="Followed Hyperlink" xfId="24580" builtinId="9" hidden="1"/>
    <cellStyle name="Followed Hyperlink" xfId="19460" builtinId="9" hidden="1"/>
    <cellStyle name="Followed Hyperlink" xfId="18738" builtinId="9" hidden="1"/>
    <cellStyle name="Followed Hyperlink" xfId="24505" builtinId="9" hidden="1"/>
    <cellStyle name="Followed Hyperlink" xfId="19385" builtinId="9" hidden="1"/>
    <cellStyle name="Followed Hyperlink" xfId="18658" builtinId="9" hidden="1"/>
    <cellStyle name="Followed Hyperlink" xfId="24398" builtinId="9" hidden="1"/>
    <cellStyle name="Followed Hyperlink" xfId="19278" builtinId="9" hidden="1"/>
    <cellStyle name="Followed Hyperlink" xfId="18529" builtinId="9" hidden="1"/>
    <cellStyle name="Followed Hyperlink" xfId="18412" builtinId="9" hidden="1"/>
    <cellStyle name="Followed Hyperlink" xfId="24100" builtinId="9" hidden="1"/>
    <cellStyle name="Followed Hyperlink" xfId="18379" builtinId="9" hidden="1"/>
    <cellStyle name="Followed Hyperlink" xfId="24066" builtinId="9" hidden="1"/>
    <cellStyle name="Followed Hyperlink" xfId="18946" builtinId="9" hidden="1"/>
    <cellStyle name="Followed Hyperlink" xfId="24666" builtinId="9" hidden="1"/>
    <cellStyle name="Followed Hyperlink" xfId="19545" builtinId="9" hidden="1"/>
    <cellStyle name="Followed Hyperlink" xfId="2725" builtinId="9" hidden="1"/>
    <cellStyle name="Followed Hyperlink" xfId="24061" builtinId="9" hidden="1"/>
    <cellStyle name="Followed Hyperlink" xfId="18941" builtinId="9" hidden="1"/>
    <cellStyle name="Followed Hyperlink" xfId="24661" builtinId="9" hidden="1"/>
    <cellStyle name="Followed Hyperlink" xfId="19540" builtinId="9" hidden="1"/>
    <cellStyle name="Followed Hyperlink" xfId="24212" builtinId="9" hidden="1"/>
    <cellStyle name="Followed Hyperlink" xfId="19092" builtinId="9" hidden="1"/>
    <cellStyle name="Followed Hyperlink" xfId="18622" builtinId="9" hidden="1"/>
    <cellStyle name="Followed Hyperlink" xfId="2760" builtinId="9" hidden="1"/>
    <cellStyle name="Followed Hyperlink" xfId="24058" builtinId="9" hidden="1"/>
    <cellStyle name="Followed Hyperlink" xfId="18938" builtinId="9" hidden="1"/>
    <cellStyle name="Followed Hyperlink" xfId="24658" builtinId="9" hidden="1"/>
    <cellStyle name="Followed Hyperlink" xfId="19537" builtinId="9" hidden="1"/>
    <cellStyle name="Followed Hyperlink" xfId="24209" builtinId="9" hidden="1"/>
    <cellStyle name="Followed Hyperlink" xfId="19089" builtinId="9" hidden="1"/>
    <cellStyle name="Followed Hyperlink" xfId="18571" builtinId="9" hidden="1"/>
    <cellStyle name="Followed Hyperlink" xfId="24619" builtinId="9" hidden="1"/>
    <cellStyle name="Followed Hyperlink" xfId="24285" builtinId="9" hidden="1"/>
    <cellStyle name="Followed Hyperlink" xfId="19165" builtinId="9" hidden="1"/>
    <cellStyle name="Followed Hyperlink" xfId="18415" builtinId="9" hidden="1"/>
    <cellStyle name="Followed Hyperlink" xfId="6214" builtinId="9" hidden="1"/>
    <cellStyle name="Followed Hyperlink" xfId="24167" builtinId="9" hidden="1"/>
    <cellStyle name="Followed Hyperlink" xfId="19047" builtinId="9" hidden="1"/>
    <cellStyle name="Followed Hyperlink" xfId="24732" builtinId="9" hidden="1"/>
    <cellStyle name="Followed Hyperlink" xfId="19610" builtinId="9" hidden="1"/>
    <cellStyle name="Followed Hyperlink" xfId="24432" builtinId="9" hidden="1"/>
    <cellStyle name="Followed Hyperlink" xfId="19312" builtinId="9" hidden="1"/>
    <cellStyle name="Followed Hyperlink" xfId="18896" builtinId="9" hidden="1"/>
    <cellStyle name="Followed Hyperlink" xfId="24614" builtinId="9" hidden="1"/>
    <cellStyle name="Followed Hyperlink" xfId="19494" builtinId="9" hidden="1"/>
    <cellStyle name="Followed Hyperlink" xfId="18772" builtinId="9" hidden="1"/>
    <cellStyle name="Followed Hyperlink" xfId="18564" builtinId="9" hidden="1"/>
    <cellStyle name="Followed Hyperlink" xfId="24149" builtinId="9" hidden="1"/>
    <cellStyle name="Followed Hyperlink" xfId="19030" builtinId="9" hidden="1"/>
    <cellStyle name="Followed Hyperlink" xfId="24712" builtinId="9" hidden="1"/>
    <cellStyle name="Followed Hyperlink" xfId="19591" builtinId="9" hidden="1"/>
    <cellStyle name="Followed Hyperlink" xfId="24414" builtinId="9" hidden="1"/>
    <cellStyle name="Followed Hyperlink" xfId="19294" builtinId="9" hidden="1"/>
    <cellStyle name="Followed Hyperlink" xfId="18878" builtinId="9" hidden="1"/>
    <cellStyle name="Followed Hyperlink" xfId="24596" builtinId="9" hidden="1"/>
    <cellStyle name="Followed Hyperlink" xfId="19476" builtinId="9" hidden="1"/>
    <cellStyle name="Followed Hyperlink" xfId="18754" builtinId="9" hidden="1"/>
    <cellStyle name="Followed Hyperlink" xfId="24521" builtinId="9" hidden="1"/>
    <cellStyle name="Followed Hyperlink" xfId="19401" builtinId="9" hidden="1"/>
    <cellStyle name="Followed Hyperlink" xfId="18674" builtinId="9" hidden="1"/>
    <cellStyle name="Followed Hyperlink" xfId="18545" builtinId="9" hidden="1"/>
    <cellStyle name="Followed Hyperlink" xfId="24116" builtinId="9" hidden="1"/>
    <cellStyle name="Followed Hyperlink" xfId="18997" builtinId="9" hidden="1"/>
    <cellStyle name="Followed Hyperlink" xfId="24691" builtinId="9" hidden="1"/>
    <cellStyle name="Followed Hyperlink" xfId="19570" builtinId="9" hidden="1"/>
    <cellStyle name="Followed Hyperlink" xfId="24265" builtinId="9" hidden="1"/>
    <cellStyle name="Followed Hyperlink" xfId="19145" builtinId="9" hidden="1"/>
    <cellStyle name="Followed Hyperlink" xfId="18845" builtinId="9" hidden="1"/>
    <cellStyle name="Followed Hyperlink" xfId="24563" builtinId="9" hidden="1"/>
    <cellStyle name="Followed Hyperlink" xfId="19443" builtinId="9" hidden="1"/>
    <cellStyle name="Followed Hyperlink" xfId="18721" builtinId="9" hidden="1"/>
    <cellStyle name="Followed Hyperlink" xfId="18894" builtinId="9" hidden="1"/>
    <cellStyle name="Followed Hyperlink" xfId="18822" builtinId="9" hidden="1"/>
    <cellStyle name="Followed Hyperlink" xfId="19368" builtinId="9" hidden="1"/>
    <cellStyle name="Followed Hyperlink" xfId="18641" builtinId="9" hidden="1"/>
    <cellStyle name="Followed Hyperlink" xfId="24381" builtinId="9" hidden="1"/>
    <cellStyle name="Followed Hyperlink" xfId="19261" builtinId="9" hidden="1"/>
    <cellStyle name="Followed Hyperlink" xfId="18512" builtinId="9" hidden="1"/>
    <cellStyle name="Followed Hyperlink" xfId="18395" builtinId="9" hidden="1"/>
    <cellStyle name="Followed Hyperlink" xfId="24083" builtinId="9" hidden="1"/>
    <cellStyle name="Followed Hyperlink" xfId="18962" builtinId="9" hidden="1"/>
    <cellStyle name="Followed Hyperlink" xfId="24670" builtinId="9" hidden="1"/>
    <cellStyle name="Followed Hyperlink" xfId="19549" builtinId="9" hidden="1"/>
    <cellStyle name="Followed Hyperlink" xfId="24233" builtinId="9" hidden="1"/>
    <cellStyle name="Followed Hyperlink" xfId="19113" builtinId="9" hidden="1"/>
    <cellStyle name="Followed Hyperlink" xfId="18825" builtinId="9" hidden="1"/>
    <cellStyle name="Followed Hyperlink" xfId="24308" builtinId="9" hidden="1"/>
    <cellStyle name="Followed Hyperlink" xfId="19188" builtinId="9" hidden="1"/>
    <cellStyle name="Followed Hyperlink" xfId="18439" builtinId="9" hidden="1"/>
    <cellStyle name="Followed Hyperlink" xfId="24349" builtinId="9" hidden="1"/>
    <cellStyle name="Followed Hyperlink" xfId="19229" builtinId="9" hidden="1"/>
    <cellStyle name="Followed Hyperlink" xfId="18480" builtinId="9" hidden="1"/>
    <cellStyle name="Followed Hyperlink" xfId="24190" builtinId="9" hidden="1"/>
    <cellStyle name="Followed Hyperlink" xfId="19070" builtinId="9" hidden="1"/>
    <cellStyle name="Followed Hyperlink" xfId="24455" builtinId="9" hidden="1"/>
    <cellStyle name="Followed Hyperlink" xfId="19335" builtinId="9" hidden="1"/>
    <cellStyle name="Followed Hyperlink" xfId="18919" builtinId="9" hidden="1"/>
    <cellStyle name="Followed Hyperlink" xfId="24638" builtinId="9" hidden="1"/>
    <cellStyle name="Followed Hyperlink" xfId="19517" builtinId="9" hidden="1"/>
    <cellStyle name="Followed Hyperlink" xfId="18794" builtinId="9" hidden="1"/>
    <cellStyle name="Followed Hyperlink" xfId="24540" builtinId="9" hidden="1"/>
    <cellStyle name="Followed Hyperlink" xfId="19420" builtinId="9" hidden="1"/>
    <cellStyle name="Followed Hyperlink" xfId="18693" builtinId="9" hidden="1"/>
    <cellStyle name="Followed Hyperlink" xfId="18587" builtinId="9" hidden="1"/>
    <cellStyle name="Followed Hyperlink" xfId="18362" builtinId="9" hidden="1"/>
    <cellStyle name="Followed Hyperlink" xfId="18977" builtinId="9" hidden="1"/>
    <cellStyle name="Followed Hyperlink" xfId="24685" builtinId="9" hidden="1"/>
    <cellStyle name="Followed Hyperlink" xfId="19564" builtinId="9" hidden="1"/>
    <cellStyle name="Followed Hyperlink" xfId="24248" builtinId="9" hidden="1"/>
    <cellStyle name="Followed Hyperlink" xfId="19128" builtinId="9" hidden="1"/>
    <cellStyle name="Followed Hyperlink" xfId="18820" builtinId="9" hidden="1"/>
    <cellStyle name="Followed Hyperlink" xfId="24323" builtinId="9" hidden="1"/>
    <cellStyle name="Followed Hyperlink" xfId="19492" builtinId="9" hidden="1"/>
    <cellStyle name="Followed Hyperlink" xfId="24488" builtinId="9" hidden="1"/>
    <cellStyle name="Followed Hyperlink" xfId="18454" builtinId="9" hidden="1"/>
    <cellStyle name="Followed Hyperlink" xfId="24364" builtinId="9" hidden="1"/>
    <cellStyle name="Followed Hyperlink" xfId="19244" builtinId="9" hidden="1"/>
    <cellStyle name="Followed Hyperlink" xfId="18495" builtinId="9" hidden="1"/>
    <cellStyle name="Followed Hyperlink" xfId="24205" builtinId="9" hidden="1"/>
    <cellStyle name="Followed Hyperlink" xfId="19085" builtinId="9" hidden="1"/>
    <cellStyle name="Followed Hyperlink" xfId="24747" builtinId="9" hidden="1"/>
    <cellStyle name="Followed Hyperlink" xfId="19625" builtinId="9" hidden="1"/>
    <cellStyle name="Followed Hyperlink" xfId="24470" builtinId="9" hidden="1"/>
    <cellStyle name="Followed Hyperlink" xfId="19350" builtinId="9" hidden="1"/>
    <cellStyle name="Followed Hyperlink" xfId="18934" builtinId="9" hidden="1"/>
    <cellStyle name="Followed Hyperlink" xfId="24653" builtinId="9" hidden="1"/>
    <cellStyle name="Followed Hyperlink" xfId="19532" builtinId="9" hidden="1"/>
    <cellStyle name="Followed Hyperlink" xfId="18809" builtinId="9" hidden="1"/>
    <cellStyle name="Followed Hyperlink" xfId="18602" builtinId="9" hidden="1"/>
    <cellStyle name="Followed Hyperlink" xfId="24164" builtinId="9" hidden="1"/>
    <cellStyle name="Followed Hyperlink" xfId="19045" builtinId="9" hidden="1"/>
    <cellStyle name="Followed Hyperlink" xfId="24727" builtinId="9" hidden="1"/>
    <cellStyle name="Followed Hyperlink" xfId="19606" builtinId="9" hidden="1"/>
    <cellStyle name="Followed Hyperlink" xfId="24429" builtinId="9" hidden="1"/>
    <cellStyle name="Followed Hyperlink" xfId="19309" builtinId="9" hidden="1"/>
    <cellStyle name="Followed Hyperlink" xfId="18893" builtinId="9" hidden="1"/>
    <cellStyle name="Followed Hyperlink" xfId="24611" builtinId="9" hidden="1"/>
    <cellStyle name="Followed Hyperlink" xfId="19491" builtinId="9" hidden="1"/>
    <cellStyle name="Followed Hyperlink" xfId="18769" builtinId="9" hidden="1"/>
    <cellStyle name="Followed Hyperlink" xfId="24536" builtinId="9" hidden="1"/>
    <cellStyle name="Followed Hyperlink" xfId="19416" builtinId="9" hidden="1"/>
    <cellStyle name="Followed Hyperlink" xfId="18689" builtinId="9" hidden="1"/>
    <cellStyle name="Followed Hyperlink" xfId="18560" builtinId="9" hidden="1"/>
    <cellStyle name="Followed Hyperlink" xfId="24131" builtinId="9" hidden="1"/>
    <cellStyle name="Followed Hyperlink" xfId="19012" builtinId="9" hidden="1"/>
    <cellStyle name="Followed Hyperlink" xfId="24706" builtinId="9" hidden="1"/>
    <cellStyle name="Followed Hyperlink" xfId="19585" builtinId="9" hidden="1"/>
    <cellStyle name="Followed Hyperlink" xfId="24280" builtinId="9" hidden="1"/>
    <cellStyle name="Followed Hyperlink" xfId="19160" builtinId="9" hidden="1"/>
    <cellStyle name="Followed Hyperlink" xfId="18860" builtinId="9" hidden="1"/>
    <cellStyle name="Followed Hyperlink" xfId="24578" builtinId="9" hidden="1"/>
    <cellStyle name="Followed Hyperlink" xfId="19458" builtinId="9" hidden="1"/>
    <cellStyle name="Followed Hyperlink" xfId="18736" builtinId="9" hidden="1"/>
    <cellStyle name="Followed Hyperlink" xfId="24165" builtinId="9" hidden="1"/>
    <cellStyle name="Followed Hyperlink" xfId="19203" builtinId="9" hidden="1"/>
    <cellStyle name="Followed Hyperlink" xfId="19383" builtinId="9" hidden="1"/>
    <cellStyle name="Followed Hyperlink" xfId="18656" builtinId="9" hidden="1"/>
    <cellStyle name="Followed Hyperlink" xfId="24396" builtinId="9" hidden="1"/>
    <cellStyle name="Followed Hyperlink" xfId="19276" builtinId="9" hidden="1"/>
    <cellStyle name="Followed Hyperlink" xfId="18527" builtinId="9" hidden="1"/>
    <cellStyle name="Followed Hyperlink" xfId="18410" builtinId="9" hidden="1"/>
    <cellStyle name="Followed Hyperlink" xfId="24098" builtinId="9" hidden="1"/>
    <cellStyle name="Followed Hyperlink" xfId="18377" builtinId="9" hidden="1"/>
    <cellStyle name="Followed Hyperlink" xfId="24214" builtinId="9" hidden="1"/>
    <cellStyle name="Followed Hyperlink" xfId="19094" builtinId="9" hidden="1"/>
    <cellStyle name="Followed Hyperlink" xfId="18819" builtinId="9" hidden="1"/>
    <cellStyle name="Followed Hyperlink" xfId="24289" builtinId="9" hidden="1"/>
    <cellStyle name="Followed Hyperlink" xfId="19169" builtinId="9" hidden="1"/>
    <cellStyle name="Followed Hyperlink" xfId="18419" builtinId="9" hidden="1"/>
    <cellStyle name="Followed Hyperlink" xfId="24330" builtinId="9" hidden="1"/>
    <cellStyle name="Followed Hyperlink" xfId="19210" builtinId="9" hidden="1"/>
    <cellStyle name="Followed Hyperlink" xfId="18461" builtinId="9" hidden="1"/>
    <cellStyle name="Followed Hyperlink" xfId="24171" builtinId="9" hidden="1"/>
    <cellStyle name="Followed Hyperlink" xfId="19051" builtinId="9" hidden="1"/>
    <cellStyle name="Followed Hyperlink" xfId="24745" builtinId="9" hidden="1"/>
    <cellStyle name="Followed Hyperlink" xfId="19623" builtinId="9" hidden="1"/>
    <cellStyle name="Followed Hyperlink" xfId="24436" builtinId="9" hidden="1"/>
    <cellStyle name="Followed Hyperlink" xfId="19316" builtinId="9" hidden="1"/>
    <cellStyle name="Followed Hyperlink" xfId="18900" builtinId="9" hidden="1"/>
    <cellStyle name="Followed Hyperlink" xfId="24618" builtinId="9" hidden="1"/>
    <cellStyle name="Followed Hyperlink" xfId="19498" builtinId="9" hidden="1"/>
    <cellStyle name="Followed Hyperlink" xfId="18776" builtinId="9" hidden="1"/>
    <cellStyle name="Followed Hyperlink" xfId="18568" builtinId="9" hidden="1"/>
    <cellStyle name="Followed Hyperlink" xfId="24162" builtinId="9" hidden="1"/>
    <cellStyle name="Followed Hyperlink" xfId="19043" builtinId="9" hidden="1"/>
    <cellStyle name="Followed Hyperlink" xfId="24725" builtinId="9" hidden="1"/>
    <cellStyle name="Followed Hyperlink" xfId="19604" builtinId="9" hidden="1"/>
    <cellStyle name="Followed Hyperlink" xfId="24427" builtinId="9" hidden="1"/>
    <cellStyle name="Followed Hyperlink" xfId="19307" builtinId="9" hidden="1"/>
    <cellStyle name="Followed Hyperlink" xfId="18891" builtinId="9" hidden="1"/>
    <cellStyle name="Followed Hyperlink" xfId="24609" builtinId="9" hidden="1"/>
    <cellStyle name="Followed Hyperlink" xfId="19489" builtinId="9" hidden="1"/>
    <cellStyle name="Followed Hyperlink" xfId="18767" builtinId="9" hidden="1"/>
    <cellStyle name="Followed Hyperlink" xfId="24534" builtinId="9" hidden="1"/>
    <cellStyle name="Followed Hyperlink" xfId="24430" builtinId="9" hidden="1"/>
    <cellStyle name="Followed Hyperlink" xfId="24503" builtinId="9" hidden="1"/>
    <cellStyle name="Followed Hyperlink" xfId="18687" builtinId="9" hidden="1"/>
    <cellStyle name="Followed Hyperlink" xfId="18558" builtinId="9" hidden="1"/>
    <cellStyle name="Followed Hyperlink" xfId="24129" builtinId="9" hidden="1"/>
    <cellStyle name="Followed Hyperlink" xfId="19010" builtinId="9" hidden="1"/>
    <cellStyle name="Followed Hyperlink" xfId="24704" builtinId="9" hidden="1"/>
    <cellStyle name="Followed Hyperlink" xfId="19583" builtinId="9" hidden="1"/>
    <cellStyle name="Followed Hyperlink" xfId="24278" builtinId="9" hidden="1"/>
    <cellStyle name="Followed Hyperlink" xfId="19158" builtinId="9" hidden="1"/>
    <cellStyle name="Followed Hyperlink" xfId="18858" builtinId="9" hidden="1"/>
    <cellStyle name="Followed Hyperlink" xfId="24576" builtinId="9" hidden="1"/>
    <cellStyle name="Followed Hyperlink" xfId="19456" builtinId="9" hidden="1"/>
    <cellStyle name="Followed Hyperlink" xfId="18734" builtinId="9" hidden="1"/>
    <cellStyle name="Followed Hyperlink" xfId="24501" builtinId="9" hidden="1"/>
    <cellStyle name="Followed Hyperlink" xfId="19381" builtinId="9" hidden="1"/>
    <cellStyle name="Followed Hyperlink" xfId="18654" builtinId="9" hidden="1"/>
    <cellStyle name="Followed Hyperlink" xfId="24394" builtinId="9" hidden="1"/>
    <cellStyle name="Followed Hyperlink" xfId="19274" builtinId="9" hidden="1"/>
    <cellStyle name="Followed Hyperlink" xfId="18525" builtinId="9" hidden="1"/>
    <cellStyle name="Followed Hyperlink" xfId="18408" builtinId="9" hidden="1"/>
    <cellStyle name="Followed Hyperlink" xfId="24096" builtinId="9" hidden="1"/>
    <cellStyle name="Followed Hyperlink" xfId="18975" builtinId="9" hidden="1"/>
    <cellStyle name="Followed Hyperlink" xfId="24683" builtinId="9" hidden="1"/>
    <cellStyle name="Followed Hyperlink" xfId="19562" builtinId="9" hidden="1"/>
    <cellStyle name="Followed Hyperlink" xfId="24246" builtinId="9" hidden="1"/>
    <cellStyle name="Followed Hyperlink" xfId="19126" builtinId="9" hidden="1"/>
    <cellStyle name="Followed Hyperlink" xfId="18436" builtinId="9" hidden="1"/>
    <cellStyle name="Followed Hyperlink" xfId="24321" builtinId="9" hidden="1"/>
    <cellStyle name="Followed Hyperlink" xfId="19201" builtinId="9" hidden="1"/>
    <cellStyle name="Followed Hyperlink" xfId="18452" builtinId="9" hidden="1"/>
    <cellStyle name="Followed Hyperlink" xfId="24362" builtinId="9" hidden="1"/>
    <cellStyle name="Followed Hyperlink" xfId="19242" builtinId="9" hidden="1"/>
    <cellStyle name="Followed Hyperlink" xfId="18493" builtinId="9" hidden="1"/>
    <cellStyle name="Followed Hyperlink" xfId="24203" builtinId="9" hidden="1"/>
    <cellStyle name="Followed Hyperlink" xfId="19083" builtinId="9" hidden="1"/>
    <cellStyle name="Followed Hyperlink" xfId="24468" builtinId="9" hidden="1"/>
    <cellStyle name="Followed Hyperlink" xfId="19348" builtinId="9" hidden="1"/>
    <cellStyle name="Followed Hyperlink" xfId="18932" builtinId="9" hidden="1"/>
    <cellStyle name="Followed Hyperlink" xfId="24651" builtinId="9" hidden="1"/>
    <cellStyle name="Followed Hyperlink" xfId="19530" builtinId="9" hidden="1"/>
    <cellStyle name="Followed Hyperlink" xfId="19310" builtinId="9" hidden="1"/>
    <cellStyle name="Followed Hyperlink" xfId="19414" builtinId="9" hidden="1"/>
    <cellStyle name="Followed Hyperlink" xfId="24547" builtinId="9" hidden="1"/>
    <cellStyle name="Followed Hyperlink" xfId="19427" builtinId="9" hidden="1"/>
    <cellStyle name="Followed Hyperlink" xfId="18700" builtinId="9" hidden="1"/>
    <cellStyle name="Followed Hyperlink" xfId="18600" builtinId="9" hidden="1"/>
    <cellStyle name="Followed Hyperlink" xfId="18375" builtinId="9" hidden="1"/>
    <cellStyle name="Followed Hyperlink" xfId="18976" builtinId="9" hidden="1"/>
    <cellStyle name="Followed Hyperlink" xfId="24684" builtinId="9" hidden="1"/>
    <cellStyle name="Followed Hyperlink" xfId="19563" builtinId="9" hidden="1"/>
    <cellStyle name="Followed Hyperlink" xfId="24247" builtinId="9" hidden="1"/>
    <cellStyle name="Followed Hyperlink" xfId="19127" builtinId="9" hidden="1"/>
    <cellStyle name="Followed Hyperlink" xfId="18617" builtinId="9" hidden="1"/>
    <cellStyle name="Followed Hyperlink" xfId="24322" builtinId="9" hidden="1"/>
    <cellStyle name="Followed Hyperlink" xfId="19202" builtinId="9" hidden="1"/>
    <cellStyle name="Followed Hyperlink" xfId="18453" builtinId="9" hidden="1"/>
    <cellStyle name="Followed Hyperlink" xfId="24363" builtinId="9" hidden="1"/>
    <cellStyle name="Followed Hyperlink" xfId="19243" builtinId="9" hidden="1"/>
    <cellStyle name="Followed Hyperlink" xfId="18494" builtinId="9" hidden="1"/>
    <cellStyle name="Followed Hyperlink" xfId="24204" builtinId="9" hidden="1"/>
    <cellStyle name="Followed Hyperlink" xfId="19084" builtinId="9" hidden="1"/>
    <cellStyle name="Followed Hyperlink" xfId="24746" builtinId="9" hidden="1"/>
    <cellStyle name="Followed Hyperlink" xfId="19624" builtinId="9" hidden="1"/>
    <cellStyle name="Followed Hyperlink" xfId="24469" builtinId="9" hidden="1"/>
    <cellStyle name="Followed Hyperlink" xfId="19349" builtinId="9" hidden="1"/>
    <cellStyle name="Followed Hyperlink" xfId="18933" builtinId="9" hidden="1"/>
    <cellStyle name="Followed Hyperlink" xfId="24652" builtinId="9" hidden="1"/>
    <cellStyle name="Followed Hyperlink" xfId="19531" builtinId="9" hidden="1"/>
    <cellStyle name="Followed Hyperlink" xfId="18808" builtinId="9" hidden="1"/>
    <cellStyle name="Followed Hyperlink" xfId="18601" builtinId="9" hidden="1"/>
    <cellStyle name="Followed Hyperlink" xfId="24163" builtinId="9" hidden="1"/>
    <cellStyle name="Followed Hyperlink" xfId="19044" builtinId="9" hidden="1"/>
    <cellStyle name="Followed Hyperlink" xfId="24726" builtinId="9" hidden="1"/>
    <cellStyle name="Followed Hyperlink" xfId="19605" builtinId="9" hidden="1"/>
    <cellStyle name="Followed Hyperlink" xfId="24428" builtinId="9" hidden="1"/>
    <cellStyle name="Followed Hyperlink" xfId="19308" builtinId="9" hidden="1"/>
    <cellStyle name="Followed Hyperlink" xfId="18892" builtinId="9" hidden="1"/>
    <cellStyle name="Followed Hyperlink" xfId="24610" builtinId="9" hidden="1"/>
    <cellStyle name="Followed Hyperlink" xfId="19490" builtinId="9" hidden="1"/>
    <cellStyle name="Followed Hyperlink" xfId="18768" builtinId="9" hidden="1"/>
    <cellStyle name="Followed Hyperlink" xfId="24535" builtinId="9" hidden="1"/>
    <cellStyle name="Followed Hyperlink" xfId="24612" builtinId="9" hidden="1"/>
    <cellStyle name="Followed Hyperlink" xfId="18807" builtinId="9" hidden="1"/>
    <cellStyle name="Followed Hyperlink" xfId="18688" builtinId="9" hidden="1"/>
    <cellStyle name="Followed Hyperlink" xfId="18559" builtinId="9" hidden="1"/>
    <cellStyle name="Followed Hyperlink" xfId="24130" builtinId="9" hidden="1"/>
    <cellStyle name="Followed Hyperlink" xfId="19011" builtinId="9" hidden="1"/>
    <cellStyle name="Followed Hyperlink" xfId="24705" builtinId="9" hidden="1"/>
    <cellStyle name="Followed Hyperlink" xfId="19584" builtinId="9" hidden="1"/>
    <cellStyle name="Followed Hyperlink" xfId="24279" builtinId="9" hidden="1"/>
    <cellStyle name="Followed Hyperlink" xfId="19159" builtinId="9" hidden="1"/>
    <cellStyle name="Followed Hyperlink" xfId="18859" builtinId="9" hidden="1"/>
    <cellStyle name="Followed Hyperlink" xfId="24577" builtinId="9" hidden="1"/>
    <cellStyle name="Followed Hyperlink" xfId="19457" builtinId="9" hidden="1"/>
    <cellStyle name="Followed Hyperlink" xfId="18735" builtinId="9" hidden="1"/>
    <cellStyle name="Followed Hyperlink" xfId="24502" builtinId="9" hidden="1"/>
    <cellStyle name="Followed Hyperlink" xfId="19382" builtinId="9" hidden="1"/>
    <cellStyle name="Followed Hyperlink" xfId="18655" builtinId="9" hidden="1"/>
    <cellStyle name="Followed Hyperlink" xfId="24395" builtinId="9" hidden="1"/>
    <cellStyle name="Followed Hyperlink" xfId="19275" builtinId="9" hidden="1"/>
    <cellStyle name="Followed Hyperlink" xfId="18526" builtinId="9" hidden="1"/>
    <cellStyle name="Followed Hyperlink" xfId="18409" builtinId="9" hidden="1"/>
    <cellStyle name="Followed Hyperlink" xfId="24097" builtinId="9" hidden="1"/>
    <cellStyle name="Followed Hyperlink" xfId="18376" builtinId="9" hidden="1"/>
    <cellStyle name="Followed Hyperlink" xfId="24063" builtinId="9" hidden="1"/>
    <cellStyle name="Followed Hyperlink" xfId="18943" builtinId="9" hidden="1"/>
    <cellStyle name="Followed Hyperlink" xfId="24663" builtinId="9" hidden="1"/>
    <cellStyle name="Followed Hyperlink" xfId="19542" builtinId="9" hidden="1"/>
    <cellStyle name="Followed Hyperlink" xfId="2756" builtinId="9" hidden="1"/>
    <cellStyle name="Followed Hyperlink" xfId="24287" builtinId="9" hidden="1"/>
    <cellStyle name="Followed Hyperlink" xfId="19167" builtinId="9" hidden="1"/>
    <cellStyle name="Followed Hyperlink" xfId="18417" builtinId="9" hidden="1"/>
    <cellStyle name="Followed Hyperlink" xfId="24328" builtinId="9" hidden="1"/>
    <cellStyle name="Followed Hyperlink" xfId="19208" builtinId="9" hidden="1"/>
    <cellStyle name="Followed Hyperlink" xfId="18459" builtinId="9" hidden="1"/>
    <cellStyle name="Followed Hyperlink" xfId="24169" builtinId="9" hidden="1"/>
    <cellStyle name="Followed Hyperlink" xfId="19049" builtinId="9" hidden="1"/>
    <cellStyle name="Followed Hyperlink" xfId="24741" builtinId="9" hidden="1"/>
    <cellStyle name="Followed Hyperlink" xfId="19619" builtinId="9" hidden="1"/>
    <cellStyle name="Followed Hyperlink" xfId="24434" builtinId="9" hidden="1"/>
    <cellStyle name="Followed Hyperlink" xfId="19314" builtinId="9" hidden="1"/>
    <cellStyle name="Followed Hyperlink" xfId="18898" builtinId="9" hidden="1"/>
    <cellStyle name="Followed Hyperlink" xfId="24728" builtinId="9" hidden="1"/>
    <cellStyle name="Followed Hyperlink" xfId="19415" builtinId="9" hidden="1"/>
    <cellStyle name="Followed Hyperlink" xfId="24616" builtinId="9" hidden="1"/>
    <cellStyle name="Followed Hyperlink" xfId="19496" builtinId="9" hidden="1"/>
    <cellStyle name="Followed Hyperlink" xfId="18774" builtinId="9" hidden="1"/>
    <cellStyle name="Followed Hyperlink" xfId="18566" builtinId="9" hidden="1"/>
    <cellStyle name="Followed Hyperlink" xfId="24158" builtinId="9" hidden="1"/>
    <cellStyle name="Followed Hyperlink" xfId="19039" builtinId="9" hidden="1"/>
    <cellStyle name="Followed Hyperlink" xfId="24721" builtinId="9" hidden="1"/>
    <cellStyle name="Followed Hyperlink" xfId="19600" builtinId="9" hidden="1"/>
    <cellStyle name="Followed Hyperlink" xfId="24423" builtinId="9" hidden="1"/>
    <cellStyle name="Followed Hyperlink" xfId="19303" builtinId="9" hidden="1"/>
    <cellStyle name="Followed Hyperlink" xfId="18887" builtinId="9" hidden="1"/>
    <cellStyle name="Followed Hyperlink" xfId="24605" builtinId="9" hidden="1"/>
    <cellStyle name="Followed Hyperlink" xfId="19485" builtinId="9" hidden="1"/>
    <cellStyle name="Followed Hyperlink" xfId="18763" builtinId="9" hidden="1"/>
    <cellStyle name="Followed Hyperlink" xfId="24530" builtinId="9" hidden="1"/>
    <cellStyle name="Followed Hyperlink" xfId="19410" builtinId="9" hidden="1"/>
    <cellStyle name="Followed Hyperlink" xfId="18683" builtinId="9" hidden="1"/>
    <cellStyle name="Followed Hyperlink" xfId="18554" builtinId="9" hidden="1"/>
    <cellStyle name="Followed Hyperlink" xfId="24125" builtinId="9" hidden="1"/>
    <cellStyle name="Followed Hyperlink" xfId="19006" builtinId="9" hidden="1"/>
    <cellStyle name="Followed Hyperlink" xfId="24700" builtinId="9" hidden="1"/>
    <cellStyle name="Followed Hyperlink" xfId="19579" builtinId="9" hidden="1"/>
    <cellStyle name="Followed Hyperlink" xfId="24274" builtinId="9" hidden="1"/>
    <cellStyle name="Followed Hyperlink" xfId="19154" builtinId="9" hidden="1"/>
    <cellStyle name="Followed Hyperlink" xfId="18854" builtinId="9" hidden="1"/>
    <cellStyle name="Followed Hyperlink" xfId="24572" builtinId="9" hidden="1"/>
    <cellStyle name="Followed Hyperlink" xfId="19452" builtinId="9" hidden="1"/>
    <cellStyle name="Followed Hyperlink" xfId="18730" builtinId="9" hidden="1"/>
    <cellStyle name="Followed Hyperlink" xfId="24497" builtinId="9" hidden="1"/>
    <cellStyle name="Followed Hyperlink" xfId="19377" builtinId="9" hidden="1"/>
    <cellStyle name="Followed Hyperlink" xfId="18650" builtinId="9" hidden="1"/>
    <cellStyle name="Followed Hyperlink" xfId="24390" builtinId="9" hidden="1"/>
    <cellStyle name="Followed Hyperlink" xfId="19270" builtinId="9" hidden="1"/>
    <cellStyle name="Followed Hyperlink" xfId="18521" builtinId="9" hidden="1"/>
    <cellStyle name="Followed Hyperlink" xfId="18404" builtinId="9" hidden="1"/>
    <cellStyle name="Followed Hyperlink" xfId="24092" builtinId="9" hidden="1"/>
    <cellStyle name="Followed Hyperlink" xfId="18971" builtinId="9" hidden="1"/>
    <cellStyle name="Followed Hyperlink" xfId="24679" builtinId="9" hidden="1"/>
    <cellStyle name="Followed Hyperlink" xfId="19558" builtinId="9" hidden="1"/>
    <cellStyle name="Followed Hyperlink" xfId="19425" builtinId="9" hidden="1"/>
    <cellStyle name="Followed Hyperlink" xfId="18698" builtinId="9" hidden="1"/>
    <cellStyle name="Followed Hyperlink" xfId="18596" builtinId="9" hidden="1"/>
    <cellStyle name="Followed Hyperlink" xfId="18371" builtinId="9" hidden="1"/>
    <cellStyle name="Followed Hyperlink" xfId="18974" builtinId="9" hidden="1"/>
    <cellStyle name="Followed Hyperlink" xfId="24682" builtinId="9" hidden="1"/>
    <cellStyle name="Followed Hyperlink" xfId="19561" builtinId="9" hidden="1"/>
    <cellStyle name="Followed Hyperlink" xfId="24245" builtinId="9" hidden="1"/>
    <cellStyle name="Followed Hyperlink" xfId="19125" builtinId="9" hidden="1"/>
    <cellStyle name="Followed Hyperlink" xfId="18702" builtinId="9" hidden="1"/>
    <cellStyle name="Followed Hyperlink" xfId="24320" builtinId="9" hidden="1"/>
    <cellStyle name="Followed Hyperlink" xfId="19200" builtinId="9" hidden="1"/>
    <cellStyle name="Followed Hyperlink" xfId="18451" builtinId="9" hidden="1"/>
    <cellStyle name="Followed Hyperlink" xfId="24361" builtinId="9" hidden="1"/>
    <cellStyle name="Followed Hyperlink" xfId="19241" builtinId="9" hidden="1"/>
    <cellStyle name="Followed Hyperlink" xfId="18492" builtinId="9" hidden="1"/>
    <cellStyle name="Followed Hyperlink" xfId="24202" builtinId="9" hidden="1"/>
    <cellStyle name="Followed Hyperlink" xfId="19082" builtinId="9" hidden="1"/>
    <cellStyle name="Followed Hyperlink" xfId="24744" builtinId="9" hidden="1"/>
    <cellStyle name="Followed Hyperlink" xfId="19622" builtinId="9" hidden="1"/>
    <cellStyle name="Followed Hyperlink" xfId="24467" builtinId="9" hidden="1"/>
    <cellStyle name="Followed Hyperlink" xfId="19347" builtinId="9" hidden="1"/>
    <cellStyle name="Followed Hyperlink" xfId="18931" builtinId="9" hidden="1"/>
    <cellStyle name="Followed Hyperlink" xfId="24650" builtinId="9" hidden="1"/>
    <cellStyle name="Followed Hyperlink" xfId="19529" builtinId="9" hidden="1"/>
    <cellStyle name="Followed Hyperlink" xfId="18806" builtinId="9" hidden="1"/>
    <cellStyle name="Followed Hyperlink" xfId="18599" builtinId="9" hidden="1"/>
    <cellStyle name="Followed Hyperlink" xfId="24161" builtinId="9" hidden="1"/>
    <cellStyle name="Followed Hyperlink" xfId="19042" builtinId="9" hidden="1"/>
    <cellStyle name="Followed Hyperlink" xfId="24724" builtinId="9" hidden="1"/>
    <cellStyle name="Followed Hyperlink" xfId="19603" builtinId="9" hidden="1"/>
    <cellStyle name="Followed Hyperlink" xfId="24426" builtinId="9" hidden="1"/>
    <cellStyle name="Followed Hyperlink" xfId="19306" builtinId="9" hidden="1"/>
    <cellStyle name="Followed Hyperlink" xfId="18890" builtinId="9" hidden="1"/>
    <cellStyle name="Followed Hyperlink" xfId="24608" builtinId="9" hidden="1"/>
    <cellStyle name="Followed Hyperlink" xfId="19488" builtinId="9" hidden="1"/>
    <cellStyle name="Followed Hyperlink" xfId="18766" builtinId="9" hidden="1"/>
    <cellStyle name="Followed Hyperlink" xfId="24533" builtinId="9" hidden="1"/>
    <cellStyle name="Followed Hyperlink" xfId="19413" builtinId="9" hidden="1"/>
    <cellStyle name="Followed Hyperlink" xfId="18686" builtinId="9" hidden="1"/>
    <cellStyle name="Followed Hyperlink" xfId="18557" builtinId="9" hidden="1"/>
    <cellStyle name="Followed Hyperlink" xfId="19455" builtinId="9" hidden="1"/>
    <cellStyle name="Followed Hyperlink" xfId="18733" builtinId="9" hidden="1"/>
    <cellStyle name="Followed Hyperlink" xfId="24500" builtinId="9" hidden="1"/>
    <cellStyle name="Followed Hyperlink" xfId="19380" builtinId="9" hidden="1"/>
    <cellStyle name="Followed Hyperlink" xfId="18653" builtinId="9" hidden="1"/>
    <cellStyle name="Followed Hyperlink" xfId="24393" builtinId="9" hidden="1"/>
    <cellStyle name="Followed Hyperlink" xfId="19273" builtinId="9" hidden="1"/>
    <cellStyle name="Followed Hyperlink" xfId="18524" builtinId="9" hidden="1"/>
    <cellStyle name="Followed Hyperlink" xfId="18407" builtinId="9" hidden="1"/>
    <cellStyle name="Followed Hyperlink" xfId="24095" builtinId="9" hidden="1"/>
    <cellStyle name="Followed Hyperlink" xfId="18374" builtinId="9" hidden="1"/>
    <cellStyle name="Followed Hyperlink" xfId="24216" builtinId="9" hidden="1"/>
    <cellStyle name="Followed Hyperlink" xfId="19096" builtinId="9" hidden="1"/>
    <cellStyle name="Followed Hyperlink" xfId="18606" builtinId="9" hidden="1"/>
    <cellStyle name="Followed Hyperlink" xfId="24291" builtinId="9" hidden="1"/>
    <cellStyle name="Followed Hyperlink" xfId="19171" builtinId="9" hidden="1"/>
    <cellStyle name="Followed Hyperlink" xfId="18421" builtinId="9" hidden="1"/>
    <cellStyle name="Followed Hyperlink" xfId="24332" builtinId="9" hidden="1"/>
    <cellStyle name="Followed Hyperlink" xfId="19212" builtinId="9" hidden="1"/>
    <cellStyle name="Followed Hyperlink" xfId="18463" builtinId="9" hidden="1"/>
    <cellStyle name="Followed Hyperlink" xfId="24173" builtinId="9" hidden="1"/>
    <cellStyle name="Followed Hyperlink" xfId="19053" builtinId="9" hidden="1"/>
    <cellStyle name="Followed Hyperlink" xfId="24742" builtinId="9" hidden="1"/>
    <cellStyle name="Followed Hyperlink" xfId="19620" builtinId="9" hidden="1"/>
    <cellStyle name="Followed Hyperlink" xfId="24438" builtinId="9" hidden="1"/>
    <cellStyle name="Followed Hyperlink" xfId="19318" builtinId="9" hidden="1"/>
    <cellStyle name="Followed Hyperlink" xfId="18902" builtinId="9" hidden="1"/>
    <cellStyle name="Followed Hyperlink" xfId="24621" builtinId="9" hidden="1"/>
    <cellStyle name="Followed Hyperlink" xfId="19500" builtinId="9" hidden="1"/>
    <cellStyle name="Followed Hyperlink" xfId="18778" builtinId="9" hidden="1"/>
    <cellStyle name="Followed Hyperlink" xfId="18570" builtinId="9" hidden="1"/>
    <cellStyle name="Followed Hyperlink" xfId="24159" builtinId="9" hidden="1"/>
    <cellStyle name="Followed Hyperlink" xfId="19040" builtinId="9" hidden="1"/>
    <cellStyle name="Followed Hyperlink" xfId="24722" builtinId="9" hidden="1"/>
    <cellStyle name="Followed Hyperlink" xfId="19601" builtinId="9" hidden="1"/>
    <cellStyle name="Followed Hyperlink" xfId="24424" builtinId="9" hidden="1"/>
    <cellStyle name="Followed Hyperlink" xfId="19304" builtinId="9" hidden="1"/>
    <cellStyle name="Followed Hyperlink" xfId="18888" builtinId="9" hidden="1"/>
    <cellStyle name="Followed Hyperlink" xfId="24606" builtinId="9" hidden="1"/>
    <cellStyle name="Followed Hyperlink" xfId="19486" builtinId="9" hidden="1"/>
    <cellStyle name="Followed Hyperlink" xfId="18764" builtinId="9" hidden="1"/>
    <cellStyle name="Followed Hyperlink" xfId="24531" builtinId="9" hidden="1"/>
    <cellStyle name="Followed Hyperlink" xfId="19411" builtinId="9" hidden="1"/>
    <cellStyle name="Followed Hyperlink" xfId="18684" builtinId="9" hidden="1"/>
    <cellStyle name="Followed Hyperlink" xfId="18555" builtinId="9" hidden="1"/>
    <cellStyle name="Followed Hyperlink" xfId="24126" builtinId="9" hidden="1"/>
    <cellStyle name="Followed Hyperlink" xfId="19007" builtinId="9" hidden="1"/>
    <cellStyle name="Followed Hyperlink" xfId="24701" builtinId="9" hidden="1"/>
    <cellStyle name="Followed Hyperlink" xfId="19580" builtinId="9" hidden="1"/>
    <cellStyle name="Followed Hyperlink" xfId="24275" builtinId="9" hidden="1"/>
    <cellStyle name="Followed Hyperlink" xfId="19155" builtinId="9" hidden="1"/>
    <cellStyle name="Followed Hyperlink" xfId="18855" builtinId="9" hidden="1"/>
    <cellStyle name="Followed Hyperlink" xfId="24573" builtinId="9" hidden="1"/>
    <cellStyle name="Followed Hyperlink" xfId="19453" builtinId="9" hidden="1"/>
    <cellStyle name="Followed Hyperlink" xfId="18731" builtinId="9" hidden="1"/>
    <cellStyle name="Followed Hyperlink" xfId="24498" builtinId="9" hidden="1"/>
    <cellStyle name="Followed Hyperlink" xfId="19378" builtinId="9" hidden="1"/>
    <cellStyle name="Followed Hyperlink" xfId="18651" builtinId="9" hidden="1"/>
    <cellStyle name="Followed Hyperlink" xfId="24391" builtinId="9" hidden="1"/>
    <cellStyle name="Followed Hyperlink" xfId="19271" builtinId="9" hidden="1"/>
    <cellStyle name="Followed Hyperlink" xfId="18522" builtinId="9" hidden="1"/>
    <cellStyle name="Followed Hyperlink" xfId="18405" builtinId="9" hidden="1"/>
    <cellStyle name="Followed Hyperlink" xfId="24093" builtinId="9" hidden="1"/>
    <cellStyle name="Followed Hyperlink" xfId="18972" builtinId="9" hidden="1"/>
    <cellStyle name="Followed Hyperlink" xfId="24680" builtinId="9" hidden="1"/>
    <cellStyle name="Followed Hyperlink" xfId="19559" builtinId="9" hidden="1"/>
    <cellStyle name="Followed Hyperlink" xfId="24243" builtinId="9" hidden="1"/>
    <cellStyle name="Followed Hyperlink" xfId="19123" builtinId="9" hidden="1"/>
    <cellStyle name="Followed Hyperlink" xfId="18605" builtinId="9" hidden="1"/>
    <cellStyle name="Followed Hyperlink" xfId="24318" builtinId="9" hidden="1"/>
    <cellStyle name="Followed Hyperlink" xfId="19198" builtinId="9" hidden="1"/>
    <cellStyle name="Followed Hyperlink" xfId="18449" builtinId="9" hidden="1"/>
    <cellStyle name="Followed Hyperlink" xfId="24359" builtinId="9" hidden="1"/>
    <cellStyle name="Followed Hyperlink" xfId="19239" builtinId="9" hidden="1"/>
    <cellStyle name="Followed Hyperlink" xfId="18490" builtinId="9" hidden="1"/>
    <cellStyle name="Followed Hyperlink" xfId="24200" builtinId="9" hidden="1"/>
    <cellStyle name="Followed Hyperlink" xfId="19080" builtinId="9" hidden="1"/>
    <cellStyle name="Followed Hyperlink" xfId="24465" builtinId="9" hidden="1"/>
    <cellStyle name="Followed Hyperlink" xfId="19345" builtinId="9" hidden="1"/>
    <cellStyle name="Followed Hyperlink" xfId="18929" builtinId="9" hidden="1"/>
    <cellStyle name="Followed Hyperlink" xfId="24648" builtinId="9" hidden="1"/>
    <cellStyle name="Followed Hyperlink" xfId="19527" builtinId="9" hidden="1"/>
    <cellStyle name="Followed Hyperlink" xfId="18804" builtinId="9" hidden="1"/>
    <cellStyle name="Followed Hyperlink" xfId="24546" builtinId="9" hidden="1"/>
    <cellStyle name="Followed Hyperlink" xfId="19426" builtinId="9" hidden="1"/>
    <cellStyle name="Followed Hyperlink" xfId="18699" builtinId="9" hidden="1"/>
    <cellStyle name="Followed Hyperlink" xfId="18597" builtinId="9" hidden="1"/>
    <cellStyle name="Followed Hyperlink" xfId="18372" builtinId="9" hidden="1"/>
    <cellStyle name="Followed Hyperlink" xfId="18973" builtinId="9" hidden="1"/>
    <cellStyle name="Followed Hyperlink" xfId="24681" builtinId="9" hidden="1"/>
    <cellStyle name="Followed Hyperlink" xfId="19560" builtinId="9" hidden="1"/>
    <cellStyle name="Followed Hyperlink" xfId="24244" builtinId="9" hidden="1"/>
    <cellStyle name="Followed Hyperlink" xfId="19124" builtinId="9" hidden="1"/>
    <cellStyle name="Followed Hyperlink" xfId="18608" builtinId="9" hidden="1"/>
    <cellStyle name="Followed Hyperlink" xfId="24319" builtinId="9" hidden="1"/>
    <cellStyle name="Followed Hyperlink" xfId="19199" builtinId="9" hidden="1"/>
    <cellStyle name="Followed Hyperlink" xfId="18450" builtinId="9" hidden="1"/>
    <cellStyle name="Followed Hyperlink" xfId="24360" builtinId="9" hidden="1"/>
    <cellStyle name="Followed Hyperlink" xfId="19240" builtinId="9" hidden="1"/>
    <cellStyle name="Followed Hyperlink" xfId="18491" builtinId="9" hidden="1"/>
    <cellStyle name="Followed Hyperlink" xfId="24201" builtinId="9" hidden="1"/>
    <cellStyle name="Followed Hyperlink" xfId="19081" builtinId="9" hidden="1"/>
    <cellStyle name="Followed Hyperlink" xfId="24743" builtinId="9" hidden="1"/>
    <cellStyle name="Followed Hyperlink" xfId="19621" builtinId="9" hidden="1"/>
    <cellStyle name="Followed Hyperlink" xfId="24466" builtinId="9" hidden="1"/>
    <cellStyle name="Followed Hyperlink" xfId="19346" builtinId="9" hidden="1"/>
    <cellStyle name="Followed Hyperlink" xfId="18930" builtinId="9" hidden="1"/>
    <cellStyle name="Followed Hyperlink" xfId="24649" builtinId="9" hidden="1"/>
    <cellStyle name="Followed Hyperlink" xfId="19528" builtinId="9" hidden="1"/>
    <cellStyle name="Followed Hyperlink" xfId="18805" builtinId="9" hidden="1"/>
    <cellStyle name="Followed Hyperlink" xfId="18598" builtinId="9" hidden="1"/>
    <cellStyle name="Followed Hyperlink" xfId="24160" builtinId="9" hidden="1"/>
    <cellStyle name="Followed Hyperlink" xfId="19041" builtinId="9" hidden="1"/>
    <cellStyle name="Followed Hyperlink" xfId="24723" builtinId="9" hidden="1"/>
    <cellStyle name="Followed Hyperlink" xfId="19602" builtinId="9" hidden="1"/>
    <cellStyle name="Followed Hyperlink" xfId="24425" builtinId="9" hidden="1"/>
    <cellStyle name="Followed Hyperlink" xfId="19305" builtinId="9" hidden="1"/>
    <cellStyle name="Followed Hyperlink" xfId="18889" builtinId="9" hidden="1"/>
    <cellStyle name="Followed Hyperlink" xfId="24607" builtinId="9" hidden="1"/>
    <cellStyle name="Followed Hyperlink" xfId="19487" builtinId="9" hidden="1"/>
    <cellStyle name="Followed Hyperlink" xfId="18765" builtinId="9" hidden="1"/>
    <cellStyle name="Followed Hyperlink" xfId="24532" builtinId="9" hidden="1"/>
    <cellStyle name="Followed Hyperlink" xfId="19412" builtinId="9" hidden="1"/>
    <cellStyle name="Followed Hyperlink" xfId="24128" builtinId="9" hidden="1"/>
    <cellStyle name="Followed Hyperlink" xfId="24647" builtinId="9" hidden="1"/>
    <cellStyle name="Followed Hyperlink" xfId="18556" builtinId="9" hidden="1"/>
    <cellStyle name="Followed Hyperlink" xfId="24127" builtinId="9" hidden="1"/>
    <cellStyle name="Followed Hyperlink" xfId="19008" builtinId="9" hidden="1"/>
    <cellStyle name="Followed Hyperlink" xfId="24702" builtinId="9" hidden="1"/>
    <cellStyle name="Followed Hyperlink" xfId="19581" builtinId="9" hidden="1"/>
    <cellStyle name="Followed Hyperlink" xfId="24276" builtinId="9" hidden="1"/>
    <cellStyle name="Followed Hyperlink" xfId="19156" builtinId="9" hidden="1"/>
    <cellStyle name="Followed Hyperlink" xfId="18856" builtinId="9" hidden="1"/>
    <cellStyle name="Followed Hyperlink" xfId="24574" builtinId="9" hidden="1"/>
    <cellStyle name="Followed Hyperlink" xfId="19454" builtinId="9" hidden="1"/>
    <cellStyle name="Followed Hyperlink" xfId="18732" builtinId="9" hidden="1"/>
    <cellStyle name="Followed Hyperlink" xfId="24499" builtinId="9" hidden="1"/>
    <cellStyle name="Followed Hyperlink" xfId="19379" builtinId="9" hidden="1"/>
    <cellStyle name="Followed Hyperlink" xfId="18652" builtinId="9" hidden="1"/>
    <cellStyle name="Followed Hyperlink" xfId="24392" builtinId="9" hidden="1"/>
    <cellStyle name="Followed Hyperlink" xfId="19272" builtinId="9" hidden="1"/>
    <cellStyle name="Followed Hyperlink" xfId="18523" builtinId="9" hidden="1"/>
    <cellStyle name="Followed Hyperlink" xfId="18406" builtinId="9" hidden="1"/>
    <cellStyle name="Followed Hyperlink" xfId="24094" builtinId="9" hidden="1"/>
    <cellStyle name="Followed Hyperlink" xfId="18373" builtinId="9" hidden="1"/>
    <cellStyle name="Followed Hyperlink" xfId="24065" builtinId="9" hidden="1"/>
    <cellStyle name="Followed Hyperlink" xfId="18945" builtinId="9" hidden="1"/>
    <cellStyle name="Followed Hyperlink" xfId="24665" builtinId="9" hidden="1"/>
    <cellStyle name="Followed Hyperlink" xfId="19544" builtinId="9" hidden="1"/>
    <cellStyle name="Followed Hyperlink" xfId="2726" builtinId="9" hidden="1"/>
    <cellStyle name="Followed Hyperlink" xfId="24060" builtinId="9" hidden="1"/>
    <cellStyle name="Followed Hyperlink" xfId="18940" builtinId="9" hidden="1"/>
    <cellStyle name="Followed Hyperlink" xfId="24660" builtinId="9" hidden="1"/>
    <cellStyle name="Followed Hyperlink" xfId="19539" builtinId="9" hidden="1"/>
    <cellStyle name="Followed Hyperlink" xfId="24211" builtinId="9" hidden="1"/>
    <cellStyle name="Followed Hyperlink" xfId="19091" builtinId="9" hidden="1"/>
    <cellStyle name="Followed Hyperlink" xfId="18612" builtinId="9" hidden="1"/>
    <cellStyle name="Followed Hyperlink" xfId="4098" builtinId="9" hidden="1"/>
    <cellStyle name="Followed Hyperlink" xfId="24327" builtinId="9" hidden="1"/>
    <cellStyle name="Followed Hyperlink" xfId="19207" builtinId="9" hidden="1"/>
    <cellStyle name="Followed Hyperlink" xfId="18458" builtinId="9" hidden="1"/>
    <cellStyle name="Followed Hyperlink" xfId="24168" builtinId="9" hidden="1"/>
    <cellStyle name="Followed Hyperlink" xfId="19048" builtinId="9" hidden="1"/>
    <cellStyle name="Followed Hyperlink" xfId="24733" builtinId="9" hidden="1"/>
    <cellStyle name="Followed Hyperlink" xfId="19157" builtinId="9" hidden="1"/>
    <cellStyle name="Followed Hyperlink" xfId="18685" builtinId="9" hidden="1"/>
    <cellStyle name="Followed Hyperlink" xfId="24433" builtinId="9" hidden="1"/>
    <cellStyle name="Followed Hyperlink" xfId="19313" builtinId="9" hidden="1"/>
    <cellStyle name="Followed Hyperlink" xfId="18897" builtinId="9" hidden="1"/>
    <cellStyle name="Followed Hyperlink" xfId="24615" builtinId="9" hidden="1"/>
    <cellStyle name="Followed Hyperlink" xfId="19495" builtinId="9" hidden="1"/>
    <cellStyle name="Followed Hyperlink" xfId="18773" builtinId="9" hidden="1"/>
    <cellStyle name="Followed Hyperlink" xfId="18565" builtinId="9" hidden="1"/>
    <cellStyle name="Followed Hyperlink" xfId="24150" builtinId="9" hidden="1"/>
    <cellStyle name="Followed Hyperlink" xfId="19031" builtinId="9" hidden="1"/>
    <cellStyle name="Followed Hyperlink" xfId="24713" builtinId="9" hidden="1"/>
    <cellStyle name="Followed Hyperlink" xfId="19592" builtinId="9" hidden="1"/>
    <cellStyle name="Followed Hyperlink" xfId="24415" builtinId="9" hidden="1"/>
    <cellStyle name="Followed Hyperlink" xfId="19295" builtinId="9" hidden="1"/>
    <cellStyle name="Followed Hyperlink" xfId="18879" builtinId="9" hidden="1"/>
    <cellStyle name="Followed Hyperlink" xfId="24597" builtinId="9" hidden="1"/>
    <cellStyle name="Followed Hyperlink" xfId="19477" builtinId="9" hidden="1"/>
    <cellStyle name="Followed Hyperlink" xfId="18755" builtinId="9" hidden="1"/>
    <cellStyle name="Followed Hyperlink" xfId="24522" builtinId="9" hidden="1"/>
    <cellStyle name="Followed Hyperlink" xfId="19402" builtinId="9" hidden="1"/>
    <cellStyle name="Followed Hyperlink" xfId="18675" builtinId="9" hidden="1"/>
    <cellStyle name="Followed Hyperlink" xfId="18546" builtinId="9" hidden="1"/>
    <cellStyle name="Followed Hyperlink" xfId="24117" builtinId="9" hidden="1"/>
    <cellStyle name="Followed Hyperlink" xfId="18998" builtinId="9" hidden="1"/>
    <cellStyle name="Followed Hyperlink" xfId="24692" builtinId="9" hidden="1"/>
    <cellStyle name="Followed Hyperlink" xfId="19571" builtinId="9" hidden="1"/>
    <cellStyle name="Followed Hyperlink" xfId="24266" builtinId="9" hidden="1"/>
    <cellStyle name="Followed Hyperlink" xfId="19146" builtinId="9" hidden="1"/>
    <cellStyle name="Followed Hyperlink" xfId="18846" builtinId="9" hidden="1"/>
    <cellStyle name="Followed Hyperlink" xfId="24564" builtinId="9" hidden="1"/>
    <cellStyle name="Followed Hyperlink" xfId="19444" builtinId="9" hidden="1"/>
    <cellStyle name="Followed Hyperlink" xfId="18722" builtinId="9" hidden="1"/>
    <cellStyle name="Followed Hyperlink" xfId="24489" builtinId="9" hidden="1"/>
    <cellStyle name="Followed Hyperlink" xfId="19369" builtinId="9" hidden="1"/>
    <cellStyle name="Followed Hyperlink" xfId="18642" builtinId="9" hidden="1"/>
    <cellStyle name="Followed Hyperlink" xfId="24382" builtinId="9" hidden="1"/>
    <cellStyle name="Followed Hyperlink" xfId="19262" builtinId="9" hidden="1"/>
    <cellStyle name="Followed Hyperlink" xfId="18513" builtinId="9" hidden="1"/>
    <cellStyle name="Followed Hyperlink" xfId="18396" builtinId="9" hidden="1"/>
    <cellStyle name="Followed Hyperlink" xfId="24084" builtinId="9" hidden="1"/>
    <cellStyle name="Followed Hyperlink" xfId="24575" builtinId="9" hidden="1"/>
    <cellStyle name="Followed Hyperlink" xfId="19611" builtinId="9" hidden="1"/>
    <cellStyle name="Followed Hyperlink" xfId="24671" builtinId="9" hidden="1"/>
    <cellStyle name="Followed Hyperlink" xfId="19550" builtinId="9" hidden="1"/>
    <cellStyle name="Followed Hyperlink" xfId="24234" builtinId="9" hidden="1"/>
    <cellStyle name="Followed Hyperlink" xfId="19114" builtinId="9" hidden="1"/>
    <cellStyle name="Followed Hyperlink" xfId="18613" builtinId="9" hidden="1"/>
    <cellStyle name="Followed Hyperlink" xfId="24309" builtinId="9" hidden="1"/>
    <cellStyle name="Followed Hyperlink" xfId="19189" builtinId="9" hidden="1"/>
    <cellStyle name="Followed Hyperlink" xfId="18440" builtinId="9" hidden="1"/>
    <cellStyle name="Followed Hyperlink" xfId="24350" builtinId="9" hidden="1"/>
    <cellStyle name="Followed Hyperlink" xfId="19230" builtinId="9" hidden="1"/>
    <cellStyle name="Followed Hyperlink" xfId="18481" builtinId="9" hidden="1"/>
    <cellStyle name="Followed Hyperlink" xfId="24191" builtinId="9" hidden="1"/>
    <cellStyle name="Followed Hyperlink" xfId="19071" builtinId="9" hidden="1"/>
    <cellStyle name="Followed Hyperlink" xfId="24456" builtinId="9" hidden="1"/>
    <cellStyle name="Followed Hyperlink" xfId="19336" builtinId="9" hidden="1"/>
    <cellStyle name="Followed Hyperlink" xfId="18920" builtinId="9" hidden="1"/>
    <cellStyle name="Followed Hyperlink" xfId="24639" builtinId="9" hidden="1"/>
    <cellStyle name="Followed Hyperlink" xfId="19518" builtinId="9" hidden="1"/>
    <cellStyle name="Followed Hyperlink" xfId="18795" builtinId="9" hidden="1"/>
    <cellStyle name="Followed Hyperlink" xfId="24541" builtinId="9" hidden="1"/>
    <cellStyle name="Followed Hyperlink" xfId="19421" builtinId="9" hidden="1"/>
    <cellStyle name="Followed Hyperlink" xfId="18694" builtinId="9" hidden="1"/>
    <cellStyle name="Followed Hyperlink" xfId="18588" builtinId="9" hidden="1"/>
    <cellStyle name="Followed Hyperlink" xfId="18363" builtinId="9" hidden="1"/>
    <cellStyle name="Followed Hyperlink" xfId="18970" builtinId="9" hidden="1"/>
    <cellStyle name="Followed Hyperlink" xfId="24678" builtinId="9" hidden="1"/>
    <cellStyle name="Followed Hyperlink" xfId="19557" builtinId="9" hidden="1"/>
    <cellStyle name="Followed Hyperlink" xfId="24241" builtinId="9" hidden="1"/>
    <cellStyle name="Followed Hyperlink" xfId="19121" builtinId="9" hidden="1"/>
    <cellStyle name="Followed Hyperlink" xfId="18616" builtinId="9" hidden="1"/>
    <cellStyle name="Followed Hyperlink" xfId="24316" builtinId="9" hidden="1"/>
    <cellStyle name="Followed Hyperlink" xfId="19196" builtinId="9" hidden="1"/>
    <cellStyle name="Followed Hyperlink" xfId="18447" builtinId="9" hidden="1"/>
    <cellStyle name="Followed Hyperlink" xfId="24357" builtinId="9" hidden="1"/>
    <cellStyle name="Followed Hyperlink" xfId="19237" builtinId="9" hidden="1"/>
    <cellStyle name="Followed Hyperlink" xfId="18488" builtinId="9" hidden="1"/>
    <cellStyle name="Followed Hyperlink" xfId="24198" builtinId="9" hidden="1"/>
    <cellStyle name="Followed Hyperlink" xfId="19078" builtinId="9" hidden="1"/>
    <cellStyle name="Followed Hyperlink" xfId="24740" builtinId="9" hidden="1"/>
    <cellStyle name="Followed Hyperlink" xfId="19009" builtinId="9" hidden="1"/>
    <cellStyle name="Followed Hyperlink" xfId="18963" builtinId="9" hidden="1"/>
    <cellStyle name="Followed Hyperlink" xfId="24463" builtinId="9" hidden="1"/>
    <cellStyle name="Followed Hyperlink" xfId="19343" builtinId="9" hidden="1"/>
    <cellStyle name="Followed Hyperlink" xfId="18927" builtinId="9" hidden="1"/>
    <cellStyle name="Followed Hyperlink" xfId="24646" builtinId="9" hidden="1"/>
    <cellStyle name="Followed Hyperlink" xfId="19525" builtinId="9" hidden="1"/>
    <cellStyle name="Followed Hyperlink" xfId="18802" builtinId="9" hidden="1"/>
    <cellStyle name="Followed Hyperlink" xfId="18595" builtinId="9" hidden="1"/>
    <cellStyle name="Followed Hyperlink" xfId="24157" builtinId="9" hidden="1"/>
    <cellStyle name="Followed Hyperlink" xfId="19038" builtinId="9" hidden="1"/>
    <cellStyle name="Followed Hyperlink" xfId="24720" builtinId="9" hidden="1"/>
    <cellStyle name="Followed Hyperlink" xfId="19599" builtinId="9" hidden="1"/>
    <cellStyle name="Followed Hyperlink" xfId="24422" builtinId="9" hidden="1"/>
    <cellStyle name="Followed Hyperlink" xfId="19302" builtinId="9" hidden="1"/>
    <cellStyle name="Followed Hyperlink" xfId="18886" builtinId="9" hidden="1"/>
    <cellStyle name="Followed Hyperlink" xfId="24604" builtinId="9" hidden="1"/>
    <cellStyle name="Followed Hyperlink" xfId="19484" builtinId="9" hidden="1"/>
    <cellStyle name="Followed Hyperlink" xfId="18762" builtinId="9" hidden="1"/>
    <cellStyle name="Followed Hyperlink" xfId="24529" builtinId="9" hidden="1"/>
    <cellStyle name="Followed Hyperlink" xfId="19409" builtinId="9" hidden="1"/>
    <cellStyle name="Followed Hyperlink" xfId="18682" builtinId="9" hidden="1"/>
    <cellStyle name="Followed Hyperlink" xfId="18553" builtinId="9" hidden="1"/>
    <cellStyle name="Followed Hyperlink" xfId="24124" builtinId="9" hidden="1"/>
    <cellStyle name="Followed Hyperlink" xfId="19005" builtinId="9" hidden="1"/>
    <cellStyle name="Followed Hyperlink" xfId="24699" builtinId="9" hidden="1"/>
    <cellStyle name="Followed Hyperlink" xfId="19578" builtinId="9" hidden="1"/>
    <cellStyle name="Followed Hyperlink" xfId="24273" builtinId="9" hidden="1"/>
    <cellStyle name="Followed Hyperlink" xfId="19153" builtinId="9" hidden="1"/>
    <cellStyle name="Followed Hyperlink" xfId="18853" builtinId="9" hidden="1"/>
    <cellStyle name="Followed Hyperlink" xfId="24571" builtinId="9" hidden="1"/>
    <cellStyle name="Followed Hyperlink" xfId="19451" builtinId="9" hidden="1"/>
    <cellStyle name="Followed Hyperlink" xfId="18729" builtinId="9" hidden="1"/>
    <cellStyle name="Followed Hyperlink" xfId="24496" builtinId="9" hidden="1"/>
    <cellStyle name="Followed Hyperlink" xfId="19376" builtinId="9" hidden="1"/>
    <cellStyle name="Followed Hyperlink" xfId="18649" builtinId="9" hidden="1"/>
    <cellStyle name="Followed Hyperlink" xfId="24389" builtinId="9" hidden="1"/>
    <cellStyle name="Followed Hyperlink" xfId="19269" builtinId="9" hidden="1"/>
    <cellStyle name="Followed Hyperlink" xfId="18520" builtinId="9" hidden="1"/>
    <cellStyle name="Followed Hyperlink" xfId="18403" builtinId="9" hidden="1"/>
    <cellStyle name="Followed Hyperlink" xfId="24091" builtinId="9" hidden="1"/>
    <cellStyle name="Followed Hyperlink" xfId="19582" builtinId="9" hidden="1"/>
    <cellStyle name="Followed Hyperlink" xfId="19618" builtinId="9" hidden="1"/>
    <cellStyle name="Followed Hyperlink" xfId="24215" builtinId="9" hidden="1"/>
    <cellStyle name="Followed Hyperlink" xfId="19095" builtinId="9" hidden="1"/>
    <cellStyle name="Followed Hyperlink" xfId="18611" builtinId="9" hidden="1"/>
    <cellStyle name="Followed Hyperlink" xfId="24290" builtinId="9" hidden="1"/>
    <cellStyle name="Followed Hyperlink" xfId="19170" builtinId="9" hidden="1"/>
    <cellStyle name="Followed Hyperlink" xfId="18420" builtinId="9" hidden="1"/>
    <cellStyle name="Followed Hyperlink" xfId="24331" builtinId="9" hidden="1"/>
    <cellStyle name="Followed Hyperlink" xfId="19211" builtinId="9" hidden="1"/>
    <cellStyle name="Followed Hyperlink" xfId="18462" builtinId="9" hidden="1"/>
    <cellStyle name="Followed Hyperlink" xfId="24172" builtinId="9" hidden="1"/>
    <cellStyle name="Followed Hyperlink" xfId="19052" builtinId="9" hidden="1"/>
    <cellStyle name="Followed Hyperlink" xfId="24738" builtinId="9" hidden="1"/>
    <cellStyle name="Followed Hyperlink" xfId="19616" builtinId="9" hidden="1"/>
    <cellStyle name="Followed Hyperlink" xfId="24437" builtinId="9" hidden="1"/>
    <cellStyle name="Followed Hyperlink" xfId="19317" builtinId="9" hidden="1"/>
    <cellStyle name="Followed Hyperlink" xfId="18901" builtinId="9" hidden="1"/>
    <cellStyle name="Followed Hyperlink" xfId="24620" builtinId="9" hidden="1"/>
    <cellStyle name="Followed Hyperlink" xfId="19499" builtinId="9" hidden="1"/>
    <cellStyle name="Followed Hyperlink" xfId="18777" builtinId="9" hidden="1"/>
    <cellStyle name="Followed Hyperlink" xfId="18569" builtinId="9" hidden="1"/>
    <cellStyle name="Followed Hyperlink" xfId="24155" builtinId="9" hidden="1"/>
    <cellStyle name="Followed Hyperlink" xfId="19036" builtinId="9" hidden="1"/>
    <cellStyle name="Followed Hyperlink" xfId="24718" builtinId="9" hidden="1"/>
    <cellStyle name="Followed Hyperlink" xfId="19597" builtinId="9" hidden="1"/>
    <cellStyle name="Followed Hyperlink" xfId="24420" builtinId="9" hidden="1"/>
    <cellStyle name="Followed Hyperlink" xfId="19300" builtinId="9" hidden="1"/>
    <cellStyle name="Followed Hyperlink" xfId="18884" builtinId="9" hidden="1"/>
    <cellStyle name="Followed Hyperlink" xfId="24602" builtinId="9" hidden="1"/>
    <cellStyle name="Followed Hyperlink" xfId="19482" builtinId="9" hidden="1"/>
    <cellStyle name="Followed Hyperlink" xfId="18760" builtinId="9" hidden="1"/>
    <cellStyle name="Followed Hyperlink" xfId="24527" builtinId="9" hidden="1"/>
    <cellStyle name="Followed Hyperlink" xfId="19407" builtinId="9" hidden="1"/>
    <cellStyle name="Followed Hyperlink" xfId="18680" builtinId="9" hidden="1"/>
    <cellStyle name="Followed Hyperlink" xfId="18551" builtinId="9" hidden="1"/>
    <cellStyle name="Followed Hyperlink" xfId="24122" builtinId="9" hidden="1"/>
    <cellStyle name="Followed Hyperlink" xfId="19003" builtinId="9" hidden="1"/>
    <cellStyle name="Followed Hyperlink" xfId="24697" builtinId="9" hidden="1"/>
    <cellStyle name="Followed Hyperlink" xfId="19576" builtinId="9" hidden="1"/>
    <cellStyle name="Followed Hyperlink" xfId="24271" builtinId="9" hidden="1"/>
    <cellStyle name="Followed Hyperlink" xfId="24277" builtinId="9" hidden="1"/>
    <cellStyle name="Followed Hyperlink" xfId="18370" builtinId="9" hidden="1"/>
    <cellStyle name="Followed Hyperlink" xfId="18851" builtinId="9" hidden="1"/>
    <cellStyle name="Followed Hyperlink" xfId="24569" builtinId="9" hidden="1"/>
    <cellStyle name="Followed Hyperlink" xfId="19449" builtinId="9" hidden="1"/>
    <cellStyle name="Followed Hyperlink" xfId="18727" builtinId="9" hidden="1"/>
    <cellStyle name="Followed Hyperlink" xfId="24494" builtinId="9" hidden="1"/>
    <cellStyle name="Followed Hyperlink" xfId="19374" builtinId="9" hidden="1"/>
    <cellStyle name="Followed Hyperlink" xfId="18647" builtinId="9" hidden="1"/>
    <cellStyle name="Followed Hyperlink" xfId="24387" builtinId="9" hidden="1"/>
    <cellStyle name="Followed Hyperlink" xfId="19267" builtinId="9" hidden="1"/>
    <cellStyle name="Followed Hyperlink" xfId="18518" builtinId="9" hidden="1"/>
    <cellStyle name="Followed Hyperlink" xfId="18401" builtinId="9" hidden="1"/>
    <cellStyle name="Followed Hyperlink" xfId="24089" builtinId="9" hidden="1"/>
    <cellStyle name="Followed Hyperlink" xfId="18968" builtinId="9" hidden="1"/>
    <cellStyle name="Followed Hyperlink" xfId="24676" builtinId="9" hidden="1"/>
    <cellStyle name="Followed Hyperlink" xfId="19555" builtinId="9" hidden="1"/>
    <cellStyle name="Followed Hyperlink" xfId="24239" builtinId="9" hidden="1"/>
    <cellStyle name="Followed Hyperlink" xfId="19119" builtinId="9" hidden="1"/>
    <cellStyle name="Followed Hyperlink" xfId="18623" builtinId="9" hidden="1"/>
    <cellStyle name="Followed Hyperlink" xfId="24314" builtinId="9" hidden="1"/>
    <cellStyle name="Followed Hyperlink" xfId="19194" builtinId="9" hidden="1"/>
    <cellStyle name="Followed Hyperlink" xfId="18445" builtinId="9" hidden="1"/>
    <cellStyle name="Followed Hyperlink" xfId="24355" builtinId="9" hidden="1"/>
    <cellStyle name="Followed Hyperlink" xfId="19235" builtinId="9" hidden="1"/>
    <cellStyle name="Followed Hyperlink" xfId="18486" builtinId="9" hidden="1"/>
    <cellStyle name="Followed Hyperlink" xfId="24196" builtinId="9" hidden="1"/>
    <cellStyle name="Followed Hyperlink" xfId="19076" builtinId="9" hidden="1"/>
    <cellStyle name="Followed Hyperlink" xfId="24461" builtinId="9" hidden="1"/>
    <cellStyle name="Followed Hyperlink" xfId="19341" builtinId="9" hidden="1"/>
    <cellStyle name="Followed Hyperlink" xfId="18925" builtinId="9" hidden="1"/>
    <cellStyle name="Followed Hyperlink" xfId="24644" builtinId="9" hidden="1"/>
    <cellStyle name="Followed Hyperlink" xfId="19523" builtinId="9" hidden="1"/>
    <cellStyle name="Followed Hyperlink" xfId="18800" builtinId="9" hidden="1"/>
    <cellStyle name="Followed Hyperlink" xfId="24544" builtinId="9" hidden="1"/>
    <cellStyle name="Followed Hyperlink" xfId="19424" builtinId="9" hidden="1"/>
    <cellStyle name="Followed Hyperlink" xfId="18697" builtinId="9" hidden="1"/>
    <cellStyle name="Followed Hyperlink" xfId="18593" builtinId="9" hidden="1"/>
    <cellStyle name="Followed Hyperlink" xfId="18368" builtinId="9" hidden="1"/>
    <cellStyle name="Followed Hyperlink" xfId="18969" builtinId="9" hidden="1"/>
    <cellStyle name="Followed Hyperlink" xfId="24677" builtinId="9" hidden="1"/>
    <cellStyle name="Followed Hyperlink" xfId="18857" builtinId="9" hidden="1"/>
    <cellStyle name="Followed Hyperlink" xfId="19151" builtinId="9" hidden="1"/>
    <cellStyle name="Followed Hyperlink" xfId="24240" builtinId="9" hidden="1"/>
    <cellStyle name="Followed Hyperlink" xfId="19120" builtinId="9" hidden="1"/>
    <cellStyle name="Followed Hyperlink" xfId="18615" builtinId="9" hidden="1"/>
    <cellStyle name="Followed Hyperlink" xfId="24315" builtinId="9" hidden="1"/>
    <cellStyle name="Followed Hyperlink" xfId="19195" builtinId="9" hidden="1"/>
    <cellStyle name="Followed Hyperlink" xfId="18446" builtinId="9" hidden="1"/>
    <cellStyle name="Followed Hyperlink" xfId="24356" builtinId="9" hidden="1"/>
    <cellStyle name="Followed Hyperlink" xfId="19236" builtinId="9" hidden="1"/>
    <cellStyle name="Followed Hyperlink" xfId="18487" builtinId="9" hidden="1"/>
    <cellStyle name="Followed Hyperlink" xfId="24197" builtinId="9" hidden="1"/>
    <cellStyle name="Followed Hyperlink" xfId="19077" builtinId="9" hidden="1"/>
    <cellStyle name="Followed Hyperlink" xfId="24739" builtinId="9" hidden="1"/>
    <cellStyle name="Followed Hyperlink" xfId="19617" builtinId="9" hidden="1"/>
    <cellStyle name="Followed Hyperlink" xfId="24462" builtinId="9" hidden="1"/>
    <cellStyle name="Followed Hyperlink" xfId="19342" builtinId="9" hidden="1"/>
    <cellStyle name="Followed Hyperlink" xfId="18926" builtinId="9" hidden="1"/>
    <cellStyle name="Followed Hyperlink" xfId="24645" builtinId="9" hidden="1"/>
    <cellStyle name="Followed Hyperlink" xfId="19524" builtinId="9" hidden="1"/>
    <cellStyle name="Followed Hyperlink" xfId="18801" builtinId="9" hidden="1"/>
    <cellStyle name="Followed Hyperlink" xfId="18594" builtinId="9" hidden="1"/>
    <cellStyle name="Followed Hyperlink" xfId="24156" builtinId="9" hidden="1"/>
    <cellStyle name="Followed Hyperlink" xfId="19037" builtinId="9" hidden="1"/>
    <cellStyle name="Followed Hyperlink" xfId="24719" builtinId="9" hidden="1"/>
    <cellStyle name="Followed Hyperlink" xfId="19598" builtinId="9" hidden="1"/>
    <cellStyle name="Followed Hyperlink" xfId="24421" builtinId="9" hidden="1"/>
    <cellStyle name="Followed Hyperlink" xfId="19301" builtinId="9" hidden="1"/>
    <cellStyle name="Followed Hyperlink" xfId="18885" builtinId="9" hidden="1"/>
    <cellStyle name="Followed Hyperlink" xfId="24603" builtinId="9" hidden="1"/>
    <cellStyle name="Followed Hyperlink" xfId="19483" builtinId="9" hidden="1"/>
    <cellStyle name="Followed Hyperlink" xfId="18761" builtinId="9" hidden="1"/>
    <cellStyle name="Followed Hyperlink" xfId="24528" builtinId="9" hidden="1"/>
    <cellStyle name="Followed Hyperlink" xfId="19408" builtinId="9" hidden="1"/>
    <cellStyle name="Followed Hyperlink" xfId="18681" builtinId="9" hidden="1"/>
    <cellStyle name="Followed Hyperlink" xfId="18552" builtinId="9" hidden="1"/>
    <cellStyle name="Followed Hyperlink" xfId="24123" builtinId="9" hidden="1"/>
    <cellStyle name="Followed Hyperlink" xfId="19004" builtinId="9" hidden="1"/>
    <cellStyle name="Followed Hyperlink" xfId="24698" builtinId="9" hidden="1"/>
    <cellStyle name="Followed Hyperlink" xfId="19577" builtinId="9" hidden="1"/>
    <cellStyle name="Followed Hyperlink" xfId="24272" builtinId="9" hidden="1"/>
    <cellStyle name="Followed Hyperlink" xfId="24703" builtinId="9" hidden="1"/>
    <cellStyle name="Followed Hyperlink" xfId="19556" builtinId="9" hidden="1"/>
    <cellStyle name="Followed Hyperlink" xfId="19152" builtinId="9" hidden="1"/>
    <cellStyle name="Followed Hyperlink" xfId="18852" builtinId="9" hidden="1"/>
    <cellStyle name="Followed Hyperlink" xfId="24570" builtinId="9" hidden="1"/>
    <cellStyle name="Followed Hyperlink" xfId="19450" builtinId="9" hidden="1"/>
    <cellStyle name="Followed Hyperlink" xfId="18728" builtinId="9" hidden="1"/>
    <cellStyle name="Followed Hyperlink" xfId="24495" builtinId="9" hidden="1"/>
    <cellStyle name="Followed Hyperlink" xfId="19375" builtinId="9" hidden="1"/>
    <cellStyle name="Followed Hyperlink" xfId="18648" builtinId="9" hidden="1"/>
    <cellStyle name="Followed Hyperlink" xfId="24388" builtinId="9" hidden="1"/>
    <cellStyle name="Followed Hyperlink" xfId="19268" builtinId="9" hidden="1"/>
    <cellStyle name="Followed Hyperlink" xfId="18519" builtinId="9" hidden="1"/>
    <cellStyle name="Followed Hyperlink" xfId="18402" builtinId="9" hidden="1"/>
    <cellStyle name="Followed Hyperlink" xfId="24090" builtinId="9" hidden="1"/>
    <cellStyle name="Followed Hyperlink" xfId="18369" builtinId="9" hidden="1"/>
    <cellStyle name="Followed Hyperlink" xfId="24064" builtinId="9" hidden="1"/>
    <cellStyle name="Followed Hyperlink" xfId="18944" builtinId="9" hidden="1"/>
    <cellStyle name="Followed Hyperlink" xfId="24664" builtinId="9" hidden="1"/>
    <cellStyle name="Followed Hyperlink" xfId="19543" builtinId="9" hidden="1"/>
    <cellStyle name="Followed Hyperlink" xfId="2689" builtinId="9" hidden="1"/>
    <cellStyle name="Followed Hyperlink" xfId="24288" builtinId="9" hidden="1"/>
    <cellStyle name="Followed Hyperlink" xfId="19168" builtinId="9" hidden="1"/>
    <cellStyle name="Followed Hyperlink" xfId="18418" builtinId="9" hidden="1"/>
    <cellStyle name="Followed Hyperlink" xfId="24329" builtinId="9" hidden="1"/>
    <cellStyle name="Followed Hyperlink" xfId="19209" builtinId="9" hidden="1"/>
    <cellStyle name="Followed Hyperlink" xfId="18460" builtinId="9" hidden="1"/>
    <cellStyle name="Followed Hyperlink" xfId="24170" builtinId="9" hidden="1"/>
    <cellStyle name="Followed Hyperlink" xfId="19050" builtinId="9" hidden="1"/>
    <cellStyle name="Followed Hyperlink" xfId="24734" builtinId="9" hidden="1"/>
    <cellStyle name="Followed Hyperlink" xfId="19612" builtinId="9" hidden="1"/>
    <cellStyle name="Followed Hyperlink" xfId="24435" builtinId="9" hidden="1"/>
    <cellStyle name="Followed Hyperlink" xfId="19315" builtinId="9" hidden="1"/>
    <cellStyle name="Followed Hyperlink" xfId="18899" builtinId="9" hidden="1"/>
    <cellStyle name="Followed Hyperlink" xfId="24617" builtinId="9" hidden="1"/>
    <cellStyle name="Followed Hyperlink" xfId="19497" builtinId="9" hidden="1"/>
    <cellStyle name="Followed Hyperlink" xfId="18775" builtinId="9" hidden="1"/>
    <cellStyle name="Followed Hyperlink" xfId="18567" builtinId="9" hidden="1"/>
    <cellStyle name="Followed Hyperlink" xfId="24151" builtinId="9" hidden="1"/>
    <cellStyle name="Followed Hyperlink" xfId="19032" builtinId="9" hidden="1"/>
    <cellStyle name="Followed Hyperlink" xfId="24714" builtinId="9" hidden="1"/>
    <cellStyle name="Followed Hyperlink" xfId="18815" builtinId="9" hidden="1"/>
    <cellStyle name="Followed Hyperlink" xfId="24242" builtinId="9" hidden="1"/>
    <cellStyle name="Followed Hyperlink" xfId="19593" builtinId="9" hidden="1"/>
    <cellStyle name="Followed Hyperlink" xfId="24416" builtinId="9" hidden="1"/>
    <cellStyle name="Followed Hyperlink" xfId="19296" builtinId="9" hidden="1"/>
    <cellStyle name="Followed Hyperlink" xfId="18880" builtinId="9" hidden="1"/>
    <cellStyle name="Followed Hyperlink" xfId="24598" builtinId="9" hidden="1"/>
    <cellStyle name="Followed Hyperlink" xfId="19478" builtinId="9" hidden="1"/>
    <cellStyle name="Followed Hyperlink" xfId="18756" builtinId="9" hidden="1"/>
    <cellStyle name="Followed Hyperlink" xfId="24523" builtinId="9" hidden="1"/>
    <cellStyle name="Followed Hyperlink" xfId="19403" builtinId="9" hidden="1"/>
    <cellStyle name="Followed Hyperlink" xfId="18676" builtinId="9" hidden="1"/>
    <cellStyle name="Followed Hyperlink" xfId="18547" builtinId="9" hidden="1"/>
    <cellStyle name="Followed Hyperlink" xfId="24118" builtinId="9" hidden="1"/>
    <cellStyle name="Followed Hyperlink" xfId="18999" builtinId="9" hidden="1"/>
    <cellStyle name="Followed Hyperlink" xfId="24693" builtinId="9" hidden="1"/>
    <cellStyle name="Followed Hyperlink" xfId="19572" builtinId="9" hidden="1"/>
    <cellStyle name="Followed Hyperlink" xfId="24267" builtinId="9" hidden="1"/>
    <cellStyle name="Followed Hyperlink" xfId="19147" builtinId="9" hidden="1"/>
    <cellStyle name="Followed Hyperlink" xfId="18847" builtinId="9" hidden="1"/>
    <cellStyle name="Followed Hyperlink" xfId="24565" builtinId="9" hidden="1"/>
    <cellStyle name="Followed Hyperlink" xfId="19445" builtinId="9" hidden="1"/>
    <cellStyle name="Followed Hyperlink" xfId="18723" builtinId="9" hidden="1"/>
    <cellStyle name="Followed Hyperlink" xfId="24490" builtinId="9" hidden="1"/>
    <cellStyle name="Followed Hyperlink" xfId="19370" builtinId="9" hidden="1"/>
    <cellStyle name="Followed Hyperlink" xfId="18643" builtinId="9" hidden="1"/>
    <cellStyle name="Followed Hyperlink" xfId="24383" builtinId="9" hidden="1"/>
    <cellStyle name="Followed Hyperlink" xfId="19263" builtinId="9" hidden="1"/>
    <cellStyle name="Followed Hyperlink" xfId="18514" builtinId="9" hidden="1"/>
    <cellStyle name="Followed Hyperlink" xfId="18397" builtinId="9" hidden="1"/>
    <cellStyle name="Followed Hyperlink" xfId="24085" builtinId="9" hidden="1"/>
    <cellStyle name="Followed Hyperlink" xfId="18964" builtinId="9" hidden="1"/>
    <cellStyle name="Followed Hyperlink" xfId="24672" builtinId="9" hidden="1"/>
    <cellStyle name="Followed Hyperlink" xfId="19551" builtinId="9" hidden="1"/>
    <cellStyle name="Followed Hyperlink" xfId="24235" builtinId="9" hidden="1"/>
    <cellStyle name="Followed Hyperlink" xfId="19115" builtinId="9" hidden="1"/>
    <cellStyle name="Followed Hyperlink" xfId="18813" builtinId="9" hidden="1"/>
    <cellStyle name="Followed Hyperlink" xfId="24310" builtinId="9" hidden="1"/>
    <cellStyle name="Followed Hyperlink" xfId="19190" builtinId="9" hidden="1"/>
    <cellStyle name="Followed Hyperlink" xfId="18441" builtinId="9" hidden="1"/>
    <cellStyle name="Followed Hyperlink" xfId="24351" builtinId="9" hidden="1"/>
    <cellStyle name="Followed Hyperlink" xfId="19519" builtinId="9" hidden="1"/>
    <cellStyle name="Followed Hyperlink" xfId="18796" builtinId="9" hidden="1"/>
    <cellStyle name="Followed Hyperlink" xfId="24542" builtinId="9" hidden="1"/>
    <cellStyle name="Followed Hyperlink" xfId="19422" builtinId="9" hidden="1"/>
    <cellStyle name="Followed Hyperlink" xfId="18695" builtinId="9" hidden="1"/>
    <cellStyle name="Followed Hyperlink" xfId="18589" builtinId="9" hidden="1"/>
    <cellStyle name="Followed Hyperlink" xfId="18364" builtinId="9" hidden="1"/>
    <cellStyle name="Followed Hyperlink" xfId="18967" builtinId="9" hidden="1"/>
    <cellStyle name="Followed Hyperlink" xfId="24675" builtinId="9" hidden="1"/>
    <cellStyle name="Followed Hyperlink" xfId="19554" builtinId="9" hidden="1"/>
    <cellStyle name="Followed Hyperlink" xfId="24238" builtinId="9" hidden="1"/>
    <cellStyle name="Followed Hyperlink" xfId="19118" builtinId="9" hidden="1"/>
    <cellStyle name="Followed Hyperlink" xfId="18824" builtinId="9" hidden="1"/>
    <cellStyle name="Followed Hyperlink" xfId="24313" builtinId="9" hidden="1"/>
    <cellStyle name="Followed Hyperlink" xfId="19193" builtinId="9" hidden="1"/>
    <cellStyle name="Followed Hyperlink" xfId="18444" builtinId="9" hidden="1"/>
    <cellStyle name="Followed Hyperlink" xfId="24354" builtinId="9" hidden="1"/>
    <cellStyle name="Followed Hyperlink" xfId="19234" builtinId="9" hidden="1"/>
    <cellStyle name="Followed Hyperlink" xfId="18485" builtinId="9" hidden="1"/>
    <cellStyle name="Followed Hyperlink" xfId="24195" builtinId="9" hidden="1"/>
    <cellStyle name="Followed Hyperlink" xfId="19075" builtinId="9" hidden="1"/>
    <cellStyle name="Followed Hyperlink" xfId="24737" builtinId="9" hidden="1"/>
    <cellStyle name="Followed Hyperlink" xfId="19615" builtinId="9" hidden="1"/>
    <cellStyle name="Followed Hyperlink" xfId="24460" builtinId="9" hidden="1"/>
    <cellStyle name="Followed Hyperlink" xfId="19340" builtinId="9" hidden="1"/>
    <cellStyle name="Followed Hyperlink" xfId="18924" builtinId="9" hidden="1"/>
    <cellStyle name="Followed Hyperlink" xfId="24643" builtinId="9" hidden="1"/>
    <cellStyle name="Followed Hyperlink" xfId="19522" builtinId="9" hidden="1"/>
    <cellStyle name="Followed Hyperlink" xfId="18799" builtinId="9" hidden="1"/>
    <cellStyle name="Followed Hyperlink" xfId="18592" builtinId="9" hidden="1"/>
    <cellStyle name="Followed Hyperlink" xfId="24154" builtinId="9" hidden="1"/>
    <cellStyle name="Followed Hyperlink" xfId="19035" builtinId="9" hidden="1"/>
    <cellStyle name="Followed Hyperlink" xfId="24717" builtinId="9" hidden="1"/>
    <cellStyle name="Followed Hyperlink" xfId="19596" builtinId="9" hidden="1"/>
    <cellStyle name="Followed Hyperlink" xfId="24419" builtinId="9" hidden="1"/>
    <cellStyle name="Followed Hyperlink" xfId="19299" builtinId="9" hidden="1"/>
    <cellStyle name="Followed Hyperlink" xfId="18883" builtinId="9" hidden="1"/>
    <cellStyle name="Followed Hyperlink" xfId="24601" builtinId="9" hidden="1"/>
    <cellStyle name="Followed Hyperlink" xfId="19481" builtinId="9" hidden="1"/>
    <cellStyle name="Followed Hyperlink" xfId="18759" builtinId="9" hidden="1"/>
    <cellStyle name="Followed Hyperlink" xfId="24526" builtinId="9" hidden="1"/>
    <cellStyle name="Followed Hyperlink" xfId="19406" builtinId="9" hidden="1"/>
    <cellStyle name="Followed Hyperlink" xfId="18679" builtinId="9" hidden="1"/>
    <cellStyle name="Followed Hyperlink" xfId="18550" builtinId="9" hidden="1"/>
    <cellStyle name="Followed Hyperlink" xfId="24121" builtinId="9" hidden="1"/>
    <cellStyle name="Followed Hyperlink" xfId="19002" builtinId="9" hidden="1"/>
    <cellStyle name="Followed Hyperlink" xfId="24696" builtinId="9" hidden="1"/>
    <cellStyle name="Followed Hyperlink" xfId="19575" builtinId="9" hidden="1"/>
    <cellStyle name="Followed Hyperlink" xfId="24270" builtinId="9" hidden="1"/>
    <cellStyle name="Followed Hyperlink" xfId="19150" builtinId="9" hidden="1"/>
    <cellStyle name="Followed Hyperlink" xfId="18850" builtinId="9" hidden="1"/>
    <cellStyle name="Followed Hyperlink" xfId="24568" builtinId="9" hidden="1"/>
    <cellStyle name="Followed Hyperlink" xfId="19448" builtinId="9" hidden="1"/>
    <cellStyle name="Followed Hyperlink" xfId="18726" builtinId="9" hidden="1"/>
    <cellStyle name="Followed Hyperlink" xfId="24493" builtinId="9" hidden="1"/>
    <cellStyle name="Followed Hyperlink" xfId="19373" builtinId="9" hidden="1"/>
    <cellStyle name="Followed Hyperlink" xfId="18646" builtinId="9" hidden="1"/>
    <cellStyle name="Followed Hyperlink" xfId="24386" builtinId="9" hidden="1"/>
    <cellStyle name="Followed Hyperlink" xfId="19266" builtinId="9" hidden="1"/>
    <cellStyle name="Followed Hyperlink" xfId="18517" builtinId="9" hidden="1"/>
    <cellStyle name="Followed Hyperlink" xfId="18400" builtinId="9" hidden="1"/>
    <cellStyle name="Followed Hyperlink" xfId="24088" builtinId="9" hidden="1"/>
    <cellStyle name="Followed Hyperlink" xfId="18367" builtinId="9" hidden="1"/>
    <cellStyle name="Followed Hyperlink" xfId="24218" builtinId="9" hidden="1"/>
    <cellStyle name="Followed Hyperlink" xfId="19098" builtinId="9" hidden="1"/>
    <cellStyle name="Followed Hyperlink" xfId="18827" builtinId="9" hidden="1"/>
    <cellStyle name="Followed Hyperlink" xfId="24293" builtinId="9" hidden="1"/>
    <cellStyle name="Followed Hyperlink" xfId="19173" builtinId="9" hidden="1"/>
    <cellStyle name="Followed Hyperlink" xfId="18423" builtinId="9" hidden="1"/>
    <cellStyle name="Followed Hyperlink" xfId="24334" builtinId="9" hidden="1"/>
    <cellStyle name="Followed Hyperlink" xfId="19214" builtinId="9" hidden="1"/>
    <cellStyle name="Followed Hyperlink" xfId="18465" builtinId="9" hidden="1"/>
    <cellStyle name="Followed Hyperlink" xfId="24175" builtinId="9" hidden="1"/>
    <cellStyle name="Followed Hyperlink" xfId="19055" builtinId="9" hidden="1"/>
    <cellStyle name="Followed Hyperlink" xfId="24735" builtinId="9" hidden="1"/>
    <cellStyle name="Followed Hyperlink" xfId="19613" builtinId="9" hidden="1"/>
    <cellStyle name="Followed Hyperlink" xfId="24440" builtinId="9" hidden="1"/>
    <cellStyle name="Followed Hyperlink" xfId="19320" builtinId="9" hidden="1"/>
    <cellStyle name="Followed Hyperlink" xfId="18904" builtinId="9" hidden="1"/>
    <cellStyle name="Followed Hyperlink" xfId="24623" builtinId="9" hidden="1"/>
    <cellStyle name="Followed Hyperlink" xfId="19502" builtinId="9" hidden="1"/>
    <cellStyle name="Followed Hyperlink" xfId="18779" builtinId="9" hidden="1"/>
    <cellStyle name="Followed Hyperlink" xfId="18572" builtinId="9" hidden="1"/>
    <cellStyle name="Followed Hyperlink" xfId="24152" builtinId="9" hidden="1"/>
    <cellStyle name="Followed Hyperlink" xfId="19033" builtinId="9" hidden="1"/>
    <cellStyle name="Followed Hyperlink" xfId="24715" builtinId="9" hidden="1"/>
    <cellStyle name="Followed Hyperlink" xfId="19594" builtinId="9" hidden="1"/>
    <cellStyle name="Followed Hyperlink" xfId="24417" builtinId="9" hidden="1"/>
    <cellStyle name="Followed Hyperlink" xfId="19297" builtinId="9" hidden="1"/>
    <cellStyle name="Followed Hyperlink" xfId="18881" builtinId="9" hidden="1"/>
    <cellStyle name="Followed Hyperlink" xfId="24599" builtinId="9" hidden="1"/>
    <cellStyle name="Followed Hyperlink" xfId="19479" builtinId="9" hidden="1"/>
    <cellStyle name="Followed Hyperlink" xfId="18757" builtinId="9" hidden="1"/>
    <cellStyle name="Followed Hyperlink" xfId="24524" builtinId="9" hidden="1"/>
    <cellStyle name="Followed Hyperlink" xfId="19404" builtinId="9" hidden="1"/>
    <cellStyle name="Followed Hyperlink" xfId="18677" builtinId="9" hidden="1"/>
    <cellStyle name="Followed Hyperlink" xfId="18548" builtinId="9" hidden="1"/>
    <cellStyle name="Followed Hyperlink" xfId="24119" builtinId="9" hidden="1"/>
    <cellStyle name="Followed Hyperlink" xfId="19000" builtinId="9" hidden="1"/>
    <cellStyle name="Followed Hyperlink" xfId="24694" builtinId="9" hidden="1"/>
    <cellStyle name="Followed Hyperlink" xfId="19573" builtinId="9" hidden="1"/>
    <cellStyle name="Followed Hyperlink" xfId="24268" builtinId="9" hidden="1"/>
    <cellStyle name="Followed Hyperlink" xfId="19148" builtinId="9" hidden="1"/>
    <cellStyle name="Followed Hyperlink" xfId="18848" builtinId="9" hidden="1"/>
    <cellStyle name="Followed Hyperlink" xfId="24566" builtinId="9" hidden="1"/>
    <cellStyle name="Followed Hyperlink" xfId="19446" builtinId="9" hidden="1"/>
    <cellStyle name="Followed Hyperlink" xfId="18724" builtinId="9" hidden="1"/>
    <cellStyle name="Followed Hyperlink" xfId="24491" builtinId="9" hidden="1"/>
    <cellStyle name="Followed Hyperlink" xfId="19371" builtinId="9" hidden="1"/>
    <cellStyle name="Followed Hyperlink" xfId="18644" builtinId="9" hidden="1"/>
    <cellStyle name="Followed Hyperlink" xfId="24384" builtinId="9" hidden="1"/>
    <cellStyle name="Followed Hyperlink" xfId="19264" builtinId="9" hidden="1"/>
    <cellStyle name="Followed Hyperlink" xfId="18515" builtinId="9" hidden="1"/>
    <cellStyle name="Followed Hyperlink" xfId="18398" builtinId="9" hidden="1"/>
    <cellStyle name="Followed Hyperlink" xfId="24086" builtinId="9" hidden="1"/>
    <cellStyle name="Followed Hyperlink" xfId="18965" builtinId="9" hidden="1"/>
    <cellStyle name="Followed Hyperlink" xfId="24673" builtinId="9" hidden="1"/>
    <cellStyle name="Followed Hyperlink" xfId="19552" builtinId="9" hidden="1"/>
    <cellStyle name="Followed Hyperlink" xfId="24236" builtinId="9" hidden="1"/>
    <cellStyle name="Followed Hyperlink" xfId="19116" builtinId="9" hidden="1"/>
    <cellStyle name="Followed Hyperlink" xfId="18624" builtinId="9" hidden="1"/>
    <cellStyle name="Followed Hyperlink" xfId="24311" builtinId="9" hidden="1"/>
    <cellStyle name="Followed Hyperlink" xfId="19191" builtinId="9" hidden="1"/>
    <cellStyle name="Followed Hyperlink" xfId="19231" builtinId="9" hidden="1"/>
    <cellStyle name="Followed Hyperlink" xfId="24317" builtinId="9" hidden="1"/>
    <cellStyle name="Followed Hyperlink" xfId="24352" builtinId="9" hidden="1"/>
    <cellStyle name="Followed Hyperlink" xfId="19232" builtinId="9" hidden="1"/>
    <cellStyle name="Followed Hyperlink" xfId="18483" builtinId="9" hidden="1"/>
    <cellStyle name="Followed Hyperlink" xfId="24193" builtinId="9" hidden="1"/>
    <cellStyle name="Followed Hyperlink" xfId="19073" builtinId="9" hidden="1"/>
    <cellStyle name="Followed Hyperlink" xfId="24458" builtinId="9" hidden="1"/>
    <cellStyle name="Followed Hyperlink" xfId="19338" builtinId="9" hidden="1"/>
    <cellStyle name="Followed Hyperlink" xfId="18922" builtinId="9" hidden="1"/>
    <cellStyle name="Followed Hyperlink" xfId="24641" builtinId="9" hidden="1"/>
    <cellStyle name="Followed Hyperlink" xfId="19520" builtinId="9" hidden="1"/>
    <cellStyle name="Followed Hyperlink" xfId="18797" builtinId="9" hidden="1"/>
    <cellStyle name="Followed Hyperlink" xfId="24543" builtinId="9" hidden="1"/>
    <cellStyle name="Followed Hyperlink" xfId="19423" builtinId="9" hidden="1"/>
    <cellStyle name="Followed Hyperlink" xfId="18696" builtinId="9" hidden="1"/>
    <cellStyle name="Followed Hyperlink" xfId="18590" builtinId="9" hidden="1"/>
    <cellStyle name="Followed Hyperlink" xfId="18365" builtinId="9" hidden="1"/>
    <cellStyle name="Followed Hyperlink" xfId="18966" builtinId="9" hidden="1"/>
    <cellStyle name="Followed Hyperlink" xfId="24674" builtinId="9" hidden="1"/>
    <cellStyle name="Followed Hyperlink" xfId="19553" builtinId="9" hidden="1"/>
    <cellStyle name="Followed Hyperlink" xfId="24237" builtinId="9" hidden="1"/>
    <cellStyle name="Followed Hyperlink" xfId="19117" builtinId="9" hidden="1"/>
    <cellStyle name="Followed Hyperlink" xfId="18814" builtinId="9" hidden="1"/>
    <cellStyle name="Followed Hyperlink" xfId="24312" builtinId="9" hidden="1"/>
    <cellStyle name="Followed Hyperlink" xfId="19192" builtinId="9" hidden="1"/>
    <cellStyle name="Followed Hyperlink" xfId="18443" builtinId="9" hidden="1"/>
    <cellStyle name="Followed Hyperlink" xfId="24353" builtinId="9" hidden="1"/>
    <cellStyle name="Followed Hyperlink" xfId="19233" builtinId="9" hidden="1"/>
    <cellStyle name="Followed Hyperlink" xfId="18484" builtinId="9" hidden="1"/>
    <cellStyle name="Followed Hyperlink" xfId="24194" builtinId="9" hidden="1"/>
    <cellStyle name="Followed Hyperlink" xfId="19074" builtinId="9" hidden="1"/>
    <cellStyle name="Followed Hyperlink" xfId="24736" builtinId="9" hidden="1"/>
    <cellStyle name="Followed Hyperlink" xfId="19614" builtinId="9" hidden="1"/>
    <cellStyle name="Followed Hyperlink" xfId="24459" builtinId="9" hidden="1"/>
    <cellStyle name="Followed Hyperlink" xfId="19339" builtinId="9" hidden="1"/>
    <cellStyle name="Followed Hyperlink" xfId="18923" builtinId="9" hidden="1"/>
    <cellStyle name="Followed Hyperlink" xfId="24642" builtinId="9" hidden="1"/>
    <cellStyle name="Followed Hyperlink" xfId="19521" builtinId="9" hidden="1"/>
    <cellStyle name="Followed Hyperlink" xfId="18798" builtinId="9" hidden="1"/>
    <cellStyle name="Followed Hyperlink" xfId="18591" builtinId="9" hidden="1"/>
    <cellStyle name="Followed Hyperlink" xfId="19337" builtinId="9" hidden="1"/>
    <cellStyle name="Followed Hyperlink" xfId="18442" builtinId="9" hidden="1"/>
    <cellStyle name="Followed Hyperlink" xfId="19034" builtinId="9" hidden="1"/>
    <cellStyle name="Followed Hyperlink" xfId="24716" builtinId="9" hidden="1"/>
    <cellStyle name="Followed Hyperlink" xfId="19595" builtinId="9" hidden="1"/>
    <cellStyle name="Followed Hyperlink" xfId="24418" builtinId="9" hidden="1"/>
    <cellStyle name="Followed Hyperlink" xfId="19298" builtinId="9" hidden="1"/>
    <cellStyle name="Followed Hyperlink" xfId="18882" builtinId="9" hidden="1"/>
    <cellStyle name="Followed Hyperlink" xfId="24600" builtinId="9" hidden="1"/>
    <cellStyle name="Followed Hyperlink" xfId="19480" builtinId="9" hidden="1"/>
    <cellStyle name="Followed Hyperlink" xfId="18758" builtinId="9" hidden="1"/>
    <cellStyle name="Followed Hyperlink" xfId="24525" builtinId="9" hidden="1"/>
    <cellStyle name="Followed Hyperlink" xfId="19405" builtinId="9" hidden="1"/>
    <cellStyle name="Followed Hyperlink" xfId="18678" builtinId="9" hidden="1"/>
    <cellStyle name="Followed Hyperlink" xfId="18549" builtinId="9" hidden="1"/>
    <cellStyle name="Followed Hyperlink" xfId="24120" builtinId="9" hidden="1"/>
    <cellStyle name="Followed Hyperlink" xfId="19001" builtinId="9" hidden="1"/>
    <cellStyle name="Followed Hyperlink" xfId="24695" builtinId="9" hidden="1"/>
    <cellStyle name="Followed Hyperlink" xfId="19574" builtinId="9" hidden="1"/>
    <cellStyle name="Followed Hyperlink" xfId="24269" builtinId="9" hidden="1"/>
    <cellStyle name="Followed Hyperlink" xfId="19149" builtinId="9" hidden="1"/>
    <cellStyle name="Followed Hyperlink" xfId="18849" builtinId="9" hidden="1"/>
    <cellStyle name="Followed Hyperlink" xfId="24567" builtinId="9" hidden="1"/>
    <cellStyle name="Followed Hyperlink" xfId="19447" builtinId="9" hidden="1"/>
    <cellStyle name="Followed Hyperlink" xfId="18725" builtinId="9" hidden="1"/>
    <cellStyle name="Followed Hyperlink" xfId="24492" builtinId="9" hidden="1"/>
    <cellStyle name="Followed Hyperlink" xfId="19372" builtinId="9" hidden="1"/>
    <cellStyle name="Followed Hyperlink" xfId="18645" builtinId="9" hidden="1"/>
    <cellStyle name="Followed Hyperlink" xfId="24385" builtinId="9" hidden="1"/>
    <cellStyle name="Followed Hyperlink" xfId="19265" builtinId="9" hidden="1"/>
    <cellStyle name="Followed Hyperlink" xfId="18516" builtinId="9" hidden="1"/>
    <cellStyle name="Followed Hyperlink" xfId="18399" builtinId="9" hidden="1"/>
    <cellStyle name="Followed Hyperlink" xfId="24087" builtinId="9" hidden="1"/>
    <cellStyle name="Followed Hyperlink" xfId="18366" builtinId="9" hidden="1"/>
    <cellStyle name="Followed Hyperlink" xfId="24067" builtinId="9" hidden="1"/>
    <cellStyle name="Followed Hyperlink" xfId="18947" builtinId="9" hidden="1"/>
    <cellStyle name="Followed Hyperlink" xfId="24667" builtinId="9" hidden="1"/>
    <cellStyle name="Followed Hyperlink" xfId="19546" builtinId="9" hidden="1"/>
    <cellStyle name="Followed Hyperlink" xfId="2730" builtinId="9" hidden="1"/>
    <cellStyle name="Followed Hyperlink" xfId="24062" builtinId="9" hidden="1"/>
    <cellStyle name="Followed Hyperlink" xfId="18942" builtinId="9" hidden="1"/>
    <cellStyle name="Followed Hyperlink" xfId="24640" builtinId="9" hidden="1"/>
    <cellStyle name="Followed Hyperlink" xfId="24153" builtinId="9" hidden="1"/>
    <cellStyle name="Followed Hyperlink" xfId="19541" builtinId="9" hidden="1"/>
    <cellStyle name="Followed Hyperlink" xfId="24213" builtinId="9" hidden="1"/>
    <cellStyle name="Followed Hyperlink" xfId="19093" builtinId="9" hidden="1"/>
    <cellStyle name="Followed Hyperlink" xfId="18812" builtinId="9" hidden="1"/>
    <cellStyle name="Followed Hyperlink" xfId="2683" builtinId="9" hidden="1"/>
    <cellStyle name="Followed Hyperlink" xfId="24059" builtinId="9" hidden="1"/>
    <cellStyle name="Followed Hyperlink" xfId="18939" builtinId="9" hidden="1"/>
    <cellStyle name="Followed Hyperlink" xfId="24659" builtinId="9" hidden="1"/>
    <cellStyle name="Followed Hyperlink" xfId="19538" builtinId="9" hidden="1"/>
    <cellStyle name="Followed Hyperlink" xfId="24210" builtinId="9" hidden="1"/>
    <cellStyle name="Followed Hyperlink" xfId="19090" builtinId="9" hidden="1"/>
    <cellStyle name="Followed Hyperlink" xfId="18706" builtinId="9" hidden="1"/>
    <cellStyle name="Followed Hyperlink" xfId="24286" builtinId="9" hidden="1"/>
    <cellStyle name="Followed Hyperlink" xfId="19166" builtinId="9" hidden="1"/>
    <cellStyle name="Followed Hyperlink" xfId="18416" builtinId="9" hidden="1"/>
    <cellStyle name="Followed Hyperlink" xfId="2695" builtinId="9" hidden="1"/>
    <cellStyle name="Followed Hyperlink" xfId="24057" builtinId="9" hidden="1"/>
    <cellStyle name="Followed Hyperlink" xfId="18937" builtinId="9" hidden="1"/>
    <cellStyle name="Followed Hyperlink" xfId="24657" builtinId="9" hidden="1"/>
    <cellStyle name="Followed Hyperlink" xfId="19536" builtinId="9" hidden="1"/>
    <cellStyle name="Followed Hyperlink" xfId="24208" builtinId="9" hidden="1"/>
    <cellStyle name="Followed Hyperlink" xfId="19088" builtinId="9" hidden="1"/>
    <cellStyle name="Followed Hyperlink" xfId="18821" builtinId="9" hidden="1"/>
    <cellStyle name="Followed Hyperlink" xfId="24284" builtinId="9" hidden="1"/>
    <cellStyle name="Followed Hyperlink" xfId="19164" builtinId="9" hidden="1"/>
    <cellStyle name="Followed Hyperlink" xfId="18414" builtinId="9" hidden="1"/>
    <cellStyle name="Followed Hyperlink" xfId="24326" builtinId="9" hidden="1"/>
    <cellStyle name="Followed Hyperlink" xfId="19206" builtinId="9" hidden="1"/>
    <cellStyle name="Followed Hyperlink" xfId="18457" builtinId="9" hidden="1"/>
    <cellStyle name="Followed Hyperlink" xfId="2690" builtinId="9" hidden="1"/>
    <cellStyle name="Followed Hyperlink" xfId="18992" builtinId="9" hidden="1"/>
    <cellStyle name="Followed Hyperlink" xfId="18829" builtinId="9" hidden="1"/>
    <cellStyle name="Followed Hyperlink" xfId="18349" builtinId="9" hidden="1"/>
    <cellStyle name="Followed Hyperlink" xfId="18361" builtinId="9" hidden="1"/>
    <cellStyle name="Followed Hyperlink" xfId="18360" builtinId="9" hidden="1"/>
    <cellStyle name="Followed Hyperlink" xfId="18359" builtinId="9" hidden="1"/>
    <cellStyle name="Followed Hyperlink" xfId="2801" builtinId="9" hidden="1"/>
    <cellStyle name="Followed Hyperlink" xfId="2731" builtinId="9" hidden="1"/>
    <cellStyle name="Followed Hyperlink" xfId="30160" builtinId="9" hidden="1"/>
    <cellStyle name="Followed Hyperlink" xfId="18482" builtinId="9" hidden="1"/>
    <cellStyle name="Followed Hyperlink" xfId="24662" builtinId="9" hidden="1"/>
    <cellStyle name="Followed Hyperlink" xfId="24656" builtinId="9" hidden="1"/>
    <cellStyle name="Followed Hyperlink" xfId="19535" builtinId="9" hidden="1"/>
    <cellStyle name="Followed Hyperlink" xfId="24473" builtinId="9" hidden="1"/>
    <cellStyle name="Followed Hyperlink" xfId="19353" builtinId="9" hidden="1"/>
    <cellStyle name="Followed Hyperlink" xfId="24730" builtinId="9" hidden="1"/>
    <cellStyle name="Followed Hyperlink" xfId="19608" builtinId="9" hidden="1"/>
    <cellStyle name="Followed Hyperlink" xfId="18609" builtinId="9" hidden="1"/>
    <cellStyle name="Followed Hyperlink" xfId="18961" builtinId="9" hidden="1"/>
    <cellStyle name="Followed Hyperlink" xfId="24668" builtinId="9" hidden="1"/>
    <cellStyle name="Followed Hyperlink" xfId="19547" builtinId="9" hidden="1"/>
    <cellStyle name="Followed Hyperlink" xfId="24232" builtinId="9" hidden="1"/>
    <cellStyle name="Followed Hyperlink" xfId="19112" builtinId="9" hidden="1"/>
    <cellStyle name="Followed Hyperlink" xfId="18607" builtinId="9" hidden="1"/>
    <cellStyle name="Followed Hyperlink" xfId="24307" builtinId="9" hidden="1"/>
    <cellStyle name="Followed Hyperlink" xfId="19187" builtinId="9" hidden="1"/>
    <cellStyle name="Followed Hyperlink" xfId="18438" builtinId="9" hidden="1"/>
    <cellStyle name="Followed Hyperlink" xfId="24348" builtinId="9" hidden="1"/>
    <cellStyle name="Followed Hyperlink" xfId="19228" builtinId="9" hidden="1"/>
    <cellStyle name="Followed Hyperlink" xfId="18479" builtinId="9" hidden="1"/>
    <cellStyle name="Followed Hyperlink" xfId="24189" builtinId="9" hidden="1"/>
    <cellStyle name="Followed Hyperlink" xfId="19069" builtinId="9" hidden="1"/>
    <cellStyle name="Followed Hyperlink" xfId="24454" builtinId="9" hidden="1"/>
    <cellStyle name="Followed Hyperlink" xfId="19334" builtinId="9" hidden="1"/>
    <cellStyle name="Followed Hyperlink" xfId="18918" builtinId="9" hidden="1"/>
    <cellStyle name="Followed Hyperlink" xfId="24637" builtinId="9" hidden="1"/>
    <cellStyle name="Followed Hyperlink" xfId="19516" builtinId="9" hidden="1"/>
    <cellStyle name="Followed Hyperlink" xfId="18793" builtinId="9" hidden="1"/>
    <cellStyle name="Followed Hyperlink" xfId="18586" builtinId="9" hidden="1"/>
    <cellStyle name="Followed Hyperlink" xfId="24148" builtinId="9" hidden="1"/>
    <cellStyle name="Followed Hyperlink" xfId="19029" builtinId="9" hidden="1"/>
    <cellStyle name="Followed Hyperlink" xfId="24711" builtinId="9" hidden="1"/>
    <cellStyle name="Followed Hyperlink" xfId="19590" builtinId="9" hidden="1"/>
    <cellStyle name="Followed Hyperlink" xfId="24413" builtinId="9" hidden="1"/>
    <cellStyle name="Followed Hyperlink" xfId="19293" builtinId="9" hidden="1"/>
    <cellStyle name="Followed Hyperlink" xfId="18877" builtinId="9" hidden="1"/>
    <cellStyle name="Followed Hyperlink" xfId="24595" builtinId="9" hidden="1"/>
    <cellStyle name="Followed Hyperlink" xfId="19475" builtinId="9" hidden="1"/>
    <cellStyle name="Followed Hyperlink" xfId="18753" builtinId="9" hidden="1"/>
    <cellStyle name="Followed Hyperlink" xfId="24520" builtinId="9" hidden="1"/>
    <cellStyle name="Followed Hyperlink" xfId="19072" builtinId="9" hidden="1"/>
    <cellStyle name="Followed Hyperlink" xfId="19671" builtinId="9" hidden="1"/>
    <cellStyle name="Followed Hyperlink" xfId="18673" builtinId="9" hidden="1"/>
    <cellStyle name="Followed Hyperlink" xfId="18544" builtinId="9" hidden="1"/>
    <cellStyle name="Followed Hyperlink" xfId="24115" builtinId="9" hidden="1"/>
    <cellStyle name="Followed Hyperlink" xfId="18996" builtinId="9" hidden="1"/>
    <cellStyle name="Followed Hyperlink" xfId="24690" builtinId="9" hidden="1"/>
    <cellStyle name="Followed Hyperlink" xfId="19569" builtinId="9" hidden="1"/>
    <cellStyle name="Followed Hyperlink" xfId="24264" builtinId="9" hidden="1"/>
    <cellStyle name="Followed Hyperlink" xfId="19144" builtinId="9" hidden="1"/>
    <cellStyle name="Followed Hyperlink" xfId="18844" builtinId="9" hidden="1"/>
    <cellStyle name="Followed Hyperlink" xfId="24562" builtinId="9" hidden="1"/>
    <cellStyle name="Followed Hyperlink" xfId="19442" builtinId="9" hidden="1"/>
    <cellStyle name="Followed Hyperlink" xfId="18720" builtinId="9" hidden="1"/>
    <cellStyle name="Followed Hyperlink" xfId="24487" builtinId="9" hidden="1"/>
    <cellStyle name="Followed Hyperlink" xfId="19367" builtinId="9" hidden="1"/>
    <cellStyle name="Followed Hyperlink" xfId="18640" builtinId="9" hidden="1"/>
    <cellStyle name="Followed Hyperlink" xfId="24380" builtinId="9" hidden="1"/>
    <cellStyle name="Followed Hyperlink" xfId="19260" builtinId="9" hidden="1"/>
    <cellStyle name="Followed Hyperlink" xfId="18511" builtinId="9" hidden="1"/>
    <cellStyle name="Followed Hyperlink" xfId="18394" builtinId="9" hidden="1"/>
    <cellStyle name="Followed Hyperlink" xfId="24082" builtinId="9" hidden="1"/>
    <cellStyle name="Followed Hyperlink" xfId="18358" builtinId="9" hidden="1"/>
    <cellStyle name="Followed Hyperlink" xfId="18960" builtinId="9" hidden="1"/>
    <cellStyle name="Followed Hyperlink" xfId="24669" builtinId="9" hidden="1"/>
    <cellStyle name="Followed Hyperlink" xfId="19548" builtinId="9" hidden="1"/>
    <cellStyle name="Followed Hyperlink" xfId="24231" builtinId="9" hidden="1"/>
    <cellStyle name="Followed Hyperlink" xfId="19111" builtinId="9" hidden="1"/>
    <cellStyle name="Followed Hyperlink" xfId="18817" builtinId="9" hidden="1"/>
    <cellStyle name="Followed Hyperlink" xfId="24306" builtinId="9" hidden="1"/>
    <cellStyle name="Followed Hyperlink" xfId="19186" builtinId="9" hidden="1"/>
    <cellStyle name="Followed Hyperlink" xfId="18437" builtinId="9" hidden="1"/>
    <cellStyle name="Followed Hyperlink" xfId="24347" builtinId="9" hidden="1"/>
    <cellStyle name="Followed Hyperlink" xfId="19227" builtinId="9" hidden="1"/>
    <cellStyle name="Followed Hyperlink" xfId="18478" builtinId="9" hidden="1"/>
    <cellStyle name="Followed Hyperlink" xfId="24188" builtinId="9" hidden="1"/>
    <cellStyle name="Followed Hyperlink" xfId="19068" builtinId="9" hidden="1"/>
    <cellStyle name="Followed Hyperlink" xfId="24731" builtinId="9" hidden="1"/>
    <cellStyle name="Followed Hyperlink" xfId="19609" builtinId="9" hidden="1"/>
    <cellStyle name="Followed Hyperlink" xfId="24453" builtinId="9" hidden="1"/>
    <cellStyle name="Followed Hyperlink" xfId="19333" builtinId="9" hidden="1"/>
    <cellStyle name="Followed Hyperlink" xfId="24457" builtinId="9" hidden="1"/>
    <cellStyle name="Followed Hyperlink" xfId="19400" builtinId="9" hidden="1"/>
    <cellStyle name="Followed Hyperlink" xfId="24636" builtinId="9" hidden="1"/>
    <cellStyle name="Followed Hyperlink" xfId="19515" builtinId="9" hidden="1"/>
    <cellStyle name="Followed Hyperlink" xfId="18792" builtinId="9" hidden="1"/>
    <cellStyle name="Followed Hyperlink" xfId="18585" builtinId="9" hidden="1"/>
    <cellStyle name="Followed Hyperlink" xfId="24147" builtinId="9" hidden="1"/>
    <cellStyle name="Followed Hyperlink" xfId="19028" builtinId="9" hidden="1"/>
    <cellStyle name="Followed Hyperlink" xfId="24710" builtinId="9" hidden="1"/>
    <cellStyle name="Followed Hyperlink" xfId="19589" builtinId="9" hidden="1"/>
    <cellStyle name="Followed Hyperlink" xfId="24412" builtinId="9" hidden="1"/>
    <cellStyle name="Followed Hyperlink" xfId="19292" builtinId="9" hidden="1"/>
    <cellStyle name="Followed Hyperlink" xfId="18876" builtinId="9" hidden="1"/>
    <cellStyle name="Followed Hyperlink" xfId="24594" builtinId="9" hidden="1"/>
    <cellStyle name="Followed Hyperlink" xfId="19474" builtinId="9" hidden="1"/>
    <cellStyle name="Followed Hyperlink" xfId="18752" builtinId="9" hidden="1"/>
    <cellStyle name="Followed Hyperlink" xfId="24519" builtinId="9" hidden="1"/>
    <cellStyle name="Followed Hyperlink" xfId="19399" builtinId="9" hidden="1"/>
    <cellStyle name="Followed Hyperlink" xfId="18672" builtinId="9" hidden="1"/>
    <cellStyle name="Followed Hyperlink" xfId="18543" builtinId="9" hidden="1"/>
    <cellStyle name="Followed Hyperlink" xfId="24114" builtinId="9" hidden="1"/>
    <cellStyle name="Followed Hyperlink" xfId="18995" builtinId="9" hidden="1"/>
    <cellStyle name="Followed Hyperlink" xfId="24689" builtinId="9" hidden="1"/>
    <cellStyle name="Followed Hyperlink" xfId="19568" builtinId="9" hidden="1"/>
    <cellStyle name="Followed Hyperlink" xfId="24263" builtinId="9" hidden="1"/>
    <cellStyle name="Followed Hyperlink" xfId="19143" builtinId="9" hidden="1"/>
    <cellStyle name="Followed Hyperlink" xfId="18843" builtinId="9" hidden="1"/>
    <cellStyle name="Followed Hyperlink" xfId="24561" builtinId="9" hidden="1"/>
    <cellStyle name="Followed Hyperlink" xfId="19441" builtinId="9" hidden="1"/>
    <cellStyle name="Followed Hyperlink" xfId="18719" builtinId="9" hidden="1"/>
    <cellStyle name="Followed Hyperlink" xfId="24486" builtinId="9" hidden="1"/>
    <cellStyle name="Followed Hyperlink" xfId="19366" builtinId="9" hidden="1"/>
    <cellStyle name="Followed Hyperlink" xfId="18639" builtinId="9" hidden="1"/>
    <cellStyle name="Followed Hyperlink" xfId="24379" builtinId="9" hidden="1"/>
    <cellStyle name="Followed Hyperlink" xfId="19259" builtinId="9" hidden="1"/>
    <cellStyle name="Followed Hyperlink" xfId="18510" builtinId="9" hidden="1"/>
    <cellStyle name="Followed Hyperlink" xfId="18393" builtinId="9" hidden="1"/>
    <cellStyle name="Followed Hyperlink" xfId="24081" builtinId="9" hidden="1"/>
    <cellStyle name="Followed Hyperlink" xfId="18357" builtinId="9" hidden="1"/>
    <cellStyle name="Followed Hyperlink" xfId="18356" builtinId="9" hidden="1"/>
    <cellStyle name="Followed Hyperlink" xfId="18993" builtinId="9" hidden="1"/>
    <cellStyle name="Followed Hyperlink" xfId="18921" builtinId="9" hidden="1"/>
    <cellStyle name="Followed Hyperlink" xfId="18917" builtinId="9" hidden="1"/>
    <cellStyle name="Followed Hyperlink" xfId="18350" builtinId="9" hidden="1"/>
    <cellStyle name="Followed Hyperlink" xfId="18355" builtinId="9" hidden="1"/>
    <cellStyle name="Followed Hyperlink" xfId="18354" builtinId="9" hidden="1"/>
    <cellStyle name="Followed Hyperlink" xfId="2729" builtinId="9" hidden="1"/>
    <cellStyle name="Followed Hyperlink" xfId="2727" builtinId="9" hidden="1"/>
    <cellStyle name="Followed Hyperlink" xfId="2746" builtinId="9" hidden="1"/>
    <cellStyle name="Followed Hyperlink" xfId="2840" builtinId="9" hidden="1"/>
    <cellStyle name="Followed Hyperlink" xfId="2836" builtinId="9" hidden="1"/>
    <cellStyle name="Followed Hyperlink" xfId="2684" builtinId="9" hidden="1"/>
    <cellStyle name="Followed Hyperlink" xfId="2685" builtinId="9" hidden="1"/>
    <cellStyle name="Followed Hyperlink" xfId="2698" builtinId="9" hidden="1"/>
    <cellStyle name="Followed Hyperlink" xfId="2724" builtinId="9" hidden="1"/>
    <cellStyle name="Followed Hyperlink" xfId="2755" builtinId="9" hidden="1"/>
    <cellStyle name="Followed Hyperlink" xfId="2837" builtinId="9" hidden="1"/>
    <cellStyle name="Followed Hyperlink" xfId="2728" builtinId="9" hidden="1"/>
    <cellStyle name="Followed Hyperlink" xfId="2735" builtinId="9" hidden="1"/>
    <cellStyle name="Followed Hyperlink" xfId="2757" builtinId="9" hidden="1"/>
    <cellStyle name="Followed Hyperlink" xfId="18994" builtinId="9" hidden="1"/>
    <cellStyle name="Followed Hyperlink" xfId="18826" builtinId="9" hidden="1"/>
    <cellStyle name="Followed Hyperlink" xfId="18351" builtinId="9" hidden="1"/>
    <cellStyle name="Followed Hyperlink" xfId="19673" builtinId="9" hidden="1"/>
    <cellStyle name="Followed Hyperlink" xfId="18352" builtinId="9" hidden="1"/>
    <cellStyle name="Followed Hyperlink" xfId="18353" builtinId="9" hidden="1"/>
    <cellStyle name="Followed Hyperlink" xfId="2754" builtinId="9" hidden="1"/>
    <cellStyle name="Followed Hyperlink" xfId="2802" builtinId="9" hidden="1"/>
    <cellStyle name="Followed Hyperlink" xfId="2691" builtinId="9" hidden="1"/>
    <cellStyle name="Followed Hyperlink" xfId="2742" builtinId="9" hidden="1"/>
    <cellStyle name="Followed Hyperlink" xfId="4089" builtinId="9" hidden="1"/>
    <cellStyle name="Followed Hyperlink" xfId="2723" builtinId="9" hidden="1"/>
    <cellStyle name="Followed Hyperlink" xfId="18345" builtinId="9" hidden="1"/>
    <cellStyle name="Followed Hyperlink" xfId="18341" builtinId="9" hidden="1"/>
    <cellStyle name="Followed Hyperlink" xfId="18337" builtinId="9" hidden="1"/>
    <cellStyle name="Followed Hyperlink" xfId="18333" builtinId="9" hidden="1"/>
    <cellStyle name="Followed Hyperlink" xfId="2738" builtinId="9" hidden="1"/>
    <cellStyle name="Followed Hyperlink" xfId="2752" builtinId="9" hidden="1"/>
    <cellStyle name="Followed Hyperlink" xfId="18348" builtinId="9" hidden="1"/>
    <cellStyle name="Followed Hyperlink" xfId="18344" builtinId="9" hidden="1"/>
    <cellStyle name="Followed Hyperlink" xfId="18340" builtinId="9" hidden="1"/>
    <cellStyle name="Followed Hyperlink" xfId="18336" builtinId="9" hidden="1"/>
    <cellStyle name="Followed Hyperlink" xfId="24192" builtinId="9" hidden="1"/>
    <cellStyle name="Followed Hyperlink" xfId="18620" builtinId="9" hidden="1"/>
    <cellStyle name="Followed Hyperlink" xfId="18332" builtinId="9" hidden="1"/>
    <cellStyle name="Followed Hyperlink" xfId="2741" builtinId="9" hidden="1"/>
    <cellStyle name="Followed Hyperlink" xfId="24080" builtinId="9" hidden="1"/>
    <cellStyle name="Followed Hyperlink" xfId="18959" builtinId="9" hidden="1"/>
    <cellStyle name="Followed Hyperlink" xfId="24230" builtinId="9" hidden="1"/>
    <cellStyle name="Followed Hyperlink" xfId="19110" builtinId="9" hidden="1"/>
    <cellStyle name="Followed Hyperlink" xfId="18621" builtinId="9" hidden="1"/>
    <cellStyle name="Followed Hyperlink" xfId="24305" builtinId="9" hidden="1"/>
    <cellStyle name="Followed Hyperlink" xfId="19185" builtinId="9" hidden="1"/>
    <cellStyle name="Followed Hyperlink" xfId="18435" builtinId="9" hidden="1"/>
    <cellStyle name="Followed Hyperlink" xfId="24346" builtinId="9" hidden="1"/>
    <cellStyle name="Followed Hyperlink" xfId="19226" builtinId="9" hidden="1"/>
    <cellStyle name="Followed Hyperlink" xfId="18477" builtinId="9" hidden="1"/>
    <cellStyle name="Followed Hyperlink" xfId="24187" builtinId="9" hidden="1"/>
    <cellStyle name="Followed Hyperlink" xfId="19067" builtinId="9" hidden="1"/>
    <cellStyle name="Followed Hyperlink" xfId="24452" builtinId="9" hidden="1"/>
    <cellStyle name="Followed Hyperlink" xfId="19332" builtinId="9" hidden="1"/>
    <cellStyle name="Followed Hyperlink" xfId="18916" builtinId="9" hidden="1"/>
    <cellStyle name="Followed Hyperlink" xfId="24635" builtinId="9" hidden="1"/>
    <cellStyle name="Followed Hyperlink" xfId="19514" builtinId="9" hidden="1"/>
    <cellStyle name="Followed Hyperlink" xfId="18791" builtinId="9" hidden="1"/>
    <cellStyle name="Followed Hyperlink" xfId="18584" builtinId="9" hidden="1"/>
    <cellStyle name="Followed Hyperlink" xfId="24146" builtinId="9" hidden="1"/>
    <cellStyle name="Followed Hyperlink" xfId="19027" builtinId="9" hidden="1"/>
    <cellStyle name="Followed Hyperlink" xfId="24411" builtinId="9" hidden="1"/>
    <cellStyle name="Followed Hyperlink" xfId="19291" builtinId="9" hidden="1"/>
    <cellStyle name="Followed Hyperlink" xfId="18875" builtinId="9" hidden="1"/>
    <cellStyle name="Followed Hyperlink" xfId="24593" builtinId="9" hidden="1"/>
    <cellStyle name="Followed Hyperlink" xfId="19473" builtinId="9" hidden="1"/>
    <cellStyle name="Followed Hyperlink" xfId="18751" builtinId="9" hidden="1"/>
    <cellStyle name="Followed Hyperlink" xfId="24518" builtinId="9" hidden="1"/>
    <cellStyle name="Followed Hyperlink" xfId="19398" builtinId="9" hidden="1"/>
    <cellStyle name="Followed Hyperlink" xfId="18671" builtinId="9" hidden="1"/>
    <cellStyle name="Followed Hyperlink" xfId="18542" builtinId="9" hidden="1"/>
    <cellStyle name="Followed Hyperlink" xfId="24113" builtinId="9" hidden="1"/>
    <cellStyle name="Followed Hyperlink" xfId="18991" builtinId="9" hidden="1"/>
    <cellStyle name="Followed Hyperlink" xfId="24262" builtinId="9" hidden="1"/>
    <cellStyle name="Followed Hyperlink" xfId="19142" builtinId="9" hidden="1"/>
    <cellStyle name="Followed Hyperlink" xfId="18842" builtinId="9" hidden="1"/>
    <cellStyle name="Followed Hyperlink" xfId="24358" builtinId="9" hidden="1"/>
    <cellStyle name="Followed Hyperlink" xfId="19344" builtinId="9" hidden="1"/>
    <cellStyle name="Followed Hyperlink" xfId="24560" builtinId="9" hidden="1"/>
    <cellStyle name="Followed Hyperlink" xfId="19440" builtinId="9" hidden="1"/>
    <cellStyle name="Followed Hyperlink" xfId="18718" builtinId="9" hidden="1"/>
    <cellStyle name="Followed Hyperlink" xfId="24485" builtinId="9" hidden="1"/>
    <cellStyle name="Followed Hyperlink" xfId="19365" builtinId="9" hidden="1"/>
    <cellStyle name="Followed Hyperlink" xfId="18638" builtinId="9" hidden="1"/>
    <cellStyle name="Followed Hyperlink" xfId="24378" builtinId="9" hidden="1"/>
    <cellStyle name="Followed Hyperlink" xfId="19258" builtinId="9" hidden="1"/>
    <cellStyle name="Followed Hyperlink" xfId="18509" builtinId="9" hidden="1"/>
    <cellStyle name="Followed Hyperlink" xfId="18392" builtinId="9" hidden="1"/>
    <cellStyle name="Followed Hyperlink" xfId="30172" builtinId="9" hidden="1"/>
    <cellStyle name="Followed Hyperlink" xfId="18347" builtinId="9" hidden="1"/>
    <cellStyle name="Followed Hyperlink" xfId="24077" builtinId="9" hidden="1"/>
    <cellStyle name="Followed Hyperlink" xfId="18957" builtinId="9" hidden="1"/>
    <cellStyle name="Followed Hyperlink" xfId="24228" builtinId="9" hidden="1"/>
    <cellStyle name="Followed Hyperlink" xfId="19108" builtinId="9" hidden="1"/>
    <cellStyle name="Followed Hyperlink" xfId="18614" builtinId="9" hidden="1"/>
    <cellStyle name="Followed Hyperlink" xfId="24303" builtinId="9" hidden="1"/>
    <cellStyle name="Followed Hyperlink" xfId="19183" builtinId="9" hidden="1"/>
    <cellStyle name="Followed Hyperlink" xfId="18433" builtinId="9" hidden="1"/>
    <cellStyle name="Followed Hyperlink" xfId="24344" builtinId="9" hidden="1"/>
    <cellStyle name="Followed Hyperlink" xfId="19224" builtinId="9" hidden="1"/>
    <cellStyle name="Followed Hyperlink" xfId="18475" builtinId="9" hidden="1"/>
    <cellStyle name="Followed Hyperlink" xfId="24185" builtinId="9" hidden="1"/>
    <cellStyle name="Followed Hyperlink" xfId="19065" builtinId="9" hidden="1"/>
    <cellStyle name="Followed Hyperlink" xfId="24450" builtinId="9" hidden="1"/>
    <cellStyle name="Followed Hyperlink" xfId="19330" builtinId="9" hidden="1"/>
    <cellStyle name="Followed Hyperlink" xfId="18914" builtinId="9" hidden="1"/>
    <cellStyle name="Followed Hyperlink" xfId="24633" builtinId="9" hidden="1"/>
    <cellStyle name="Followed Hyperlink" xfId="19512" builtinId="9" hidden="1"/>
    <cellStyle name="Followed Hyperlink" xfId="18789" builtinId="9" hidden="1"/>
    <cellStyle name="Followed Hyperlink" xfId="18582" builtinId="9" hidden="1"/>
    <cellStyle name="Followed Hyperlink" xfId="24145" builtinId="9" hidden="1"/>
    <cellStyle name="Followed Hyperlink" xfId="19026" builtinId="9" hidden="1"/>
    <cellStyle name="Followed Hyperlink" xfId="24410" builtinId="9" hidden="1"/>
    <cellStyle name="Followed Hyperlink" xfId="19290" builtinId="9" hidden="1"/>
    <cellStyle name="Followed Hyperlink" xfId="18874" builtinId="9" hidden="1"/>
    <cellStyle name="Followed Hyperlink" xfId="24592" builtinId="9" hidden="1"/>
    <cellStyle name="Followed Hyperlink" xfId="19472" builtinId="9" hidden="1"/>
    <cellStyle name="Followed Hyperlink" xfId="19141" builtinId="9" hidden="1"/>
    <cellStyle name="Followed Hyperlink" xfId="18841" builtinId="9" hidden="1"/>
    <cellStyle name="Followed Hyperlink" xfId="24559" builtinId="9" hidden="1"/>
    <cellStyle name="Followed Hyperlink" xfId="19439" builtinId="9" hidden="1"/>
    <cellStyle name="Followed Hyperlink" xfId="18717" builtinId="9" hidden="1"/>
    <cellStyle name="Followed Hyperlink" xfId="24484" builtinId="9" hidden="1"/>
    <cellStyle name="Followed Hyperlink" xfId="19364" builtinId="9" hidden="1"/>
    <cellStyle name="Followed Hyperlink" xfId="18637" builtinId="9" hidden="1"/>
    <cellStyle name="Followed Hyperlink" xfId="24377" builtinId="9" hidden="1"/>
    <cellStyle name="Followed Hyperlink" xfId="19257" builtinId="9" hidden="1"/>
    <cellStyle name="Followed Hyperlink" xfId="18508" builtinId="9" hidden="1"/>
    <cellStyle name="Followed Hyperlink" xfId="18391" builtinId="9" hidden="1"/>
    <cellStyle name="Followed Hyperlink" xfId="30170" builtinId="9" hidden="1"/>
    <cellStyle name="Followed Hyperlink" xfId="18343" builtinId="9" hidden="1"/>
    <cellStyle name="Followed Hyperlink" xfId="24075" builtinId="9" hidden="1"/>
    <cellStyle name="Followed Hyperlink" xfId="18955" builtinId="9" hidden="1"/>
    <cellStyle name="Followed Hyperlink" xfId="24226" builtinId="9" hidden="1"/>
    <cellStyle name="Followed Hyperlink" xfId="19106" builtinId="9" hidden="1"/>
    <cellStyle name="Followed Hyperlink" xfId="18830" builtinId="9" hidden="1"/>
    <cellStyle name="Followed Hyperlink" xfId="24301" builtinId="9" hidden="1"/>
    <cellStyle name="Followed Hyperlink" xfId="19181" builtinId="9" hidden="1"/>
    <cellStyle name="Followed Hyperlink" xfId="18431" builtinId="9" hidden="1"/>
    <cellStyle name="Followed Hyperlink" xfId="24342" builtinId="9" hidden="1"/>
    <cellStyle name="Followed Hyperlink" xfId="19222" builtinId="9" hidden="1"/>
    <cellStyle name="Followed Hyperlink" xfId="18473" builtinId="9" hidden="1"/>
    <cellStyle name="Followed Hyperlink" xfId="24183" builtinId="9" hidden="1"/>
    <cellStyle name="Followed Hyperlink" xfId="19063" builtinId="9" hidden="1"/>
    <cellStyle name="Followed Hyperlink" xfId="24448" builtinId="9" hidden="1"/>
    <cellStyle name="Followed Hyperlink" xfId="19328" builtinId="9" hidden="1"/>
    <cellStyle name="Followed Hyperlink" xfId="18912" builtinId="9" hidden="1"/>
    <cellStyle name="Followed Hyperlink" xfId="24631" builtinId="9" hidden="1"/>
    <cellStyle name="Followed Hyperlink" xfId="19510" builtinId="9" hidden="1"/>
    <cellStyle name="Followed Hyperlink" xfId="18787" builtinId="9" hidden="1"/>
    <cellStyle name="Followed Hyperlink" xfId="18580" builtinId="9" hidden="1"/>
    <cellStyle name="Followed Hyperlink" xfId="24144" builtinId="9" hidden="1"/>
    <cellStyle name="Followed Hyperlink" xfId="19025" builtinId="9" hidden="1"/>
    <cellStyle name="Followed Hyperlink" xfId="24409" builtinId="9" hidden="1"/>
    <cellStyle name="Followed Hyperlink" xfId="19289" builtinId="9" hidden="1"/>
    <cellStyle name="Followed Hyperlink" xfId="18873" builtinId="9" hidden="1"/>
    <cellStyle name="Followed Hyperlink" xfId="24591" builtinId="9" hidden="1"/>
    <cellStyle name="Followed Hyperlink" xfId="19471" builtinId="9" hidden="1"/>
    <cellStyle name="Followed Hyperlink" xfId="18749" builtinId="9" hidden="1"/>
    <cellStyle name="Followed Hyperlink" xfId="24516" builtinId="9" hidden="1"/>
    <cellStyle name="Followed Hyperlink" xfId="19396" builtinId="9" hidden="1"/>
    <cellStyle name="Followed Hyperlink" xfId="18669" builtinId="9" hidden="1"/>
    <cellStyle name="Followed Hyperlink" xfId="18540" builtinId="9" hidden="1"/>
    <cellStyle name="Followed Hyperlink" xfId="24111" builtinId="9" hidden="1"/>
    <cellStyle name="Followed Hyperlink" xfId="18989" builtinId="9" hidden="1"/>
    <cellStyle name="Followed Hyperlink" xfId="24260" builtinId="9" hidden="1"/>
    <cellStyle name="Followed Hyperlink" xfId="19140" builtinId="9" hidden="1"/>
    <cellStyle name="Followed Hyperlink" xfId="18840" builtinId="9" hidden="1"/>
    <cellStyle name="Followed Hyperlink" xfId="24558" builtinId="9" hidden="1"/>
    <cellStyle name="Followed Hyperlink" xfId="19438" builtinId="9" hidden="1"/>
    <cellStyle name="Followed Hyperlink" xfId="18716" builtinId="9" hidden="1"/>
    <cellStyle name="Followed Hyperlink" xfId="24483" builtinId="9" hidden="1"/>
    <cellStyle name="Followed Hyperlink" xfId="19363" builtinId="9" hidden="1"/>
    <cellStyle name="Followed Hyperlink" xfId="18636" builtinId="9" hidden="1"/>
    <cellStyle name="Followed Hyperlink" xfId="24376" builtinId="9" hidden="1"/>
    <cellStyle name="Followed Hyperlink" xfId="19256" builtinId="9" hidden="1"/>
    <cellStyle name="Followed Hyperlink" xfId="18507" builtinId="9" hidden="1"/>
    <cellStyle name="Followed Hyperlink" xfId="18390" builtinId="9" hidden="1"/>
    <cellStyle name="Followed Hyperlink" xfId="30168" builtinId="9" hidden="1"/>
    <cellStyle name="Followed Hyperlink" xfId="18339" builtinId="9" hidden="1"/>
    <cellStyle name="Followed Hyperlink" xfId="24073" builtinId="9" hidden="1"/>
    <cellStyle name="Followed Hyperlink" xfId="18953" builtinId="9" hidden="1"/>
    <cellStyle name="Followed Hyperlink" xfId="24224" builtinId="9" hidden="1"/>
    <cellStyle name="Followed Hyperlink" xfId="19104" builtinId="9" hidden="1"/>
    <cellStyle name="Followed Hyperlink" xfId="18704" builtinId="9" hidden="1"/>
    <cellStyle name="Followed Hyperlink" xfId="24299" builtinId="9" hidden="1"/>
    <cellStyle name="Followed Hyperlink" xfId="19179" builtinId="9" hidden="1"/>
    <cellStyle name="Followed Hyperlink" xfId="18429" builtinId="9" hidden="1"/>
    <cellStyle name="Followed Hyperlink" xfId="24340" builtinId="9" hidden="1"/>
    <cellStyle name="Followed Hyperlink" xfId="19220" builtinId="9" hidden="1"/>
    <cellStyle name="Followed Hyperlink" xfId="18471" builtinId="9" hidden="1"/>
    <cellStyle name="Followed Hyperlink" xfId="24181" builtinId="9" hidden="1"/>
    <cellStyle name="Followed Hyperlink" xfId="19061" builtinId="9" hidden="1"/>
    <cellStyle name="Followed Hyperlink" xfId="24446" builtinId="9" hidden="1"/>
    <cellStyle name="Followed Hyperlink" xfId="19326" builtinId="9" hidden="1"/>
    <cellStyle name="Followed Hyperlink" xfId="18910" builtinId="9" hidden="1"/>
    <cellStyle name="Followed Hyperlink" xfId="24629" builtinId="9" hidden="1"/>
    <cellStyle name="Followed Hyperlink" xfId="19508" builtinId="9" hidden="1"/>
    <cellStyle name="Followed Hyperlink" xfId="18785" builtinId="9" hidden="1"/>
    <cellStyle name="Followed Hyperlink" xfId="18578" builtinId="9" hidden="1"/>
    <cellStyle name="Followed Hyperlink" xfId="24143" builtinId="9" hidden="1"/>
    <cellStyle name="Followed Hyperlink" xfId="19024" builtinId="9" hidden="1"/>
    <cellStyle name="Followed Hyperlink" xfId="24408" builtinId="9" hidden="1"/>
    <cellStyle name="Followed Hyperlink" xfId="19288" builtinId="9" hidden="1"/>
    <cellStyle name="Followed Hyperlink" xfId="18872" builtinId="9" hidden="1"/>
    <cellStyle name="Followed Hyperlink" xfId="24590" builtinId="9" hidden="1"/>
    <cellStyle name="Followed Hyperlink" xfId="19470" builtinId="9" hidden="1"/>
    <cellStyle name="Followed Hyperlink" xfId="18748" builtinId="9" hidden="1"/>
    <cellStyle name="Followed Hyperlink" xfId="24515" builtinId="9" hidden="1"/>
    <cellStyle name="Followed Hyperlink" xfId="19395" builtinId="9" hidden="1"/>
    <cellStyle name="Followed Hyperlink" xfId="18668" builtinId="9" hidden="1"/>
    <cellStyle name="Followed Hyperlink" xfId="18539" builtinId="9" hidden="1"/>
    <cellStyle name="Followed Hyperlink" xfId="24110" builtinId="9" hidden="1"/>
    <cellStyle name="Followed Hyperlink" xfId="18988" builtinId="9" hidden="1"/>
    <cellStyle name="Followed Hyperlink" xfId="24259" builtinId="9" hidden="1"/>
    <cellStyle name="Followed Hyperlink" xfId="19139" builtinId="9" hidden="1"/>
    <cellStyle name="Followed Hyperlink" xfId="18839" builtinId="9" hidden="1"/>
    <cellStyle name="Followed Hyperlink" xfId="24557" builtinId="9" hidden="1"/>
    <cellStyle name="Followed Hyperlink" xfId="19437" builtinId="9" hidden="1"/>
    <cellStyle name="Followed Hyperlink" xfId="18715" builtinId="9" hidden="1"/>
    <cellStyle name="Followed Hyperlink" xfId="24482" builtinId="9" hidden="1"/>
    <cellStyle name="Followed Hyperlink" xfId="19362" builtinId="9" hidden="1"/>
    <cellStyle name="Followed Hyperlink" xfId="18635" builtinId="9" hidden="1"/>
    <cellStyle name="Followed Hyperlink" xfId="24375" builtinId="9" hidden="1"/>
    <cellStyle name="Followed Hyperlink" xfId="19255" builtinId="9" hidden="1"/>
    <cellStyle name="Followed Hyperlink" xfId="18506" builtinId="9" hidden="1"/>
    <cellStyle name="Followed Hyperlink" xfId="18389" builtinId="9" hidden="1"/>
    <cellStyle name="Followed Hyperlink" xfId="30166" builtinId="9" hidden="1"/>
    <cellStyle name="Followed Hyperlink" xfId="18335" builtinId="9" hidden="1"/>
    <cellStyle name="Followed Hyperlink" xfId="24071" builtinId="9" hidden="1"/>
    <cellStyle name="Followed Hyperlink" xfId="18951" builtinId="9" hidden="1"/>
    <cellStyle name="Followed Hyperlink" xfId="24222" builtinId="9" hidden="1"/>
    <cellStyle name="Followed Hyperlink" xfId="19102" builtinId="9" hidden="1"/>
    <cellStyle name="Followed Hyperlink" xfId="18816" builtinId="9" hidden="1"/>
    <cellStyle name="Followed Hyperlink" xfId="24297" builtinId="9" hidden="1"/>
    <cellStyle name="Followed Hyperlink" xfId="19177" builtinId="9" hidden="1"/>
    <cellStyle name="Followed Hyperlink" xfId="18427" builtinId="9" hidden="1"/>
    <cellStyle name="Followed Hyperlink" xfId="24338" builtinId="9" hidden="1"/>
    <cellStyle name="Followed Hyperlink" xfId="19218" builtinId="9" hidden="1"/>
    <cellStyle name="Followed Hyperlink" xfId="18469" builtinId="9" hidden="1"/>
    <cellStyle name="Followed Hyperlink" xfId="18750" builtinId="9" hidden="1"/>
    <cellStyle name="Followed Hyperlink" xfId="19079" builtinId="9" hidden="1"/>
    <cellStyle name="Followed Hyperlink" xfId="19059" builtinId="9" hidden="1"/>
    <cellStyle name="Followed Hyperlink" xfId="24444" builtinId="9" hidden="1"/>
    <cellStyle name="Followed Hyperlink" xfId="19324" builtinId="9" hidden="1"/>
    <cellStyle name="Followed Hyperlink" xfId="18908" builtinId="9" hidden="1"/>
    <cellStyle name="Followed Hyperlink" xfId="24627" builtinId="9" hidden="1"/>
    <cellStyle name="Followed Hyperlink" xfId="19506" builtinId="9" hidden="1"/>
    <cellStyle name="Followed Hyperlink" xfId="18783" builtinId="9" hidden="1"/>
    <cellStyle name="Followed Hyperlink" xfId="18576" builtinId="9" hidden="1"/>
    <cellStyle name="Followed Hyperlink" xfId="24142" builtinId="9" hidden="1"/>
    <cellStyle name="Followed Hyperlink" xfId="19023" builtinId="9" hidden="1"/>
    <cellStyle name="Followed Hyperlink" xfId="24407" builtinId="9" hidden="1"/>
    <cellStyle name="Followed Hyperlink" xfId="19287" builtinId="9" hidden="1"/>
    <cellStyle name="Followed Hyperlink" xfId="18871" builtinId="9" hidden="1"/>
    <cellStyle name="Followed Hyperlink" xfId="24589" builtinId="9" hidden="1"/>
    <cellStyle name="Followed Hyperlink" xfId="19469" builtinId="9" hidden="1"/>
    <cellStyle name="Followed Hyperlink" xfId="18747" builtinId="9" hidden="1"/>
    <cellStyle name="Followed Hyperlink" xfId="24514" builtinId="9" hidden="1"/>
    <cellStyle name="Followed Hyperlink" xfId="19394" builtinId="9" hidden="1"/>
    <cellStyle name="Followed Hyperlink" xfId="18667" builtinId="9" hidden="1"/>
    <cellStyle name="Followed Hyperlink" xfId="18538" builtinId="9" hidden="1"/>
    <cellStyle name="Followed Hyperlink" xfId="24109" builtinId="9" hidden="1"/>
    <cellStyle name="Followed Hyperlink" xfId="18987" builtinId="9" hidden="1"/>
    <cellStyle name="Followed Hyperlink" xfId="24258" builtinId="9" hidden="1"/>
    <cellStyle name="Followed Hyperlink" xfId="19138" builtinId="9" hidden="1"/>
    <cellStyle name="Followed Hyperlink" xfId="18838" builtinId="9" hidden="1"/>
    <cellStyle name="Followed Hyperlink" xfId="24556" builtinId="9" hidden="1"/>
    <cellStyle name="Followed Hyperlink" xfId="19436" builtinId="9" hidden="1"/>
    <cellStyle name="Followed Hyperlink" xfId="18714" builtinId="9" hidden="1"/>
    <cellStyle name="Followed Hyperlink" xfId="24481" builtinId="9" hidden="1"/>
    <cellStyle name="Followed Hyperlink" xfId="19361" builtinId="9" hidden="1"/>
    <cellStyle name="Followed Hyperlink" xfId="18634" builtinId="9" hidden="1"/>
    <cellStyle name="Followed Hyperlink" xfId="24374" builtinId="9" hidden="1"/>
    <cellStyle name="Followed Hyperlink" xfId="19254" builtinId="9" hidden="1"/>
    <cellStyle name="Followed Hyperlink" xfId="18505" builtinId="9" hidden="1"/>
    <cellStyle name="Followed Hyperlink" xfId="18388" builtinId="9" hidden="1"/>
    <cellStyle name="Followed Hyperlink" xfId="30164" builtinId="9" hidden="1"/>
    <cellStyle name="Followed Hyperlink" xfId="18331" builtinId="9" hidden="1"/>
    <cellStyle name="Followed Hyperlink" xfId="24069" builtinId="9" hidden="1"/>
    <cellStyle name="Followed Hyperlink" xfId="18949" builtinId="9" hidden="1"/>
    <cellStyle name="Followed Hyperlink" xfId="24112" builtinId="9" hidden="1"/>
    <cellStyle name="Followed Hyperlink" xfId="24179" builtinId="9" hidden="1"/>
    <cellStyle name="Followed Hyperlink" xfId="19100" builtinId="9" hidden="1"/>
    <cellStyle name="Followed Hyperlink" xfId="18610" builtinId="9" hidden="1"/>
    <cellStyle name="Followed Hyperlink" xfId="24295" builtinId="9" hidden="1"/>
    <cellStyle name="Followed Hyperlink" xfId="19175" builtinId="9" hidden="1"/>
    <cellStyle name="Followed Hyperlink" xfId="18425" builtinId="9" hidden="1"/>
    <cellStyle name="Followed Hyperlink" xfId="24336" builtinId="9" hidden="1"/>
    <cellStyle name="Followed Hyperlink" xfId="19216" builtinId="9" hidden="1"/>
    <cellStyle name="Followed Hyperlink" xfId="18467" builtinId="9" hidden="1"/>
    <cellStyle name="Followed Hyperlink" xfId="24177" builtinId="9" hidden="1"/>
    <cellStyle name="Followed Hyperlink" xfId="19057" builtinId="9" hidden="1"/>
    <cellStyle name="Followed Hyperlink" xfId="24442" builtinId="9" hidden="1"/>
    <cellStyle name="Followed Hyperlink" xfId="19322" builtinId="9" hidden="1"/>
    <cellStyle name="Followed Hyperlink" xfId="18906" builtinId="9" hidden="1"/>
    <cellStyle name="Followed Hyperlink" xfId="24625" builtinId="9" hidden="1"/>
    <cellStyle name="Followed Hyperlink" xfId="19504" builtinId="9" hidden="1"/>
    <cellStyle name="Followed Hyperlink" xfId="18781" builtinId="9" hidden="1"/>
    <cellStyle name="Followed Hyperlink" xfId="18574" builtinId="9" hidden="1"/>
    <cellStyle name="Followed Hyperlink" xfId="24141" builtinId="9" hidden="1"/>
    <cellStyle name="Followed Hyperlink" xfId="19022" builtinId="9" hidden="1"/>
    <cellStyle name="Followed Hyperlink" xfId="24406" builtinId="9" hidden="1"/>
    <cellStyle name="Followed Hyperlink" xfId="19286" builtinId="9" hidden="1"/>
    <cellStyle name="Followed Hyperlink" xfId="18870" builtinId="9" hidden="1"/>
    <cellStyle name="Followed Hyperlink" xfId="24588" builtinId="9" hidden="1"/>
    <cellStyle name="Followed Hyperlink" xfId="19468" builtinId="9" hidden="1"/>
    <cellStyle name="Followed Hyperlink" xfId="18746" builtinId="9" hidden="1"/>
    <cellStyle name="Followed Hyperlink" xfId="24513" builtinId="9" hidden="1"/>
    <cellStyle name="Followed Hyperlink" xfId="19393" builtinId="9" hidden="1"/>
    <cellStyle name="Followed Hyperlink" xfId="18666" builtinId="9" hidden="1"/>
    <cellStyle name="Followed Hyperlink" xfId="18537" builtinId="9" hidden="1"/>
    <cellStyle name="Followed Hyperlink" xfId="24108" builtinId="9" hidden="1"/>
    <cellStyle name="Followed Hyperlink" xfId="18986" builtinId="9" hidden="1"/>
    <cellStyle name="Followed Hyperlink" xfId="24257" builtinId="9" hidden="1"/>
    <cellStyle name="Followed Hyperlink" xfId="19137" builtinId="9" hidden="1"/>
    <cellStyle name="Followed Hyperlink" xfId="18837" builtinId="9" hidden="1"/>
    <cellStyle name="Followed Hyperlink" xfId="24555" builtinId="9" hidden="1"/>
    <cellStyle name="Followed Hyperlink" xfId="19435" builtinId="9" hidden="1"/>
    <cellStyle name="Followed Hyperlink" xfId="18713" builtinId="9" hidden="1"/>
    <cellStyle name="Followed Hyperlink" xfId="24480" builtinId="9" hidden="1"/>
    <cellStyle name="Followed Hyperlink" xfId="19360" builtinId="9" hidden="1"/>
    <cellStyle name="Followed Hyperlink" xfId="24261" builtinId="9" hidden="1"/>
    <cellStyle name="Followed Hyperlink" xfId="24220" builtinId="9" hidden="1"/>
    <cellStyle name="Followed Hyperlink" xfId="24373" builtinId="9" hidden="1"/>
    <cellStyle name="Followed Hyperlink" xfId="19253" builtinId="9" hidden="1"/>
    <cellStyle name="Followed Hyperlink" xfId="18504" builtinId="9" hidden="1"/>
    <cellStyle name="Followed Hyperlink" xfId="18387" builtinId="9" hidden="1"/>
    <cellStyle name="Followed Hyperlink" xfId="30162" builtinId="9" hidden="1"/>
    <cellStyle name="Followed Hyperlink" xfId="2745" builtinId="9" hidden="1"/>
    <cellStyle name="Followed Hyperlink" xfId="24079" builtinId="9" hidden="1"/>
    <cellStyle name="Followed Hyperlink" xfId="18958" builtinId="9" hidden="1"/>
    <cellStyle name="Followed Hyperlink" xfId="24229" builtinId="9" hidden="1"/>
    <cellStyle name="Followed Hyperlink" xfId="19109" builtinId="9" hidden="1"/>
    <cellStyle name="Followed Hyperlink" xfId="18705" builtinId="9" hidden="1"/>
    <cellStyle name="Followed Hyperlink" xfId="24304" builtinId="9" hidden="1"/>
    <cellStyle name="Followed Hyperlink" xfId="19184" builtinId="9" hidden="1"/>
    <cellStyle name="Followed Hyperlink" xfId="18434" builtinId="9" hidden="1"/>
    <cellStyle name="Followed Hyperlink" xfId="24345" builtinId="9" hidden="1"/>
    <cellStyle name="Followed Hyperlink" xfId="19225" builtinId="9" hidden="1"/>
    <cellStyle name="Followed Hyperlink" xfId="18476" builtinId="9" hidden="1"/>
    <cellStyle name="Followed Hyperlink" xfId="24186" builtinId="9" hidden="1"/>
    <cellStyle name="Followed Hyperlink" xfId="19066" builtinId="9" hidden="1"/>
    <cellStyle name="Followed Hyperlink" xfId="24451" builtinId="9" hidden="1"/>
    <cellStyle name="Followed Hyperlink" xfId="19331" builtinId="9" hidden="1"/>
    <cellStyle name="Followed Hyperlink" xfId="18915" builtinId="9" hidden="1"/>
    <cellStyle name="Followed Hyperlink" xfId="24634" builtinId="9" hidden="1"/>
    <cellStyle name="Followed Hyperlink" xfId="19513" builtinId="9" hidden="1"/>
    <cellStyle name="Followed Hyperlink" xfId="18790" builtinId="9" hidden="1"/>
    <cellStyle name="Followed Hyperlink" xfId="18583" builtinId="9" hidden="1"/>
    <cellStyle name="Followed Hyperlink" xfId="24140" builtinId="9" hidden="1"/>
    <cellStyle name="Followed Hyperlink" xfId="19021" builtinId="9" hidden="1"/>
    <cellStyle name="Followed Hyperlink" xfId="24405" builtinId="9" hidden="1"/>
    <cellStyle name="Followed Hyperlink" xfId="19285" builtinId="9" hidden="1"/>
    <cellStyle name="Followed Hyperlink" xfId="18869" builtinId="9" hidden="1"/>
    <cellStyle name="Followed Hyperlink" xfId="24587" builtinId="9" hidden="1"/>
    <cellStyle name="Followed Hyperlink" xfId="19467" builtinId="9" hidden="1"/>
    <cellStyle name="Followed Hyperlink" xfId="18745" builtinId="9" hidden="1"/>
    <cellStyle name="Followed Hyperlink" xfId="24512" builtinId="9" hidden="1"/>
    <cellStyle name="Followed Hyperlink" xfId="19392" builtinId="9" hidden="1"/>
    <cellStyle name="Followed Hyperlink" xfId="18665" builtinId="9" hidden="1"/>
    <cellStyle name="Followed Hyperlink" xfId="18536" builtinId="9" hidden="1"/>
    <cellStyle name="Followed Hyperlink" xfId="24107" builtinId="9" hidden="1"/>
    <cellStyle name="Followed Hyperlink" xfId="24517" builtinId="9" hidden="1"/>
    <cellStyle name="Followed Hyperlink" xfId="18633" builtinId="9" hidden="1"/>
    <cellStyle name="Followed Hyperlink" xfId="24256" builtinId="9" hidden="1"/>
    <cellStyle name="Followed Hyperlink" xfId="19136" builtinId="9" hidden="1"/>
    <cellStyle name="Followed Hyperlink" xfId="18836" builtinId="9" hidden="1"/>
    <cellStyle name="Followed Hyperlink" xfId="24554" builtinId="9" hidden="1"/>
    <cellStyle name="Followed Hyperlink" xfId="19434" builtinId="9" hidden="1"/>
    <cellStyle name="Followed Hyperlink" xfId="18712" builtinId="9" hidden="1"/>
    <cellStyle name="Followed Hyperlink" xfId="24479" builtinId="9" hidden="1"/>
    <cellStyle name="Followed Hyperlink" xfId="19359" builtinId="9" hidden="1"/>
    <cellStyle name="Followed Hyperlink" xfId="18632" builtinId="9" hidden="1"/>
    <cellStyle name="Followed Hyperlink" xfId="24372" builtinId="9" hidden="1"/>
    <cellStyle name="Followed Hyperlink" xfId="19252" builtinId="9" hidden="1"/>
    <cellStyle name="Followed Hyperlink" xfId="18503" builtinId="9" hidden="1"/>
    <cellStyle name="Followed Hyperlink" xfId="18386" builtinId="9" hidden="1"/>
    <cellStyle name="Followed Hyperlink" xfId="30171" builtinId="9" hidden="1"/>
    <cellStyle name="Followed Hyperlink" xfId="18346" builtinId="9" hidden="1"/>
    <cellStyle name="Followed Hyperlink" xfId="24076" builtinId="9" hidden="1"/>
    <cellStyle name="Followed Hyperlink" xfId="18956" builtinId="9" hidden="1"/>
    <cellStyle name="Followed Hyperlink" xfId="24227" builtinId="9" hidden="1"/>
    <cellStyle name="Followed Hyperlink" xfId="19107" builtinId="9" hidden="1"/>
    <cellStyle name="Followed Hyperlink" xfId="18828" builtinId="9" hidden="1"/>
    <cellStyle name="Followed Hyperlink" xfId="24302" builtinId="9" hidden="1"/>
    <cellStyle name="Followed Hyperlink" xfId="19182" builtinId="9" hidden="1"/>
    <cellStyle name="Followed Hyperlink" xfId="18432" builtinId="9" hidden="1"/>
    <cellStyle name="Followed Hyperlink" xfId="24343" builtinId="9" hidden="1"/>
    <cellStyle name="Followed Hyperlink" xfId="19223" builtinId="9" hidden="1"/>
    <cellStyle name="Followed Hyperlink" xfId="18474" builtinId="9" hidden="1"/>
    <cellStyle name="Followed Hyperlink" xfId="24184" builtinId="9" hidden="1"/>
    <cellStyle name="Followed Hyperlink" xfId="19064" builtinId="9" hidden="1"/>
    <cellStyle name="Followed Hyperlink" xfId="24449" builtinId="9" hidden="1"/>
    <cellStyle name="Followed Hyperlink" xfId="19329" builtinId="9" hidden="1"/>
    <cellStyle name="Followed Hyperlink" xfId="18913" builtinId="9" hidden="1"/>
    <cellStyle name="Followed Hyperlink" xfId="24632" builtinId="9" hidden="1"/>
    <cellStyle name="Followed Hyperlink" xfId="19511" builtinId="9" hidden="1"/>
    <cellStyle name="Followed Hyperlink" xfId="18788" builtinId="9" hidden="1"/>
    <cellStyle name="Followed Hyperlink" xfId="18581" builtinId="9" hidden="1"/>
    <cellStyle name="Followed Hyperlink" xfId="24139" builtinId="9" hidden="1"/>
    <cellStyle name="Followed Hyperlink" xfId="19020" builtinId="9" hidden="1"/>
    <cellStyle name="Followed Hyperlink" xfId="24404" builtinId="9" hidden="1"/>
    <cellStyle name="Followed Hyperlink" xfId="19284" builtinId="9" hidden="1"/>
    <cellStyle name="Followed Hyperlink" xfId="18670" builtinId="9" hidden="1"/>
    <cellStyle name="Followed Hyperlink" xfId="18985" builtinId="9" hidden="1"/>
    <cellStyle name="Followed Hyperlink" xfId="24586" builtinId="9" hidden="1"/>
    <cellStyle name="Followed Hyperlink" xfId="19466" builtinId="9" hidden="1"/>
    <cellStyle name="Followed Hyperlink" xfId="18744" builtinId="9" hidden="1"/>
    <cellStyle name="Followed Hyperlink" xfId="24511" builtinId="9" hidden="1"/>
    <cellStyle name="Followed Hyperlink" xfId="19391" builtinId="9" hidden="1"/>
    <cellStyle name="Followed Hyperlink" xfId="18664" builtinId="9" hidden="1"/>
    <cellStyle name="Followed Hyperlink" xfId="18535" builtinId="9" hidden="1"/>
    <cellStyle name="Followed Hyperlink" xfId="24106" builtinId="9" hidden="1"/>
    <cellStyle name="Followed Hyperlink" xfId="18984" builtinId="9" hidden="1"/>
    <cellStyle name="Followed Hyperlink" xfId="24255" builtinId="9" hidden="1"/>
    <cellStyle name="Followed Hyperlink" xfId="19135" builtinId="9" hidden="1"/>
    <cellStyle name="Followed Hyperlink" xfId="18835" builtinId="9" hidden="1"/>
    <cellStyle name="Followed Hyperlink" xfId="24553" builtinId="9" hidden="1"/>
    <cellStyle name="Followed Hyperlink" xfId="19433" builtinId="9" hidden="1"/>
    <cellStyle name="Followed Hyperlink" xfId="18711" builtinId="9" hidden="1"/>
    <cellStyle name="Followed Hyperlink" xfId="24478" builtinId="9" hidden="1"/>
    <cellStyle name="Followed Hyperlink" xfId="19358" builtinId="9" hidden="1"/>
    <cellStyle name="Followed Hyperlink" xfId="18631" builtinId="9" hidden="1"/>
    <cellStyle name="Followed Hyperlink" xfId="24371" builtinId="9" hidden="1"/>
    <cellStyle name="Followed Hyperlink" xfId="19251" builtinId="9" hidden="1"/>
    <cellStyle name="Followed Hyperlink" xfId="18502" builtinId="9" hidden="1"/>
    <cellStyle name="Followed Hyperlink" xfId="18385" builtinId="9" hidden="1"/>
    <cellStyle name="Followed Hyperlink" xfId="30169" builtinId="9" hidden="1"/>
    <cellStyle name="Followed Hyperlink" xfId="18342" builtinId="9" hidden="1"/>
    <cellStyle name="Followed Hyperlink" xfId="24074" builtinId="9" hidden="1"/>
    <cellStyle name="Followed Hyperlink" xfId="18954" builtinId="9" hidden="1"/>
    <cellStyle name="Followed Hyperlink" xfId="24225" builtinId="9" hidden="1"/>
    <cellStyle name="Followed Hyperlink" xfId="19105" builtinId="9" hidden="1"/>
    <cellStyle name="Followed Hyperlink" xfId="18619" builtinId="9" hidden="1"/>
    <cellStyle name="Followed Hyperlink" xfId="24300" builtinId="9" hidden="1"/>
    <cellStyle name="Followed Hyperlink" xfId="19180" builtinId="9" hidden="1"/>
    <cellStyle name="Followed Hyperlink" xfId="18430" builtinId="9" hidden="1"/>
    <cellStyle name="Followed Hyperlink" xfId="24341" builtinId="9" hidden="1"/>
    <cellStyle name="Followed Hyperlink" xfId="19221" builtinId="9" hidden="1"/>
    <cellStyle name="Followed Hyperlink" xfId="18472" builtinId="9" hidden="1"/>
    <cellStyle name="Followed Hyperlink" xfId="24182" builtinId="9" hidden="1"/>
    <cellStyle name="Followed Hyperlink" xfId="19062" builtinId="9" hidden="1"/>
    <cellStyle name="Followed Hyperlink" xfId="24447" builtinId="9" hidden="1"/>
    <cellStyle name="Followed Hyperlink" xfId="19327" builtinId="9" hidden="1"/>
    <cellStyle name="Followed Hyperlink" xfId="18541" builtinId="9" hidden="1"/>
    <cellStyle name="Followed Hyperlink" xfId="18868" builtinId="9" hidden="1"/>
    <cellStyle name="Followed Hyperlink" xfId="24630" builtinId="9" hidden="1"/>
    <cellStyle name="Followed Hyperlink" xfId="19509" builtinId="9" hidden="1"/>
    <cellStyle name="Followed Hyperlink" xfId="18786" builtinId="9" hidden="1"/>
    <cellStyle name="Followed Hyperlink" xfId="18579" builtinId="9" hidden="1"/>
    <cellStyle name="Followed Hyperlink" xfId="24138" builtinId="9" hidden="1"/>
    <cellStyle name="Followed Hyperlink" xfId="19019" builtinId="9" hidden="1"/>
    <cellStyle name="Followed Hyperlink" xfId="24403" builtinId="9" hidden="1"/>
    <cellStyle name="Followed Hyperlink" xfId="19283" builtinId="9" hidden="1"/>
    <cellStyle name="Followed Hyperlink" xfId="18867" builtinId="9" hidden="1"/>
    <cellStyle name="Followed Hyperlink" xfId="24585" builtinId="9" hidden="1"/>
    <cellStyle name="Followed Hyperlink" xfId="19465" builtinId="9" hidden="1"/>
    <cellStyle name="Followed Hyperlink" xfId="18743" builtinId="9" hidden="1"/>
    <cellStyle name="Followed Hyperlink" xfId="24510" builtinId="9" hidden="1"/>
    <cellStyle name="Followed Hyperlink" xfId="19390" builtinId="9" hidden="1"/>
    <cellStyle name="Followed Hyperlink" xfId="18663" builtinId="9" hidden="1"/>
    <cellStyle name="Followed Hyperlink" xfId="18534" builtinId="9" hidden="1"/>
    <cellStyle name="Followed Hyperlink" xfId="24105" builtinId="9" hidden="1"/>
    <cellStyle name="Followed Hyperlink" xfId="18983" builtinId="9" hidden="1"/>
    <cellStyle name="Followed Hyperlink" xfId="24254" builtinId="9" hidden="1"/>
    <cellStyle name="Followed Hyperlink" xfId="19134" builtinId="9" hidden="1"/>
    <cellStyle name="Followed Hyperlink" xfId="18834" builtinId="9" hidden="1"/>
    <cellStyle name="Followed Hyperlink" xfId="24552" builtinId="9" hidden="1"/>
    <cellStyle name="Followed Hyperlink" xfId="19432" builtinId="9" hidden="1"/>
    <cellStyle name="Followed Hyperlink" xfId="18710" builtinId="9" hidden="1"/>
    <cellStyle name="Followed Hyperlink" xfId="24477" builtinId="9" hidden="1"/>
    <cellStyle name="Followed Hyperlink" xfId="19357" builtinId="9" hidden="1"/>
    <cellStyle name="Followed Hyperlink" xfId="18630" builtinId="9" hidden="1"/>
    <cellStyle name="Followed Hyperlink" xfId="24370" builtinId="9" hidden="1"/>
    <cellStyle name="Followed Hyperlink" xfId="19250" builtinId="9" hidden="1"/>
    <cellStyle name="Followed Hyperlink" xfId="18501" builtinId="9" hidden="1"/>
    <cellStyle name="Followed Hyperlink" xfId="18384" builtinId="9" hidden="1"/>
    <cellStyle name="Followed Hyperlink" xfId="30167" builtinId="9" hidden="1"/>
    <cellStyle name="Followed Hyperlink" xfId="18338" builtinId="9" hidden="1"/>
    <cellStyle name="Followed Hyperlink" xfId="24072" builtinId="9" hidden="1"/>
    <cellStyle name="Followed Hyperlink" xfId="18952" builtinId="9" hidden="1"/>
    <cellStyle name="Followed Hyperlink" xfId="24223" builtinId="9" hidden="1"/>
    <cellStyle name="Followed Hyperlink" xfId="19103" builtinId="9" hidden="1"/>
    <cellStyle name="Followed Hyperlink" xfId="18625" builtinId="9" hidden="1"/>
    <cellStyle name="Followed Hyperlink" xfId="24298" builtinId="9" hidden="1"/>
    <cellStyle name="Followed Hyperlink" xfId="18990" builtinId="9" hidden="1"/>
    <cellStyle name="Followed Hyperlink" xfId="18911" builtinId="9" hidden="1"/>
    <cellStyle name="Followed Hyperlink" xfId="18428" builtinId="9" hidden="1"/>
    <cellStyle name="Followed Hyperlink" xfId="24339" builtinId="9" hidden="1"/>
    <cellStyle name="Followed Hyperlink" xfId="19219" builtinId="9" hidden="1"/>
    <cellStyle name="Followed Hyperlink" xfId="18470" builtinId="9" hidden="1"/>
    <cellStyle name="Followed Hyperlink" xfId="24180" builtinId="9" hidden="1"/>
    <cellStyle name="Followed Hyperlink" xfId="19060" builtinId="9" hidden="1"/>
    <cellStyle name="Followed Hyperlink" xfId="24445" builtinId="9" hidden="1"/>
    <cellStyle name="Followed Hyperlink" xfId="19325" builtinId="9" hidden="1"/>
    <cellStyle name="Followed Hyperlink" xfId="18909" builtinId="9" hidden="1"/>
    <cellStyle name="Followed Hyperlink" xfId="24628" builtinId="9" hidden="1"/>
    <cellStyle name="Followed Hyperlink" xfId="19507" builtinId="9" hidden="1"/>
    <cellStyle name="Followed Hyperlink" xfId="18784" builtinId="9" hidden="1"/>
    <cellStyle name="Followed Hyperlink" xfId="18577" builtinId="9" hidden="1"/>
    <cellStyle name="Followed Hyperlink" xfId="24137" builtinId="9" hidden="1"/>
    <cellStyle name="Followed Hyperlink" xfId="19018" builtinId="9" hidden="1"/>
    <cellStyle name="Followed Hyperlink" xfId="24402" builtinId="9" hidden="1"/>
    <cellStyle name="Followed Hyperlink" xfId="19282" builtinId="9" hidden="1"/>
    <cellStyle name="Followed Hyperlink" xfId="18866" builtinId="9" hidden="1"/>
    <cellStyle name="Followed Hyperlink" xfId="24584" builtinId="9" hidden="1"/>
    <cellStyle name="Followed Hyperlink" xfId="19464" builtinId="9" hidden="1"/>
    <cellStyle name="Followed Hyperlink" xfId="18742" builtinId="9" hidden="1"/>
    <cellStyle name="Followed Hyperlink" xfId="24509" builtinId="9" hidden="1"/>
    <cellStyle name="Followed Hyperlink" xfId="19389" builtinId="9" hidden="1"/>
    <cellStyle name="Followed Hyperlink" xfId="18662" builtinId="9" hidden="1"/>
    <cellStyle name="Followed Hyperlink" xfId="18533" builtinId="9" hidden="1"/>
    <cellStyle name="Followed Hyperlink" xfId="24104" builtinId="9" hidden="1"/>
    <cellStyle name="Followed Hyperlink" xfId="18982" builtinId="9" hidden="1"/>
    <cellStyle name="Followed Hyperlink" xfId="24253" builtinId="9" hidden="1"/>
    <cellStyle name="Followed Hyperlink" xfId="19133" builtinId="9" hidden="1"/>
    <cellStyle name="Followed Hyperlink" xfId="18833" builtinId="9" hidden="1"/>
    <cellStyle name="Followed Hyperlink" xfId="24551" builtinId="9" hidden="1"/>
    <cellStyle name="Followed Hyperlink" xfId="19431" builtinId="9" hidden="1"/>
    <cellStyle name="Followed Hyperlink" xfId="18709" builtinId="9" hidden="1"/>
    <cellStyle name="Followed Hyperlink" xfId="24476" builtinId="9" hidden="1"/>
    <cellStyle name="Followed Hyperlink" xfId="19356" builtinId="9" hidden="1"/>
    <cellStyle name="Followed Hyperlink" xfId="18629" builtinId="9" hidden="1"/>
    <cellStyle name="Followed Hyperlink" xfId="24369" builtinId="9" hidden="1"/>
    <cellStyle name="Followed Hyperlink" xfId="19249" builtinId="9" hidden="1"/>
    <cellStyle name="Followed Hyperlink" xfId="18500" builtinId="9" hidden="1"/>
    <cellStyle name="Followed Hyperlink" xfId="19397" builtinId="9" hidden="1"/>
    <cellStyle name="Followed Hyperlink" xfId="19178" builtinId="9" hidden="1"/>
    <cellStyle name="Followed Hyperlink" xfId="18383" builtinId="9" hidden="1"/>
    <cellStyle name="Followed Hyperlink" xfId="30165" builtinId="9" hidden="1"/>
    <cellStyle name="Followed Hyperlink" xfId="18334" builtinId="9" hidden="1"/>
    <cellStyle name="Followed Hyperlink" xfId="24070" builtinId="9" hidden="1"/>
    <cellStyle name="Followed Hyperlink" xfId="18950" builtinId="9" hidden="1"/>
    <cellStyle name="Followed Hyperlink" xfId="24221" builtinId="9" hidden="1"/>
    <cellStyle name="Followed Hyperlink" xfId="19101" builtinId="9" hidden="1"/>
    <cellStyle name="Followed Hyperlink" xfId="18823" builtinId="9" hidden="1"/>
    <cellStyle name="Followed Hyperlink" xfId="24296" builtinId="9" hidden="1"/>
    <cellStyle name="Followed Hyperlink" xfId="19176" builtinId="9" hidden="1"/>
    <cellStyle name="Followed Hyperlink" xfId="18426" builtinId="9" hidden="1"/>
    <cellStyle name="Followed Hyperlink" xfId="24337" builtinId="9" hidden="1"/>
    <cellStyle name="Followed Hyperlink" xfId="19217" builtinId="9" hidden="1"/>
    <cellStyle name="Followed Hyperlink" xfId="18468" builtinId="9" hidden="1"/>
    <cellStyle name="Followed Hyperlink" xfId="24178" builtinId="9" hidden="1"/>
    <cellStyle name="Followed Hyperlink" xfId="19058" builtinId="9" hidden="1"/>
    <cellStyle name="Followed Hyperlink" xfId="24443" builtinId="9" hidden="1"/>
    <cellStyle name="Followed Hyperlink" xfId="19323" builtinId="9" hidden="1"/>
    <cellStyle name="Followed Hyperlink" xfId="18907" builtinId="9" hidden="1"/>
    <cellStyle name="Followed Hyperlink" xfId="24626" builtinId="9" hidden="1"/>
    <cellStyle name="Followed Hyperlink" xfId="19505" builtinId="9" hidden="1"/>
    <cellStyle name="Followed Hyperlink" xfId="18782" builtinId="9" hidden="1"/>
    <cellStyle name="Followed Hyperlink" xfId="18575" builtinId="9" hidden="1"/>
    <cellStyle name="Followed Hyperlink" xfId="24136" builtinId="9" hidden="1"/>
    <cellStyle name="Followed Hyperlink" xfId="19017" builtinId="9" hidden="1"/>
    <cellStyle name="Followed Hyperlink" xfId="24401" builtinId="9" hidden="1"/>
    <cellStyle name="Followed Hyperlink" xfId="19281" builtinId="9" hidden="1"/>
    <cellStyle name="Followed Hyperlink" xfId="18865" builtinId="9" hidden="1"/>
    <cellStyle name="Followed Hyperlink" xfId="24583" builtinId="9" hidden="1"/>
    <cellStyle name="Followed Hyperlink" xfId="19463" builtinId="9" hidden="1"/>
    <cellStyle name="Followed Hyperlink" xfId="18741" builtinId="9" hidden="1"/>
    <cellStyle name="Followed Hyperlink" xfId="24508" builtinId="9" hidden="1"/>
    <cellStyle name="Followed Hyperlink" xfId="19388" builtinId="9" hidden="1"/>
    <cellStyle name="Followed Hyperlink" xfId="18661" builtinId="9" hidden="1"/>
    <cellStyle name="Followed Hyperlink" xfId="18532" builtinId="9" hidden="1"/>
    <cellStyle name="Followed Hyperlink" xfId="24103" builtinId="9" hidden="1"/>
    <cellStyle name="Followed Hyperlink" xfId="18981" builtinId="9" hidden="1"/>
    <cellStyle name="Followed Hyperlink" xfId="24252" builtinId="9" hidden="1"/>
    <cellStyle name="Followed Hyperlink" xfId="19132" builtinId="9" hidden="1"/>
    <cellStyle name="Followed Hyperlink" xfId="18832" builtinId="9" hidden="1"/>
    <cellStyle name="Followed Hyperlink" xfId="24550" builtinId="9" hidden="1"/>
    <cellStyle name="Followed Hyperlink" xfId="19430" builtinId="9" hidden="1"/>
    <cellStyle name="Followed Hyperlink" xfId="18708" builtinId="9" hidden="1"/>
    <cellStyle name="Followed Hyperlink" xfId="24475" builtinId="9" hidden="1"/>
    <cellStyle name="Followed Hyperlink" xfId="19355" builtinId="9" hidden="1"/>
    <cellStyle name="Followed Hyperlink" xfId="18628" builtinId="9" hidden="1"/>
    <cellStyle name="Followed Hyperlink" xfId="24368" builtinId="9" hidden="1"/>
    <cellStyle name="Followed Hyperlink" xfId="19248" builtinId="9" hidden="1"/>
    <cellStyle name="Followed Hyperlink" xfId="18499" builtinId="9" hidden="1"/>
    <cellStyle name="Followed Hyperlink" xfId="18382" builtinId="9" hidden="1"/>
    <cellStyle name="Followed Hyperlink" xfId="30163" builtinId="9" hidden="1"/>
    <cellStyle name="Followed Hyperlink" xfId="2734" builtinId="9" hidden="1"/>
    <cellStyle name="Followed Hyperlink" xfId="24068" builtinId="9" hidden="1"/>
    <cellStyle name="Followed Hyperlink" xfId="18948" builtinId="9" hidden="1"/>
    <cellStyle name="Followed Hyperlink" xfId="24219" builtinId="9" hidden="1"/>
    <cellStyle name="Followed Hyperlink" xfId="19099" builtinId="9" hidden="1"/>
    <cellStyle name="Followed Hyperlink" xfId="18818" builtinId="9" hidden="1"/>
    <cellStyle name="Followed Hyperlink" xfId="24294" builtinId="9" hidden="1"/>
    <cellStyle name="Followed Hyperlink" xfId="19174" builtinId="9" hidden="1"/>
    <cellStyle name="Followed Hyperlink" xfId="18424" builtinId="9" hidden="1"/>
    <cellStyle name="Followed Hyperlink" xfId="24335" builtinId="9" hidden="1"/>
    <cellStyle name="Followed Hyperlink" xfId="19215" builtinId="9" hidden="1"/>
    <cellStyle name="Followed Hyperlink" xfId="18466" builtinId="9" hidden="1"/>
    <cellStyle name="Followed Hyperlink" xfId="24176" builtinId="9" hidden="1"/>
    <cellStyle name="Followed Hyperlink" xfId="19056" builtinId="9" hidden="1"/>
    <cellStyle name="Followed Hyperlink" xfId="24441" builtinId="9" hidden="1"/>
    <cellStyle name="Followed Hyperlink" xfId="19321" builtinId="9" hidden="1"/>
    <cellStyle name="Followed Hyperlink" xfId="18905" builtinId="9" hidden="1"/>
    <cellStyle name="Followed Hyperlink" xfId="24624" builtinId="9" hidden="1"/>
    <cellStyle name="Followed Hyperlink" xfId="19503" builtinId="9" hidden="1"/>
    <cellStyle name="Followed Hyperlink" xfId="18780" builtinId="9" hidden="1"/>
    <cellStyle name="Followed Hyperlink" xfId="18573" builtinId="9" hidden="1"/>
    <cellStyle name="Followed Hyperlink" xfId="24135" builtinId="9" hidden="1"/>
    <cellStyle name="Followed Hyperlink" xfId="19016" builtinId="9" hidden="1"/>
    <cellStyle name="Followed Hyperlink" xfId="24400" builtinId="9" hidden="1"/>
    <cellStyle name="Followed Hyperlink" xfId="19280" builtinId="9" hidden="1"/>
    <cellStyle name="Followed Hyperlink" xfId="18864" builtinId="9" hidden="1"/>
    <cellStyle name="Followed Hyperlink" xfId="24582" builtinId="9" hidden="1"/>
    <cellStyle name="Followed Hyperlink" xfId="19462" builtinId="9" hidden="1"/>
    <cellStyle name="Followed Hyperlink" xfId="18740" builtinId="9" hidden="1"/>
    <cellStyle name="Followed Hyperlink" xfId="18831" builtinId="9" hidden="1"/>
    <cellStyle name="Followed Hyperlink" xfId="24549" builtinId="9" hidden="1"/>
    <cellStyle name="Followed Hyperlink" xfId="19429" builtinId="9" hidden="1"/>
    <cellStyle name="Followed Hyperlink" xfId="18707" builtinId="9" hidden="1"/>
    <cellStyle name="Followed Hyperlink" xfId="24474" builtinId="9" hidden="1"/>
    <cellStyle name="Followed Hyperlink" xfId="19354" builtinId="9" hidden="1"/>
    <cellStyle name="Followed Hyperlink" xfId="18627" builtinId="9" hidden="1"/>
    <cellStyle name="Followed Hyperlink" xfId="24367" builtinId="9" hidden="1"/>
    <cellStyle name="Followed Hyperlink" xfId="19247" builtinId="9" hidden="1"/>
    <cellStyle name="Followed Hyperlink" xfId="18498" builtinId="9" hidden="1"/>
    <cellStyle name="Followed Hyperlink" xfId="18381" builtinId="9" hidden="1"/>
    <cellStyle name="Followed Hyperlink" xfId="30161" builtinId="9" hidden="1"/>
    <cellStyle name="Followed Hyperlink" xfId="2749" builtinId="9" hidden="1"/>
    <cellStyle name="Followed Hyperlink" xfId="30173" builtinId="9" hidden="1"/>
    <cellStyle name="Followed Hyperlink" xfId="30174" builtinId="9" hidden="1"/>
    <cellStyle name="Followed Hyperlink" xfId="30175" builtinId="9" hidden="1"/>
    <cellStyle name="Followed Hyperlink" xfId="30176" builtinId="9" hidden="1"/>
    <cellStyle name="Followed Hyperlink" xfId="30177" builtinId="9" hidden="1"/>
    <cellStyle name="Followed Hyperlink" xfId="30178" builtinId="9" hidden="1"/>
    <cellStyle name="Followed Hyperlink" xfId="30179" builtinId="9" hidden="1"/>
    <cellStyle name="Followed Hyperlink" xfId="30180" builtinId="9" hidden="1"/>
    <cellStyle name="Followed Hyperlink" xfId="30181" builtinId="9" hidden="1"/>
    <cellStyle name="Followed Hyperlink" xfId="30182" builtinId="9" hidden="1"/>
    <cellStyle name="Followed Hyperlink" xfId="30183" builtinId="9" hidden="1"/>
    <cellStyle name="Followed Hyperlink" xfId="30184" builtinId="9" hidden="1"/>
    <cellStyle name="Followed Hyperlink" xfId="30185" builtinId="9" hidden="1"/>
    <cellStyle name="Followed Hyperlink" xfId="30186" builtinId="9" hidden="1"/>
    <cellStyle name="Followed Hyperlink" xfId="30187" builtinId="9" hidden="1"/>
    <cellStyle name="Followed Hyperlink" xfId="30188" builtinId="9" hidden="1"/>
    <cellStyle name="Followed Hyperlink" xfId="30189" builtinId="9" hidden="1"/>
    <cellStyle name="Followed Hyperlink" xfId="30190" builtinId="9" hidden="1"/>
    <cellStyle name="Followed Hyperlink" xfId="30191" builtinId="9" hidden="1"/>
    <cellStyle name="Followed Hyperlink" xfId="30192" builtinId="9" hidden="1"/>
    <cellStyle name="Followed Hyperlink" xfId="30193" builtinId="9" hidden="1"/>
    <cellStyle name="Followed Hyperlink" xfId="30194" builtinId="9" hidden="1"/>
    <cellStyle name="Followed Hyperlink" xfId="30195" builtinId="9" hidden="1"/>
    <cellStyle name="Followed Hyperlink" xfId="30196" builtinId="9" hidden="1"/>
    <cellStyle name="Followed Hyperlink" xfId="30197" builtinId="9" hidden="1"/>
    <cellStyle name="Followed Hyperlink" xfId="30198" builtinId="9" hidden="1"/>
    <cellStyle name="Followed Hyperlink" xfId="30199" builtinId="9" hidden="1"/>
    <cellStyle name="Followed Hyperlink" xfId="30200" builtinId="9" hidden="1"/>
    <cellStyle name="Followed Hyperlink" xfId="30201" builtinId="9" hidden="1"/>
    <cellStyle name="Followed Hyperlink" xfId="30202" builtinId="9" hidden="1"/>
    <cellStyle name="Followed Hyperlink" xfId="30203" builtinId="9" hidden="1"/>
    <cellStyle name="Followed Hyperlink" xfId="30204" builtinId="9" hidden="1"/>
    <cellStyle name="Followed Hyperlink" xfId="30205" builtinId="9" hidden="1"/>
    <cellStyle name="Followed Hyperlink" xfId="30206" builtinId="9" hidden="1"/>
    <cellStyle name="Followed Hyperlink" xfId="30207" builtinId="9" hidden="1"/>
    <cellStyle name="Followed Hyperlink" xfId="30208" builtinId="9" hidden="1"/>
    <cellStyle name="Followed Hyperlink" xfId="30209" builtinId="9" hidden="1"/>
    <cellStyle name="Followed Hyperlink" xfId="30210" builtinId="9" hidden="1"/>
    <cellStyle name="Followed Hyperlink" xfId="30211" builtinId="9" hidden="1"/>
    <cellStyle name="Followed Hyperlink" xfId="30212" builtinId="9" hidden="1"/>
    <cellStyle name="Followed Hyperlink" xfId="30213" builtinId="9" hidden="1"/>
    <cellStyle name="Followed Hyperlink" xfId="30214" builtinId="9" hidden="1"/>
    <cellStyle name="Followed Hyperlink" xfId="30215" builtinId="9" hidden="1"/>
    <cellStyle name="Followed Hyperlink" xfId="30216" builtinId="9" hidden="1"/>
    <cellStyle name="Followed Hyperlink" xfId="30217" builtinId="9" hidden="1"/>
    <cellStyle name="Followed Hyperlink" xfId="30218" builtinId="9" hidden="1"/>
    <cellStyle name="Followed Hyperlink" xfId="30219" builtinId="9" hidden="1"/>
    <cellStyle name="Followed Hyperlink" xfId="30220" builtinId="9" hidden="1"/>
    <cellStyle name="Followed Hyperlink" xfId="30221" builtinId="9" hidden="1"/>
    <cellStyle name="Followed Hyperlink" xfId="30222" builtinId="9" hidden="1"/>
    <cellStyle name="Followed Hyperlink" xfId="30223" builtinId="9" hidden="1"/>
    <cellStyle name="Followed Hyperlink" xfId="30224" builtinId="9" hidden="1"/>
    <cellStyle name="Followed Hyperlink" xfId="30225" builtinId="9" hidden="1"/>
    <cellStyle name="Followed Hyperlink" xfId="30226" builtinId="9" hidden="1"/>
    <cellStyle name="Followed Hyperlink" xfId="30227" builtinId="9" hidden="1"/>
    <cellStyle name="Followed Hyperlink" xfId="30228" builtinId="9" hidden="1"/>
    <cellStyle name="Followed Hyperlink" xfId="30229" builtinId="9" hidden="1"/>
    <cellStyle name="Followed Hyperlink" xfId="30230" builtinId="9" hidden="1"/>
    <cellStyle name="Followed Hyperlink" xfId="30231" builtinId="9" hidden="1"/>
    <cellStyle name="Followed Hyperlink" xfId="30232" builtinId="9" hidden="1"/>
    <cellStyle name="Followed Hyperlink" xfId="30233" builtinId="9" hidden="1"/>
    <cellStyle name="Followed Hyperlink" xfId="30234" builtinId="9" hidden="1"/>
    <cellStyle name="Followed Hyperlink" xfId="30235" builtinId="9" hidden="1"/>
    <cellStyle name="Followed Hyperlink" xfId="30236" builtinId="9" hidden="1"/>
    <cellStyle name="Followed Hyperlink" xfId="30237" builtinId="9" hidden="1"/>
    <cellStyle name="Followed Hyperlink" xfId="30238" builtinId="9" hidden="1"/>
    <cellStyle name="Followed Hyperlink" xfId="30239" builtinId="9" hidden="1"/>
    <cellStyle name="Followed Hyperlink" xfId="30240" builtinId="9" hidden="1"/>
    <cellStyle name="Followed Hyperlink" xfId="30241" builtinId="9" hidden="1"/>
    <cellStyle name="Followed Hyperlink" xfId="30242" builtinId="9" hidden="1"/>
    <cellStyle name="Followed Hyperlink" xfId="30243" builtinId="9" hidden="1"/>
    <cellStyle name="Followed Hyperlink" xfId="30244" builtinId="9" hidden="1"/>
    <cellStyle name="Followed Hyperlink" xfId="30245" builtinId="9" hidden="1"/>
    <cellStyle name="Followed Hyperlink" xfId="30246" builtinId="9" hidden="1"/>
    <cellStyle name="Followed Hyperlink" xfId="30247" builtinId="9" hidden="1"/>
    <cellStyle name="Followed Hyperlink" xfId="30248" builtinId="9" hidden="1"/>
    <cellStyle name="Followed Hyperlink" xfId="30249" builtinId="9" hidden="1"/>
    <cellStyle name="Followed Hyperlink" xfId="30250" builtinId="9" hidden="1"/>
    <cellStyle name="Followed Hyperlink" xfId="30251" builtinId="9" hidden="1"/>
    <cellStyle name="Followed Hyperlink" xfId="30252" builtinId="9" hidden="1"/>
    <cellStyle name="Followed Hyperlink" xfId="30253" builtinId="9" hidden="1"/>
    <cellStyle name="Followed Hyperlink" xfId="30254" builtinId="9" hidden="1"/>
    <cellStyle name="Followed Hyperlink" xfId="30255" builtinId="9" hidden="1"/>
    <cellStyle name="Followed Hyperlink" xfId="30256" builtinId="9" hidden="1"/>
    <cellStyle name="Followed Hyperlink" xfId="30257" builtinId="9" hidden="1"/>
    <cellStyle name="Followed Hyperlink" xfId="30258" builtinId="9" hidden="1"/>
    <cellStyle name="Followed Hyperlink" xfId="30259" builtinId="9" hidden="1"/>
    <cellStyle name="Followed Hyperlink" xfId="30260" builtinId="9" hidden="1"/>
    <cellStyle name="Followed Hyperlink" xfId="30261" builtinId="9" hidden="1"/>
    <cellStyle name="Followed Hyperlink" xfId="30262" builtinId="9" hidden="1"/>
    <cellStyle name="Followed Hyperlink" xfId="30263" builtinId="9" hidden="1"/>
    <cellStyle name="Followed Hyperlink" xfId="30264" builtinId="9" hidden="1"/>
    <cellStyle name="Followed Hyperlink" xfId="30265" builtinId="9" hidden="1"/>
    <cellStyle name="Followed Hyperlink" xfId="30266" builtinId="9" hidden="1"/>
    <cellStyle name="Followed Hyperlink" xfId="30267" builtinId="9" hidden="1"/>
    <cellStyle name="Followed Hyperlink" xfId="30268" builtinId="9" hidden="1"/>
    <cellStyle name="Followed Hyperlink" xfId="30269" builtinId="9" hidden="1"/>
    <cellStyle name="Followed Hyperlink" xfId="30270" builtinId="9" hidden="1"/>
    <cellStyle name="Followed Hyperlink" xfId="30271" builtinId="9" hidden="1"/>
    <cellStyle name="Followed Hyperlink" xfId="30272" builtinId="9" hidden="1"/>
    <cellStyle name="Followed Hyperlink" xfId="30273" builtinId="9" hidden="1"/>
    <cellStyle name="Followed Hyperlink" xfId="30274" builtinId="9" hidden="1"/>
    <cellStyle name="Followed Hyperlink" xfId="30275" builtinId="9" hidden="1"/>
    <cellStyle name="Followed Hyperlink" xfId="30276" builtinId="9" hidden="1"/>
    <cellStyle name="Followed Hyperlink" xfId="30277" builtinId="9" hidden="1"/>
    <cellStyle name="Followed Hyperlink" xfId="30278" builtinId="9" hidden="1"/>
    <cellStyle name="Followed Hyperlink" xfId="30279" builtinId="9" hidden="1"/>
    <cellStyle name="Followed Hyperlink" xfId="30280" builtinId="9" hidden="1"/>
    <cellStyle name="Followed Hyperlink" xfId="30281" builtinId="9" hidden="1"/>
    <cellStyle name="Followed Hyperlink" xfId="30282" builtinId="9" hidden="1"/>
    <cellStyle name="Followed Hyperlink" xfId="24507" builtinId="9" hidden="1"/>
    <cellStyle name="Followed Hyperlink" xfId="19526" builtinId="9" hidden="1"/>
    <cellStyle name="Followed Hyperlink" xfId="30284" builtinId="9" hidden="1"/>
    <cellStyle name="Followed Hyperlink" xfId="30285" builtinId="9" hidden="1"/>
    <cellStyle name="Followed Hyperlink" xfId="30286" builtinId="9" hidden="1"/>
    <cellStyle name="Followed Hyperlink" xfId="30287" builtinId="9" hidden="1"/>
    <cellStyle name="Followed Hyperlink" xfId="30288" builtinId="9" hidden="1"/>
    <cellStyle name="Followed Hyperlink" xfId="30289" builtinId="9" hidden="1"/>
    <cellStyle name="Followed Hyperlink" xfId="30290" builtinId="9" hidden="1"/>
    <cellStyle name="Followed Hyperlink" xfId="30291" builtinId="9" hidden="1"/>
    <cellStyle name="Followed Hyperlink" xfId="30292" builtinId="9" hidden="1"/>
    <cellStyle name="Followed Hyperlink" xfId="30293" builtinId="9" hidden="1"/>
    <cellStyle name="Followed Hyperlink" xfId="30294" builtinId="9" hidden="1"/>
    <cellStyle name="Followed Hyperlink" xfId="30295" builtinId="9" hidden="1"/>
    <cellStyle name="Followed Hyperlink" xfId="30296" builtinId="9" hidden="1"/>
    <cellStyle name="Followed Hyperlink" xfId="30297" builtinId="9" hidden="1"/>
    <cellStyle name="Followed Hyperlink" xfId="30298" builtinId="9" hidden="1"/>
    <cellStyle name="Followed Hyperlink" xfId="30299" builtinId="9" hidden="1"/>
    <cellStyle name="Followed Hyperlink" xfId="30300" builtinId="9" hidden="1"/>
    <cellStyle name="Followed Hyperlink" xfId="30301" builtinId="9" hidden="1"/>
    <cellStyle name="Followed Hyperlink" xfId="30302" builtinId="9" hidden="1"/>
    <cellStyle name="Followed Hyperlink" xfId="30303" builtinId="9" hidden="1"/>
    <cellStyle name="Followed Hyperlink" xfId="30304" builtinId="9" hidden="1"/>
    <cellStyle name="Followed Hyperlink" xfId="30305" builtinId="9" hidden="1"/>
    <cellStyle name="Followed Hyperlink" xfId="30306" builtinId="9" hidden="1"/>
    <cellStyle name="Followed Hyperlink" xfId="30307" builtinId="9" hidden="1"/>
    <cellStyle name="Followed Hyperlink" xfId="30308" builtinId="9" hidden="1"/>
    <cellStyle name="Followed Hyperlink" xfId="30309" builtinId="9" hidden="1"/>
    <cellStyle name="Followed Hyperlink" xfId="30310" builtinId="9" hidden="1"/>
    <cellStyle name="Followed Hyperlink" xfId="30311" builtinId="9" hidden="1"/>
    <cellStyle name="Followed Hyperlink" xfId="30312" builtinId="9" hidden="1"/>
    <cellStyle name="Followed Hyperlink" xfId="30313" builtinId="9" hidden="1"/>
    <cellStyle name="Followed Hyperlink" xfId="30314" builtinId="9" hidden="1"/>
    <cellStyle name="Followed Hyperlink" xfId="30315" builtinId="9" hidden="1"/>
    <cellStyle name="Followed Hyperlink" xfId="30316" builtinId="9" hidden="1"/>
    <cellStyle name="Followed Hyperlink" xfId="30317" builtinId="9" hidden="1"/>
    <cellStyle name="Followed Hyperlink" xfId="30318" builtinId="9" hidden="1"/>
    <cellStyle name="Followed Hyperlink" xfId="30319" builtinId="9" hidden="1"/>
    <cellStyle name="Followed Hyperlink" xfId="30320" builtinId="9" hidden="1"/>
    <cellStyle name="Followed Hyperlink" xfId="30321" builtinId="9" hidden="1"/>
    <cellStyle name="Followed Hyperlink" xfId="30322" builtinId="9" hidden="1"/>
    <cellStyle name="Followed Hyperlink" xfId="18980" builtinId="9" hidden="1"/>
    <cellStyle name="Followed Hyperlink" xfId="30283" builtinId="9" hidden="1"/>
    <cellStyle name="Followed Hyperlink" xfId="30324" builtinId="9" hidden="1"/>
    <cellStyle name="Followed Hyperlink" xfId="30325" builtinId="9" hidden="1"/>
    <cellStyle name="Followed Hyperlink" xfId="30326" builtinId="9" hidden="1"/>
    <cellStyle name="Followed Hyperlink" xfId="30327" builtinId="9" hidden="1"/>
    <cellStyle name="Followed Hyperlink" xfId="30328" builtinId="9" hidden="1"/>
    <cellStyle name="Followed Hyperlink" xfId="30329" builtinId="9" hidden="1"/>
    <cellStyle name="Followed Hyperlink" xfId="30330" builtinId="9" hidden="1"/>
    <cellStyle name="Followed Hyperlink" xfId="30331" builtinId="9" hidden="1"/>
    <cellStyle name="Followed Hyperlink" xfId="30332" builtinId="9" hidden="1"/>
    <cellStyle name="Followed Hyperlink" xfId="30333" builtinId="9" hidden="1"/>
    <cellStyle name="Followed Hyperlink" xfId="30334" builtinId="9" hidden="1"/>
    <cellStyle name="Followed Hyperlink" xfId="30335" builtinId="9" hidden="1"/>
    <cellStyle name="Followed Hyperlink" xfId="30336" builtinId="9" hidden="1"/>
    <cellStyle name="Followed Hyperlink" xfId="30337" builtinId="9" hidden="1"/>
    <cellStyle name="Followed Hyperlink" xfId="30338" builtinId="9" hidden="1"/>
    <cellStyle name="Followed Hyperlink" xfId="30339" builtinId="9" hidden="1"/>
    <cellStyle name="Followed Hyperlink" xfId="30340" builtinId="9" hidden="1"/>
    <cellStyle name="Followed Hyperlink" xfId="30341" builtinId="9" hidden="1"/>
    <cellStyle name="Followed Hyperlink" xfId="30342" builtinId="9" hidden="1"/>
    <cellStyle name="Followed Hyperlink" xfId="30343" builtinId="9" hidden="1"/>
    <cellStyle name="Followed Hyperlink" xfId="30344" builtinId="9" hidden="1"/>
    <cellStyle name="Followed Hyperlink" xfId="30345" builtinId="9" hidden="1"/>
    <cellStyle name="Followed Hyperlink" xfId="30346" builtinId="9" hidden="1"/>
    <cellStyle name="Followed Hyperlink" xfId="30347" builtinId="9" hidden="1"/>
    <cellStyle name="Followed Hyperlink" xfId="30348" builtinId="9" hidden="1"/>
    <cellStyle name="Followed Hyperlink" xfId="30349" builtinId="9" hidden="1"/>
    <cellStyle name="Followed Hyperlink" xfId="30350" builtinId="9" hidden="1"/>
    <cellStyle name="Followed Hyperlink" xfId="30351" builtinId="9" hidden="1"/>
    <cellStyle name="Followed Hyperlink" xfId="30352" builtinId="9" hidden="1"/>
    <cellStyle name="Followed Hyperlink" xfId="30353" builtinId="9" hidden="1"/>
    <cellStyle name="Followed Hyperlink" xfId="30354" builtinId="9" hidden="1"/>
    <cellStyle name="Followed Hyperlink" xfId="30355" builtinId="9" hidden="1"/>
    <cellStyle name="Followed Hyperlink" xfId="30356" builtinId="9" hidden="1"/>
    <cellStyle name="Followed Hyperlink" xfId="30357" builtinId="9" hidden="1"/>
    <cellStyle name="Followed Hyperlink" xfId="30358" builtinId="9" hidden="1"/>
    <cellStyle name="Followed Hyperlink" xfId="30359" builtinId="9" hidden="1"/>
    <cellStyle name="Followed Hyperlink" xfId="30360" builtinId="9" hidden="1"/>
    <cellStyle name="Followed Hyperlink" xfId="30361" builtinId="9" hidden="1"/>
    <cellStyle name="Followed Hyperlink" xfId="30362" builtinId="9" hidden="1"/>
    <cellStyle name="Followed Hyperlink" xfId="19131" builtinId="9" hidden="1"/>
    <cellStyle name="Followed Hyperlink" xfId="30323" builtinId="9" hidden="1"/>
    <cellStyle name="Followed Hyperlink" xfId="30364" builtinId="9" hidden="1"/>
    <cellStyle name="Followed Hyperlink" xfId="30365" builtinId="9" hidden="1"/>
    <cellStyle name="Followed Hyperlink" xfId="30366" builtinId="9" hidden="1"/>
    <cellStyle name="Followed Hyperlink" xfId="30367" builtinId="9" hidden="1"/>
    <cellStyle name="Followed Hyperlink" xfId="30368" builtinId="9" hidden="1"/>
    <cellStyle name="Followed Hyperlink" xfId="30369" builtinId="9" hidden="1"/>
    <cellStyle name="Followed Hyperlink" xfId="30370" builtinId="9" hidden="1"/>
    <cellStyle name="Followed Hyperlink" xfId="30371" builtinId="9" hidden="1"/>
    <cellStyle name="Followed Hyperlink" xfId="30372" builtinId="9" hidden="1"/>
    <cellStyle name="Followed Hyperlink" xfId="30373" builtinId="9" hidden="1"/>
    <cellStyle name="Followed Hyperlink" xfId="30374" builtinId="9" hidden="1"/>
    <cellStyle name="Followed Hyperlink" xfId="30375" builtinId="9" hidden="1"/>
    <cellStyle name="Followed Hyperlink" xfId="30376" builtinId="9" hidden="1"/>
    <cellStyle name="Followed Hyperlink" xfId="30377" builtinId="9" hidden="1"/>
    <cellStyle name="Followed Hyperlink" xfId="30378" builtinId="9" hidden="1"/>
    <cellStyle name="Followed Hyperlink" xfId="30379" builtinId="9" hidden="1"/>
    <cellStyle name="Followed Hyperlink" xfId="30380" builtinId="9" hidden="1"/>
    <cellStyle name="Followed Hyperlink" xfId="30381" builtinId="9" hidden="1"/>
    <cellStyle name="Followed Hyperlink" xfId="30382" builtinId="9" hidden="1"/>
    <cellStyle name="Followed Hyperlink" xfId="30383" builtinId="9" hidden="1"/>
    <cellStyle name="Followed Hyperlink" xfId="30384" builtinId="9" hidden="1"/>
    <cellStyle name="Followed Hyperlink" xfId="30385" builtinId="9" hidden="1"/>
    <cellStyle name="Followed Hyperlink" xfId="30386" builtinId="9" hidden="1"/>
    <cellStyle name="Followed Hyperlink" xfId="30387" builtinId="9" hidden="1"/>
    <cellStyle name="Followed Hyperlink" xfId="30388" builtinId="9" hidden="1"/>
    <cellStyle name="Followed Hyperlink" xfId="30389" builtinId="9" hidden="1"/>
    <cellStyle name="Followed Hyperlink" xfId="30390" builtinId="9" hidden="1"/>
    <cellStyle name="Followed Hyperlink" xfId="30391" builtinId="9" hidden="1"/>
    <cellStyle name="Followed Hyperlink" xfId="30392" builtinId="9" hidden="1"/>
    <cellStyle name="Followed Hyperlink" xfId="30393" builtinId="9" hidden="1"/>
    <cellStyle name="Followed Hyperlink" xfId="30394" builtinId="9" hidden="1"/>
    <cellStyle name="Followed Hyperlink" xfId="30395" builtinId="9" hidden="1"/>
    <cellStyle name="Followed Hyperlink" xfId="30396" builtinId="9" hidden="1"/>
    <cellStyle name="Followed Hyperlink" xfId="30397" builtinId="9" hidden="1"/>
    <cellStyle name="Followed Hyperlink" xfId="30398" builtinId="9" hidden="1"/>
    <cellStyle name="Followed Hyperlink" xfId="30399" builtinId="9" hidden="1"/>
    <cellStyle name="Followed Hyperlink" xfId="30400" builtinId="9" hidden="1"/>
    <cellStyle name="Followed Hyperlink" xfId="30401" builtinId="9" hidden="1"/>
    <cellStyle name="Followed Hyperlink" xfId="30402" builtinId="9" hidden="1"/>
    <cellStyle name="Followed Hyperlink" xfId="19387" builtinId="9" hidden="1"/>
    <cellStyle name="Followed Hyperlink" xfId="30363" builtinId="9" hidden="1"/>
    <cellStyle name="Followed Hyperlink" xfId="30404" builtinId="9" hidden="1"/>
    <cellStyle name="Followed Hyperlink" xfId="30405" builtinId="9" hidden="1"/>
    <cellStyle name="Followed Hyperlink" xfId="30406" builtinId="9" hidden="1"/>
    <cellStyle name="Followed Hyperlink" xfId="30407" builtinId="9" hidden="1"/>
    <cellStyle name="Followed Hyperlink" xfId="30408" builtinId="9" hidden="1"/>
    <cellStyle name="Followed Hyperlink" xfId="30409" builtinId="9" hidden="1"/>
    <cellStyle name="Followed Hyperlink" xfId="30410" builtinId="9" hidden="1"/>
    <cellStyle name="Followed Hyperlink" xfId="30411" builtinId="9" hidden="1"/>
    <cellStyle name="Followed Hyperlink" xfId="30412" builtinId="9" hidden="1"/>
    <cellStyle name="Followed Hyperlink" xfId="30413" builtinId="9" hidden="1"/>
    <cellStyle name="Followed Hyperlink" xfId="30414" builtinId="9" hidden="1"/>
    <cellStyle name="Followed Hyperlink" xfId="30415" builtinId="9" hidden="1"/>
    <cellStyle name="Followed Hyperlink" xfId="30416" builtinId="9" hidden="1"/>
    <cellStyle name="Followed Hyperlink" xfId="30417" builtinId="9" hidden="1"/>
    <cellStyle name="Followed Hyperlink" xfId="30418" builtinId="9" hidden="1"/>
    <cellStyle name="Followed Hyperlink" xfId="30419" builtinId="9" hidden="1"/>
    <cellStyle name="Followed Hyperlink" xfId="30420" builtinId="9" hidden="1"/>
    <cellStyle name="Followed Hyperlink" xfId="30421" builtinId="9" hidden="1"/>
    <cellStyle name="Followed Hyperlink" xfId="30422" builtinId="9" hidden="1"/>
    <cellStyle name="Followed Hyperlink" xfId="30423" builtinId="9" hidden="1"/>
    <cellStyle name="Followed Hyperlink" xfId="30424" builtinId="9" hidden="1"/>
    <cellStyle name="Followed Hyperlink" xfId="30425" builtinId="9" hidden="1"/>
    <cellStyle name="Followed Hyperlink" xfId="30426" builtinId="9" hidden="1"/>
    <cellStyle name="Followed Hyperlink" xfId="30427" builtinId="9" hidden="1"/>
    <cellStyle name="Followed Hyperlink" xfId="30428" builtinId="9" hidden="1"/>
    <cellStyle name="Followed Hyperlink" xfId="30429" builtinId="9" hidden="1"/>
    <cellStyle name="Followed Hyperlink" xfId="30430" builtinId="9" hidden="1"/>
    <cellStyle name="Followed Hyperlink" xfId="30431" builtinId="9" hidden="1"/>
    <cellStyle name="Followed Hyperlink" xfId="30432" builtinId="9" hidden="1"/>
    <cellStyle name="Followed Hyperlink" xfId="30433" builtinId="9" hidden="1"/>
    <cellStyle name="Followed Hyperlink" xfId="30434" builtinId="9" hidden="1"/>
    <cellStyle name="Followed Hyperlink" xfId="30435" builtinId="9" hidden="1"/>
    <cellStyle name="Followed Hyperlink" xfId="30436" builtinId="9" hidden="1"/>
    <cellStyle name="Followed Hyperlink" xfId="30437" builtinId="9" hidden="1"/>
    <cellStyle name="Followed Hyperlink" xfId="30438" builtinId="9" hidden="1"/>
    <cellStyle name="Followed Hyperlink" xfId="30439" builtinId="9" hidden="1"/>
    <cellStyle name="Followed Hyperlink" xfId="30440" builtinId="9" hidden="1"/>
    <cellStyle name="Followed Hyperlink" xfId="30441" builtinId="9" hidden="1"/>
    <cellStyle name="Followed Hyperlink" xfId="30442" builtinId="9" hidden="1"/>
    <cellStyle name="Followed Hyperlink" xfId="18531" builtinId="9" hidden="1"/>
    <cellStyle name="Followed Hyperlink" xfId="30403" builtinId="9" hidden="1"/>
    <cellStyle name="Followed Hyperlink" xfId="30444" builtinId="9" hidden="1"/>
    <cellStyle name="Followed Hyperlink" xfId="30445" builtinId="9" hidden="1"/>
    <cellStyle name="Followed Hyperlink" xfId="30446" builtinId="9" hidden="1"/>
    <cellStyle name="Followed Hyperlink" xfId="30447" builtinId="9" hidden="1"/>
    <cellStyle name="Followed Hyperlink" xfId="30448" builtinId="9" hidden="1"/>
    <cellStyle name="Followed Hyperlink" xfId="30449" builtinId="9" hidden="1"/>
    <cellStyle name="Followed Hyperlink" xfId="30450" builtinId="9" hidden="1"/>
    <cellStyle name="Followed Hyperlink" xfId="30451" builtinId="9" hidden="1"/>
    <cellStyle name="Followed Hyperlink" xfId="30452" builtinId="9" hidden="1"/>
    <cellStyle name="Followed Hyperlink" xfId="30453" builtinId="9" hidden="1"/>
    <cellStyle name="Followed Hyperlink" xfId="30454" builtinId="9" hidden="1"/>
    <cellStyle name="Followed Hyperlink" xfId="30455" builtinId="9" hidden="1"/>
    <cellStyle name="Followed Hyperlink" xfId="30456" builtinId="9" hidden="1"/>
    <cellStyle name="Followed Hyperlink" xfId="30457" builtinId="9" hidden="1"/>
    <cellStyle name="Followed Hyperlink" xfId="30458" builtinId="9" hidden="1"/>
    <cellStyle name="Followed Hyperlink" xfId="30459" builtinId="9" hidden="1"/>
    <cellStyle name="Followed Hyperlink" xfId="30460" builtinId="9" hidden="1"/>
    <cellStyle name="Followed Hyperlink" xfId="30461" builtinId="9" hidden="1"/>
    <cellStyle name="Followed Hyperlink" xfId="30462" builtinId="9" hidden="1"/>
    <cellStyle name="Followed Hyperlink" xfId="30463" builtinId="9" hidden="1"/>
    <cellStyle name="Followed Hyperlink" xfId="30464" builtinId="9" hidden="1"/>
    <cellStyle name="Followed Hyperlink" xfId="30465" builtinId="9" hidden="1"/>
    <cellStyle name="Followed Hyperlink" xfId="30466" builtinId="9" hidden="1"/>
    <cellStyle name="Followed Hyperlink" xfId="30467" builtinId="9" hidden="1"/>
    <cellStyle name="Followed Hyperlink" xfId="30468" builtinId="9" hidden="1"/>
    <cellStyle name="Followed Hyperlink" xfId="30469" builtinId="9" hidden="1"/>
    <cellStyle name="Followed Hyperlink" xfId="30470" builtinId="9" hidden="1"/>
    <cellStyle name="Followed Hyperlink" xfId="30471" builtinId="9" hidden="1"/>
    <cellStyle name="Followed Hyperlink" xfId="30472" builtinId="9" hidden="1"/>
    <cellStyle name="Followed Hyperlink" xfId="30473" builtinId="9" hidden="1"/>
    <cellStyle name="Followed Hyperlink" xfId="30474" builtinId="9" hidden="1"/>
    <cellStyle name="Followed Hyperlink" xfId="30475" builtinId="9" hidden="1"/>
    <cellStyle name="Followed Hyperlink" xfId="30476" builtinId="9" hidden="1"/>
    <cellStyle name="Followed Hyperlink" xfId="30477" builtinId="9" hidden="1"/>
    <cellStyle name="Followed Hyperlink" xfId="30478" builtinId="9" hidden="1"/>
    <cellStyle name="Followed Hyperlink" xfId="30479" builtinId="9" hidden="1"/>
    <cellStyle name="Followed Hyperlink" xfId="30480" builtinId="9" hidden="1"/>
    <cellStyle name="Followed Hyperlink" xfId="30481" builtinId="9" hidden="1"/>
    <cellStyle name="Followed Hyperlink" xfId="30482" builtinId="9" hidden="1"/>
    <cellStyle name="Followed Hyperlink" xfId="24102" builtinId="9" hidden="1"/>
    <cellStyle name="Followed Hyperlink" xfId="30443" builtinId="9" hidden="1"/>
    <cellStyle name="Followed Hyperlink" xfId="30484" builtinId="9" hidden="1"/>
    <cellStyle name="Followed Hyperlink" xfId="30485" builtinId="9" hidden="1"/>
    <cellStyle name="Followed Hyperlink" xfId="30486" builtinId="9" hidden="1"/>
    <cellStyle name="Followed Hyperlink" xfId="30487" builtinId="9" hidden="1"/>
    <cellStyle name="Followed Hyperlink" xfId="30488" builtinId="9" hidden="1"/>
    <cellStyle name="Followed Hyperlink" xfId="30489" builtinId="9" hidden="1"/>
    <cellStyle name="Followed Hyperlink" xfId="30490" builtinId="9" hidden="1"/>
    <cellStyle name="Followed Hyperlink" xfId="30491" builtinId="9" hidden="1"/>
    <cellStyle name="Followed Hyperlink" xfId="30492" builtinId="9" hidden="1"/>
    <cellStyle name="Followed Hyperlink" xfId="30493" builtinId="9" hidden="1"/>
    <cellStyle name="Followed Hyperlink" xfId="30494" builtinId="9" hidden="1"/>
    <cellStyle name="Followed Hyperlink" xfId="30495" builtinId="9" hidden="1"/>
    <cellStyle name="Followed Hyperlink" xfId="30496" builtinId="9" hidden="1"/>
    <cellStyle name="Followed Hyperlink" xfId="30497" builtinId="9" hidden="1"/>
    <cellStyle name="Followed Hyperlink" xfId="30498" builtinId="9" hidden="1"/>
    <cellStyle name="Followed Hyperlink" xfId="30499" builtinId="9" hidden="1"/>
    <cellStyle name="Followed Hyperlink" xfId="30500" builtinId="9" hidden="1"/>
    <cellStyle name="Followed Hyperlink" xfId="30501" builtinId="9" hidden="1"/>
    <cellStyle name="Followed Hyperlink" xfId="30502" builtinId="9" hidden="1"/>
    <cellStyle name="Followed Hyperlink" xfId="30503" builtinId="9" hidden="1"/>
    <cellStyle name="Followed Hyperlink" xfId="30504" builtinId="9" hidden="1"/>
    <cellStyle name="Followed Hyperlink" xfId="30505" builtinId="9" hidden="1"/>
    <cellStyle name="Followed Hyperlink" xfId="30506" builtinId="9" hidden="1"/>
    <cellStyle name="Followed Hyperlink" xfId="30507" builtinId="9" hidden="1"/>
    <cellStyle name="Followed Hyperlink" xfId="30508" builtinId="9" hidden="1"/>
    <cellStyle name="Followed Hyperlink" xfId="30509" builtinId="9" hidden="1"/>
    <cellStyle name="Followed Hyperlink" xfId="30510" builtinId="9" hidden="1"/>
    <cellStyle name="Followed Hyperlink" xfId="30511" builtinId="9" hidden="1"/>
    <cellStyle name="Followed Hyperlink" xfId="30512" builtinId="9" hidden="1"/>
    <cellStyle name="Followed Hyperlink" xfId="30513" builtinId="9" hidden="1"/>
    <cellStyle name="Followed Hyperlink" xfId="30514" builtinId="9" hidden="1"/>
    <cellStyle name="Followed Hyperlink" xfId="30515" builtinId="9" hidden="1"/>
    <cellStyle name="Followed Hyperlink" xfId="30516" builtinId="9" hidden="1"/>
    <cellStyle name="Followed Hyperlink" xfId="30517" builtinId="9" hidden="1"/>
    <cellStyle name="Followed Hyperlink" xfId="30518" builtinId="9" hidden="1"/>
    <cellStyle name="Followed Hyperlink" xfId="30519" builtinId="9" hidden="1"/>
    <cellStyle name="Followed Hyperlink" xfId="30520" builtinId="9" hidden="1"/>
    <cellStyle name="Followed Hyperlink" xfId="30521" builtinId="9" hidden="1"/>
    <cellStyle name="Followed Hyperlink" xfId="30522" builtinId="9" hidden="1"/>
    <cellStyle name="Followed Hyperlink" xfId="24251" builtinId="9" hidden="1"/>
    <cellStyle name="Followed Hyperlink" xfId="30483" builtinId="9" hidden="1"/>
    <cellStyle name="Followed Hyperlink" xfId="30524" builtinId="9" hidden="1"/>
    <cellStyle name="Followed Hyperlink" xfId="30525" builtinId="9" hidden="1"/>
    <cellStyle name="Followed Hyperlink" xfId="30526" builtinId="9" hidden="1"/>
    <cellStyle name="Followed Hyperlink" xfId="30527" builtinId="9" hidden="1"/>
    <cellStyle name="Followed Hyperlink" xfId="30528" builtinId="9" hidden="1"/>
    <cellStyle name="Followed Hyperlink" xfId="30529" builtinId="9" hidden="1"/>
    <cellStyle name="Followed Hyperlink" xfId="30530" builtinId="9" hidden="1"/>
    <cellStyle name="Followed Hyperlink" xfId="30531" builtinId="9" hidden="1"/>
    <cellStyle name="Followed Hyperlink" xfId="30532" builtinId="9" hidden="1"/>
    <cellStyle name="Followed Hyperlink" xfId="30533" builtinId="9" hidden="1"/>
    <cellStyle name="Followed Hyperlink" xfId="30534" builtinId="9" hidden="1"/>
    <cellStyle name="Followed Hyperlink" xfId="30535" builtinId="9" hidden="1"/>
    <cellStyle name="Followed Hyperlink" xfId="30536" builtinId="9" hidden="1"/>
    <cellStyle name="Followed Hyperlink" xfId="30537" builtinId="9" hidden="1"/>
    <cellStyle name="Followed Hyperlink" xfId="30538" builtinId="9" hidden="1"/>
    <cellStyle name="Followed Hyperlink" xfId="30539" builtinId="9" hidden="1"/>
    <cellStyle name="Followed Hyperlink" xfId="30540" builtinId="9" hidden="1"/>
    <cellStyle name="Followed Hyperlink" xfId="30541" builtinId="9" hidden="1"/>
    <cellStyle name="Followed Hyperlink" xfId="30542" builtinId="9" hidden="1"/>
    <cellStyle name="Followed Hyperlink" xfId="30543" builtinId="9" hidden="1"/>
    <cellStyle name="Followed Hyperlink" xfId="30544" builtinId="9" hidden="1"/>
    <cellStyle name="Followed Hyperlink" xfId="30545" builtinId="9" hidden="1"/>
    <cellStyle name="Followed Hyperlink" xfId="30546" builtinId="9" hidden="1"/>
    <cellStyle name="Followed Hyperlink" xfId="30547" builtinId="9" hidden="1"/>
    <cellStyle name="Followed Hyperlink" xfId="30548" builtinId="9" hidden="1"/>
    <cellStyle name="Followed Hyperlink" xfId="30549" builtinId="9" hidden="1"/>
    <cellStyle name="Followed Hyperlink" xfId="30550" builtinId="9" hidden="1"/>
    <cellStyle name="Followed Hyperlink" xfId="30551" builtinId="9" hidden="1"/>
    <cellStyle name="Followed Hyperlink" xfId="30552" builtinId="9" hidden="1"/>
    <cellStyle name="Followed Hyperlink" xfId="30553" builtinId="9" hidden="1"/>
    <cellStyle name="Followed Hyperlink" xfId="30554" builtinId="9" hidden="1"/>
    <cellStyle name="Followed Hyperlink" xfId="30555" builtinId="9" hidden="1"/>
    <cellStyle name="Followed Hyperlink" xfId="30556" builtinId="9" hidden="1"/>
    <cellStyle name="Followed Hyperlink" xfId="30557" builtinId="9" hidden="1"/>
    <cellStyle name="Followed Hyperlink" xfId="30558" builtinId="9" hidden="1"/>
    <cellStyle name="Followed Hyperlink" xfId="30559" builtinId="9" hidden="1"/>
    <cellStyle name="Followed Hyperlink" xfId="30560" builtinId="9" hidden="1"/>
    <cellStyle name="Followed Hyperlink" xfId="30561" builtinId="9" hidden="1"/>
    <cellStyle name="Followed Hyperlink" xfId="30562" builtinId="9" hidden="1"/>
    <cellStyle name="Followed Hyperlink" xfId="18660" builtinId="9" hidden="1"/>
    <cellStyle name="Followed Hyperlink" xfId="30523" builtinId="9" hidden="1"/>
    <cellStyle name="Followed Hyperlink" xfId="30563" builtinId="9" hidden="1"/>
    <cellStyle name="Followed Hyperlink" xfId="30564" builtinId="9" hidden="1"/>
    <cellStyle name="Followed Hyperlink" xfId="30565" builtinId="9" hidden="1"/>
    <cellStyle name="Followed Hyperlink" xfId="30566" builtinId="9" hidden="1"/>
    <cellStyle name="Followed Hyperlink" xfId="30567" builtinId="9" hidden="1"/>
    <cellStyle name="Followed Hyperlink" xfId="30568" builtinId="9" hidden="1"/>
    <cellStyle name="Followed Hyperlink" xfId="30569" builtinId="9" hidden="1"/>
    <cellStyle name="Followed Hyperlink" xfId="30570" builtinId="9" hidden="1"/>
    <cellStyle name="Followed Hyperlink" xfId="30571" builtinId="9" hidden="1"/>
    <cellStyle name="Followed Hyperlink" xfId="30572" builtinId="9" hidden="1"/>
    <cellStyle name="Followed Hyperlink" xfId="30573" builtinId="9" hidden="1"/>
    <cellStyle name="Followed Hyperlink" xfId="30574" builtinId="9" hidden="1"/>
    <cellStyle name="Followed Hyperlink" xfId="30575" builtinId="9" hidden="1"/>
    <cellStyle name="Followed Hyperlink" xfId="30576" builtinId="9" hidden="1"/>
    <cellStyle name="Followed Hyperlink" xfId="30577" builtinId="9" hidden="1"/>
    <cellStyle name="Followed Hyperlink" xfId="30578" builtinId="9" hidden="1"/>
    <cellStyle name="Followed Hyperlink" xfId="30579" builtinId="9" hidden="1"/>
    <cellStyle name="Followed Hyperlink" xfId="30580" builtinId="9" hidden="1"/>
    <cellStyle name="Followed Hyperlink" xfId="30581" builtinId="9" hidden="1"/>
    <cellStyle name="Followed Hyperlink" xfId="30582" builtinId="9" hidden="1"/>
    <cellStyle name="Followed Hyperlink" xfId="30583" builtinId="9" hidden="1"/>
    <cellStyle name="Followed Hyperlink" xfId="30584" builtinId="9" hidden="1"/>
    <cellStyle name="Followed Hyperlink" xfId="30585" builtinId="9" hidden="1"/>
    <cellStyle name="Followed Hyperlink" xfId="30586" builtinId="9" hidden="1"/>
    <cellStyle name="Followed Hyperlink" xfId="30587" builtinId="9" hidden="1"/>
    <cellStyle name="Followed Hyperlink" xfId="30588" builtinId="9" hidden="1"/>
    <cellStyle name="Followed Hyperlink" xfId="30589" builtinId="9" hidden="1"/>
    <cellStyle name="Followed Hyperlink" xfId="30590" builtinId="9" hidden="1"/>
    <cellStyle name="Followed Hyperlink" xfId="30591" builtinId="9" hidden="1"/>
    <cellStyle name="Followed Hyperlink" xfId="30592" builtinId="9" hidden="1"/>
    <cellStyle name="Followed Hyperlink" xfId="30593" builtinId="9" hidden="1"/>
    <cellStyle name="Followed Hyperlink" xfId="30594" builtinId="9" hidden="1"/>
    <cellStyle name="Followed Hyperlink" xfId="30595" builtinId="9" hidden="1"/>
    <cellStyle name="Followed Hyperlink" xfId="30596" builtinId="9" hidden="1"/>
    <cellStyle name="Followed Hyperlink" xfId="30597" builtinId="9" hidden="1"/>
    <cellStyle name="Followed Hyperlink" xfId="30598" builtinId="9" hidden="1"/>
    <cellStyle name="Followed Hyperlink" xfId="30599" builtinId="9" hidden="1"/>
    <cellStyle name="Followed Hyperlink" xfId="30600" builtinId="9" hidden="1"/>
    <cellStyle name="Followed Hyperlink" xfId="30601" builtinId="9" hidden="1"/>
    <cellStyle name="Followed Hyperlink" xfId="24464" builtinId="9" hidden="1"/>
    <cellStyle name="Followed Hyperlink" xfId="24199" builtinId="9" hidden="1"/>
    <cellStyle name="Followed Hyperlink" xfId="30602" builtinId="9" hidden="1"/>
    <cellStyle name="Followed Hyperlink" xfId="30603" builtinId="9" hidden="1"/>
    <cellStyle name="Followed Hyperlink" xfId="30604" builtinId="9" hidden="1"/>
    <cellStyle name="Followed Hyperlink" xfId="30605" builtinId="9" hidden="1"/>
    <cellStyle name="Followed Hyperlink" xfId="30606" builtinId="9" hidden="1"/>
    <cellStyle name="Followed Hyperlink" xfId="30607" builtinId="9" hidden="1"/>
    <cellStyle name="Followed Hyperlink" xfId="30608" builtinId="9" hidden="1"/>
    <cellStyle name="Followed Hyperlink" xfId="30609" builtinId="9" hidden="1"/>
    <cellStyle name="Followed Hyperlink" xfId="30610" builtinId="9" hidden="1"/>
    <cellStyle name="Followed Hyperlink" xfId="30611" builtinId="9" hidden="1"/>
    <cellStyle name="Followed Hyperlink" xfId="30612" builtinId="9" hidden="1"/>
    <cellStyle name="Followed Hyperlink" xfId="30613" builtinId="9" hidden="1"/>
    <cellStyle name="Followed Hyperlink" xfId="30614" builtinId="9" hidden="1"/>
    <cellStyle name="Followed Hyperlink" xfId="30615" builtinId="9" hidden="1"/>
    <cellStyle name="Followed Hyperlink" xfId="30616" builtinId="9" hidden="1"/>
    <cellStyle name="Followed Hyperlink" xfId="30617" builtinId="9" hidden="1"/>
    <cellStyle name="Followed Hyperlink" xfId="30618" builtinId="9" hidden="1"/>
    <cellStyle name="Followed Hyperlink" xfId="30619" builtinId="9" hidden="1"/>
    <cellStyle name="Followed Hyperlink" xfId="30620" builtinId="9" hidden="1"/>
    <cellStyle name="Followed Hyperlink" xfId="30621" builtinId="9" hidden="1"/>
    <cellStyle name="Followed Hyperlink" xfId="30622" builtinId="9" hidden="1"/>
    <cellStyle name="Followed Hyperlink" xfId="30623" builtinId="9" hidden="1"/>
    <cellStyle name="Followed Hyperlink" xfId="30624" builtinId="9" hidden="1"/>
    <cellStyle name="Followed Hyperlink" xfId="30625" builtinId="9" hidden="1"/>
    <cellStyle name="Followed Hyperlink" xfId="30626" builtinId="9" hidden="1"/>
    <cellStyle name="Followed Hyperlink" xfId="30627" builtinId="9" hidden="1"/>
    <cellStyle name="Followed Hyperlink" xfId="30628" builtinId="9" hidden="1"/>
    <cellStyle name="Followed Hyperlink" xfId="30629" builtinId="9" hidden="1"/>
    <cellStyle name="Followed Hyperlink" xfId="30630" builtinId="9" hidden="1"/>
    <cellStyle name="Followed Hyperlink" xfId="30631" builtinId="9" hidden="1"/>
    <cellStyle name="Followed Hyperlink" xfId="30632" builtinId="9" hidden="1"/>
    <cellStyle name="Followed Hyperlink" xfId="30633" builtinId="9" hidden="1"/>
    <cellStyle name="Followed Hyperlink" xfId="30634" builtinId="9" hidden="1"/>
    <cellStyle name="Followed Hyperlink" xfId="30635" builtinId="9" hidden="1"/>
    <cellStyle name="Followed Hyperlink" xfId="30636" builtinId="9" hidden="1"/>
    <cellStyle name="Followed Hyperlink" xfId="30637" builtinId="9" hidden="1"/>
    <cellStyle name="Followed Hyperlink" xfId="30638" builtinId="9" hidden="1"/>
    <cellStyle name="Followed Hyperlink" xfId="30639" builtinId="9" hidden="1"/>
    <cellStyle name="Followed Hyperlink" xfId="30640" builtinId="9" hidden="1"/>
    <cellStyle name="Followed Hyperlink" xfId="30649" builtinId="9" hidden="1"/>
    <cellStyle name="Followed Hyperlink" xfId="30650" builtinId="9" hidden="1"/>
    <cellStyle name="Followed Hyperlink" xfId="30651" builtinId="9" hidden="1"/>
    <cellStyle name="Followed Hyperlink" xfId="30652" builtinId="9" hidden="1"/>
    <cellStyle name="Followed Hyperlink" xfId="30653" builtinId="9" hidden="1"/>
    <cellStyle name="Followed Hyperlink" xfId="30654" builtinId="9" hidden="1"/>
    <cellStyle name="Followed Hyperlink" xfId="30655" builtinId="9" hidden="1"/>
    <cellStyle name="Followed Hyperlink" xfId="30656" builtinId="9" hidden="1"/>
    <cellStyle name="Followed Hyperlink" xfId="30657" builtinId="9" hidden="1"/>
    <cellStyle name="Followed Hyperlink" xfId="30658" builtinId="9" hidden="1"/>
    <cellStyle name="Followed Hyperlink" xfId="30659" builtinId="9" hidden="1"/>
    <cellStyle name="Followed Hyperlink" xfId="30660" builtinId="9" hidden="1"/>
    <cellStyle name="Followed Hyperlink" xfId="30661" builtinId="9" hidden="1"/>
    <cellStyle name="Followed Hyperlink" xfId="30662" builtinId="9" hidden="1"/>
    <cellStyle name="Followed Hyperlink" xfId="30663" builtinId="9" hidden="1"/>
    <cellStyle name="Followed Hyperlink" xfId="30664" builtinId="9" hidden="1"/>
    <cellStyle name="Followed Hyperlink" xfId="30665" builtinId="9" hidden="1"/>
    <cellStyle name="Followed Hyperlink" xfId="30666" builtinId="9" hidden="1"/>
    <cellStyle name="Followed Hyperlink" xfId="30667" builtinId="9" hidden="1"/>
    <cellStyle name="Followed Hyperlink" xfId="30668" builtinId="9" hidden="1"/>
    <cellStyle name="Followed Hyperlink" xfId="30669" builtinId="9" hidden="1"/>
    <cellStyle name="Followed Hyperlink" xfId="30670" builtinId="9" hidden="1"/>
    <cellStyle name="Followed Hyperlink" xfId="30671" builtinId="9" hidden="1"/>
    <cellStyle name="Followed Hyperlink" xfId="30672" builtinId="9" hidden="1"/>
    <cellStyle name="Followed Hyperlink" xfId="30673" builtinId="9" hidden="1"/>
    <cellStyle name="Followed Hyperlink" xfId="30674" builtinId="9" hidden="1"/>
    <cellStyle name="Followed Hyperlink" xfId="30675" builtinId="9" hidden="1"/>
    <cellStyle name="Followed Hyperlink" xfId="30676" builtinId="9" hidden="1"/>
    <cellStyle name="Followed Hyperlink" xfId="30677" builtinId="9" hidden="1"/>
    <cellStyle name="Followed Hyperlink" xfId="30678" builtinId="9" hidden="1"/>
    <cellStyle name="Followed Hyperlink" xfId="30679" builtinId="9" hidden="1"/>
    <cellStyle name="Followed Hyperlink" xfId="30680" builtinId="9" hidden="1"/>
    <cellStyle name="Followed Hyperlink" xfId="30681" builtinId="9" hidden="1"/>
    <cellStyle name="Followed Hyperlink" xfId="30682" builtinId="9" hidden="1"/>
    <cellStyle name="Followed Hyperlink" xfId="30683" builtinId="9" hidden="1"/>
    <cellStyle name="Followed Hyperlink" xfId="30684" builtinId="9" hidden="1"/>
    <cellStyle name="Followed Hyperlink" xfId="30685" builtinId="9" hidden="1"/>
    <cellStyle name="Followed Hyperlink" xfId="30686" builtinId="9" hidden="1"/>
    <cellStyle name="Followed Hyperlink" xfId="30687" builtinId="9" hidden="1"/>
    <cellStyle name="Followed Hyperlink" xfId="30688" builtinId="9" hidden="1"/>
    <cellStyle name="Followed Hyperlink" xfId="30689" builtinId="9" hidden="1"/>
    <cellStyle name="Followed Hyperlink" xfId="30690" builtinId="9" hidden="1"/>
    <cellStyle name="Followed Hyperlink" xfId="30691" builtinId="9" hidden="1"/>
    <cellStyle name="Followed Hyperlink" xfId="30692" builtinId="9" hidden="1"/>
    <cellStyle name="Followed Hyperlink" xfId="30693" builtinId="9" hidden="1"/>
    <cellStyle name="Followed Hyperlink" xfId="30694" builtinId="9" hidden="1"/>
    <cellStyle name="Followed Hyperlink" xfId="30695" builtinId="9" hidden="1"/>
    <cellStyle name="Followed Hyperlink" xfId="30696" builtinId="9" hidden="1"/>
    <cellStyle name="Followed Hyperlink" xfId="30697" builtinId="9" hidden="1"/>
    <cellStyle name="Followed Hyperlink" xfId="30698" builtinId="9" hidden="1"/>
    <cellStyle name="Followed Hyperlink" xfId="30699" builtinId="9" hidden="1"/>
    <cellStyle name="Followed Hyperlink" xfId="30700" builtinId="9" hidden="1"/>
    <cellStyle name="Followed Hyperlink" xfId="30701" builtinId="9" hidden="1"/>
    <cellStyle name="Followed Hyperlink" xfId="30702" builtinId="9" hidden="1"/>
    <cellStyle name="Followed Hyperlink" xfId="30703" builtinId="9" hidden="1"/>
    <cellStyle name="Followed Hyperlink" xfId="30704" builtinId="9" hidden="1"/>
    <cellStyle name="Followed Hyperlink" xfId="30705" builtinId="9" hidden="1"/>
    <cellStyle name="Followed Hyperlink" xfId="30706" builtinId="9" hidden="1"/>
    <cellStyle name="Followed Hyperlink" xfId="30707" builtinId="9" hidden="1"/>
    <cellStyle name="Followed Hyperlink" xfId="30708" builtinId="9" hidden="1"/>
    <cellStyle name="Followed Hyperlink" xfId="30709" builtinId="9" hidden="1"/>
    <cellStyle name="Followed Hyperlink" xfId="30710" builtinId="9" hidden="1"/>
    <cellStyle name="Followed Hyperlink" xfId="30711" builtinId="9" hidden="1"/>
    <cellStyle name="Followed Hyperlink" xfId="30712" builtinId="9" hidden="1"/>
    <cellStyle name="Followed Hyperlink" xfId="30713" builtinId="9" hidden="1"/>
    <cellStyle name="Followed Hyperlink" xfId="30714" builtinId="9" hidden="1"/>
    <cellStyle name="Followed Hyperlink" xfId="30715" builtinId="9" hidden="1"/>
    <cellStyle name="Followed Hyperlink" xfId="30716" builtinId="9" hidden="1"/>
    <cellStyle name="Followed Hyperlink" xfId="30717" builtinId="9" hidden="1"/>
    <cellStyle name="Followed Hyperlink" xfId="30718" builtinId="9" hidden="1"/>
    <cellStyle name="Followed Hyperlink" xfId="30719" builtinId="9" hidden="1"/>
    <cellStyle name="Followed Hyperlink" xfId="30720" builtinId="9" hidden="1"/>
    <cellStyle name="Followed Hyperlink" xfId="30721" builtinId="9" hidden="1"/>
    <cellStyle name="Followed Hyperlink" xfId="30722" builtinId="9" hidden="1"/>
    <cellStyle name="Followed Hyperlink" xfId="30723" builtinId="9" hidden="1"/>
    <cellStyle name="Followed Hyperlink" xfId="30724" builtinId="9" hidden="1"/>
    <cellStyle name="Followed Hyperlink" xfId="30725" builtinId="9" hidden="1"/>
    <cellStyle name="Followed Hyperlink" xfId="30726" builtinId="9" hidden="1"/>
    <cellStyle name="Followed Hyperlink" xfId="30727" builtinId="9" hidden="1"/>
    <cellStyle name="Followed Hyperlink" xfId="30728" builtinId="9" hidden="1"/>
    <cellStyle name="Followed Hyperlink" xfId="30729" builtinId="9" hidden="1"/>
    <cellStyle name="Followed Hyperlink" xfId="30730" builtinId="9" hidden="1"/>
    <cellStyle name="Followed Hyperlink" xfId="30731" builtinId="9" hidden="1"/>
    <cellStyle name="Followed Hyperlink" xfId="30732" builtinId="9" hidden="1"/>
    <cellStyle name="Followed Hyperlink" xfId="30733" builtinId="9" hidden="1"/>
    <cellStyle name="Followed Hyperlink" xfId="30734" builtinId="9" hidden="1"/>
    <cellStyle name="Followed Hyperlink" xfId="30735" builtinId="9" hidden="1"/>
    <cellStyle name="Followed Hyperlink" xfId="30736" builtinId="9" hidden="1"/>
    <cellStyle name="Followed Hyperlink" xfId="30737" builtinId="9" hidden="1"/>
    <cellStyle name="Followed Hyperlink" xfId="30738" builtinId="9" hidden="1"/>
    <cellStyle name="Followed Hyperlink" xfId="30739" builtinId="9" hidden="1"/>
    <cellStyle name="Followed Hyperlink" xfId="30740" builtinId="9" hidden="1"/>
    <cellStyle name="Followed Hyperlink" xfId="30741" builtinId="9" hidden="1"/>
    <cellStyle name="Followed Hyperlink" xfId="30742" builtinId="9" hidden="1"/>
    <cellStyle name="Followed Hyperlink" xfId="30743" builtinId="9" hidden="1"/>
    <cellStyle name="Followed Hyperlink" xfId="30744" builtinId="9" hidden="1"/>
    <cellStyle name="Followed Hyperlink" xfId="30745" builtinId="9" hidden="1"/>
    <cellStyle name="Followed Hyperlink" xfId="30746" builtinId="9" hidden="1"/>
    <cellStyle name="Followed Hyperlink" xfId="30747" builtinId="9" hidden="1"/>
    <cellStyle name="Followed Hyperlink" xfId="30748" builtinId="9" hidden="1"/>
    <cellStyle name="Followed Hyperlink" xfId="30749" builtinId="9" hidden="1"/>
    <cellStyle name="Followed Hyperlink" xfId="30750" builtinId="9" hidden="1"/>
    <cellStyle name="Followed Hyperlink" xfId="30751" builtinId="9" hidden="1"/>
    <cellStyle name="Followed Hyperlink" xfId="30752" builtinId="9" hidden="1"/>
    <cellStyle name="Followed Hyperlink" xfId="30753" builtinId="9" hidden="1"/>
    <cellStyle name="Followed Hyperlink" xfId="30754" builtinId="9" hidden="1"/>
    <cellStyle name="Followed Hyperlink" xfId="30755" builtinId="9" hidden="1"/>
    <cellStyle name="Followed Hyperlink" xfId="30756" builtinId="9" hidden="1"/>
    <cellStyle name="Followed Hyperlink" xfId="30757" builtinId="9" hidden="1"/>
    <cellStyle name="Followed Hyperlink" xfId="30758" builtinId="9" hidden="1"/>
    <cellStyle name="Followed Hyperlink" xfId="30759" builtinId="9" hidden="1"/>
    <cellStyle name="Followed Hyperlink" xfId="30760" builtinId="9" hidden="1"/>
    <cellStyle name="Followed Hyperlink" xfId="30761" builtinId="9" hidden="1"/>
    <cellStyle name="Followed Hyperlink" xfId="30762" builtinId="9" hidden="1"/>
    <cellStyle name="Followed Hyperlink" xfId="30763" builtinId="9" hidden="1"/>
    <cellStyle name="Followed Hyperlink" xfId="30764" builtinId="9" hidden="1"/>
    <cellStyle name="Followed Hyperlink" xfId="30765" builtinId="9" hidden="1"/>
    <cellStyle name="Followed Hyperlink" xfId="30766" builtinId="9" hidden="1"/>
    <cellStyle name="Followed Hyperlink" xfId="30767" builtinId="9" hidden="1"/>
    <cellStyle name="Followed Hyperlink" xfId="30768" builtinId="9" hidden="1"/>
    <cellStyle name="Followed Hyperlink" xfId="30769" builtinId="9" hidden="1"/>
    <cellStyle name="Followed Hyperlink" xfId="30770" builtinId="9" hidden="1"/>
    <cellStyle name="Followed Hyperlink" xfId="30771" builtinId="9" hidden="1"/>
    <cellStyle name="Followed Hyperlink" xfId="30641" builtinId="9" hidden="1"/>
    <cellStyle name="Followed Hyperlink" xfId="24545" builtinId="9" hidden="1"/>
    <cellStyle name="Followed Hyperlink" xfId="30773" builtinId="9" hidden="1"/>
    <cellStyle name="Followed Hyperlink" xfId="30774" builtinId="9" hidden="1"/>
    <cellStyle name="Followed Hyperlink" xfId="30775" builtinId="9" hidden="1"/>
    <cellStyle name="Followed Hyperlink" xfId="30776" builtinId="9" hidden="1"/>
    <cellStyle name="Followed Hyperlink" xfId="30777" builtinId="9" hidden="1"/>
    <cellStyle name="Followed Hyperlink" xfId="30778" builtinId="9" hidden="1"/>
    <cellStyle name="Followed Hyperlink" xfId="30779" builtinId="9" hidden="1"/>
    <cellStyle name="Followed Hyperlink" xfId="30780" builtinId="9" hidden="1"/>
    <cellStyle name="Followed Hyperlink" xfId="30781" builtinId="9" hidden="1"/>
    <cellStyle name="Followed Hyperlink" xfId="30782" builtinId="9" hidden="1"/>
    <cellStyle name="Followed Hyperlink" xfId="30783" builtinId="9" hidden="1"/>
    <cellStyle name="Followed Hyperlink" xfId="30784" builtinId="9" hidden="1"/>
    <cellStyle name="Followed Hyperlink" xfId="30785" builtinId="9" hidden="1"/>
    <cellStyle name="Followed Hyperlink" xfId="30786" builtinId="9" hidden="1"/>
    <cellStyle name="Followed Hyperlink" xfId="30787" builtinId="9" hidden="1"/>
    <cellStyle name="Followed Hyperlink" xfId="30788" builtinId="9" hidden="1"/>
    <cellStyle name="Followed Hyperlink" xfId="30789" builtinId="9" hidden="1"/>
    <cellStyle name="Followed Hyperlink" xfId="30790" builtinId="9" hidden="1"/>
    <cellStyle name="Followed Hyperlink" xfId="30791" builtinId="9" hidden="1"/>
    <cellStyle name="Followed Hyperlink" xfId="30792" builtinId="9" hidden="1"/>
    <cellStyle name="Followed Hyperlink" xfId="30793" builtinId="9" hidden="1"/>
    <cellStyle name="Followed Hyperlink" xfId="30794" builtinId="9" hidden="1"/>
    <cellStyle name="Followed Hyperlink" xfId="30795" builtinId="9" hidden="1"/>
    <cellStyle name="Followed Hyperlink" xfId="30796" builtinId="9" hidden="1"/>
    <cellStyle name="Followed Hyperlink" xfId="30797" builtinId="9" hidden="1"/>
    <cellStyle name="Followed Hyperlink" xfId="30798" builtinId="9" hidden="1"/>
    <cellStyle name="Followed Hyperlink" xfId="30799" builtinId="9" hidden="1"/>
    <cellStyle name="Followed Hyperlink" xfId="30800" builtinId="9" hidden="1"/>
    <cellStyle name="Followed Hyperlink" xfId="30801" builtinId="9" hidden="1"/>
    <cellStyle name="Followed Hyperlink" xfId="30802" builtinId="9" hidden="1"/>
    <cellStyle name="Followed Hyperlink" xfId="30803" builtinId="9" hidden="1"/>
    <cellStyle name="Followed Hyperlink" xfId="30804" builtinId="9" hidden="1"/>
    <cellStyle name="Followed Hyperlink" xfId="30805" builtinId="9" hidden="1"/>
    <cellStyle name="Followed Hyperlink" xfId="30806" builtinId="9" hidden="1"/>
    <cellStyle name="Followed Hyperlink" xfId="30807" builtinId="9" hidden="1"/>
    <cellStyle name="Followed Hyperlink" xfId="30808" builtinId="9" hidden="1"/>
    <cellStyle name="Followed Hyperlink" xfId="30809" builtinId="9" hidden="1"/>
    <cellStyle name="Followed Hyperlink" xfId="30810" builtinId="9" hidden="1"/>
    <cellStyle name="Followed Hyperlink" xfId="30811" builtinId="9" hidden="1"/>
    <cellStyle name="Followed Hyperlink" xfId="30646" builtinId="9" hidden="1"/>
    <cellStyle name="Followed Hyperlink" xfId="30772" builtinId="9" hidden="1"/>
    <cellStyle name="Followed Hyperlink" xfId="30813" builtinId="9" hidden="1"/>
    <cellStyle name="Followed Hyperlink" xfId="30814" builtinId="9" hidden="1"/>
    <cellStyle name="Followed Hyperlink" xfId="30815" builtinId="9" hidden="1"/>
    <cellStyle name="Followed Hyperlink" xfId="30816" builtinId="9" hidden="1"/>
    <cellStyle name="Followed Hyperlink" xfId="30817" builtinId="9" hidden="1"/>
    <cellStyle name="Followed Hyperlink" xfId="30818" builtinId="9" hidden="1"/>
    <cellStyle name="Followed Hyperlink" xfId="30819" builtinId="9" hidden="1"/>
    <cellStyle name="Followed Hyperlink" xfId="30820" builtinId="9" hidden="1"/>
    <cellStyle name="Followed Hyperlink" xfId="30821" builtinId="9" hidden="1"/>
    <cellStyle name="Followed Hyperlink" xfId="30822" builtinId="9" hidden="1"/>
    <cellStyle name="Followed Hyperlink" xfId="30823" builtinId="9" hidden="1"/>
    <cellStyle name="Followed Hyperlink" xfId="30824" builtinId="9" hidden="1"/>
    <cellStyle name="Followed Hyperlink" xfId="30825" builtinId="9" hidden="1"/>
    <cellStyle name="Followed Hyperlink" xfId="30826" builtinId="9" hidden="1"/>
    <cellStyle name="Followed Hyperlink" xfId="30827" builtinId="9" hidden="1"/>
    <cellStyle name="Followed Hyperlink" xfId="30828" builtinId="9" hidden="1"/>
    <cellStyle name="Followed Hyperlink" xfId="30829" builtinId="9" hidden="1"/>
    <cellStyle name="Followed Hyperlink" xfId="30830" builtinId="9" hidden="1"/>
    <cellStyle name="Followed Hyperlink" xfId="30831" builtinId="9" hidden="1"/>
    <cellStyle name="Followed Hyperlink" xfId="30832" builtinId="9" hidden="1"/>
    <cellStyle name="Followed Hyperlink" xfId="30833" builtinId="9" hidden="1"/>
    <cellStyle name="Followed Hyperlink" xfId="30834" builtinId="9" hidden="1"/>
    <cellStyle name="Followed Hyperlink" xfId="30835" builtinId="9" hidden="1"/>
    <cellStyle name="Followed Hyperlink" xfId="30836" builtinId="9" hidden="1"/>
    <cellStyle name="Followed Hyperlink" xfId="30837" builtinId="9" hidden="1"/>
    <cellStyle name="Followed Hyperlink" xfId="30838" builtinId="9" hidden="1"/>
    <cellStyle name="Followed Hyperlink" xfId="30839" builtinId="9" hidden="1"/>
    <cellStyle name="Followed Hyperlink" xfId="30840" builtinId="9" hidden="1"/>
    <cellStyle name="Followed Hyperlink" xfId="30841" builtinId="9" hidden="1"/>
    <cellStyle name="Followed Hyperlink" xfId="30842" builtinId="9" hidden="1"/>
    <cellStyle name="Followed Hyperlink" xfId="30843" builtinId="9" hidden="1"/>
    <cellStyle name="Followed Hyperlink" xfId="30844" builtinId="9" hidden="1"/>
    <cellStyle name="Followed Hyperlink" xfId="30845" builtinId="9" hidden="1"/>
    <cellStyle name="Followed Hyperlink" xfId="30846" builtinId="9" hidden="1"/>
    <cellStyle name="Followed Hyperlink" xfId="30847" builtinId="9" hidden="1"/>
    <cellStyle name="Followed Hyperlink" xfId="30848" builtinId="9" hidden="1"/>
    <cellStyle name="Followed Hyperlink" xfId="30849" builtinId="9" hidden="1"/>
    <cellStyle name="Followed Hyperlink" xfId="30850" builtinId="9" hidden="1"/>
    <cellStyle name="Followed Hyperlink" xfId="30851" builtinId="9" hidden="1"/>
    <cellStyle name="Followed Hyperlink" xfId="30648" builtinId="9" hidden="1"/>
    <cellStyle name="Followed Hyperlink" xfId="30812" builtinId="9" hidden="1"/>
    <cellStyle name="Followed Hyperlink" xfId="30853" builtinId="9" hidden="1"/>
    <cellStyle name="Followed Hyperlink" xfId="30854" builtinId="9" hidden="1"/>
    <cellStyle name="Followed Hyperlink" xfId="30855" builtinId="9" hidden="1"/>
    <cellStyle name="Followed Hyperlink" xfId="30856" builtinId="9" hidden="1"/>
    <cellStyle name="Followed Hyperlink" xfId="30857" builtinId="9" hidden="1"/>
    <cellStyle name="Followed Hyperlink" xfId="30858" builtinId="9" hidden="1"/>
    <cellStyle name="Followed Hyperlink" xfId="30859" builtinId="9" hidden="1"/>
    <cellStyle name="Followed Hyperlink" xfId="30860" builtinId="9" hidden="1"/>
    <cellStyle name="Followed Hyperlink" xfId="30861" builtinId="9" hidden="1"/>
    <cellStyle name="Followed Hyperlink" xfId="30862" builtinId="9" hidden="1"/>
    <cellStyle name="Followed Hyperlink" xfId="30863" builtinId="9" hidden="1"/>
    <cellStyle name="Followed Hyperlink" xfId="30864" builtinId="9" hidden="1"/>
    <cellStyle name="Followed Hyperlink" xfId="30865" builtinId="9" hidden="1"/>
    <cellStyle name="Followed Hyperlink" xfId="30866" builtinId="9" hidden="1"/>
    <cellStyle name="Followed Hyperlink" xfId="30867" builtinId="9" hidden="1"/>
    <cellStyle name="Followed Hyperlink" xfId="30868" builtinId="9" hidden="1"/>
    <cellStyle name="Followed Hyperlink" xfId="30869" builtinId="9" hidden="1"/>
    <cellStyle name="Followed Hyperlink" xfId="30870" builtinId="9" hidden="1"/>
    <cellStyle name="Followed Hyperlink" xfId="30871" builtinId="9" hidden="1"/>
    <cellStyle name="Followed Hyperlink" xfId="30872" builtinId="9" hidden="1"/>
    <cellStyle name="Followed Hyperlink" xfId="30873" builtinId="9" hidden="1"/>
    <cellStyle name="Followed Hyperlink" xfId="30874" builtinId="9" hidden="1"/>
    <cellStyle name="Followed Hyperlink" xfId="30875" builtinId="9" hidden="1"/>
    <cellStyle name="Followed Hyperlink" xfId="30876" builtinId="9" hidden="1"/>
    <cellStyle name="Followed Hyperlink" xfId="30877" builtinId="9" hidden="1"/>
    <cellStyle name="Followed Hyperlink" xfId="30878" builtinId="9" hidden="1"/>
    <cellStyle name="Followed Hyperlink" xfId="30879" builtinId="9" hidden="1"/>
    <cellStyle name="Followed Hyperlink" xfId="30880" builtinId="9" hidden="1"/>
    <cellStyle name="Followed Hyperlink" xfId="30881" builtinId="9" hidden="1"/>
    <cellStyle name="Followed Hyperlink" xfId="30882" builtinId="9" hidden="1"/>
    <cellStyle name="Followed Hyperlink" xfId="30883" builtinId="9" hidden="1"/>
    <cellStyle name="Followed Hyperlink" xfId="30884" builtinId="9" hidden="1"/>
    <cellStyle name="Followed Hyperlink" xfId="30885" builtinId="9" hidden="1"/>
    <cellStyle name="Followed Hyperlink" xfId="30886" builtinId="9" hidden="1"/>
    <cellStyle name="Followed Hyperlink" xfId="30887" builtinId="9" hidden="1"/>
    <cellStyle name="Followed Hyperlink" xfId="30888" builtinId="9" hidden="1"/>
    <cellStyle name="Followed Hyperlink" xfId="30889" builtinId="9" hidden="1"/>
    <cellStyle name="Followed Hyperlink" xfId="30890" builtinId="9" hidden="1"/>
    <cellStyle name="Followed Hyperlink" xfId="30891" builtinId="9" hidden="1"/>
    <cellStyle name="Followed Hyperlink" xfId="30642" builtinId="9" hidden="1"/>
    <cellStyle name="Followed Hyperlink" xfId="30852" builtinId="9" hidden="1"/>
    <cellStyle name="Followed Hyperlink" xfId="30893" builtinId="9" hidden="1"/>
    <cellStyle name="Followed Hyperlink" xfId="30894" builtinId="9" hidden="1"/>
    <cellStyle name="Followed Hyperlink" xfId="30895" builtinId="9" hidden="1"/>
    <cellStyle name="Followed Hyperlink" xfId="30896" builtinId="9" hidden="1"/>
    <cellStyle name="Followed Hyperlink" xfId="30897" builtinId="9" hidden="1"/>
    <cellStyle name="Followed Hyperlink" xfId="30898" builtinId="9" hidden="1"/>
    <cellStyle name="Followed Hyperlink" xfId="30899" builtinId="9" hidden="1"/>
    <cellStyle name="Followed Hyperlink" xfId="30900" builtinId="9" hidden="1"/>
    <cellStyle name="Followed Hyperlink" xfId="30901" builtinId="9" hidden="1"/>
    <cellStyle name="Followed Hyperlink" xfId="30902" builtinId="9" hidden="1"/>
    <cellStyle name="Followed Hyperlink" xfId="30903" builtinId="9" hidden="1"/>
    <cellStyle name="Followed Hyperlink" xfId="30904" builtinId="9" hidden="1"/>
    <cellStyle name="Followed Hyperlink" xfId="30905" builtinId="9" hidden="1"/>
    <cellStyle name="Followed Hyperlink" xfId="30906" builtinId="9" hidden="1"/>
    <cellStyle name="Followed Hyperlink" xfId="30907" builtinId="9" hidden="1"/>
    <cellStyle name="Followed Hyperlink" xfId="30908" builtinId="9" hidden="1"/>
    <cellStyle name="Followed Hyperlink" xfId="30909" builtinId="9" hidden="1"/>
    <cellStyle name="Followed Hyperlink" xfId="30910" builtinId="9" hidden="1"/>
    <cellStyle name="Followed Hyperlink" xfId="30911" builtinId="9" hidden="1"/>
    <cellStyle name="Followed Hyperlink" xfId="30912" builtinId="9" hidden="1"/>
    <cellStyle name="Followed Hyperlink" xfId="30913" builtinId="9" hidden="1"/>
    <cellStyle name="Followed Hyperlink" xfId="30914" builtinId="9" hidden="1"/>
    <cellStyle name="Followed Hyperlink" xfId="30915" builtinId="9" hidden="1"/>
    <cellStyle name="Followed Hyperlink" xfId="30916" builtinId="9" hidden="1"/>
    <cellStyle name="Followed Hyperlink" xfId="30917" builtinId="9" hidden="1"/>
    <cellStyle name="Followed Hyperlink" xfId="30918" builtinId="9" hidden="1"/>
    <cellStyle name="Followed Hyperlink" xfId="30919" builtinId="9" hidden="1"/>
    <cellStyle name="Followed Hyperlink" xfId="30920" builtinId="9" hidden="1"/>
    <cellStyle name="Followed Hyperlink" xfId="30921" builtinId="9" hidden="1"/>
    <cellStyle name="Followed Hyperlink" xfId="30922" builtinId="9" hidden="1"/>
    <cellStyle name="Followed Hyperlink" xfId="30923" builtinId="9" hidden="1"/>
    <cellStyle name="Followed Hyperlink" xfId="30924" builtinId="9" hidden="1"/>
    <cellStyle name="Followed Hyperlink" xfId="30925" builtinId="9" hidden="1"/>
    <cellStyle name="Followed Hyperlink" xfId="30926" builtinId="9" hidden="1"/>
    <cellStyle name="Followed Hyperlink" xfId="30927" builtinId="9" hidden="1"/>
    <cellStyle name="Followed Hyperlink" xfId="30928" builtinId="9" hidden="1"/>
    <cellStyle name="Followed Hyperlink" xfId="30929" builtinId="9" hidden="1"/>
    <cellStyle name="Followed Hyperlink" xfId="30930" builtinId="9" hidden="1"/>
    <cellStyle name="Followed Hyperlink" xfId="30931" builtinId="9" hidden="1"/>
    <cellStyle name="Followed Hyperlink" xfId="30644" builtinId="9" hidden="1"/>
    <cellStyle name="Followed Hyperlink" xfId="30892" builtinId="9" hidden="1"/>
    <cellStyle name="Followed Hyperlink" xfId="30933" builtinId="9" hidden="1"/>
    <cellStyle name="Followed Hyperlink" xfId="30934" builtinId="9" hidden="1"/>
    <cellStyle name="Followed Hyperlink" xfId="30935" builtinId="9" hidden="1"/>
    <cellStyle name="Followed Hyperlink" xfId="30936" builtinId="9" hidden="1"/>
    <cellStyle name="Followed Hyperlink" xfId="30937" builtinId="9" hidden="1"/>
    <cellStyle name="Followed Hyperlink" xfId="30938" builtinId="9" hidden="1"/>
    <cellStyle name="Followed Hyperlink" xfId="30939" builtinId="9" hidden="1"/>
    <cellStyle name="Followed Hyperlink" xfId="30940" builtinId="9" hidden="1"/>
    <cellStyle name="Followed Hyperlink" xfId="30941" builtinId="9" hidden="1"/>
    <cellStyle name="Followed Hyperlink" xfId="30942" builtinId="9" hidden="1"/>
    <cellStyle name="Followed Hyperlink" xfId="30943" builtinId="9" hidden="1"/>
    <cellStyle name="Followed Hyperlink" xfId="30944" builtinId="9" hidden="1"/>
    <cellStyle name="Followed Hyperlink" xfId="30945" builtinId="9" hidden="1"/>
    <cellStyle name="Followed Hyperlink" xfId="30946" builtinId="9" hidden="1"/>
    <cellStyle name="Followed Hyperlink" xfId="30947" builtinId="9" hidden="1"/>
    <cellStyle name="Followed Hyperlink" xfId="30948" builtinId="9" hidden="1"/>
    <cellStyle name="Followed Hyperlink" xfId="30949" builtinId="9" hidden="1"/>
    <cellStyle name="Followed Hyperlink" xfId="30950" builtinId="9" hidden="1"/>
    <cellStyle name="Followed Hyperlink" xfId="30951" builtinId="9" hidden="1"/>
    <cellStyle name="Followed Hyperlink" xfId="30952" builtinId="9" hidden="1"/>
    <cellStyle name="Followed Hyperlink" xfId="30953" builtinId="9" hidden="1"/>
    <cellStyle name="Followed Hyperlink" xfId="30954" builtinId="9" hidden="1"/>
    <cellStyle name="Followed Hyperlink" xfId="30955" builtinId="9" hidden="1"/>
    <cellStyle name="Followed Hyperlink" xfId="30956" builtinId="9" hidden="1"/>
    <cellStyle name="Followed Hyperlink" xfId="30957" builtinId="9" hidden="1"/>
    <cellStyle name="Followed Hyperlink" xfId="30958" builtinId="9" hidden="1"/>
    <cellStyle name="Followed Hyperlink" xfId="30959" builtinId="9" hidden="1"/>
    <cellStyle name="Followed Hyperlink" xfId="30960" builtinId="9" hidden="1"/>
    <cellStyle name="Followed Hyperlink" xfId="30961" builtinId="9" hidden="1"/>
    <cellStyle name="Followed Hyperlink" xfId="30962" builtinId="9" hidden="1"/>
    <cellStyle name="Followed Hyperlink" xfId="30963" builtinId="9" hidden="1"/>
    <cellStyle name="Followed Hyperlink" xfId="30964" builtinId="9" hidden="1"/>
    <cellStyle name="Followed Hyperlink" xfId="30965" builtinId="9" hidden="1"/>
    <cellStyle name="Followed Hyperlink" xfId="30966" builtinId="9" hidden="1"/>
    <cellStyle name="Followed Hyperlink" xfId="30967" builtinId="9" hidden="1"/>
    <cellStyle name="Followed Hyperlink" xfId="30968" builtinId="9" hidden="1"/>
    <cellStyle name="Followed Hyperlink" xfId="30969" builtinId="9" hidden="1"/>
    <cellStyle name="Followed Hyperlink" xfId="30970" builtinId="9" hidden="1"/>
    <cellStyle name="Followed Hyperlink" xfId="30971" builtinId="9" hidden="1"/>
    <cellStyle name="Followed Hyperlink" xfId="30645" builtinId="9" hidden="1"/>
    <cellStyle name="Followed Hyperlink" xfId="30932" builtinId="9" hidden="1"/>
    <cellStyle name="Followed Hyperlink" xfId="30973" builtinId="9" hidden="1"/>
    <cellStyle name="Followed Hyperlink" xfId="30974" builtinId="9" hidden="1"/>
    <cellStyle name="Followed Hyperlink" xfId="30975" builtinId="9" hidden="1"/>
    <cellStyle name="Followed Hyperlink" xfId="30976" builtinId="9" hidden="1"/>
    <cellStyle name="Followed Hyperlink" xfId="30977" builtinId="9" hidden="1"/>
    <cellStyle name="Followed Hyperlink" xfId="30978" builtinId="9" hidden="1"/>
    <cellStyle name="Followed Hyperlink" xfId="30979" builtinId="9" hidden="1"/>
    <cellStyle name="Followed Hyperlink" xfId="30980" builtinId="9" hidden="1"/>
    <cellStyle name="Followed Hyperlink" xfId="30981" builtinId="9" hidden="1"/>
    <cellStyle name="Followed Hyperlink" xfId="30982" builtinId="9" hidden="1"/>
    <cellStyle name="Followed Hyperlink" xfId="30983" builtinId="9" hidden="1"/>
    <cellStyle name="Followed Hyperlink" xfId="30984" builtinId="9" hidden="1"/>
    <cellStyle name="Followed Hyperlink" xfId="30985" builtinId="9" hidden="1"/>
    <cellStyle name="Followed Hyperlink" xfId="30986" builtinId="9" hidden="1"/>
    <cellStyle name="Followed Hyperlink" xfId="30987" builtinId="9" hidden="1"/>
    <cellStyle name="Followed Hyperlink" xfId="30988" builtinId="9" hidden="1"/>
    <cellStyle name="Followed Hyperlink" xfId="30989" builtinId="9" hidden="1"/>
    <cellStyle name="Followed Hyperlink" xfId="30990" builtinId="9" hidden="1"/>
    <cellStyle name="Followed Hyperlink" xfId="30991" builtinId="9" hidden="1"/>
    <cellStyle name="Followed Hyperlink" xfId="30992" builtinId="9" hidden="1"/>
    <cellStyle name="Followed Hyperlink" xfId="30993" builtinId="9" hidden="1"/>
    <cellStyle name="Followed Hyperlink" xfId="30994" builtinId="9" hidden="1"/>
    <cellStyle name="Followed Hyperlink" xfId="30995" builtinId="9" hidden="1"/>
    <cellStyle name="Followed Hyperlink" xfId="30996" builtinId="9" hidden="1"/>
    <cellStyle name="Followed Hyperlink" xfId="30997" builtinId="9" hidden="1"/>
    <cellStyle name="Followed Hyperlink" xfId="30998" builtinId="9" hidden="1"/>
    <cellStyle name="Followed Hyperlink" xfId="30999" builtinId="9" hidden="1"/>
    <cellStyle name="Followed Hyperlink" xfId="31000" builtinId="9" hidden="1"/>
    <cellStyle name="Followed Hyperlink" xfId="31001" builtinId="9" hidden="1"/>
    <cellStyle name="Followed Hyperlink" xfId="31002" builtinId="9" hidden="1"/>
    <cellStyle name="Followed Hyperlink" xfId="31003" builtinId="9" hidden="1"/>
    <cellStyle name="Followed Hyperlink" xfId="31004" builtinId="9" hidden="1"/>
    <cellStyle name="Followed Hyperlink" xfId="31005" builtinId="9" hidden="1"/>
    <cellStyle name="Followed Hyperlink" xfId="31006" builtinId="9" hidden="1"/>
    <cellStyle name="Followed Hyperlink" xfId="31007" builtinId="9" hidden="1"/>
    <cellStyle name="Followed Hyperlink" xfId="31008" builtinId="9" hidden="1"/>
    <cellStyle name="Followed Hyperlink" xfId="31009" builtinId="9" hidden="1"/>
    <cellStyle name="Followed Hyperlink" xfId="31010" builtinId="9" hidden="1"/>
    <cellStyle name="Followed Hyperlink" xfId="31011" builtinId="9" hidden="1"/>
    <cellStyle name="Followed Hyperlink" xfId="30647" builtinId="9" hidden="1"/>
    <cellStyle name="Followed Hyperlink" xfId="30972" builtinId="9" hidden="1"/>
    <cellStyle name="Followed Hyperlink" xfId="31013" builtinId="9" hidden="1"/>
    <cellStyle name="Followed Hyperlink" xfId="31014" builtinId="9" hidden="1"/>
    <cellStyle name="Followed Hyperlink" xfId="31015" builtinId="9" hidden="1"/>
    <cellStyle name="Followed Hyperlink" xfId="31016" builtinId="9" hidden="1"/>
    <cellStyle name="Followed Hyperlink" xfId="31017" builtinId="9" hidden="1"/>
    <cellStyle name="Followed Hyperlink" xfId="31018" builtinId="9" hidden="1"/>
    <cellStyle name="Followed Hyperlink" xfId="31019" builtinId="9" hidden="1"/>
    <cellStyle name="Followed Hyperlink" xfId="31020" builtinId="9" hidden="1"/>
    <cellStyle name="Followed Hyperlink" xfId="31021" builtinId="9" hidden="1"/>
    <cellStyle name="Followed Hyperlink" xfId="31022" builtinId="9" hidden="1"/>
    <cellStyle name="Followed Hyperlink" xfId="31023" builtinId="9" hidden="1"/>
    <cellStyle name="Followed Hyperlink" xfId="31024" builtinId="9" hidden="1"/>
    <cellStyle name="Followed Hyperlink" xfId="31025" builtinId="9" hidden="1"/>
    <cellStyle name="Followed Hyperlink" xfId="31026" builtinId="9" hidden="1"/>
    <cellStyle name="Followed Hyperlink" xfId="31027" builtinId="9" hidden="1"/>
    <cellStyle name="Followed Hyperlink" xfId="31028" builtinId="9" hidden="1"/>
    <cellStyle name="Followed Hyperlink" xfId="31029" builtinId="9" hidden="1"/>
    <cellStyle name="Followed Hyperlink" xfId="31030" builtinId="9" hidden="1"/>
    <cellStyle name="Followed Hyperlink" xfId="31031" builtinId="9" hidden="1"/>
    <cellStyle name="Followed Hyperlink" xfId="31032" builtinId="9" hidden="1"/>
    <cellStyle name="Followed Hyperlink" xfId="31033" builtinId="9" hidden="1"/>
    <cellStyle name="Followed Hyperlink" xfId="31034" builtinId="9" hidden="1"/>
    <cellStyle name="Followed Hyperlink" xfId="31035" builtinId="9" hidden="1"/>
    <cellStyle name="Followed Hyperlink" xfId="31036" builtinId="9" hidden="1"/>
    <cellStyle name="Followed Hyperlink" xfId="31037" builtinId="9" hidden="1"/>
    <cellStyle name="Followed Hyperlink" xfId="31038" builtinId="9" hidden="1"/>
    <cellStyle name="Followed Hyperlink" xfId="31039" builtinId="9" hidden="1"/>
    <cellStyle name="Followed Hyperlink" xfId="31040" builtinId="9" hidden="1"/>
    <cellStyle name="Followed Hyperlink" xfId="31041" builtinId="9" hidden="1"/>
    <cellStyle name="Followed Hyperlink" xfId="31042" builtinId="9" hidden="1"/>
    <cellStyle name="Followed Hyperlink" xfId="31043" builtinId="9" hidden="1"/>
    <cellStyle name="Followed Hyperlink" xfId="31044" builtinId="9" hidden="1"/>
    <cellStyle name="Followed Hyperlink" xfId="31045" builtinId="9" hidden="1"/>
    <cellStyle name="Followed Hyperlink" xfId="31046" builtinId="9" hidden="1"/>
    <cellStyle name="Followed Hyperlink" xfId="31047" builtinId="9" hidden="1"/>
    <cellStyle name="Followed Hyperlink" xfId="31048" builtinId="9" hidden="1"/>
    <cellStyle name="Followed Hyperlink" xfId="31049" builtinId="9" hidden="1"/>
    <cellStyle name="Followed Hyperlink" xfId="31050" builtinId="9" hidden="1"/>
    <cellStyle name="Followed Hyperlink" xfId="31051" builtinId="9" hidden="1"/>
    <cellStyle name="Followed Hyperlink" xfId="30643" builtinId="9" hidden="1"/>
    <cellStyle name="Followed Hyperlink" xfId="31012" builtinId="9" hidden="1"/>
    <cellStyle name="Followed Hyperlink" xfId="31052" builtinId="9" hidden="1"/>
    <cellStyle name="Followed Hyperlink" xfId="31053" builtinId="9" hidden="1"/>
    <cellStyle name="Followed Hyperlink" xfId="31054" builtinId="9" hidden="1"/>
    <cellStyle name="Followed Hyperlink" xfId="31055" builtinId="9" hidden="1"/>
    <cellStyle name="Followed Hyperlink" xfId="31056" builtinId="9" hidden="1"/>
    <cellStyle name="Followed Hyperlink" xfId="31057" builtinId="9" hidden="1"/>
    <cellStyle name="Followed Hyperlink" xfId="31058" builtinId="9" hidden="1"/>
    <cellStyle name="Followed Hyperlink" xfId="31059" builtinId="9" hidden="1"/>
    <cellStyle name="Followed Hyperlink" xfId="31060" builtinId="9" hidden="1"/>
    <cellStyle name="Followed Hyperlink" xfId="31061" builtinId="9" hidden="1"/>
    <cellStyle name="Followed Hyperlink" xfId="31062" builtinId="9" hidden="1"/>
    <cellStyle name="Followed Hyperlink" xfId="31063" builtinId="9" hidden="1"/>
    <cellStyle name="Followed Hyperlink" xfId="31064" builtinId="9" hidden="1"/>
    <cellStyle name="Followed Hyperlink" xfId="31065" builtinId="9" hidden="1"/>
    <cellStyle name="Followed Hyperlink" xfId="31066" builtinId="9" hidden="1"/>
    <cellStyle name="Followed Hyperlink" xfId="31067" builtinId="9" hidden="1"/>
    <cellStyle name="Followed Hyperlink" xfId="31068" builtinId="9" hidden="1"/>
    <cellStyle name="Followed Hyperlink" xfId="31069" builtinId="9" hidden="1"/>
    <cellStyle name="Followed Hyperlink" xfId="31070" builtinId="9" hidden="1"/>
    <cellStyle name="Followed Hyperlink" xfId="31071" builtinId="9" hidden="1"/>
    <cellStyle name="Followed Hyperlink" xfId="31072" builtinId="9" hidden="1"/>
    <cellStyle name="Followed Hyperlink" xfId="31073" builtinId="9" hidden="1"/>
    <cellStyle name="Followed Hyperlink" xfId="31074" builtinId="9" hidden="1"/>
    <cellStyle name="Followed Hyperlink" xfId="31075" builtinId="9" hidden="1"/>
    <cellStyle name="Followed Hyperlink" xfId="31076" builtinId="9" hidden="1"/>
    <cellStyle name="Followed Hyperlink" xfId="31077" builtinId="9" hidden="1"/>
    <cellStyle name="Followed Hyperlink" xfId="31078" builtinId="9" hidden="1"/>
    <cellStyle name="Followed Hyperlink" xfId="31079" builtinId="9" hidden="1"/>
    <cellStyle name="Followed Hyperlink" xfId="31080" builtinId="9" hidden="1"/>
    <cellStyle name="Followed Hyperlink" xfId="31081" builtinId="9" hidden="1"/>
    <cellStyle name="Followed Hyperlink" xfId="31082" builtinId="9" hidden="1"/>
    <cellStyle name="Followed Hyperlink" xfId="31083" builtinId="9" hidden="1"/>
    <cellStyle name="Followed Hyperlink" xfId="31084" builtinId="9" hidden="1"/>
    <cellStyle name="Followed Hyperlink" xfId="31085" builtinId="9" hidden="1"/>
    <cellStyle name="Followed Hyperlink" xfId="31086" builtinId="9" hidden="1"/>
    <cellStyle name="Followed Hyperlink" xfId="31087" builtinId="9" hidden="1"/>
    <cellStyle name="Followed Hyperlink" xfId="31088" builtinId="9" hidden="1"/>
    <cellStyle name="Followed Hyperlink" xfId="31089" builtinId="9" hidden="1"/>
    <cellStyle name="Followed Hyperlink" xfId="31090" builtinId="9" hidden="1"/>
    <cellStyle name="Followed Hyperlink" xfId="19122" builtinId="9" hidden="1"/>
    <cellStyle name="Followed Hyperlink" xfId="18448" builtinId="9" hidden="1"/>
    <cellStyle name="Followed Hyperlink" xfId="31091" builtinId="9" hidden="1"/>
    <cellStyle name="Followed Hyperlink" xfId="31092" builtinId="9" hidden="1"/>
    <cellStyle name="Followed Hyperlink" xfId="31093" builtinId="9" hidden="1"/>
    <cellStyle name="Followed Hyperlink" xfId="31094" builtinId="9" hidden="1"/>
    <cellStyle name="Followed Hyperlink" xfId="31095" builtinId="9" hidden="1"/>
    <cellStyle name="Followed Hyperlink" xfId="31096" builtinId="9" hidden="1"/>
    <cellStyle name="Followed Hyperlink" xfId="31097" builtinId="9" hidden="1"/>
    <cellStyle name="Followed Hyperlink" xfId="31098" builtinId="9" hidden="1"/>
    <cellStyle name="Followed Hyperlink" xfId="31099" builtinId="9" hidden="1"/>
    <cellStyle name="Followed Hyperlink" xfId="31100" builtinId="9" hidden="1"/>
    <cellStyle name="Followed Hyperlink" xfId="31101" builtinId="9" hidden="1"/>
    <cellStyle name="Followed Hyperlink" xfId="31102" builtinId="9" hidden="1"/>
    <cellStyle name="Followed Hyperlink" xfId="31103" builtinId="9" hidden="1"/>
    <cellStyle name="Followed Hyperlink" xfId="31104" builtinId="9" hidden="1"/>
    <cellStyle name="Followed Hyperlink" xfId="31105" builtinId="9" hidden="1"/>
    <cellStyle name="Followed Hyperlink" xfId="31106" builtinId="9" hidden="1"/>
    <cellStyle name="Followed Hyperlink" xfId="31107" builtinId="9" hidden="1"/>
    <cellStyle name="Followed Hyperlink" xfId="31108" builtinId="9" hidden="1"/>
    <cellStyle name="Followed Hyperlink" xfId="31109" builtinId="9" hidden="1"/>
    <cellStyle name="Followed Hyperlink" xfId="31110" builtinId="9" hidden="1"/>
    <cellStyle name="Followed Hyperlink" xfId="31111" builtinId="9" hidden="1"/>
    <cellStyle name="Followed Hyperlink" xfId="31112" builtinId="9" hidden="1"/>
    <cellStyle name="Followed Hyperlink" xfId="31113" builtinId="9" hidden="1"/>
    <cellStyle name="Followed Hyperlink" xfId="31114" builtinId="9" hidden="1"/>
    <cellStyle name="Followed Hyperlink" xfId="31115" builtinId="9" hidden="1"/>
    <cellStyle name="Followed Hyperlink" xfId="31116" builtinId="9" hidden="1"/>
    <cellStyle name="Followed Hyperlink" xfId="31117" builtinId="9" hidden="1"/>
    <cellStyle name="Followed Hyperlink" xfId="31118" builtinId="9" hidden="1"/>
    <cellStyle name="Followed Hyperlink" xfId="31119" builtinId="9" hidden="1"/>
    <cellStyle name="Followed Hyperlink" xfId="31120" builtinId="9" hidden="1"/>
    <cellStyle name="Followed Hyperlink" xfId="31121" builtinId="9" hidden="1"/>
    <cellStyle name="Followed Hyperlink" xfId="31122" builtinId="9" hidden="1"/>
    <cellStyle name="Followed Hyperlink" xfId="31123" builtinId="9" hidden="1"/>
    <cellStyle name="Followed Hyperlink" xfId="31124" builtinId="9" hidden="1"/>
    <cellStyle name="Followed Hyperlink" xfId="31125" builtinId="9" hidden="1"/>
    <cellStyle name="Followed Hyperlink" xfId="31126" builtinId="9" hidden="1"/>
    <cellStyle name="Followed Hyperlink" xfId="31127" builtinId="9" hidden="1"/>
    <cellStyle name="Followed Hyperlink" xfId="31128" builtinId="9" hidden="1"/>
    <cellStyle name="Followed Hyperlink" xfId="31129" builtinId="9" hidden="1"/>
    <cellStyle name="Followed Hyperlink" xfId="31138" builtinId="9" hidden="1"/>
    <cellStyle name="Followed Hyperlink" xfId="31139" builtinId="9" hidden="1"/>
    <cellStyle name="Followed Hyperlink" xfId="31140" builtinId="9" hidden="1"/>
    <cellStyle name="Followed Hyperlink" xfId="31141" builtinId="9" hidden="1"/>
    <cellStyle name="Followed Hyperlink" xfId="31142" builtinId="9" hidden="1"/>
    <cellStyle name="Followed Hyperlink" xfId="31143" builtinId="9" hidden="1"/>
    <cellStyle name="Followed Hyperlink" xfId="31144" builtinId="9" hidden="1"/>
    <cellStyle name="Followed Hyperlink" xfId="31145" builtinId="9" hidden="1"/>
    <cellStyle name="Followed Hyperlink" xfId="31146" builtinId="9" hidden="1"/>
    <cellStyle name="Followed Hyperlink" xfId="31147" builtinId="9" hidden="1"/>
    <cellStyle name="Followed Hyperlink" xfId="31148" builtinId="9" hidden="1"/>
    <cellStyle name="Followed Hyperlink" xfId="31149" builtinId="9" hidden="1"/>
    <cellStyle name="Followed Hyperlink" xfId="31150" builtinId="9" hidden="1"/>
    <cellStyle name="Followed Hyperlink" xfId="31151" builtinId="9" hidden="1"/>
    <cellStyle name="Followed Hyperlink" xfId="31152" builtinId="9" hidden="1"/>
    <cellStyle name="Followed Hyperlink" xfId="31153" builtinId="9" hidden="1"/>
    <cellStyle name="Followed Hyperlink" xfId="31154" builtinId="9" hidden="1"/>
    <cellStyle name="Followed Hyperlink" xfId="31155" builtinId="9" hidden="1"/>
    <cellStyle name="Followed Hyperlink" xfId="31156" builtinId="9" hidden="1"/>
    <cellStyle name="Followed Hyperlink" xfId="31157" builtinId="9" hidden="1"/>
    <cellStyle name="Followed Hyperlink" xfId="31158" builtinId="9" hidden="1"/>
    <cellStyle name="Followed Hyperlink" xfId="31159" builtinId="9" hidden="1"/>
    <cellStyle name="Followed Hyperlink" xfId="31160" builtinId="9" hidden="1"/>
    <cellStyle name="Followed Hyperlink" xfId="31161" builtinId="9" hidden="1"/>
    <cellStyle name="Followed Hyperlink" xfId="31162" builtinId="9" hidden="1"/>
    <cellStyle name="Followed Hyperlink" xfId="31163" builtinId="9" hidden="1"/>
    <cellStyle name="Followed Hyperlink" xfId="31164" builtinId="9" hidden="1"/>
    <cellStyle name="Followed Hyperlink" xfId="31165" builtinId="9" hidden="1"/>
    <cellStyle name="Followed Hyperlink" xfId="31166" builtinId="9" hidden="1"/>
    <cellStyle name="Followed Hyperlink" xfId="31167" builtinId="9" hidden="1"/>
    <cellStyle name="Followed Hyperlink" xfId="31168" builtinId="9" hidden="1"/>
    <cellStyle name="Followed Hyperlink" xfId="31169" builtinId="9" hidden="1"/>
    <cellStyle name="Followed Hyperlink" xfId="31170" builtinId="9" hidden="1"/>
    <cellStyle name="Followed Hyperlink" xfId="31171" builtinId="9" hidden="1"/>
    <cellStyle name="Followed Hyperlink" xfId="31172" builtinId="9" hidden="1"/>
    <cellStyle name="Followed Hyperlink" xfId="31173" builtinId="9" hidden="1"/>
    <cellStyle name="Followed Hyperlink" xfId="31174" builtinId="9" hidden="1"/>
    <cellStyle name="Followed Hyperlink" xfId="31175" builtinId="9" hidden="1"/>
    <cellStyle name="Followed Hyperlink" xfId="31176" builtinId="9" hidden="1"/>
    <cellStyle name="Followed Hyperlink" xfId="31177" builtinId="9" hidden="1"/>
    <cellStyle name="Followed Hyperlink" xfId="31178" builtinId="9" hidden="1"/>
    <cellStyle name="Followed Hyperlink" xfId="31179" builtinId="9" hidden="1"/>
    <cellStyle name="Followed Hyperlink" xfId="31180" builtinId="9" hidden="1"/>
    <cellStyle name="Followed Hyperlink" xfId="31181" builtinId="9" hidden="1"/>
    <cellStyle name="Followed Hyperlink" xfId="31182" builtinId="9" hidden="1"/>
    <cellStyle name="Followed Hyperlink" xfId="31183" builtinId="9" hidden="1"/>
    <cellStyle name="Followed Hyperlink" xfId="31184" builtinId="9" hidden="1"/>
    <cellStyle name="Followed Hyperlink" xfId="31185" builtinId="9" hidden="1"/>
    <cellStyle name="Followed Hyperlink" xfId="31186" builtinId="9" hidden="1"/>
    <cellStyle name="Followed Hyperlink" xfId="31187" builtinId="9" hidden="1"/>
    <cellStyle name="Followed Hyperlink" xfId="31188" builtinId="9" hidden="1"/>
    <cellStyle name="Followed Hyperlink" xfId="31189" builtinId="9" hidden="1"/>
    <cellStyle name="Followed Hyperlink" xfId="31190" builtinId="9" hidden="1"/>
    <cellStyle name="Followed Hyperlink" xfId="31191" builtinId="9" hidden="1"/>
    <cellStyle name="Followed Hyperlink" xfId="31192" builtinId="9" hidden="1"/>
    <cellStyle name="Followed Hyperlink" xfId="31193" builtinId="9" hidden="1"/>
    <cellStyle name="Followed Hyperlink" xfId="31194" builtinId="9" hidden="1"/>
    <cellStyle name="Followed Hyperlink" xfId="31195" builtinId="9" hidden="1"/>
    <cellStyle name="Followed Hyperlink" xfId="31196" builtinId="9" hidden="1"/>
    <cellStyle name="Followed Hyperlink" xfId="31197" builtinId="9" hidden="1"/>
    <cellStyle name="Followed Hyperlink" xfId="31198" builtinId="9" hidden="1"/>
    <cellStyle name="Followed Hyperlink" xfId="31199" builtinId="9" hidden="1"/>
    <cellStyle name="Followed Hyperlink" xfId="31200" builtinId="9" hidden="1"/>
    <cellStyle name="Followed Hyperlink" xfId="31201" builtinId="9" hidden="1"/>
    <cellStyle name="Followed Hyperlink" xfId="31202" builtinId="9" hidden="1"/>
    <cellStyle name="Followed Hyperlink" xfId="31203" builtinId="9" hidden="1"/>
    <cellStyle name="Followed Hyperlink" xfId="31204" builtinId="9" hidden="1"/>
    <cellStyle name="Followed Hyperlink" xfId="31205" builtinId="9" hidden="1"/>
    <cellStyle name="Followed Hyperlink" xfId="31206" builtinId="9" hidden="1"/>
    <cellStyle name="Followed Hyperlink" xfId="31207" builtinId="9" hidden="1"/>
    <cellStyle name="Followed Hyperlink" xfId="31208" builtinId="9" hidden="1"/>
    <cellStyle name="Followed Hyperlink" xfId="31209" builtinId="9" hidden="1"/>
    <cellStyle name="Followed Hyperlink" xfId="31210" builtinId="9" hidden="1"/>
    <cellStyle name="Followed Hyperlink" xfId="31211" builtinId="9" hidden="1"/>
    <cellStyle name="Followed Hyperlink" xfId="31212" builtinId="9" hidden="1"/>
    <cellStyle name="Followed Hyperlink" xfId="31213" builtinId="9" hidden="1"/>
    <cellStyle name="Followed Hyperlink" xfId="31214" builtinId="9" hidden="1"/>
    <cellStyle name="Followed Hyperlink" xfId="31215" builtinId="9" hidden="1"/>
    <cellStyle name="Followed Hyperlink" xfId="31216" builtinId="9" hidden="1"/>
    <cellStyle name="Followed Hyperlink" xfId="31217" builtinId="9" hidden="1"/>
    <cellStyle name="Followed Hyperlink" xfId="31218" builtinId="9" hidden="1"/>
    <cellStyle name="Followed Hyperlink" xfId="31219" builtinId="9" hidden="1"/>
    <cellStyle name="Followed Hyperlink" xfId="31220" builtinId="9" hidden="1"/>
    <cellStyle name="Followed Hyperlink" xfId="31221" builtinId="9" hidden="1"/>
    <cellStyle name="Followed Hyperlink" xfId="31222" builtinId="9" hidden="1"/>
    <cellStyle name="Followed Hyperlink" xfId="31223" builtinId="9" hidden="1"/>
    <cellStyle name="Followed Hyperlink" xfId="31224" builtinId="9" hidden="1"/>
    <cellStyle name="Followed Hyperlink" xfId="31225" builtinId="9" hidden="1"/>
    <cellStyle name="Followed Hyperlink" xfId="31226" builtinId="9" hidden="1"/>
    <cellStyle name="Followed Hyperlink" xfId="31227" builtinId="9" hidden="1"/>
    <cellStyle name="Followed Hyperlink" xfId="31228" builtinId="9" hidden="1"/>
    <cellStyle name="Followed Hyperlink" xfId="31229" builtinId="9" hidden="1"/>
    <cellStyle name="Followed Hyperlink" xfId="31230" builtinId="9" hidden="1"/>
    <cellStyle name="Followed Hyperlink" xfId="31231" builtinId="9" hidden="1"/>
    <cellStyle name="Followed Hyperlink" xfId="31232" builtinId="9" hidden="1"/>
    <cellStyle name="Followed Hyperlink" xfId="31233" builtinId="9" hidden="1"/>
    <cellStyle name="Followed Hyperlink" xfId="31234" builtinId="9" hidden="1"/>
    <cellStyle name="Followed Hyperlink" xfId="31235" builtinId="9" hidden="1"/>
    <cellStyle name="Followed Hyperlink" xfId="31236" builtinId="9" hidden="1"/>
    <cellStyle name="Followed Hyperlink" xfId="31237" builtinId="9" hidden="1"/>
    <cellStyle name="Followed Hyperlink" xfId="31238" builtinId="9" hidden="1"/>
    <cellStyle name="Followed Hyperlink" xfId="31239" builtinId="9" hidden="1"/>
    <cellStyle name="Followed Hyperlink" xfId="31240" builtinId="9" hidden="1"/>
    <cellStyle name="Followed Hyperlink" xfId="31241" builtinId="9" hidden="1"/>
    <cellStyle name="Followed Hyperlink" xfId="31242" builtinId="9" hidden="1"/>
    <cellStyle name="Followed Hyperlink" xfId="31243" builtinId="9" hidden="1"/>
    <cellStyle name="Followed Hyperlink" xfId="31244" builtinId="9" hidden="1"/>
    <cellStyle name="Followed Hyperlink" xfId="31245" builtinId="9" hidden="1"/>
    <cellStyle name="Followed Hyperlink" xfId="31246" builtinId="9" hidden="1"/>
    <cellStyle name="Followed Hyperlink" xfId="31247" builtinId="9" hidden="1"/>
    <cellStyle name="Followed Hyperlink" xfId="31248" builtinId="9" hidden="1"/>
    <cellStyle name="Followed Hyperlink" xfId="31249" builtinId="9" hidden="1"/>
    <cellStyle name="Followed Hyperlink" xfId="31250" builtinId="9" hidden="1"/>
    <cellStyle name="Followed Hyperlink" xfId="31251" builtinId="9" hidden="1"/>
    <cellStyle name="Followed Hyperlink" xfId="31252" builtinId="9" hidden="1"/>
    <cellStyle name="Followed Hyperlink" xfId="31253" builtinId="9" hidden="1"/>
    <cellStyle name="Followed Hyperlink" xfId="31254" builtinId="9" hidden="1"/>
    <cellStyle name="Followed Hyperlink" xfId="31255" builtinId="9" hidden="1"/>
    <cellStyle name="Followed Hyperlink" xfId="31256" builtinId="9" hidden="1"/>
    <cellStyle name="Followed Hyperlink" xfId="31257" builtinId="9" hidden="1"/>
    <cellStyle name="Followed Hyperlink" xfId="31258" builtinId="9" hidden="1"/>
    <cellStyle name="Followed Hyperlink" xfId="31259" builtinId="9" hidden="1"/>
    <cellStyle name="Followed Hyperlink" xfId="31260" builtinId="9" hidden="1"/>
    <cellStyle name="Followed Hyperlink" xfId="31130" builtinId="9" hidden="1"/>
    <cellStyle name="Followed Hyperlink" xfId="18928" builtinId="9" hidden="1"/>
    <cellStyle name="Followed Hyperlink" xfId="31262" builtinId="9" hidden="1"/>
    <cellStyle name="Followed Hyperlink" xfId="31263" builtinId="9" hidden="1"/>
    <cellStyle name="Followed Hyperlink" xfId="31264" builtinId="9" hidden="1"/>
    <cellStyle name="Followed Hyperlink" xfId="31265" builtinId="9" hidden="1"/>
    <cellStyle name="Followed Hyperlink" xfId="31266" builtinId="9" hidden="1"/>
    <cellStyle name="Followed Hyperlink" xfId="31267" builtinId="9" hidden="1"/>
    <cellStyle name="Followed Hyperlink" xfId="31268" builtinId="9" hidden="1"/>
    <cellStyle name="Followed Hyperlink" xfId="31269" builtinId="9" hidden="1"/>
    <cellStyle name="Followed Hyperlink" xfId="31270" builtinId="9" hidden="1"/>
    <cellStyle name="Followed Hyperlink" xfId="31271" builtinId="9" hidden="1"/>
    <cellStyle name="Followed Hyperlink" xfId="31272" builtinId="9" hidden="1"/>
    <cellStyle name="Followed Hyperlink" xfId="31273" builtinId="9" hidden="1"/>
    <cellStyle name="Followed Hyperlink" xfId="31274" builtinId="9" hidden="1"/>
    <cellStyle name="Followed Hyperlink" xfId="31275" builtinId="9" hidden="1"/>
    <cellStyle name="Followed Hyperlink" xfId="31276" builtinId="9" hidden="1"/>
    <cellStyle name="Followed Hyperlink" xfId="31277" builtinId="9" hidden="1"/>
    <cellStyle name="Followed Hyperlink" xfId="31278" builtinId="9" hidden="1"/>
    <cellStyle name="Followed Hyperlink" xfId="31279" builtinId="9" hidden="1"/>
    <cellStyle name="Followed Hyperlink" xfId="31280" builtinId="9" hidden="1"/>
    <cellStyle name="Followed Hyperlink" xfId="31281" builtinId="9" hidden="1"/>
    <cellStyle name="Followed Hyperlink" xfId="31282" builtinId="9" hidden="1"/>
    <cellStyle name="Followed Hyperlink" xfId="31283" builtinId="9" hidden="1"/>
    <cellStyle name="Followed Hyperlink" xfId="31284" builtinId="9" hidden="1"/>
    <cellStyle name="Followed Hyperlink" xfId="31285" builtinId="9" hidden="1"/>
    <cellStyle name="Followed Hyperlink" xfId="31286" builtinId="9" hidden="1"/>
    <cellStyle name="Followed Hyperlink" xfId="31287" builtinId="9" hidden="1"/>
    <cellStyle name="Followed Hyperlink" xfId="31288" builtinId="9" hidden="1"/>
    <cellStyle name="Followed Hyperlink" xfId="31289" builtinId="9" hidden="1"/>
    <cellStyle name="Followed Hyperlink" xfId="31290" builtinId="9" hidden="1"/>
    <cellStyle name="Followed Hyperlink" xfId="31291" builtinId="9" hidden="1"/>
    <cellStyle name="Followed Hyperlink" xfId="31292" builtinId="9" hidden="1"/>
    <cellStyle name="Followed Hyperlink" xfId="31293" builtinId="9" hidden="1"/>
    <cellStyle name="Followed Hyperlink" xfId="31294" builtinId="9" hidden="1"/>
    <cellStyle name="Followed Hyperlink" xfId="31295" builtinId="9" hidden="1"/>
    <cellStyle name="Followed Hyperlink" xfId="31296" builtinId="9" hidden="1"/>
    <cellStyle name="Followed Hyperlink" xfId="31297" builtinId="9" hidden="1"/>
    <cellStyle name="Followed Hyperlink" xfId="31298" builtinId="9" hidden="1"/>
    <cellStyle name="Followed Hyperlink" xfId="31299" builtinId="9" hidden="1"/>
    <cellStyle name="Followed Hyperlink" xfId="31300" builtinId="9" hidden="1"/>
    <cellStyle name="Followed Hyperlink" xfId="31135" builtinId="9" hidden="1"/>
    <cellStyle name="Followed Hyperlink" xfId="31261" builtinId="9" hidden="1"/>
    <cellStyle name="Followed Hyperlink" xfId="31302" builtinId="9" hidden="1"/>
    <cellStyle name="Followed Hyperlink" xfId="31303" builtinId="9" hidden="1"/>
    <cellStyle name="Followed Hyperlink" xfId="31304" builtinId="9" hidden="1"/>
    <cellStyle name="Followed Hyperlink" xfId="31305" builtinId="9" hidden="1"/>
    <cellStyle name="Followed Hyperlink" xfId="31306" builtinId="9" hidden="1"/>
    <cellStyle name="Followed Hyperlink" xfId="31307" builtinId="9" hidden="1"/>
    <cellStyle name="Followed Hyperlink" xfId="31308" builtinId="9" hidden="1"/>
    <cellStyle name="Followed Hyperlink" xfId="31309" builtinId="9" hidden="1"/>
    <cellStyle name="Followed Hyperlink" xfId="31310" builtinId="9" hidden="1"/>
    <cellStyle name="Followed Hyperlink" xfId="31311" builtinId="9" hidden="1"/>
    <cellStyle name="Followed Hyperlink" xfId="31312" builtinId="9" hidden="1"/>
    <cellStyle name="Followed Hyperlink" xfId="31313" builtinId="9" hidden="1"/>
    <cellStyle name="Followed Hyperlink" xfId="31314" builtinId="9" hidden="1"/>
    <cellStyle name="Followed Hyperlink" xfId="31315" builtinId="9" hidden="1"/>
    <cellStyle name="Followed Hyperlink" xfId="31316" builtinId="9" hidden="1"/>
    <cellStyle name="Followed Hyperlink" xfId="31317" builtinId="9" hidden="1"/>
    <cellStyle name="Followed Hyperlink" xfId="31318" builtinId="9" hidden="1"/>
    <cellStyle name="Followed Hyperlink" xfId="31319" builtinId="9" hidden="1"/>
    <cellStyle name="Followed Hyperlink" xfId="31320" builtinId="9" hidden="1"/>
    <cellStyle name="Followed Hyperlink" xfId="31321" builtinId="9" hidden="1"/>
    <cellStyle name="Followed Hyperlink" xfId="31322" builtinId="9" hidden="1"/>
    <cellStyle name="Followed Hyperlink" xfId="31323" builtinId="9" hidden="1"/>
    <cellStyle name="Followed Hyperlink" xfId="31324" builtinId="9" hidden="1"/>
    <cellStyle name="Followed Hyperlink" xfId="31325" builtinId="9" hidden="1"/>
    <cellStyle name="Followed Hyperlink" xfId="31326" builtinId="9" hidden="1"/>
    <cellStyle name="Followed Hyperlink" xfId="31327" builtinId="9" hidden="1"/>
    <cellStyle name="Followed Hyperlink" xfId="31328" builtinId="9" hidden="1"/>
    <cellStyle name="Followed Hyperlink" xfId="31329" builtinId="9" hidden="1"/>
    <cellStyle name="Followed Hyperlink" xfId="31330" builtinId="9" hidden="1"/>
    <cellStyle name="Followed Hyperlink" xfId="31331" builtinId="9" hidden="1"/>
    <cellStyle name="Followed Hyperlink" xfId="31332" builtinId="9" hidden="1"/>
    <cellStyle name="Followed Hyperlink" xfId="31333" builtinId="9" hidden="1"/>
    <cellStyle name="Followed Hyperlink" xfId="31334" builtinId="9" hidden="1"/>
    <cellStyle name="Followed Hyperlink" xfId="31335" builtinId="9" hidden="1"/>
    <cellStyle name="Followed Hyperlink" xfId="31336" builtinId="9" hidden="1"/>
    <cellStyle name="Followed Hyperlink" xfId="31337" builtinId="9" hidden="1"/>
    <cellStyle name="Followed Hyperlink" xfId="31338" builtinId="9" hidden="1"/>
    <cellStyle name="Followed Hyperlink" xfId="31339" builtinId="9" hidden="1"/>
    <cellStyle name="Followed Hyperlink" xfId="31340" builtinId="9" hidden="1"/>
    <cellStyle name="Followed Hyperlink" xfId="31137" builtinId="9" hidden="1"/>
    <cellStyle name="Followed Hyperlink" xfId="31301" builtinId="9" hidden="1"/>
    <cellStyle name="Followed Hyperlink" xfId="31342" builtinId="9" hidden="1"/>
    <cellStyle name="Followed Hyperlink" xfId="31343" builtinId="9" hidden="1"/>
    <cellStyle name="Followed Hyperlink" xfId="31344" builtinId="9" hidden="1"/>
    <cellStyle name="Followed Hyperlink" xfId="31345" builtinId="9" hidden="1"/>
    <cellStyle name="Followed Hyperlink" xfId="31346" builtinId="9" hidden="1"/>
    <cellStyle name="Followed Hyperlink" xfId="31347" builtinId="9" hidden="1"/>
    <cellStyle name="Followed Hyperlink" xfId="31348" builtinId="9" hidden="1"/>
    <cellStyle name="Followed Hyperlink" xfId="31349" builtinId="9" hidden="1"/>
    <cellStyle name="Followed Hyperlink" xfId="31350" builtinId="9" hidden="1"/>
    <cellStyle name="Followed Hyperlink" xfId="31351" builtinId="9" hidden="1"/>
    <cellStyle name="Followed Hyperlink" xfId="31352" builtinId="9" hidden="1"/>
    <cellStyle name="Followed Hyperlink" xfId="31353" builtinId="9" hidden="1"/>
    <cellStyle name="Followed Hyperlink" xfId="31354" builtinId="9" hidden="1"/>
    <cellStyle name="Followed Hyperlink" xfId="31355" builtinId="9" hidden="1"/>
    <cellStyle name="Followed Hyperlink" xfId="31356" builtinId="9" hidden="1"/>
    <cellStyle name="Followed Hyperlink" xfId="31357" builtinId="9" hidden="1"/>
    <cellStyle name="Followed Hyperlink" xfId="31358" builtinId="9" hidden="1"/>
    <cellStyle name="Followed Hyperlink" xfId="31359" builtinId="9" hidden="1"/>
    <cellStyle name="Followed Hyperlink" xfId="31360" builtinId="9" hidden="1"/>
    <cellStyle name="Followed Hyperlink" xfId="31361" builtinId="9" hidden="1"/>
    <cellStyle name="Followed Hyperlink" xfId="31362" builtinId="9" hidden="1"/>
    <cellStyle name="Followed Hyperlink" xfId="31363" builtinId="9" hidden="1"/>
    <cellStyle name="Followed Hyperlink" xfId="31364" builtinId="9" hidden="1"/>
    <cellStyle name="Followed Hyperlink" xfId="31365" builtinId="9" hidden="1"/>
    <cellStyle name="Followed Hyperlink" xfId="31366" builtinId="9" hidden="1"/>
    <cellStyle name="Followed Hyperlink" xfId="31367" builtinId="9" hidden="1"/>
    <cellStyle name="Followed Hyperlink" xfId="31368" builtinId="9" hidden="1"/>
    <cellStyle name="Followed Hyperlink" xfId="31369" builtinId="9" hidden="1"/>
    <cellStyle name="Followed Hyperlink" xfId="31370" builtinId="9" hidden="1"/>
    <cellStyle name="Followed Hyperlink" xfId="31371" builtinId="9" hidden="1"/>
    <cellStyle name="Followed Hyperlink" xfId="31372" builtinId="9" hidden="1"/>
    <cellStyle name="Followed Hyperlink" xfId="31373" builtinId="9" hidden="1"/>
    <cellStyle name="Followed Hyperlink" xfId="31374" builtinId="9" hidden="1"/>
    <cellStyle name="Followed Hyperlink" xfId="31375" builtinId="9" hidden="1"/>
    <cellStyle name="Followed Hyperlink" xfId="31376" builtinId="9" hidden="1"/>
    <cellStyle name="Followed Hyperlink" xfId="31377" builtinId="9" hidden="1"/>
    <cellStyle name="Followed Hyperlink" xfId="31378" builtinId="9" hidden="1"/>
    <cellStyle name="Followed Hyperlink" xfId="31379" builtinId="9" hidden="1"/>
    <cellStyle name="Followed Hyperlink" xfId="31380" builtinId="9" hidden="1"/>
    <cellStyle name="Followed Hyperlink" xfId="31131" builtinId="9" hidden="1"/>
    <cellStyle name="Followed Hyperlink" xfId="31341" builtinId="9" hidden="1"/>
    <cellStyle name="Followed Hyperlink" xfId="31382" builtinId="9" hidden="1"/>
    <cellStyle name="Followed Hyperlink" xfId="31383" builtinId="9" hidden="1"/>
    <cellStyle name="Followed Hyperlink" xfId="31384" builtinId="9" hidden="1"/>
    <cellStyle name="Followed Hyperlink" xfId="31385" builtinId="9" hidden="1"/>
    <cellStyle name="Followed Hyperlink" xfId="31386" builtinId="9" hidden="1"/>
    <cellStyle name="Followed Hyperlink" xfId="31387" builtinId="9" hidden="1"/>
    <cellStyle name="Followed Hyperlink" xfId="31388" builtinId="9" hidden="1"/>
    <cellStyle name="Followed Hyperlink" xfId="31389" builtinId="9" hidden="1"/>
    <cellStyle name="Followed Hyperlink" xfId="31390" builtinId="9" hidden="1"/>
    <cellStyle name="Followed Hyperlink" xfId="31391" builtinId="9" hidden="1"/>
    <cellStyle name="Followed Hyperlink" xfId="31392" builtinId="9" hidden="1"/>
    <cellStyle name="Followed Hyperlink" xfId="31393" builtinId="9" hidden="1"/>
    <cellStyle name="Followed Hyperlink" xfId="31394" builtinId="9" hidden="1"/>
    <cellStyle name="Followed Hyperlink" xfId="31395" builtinId="9" hidden="1"/>
    <cellStyle name="Followed Hyperlink" xfId="31396" builtinId="9" hidden="1"/>
    <cellStyle name="Followed Hyperlink" xfId="31397" builtinId="9" hidden="1"/>
    <cellStyle name="Followed Hyperlink" xfId="31398" builtinId="9" hidden="1"/>
    <cellStyle name="Followed Hyperlink" xfId="31399" builtinId="9" hidden="1"/>
    <cellStyle name="Followed Hyperlink" xfId="31400" builtinId="9" hidden="1"/>
    <cellStyle name="Followed Hyperlink" xfId="31401" builtinId="9" hidden="1"/>
    <cellStyle name="Followed Hyperlink" xfId="31402" builtinId="9" hidden="1"/>
    <cellStyle name="Followed Hyperlink" xfId="31403" builtinId="9" hidden="1"/>
    <cellStyle name="Followed Hyperlink" xfId="31404" builtinId="9" hidden="1"/>
    <cellStyle name="Followed Hyperlink" xfId="31405" builtinId="9" hidden="1"/>
    <cellStyle name="Followed Hyperlink" xfId="31406" builtinId="9" hidden="1"/>
    <cellStyle name="Followed Hyperlink" xfId="31407" builtinId="9" hidden="1"/>
    <cellStyle name="Followed Hyperlink" xfId="31408" builtinId="9" hidden="1"/>
    <cellStyle name="Followed Hyperlink" xfId="31409" builtinId="9" hidden="1"/>
    <cellStyle name="Followed Hyperlink" xfId="31410" builtinId="9" hidden="1"/>
    <cellStyle name="Followed Hyperlink" xfId="31411" builtinId="9" hidden="1"/>
    <cellStyle name="Followed Hyperlink" xfId="31412" builtinId="9" hidden="1"/>
    <cellStyle name="Followed Hyperlink" xfId="31413" builtinId="9" hidden="1"/>
    <cellStyle name="Followed Hyperlink" xfId="31414" builtinId="9" hidden="1"/>
    <cellStyle name="Followed Hyperlink" xfId="31415" builtinId="9" hidden="1"/>
    <cellStyle name="Followed Hyperlink" xfId="31416" builtinId="9" hidden="1"/>
    <cellStyle name="Followed Hyperlink" xfId="31417" builtinId="9" hidden="1"/>
    <cellStyle name="Followed Hyperlink" xfId="31418" builtinId="9" hidden="1"/>
    <cellStyle name="Followed Hyperlink" xfId="31419" builtinId="9" hidden="1"/>
    <cellStyle name="Followed Hyperlink" xfId="31420" builtinId="9" hidden="1"/>
    <cellStyle name="Followed Hyperlink" xfId="31133" builtinId="9" hidden="1"/>
    <cellStyle name="Followed Hyperlink" xfId="31381" builtinId="9" hidden="1"/>
    <cellStyle name="Followed Hyperlink" xfId="31422" builtinId="9" hidden="1"/>
    <cellStyle name="Followed Hyperlink" xfId="31423" builtinId="9" hidden="1"/>
    <cellStyle name="Followed Hyperlink" xfId="31424" builtinId="9" hidden="1"/>
    <cellStyle name="Followed Hyperlink" xfId="31425" builtinId="9" hidden="1"/>
    <cellStyle name="Followed Hyperlink" xfId="31426" builtinId="9" hidden="1"/>
    <cellStyle name="Followed Hyperlink" xfId="31427" builtinId="9" hidden="1"/>
    <cellStyle name="Followed Hyperlink" xfId="31428" builtinId="9" hidden="1"/>
    <cellStyle name="Followed Hyperlink" xfId="31429" builtinId="9" hidden="1"/>
    <cellStyle name="Followed Hyperlink" xfId="31430" builtinId="9" hidden="1"/>
    <cellStyle name="Followed Hyperlink" xfId="31431" builtinId="9" hidden="1"/>
    <cellStyle name="Followed Hyperlink" xfId="31432" builtinId="9" hidden="1"/>
    <cellStyle name="Followed Hyperlink" xfId="31433" builtinId="9" hidden="1"/>
    <cellStyle name="Followed Hyperlink" xfId="31434" builtinId="9" hidden="1"/>
    <cellStyle name="Followed Hyperlink" xfId="31435" builtinId="9" hidden="1"/>
    <cellStyle name="Followed Hyperlink" xfId="31436" builtinId="9" hidden="1"/>
    <cellStyle name="Followed Hyperlink" xfId="31437" builtinId="9" hidden="1"/>
    <cellStyle name="Followed Hyperlink" xfId="31438" builtinId="9" hidden="1"/>
    <cellStyle name="Followed Hyperlink" xfId="31439" builtinId="9" hidden="1"/>
    <cellStyle name="Followed Hyperlink" xfId="31440" builtinId="9" hidden="1"/>
    <cellStyle name="Followed Hyperlink" xfId="31441" builtinId="9" hidden="1"/>
    <cellStyle name="Followed Hyperlink" xfId="31442" builtinId="9" hidden="1"/>
    <cellStyle name="Followed Hyperlink" xfId="31443" builtinId="9" hidden="1"/>
    <cellStyle name="Followed Hyperlink" xfId="31444" builtinId="9" hidden="1"/>
    <cellStyle name="Followed Hyperlink" xfId="31445" builtinId="9" hidden="1"/>
    <cellStyle name="Followed Hyperlink" xfId="31446" builtinId="9" hidden="1"/>
    <cellStyle name="Followed Hyperlink" xfId="31447" builtinId="9" hidden="1"/>
    <cellStyle name="Followed Hyperlink" xfId="31448" builtinId="9" hidden="1"/>
    <cellStyle name="Followed Hyperlink" xfId="31449" builtinId="9" hidden="1"/>
    <cellStyle name="Followed Hyperlink" xfId="31450" builtinId="9" hidden="1"/>
    <cellStyle name="Followed Hyperlink" xfId="31451" builtinId="9" hidden="1"/>
    <cellStyle name="Followed Hyperlink" xfId="31452" builtinId="9" hidden="1"/>
    <cellStyle name="Followed Hyperlink" xfId="31453" builtinId="9" hidden="1"/>
    <cellStyle name="Followed Hyperlink" xfId="31454" builtinId="9" hidden="1"/>
    <cellStyle name="Followed Hyperlink" xfId="31455" builtinId="9" hidden="1"/>
    <cellStyle name="Followed Hyperlink" xfId="31456" builtinId="9" hidden="1"/>
    <cellStyle name="Followed Hyperlink" xfId="31457" builtinId="9" hidden="1"/>
    <cellStyle name="Followed Hyperlink" xfId="31458" builtinId="9" hidden="1"/>
    <cellStyle name="Followed Hyperlink" xfId="31459" builtinId="9" hidden="1"/>
    <cellStyle name="Followed Hyperlink" xfId="31460" builtinId="9" hidden="1"/>
    <cellStyle name="Followed Hyperlink" xfId="31134" builtinId="9" hidden="1"/>
    <cellStyle name="Followed Hyperlink" xfId="31421" builtinId="9" hidden="1"/>
    <cellStyle name="Followed Hyperlink" xfId="31462" builtinId="9" hidden="1"/>
    <cellStyle name="Followed Hyperlink" xfId="31463" builtinId="9" hidden="1"/>
    <cellStyle name="Followed Hyperlink" xfId="31464" builtinId="9" hidden="1"/>
    <cellStyle name="Followed Hyperlink" xfId="31465" builtinId="9" hidden="1"/>
    <cellStyle name="Followed Hyperlink" xfId="31466" builtinId="9" hidden="1"/>
    <cellStyle name="Followed Hyperlink" xfId="31467" builtinId="9" hidden="1"/>
    <cellStyle name="Followed Hyperlink" xfId="31468" builtinId="9" hidden="1"/>
    <cellStyle name="Followed Hyperlink" xfId="31469" builtinId="9" hidden="1"/>
    <cellStyle name="Followed Hyperlink" xfId="31470" builtinId="9" hidden="1"/>
    <cellStyle name="Followed Hyperlink" xfId="31471" builtinId="9" hidden="1"/>
    <cellStyle name="Followed Hyperlink" xfId="31472" builtinId="9" hidden="1"/>
    <cellStyle name="Followed Hyperlink" xfId="31473" builtinId="9" hidden="1"/>
    <cellStyle name="Followed Hyperlink" xfId="31474" builtinId="9" hidden="1"/>
    <cellStyle name="Followed Hyperlink" xfId="31475" builtinId="9" hidden="1"/>
    <cellStyle name="Followed Hyperlink" xfId="31476" builtinId="9" hidden="1"/>
    <cellStyle name="Followed Hyperlink" xfId="31477" builtinId="9" hidden="1"/>
    <cellStyle name="Followed Hyperlink" xfId="31478" builtinId="9" hidden="1"/>
    <cellStyle name="Followed Hyperlink" xfId="31479" builtinId="9" hidden="1"/>
    <cellStyle name="Followed Hyperlink" xfId="31480" builtinId="9" hidden="1"/>
    <cellStyle name="Followed Hyperlink" xfId="31481" builtinId="9" hidden="1"/>
    <cellStyle name="Followed Hyperlink" xfId="31482" builtinId="9" hidden="1"/>
    <cellStyle name="Followed Hyperlink" xfId="31483" builtinId="9" hidden="1"/>
    <cellStyle name="Followed Hyperlink" xfId="31484" builtinId="9" hidden="1"/>
    <cellStyle name="Followed Hyperlink" xfId="31485" builtinId="9" hidden="1"/>
    <cellStyle name="Followed Hyperlink" xfId="31486" builtinId="9" hidden="1"/>
    <cellStyle name="Followed Hyperlink" xfId="31487" builtinId="9" hidden="1"/>
    <cellStyle name="Followed Hyperlink" xfId="31488" builtinId="9" hidden="1"/>
    <cellStyle name="Followed Hyperlink" xfId="31489" builtinId="9" hidden="1"/>
    <cellStyle name="Followed Hyperlink" xfId="31490" builtinId="9" hidden="1"/>
    <cellStyle name="Followed Hyperlink" xfId="31491" builtinId="9" hidden="1"/>
    <cellStyle name="Followed Hyperlink" xfId="31492" builtinId="9" hidden="1"/>
    <cellStyle name="Followed Hyperlink" xfId="31493" builtinId="9" hidden="1"/>
    <cellStyle name="Followed Hyperlink" xfId="31494" builtinId="9" hidden="1"/>
    <cellStyle name="Followed Hyperlink" xfId="31495" builtinId="9" hidden="1"/>
    <cellStyle name="Followed Hyperlink" xfId="31496" builtinId="9" hidden="1"/>
    <cellStyle name="Followed Hyperlink" xfId="31497" builtinId="9" hidden="1"/>
    <cellStyle name="Followed Hyperlink" xfId="31498" builtinId="9" hidden="1"/>
    <cellStyle name="Followed Hyperlink" xfId="31499" builtinId="9" hidden="1"/>
    <cellStyle name="Followed Hyperlink" xfId="31500" builtinId="9" hidden="1"/>
    <cellStyle name="Followed Hyperlink" xfId="31136" builtinId="9" hidden="1"/>
    <cellStyle name="Followed Hyperlink" xfId="31461" builtinId="9" hidden="1"/>
    <cellStyle name="Followed Hyperlink" xfId="31502" builtinId="9" hidden="1"/>
    <cellStyle name="Followed Hyperlink" xfId="31503" builtinId="9" hidden="1"/>
    <cellStyle name="Followed Hyperlink" xfId="31504" builtinId="9" hidden="1"/>
    <cellStyle name="Followed Hyperlink" xfId="31505" builtinId="9" hidden="1"/>
    <cellStyle name="Followed Hyperlink" xfId="31506" builtinId="9" hidden="1"/>
    <cellStyle name="Followed Hyperlink" xfId="31507" builtinId="9" hidden="1"/>
    <cellStyle name="Followed Hyperlink" xfId="31508" builtinId="9" hidden="1"/>
    <cellStyle name="Followed Hyperlink" xfId="31509" builtinId="9" hidden="1"/>
    <cellStyle name="Followed Hyperlink" xfId="31510" builtinId="9" hidden="1"/>
    <cellStyle name="Followed Hyperlink" xfId="31511" builtinId="9" hidden="1"/>
    <cellStyle name="Followed Hyperlink" xfId="31512" builtinId="9" hidden="1"/>
    <cellStyle name="Followed Hyperlink" xfId="31513" builtinId="9" hidden="1"/>
    <cellStyle name="Followed Hyperlink" xfId="31514" builtinId="9" hidden="1"/>
    <cellStyle name="Followed Hyperlink" xfId="31515" builtinId="9" hidden="1"/>
    <cellStyle name="Followed Hyperlink" xfId="31516" builtinId="9" hidden="1"/>
    <cellStyle name="Followed Hyperlink" xfId="31517" builtinId="9" hidden="1"/>
    <cellStyle name="Followed Hyperlink" xfId="31518" builtinId="9" hidden="1"/>
    <cellStyle name="Followed Hyperlink" xfId="31519" builtinId="9" hidden="1"/>
    <cellStyle name="Followed Hyperlink" xfId="31520" builtinId="9" hidden="1"/>
    <cellStyle name="Followed Hyperlink" xfId="31521" builtinId="9" hidden="1"/>
    <cellStyle name="Followed Hyperlink" xfId="31522" builtinId="9" hidden="1"/>
    <cellStyle name="Followed Hyperlink" xfId="31523" builtinId="9" hidden="1"/>
    <cellStyle name="Followed Hyperlink" xfId="31524" builtinId="9" hidden="1"/>
    <cellStyle name="Followed Hyperlink" xfId="31525" builtinId="9" hidden="1"/>
    <cellStyle name="Followed Hyperlink" xfId="31526" builtinId="9" hidden="1"/>
    <cellStyle name="Followed Hyperlink" xfId="31527" builtinId="9" hidden="1"/>
    <cellStyle name="Followed Hyperlink" xfId="31528" builtinId="9" hidden="1"/>
    <cellStyle name="Followed Hyperlink" xfId="31529" builtinId="9" hidden="1"/>
    <cellStyle name="Followed Hyperlink" xfId="31530" builtinId="9" hidden="1"/>
    <cellStyle name="Followed Hyperlink" xfId="31531" builtinId="9" hidden="1"/>
    <cellStyle name="Followed Hyperlink" xfId="31532" builtinId="9" hidden="1"/>
    <cellStyle name="Followed Hyperlink" xfId="31533" builtinId="9" hidden="1"/>
    <cellStyle name="Followed Hyperlink" xfId="31534" builtinId="9" hidden="1"/>
    <cellStyle name="Followed Hyperlink" xfId="31535" builtinId="9" hidden="1"/>
    <cellStyle name="Followed Hyperlink" xfId="31536" builtinId="9" hidden="1"/>
    <cellStyle name="Followed Hyperlink" xfId="31537" builtinId="9" hidden="1"/>
    <cellStyle name="Followed Hyperlink" xfId="31538" builtinId="9" hidden="1"/>
    <cellStyle name="Followed Hyperlink" xfId="31539" builtinId="9" hidden="1"/>
    <cellStyle name="Followed Hyperlink" xfId="31540" builtinId="9" hidden="1"/>
    <cellStyle name="Followed Hyperlink" xfId="31132" builtinId="9" hidden="1"/>
    <cellStyle name="Followed Hyperlink" xfId="31501" builtinId="9" hidden="1"/>
    <cellStyle name="Followed Hyperlink" xfId="31541" builtinId="9" hidden="1"/>
    <cellStyle name="Followed Hyperlink" xfId="31542" builtinId="9" hidden="1"/>
    <cellStyle name="Followed Hyperlink" xfId="31543" builtinId="9" hidden="1"/>
    <cellStyle name="Followed Hyperlink" xfId="31544" builtinId="9" hidden="1"/>
    <cellStyle name="Followed Hyperlink" xfId="31545" builtinId="9" hidden="1"/>
    <cellStyle name="Followed Hyperlink" xfId="31546" builtinId="9" hidden="1"/>
    <cellStyle name="Followed Hyperlink" xfId="31547" builtinId="9" hidden="1"/>
    <cellStyle name="Followed Hyperlink" xfId="31548" builtinId="9" hidden="1"/>
    <cellStyle name="Followed Hyperlink" xfId="31549" builtinId="9" hidden="1"/>
    <cellStyle name="Followed Hyperlink" xfId="31550" builtinId="9" hidden="1"/>
    <cellStyle name="Followed Hyperlink" xfId="31551" builtinId="9" hidden="1"/>
    <cellStyle name="Followed Hyperlink" xfId="31552" builtinId="9" hidden="1"/>
    <cellStyle name="Followed Hyperlink" xfId="31553" builtinId="9" hidden="1"/>
    <cellStyle name="Followed Hyperlink" xfId="31554" builtinId="9" hidden="1"/>
    <cellStyle name="Followed Hyperlink" xfId="31555" builtinId="9" hidden="1"/>
    <cellStyle name="Followed Hyperlink" xfId="31556" builtinId="9" hidden="1"/>
    <cellStyle name="Followed Hyperlink" xfId="31557" builtinId="9" hidden="1"/>
    <cellStyle name="Followed Hyperlink" xfId="31558" builtinId="9" hidden="1"/>
    <cellStyle name="Followed Hyperlink" xfId="31559" builtinId="9" hidden="1"/>
    <cellStyle name="Followed Hyperlink" xfId="31560" builtinId="9" hidden="1"/>
    <cellStyle name="Followed Hyperlink" xfId="31561" builtinId="9" hidden="1"/>
    <cellStyle name="Followed Hyperlink" xfId="31562" builtinId="9" hidden="1"/>
    <cellStyle name="Followed Hyperlink" xfId="31563" builtinId="9" hidden="1"/>
    <cellStyle name="Followed Hyperlink" xfId="31564" builtinId="9" hidden="1"/>
    <cellStyle name="Followed Hyperlink" xfId="31565" builtinId="9" hidden="1"/>
    <cellStyle name="Followed Hyperlink" xfId="31566" builtinId="9" hidden="1"/>
    <cellStyle name="Followed Hyperlink" xfId="31567" builtinId="9" hidden="1"/>
    <cellStyle name="Followed Hyperlink" xfId="31568" builtinId="9" hidden="1"/>
    <cellStyle name="Followed Hyperlink" xfId="31569" builtinId="9" hidden="1"/>
    <cellStyle name="Followed Hyperlink" xfId="31570" builtinId="9" hidden="1"/>
    <cellStyle name="Followed Hyperlink" xfId="31571" builtinId="9" hidden="1"/>
    <cellStyle name="Followed Hyperlink" xfId="31572" builtinId="9" hidden="1"/>
    <cellStyle name="Followed Hyperlink" xfId="31573" builtinId="9" hidden="1"/>
    <cellStyle name="Followed Hyperlink" xfId="31574" builtinId="9" hidden="1"/>
    <cellStyle name="Followed Hyperlink" xfId="31575" builtinId="9" hidden="1"/>
    <cellStyle name="Followed Hyperlink" xfId="31576" builtinId="9" hidden="1"/>
    <cellStyle name="Followed Hyperlink" xfId="31577" builtinId="9" hidden="1"/>
    <cellStyle name="Followed Hyperlink" xfId="31578" builtinId="9" hidden="1"/>
    <cellStyle name="Followed Hyperlink" xfId="31579" builtinId="9" hidden="1"/>
    <cellStyle name="Followed Hyperlink" xfId="18489" builtinId="9" hidden="1"/>
    <cellStyle name="Followed Hyperlink" xfId="19238" builtinId="9" hidden="1"/>
    <cellStyle name="Followed Hyperlink" xfId="31580" builtinId="9" hidden="1"/>
    <cellStyle name="Followed Hyperlink" xfId="31581" builtinId="9" hidden="1"/>
    <cellStyle name="Followed Hyperlink" xfId="31582" builtinId="9" hidden="1"/>
    <cellStyle name="Followed Hyperlink" xfId="31583" builtinId="9" hidden="1"/>
    <cellStyle name="Followed Hyperlink" xfId="31584" builtinId="9" hidden="1"/>
    <cellStyle name="Followed Hyperlink" xfId="31585" builtinId="9" hidden="1"/>
    <cellStyle name="Followed Hyperlink" xfId="31586" builtinId="9" hidden="1"/>
    <cellStyle name="Followed Hyperlink" xfId="31587" builtinId="9" hidden="1"/>
    <cellStyle name="Followed Hyperlink" xfId="31588" builtinId="9" hidden="1"/>
    <cellStyle name="Followed Hyperlink" xfId="31589" builtinId="9" hidden="1"/>
    <cellStyle name="Followed Hyperlink" xfId="31590" builtinId="9" hidden="1"/>
    <cellStyle name="Followed Hyperlink" xfId="31591" builtinId="9" hidden="1"/>
    <cellStyle name="Followed Hyperlink" xfId="31592" builtinId="9" hidden="1"/>
    <cellStyle name="Followed Hyperlink" xfId="31593" builtinId="9" hidden="1"/>
    <cellStyle name="Followed Hyperlink" xfId="31594" builtinId="9" hidden="1"/>
    <cellStyle name="Followed Hyperlink" xfId="31595" builtinId="9" hidden="1"/>
    <cellStyle name="Followed Hyperlink" xfId="31596" builtinId="9" hidden="1"/>
    <cellStyle name="Followed Hyperlink" xfId="31597" builtinId="9" hidden="1"/>
    <cellStyle name="Followed Hyperlink" xfId="31598" builtinId="9" hidden="1"/>
    <cellStyle name="Followed Hyperlink" xfId="31599" builtinId="9" hidden="1"/>
    <cellStyle name="Followed Hyperlink" xfId="31600" builtinId="9" hidden="1"/>
    <cellStyle name="Followed Hyperlink" xfId="31601" builtinId="9" hidden="1"/>
    <cellStyle name="Followed Hyperlink" xfId="31602" builtinId="9" hidden="1"/>
    <cellStyle name="Followed Hyperlink" xfId="31603" builtinId="9" hidden="1"/>
    <cellStyle name="Followed Hyperlink" xfId="31604" builtinId="9" hidden="1"/>
    <cellStyle name="Followed Hyperlink" xfId="31605" builtinId="9" hidden="1"/>
    <cellStyle name="Followed Hyperlink" xfId="31606" builtinId="9" hidden="1"/>
    <cellStyle name="Followed Hyperlink" xfId="31607" builtinId="9" hidden="1"/>
    <cellStyle name="Followed Hyperlink" xfId="31608" builtinId="9" hidden="1"/>
    <cellStyle name="Followed Hyperlink" xfId="31609" builtinId="9" hidden="1"/>
    <cellStyle name="Followed Hyperlink" xfId="31610" builtinId="9" hidden="1"/>
    <cellStyle name="Followed Hyperlink" xfId="31611" builtinId="9" hidden="1"/>
    <cellStyle name="Followed Hyperlink" xfId="31612" builtinId="9" hidden="1"/>
    <cellStyle name="Followed Hyperlink" xfId="31613" builtinId="9" hidden="1"/>
    <cellStyle name="Followed Hyperlink" xfId="31614" builtinId="9" hidden="1"/>
    <cellStyle name="Followed Hyperlink" xfId="31615" builtinId="9" hidden="1"/>
    <cellStyle name="Followed Hyperlink" xfId="31616" builtinId="9" hidden="1"/>
    <cellStyle name="Followed Hyperlink" xfId="31617" builtinId="9" hidden="1"/>
    <cellStyle name="Followed Hyperlink" xfId="31618" builtinId="9" hidden="1"/>
    <cellStyle name="Followed Hyperlink" xfId="31627" builtinId="9" hidden="1"/>
    <cellStyle name="Followed Hyperlink" xfId="31628" builtinId="9" hidden="1"/>
    <cellStyle name="Followed Hyperlink" xfId="31629" builtinId="9" hidden="1"/>
    <cellStyle name="Followed Hyperlink" xfId="31630" builtinId="9" hidden="1"/>
    <cellStyle name="Followed Hyperlink" xfId="31631" builtinId="9" hidden="1"/>
    <cellStyle name="Followed Hyperlink" xfId="31632" builtinId="9" hidden="1"/>
    <cellStyle name="Followed Hyperlink" xfId="31633" builtinId="9" hidden="1"/>
    <cellStyle name="Followed Hyperlink" xfId="31634" builtinId="9" hidden="1"/>
    <cellStyle name="Followed Hyperlink" xfId="31635" builtinId="9" hidden="1"/>
    <cellStyle name="Followed Hyperlink" xfId="31636" builtinId="9" hidden="1"/>
    <cellStyle name="Followed Hyperlink" xfId="31637" builtinId="9" hidden="1"/>
    <cellStyle name="Followed Hyperlink" xfId="31638" builtinId="9" hidden="1"/>
    <cellStyle name="Followed Hyperlink" xfId="31639" builtinId="9" hidden="1"/>
    <cellStyle name="Followed Hyperlink" xfId="31640" builtinId="9" hidden="1"/>
    <cellStyle name="Followed Hyperlink" xfId="31641" builtinId="9" hidden="1"/>
    <cellStyle name="Followed Hyperlink" xfId="31642" builtinId="9" hidden="1"/>
    <cellStyle name="Followed Hyperlink" xfId="31643" builtinId="9" hidden="1"/>
    <cellStyle name="Followed Hyperlink" xfId="31644" builtinId="9" hidden="1"/>
    <cellStyle name="Followed Hyperlink" xfId="31645" builtinId="9" hidden="1"/>
    <cellStyle name="Followed Hyperlink" xfId="31646" builtinId="9" hidden="1"/>
    <cellStyle name="Followed Hyperlink" xfId="31647" builtinId="9" hidden="1"/>
    <cellStyle name="Followed Hyperlink" xfId="31648" builtinId="9" hidden="1"/>
    <cellStyle name="Followed Hyperlink" xfId="31649" builtinId="9" hidden="1"/>
    <cellStyle name="Followed Hyperlink" xfId="31650" builtinId="9" hidden="1"/>
    <cellStyle name="Followed Hyperlink" xfId="31651" builtinId="9" hidden="1"/>
    <cellStyle name="Followed Hyperlink" xfId="31652" builtinId="9" hidden="1"/>
    <cellStyle name="Followed Hyperlink" xfId="31653" builtinId="9" hidden="1"/>
    <cellStyle name="Followed Hyperlink" xfId="31654" builtinId="9" hidden="1"/>
    <cellStyle name="Followed Hyperlink" xfId="31655" builtinId="9" hidden="1"/>
    <cellStyle name="Followed Hyperlink" xfId="31656" builtinId="9" hidden="1"/>
    <cellStyle name="Followed Hyperlink" xfId="31657" builtinId="9" hidden="1"/>
    <cellStyle name="Followed Hyperlink" xfId="31658" builtinId="9" hidden="1"/>
    <cellStyle name="Followed Hyperlink" xfId="31659" builtinId="9" hidden="1"/>
    <cellStyle name="Followed Hyperlink" xfId="31660" builtinId="9" hidden="1"/>
    <cellStyle name="Followed Hyperlink" xfId="31661" builtinId="9" hidden="1"/>
    <cellStyle name="Followed Hyperlink" xfId="31662" builtinId="9" hidden="1"/>
    <cellStyle name="Followed Hyperlink" xfId="31663" builtinId="9" hidden="1"/>
    <cellStyle name="Followed Hyperlink" xfId="31664" builtinId="9" hidden="1"/>
    <cellStyle name="Followed Hyperlink" xfId="31665" builtinId="9" hidden="1"/>
    <cellStyle name="Followed Hyperlink" xfId="31666" builtinId="9" hidden="1"/>
    <cellStyle name="Followed Hyperlink" xfId="31667" builtinId="9" hidden="1"/>
    <cellStyle name="Followed Hyperlink" xfId="31668" builtinId="9" hidden="1"/>
    <cellStyle name="Followed Hyperlink" xfId="31669" builtinId="9" hidden="1"/>
    <cellStyle name="Followed Hyperlink" xfId="31670" builtinId="9" hidden="1"/>
    <cellStyle name="Followed Hyperlink" xfId="31671" builtinId="9" hidden="1"/>
    <cellStyle name="Followed Hyperlink" xfId="31672" builtinId="9" hidden="1"/>
    <cellStyle name="Followed Hyperlink" xfId="31673" builtinId="9" hidden="1"/>
    <cellStyle name="Followed Hyperlink" xfId="31674" builtinId="9" hidden="1"/>
    <cellStyle name="Followed Hyperlink" xfId="31675" builtinId="9" hidden="1"/>
    <cellStyle name="Followed Hyperlink" xfId="31676" builtinId="9" hidden="1"/>
    <cellStyle name="Followed Hyperlink" xfId="31677" builtinId="9" hidden="1"/>
    <cellStyle name="Followed Hyperlink" xfId="31678" builtinId="9" hidden="1"/>
    <cellStyle name="Followed Hyperlink" xfId="31679" builtinId="9" hidden="1"/>
    <cellStyle name="Followed Hyperlink" xfId="31680" builtinId="9" hidden="1"/>
    <cellStyle name="Followed Hyperlink" xfId="31681" builtinId="9" hidden="1"/>
    <cellStyle name="Followed Hyperlink" xfId="31682" builtinId="9" hidden="1"/>
    <cellStyle name="Followed Hyperlink" xfId="31683" builtinId="9" hidden="1"/>
    <cellStyle name="Followed Hyperlink" xfId="31684" builtinId="9" hidden="1"/>
    <cellStyle name="Followed Hyperlink" xfId="31685" builtinId="9" hidden="1"/>
    <cellStyle name="Followed Hyperlink" xfId="31686" builtinId="9" hidden="1"/>
    <cellStyle name="Followed Hyperlink" xfId="31687" builtinId="9" hidden="1"/>
    <cellStyle name="Followed Hyperlink" xfId="31688" builtinId="9" hidden="1"/>
    <cellStyle name="Followed Hyperlink" xfId="31689" builtinId="9" hidden="1"/>
    <cellStyle name="Followed Hyperlink" xfId="31690" builtinId="9" hidden="1"/>
    <cellStyle name="Followed Hyperlink" xfId="31691" builtinId="9" hidden="1"/>
    <cellStyle name="Followed Hyperlink" xfId="31692" builtinId="9" hidden="1"/>
    <cellStyle name="Followed Hyperlink" xfId="31693" builtinId="9" hidden="1"/>
    <cellStyle name="Followed Hyperlink" xfId="31694" builtinId="9" hidden="1"/>
    <cellStyle name="Followed Hyperlink" xfId="31695" builtinId="9" hidden="1"/>
    <cellStyle name="Followed Hyperlink" xfId="31696" builtinId="9" hidden="1"/>
    <cellStyle name="Followed Hyperlink" xfId="31697" builtinId="9" hidden="1"/>
    <cellStyle name="Followed Hyperlink" xfId="31698" builtinId="9" hidden="1"/>
    <cellStyle name="Followed Hyperlink" xfId="31699" builtinId="9" hidden="1"/>
    <cellStyle name="Followed Hyperlink" xfId="31700" builtinId="9" hidden="1"/>
    <cellStyle name="Followed Hyperlink" xfId="31701" builtinId="9" hidden="1"/>
    <cellStyle name="Followed Hyperlink" xfId="31702" builtinId="9" hidden="1"/>
    <cellStyle name="Followed Hyperlink" xfId="31703" builtinId="9" hidden="1"/>
    <cellStyle name="Followed Hyperlink" xfId="31704" builtinId="9" hidden="1"/>
    <cellStyle name="Followed Hyperlink" xfId="31705" builtinId="9" hidden="1"/>
    <cellStyle name="Followed Hyperlink" xfId="31706" builtinId="9" hidden="1"/>
    <cellStyle name="Followed Hyperlink" xfId="31707" builtinId="9" hidden="1"/>
    <cellStyle name="Followed Hyperlink" xfId="31708" builtinId="9" hidden="1"/>
    <cellStyle name="Followed Hyperlink" xfId="31709" builtinId="9" hidden="1"/>
    <cellStyle name="Followed Hyperlink" xfId="31710" builtinId="9" hidden="1"/>
    <cellStyle name="Followed Hyperlink" xfId="31711" builtinId="9" hidden="1"/>
    <cellStyle name="Followed Hyperlink" xfId="31712" builtinId="9" hidden="1"/>
    <cellStyle name="Followed Hyperlink" xfId="31713" builtinId="9" hidden="1"/>
    <cellStyle name="Followed Hyperlink" xfId="31714" builtinId="9" hidden="1"/>
    <cellStyle name="Followed Hyperlink" xfId="31715" builtinId="9" hidden="1"/>
    <cellStyle name="Followed Hyperlink" xfId="31716" builtinId="9" hidden="1"/>
    <cellStyle name="Followed Hyperlink" xfId="31717" builtinId="9" hidden="1"/>
    <cellStyle name="Followed Hyperlink" xfId="31718" builtinId="9" hidden="1"/>
    <cellStyle name="Followed Hyperlink" xfId="31719" builtinId="9" hidden="1"/>
    <cellStyle name="Followed Hyperlink" xfId="31720" builtinId="9" hidden="1"/>
    <cellStyle name="Followed Hyperlink" xfId="31721" builtinId="9" hidden="1"/>
    <cellStyle name="Followed Hyperlink" xfId="31722" builtinId="9" hidden="1"/>
    <cellStyle name="Followed Hyperlink" xfId="31723" builtinId="9" hidden="1"/>
    <cellStyle name="Followed Hyperlink" xfId="31724" builtinId="9" hidden="1"/>
    <cellStyle name="Followed Hyperlink" xfId="31725" builtinId="9" hidden="1"/>
    <cellStyle name="Followed Hyperlink" xfId="31726" builtinId="9" hidden="1"/>
    <cellStyle name="Followed Hyperlink" xfId="31727" builtinId="9" hidden="1"/>
    <cellStyle name="Followed Hyperlink" xfId="31728" builtinId="9" hidden="1"/>
    <cellStyle name="Followed Hyperlink" xfId="31729" builtinId="9" hidden="1"/>
    <cellStyle name="Followed Hyperlink" xfId="31730" builtinId="9" hidden="1"/>
    <cellStyle name="Followed Hyperlink" xfId="31731" builtinId="9" hidden="1"/>
    <cellStyle name="Followed Hyperlink" xfId="31732" builtinId="9" hidden="1"/>
    <cellStyle name="Followed Hyperlink" xfId="31733" builtinId="9" hidden="1"/>
    <cellStyle name="Followed Hyperlink" xfId="31734" builtinId="9" hidden="1"/>
    <cellStyle name="Followed Hyperlink" xfId="31735" builtinId="9" hidden="1"/>
    <cellStyle name="Followed Hyperlink" xfId="31736" builtinId="9" hidden="1"/>
    <cellStyle name="Followed Hyperlink" xfId="31737" builtinId="9" hidden="1"/>
    <cellStyle name="Followed Hyperlink" xfId="31738" builtinId="9" hidden="1"/>
    <cellStyle name="Followed Hyperlink" xfId="31739" builtinId="9" hidden="1"/>
    <cellStyle name="Followed Hyperlink" xfId="31740" builtinId="9" hidden="1"/>
    <cellStyle name="Followed Hyperlink" xfId="31741" builtinId="9" hidden="1"/>
    <cellStyle name="Followed Hyperlink" xfId="31742" builtinId="9" hidden="1"/>
    <cellStyle name="Followed Hyperlink" xfId="31743" builtinId="9" hidden="1"/>
    <cellStyle name="Followed Hyperlink" xfId="31744" builtinId="9" hidden="1"/>
    <cellStyle name="Followed Hyperlink" xfId="31745" builtinId="9" hidden="1"/>
    <cellStyle name="Followed Hyperlink" xfId="31746" builtinId="9" hidden="1"/>
    <cellStyle name="Followed Hyperlink" xfId="31747" builtinId="9" hidden="1"/>
    <cellStyle name="Followed Hyperlink" xfId="31748" builtinId="9" hidden="1"/>
    <cellStyle name="Followed Hyperlink" xfId="31749" builtinId="9" hidden="1"/>
    <cellStyle name="Followed Hyperlink" xfId="31619" builtinId="9" hidden="1"/>
    <cellStyle name="Followed Hyperlink" xfId="19197" builtinId="9" hidden="1"/>
    <cellStyle name="Followed Hyperlink" xfId="31751" builtinId="9" hidden="1"/>
    <cellStyle name="Followed Hyperlink" xfId="31752" builtinId="9" hidden="1"/>
    <cellStyle name="Followed Hyperlink" xfId="31753" builtinId="9" hidden="1"/>
    <cellStyle name="Followed Hyperlink" xfId="31754" builtinId="9" hidden="1"/>
    <cellStyle name="Followed Hyperlink" xfId="31755" builtinId="9" hidden="1"/>
    <cellStyle name="Followed Hyperlink" xfId="31756" builtinId="9" hidden="1"/>
    <cellStyle name="Followed Hyperlink" xfId="31757" builtinId="9" hidden="1"/>
    <cellStyle name="Followed Hyperlink" xfId="31758" builtinId="9" hidden="1"/>
    <cellStyle name="Followed Hyperlink" xfId="31759" builtinId="9" hidden="1"/>
    <cellStyle name="Followed Hyperlink" xfId="31760" builtinId="9" hidden="1"/>
    <cellStyle name="Followed Hyperlink" xfId="31761" builtinId="9" hidden="1"/>
    <cellStyle name="Followed Hyperlink" xfId="31762" builtinId="9" hidden="1"/>
    <cellStyle name="Followed Hyperlink" xfId="31763" builtinId="9" hidden="1"/>
    <cellStyle name="Followed Hyperlink" xfId="31764" builtinId="9" hidden="1"/>
    <cellStyle name="Followed Hyperlink" xfId="31765" builtinId="9" hidden="1"/>
    <cellStyle name="Followed Hyperlink" xfId="31766" builtinId="9" hidden="1"/>
    <cellStyle name="Followed Hyperlink" xfId="31767" builtinId="9" hidden="1"/>
    <cellStyle name="Followed Hyperlink" xfId="31768" builtinId="9" hidden="1"/>
    <cellStyle name="Followed Hyperlink" xfId="31769" builtinId="9" hidden="1"/>
    <cellStyle name="Followed Hyperlink" xfId="31770" builtinId="9" hidden="1"/>
    <cellStyle name="Followed Hyperlink" xfId="31771" builtinId="9" hidden="1"/>
    <cellStyle name="Followed Hyperlink" xfId="31772" builtinId="9" hidden="1"/>
    <cellStyle name="Followed Hyperlink" xfId="31773" builtinId="9" hidden="1"/>
    <cellStyle name="Followed Hyperlink" xfId="31774" builtinId="9" hidden="1"/>
    <cellStyle name="Followed Hyperlink" xfId="31775" builtinId="9" hidden="1"/>
    <cellStyle name="Followed Hyperlink" xfId="31776" builtinId="9" hidden="1"/>
    <cellStyle name="Followed Hyperlink" xfId="31777" builtinId="9" hidden="1"/>
    <cellStyle name="Followed Hyperlink" xfId="31778" builtinId="9" hidden="1"/>
    <cellStyle name="Followed Hyperlink" xfId="31779" builtinId="9" hidden="1"/>
    <cellStyle name="Followed Hyperlink" xfId="31780" builtinId="9" hidden="1"/>
    <cellStyle name="Followed Hyperlink" xfId="31781" builtinId="9" hidden="1"/>
    <cellStyle name="Followed Hyperlink" xfId="31782" builtinId="9" hidden="1"/>
    <cellStyle name="Followed Hyperlink" xfId="31783" builtinId="9" hidden="1"/>
    <cellStyle name="Followed Hyperlink" xfId="31784" builtinId="9" hidden="1"/>
    <cellStyle name="Followed Hyperlink" xfId="31785" builtinId="9" hidden="1"/>
    <cellStyle name="Followed Hyperlink" xfId="31786" builtinId="9" hidden="1"/>
    <cellStyle name="Followed Hyperlink" xfId="31787" builtinId="9" hidden="1"/>
    <cellStyle name="Followed Hyperlink" xfId="31788" builtinId="9" hidden="1"/>
    <cellStyle name="Followed Hyperlink" xfId="31789" builtinId="9" hidden="1"/>
    <cellStyle name="Followed Hyperlink" xfId="31624" builtinId="9" hidden="1"/>
    <cellStyle name="Followed Hyperlink" xfId="31750" builtinId="9" hidden="1"/>
    <cellStyle name="Followed Hyperlink" xfId="31791" builtinId="9" hidden="1"/>
    <cellStyle name="Followed Hyperlink" xfId="31792" builtinId="9" hidden="1"/>
    <cellStyle name="Followed Hyperlink" xfId="31793" builtinId="9" hidden="1"/>
    <cellStyle name="Followed Hyperlink" xfId="31794" builtinId="9" hidden="1"/>
    <cellStyle name="Followed Hyperlink" xfId="31795" builtinId="9" hidden="1"/>
    <cellStyle name="Followed Hyperlink" xfId="31796" builtinId="9" hidden="1"/>
    <cellStyle name="Followed Hyperlink" xfId="31797" builtinId="9" hidden="1"/>
    <cellStyle name="Followed Hyperlink" xfId="31798" builtinId="9" hidden="1"/>
    <cellStyle name="Followed Hyperlink" xfId="31799" builtinId="9" hidden="1"/>
    <cellStyle name="Followed Hyperlink" xfId="31800" builtinId="9" hidden="1"/>
    <cellStyle name="Followed Hyperlink" xfId="31801" builtinId="9" hidden="1"/>
    <cellStyle name="Followed Hyperlink" xfId="31802" builtinId="9" hidden="1"/>
    <cellStyle name="Followed Hyperlink" xfId="31803" builtinId="9" hidden="1"/>
    <cellStyle name="Followed Hyperlink" xfId="31804" builtinId="9" hidden="1"/>
    <cellStyle name="Followed Hyperlink" xfId="31805" builtinId="9" hidden="1"/>
    <cellStyle name="Followed Hyperlink" xfId="31806" builtinId="9" hidden="1"/>
    <cellStyle name="Followed Hyperlink" xfId="31807" builtinId="9" hidden="1"/>
    <cellStyle name="Followed Hyperlink" xfId="31808" builtinId="9" hidden="1"/>
    <cellStyle name="Followed Hyperlink" xfId="31809" builtinId="9" hidden="1"/>
    <cellStyle name="Followed Hyperlink" xfId="31810" builtinId="9" hidden="1"/>
    <cellStyle name="Followed Hyperlink" xfId="31811" builtinId="9" hidden="1"/>
    <cellStyle name="Followed Hyperlink" xfId="31812" builtinId="9" hidden="1"/>
    <cellStyle name="Followed Hyperlink" xfId="31813" builtinId="9" hidden="1"/>
    <cellStyle name="Followed Hyperlink" xfId="31814" builtinId="9" hidden="1"/>
    <cellStyle name="Followed Hyperlink" xfId="31815" builtinId="9" hidden="1"/>
    <cellStyle name="Followed Hyperlink" xfId="31816" builtinId="9" hidden="1"/>
    <cellStyle name="Followed Hyperlink" xfId="31817" builtinId="9" hidden="1"/>
    <cellStyle name="Followed Hyperlink" xfId="31818" builtinId="9" hidden="1"/>
    <cellStyle name="Followed Hyperlink" xfId="31819" builtinId="9" hidden="1"/>
    <cellStyle name="Followed Hyperlink" xfId="31820" builtinId="9" hidden="1"/>
    <cellStyle name="Followed Hyperlink" xfId="31821" builtinId="9" hidden="1"/>
    <cellStyle name="Followed Hyperlink" xfId="31822" builtinId="9" hidden="1"/>
    <cellStyle name="Followed Hyperlink" xfId="31823" builtinId="9" hidden="1"/>
    <cellStyle name="Followed Hyperlink" xfId="31824" builtinId="9" hidden="1"/>
    <cellStyle name="Followed Hyperlink" xfId="31825" builtinId="9" hidden="1"/>
    <cellStyle name="Followed Hyperlink" xfId="31826" builtinId="9" hidden="1"/>
    <cellStyle name="Followed Hyperlink" xfId="31827" builtinId="9" hidden="1"/>
    <cellStyle name="Followed Hyperlink" xfId="31828" builtinId="9" hidden="1"/>
    <cellStyle name="Followed Hyperlink" xfId="31829" builtinId="9" hidden="1"/>
    <cellStyle name="Followed Hyperlink" xfId="31626" builtinId="9" hidden="1"/>
    <cellStyle name="Followed Hyperlink" xfId="31790" builtinId="9" hidden="1"/>
    <cellStyle name="Followed Hyperlink" xfId="31831" builtinId="9" hidden="1"/>
    <cellStyle name="Followed Hyperlink" xfId="31832" builtinId="9" hidden="1"/>
    <cellStyle name="Followed Hyperlink" xfId="31833" builtinId="9" hidden="1"/>
    <cellStyle name="Followed Hyperlink" xfId="31834" builtinId="9" hidden="1"/>
    <cellStyle name="Followed Hyperlink" xfId="31835" builtinId="9" hidden="1"/>
    <cellStyle name="Followed Hyperlink" xfId="31836" builtinId="9" hidden="1"/>
    <cellStyle name="Followed Hyperlink" xfId="31837" builtinId="9" hidden="1"/>
    <cellStyle name="Followed Hyperlink" xfId="31838" builtinId="9" hidden="1"/>
    <cellStyle name="Followed Hyperlink" xfId="31839" builtinId="9" hidden="1"/>
    <cellStyle name="Followed Hyperlink" xfId="31840" builtinId="9" hidden="1"/>
    <cellStyle name="Followed Hyperlink" xfId="31841" builtinId="9" hidden="1"/>
    <cellStyle name="Followed Hyperlink" xfId="31842" builtinId="9" hidden="1"/>
    <cellStyle name="Followed Hyperlink" xfId="31843" builtinId="9" hidden="1"/>
    <cellStyle name="Followed Hyperlink" xfId="31844" builtinId="9" hidden="1"/>
    <cellStyle name="Followed Hyperlink" xfId="31845" builtinId="9" hidden="1"/>
    <cellStyle name="Followed Hyperlink" xfId="31846" builtinId="9" hidden="1"/>
    <cellStyle name="Followed Hyperlink" xfId="31847" builtinId="9" hidden="1"/>
    <cellStyle name="Followed Hyperlink" xfId="31848" builtinId="9" hidden="1"/>
    <cellStyle name="Followed Hyperlink" xfId="31849" builtinId="9" hidden="1"/>
    <cellStyle name="Followed Hyperlink" xfId="31850" builtinId="9" hidden="1"/>
    <cellStyle name="Followed Hyperlink" xfId="31851" builtinId="9" hidden="1"/>
    <cellStyle name="Followed Hyperlink" xfId="31852" builtinId="9" hidden="1"/>
    <cellStyle name="Followed Hyperlink" xfId="31853" builtinId="9" hidden="1"/>
    <cellStyle name="Followed Hyperlink" xfId="31854" builtinId="9" hidden="1"/>
    <cellStyle name="Followed Hyperlink" xfId="31855" builtinId="9" hidden="1"/>
    <cellStyle name="Followed Hyperlink" xfId="31856" builtinId="9" hidden="1"/>
    <cellStyle name="Followed Hyperlink" xfId="31857" builtinId="9" hidden="1"/>
    <cellStyle name="Followed Hyperlink" xfId="31858" builtinId="9" hidden="1"/>
    <cellStyle name="Followed Hyperlink" xfId="31859" builtinId="9" hidden="1"/>
    <cellStyle name="Followed Hyperlink" xfId="31860" builtinId="9" hidden="1"/>
    <cellStyle name="Followed Hyperlink" xfId="31861" builtinId="9" hidden="1"/>
    <cellStyle name="Followed Hyperlink" xfId="31862" builtinId="9" hidden="1"/>
    <cellStyle name="Followed Hyperlink" xfId="31863" builtinId="9" hidden="1"/>
    <cellStyle name="Followed Hyperlink" xfId="31864" builtinId="9" hidden="1"/>
    <cellStyle name="Followed Hyperlink" xfId="31865" builtinId="9" hidden="1"/>
    <cellStyle name="Followed Hyperlink" xfId="31866" builtinId="9" hidden="1"/>
    <cellStyle name="Followed Hyperlink" xfId="31867" builtinId="9" hidden="1"/>
    <cellStyle name="Followed Hyperlink" xfId="31868" builtinId="9" hidden="1"/>
    <cellStyle name="Followed Hyperlink" xfId="31869" builtinId="9" hidden="1"/>
    <cellStyle name="Followed Hyperlink" xfId="31620" builtinId="9" hidden="1"/>
    <cellStyle name="Followed Hyperlink" xfId="31830" builtinId="9" hidden="1"/>
    <cellStyle name="Followed Hyperlink" xfId="31871" builtinId="9" hidden="1"/>
    <cellStyle name="Followed Hyperlink" xfId="31872" builtinId="9" hidden="1"/>
    <cellStyle name="Followed Hyperlink" xfId="31873" builtinId="9" hidden="1"/>
    <cellStyle name="Followed Hyperlink" xfId="31874" builtinId="9" hidden="1"/>
    <cellStyle name="Followed Hyperlink" xfId="31875" builtinId="9" hidden="1"/>
    <cellStyle name="Followed Hyperlink" xfId="31876" builtinId="9" hidden="1"/>
    <cellStyle name="Followed Hyperlink" xfId="31877" builtinId="9" hidden="1"/>
    <cellStyle name="Followed Hyperlink" xfId="31878" builtinId="9" hidden="1"/>
    <cellStyle name="Followed Hyperlink" xfId="31879" builtinId="9" hidden="1"/>
    <cellStyle name="Followed Hyperlink" xfId="31880" builtinId="9" hidden="1"/>
    <cellStyle name="Followed Hyperlink" xfId="31881" builtinId="9" hidden="1"/>
    <cellStyle name="Followed Hyperlink" xfId="31882" builtinId="9" hidden="1"/>
    <cellStyle name="Followed Hyperlink" xfId="31883" builtinId="9" hidden="1"/>
    <cellStyle name="Followed Hyperlink" xfId="31884" builtinId="9" hidden="1"/>
    <cellStyle name="Followed Hyperlink" xfId="31885" builtinId="9" hidden="1"/>
    <cellStyle name="Followed Hyperlink" xfId="31886" builtinId="9" hidden="1"/>
    <cellStyle name="Followed Hyperlink" xfId="31887" builtinId="9" hidden="1"/>
    <cellStyle name="Followed Hyperlink" xfId="31888" builtinId="9" hidden="1"/>
    <cellStyle name="Followed Hyperlink" xfId="31889" builtinId="9" hidden="1"/>
    <cellStyle name="Followed Hyperlink" xfId="31890" builtinId="9" hidden="1"/>
    <cellStyle name="Followed Hyperlink" xfId="31891" builtinId="9" hidden="1"/>
    <cellStyle name="Followed Hyperlink" xfId="31892" builtinId="9" hidden="1"/>
    <cellStyle name="Followed Hyperlink" xfId="31893" builtinId="9" hidden="1"/>
    <cellStyle name="Followed Hyperlink" xfId="31894" builtinId="9" hidden="1"/>
    <cellStyle name="Followed Hyperlink" xfId="31895" builtinId="9" hidden="1"/>
    <cellStyle name="Followed Hyperlink" xfId="31896" builtinId="9" hidden="1"/>
    <cellStyle name="Followed Hyperlink" xfId="31897" builtinId="9" hidden="1"/>
    <cellStyle name="Followed Hyperlink" xfId="31898" builtinId="9" hidden="1"/>
    <cellStyle name="Followed Hyperlink" xfId="31899" builtinId="9" hidden="1"/>
    <cellStyle name="Followed Hyperlink" xfId="31900" builtinId="9" hidden="1"/>
    <cellStyle name="Followed Hyperlink" xfId="31901" builtinId="9" hidden="1"/>
    <cellStyle name="Followed Hyperlink" xfId="31902" builtinId="9" hidden="1"/>
    <cellStyle name="Followed Hyperlink" xfId="31903" builtinId="9" hidden="1"/>
    <cellStyle name="Followed Hyperlink" xfId="31904" builtinId="9" hidden="1"/>
    <cellStyle name="Followed Hyperlink" xfId="31905" builtinId="9" hidden="1"/>
    <cellStyle name="Followed Hyperlink" xfId="31906" builtinId="9" hidden="1"/>
    <cellStyle name="Followed Hyperlink" xfId="31907" builtinId="9" hidden="1"/>
    <cellStyle name="Followed Hyperlink" xfId="31908" builtinId="9" hidden="1"/>
    <cellStyle name="Followed Hyperlink" xfId="31909" builtinId="9" hidden="1"/>
    <cellStyle name="Followed Hyperlink" xfId="31622" builtinId="9" hidden="1"/>
    <cellStyle name="Followed Hyperlink" xfId="31870" builtinId="9" hidden="1"/>
    <cellStyle name="Followed Hyperlink" xfId="31911" builtinId="9" hidden="1"/>
    <cellStyle name="Followed Hyperlink" xfId="31912" builtinId="9" hidden="1"/>
    <cellStyle name="Followed Hyperlink" xfId="31913" builtinId="9" hidden="1"/>
    <cellStyle name="Followed Hyperlink" xfId="31914" builtinId="9" hidden="1"/>
    <cellStyle name="Followed Hyperlink" xfId="31915" builtinId="9" hidden="1"/>
    <cellStyle name="Followed Hyperlink" xfId="31916" builtinId="9" hidden="1"/>
    <cellStyle name="Followed Hyperlink" xfId="31917" builtinId="9" hidden="1"/>
    <cellStyle name="Followed Hyperlink" xfId="31918" builtinId="9" hidden="1"/>
    <cellStyle name="Followed Hyperlink" xfId="31919" builtinId="9" hidden="1"/>
    <cellStyle name="Followed Hyperlink" xfId="31920" builtinId="9" hidden="1"/>
    <cellStyle name="Followed Hyperlink" xfId="31921" builtinId="9" hidden="1"/>
    <cellStyle name="Followed Hyperlink" xfId="31922" builtinId="9" hidden="1"/>
    <cellStyle name="Followed Hyperlink" xfId="31923" builtinId="9" hidden="1"/>
    <cellStyle name="Followed Hyperlink" xfId="31924" builtinId="9" hidden="1"/>
    <cellStyle name="Followed Hyperlink" xfId="31925" builtinId="9" hidden="1"/>
    <cellStyle name="Followed Hyperlink" xfId="31926" builtinId="9" hidden="1"/>
    <cellStyle name="Followed Hyperlink" xfId="31927" builtinId="9" hidden="1"/>
    <cellStyle name="Followed Hyperlink" xfId="31928" builtinId="9" hidden="1"/>
    <cellStyle name="Followed Hyperlink" xfId="31929" builtinId="9" hidden="1"/>
    <cellStyle name="Followed Hyperlink" xfId="31930" builtinId="9" hidden="1"/>
    <cellStyle name="Followed Hyperlink" xfId="31931" builtinId="9" hidden="1"/>
    <cellStyle name="Followed Hyperlink" xfId="31932" builtinId="9" hidden="1"/>
    <cellStyle name="Followed Hyperlink" xfId="31933" builtinId="9" hidden="1"/>
    <cellStyle name="Followed Hyperlink" xfId="31934" builtinId="9" hidden="1"/>
    <cellStyle name="Followed Hyperlink" xfId="31935" builtinId="9" hidden="1"/>
    <cellStyle name="Followed Hyperlink" xfId="31936" builtinId="9" hidden="1"/>
    <cellStyle name="Followed Hyperlink" xfId="31937" builtinId="9" hidden="1"/>
    <cellStyle name="Followed Hyperlink" xfId="31938" builtinId="9" hidden="1"/>
    <cellStyle name="Followed Hyperlink" xfId="31939" builtinId="9" hidden="1"/>
    <cellStyle name="Followed Hyperlink" xfId="31940" builtinId="9" hidden="1"/>
    <cellStyle name="Followed Hyperlink" xfId="31941" builtinId="9" hidden="1"/>
    <cellStyle name="Followed Hyperlink" xfId="31942" builtinId="9" hidden="1"/>
    <cellStyle name="Followed Hyperlink" xfId="31943" builtinId="9" hidden="1"/>
    <cellStyle name="Followed Hyperlink" xfId="31944" builtinId="9" hidden="1"/>
    <cellStyle name="Followed Hyperlink" xfId="31945" builtinId="9" hidden="1"/>
    <cellStyle name="Followed Hyperlink" xfId="31946" builtinId="9" hidden="1"/>
    <cellStyle name="Followed Hyperlink" xfId="31947" builtinId="9" hidden="1"/>
    <cellStyle name="Followed Hyperlink" xfId="31948" builtinId="9" hidden="1"/>
    <cellStyle name="Followed Hyperlink" xfId="31949" builtinId="9" hidden="1"/>
    <cellStyle name="Followed Hyperlink" xfId="31623" builtinId="9" hidden="1"/>
    <cellStyle name="Followed Hyperlink" xfId="31910" builtinId="9" hidden="1"/>
    <cellStyle name="Followed Hyperlink" xfId="31951" builtinId="9" hidden="1"/>
    <cellStyle name="Followed Hyperlink" xfId="31952" builtinId="9" hidden="1"/>
    <cellStyle name="Followed Hyperlink" xfId="31953" builtinId="9" hidden="1"/>
    <cellStyle name="Followed Hyperlink" xfId="31954" builtinId="9" hidden="1"/>
    <cellStyle name="Followed Hyperlink" xfId="31955" builtinId="9" hidden="1"/>
    <cellStyle name="Followed Hyperlink" xfId="31956" builtinId="9" hidden="1"/>
    <cellStyle name="Followed Hyperlink" xfId="31957" builtinId="9" hidden="1"/>
    <cellStyle name="Followed Hyperlink" xfId="31958" builtinId="9" hidden="1"/>
    <cellStyle name="Followed Hyperlink" xfId="31959" builtinId="9" hidden="1"/>
    <cellStyle name="Followed Hyperlink" xfId="31960" builtinId="9" hidden="1"/>
    <cellStyle name="Followed Hyperlink" xfId="31961" builtinId="9" hidden="1"/>
    <cellStyle name="Followed Hyperlink" xfId="31962" builtinId="9" hidden="1"/>
    <cellStyle name="Followed Hyperlink" xfId="31963" builtinId="9" hidden="1"/>
    <cellStyle name="Followed Hyperlink" xfId="31964" builtinId="9" hidden="1"/>
    <cellStyle name="Followed Hyperlink" xfId="31965" builtinId="9" hidden="1"/>
    <cellStyle name="Followed Hyperlink" xfId="31966" builtinId="9" hidden="1"/>
    <cellStyle name="Followed Hyperlink" xfId="31967" builtinId="9" hidden="1"/>
    <cellStyle name="Followed Hyperlink" xfId="31968" builtinId="9" hidden="1"/>
    <cellStyle name="Followed Hyperlink" xfId="31969" builtinId="9" hidden="1"/>
    <cellStyle name="Followed Hyperlink" xfId="31970" builtinId="9" hidden="1"/>
    <cellStyle name="Followed Hyperlink" xfId="31971" builtinId="9" hidden="1"/>
    <cellStyle name="Followed Hyperlink" xfId="31972" builtinId="9" hidden="1"/>
    <cellStyle name="Followed Hyperlink" xfId="31973" builtinId="9" hidden="1"/>
    <cellStyle name="Followed Hyperlink" xfId="31974" builtinId="9" hidden="1"/>
    <cellStyle name="Followed Hyperlink" xfId="31975" builtinId="9" hidden="1"/>
    <cellStyle name="Followed Hyperlink" xfId="31976" builtinId="9" hidden="1"/>
    <cellStyle name="Followed Hyperlink" xfId="31977" builtinId="9" hidden="1"/>
    <cellStyle name="Followed Hyperlink" xfId="31978" builtinId="9" hidden="1"/>
    <cellStyle name="Followed Hyperlink" xfId="31979" builtinId="9" hidden="1"/>
    <cellStyle name="Followed Hyperlink" xfId="31980" builtinId="9" hidden="1"/>
    <cellStyle name="Followed Hyperlink" xfId="31981" builtinId="9" hidden="1"/>
    <cellStyle name="Followed Hyperlink" xfId="31982" builtinId="9" hidden="1"/>
    <cellStyle name="Followed Hyperlink" xfId="31983" builtinId="9" hidden="1"/>
    <cellStyle name="Followed Hyperlink" xfId="31984" builtinId="9" hidden="1"/>
    <cellStyle name="Followed Hyperlink" xfId="31985" builtinId="9" hidden="1"/>
    <cellStyle name="Followed Hyperlink" xfId="31986" builtinId="9" hidden="1"/>
    <cellStyle name="Followed Hyperlink" xfId="31987" builtinId="9" hidden="1"/>
    <cellStyle name="Followed Hyperlink" xfId="31988" builtinId="9" hidden="1"/>
    <cellStyle name="Followed Hyperlink" xfId="31989" builtinId="9" hidden="1"/>
    <cellStyle name="Followed Hyperlink" xfId="31625" builtinId="9" hidden="1"/>
    <cellStyle name="Followed Hyperlink" xfId="31950" builtinId="9" hidden="1"/>
    <cellStyle name="Followed Hyperlink" xfId="31991" builtinId="9" hidden="1"/>
    <cellStyle name="Followed Hyperlink" xfId="31992" builtinId="9" hidden="1"/>
    <cellStyle name="Followed Hyperlink" xfId="31993" builtinId="9" hidden="1"/>
    <cellStyle name="Followed Hyperlink" xfId="31994" builtinId="9" hidden="1"/>
    <cellStyle name="Followed Hyperlink" xfId="31995" builtinId="9" hidden="1"/>
    <cellStyle name="Followed Hyperlink" xfId="31996" builtinId="9" hidden="1"/>
    <cellStyle name="Followed Hyperlink" xfId="31997" builtinId="9" hidden="1"/>
    <cellStyle name="Followed Hyperlink" xfId="31998" builtinId="9" hidden="1"/>
    <cellStyle name="Followed Hyperlink" xfId="31999" builtinId="9" hidden="1"/>
    <cellStyle name="Followed Hyperlink" xfId="32000" builtinId="9" hidden="1"/>
    <cellStyle name="Followed Hyperlink" xfId="32001" builtinId="9" hidden="1"/>
    <cellStyle name="Followed Hyperlink" xfId="32002" builtinId="9" hidden="1"/>
    <cellStyle name="Followed Hyperlink" xfId="32003" builtinId="9" hidden="1"/>
    <cellStyle name="Followed Hyperlink" xfId="32004" builtinId="9" hidden="1"/>
    <cellStyle name="Followed Hyperlink" xfId="32005" builtinId="9" hidden="1"/>
    <cellStyle name="Followed Hyperlink" xfId="32006" builtinId="9" hidden="1"/>
    <cellStyle name="Followed Hyperlink" xfId="32007" builtinId="9" hidden="1"/>
    <cellStyle name="Followed Hyperlink" xfId="32008" builtinId="9" hidden="1"/>
    <cellStyle name="Followed Hyperlink" xfId="32009" builtinId="9" hidden="1"/>
    <cellStyle name="Followed Hyperlink" xfId="32010" builtinId="9" hidden="1"/>
    <cellStyle name="Followed Hyperlink" xfId="32011" builtinId="9" hidden="1"/>
    <cellStyle name="Followed Hyperlink" xfId="32012" builtinId="9" hidden="1"/>
    <cellStyle name="Followed Hyperlink" xfId="32013" builtinId="9" hidden="1"/>
    <cellStyle name="Followed Hyperlink" xfId="32014" builtinId="9" hidden="1"/>
    <cellStyle name="Followed Hyperlink" xfId="32015" builtinId="9" hidden="1"/>
    <cellStyle name="Followed Hyperlink" xfId="32016" builtinId="9" hidden="1"/>
    <cellStyle name="Followed Hyperlink" xfId="32017" builtinId="9" hidden="1"/>
    <cellStyle name="Followed Hyperlink" xfId="32018" builtinId="9" hidden="1"/>
    <cellStyle name="Followed Hyperlink" xfId="32019" builtinId="9" hidden="1"/>
    <cellStyle name="Followed Hyperlink" xfId="32020" builtinId="9" hidden="1"/>
    <cellStyle name="Followed Hyperlink" xfId="32021" builtinId="9" hidden="1"/>
    <cellStyle name="Followed Hyperlink" xfId="32022" builtinId="9" hidden="1"/>
    <cellStyle name="Followed Hyperlink" xfId="32023" builtinId="9" hidden="1"/>
    <cellStyle name="Followed Hyperlink" xfId="32024" builtinId="9" hidden="1"/>
    <cellStyle name="Followed Hyperlink" xfId="32025" builtinId="9" hidden="1"/>
    <cellStyle name="Followed Hyperlink" xfId="32026" builtinId="9" hidden="1"/>
    <cellStyle name="Followed Hyperlink" xfId="32027" builtinId="9" hidden="1"/>
    <cellStyle name="Followed Hyperlink" xfId="32028" builtinId="9" hidden="1"/>
    <cellStyle name="Followed Hyperlink" xfId="32029" builtinId="9" hidden="1"/>
    <cellStyle name="Followed Hyperlink" xfId="31621" builtinId="9" hidden="1"/>
    <cellStyle name="Followed Hyperlink" xfId="31990" builtinId="9" hidden="1"/>
    <cellStyle name="Followed Hyperlink" xfId="32030" builtinId="9" hidden="1"/>
    <cellStyle name="Followed Hyperlink" xfId="32031" builtinId="9" hidden="1"/>
    <cellStyle name="Followed Hyperlink" xfId="32032" builtinId="9" hidden="1"/>
    <cellStyle name="Followed Hyperlink" xfId="32033" builtinId="9" hidden="1"/>
    <cellStyle name="Followed Hyperlink" xfId="32034" builtinId="9" hidden="1"/>
    <cellStyle name="Followed Hyperlink" xfId="32035" builtinId="9" hidden="1"/>
    <cellStyle name="Followed Hyperlink" xfId="32036" builtinId="9" hidden="1"/>
    <cellStyle name="Followed Hyperlink" xfId="32037" builtinId="9" hidden="1"/>
    <cellStyle name="Followed Hyperlink" xfId="32038" builtinId="9" hidden="1"/>
    <cellStyle name="Followed Hyperlink" xfId="32039" builtinId="9" hidden="1"/>
    <cellStyle name="Followed Hyperlink" xfId="32040" builtinId="9" hidden="1"/>
    <cellStyle name="Followed Hyperlink" xfId="32041" builtinId="9" hidden="1"/>
    <cellStyle name="Followed Hyperlink" xfId="32042" builtinId="9" hidden="1"/>
    <cellStyle name="Followed Hyperlink" xfId="32043" builtinId="9" hidden="1"/>
    <cellStyle name="Followed Hyperlink" xfId="32044" builtinId="9" hidden="1"/>
    <cellStyle name="Followed Hyperlink" xfId="32045" builtinId="9" hidden="1"/>
    <cellStyle name="Followed Hyperlink" xfId="32046" builtinId="9" hidden="1"/>
    <cellStyle name="Followed Hyperlink" xfId="32047" builtinId="9" hidden="1"/>
    <cellStyle name="Followed Hyperlink" xfId="32048" builtinId="9" hidden="1"/>
    <cellStyle name="Followed Hyperlink" xfId="32049" builtinId="9" hidden="1"/>
    <cellStyle name="Followed Hyperlink" xfId="32050" builtinId="9" hidden="1"/>
    <cellStyle name="Followed Hyperlink" xfId="32051" builtinId="9" hidden="1"/>
    <cellStyle name="Followed Hyperlink" xfId="32052" builtinId="9" hidden="1"/>
    <cellStyle name="Followed Hyperlink" xfId="32053" builtinId="9" hidden="1"/>
    <cellStyle name="Followed Hyperlink" xfId="32054" builtinId="9" hidden="1"/>
    <cellStyle name="Followed Hyperlink" xfId="32055" builtinId="9" hidden="1"/>
    <cellStyle name="Followed Hyperlink" xfId="32056" builtinId="9" hidden="1"/>
    <cellStyle name="Followed Hyperlink" xfId="32057" builtinId="9" hidden="1"/>
    <cellStyle name="Followed Hyperlink" xfId="32058" builtinId="9" hidden="1"/>
    <cellStyle name="Followed Hyperlink" xfId="32059" builtinId="9" hidden="1"/>
    <cellStyle name="Followed Hyperlink" xfId="32060" builtinId="9" hidden="1"/>
    <cellStyle name="Followed Hyperlink" xfId="32061" builtinId="9" hidden="1"/>
    <cellStyle name="Followed Hyperlink" xfId="32062" builtinId="9" hidden="1"/>
    <cellStyle name="Followed Hyperlink" xfId="32063" builtinId="9" hidden="1"/>
    <cellStyle name="Followed Hyperlink" xfId="32064" builtinId="9" hidden="1"/>
    <cellStyle name="Followed Hyperlink" xfId="32065" builtinId="9" hidden="1"/>
    <cellStyle name="Followed Hyperlink" xfId="32066" builtinId="9" hidden="1"/>
    <cellStyle name="Followed Hyperlink" xfId="32067" builtinId="9" hidden="1"/>
    <cellStyle name="Followed Hyperlink" xfId="32068" builtinId="9" hidden="1"/>
    <cellStyle name="Followed Hyperlink" xfId="32069" builtinId="9" hidden="1"/>
    <cellStyle name="Followed Hyperlink" xfId="32070" builtinId="9" hidden="1"/>
    <cellStyle name="Followed Hyperlink" xfId="32071" builtinId="9" hidden="1"/>
    <cellStyle name="Followed Hyperlink" xfId="32072" builtinId="9" hidden="1"/>
    <cellStyle name="Followed Hyperlink" xfId="32073" builtinId="9" hidden="1"/>
    <cellStyle name="Followed Hyperlink" xfId="32074" builtinId="9" hidden="1"/>
    <cellStyle name="Followed Hyperlink" xfId="32075" builtinId="9" hidden="1"/>
    <cellStyle name="Followed Hyperlink" xfId="32076" builtinId="9" hidden="1"/>
    <cellStyle name="Followed Hyperlink" xfId="32077" builtinId="9" hidden="1"/>
    <cellStyle name="Followed Hyperlink" xfId="32078" builtinId="9" hidden="1"/>
    <cellStyle name="Followed Hyperlink" xfId="32079" builtinId="9" hidden="1"/>
    <cellStyle name="Followed Hyperlink" xfId="32080" builtinId="9" hidden="1"/>
    <cellStyle name="Followed Hyperlink" xfId="32081" builtinId="9" hidden="1"/>
    <cellStyle name="Followed Hyperlink" xfId="32082" builtinId="9" hidden="1"/>
    <cellStyle name="Followed Hyperlink" xfId="32083" builtinId="9" hidden="1"/>
    <cellStyle name="Followed Hyperlink" xfId="32084" builtinId="9" hidden="1"/>
    <cellStyle name="Followed Hyperlink" xfId="32085" builtinId="9" hidden="1"/>
    <cellStyle name="Followed Hyperlink" xfId="32086" builtinId="9" hidden="1"/>
    <cellStyle name="Followed Hyperlink" xfId="32087" builtinId="9" hidden="1"/>
    <cellStyle name="Followed Hyperlink" xfId="32088" builtinId="9" hidden="1"/>
    <cellStyle name="Followed Hyperlink" xfId="32089" builtinId="9" hidden="1"/>
    <cellStyle name="Followed Hyperlink" xfId="32090" builtinId="9" hidden="1"/>
    <cellStyle name="Followed Hyperlink" xfId="32091" builtinId="9" hidden="1"/>
    <cellStyle name="Followed Hyperlink" xfId="32092" builtinId="9" hidden="1"/>
    <cellStyle name="Followed Hyperlink" xfId="32093" builtinId="9" hidden="1"/>
    <cellStyle name="Followed Hyperlink" xfId="32094" builtinId="9" hidden="1"/>
    <cellStyle name="Followed Hyperlink" xfId="32095" builtinId="9" hidden="1"/>
    <cellStyle name="Followed Hyperlink" xfId="32096" builtinId="9" hidden="1"/>
    <cellStyle name="Followed Hyperlink" xfId="32097" builtinId="9" hidden="1"/>
    <cellStyle name="Followed Hyperlink" xfId="32098" builtinId="9" hidden="1"/>
    <cellStyle name="Followed Hyperlink" xfId="32099" builtinId="9" hidden="1"/>
    <cellStyle name="Followed Hyperlink" xfId="32100" builtinId="9" hidden="1"/>
    <cellStyle name="Followed Hyperlink" xfId="32101" builtinId="9" hidden="1"/>
    <cellStyle name="Followed Hyperlink" xfId="32102" builtinId="9" hidden="1"/>
    <cellStyle name="Followed Hyperlink" xfId="32103" builtinId="9" hidden="1"/>
    <cellStyle name="Followed Hyperlink" xfId="32104" builtinId="9" hidden="1"/>
    <cellStyle name="Followed Hyperlink" xfId="32105" builtinId="9" hidden="1"/>
    <cellStyle name="Followed Hyperlink" xfId="32106" builtinId="9" hidden="1"/>
    <cellStyle name="Followed Hyperlink" xfId="32107" builtinId="9" hidden="1"/>
    <cellStyle name="Followed Hyperlink" xfId="32108" builtinId="9" hidden="1"/>
    <cellStyle name="Followed Hyperlink" xfId="32109" builtinId="9" hidden="1"/>
    <cellStyle name="Followed Hyperlink" xfId="32118" builtinId="9" hidden="1"/>
    <cellStyle name="Followed Hyperlink" xfId="32119" builtinId="9" hidden="1"/>
    <cellStyle name="Followed Hyperlink" xfId="32120" builtinId="9" hidden="1"/>
    <cellStyle name="Followed Hyperlink" xfId="32121" builtinId="9" hidden="1"/>
    <cellStyle name="Followed Hyperlink" xfId="32122" builtinId="9" hidden="1"/>
    <cellStyle name="Followed Hyperlink" xfId="32123" builtinId="9" hidden="1"/>
    <cellStyle name="Followed Hyperlink" xfId="32124" builtinId="9" hidden="1"/>
    <cellStyle name="Followed Hyperlink" xfId="32125" builtinId="9" hidden="1"/>
    <cellStyle name="Followed Hyperlink" xfId="32126" builtinId="9" hidden="1"/>
    <cellStyle name="Followed Hyperlink" xfId="32127" builtinId="9" hidden="1"/>
    <cellStyle name="Followed Hyperlink" xfId="32128" builtinId="9" hidden="1"/>
    <cellStyle name="Followed Hyperlink" xfId="32129" builtinId="9" hidden="1"/>
    <cellStyle name="Followed Hyperlink" xfId="32130" builtinId="9" hidden="1"/>
    <cellStyle name="Followed Hyperlink" xfId="32131" builtinId="9" hidden="1"/>
    <cellStyle name="Followed Hyperlink" xfId="32132" builtinId="9" hidden="1"/>
    <cellStyle name="Followed Hyperlink" xfId="32133" builtinId="9" hidden="1"/>
    <cellStyle name="Followed Hyperlink" xfId="32134" builtinId="9" hidden="1"/>
    <cellStyle name="Followed Hyperlink" xfId="32135" builtinId="9" hidden="1"/>
    <cellStyle name="Followed Hyperlink" xfId="32136" builtinId="9" hidden="1"/>
    <cellStyle name="Followed Hyperlink" xfId="32137" builtinId="9" hidden="1"/>
    <cellStyle name="Followed Hyperlink" xfId="32138" builtinId="9" hidden="1"/>
    <cellStyle name="Followed Hyperlink" xfId="32139" builtinId="9" hidden="1"/>
    <cellStyle name="Followed Hyperlink" xfId="32140" builtinId="9" hidden="1"/>
    <cellStyle name="Followed Hyperlink" xfId="32141" builtinId="9" hidden="1"/>
    <cellStyle name="Followed Hyperlink" xfId="32142" builtinId="9" hidden="1"/>
    <cellStyle name="Followed Hyperlink" xfId="32143" builtinId="9" hidden="1"/>
    <cellStyle name="Followed Hyperlink" xfId="32144" builtinId="9" hidden="1"/>
    <cellStyle name="Followed Hyperlink" xfId="32145" builtinId="9" hidden="1"/>
    <cellStyle name="Followed Hyperlink" xfId="32146" builtinId="9" hidden="1"/>
    <cellStyle name="Followed Hyperlink" xfId="32147" builtinId="9" hidden="1"/>
    <cellStyle name="Followed Hyperlink" xfId="32148" builtinId="9" hidden="1"/>
    <cellStyle name="Followed Hyperlink" xfId="32149" builtinId="9" hidden="1"/>
    <cellStyle name="Followed Hyperlink" xfId="32150" builtinId="9" hidden="1"/>
    <cellStyle name="Followed Hyperlink" xfId="32151" builtinId="9" hidden="1"/>
    <cellStyle name="Followed Hyperlink" xfId="32152" builtinId="9" hidden="1"/>
    <cellStyle name="Followed Hyperlink" xfId="32153" builtinId="9" hidden="1"/>
    <cellStyle name="Followed Hyperlink" xfId="32154" builtinId="9" hidden="1"/>
    <cellStyle name="Followed Hyperlink" xfId="32155" builtinId="9" hidden="1"/>
    <cellStyle name="Followed Hyperlink" xfId="32156" builtinId="9" hidden="1"/>
    <cellStyle name="Followed Hyperlink" xfId="32157" builtinId="9" hidden="1"/>
    <cellStyle name="Followed Hyperlink" xfId="32158" builtinId="9" hidden="1"/>
    <cellStyle name="Followed Hyperlink" xfId="32159" builtinId="9" hidden="1"/>
    <cellStyle name="Followed Hyperlink" xfId="32160" builtinId="9" hidden="1"/>
    <cellStyle name="Followed Hyperlink" xfId="32161" builtinId="9" hidden="1"/>
    <cellStyle name="Followed Hyperlink" xfId="32162" builtinId="9" hidden="1"/>
    <cellStyle name="Followed Hyperlink" xfId="32163" builtinId="9" hidden="1"/>
    <cellStyle name="Followed Hyperlink" xfId="32164" builtinId="9" hidden="1"/>
    <cellStyle name="Followed Hyperlink" xfId="32165" builtinId="9" hidden="1"/>
    <cellStyle name="Followed Hyperlink" xfId="32166" builtinId="9" hidden="1"/>
    <cellStyle name="Followed Hyperlink" xfId="32167" builtinId="9" hidden="1"/>
    <cellStyle name="Followed Hyperlink" xfId="32168" builtinId="9" hidden="1"/>
    <cellStyle name="Followed Hyperlink" xfId="32169" builtinId="9" hidden="1"/>
    <cellStyle name="Followed Hyperlink" xfId="32170" builtinId="9" hidden="1"/>
    <cellStyle name="Followed Hyperlink" xfId="32171" builtinId="9" hidden="1"/>
    <cellStyle name="Followed Hyperlink" xfId="32172" builtinId="9" hidden="1"/>
    <cellStyle name="Followed Hyperlink" xfId="32173" builtinId="9" hidden="1"/>
    <cellStyle name="Followed Hyperlink" xfId="32174" builtinId="9" hidden="1"/>
    <cellStyle name="Followed Hyperlink" xfId="32175" builtinId="9" hidden="1"/>
    <cellStyle name="Followed Hyperlink" xfId="32176" builtinId="9" hidden="1"/>
    <cellStyle name="Followed Hyperlink" xfId="32177" builtinId="9" hidden="1"/>
    <cellStyle name="Followed Hyperlink" xfId="32178" builtinId="9" hidden="1"/>
    <cellStyle name="Followed Hyperlink" xfId="32179" builtinId="9" hidden="1"/>
    <cellStyle name="Followed Hyperlink" xfId="32180" builtinId="9" hidden="1"/>
    <cellStyle name="Followed Hyperlink" xfId="32181" builtinId="9" hidden="1"/>
    <cellStyle name="Followed Hyperlink" xfId="32182" builtinId="9" hidden="1"/>
    <cellStyle name="Followed Hyperlink" xfId="32183" builtinId="9" hidden="1"/>
    <cellStyle name="Followed Hyperlink" xfId="32184" builtinId="9" hidden="1"/>
    <cellStyle name="Followed Hyperlink" xfId="32185" builtinId="9" hidden="1"/>
    <cellStyle name="Followed Hyperlink" xfId="32186" builtinId="9" hidden="1"/>
    <cellStyle name="Followed Hyperlink" xfId="32187" builtinId="9" hidden="1"/>
    <cellStyle name="Followed Hyperlink" xfId="32188" builtinId="9" hidden="1"/>
    <cellStyle name="Followed Hyperlink" xfId="32189" builtinId="9" hidden="1"/>
    <cellStyle name="Followed Hyperlink" xfId="32190" builtinId="9" hidden="1"/>
    <cellStyle name="Followed Hyperlink" xfId="32191" builtinId="9" hidden="1"/>
    <cellStyle name="Followed Hyperlink" xfId="32192" builtinId="9" hidden="1"/>
    <cellStyle name="Followed Hyperlink" xfId="32193" builtinId="9" hidden="1"/>
    <cellStyle name="Followed Hyperlink" xfId="32194" builtinId="9" hidden="1"/>
    <cellStyle name="Followed Hyperlink" xfId="32195" builtinId="9" hidden="1"/>
    <cellStyle name="Followed Hyperlink" xfId="32196" builtinId="9" hidden="1"/>
    <cellStyle name="Followed Hyperlink" xfId="32197" builtinId="9" hidden="1"/>
    <cellStyle name="Followed Hyperlink" xfId="32198" builtinId="9" hidden="1"/>
    <cellStyle name="Followed Hyperlink" xfId="32199" builtinId="9" hidden="1"/>
    <cellStyle name="Followed Hyperlink" xfId="32200" builtinId="9" hidden="1"/>
    <cellStyle name="Followed Hyperlink" xfId="32201" builtinId="9" hidden="1"/>
    <cellStyle name="Followed Hyperlink" xfId="32202" builtinId="9" hidden="1"/>
    <cellStyle name="Followed Hyperlink" xfId="32203" builtinId="9" hidden="1"/>
    <cellStyle name="Followed Hyperlink" xfId="32204" builtinId="9" hidden="1"/>
    <cellStyle name="Followed Hyperlink" xfId="32205" builtinId="9" hidden="1"/>
    <cellStyle name="Followed Hyperlink" xfId="32206" builtinId="9" hidden="1"/>
    <cellStyle name="Followed Hyperlink" xfId="32207" builtinId="9" hidden="1"/>
    <cellStyle name="Followed Hyperlink" xfId="32208" builtinId="9" hidden="1"/>
    <cellStyle name="Followed Hyperlink" xfId="32209" builtinId="9" hidden="1"/>
    <cellStyle name="Followed Hyperlink" xfId="32210" builtinId="9" hidden="1"/>
    <cellStyle name="Followed Hyperlink" xfId="32211" builtinId="9" hidden="1"/>
    <cellStyle name="Followed Hyperlink" xfId="32212" builtinId="9" hidden="1"/>
    <cellStyle name="Followed Hyperlink" xfId="32213" builtinId="9" hidden="1"/>
    <cellStyle name="Followed Hyperlink" xfId="32214" builtinId="9" hidden="1"/>
    <cellStyle name="Followed Hyperlink" xfId="32215" builtinId="9" hidden="1"/>
    <cellStyle name="Followed Hyperlink" xfId="32216" builtinId="9" hidden="1"/>
    <cellStyle name="Followed Hyperlink" xfId="32217" builtinId="9" hidden="1"/>
    <cellStyle name="Followed Hyperlink" xfId="32218" builtinId="9" hidden="1"/>
    <cellStyle name="Followed Hyperlink" xfId="32219" builtinId="9" hidden="1"/>
    <cellStyle name="Followed Hyperlink" xfId="32220" builtinId="9" hidden="1"/>
    <cellStyle name="Followed Hyperlink" xfId="32221" builtinId="9" hidden="1"/>
    <cellStyle name="Followed Hyperlink" xfId="32222" builtinId="9" hidden="1"/>
    <cellStyle name="Followed Hyperlink" xfId="32223" builtinId="9" hidden="1"/>
    <cellStyle name="Followed Hyperlink" xfId="32224" builtinId="9" hidden="1"/>
    <cellStyle name="Followed Hyperlink" xfId="32225" builtinId="9" hidden="1"/>
    <cellStyle name="Followed Hyperlink" xfId="32226" builtinId="9" hidden="1"/>
    <cellStyle name="Followed Hyperlink" xfId="32227" builtinId="9" hidden="1"/>
    <cellStyle name="Followed Hyperlink" xfId="32228" builtinId="9" hidden="1"/>
    <cellStyle name="Followed Hyperlink" xfId="32229" builtinId="9" hidden="1"/>
    <cellStyle name="Followed Hyperlink" xfId="32230" builtinId="9" hidden="1"/>
    <cellStyle name="Followed Hyperlink" xfId="32231" builtinId="9" hidden="1"/>
    <cellStyle name="Followed Hyperlink" xfId="32232" builtinId="9" hidden="1"/>
    <cellStyle name="Followed Hyperlink" xfId="32233" builtinId="9" hidden="1"/>
    <cellStyle name="Followed Hyperlink" xfId="32234" builtinId="9" hidden="1"/>
    <cellStyle name="Followed Hyperlink" xfId="32235" builtinId="9" hidden="1"/>
    <cellStyle name="Followed Hyperlink" xfId="32236" builtinId="9" hidden="1"/>
    <cellStyle name="Followed Hyperlink" xfId="32237" builtinId="9" hidden="1"/>
    <cellStyle name="Followed Hyperlink" xfId="32238" builtinId="9" hidden="1"/>
    <cellStyle name="Followed Hyperlink" xfId="32239" builtinId="9" hidden="1"/>
    <cellStyle name="Followed Hyperlink" xfId="32240" builtinId="9" hidden="1"/>
    <cellStyle name="Followed Hyperlink" xfId="32110" builtinId="9" hidden="1"/>
    <cellStyle name="Followed Hyperlink" xfId="18803" builtinId="9" hidden="1"/>
    <cellStyle name="Followed Hyperlink" xfId="32242" builtinId="9" hidden="1"/>
    <cellStyle name="Followed Hyperlink" xfId="32243" builtinId="9" hidden="1"/>
    <cellStyle name="Followed Hyperlink" xfId="32244" builtinId="9" hidden="1"/>
    <cellStyle name="Followed Hyperlink" xfId="32245" builtinId="9" hidden="1"/>
    <cellStyle name="Followed Hyperlink" xfId="32246" builtinId="9" hidden="1"/>
    <cellStyle name="Followed Hyperlink" xfId="32247" builtinId="9" hidden="1"/>
    <cellStyle name="Followed Hyperlink" xfId="32248" builtinId="9" hidden="1"/>
    <cellStyle name="Followed Hyperlink" xfId="32249" builtinId="9" hidden="1"/>
    <cellStyle name="Followed Hyperlink" xfId="32250" builtinId="9" hidden="1"/>
    <cellStyle name="Followed Hyperlink" xfId="32251" builtinId="9" hidden="1"/>
    <cellStyle name="Followed Hyperlink" xfId="32252" builtinId="9" hidden="1"/>
    <cellStyle name="Followed Hyperlink" xfId="32253" builtinId="9" hidden="1"/>
    <cellStyle name="Followed Hyperlink" xfId="32254" builtinId="9" hidden="1"/>
    <cellStyle name="Followed Hyperlink" xfId="32255" builtinId="9" hidden="1"/>
    <cellStyle name="Followed Hyperlink" xfId="32256" builtinId="9" hidden="1"/>
    <cellStyle name="Followed Hyperlink" xfId="32257" builtinId="9" hidden="1"/>
    <cellStyle name="Followed Hyperlink" xfId="32258" builtinId="9" hidden="1"/>
    <cellStyle name="Followed Hyperlink" xfId="32259" builtinId="9" hidden="1"/>
    <cellStyle name="Followed Hyperlink" xfId="32260" builtinId="9" hidden="1"/>
    <cellStyle name="Followed Hyperlink" xfId="32261" builtinId="9" hidden="1"/>
    <cellStyle name="Followed Hyperlink" xfId="32262" builtinId="9" hidden="1"/>
    <cellStyle name="Followed Hyperlink" xfId="32263" builtinId="9" hidden="1"/>
    <cellStyle name="Followed Hyperlink" xfId="32264" builtinId="9" hidden="1"/>
    <cellStyle name="Followed Hyperlink" xfId="32265" builtinId="9" hidden="1"/>
    <cellStyle name="Followed Hyperlink" xfId="32266" builtinId="9" hidden="1"/>
    <cellStyle name="Followed Hyperlink" xfId="32267" builtinId="9" hidden="1"/>
    <cellStyle name="Followed Hyperlink" xfId="32268" builtinId="9" hidden="1"/>
    <cellStyle name="Followed Hyperlink" xfId="32269" builtinId="9" hidden="1"/>
    <cellStyle name="Followed Hyperlink" xfId="32270" builtinId="9" hidden="1"/>
    <cellStyle name="Followed Hyperlink" xfId="32271" builtinId="9" hidden="1"/>
    <cellStyle name="Followed Hyperlink" xfId="32272" builtinId="9" hidden="1"/>
    <cellStyle name="Followed Hyperlink" xfId="32273" builtinId="9" hidden="1"/>
    <cellStyle name="Followed Hyperlink" xfId="32274" builtinId="9" hidden="1"/>
    <cellStyle name="Followed Hyperlink" xfId="32275" builtinId="9" hidden="1"/>
    <cellStyle name="Followed Hyperlink" xfId="32276" builtinId="9" hidden="1"/>
    <cellStyle name="Followed Hyperlink" xfId="32277" builtinId="9" hidden="1"/>
    <cellStyle name="Followed Hyperlink" xfId="32278" builtinId="9" hidden="1"/>
    <cellStyle name="Followed Hyperlink" xfId="32279" builtinId="9" hidden="1"/>
    <cellStyle name="Followed Hyperlink" xfId="32280" builtinId="9" hidden="1"/>
    <cellStyle name="Followed Hyperlink" xfId="32115" builtinId="9" hidden="1"/>
    <cellStyle name="Followed Hyperlink" xfId="32241" builtinId="9" hidden="1"/>
    <cellStyle name="Followed Hyperlink" xfId="32282" builtinId="9" hidden="1"/>
    <cellStyle name="Followed Hyperlink" xfId="32283" builtinId="9" hidden="1"/>
    <cellStyle name="Followed Hyperlink" xfId="32284" builtinId="9" hidden="1"/>
    <cellStyle name="Followed Hyperlink" xfId="32285" builtinId="9" hidden="1"/>
    <cellStyle name="Followed Hyperlink" xfId="32286" builtinId="9" hidden="1"/>
    <cellStyle name="Followed Hyperlink" xfId="32287" builtinId="9" hidden="1"/>
    <cellStyle name="Followed Hyperlink" xfId="32288" builtinId="9" hidden="1"/>
    <cellStyle name="Followed Hyperlink" xfId="32289" builtinId="9" hidden="1"/>
    <cellStyle name="Followed Hyperlink" xfId="32290" builtinId="9" hidden="1"/>
    <cellStyle name="Followed Hyperlink" xfId="32291" builtinId="9" hidden="1"/>
    <cellStyle name="Followed Hyperlink" xfId="32292" builtinId="9" hidden="1"/>
    <cellStyle name="Followed Hyperlink" xfId="32293" builtinId="9" hidden="1"/>
    <cellStyle name="Followed Hyperlink" xfId="32294" builtinId="9" hidden="1"/>
    <cellStyle name="Followed Hyperlink" xfId="32295" builtinId="9" hidden="1"/>
    <cellStyle name="Followed Hyperlink" xfId="32296" builtinId="9" hidden="1"/>
    <cellStyle name="Followed Hyperlink" xfId="32297" builtinId="9" hidden="1"/>
    <cellStyle name="Followed Hyperlink" xfId="32298" builtinId="9" hidden="1"/>
    <cellStyle name="Followed Hyperlink" xfId="32299" builtinId="9" hidden="1"/>
    <cellStyle name="Followed Hyperlink" xfId="32300" builtinId="9" hidden="1"/>
    <cellStyle name="Followed Hyperlink" xfId="32301" builtinId="9" hidden="1"/>
    <cellStyle name="Followed Hyperlink" xfId="32302" builtinId="9" hidden="1"/>
    <cellStyle name="Followed Hyperlink" xfId="32303" builtinId="9" hidden="1"/>
    <cellStyle name="Followed Hyperlink" xfId="32304" builtinId="9" hidden="1"/>
    <cellStyle name="Followed Hyperlink" xfId="32305" builtinId="9" hidden="1"/>
    <cellStyle name="Followed Hyperlink" xfId="32306" builtinId="9" hidden="1"/>
    <cellStyle name="Followed Hyperlink" xfId="32307" builtinId="9" hidden="1"/>
    <cellStyle name="Followed Hyperlink" xfId="32308" builtinId="9" hidden="1"/>
    <cellStyle name="Followed Hyperlink" xfId="32309" builtinId="9" hidden="1"/>
    <cellStyle name="Followed Hyperlink" xfId="32310" builtinId="9" hidden="1"/>
    <cellStyle name="Followed Hyperlink" xfId="32311" builtinId="9" hidden="1"/>
    <cellStyle name="Followed Hyperlink" xfId="32312" builtinId="9" hidden="1"/>
    <cellStyle name="Followed Hyperlink" xfId="32313" builtinId="9" hidden="1"/>
    <cellStyle name="Followed Hyperlink" xfId="32314" builtinId="9" hidden="1"/>
    <cellStyle name="Followed Hyperlink" xfId="32315" builtinId="9" hidden="1"/>
    <cellStyle name="Followed Hyperlink" xfId="32316" builtinId="9" hidden="1"/>
    <cellStyle name="Followed Hyperlink" xfId="32317" builtinId="9" hidden="1"/>
    <cellStyle name="Followed Hyperlink" xfId="32318" builtinId="9" hidden="1"/>
    <cellStyle name="Followed Hyperlink" xfId="32319" builtinId="9" hidden="1"/>
    <cellStyle name="Followed Hyperlink" xfId="32320" builtinId="9" hidden="1"/>
    <cellStyle name="Followed Hyperlink" xfId="32117" builtinId="9" hidden="1"/>
    <cellStyle name="Followed Hyperlink" xfId="32281" builtinId="9" hidden="1"/>
    <cellStyle name="Followed Hyperlink" xfId="32322" builtinId="9" hidden="1"/>
    <cellStyle name="Followed Hyperlink" xfId="32323" builtinId="9" hidden="1"/>
    <cellStyle name="Followed Hyperlink" xfId="32324" builtinId="9" hidden="1"/>
    <cellStyle name="Followed Hyperlink" xfId="32325" builtinId="9" hidden="1"/>
    <cellStyle name="Followed Hyperlink" xfId="32326" builtinId="9" hidden="1"/>
    <cellStyle name="Followed Hyperlink" xfId="32327" builtinId="9" hidden="1"/>
    <cellStyle name="Followed Hyperlink" xfId="32328" builtinId="9" hidden="1"/>
    <cellStyle name="Followed Hyperlink" xfId="32329" builtinId="9" hidden="1"/>
    <cellStyle name="Followed Hyperlink" xfId="32330" builtinId="9" hidden="1"/>
    <cellStyle name="Followed Hyperlink" xfId="32331" builtinId="9" hidden="1"/>
    <cellStyle name="Followed Hyperlink" xfId="32332" builtinId="9" hidden="1"/>
    <cellStyle name="Followed Hyperlink" xfId="32333" builtinId="9" hidden="1"/>
    <cellStyle name="Followed Hyperlink" xfId="32334" builtinId="9" hidden="1"/>
    <cellStyle name="Followed Hyperlink" xfId="32335" builtinId="9" hidden="1"/>
    <cellStyle name="Followed Hyperlink" xfId="32336" builtinId="9" hidden="1"/>
    <cellStyle name="Followed Hyperlink" xfId="32337" builtinId="9" hidden="1"/>
    <cellStyle name="Followed Hyperlink" xfId="32338" builtinId="9" hidden="1"/>
    <cellStyle name="Followed Hyperlink" xfId="32339" builtinId="9" hidden="1"/>
    <cellStyle name="Followed Hyperlink" xfId="32340" builtinId="9" hidden="1"/>
    <cellStyle name="Followed Hyperlink" xfId="32341" builtinId="9" hidden="1"/>
    <cellStyle name="Followed Hyperlink" xfId="32342" builtinId="9" hidden="1"/>
    <cellStyle name="Followed Hyperlink" xfId="32343" builtinId="9" hidden="1"/>
    <cellStyle name="Followed Hyperlink" xfId="32344" builtinId="9" hidden="1"/>
    <cellStyle name="Followed Hyperlink" xfId="32345" builtinId="9" hidden="1"/>
    <cellStyle name="Followed Hyperlink" xfId="32346" builtinId="9" hidden="1"/>
    <cellStyle name="Followed Hyperlink" xfId="32347" builtinId="9" hidden="1"/>
    <cellStyle name="Followed Hyperlink" xfId="32348" builtinId="9" hidden="1"/>
    <cellStyle name="Followed Hyperlink" xfId="32349" builtinId="9" hidden="1"/>
    <cellStyle name="Followed Hyperlink" xfId="32350" builtinId="9" hidden="1"/>
    <cellStyle name="Followed Hyperlink" xfId="32351" builtinId="9" hidden="1"/>
    <cellStyle name="Followed Hyperlink" xfId="32352" builtinId="9" hidden="1"/>
    <cellStyle name="Followed Hyperlink" xfId="32353" builtinId="9" hidden="1"/>
    <cellStyle name="Followed Hyperlink" xfId="32354" builtinId="9" hidden="1"/>
    <cellStyle name="Followed Hyperlink" xfId="32355" builtinId="9" hidden="1"/>
    <cellStyle name="Followed Hyperlink" xfId="32356" builtinId="9" hidden="1"/>
    <cellStyle name="Followed Hyperlink" xfId="32357" builtinId="9" hidden="1"/>
    <cellStyle name="Followed Hyperlink" xfId="32358" builtinId="9" hidden="1"/>
    <cellStyle name="Followed Hyperlink" xfId="32359" builtinId="9" hidden="1"/>
    <cellStyle name="Followed Hyperlink" xfId="32360" builtinId="9" hidden="1"/>
    <cellStyle name="Followed Hyperlink" xfId="32111" builtinId="9" hidden="1"/>
    <cellStyle name="Followed Hyperlink" xfId="32321" builtinId="9" hidden="1"/>
    <cellStyle name="Followed Hyperlink" xfId="32362" builtinId="9" hidden="1"/>
    <cellStyle name="Followed Hyperlink" xfId="32363" builtinId="9" hidden="1"/>
    <cellStyle name="Followed Hyperlink" xfId="32364" builtinId="9" hidden="1"/>
    <cellStyle name="Followed Hyperlink" xfId="32365" builtinId="9" hidden="1"/>
    <cellStyle name="Followed Hyperlink" xfId="32366" builtinId="9" hidden="1"/>
    <cellStyle name="Followed Hyperlink" xfId="32367" builtinId="9" hidden="1"/>
    <cellStyle name="Followed Hyperlink" xfId="32368" builtinId="9" hidden="1"/>
    <cellStyle name="Followed Hyperlink" xfId="32369" builtinId="9" hidden="1"/>
    <cellStyle name="Followed Hyperlink" xfId="32370" builtinId="9" hidden="1"/>
    <cellStyle name="Followed Hyperlink" xfId="32371" builtinId="9" hidden="1"/>
    <cellStyle name="Followed Hyperlink" xfId="32372" builtinId="9" hidden="1"/>
    <cellStyle name="Followed Hyperlink" xfId="32373" builtinId="9" hidden="1"/>
    <cellStyle name="Followed Hyperlink" xfId="32374" builtinId="9" hidden="1"/>
    <cellStyle name="Followed Hyperlink" xfId="32375" builtinId="9" hidden="1"/>
    <cellStyle name="Followed Hyperlink" xfId="32376" builtinId="9" hidden="1"/>
    <cellStyle name="Followed Hyperlink" xfId="32377" builtinId="9" hidden="1"/>
    <cellStyle name="Followed Hyperlink" xfId="32378" builtinId="9" hidden="1"/>
    <cellStyle name="Followed Hyperlink" xfId="32379" builtinId="9" hidden="1"/>
    <cellStyle name="Followed Hyperlink" xfId="32380" builtinId="9" hidden="1"/>
    <cellStyle name="Followed Hyperlink" xfId="32381" builtinId="9" hidden="1"/>
    <cellStyle name="Followed Hyperlink" xfId="32382" builtinId="9" hidden="1"/>
    <cellStyle name="Followed Hyperlink" xfId="32383" builtinId="9" hidden="1"/>
    <cellStyle name="Followed Hyperlink" xfId="32384" builtinId="9" hidden="1"/>
    <cellStyle name="Followed Hyperlink" xfId="32385" builtinId="9" hidden="1"/>
    <cellStyle name="Followed Hyperlink" xfId="32386" builtinId="9" hidden="1"/>
    <cellStyle name="Followed Hyperlink" xfId="32387" builtinId="9" hidden="1"/>
    <cellStyle name="Followed Hyperlink" xfId="32388" builtinId="9" hidden="1"/>
    <cellStyle name="Followed Hyperlink" xfId="32389" builtinId="9" hidden="1"/>
    <cellStyle name="Followed Hyperlink" xfId="32390" builtinId="9" hidden="1"/>
    <cellStyle name="Followed Hyperlink" xfId="32391" builtinId="9" hidden="1"/>
    <cellStyle name="Followed Hyperlink" xfId="32392" builtinId="9" hidden="1"/>
    <cellStyle name="Followed Hyperlink" xfId="32393" builtinId="9" hidden="1"/>
    <cellStyle name="Followed Hyperlink" xfId="32394" builtinId="9" hidden="1"/>
    <cellStyle name="Followed Hyperlink" xfId="32395" builtinId="9" hidden="1"/>
    <cellStyle name="Followed Hyperlink" xfId="32396" builtinId="9" hidden="1"/>
    <cellStyle name="Followed Hyperlink" xfId="32397" builtinId="9" hidden="1"/>
    <cellStyle name="Followed Hyperlink" xfId="32398" builtinId="9" hidden="1"/>
    <cellStyle name="Followed Hyperlink" xfId="32399" builtinId="9" hidden="1"/>
    <cellStyle name="Followed Hyperlink" xfId="32400" builtinId="9" hidden="1"/>
    <cellStyle name="Followed Hyperlink" xfId="32113" builtinId="9" hidden="1"/>
    <cellStyle name="Followed Hyperlink" xfId="32361" builtinId="9" hidden="1"/>
    <cellStyle name="Followed Hyperlink" xfId="32402" builtinId="9" hidden="1"/>
    <cellStyle name="Followed Hyperlink" xfId="32403" builtinId="9" hidden="1"/>
    <cellStyle name="Followed Hyperlink" xfId="32404" builtinId="9" hidden="1"/>
    <cellStyle name="Followed Hyperlink" xfId="32405" builtinId="9" hidden="1"/>
    <cellStyle name="Followed Hyperlink" xfId="32406" builtinId="9" hidden="1"/>
    <cellStyle name="Followed Hyperlink" xfId="32407" builtinId="9" hidden="1"/>
    <cellStyle name="Followed Hyperlink" xfId="32408" builtinId="9" hidden="1"/>
    <cellStyle name="Followed Hyperlink" xfId="32409" builtinId="9" hidden="1"/>
    <cellStyle name="Followed Hyperlink" xfId="32410" builtinId="9" hidden="1"/>
    <cellStyle name="Followed Hyperlink" xfId="32411" builtinId="9" hidden="1"/>
    <cellStyle name="Followed Hyperlink" xfId="32412" builtinId="9" hidden="1"/>
    <cellStyle name="Followed Hyperlink" xfId="32413" builtinId="9" hidden="1"/>
    <cellStyle name="Followed Hyperlink" xfId="32414" builtinId="9" hidden="1"/>
    <cellStyle name="Followed Hyperlink" xfId="32415" builtinId="9" hidden="1"/>
    <cellStyle name="Followed Hyperlink" xfId="32416" builtinId="9" hidden="1"/>
    <cellStyle name="Followed Hyperlink" xfId="32417" builtinId="9" hidden="1"/>
    <cellStyle name="Followed Hyperlink" xfId="32418" builtinId="9" hidden="1"/>
    <cellStyle name="Followed Hyperlink" xfId="32419" builtinId="9" hidden="1"/>
    <cellStyle name="Followed Hyperlink" xfId="32420" builtinId="9" hidden="1"/>
    <cellStyle name="Followed Hyperlink" xfId="32421" builtinId="9" hidden="1"/>
    <cellStyle name="Followed Hyperlink" xfId="32422" builtinId="9" hidden="1"/>
    <cellStyle name="Followed Hyperlink" xfId="32423" builtinId="9" hidden="1"/>
    <cellStyle name="Followed Hyperlink" xfId="32424" builtinId="9" hidden="1"/>
    <cellStyle name="Followed Hyperlink" xfId="32425" builtinId="9" hidden="1"/>
    <cellStyle name="Followed Hyperlink" xfId="32426" builtinId="9" hidden="1"/>
    <cellStyle name="Followed Hyperlink" xfId="32427" builtinId="9" hidden="1"/>
    <cellStyle name="Followed Hyperlink" xfId="32428" builtinId="9" hidden="1"/>
    <cellStyle name="Followed Hyperlink" xfId="32429" builtinId="9" hidden="1"/>
    <cellStyle name="Followed Hyperlink" xfId="32430" builtinId="9" hidden="1"/>
    <cellStyle name="Followed Hyperlink" xfId="32431" builtinId="9" hidden="1"/>
    <cellStyle name="Followed Hyperlink" xfId="32432" builtinId="9" hidden="1"/>
    <cellStyle name="Followed Hyperlink" xfId="32433" builtinId="9" hidden="1"/>
    <cellStyle name="Followed Hyperlink" xfId="32434" builtinId="9" hidden="1"/>
    <cellStyle name="Followed Hyperlink" xfId="32435" builtinId="9" hidden="1"/>
    <cellStyle name="Followed Hyperlink" xfId="32436" builtinId="9" hidden="1"/>
    <cellStyle name="Followed Hyperlink" xfId="32437" builtinId="9" hidden="1"/>
    <cellStyle name="Followed Hyperlink" xfId="32438" builtinId="9" hidden="1"/>
    <cellStyle name="Followed Hyperlink" xfId="32439" builtinId="9" hidden="1"/>
    <cellStyle name="Followed Hyperlink" xfId="32440" builtinId="9" hidden="1"/>
    <cellStyle name="Followed Hyperlink" xfId="32114" builtinId="9" hidden="1"/>
    <cellStyle name="Followed Hyperlink" xfId="32401" builtinId="9" hidden="1"/>
    <cellStyle name="Followed Hyperlink" xfId="32442" builtinId="9" hidden="1"/>
    <cellStyle name="Followed Hyperlink" xfId="32443" builtinId="9" hidden="1"/>
    <cellStyle name="Followed Hyperlink" xfId="32444" builtinId="9" hidden="1"/>
    <cellStyle name="Followed Hyperlink" xfId="32445" builtinId="9" hidden="1"/>
    <cellStyle name="Followed Hyperlink" xfId="32446" builtinId="9" hidden="1"/>
    <cellStyle name="Followed Hyperlink" xfId="32447" builtinId="9" hidden="1"/>
    <cellStyle name="Followed Hyperlink" xfId="32448" builtinId="9" hidden="1"/>
    <cellStyle name="Followed Hyperlink" xfId="32449" builtinId="9" hidden="1"/>
    <cellStyle name="Followed Hyperlink" xfId="32450" builtinId="9" hidden="1"/>
    <cellStyle name="Followed Hyperlink" xfId="32451" builtinId="9" hidden="1"/>
    <cellStyle name="Followed Hyperlink" xfId="32452" builtinId="9" hidden="1"/>
    <cellStyle name="Followed Hyperlink" xfId="32453" builtinId="9" hidden="1"/>
    <cellStyle name="Followed Hyperlink" xfId="32454" builtinId="9" hidden="1"/>
    <cellStyle name="Followed Hyperlink" xfId="32455" builtinId="9" hidden="1"/>
    <cellStyle name="Followed Hyperlink" xfId="32456" builtinId="9" hidden="1"/>
    <cellStyle name="Followed Hyperlink" xfId="32457" builtinId="9" hidden="1"/>
    <cellStyle name="Followed Hyperlink" xfId="32458" builtinId="9" hidden="1"/>
    <cellStyle name="Followed Hyperlink" xfId="32459" builtinId="9" hidden="1"/>
    <cellStyle name="Followed Hyperlink" xfId="32460" builtinId="9" hidden="1"/>
    <cellStyle name="Followed Hyperlink" xfId="32461" builtinId="9" hidden="1"/>
    <cellStyle name="Followed Hyperlink" xfId="32462" builtinId="9" hidden="1"/>
    <cellStyle name="Followed Hyperlink" xfId="32463" builtinId="9" hidden="1"/>
    <cellStyle name="Followed Hyperlink" xfId="32464" builtinId="9" hidden="1"/>
    <cellStyle name="Followed Hyperlink" xfId="32465" builtinId="9" hidden="1"/>
    <cellStyle name="Followed Hyperlink" xfId="32466" builtinId="9" hidden="1"/>
    <cellStyle name="Followed Hyperlink" xfId="32467" builtinId="9" hidden="1"/>
    <cellStyle name="Followed Hyperlink" xfId="32468" builtinId="9" hidden="1"/>
    <cellStyle name="Followed Hyperlink" xfId="32469" builtinId="9" hidden="1"/>
    <cellStyle name="Followed Hyperlink" xfId="32470" builtinId="9" hidden="1"/>
    <cellStyle name="Followed Hyperlink" xfId="32471" builtinId="9" hidden="1"/>
    <cellStyle name="Followed Hyperlink" xfId="32472" builtinId="9" hidden="1"/>
    <cellStyle name="Followed Hyperlink" xfId="32473" builtinId="9" hidden="1"/>
    <cellStyle name="Followed Hyperlink" xfId="32474" builtinId="9" hidden="1"/>
    <cellStyle name="Followed Hyperlink" xfId="32475" builtinId="9" hidden="1"/>
    <cellStyle name="Followed Hyperlink" xfId="32476" builtinId="9" hidden="1"/>
    <cellStyle name="Followed Hyperlink" xfId="32477" builtinId="9" hidden="1"/>
    <cellStyle name="Followed Hyperlink" xfId="32478" builtinId="9" hidden="1"/>
    <cellStyle name="Followed Hyperlink" xfId="32479" builtinId="9" hidden="1"/>
    <cellStyle name="Followed Hyperlink" xfId="32480" builtinId="9" hidden="1"/>
    <cellStyle name="Followed Hyperlink" xfId="32116" builtinId="9" hidden="1"/>
    <cellStyle name="Followed Hyperlink" xfId="32441" builtinId="9" hidden="1"/>
    <cellStyle name="Followed Hyperlink" xfId="32482" builtinId="9" hidden="1"/>
    <cellStyle name="Followed Hyperlink" xfId="32483" builtinId="9" hidden="1"/>
    <cellStyle name="Followed Hyperlink" xfId="32484" builtinId="9" hidden="1"/>
    <cellStyle name="Followed Hyperlink" xfId="32485" builtinId="9" hidden="1"/>
    <cellStyle name="Followed Hyperlink" xfId="32486" builtinId="9" hidden="1"/>
    <cellStyle name="Followed Hyperlink" xfId="32487" builtinId="9" hidden="1"/>
    <cellStyle name="Followed Hyperlink" xfId="32488" builtinId="9" hidden="1"/>
    <cellStyle name="Followed Hyperlink" xfId="32489" builtinId="9" hidden="1"/>
    <cellStyle name="Followed Hyperlink" xfId="32490" builtinId="9" hidden="1"/>
    <cellStyle name="Followed Hyperlink" xfId="32491" builtinId="9" hidden="1"/>
    <cellStyle name="Followed Hyperlink" xfId="32492" builtinId="9" hidden="1"/>
    <cellStyle name="Followed Hyperlink" xfId="32493" builtinId="9" hidden="1"/>
    <cellStyle name="Followed Hyperlink" xfId="32494" builtinId="9" hidden="1"/>
    <cellStyle name="Followed Hyperlink" xfId="32495" builtinId="9" hidden="1"/>
    <cellStyle name="Followed Hyperlink" xfId="32496" builtinId="9" hidden="1"/>
    <cellStyle name="Followed Hyperlink" xfId="32497" builtinId="9" hidden="1"/>
    <cellStyle name="Followed Hyperlink" xfId="32498" builtinId="9" hidden="1"/>
    <cellStyle name="Followed Hyperlink" xfId="32499" builtinId="9" hidden="1"/>
    <cellStyle name="Followed Hyperlink" xfId="32500" builtinId="9" hidden="1"/>
    <cellStyle name="Followed Hyperlink" xfId="32501" builtinId="9" hidden="1"/>
    <cellStyle name="Followed Hyperlink" xfId="32502" builtinId="9" hidden="1"/>
    <cellStyle name="Followed Hyperlink" xfId="32503" builtinId="9" hidden="1"/>
    <cellStyle name="Followed Hyperlink" xfId="32504" builtinId="9" hidden="1"/>
    <cellStyle name="Followed Hyperlink" xfId="32505" builtinId="9" hidden="1"/>
    <cellStyle name="Followed Hyperlink" xfId="32506" builtinId="9" hidden="1"/>
    <cellStyle name="Followed Hyperlink" xfId="32507" builtinId="9" hidden="1"/>
    <cellStyle name="Followed Hyperlink" xfId="32508" builtinId="9" hidden="1"/>
    <cellStyle name="Followed Hyperlink" xfId="32509" builtinId="9" hidden="1"/>
    <cellStyle name="Followed Hyperlink" xfId="32510" builtinId="9" hidden="1"/>
    <cellStyle name="Followed Hyperlink" xfId="32511" builtinId="9" hidden="1"/>
    <cellStyle name="Followed Hyperlink" xfId="32512" builtinId="9" hidden="1"/>
    <cellStyle name="Followed Hyperlink" xfId="32513" builtinId="9" hidden="1"/>
    <cellStyle name="Followed Hyperlink" xfId="32514" builtinId="9" hidden="1"/>
    <cellStyle name="Followed Hyperlink" xfId="32515" builtinId="9" hidden="1"/>
    <cellStyle name="Followed Hyperlink" xfId="32516" builtinId="9" hidden="1"/>
    <cellStyle name="Followed Hyperlink" xfId="32517" builtinId="9" hidden="1"/>
    <cellStyle name="Followed Hyperlink" xfId="32518" builtinId="9" hidden="1"/>
    <cellStyle name="Followed Hyperlink" xfId="32519" builtinId="9" hidden="1"/>
    <cellStyle name="Followed Hyperlink" xfId="32520" builtinId="9" hidden="1"/>
    <cellStyle name="Followed Hyperlink" xfId="32112" builtinId="9" hidden="1"/>
    <cellStyle name="Followed Hyperlink" xfId="32481" builtinId="9" hidden="1"/>
    <cellStyle name="Followed Hyperlink" xfId="32521" builtinId="9" hidden="1"/>
    <cellStyle name="Followed Hyperlink" xfId="32522" builtinId="9" hidden="1"/>
    <cellStyle name="Followed Hyperlink" xfId="32523" builtinId="9" hidden="1"/>
    <cellStyle name="Followed Hyperlink" xfId="32524" builtinId="9" hidden="1"/>
    <cellStyle name="Followed Hyperlink" xfId="32525" builtinId="9" hidden="1"/>
    <cellStyle name="Followed Hyperlink" xfId="32526" builtinId="9" hidden="1"/>
    <cellStyle name="Followed Hyperlink" xfId="32527" builtinId="9" hidden="1"/>
    <cellStyle name="Followed Hyperlink" xfId="32528" builtinId="9" hidden="1"/>
    <cellStyle name="Followed Hyperlink" xfId="32529" builtinId="9" hidden="1"/>
    <cellStyle name="Followed Hyperlink" xfId="32530" builtinId="9" hidden="1"/>
    <cellStyle name="Followed Hyperlink" xfId="32531" builtinId="9" hidden="1"/>
    <cellStyle name="Followed Hyperlink" xfId="32532" builtinId="9" hidden="1"/>
    <cellStyle name="Followed Hyperlink" xfId="32533" builtinId="9" hidden="1"/>
    <cellStyle name="Followed Hyperlink" xfId="32534" builtinId="9" hidden="1"/>
    <cellStyle name="Followed Hyperlink" xfId="32535" builtinId="9" hidden="1"/>
    <cellStyle name="Followed Hyperlink" xfId="32536" builtinId="9" hidden="1"/>
    <cellStyle name="Followed Hyperlink" xfId="32537" builtinId="9" hidden="1"/>
    <cellStyle name="Followed Hyperlink" xfId="32538" builtinId="9" hidden="1"/>
    <cellStyle name="Followed Hyperlink" xfId="32539" builtinId="9" hidden="1"/>
    <cellStyle name="Followed Hyperlink" xfId="32540" builtinId="9" hidden="1"/>
    <cellStyle name="Followed Hyperlink" xfId="32541" builtinId="9" hidden="1"/>
    <cellStyle name="Followed Hyperlink" xfId="32542" builtinId="9" hidden="1"/>
    <cellStyle name="Followed Hyperlink" xfId="32543" builtinId="9" hidden="1"/>
    <cellStyle name="Followed Hyperlink" xfId="32544" builtinId="9" hidden="1"/>
    <cellStyle name="Followed Hyperlink" xfId="32545" builtinId="9" hidden="1"/>
    <cellStyle name="Followed Hyperlink" xfId="32546" builtinId="9" hidden="1"/>
    <cellStyle name="Followed Hyperlink" xfId="32547" builtinId="9" hidden="1"/>
    <cellStyle name="Followed Hyperlink" xfId="32548" builtinId="9" hidden="1"/>
    <cellStyle name="Followed Hyperlink" xfId="32549" builtinId="9" hidden="1"/>
    <cellStyle name="Followed Hyperlink" xfId="32550" builtinId="9" hidden="1"/>
    <cellStyle name="Followed Hyperlink" xfId="32551" builtinId="9" hidden="1"/>
    <cellStyle name="Followed Hyperlink" xfId="32552" builtinId="9" hidden="1"/>
    <cellStyle name="Followed Hyperlink" xfId="32553" builtinId="9" hidden="1"/>
    <cellStyle name="Followed Hyperlink" xfId="32554" builtinId="9" hidden="1"/>
    <cellStyle name="Followed Hyperlink" xfId="32555" builtinId="9" hidden="1"/>
    <cellStyle name="Followed Hyperlink" xfId="32556" builtinId="9" hidden="1"/>
    <cellStyle name="Followed Hyperlink" xfId="32557" builtinId="9" hidden="1"/>
    <cellStyle name="Followed Hyperlink" xfId="32558" builtinId="9" hidden="1"/>
    <cellStyle name="Followed Hyperlink" xfId="32559" builtinId="9" hidden="1"/>
    <cellStyle name="Followed Hyperlink" xfId="32562" builtinId="9" hidden="1"/>
    <cellStyle name="Followed Hyperlink" xfId="32563" builtinId="9" hidden="1"/>
    <cellStyle name="Followed Hyperlink" xfId="32564" builtinId="9" hidden="1"/>
    <cellStyle name="Followed Hyperlink" xfId="32565" builtinId="9" hidden="1"/>
    <cellStyle name="Followed Hyperlink" xfId="32566" builtinId="9" hidden="1"/>
    <cellStyle name="Followed Hyperlink" xfId="32567" builtinId="9" hidden="1"/>
    <cellStyle name="Followed Hyperlink" xfId="32568" builtinId="9" hidden="1"/>
    <cellStyle name="Followed Hyperlink" xfId="32569" builtinId="9" hidden="1"/>
    <cellStyle name="Followed Hyperlink" xfId="32570" builtinId="9" hidden="1"/>
    <cellStyle name="Followed Hyperlink" xfId="32571" builtinId="9" hidden="1"/>
    <cellStyle name="Followed Hyperlink" xfId="32572" builtinId="9" hidden="1"/>
    <cellStyle name="Followed Hyperlink" xfId="32573" builtinId="9" hidden="1"/>
    <cellStyle name="Followed Hyperlink" xfId="32574" builtinId="9" hidden="1"/>
    <cellStyle name="Followed Hyperlink" xfId="32575" builtinId="9" hidden="1"/>
    <cellStyle name="Followed Hyperlink" xfId="32576" builtinId="9" hidden="1"/>
    <cellStyle name="Followed Hyperlink" xfId="32577" builtinId="9" hidden="1"/>
    <cellStyle name="Followed Hyperlink" xfId="32578" builtinId="9" hidden="1"/>
    <cellStyle name="Followed Hyperlink" xfId="32579" builtinId="9" hidden="1"/>
    <cellStyle name="Followed Hyperlink" xfId="32580" builtinId="9" hidden="1"/>
    <cellStyle name="Followed Hyperlink" xfId="32581" builtinId="9" hidden="1"/>
    <cellStyle name="Followed Hyperlink" xfId="32582" builtinId="9" hidden="1"/>
    <cellStyle name="Followed Hyperlink" xfId="32583" builtinId="9" hidden="1"/>
    <cellStyle name="Followed Hyperlink" xfId="32584" builtinId="9" hidden="1"/>
    <cellStyle name="Followed Hyperlink" xfId="32585" builtinId="9" hidden="1"/>
    <cellStyle name="Followed Hyperlink" xfId="32586" builtinId="9" hidden="1"/>
    <cellStyle name="Followed Hyperlink" xfId="32587" builtinId="9" hidden="1"/>
    <cellStyle name="Followed Hyperlink" xfId="32588" builtinId="9" hidden="1"/>
    <cellStyle name="Followed Hyperlink" xfId="32589" builtinId="9" hidden="1"/>
    <cellStyle name="Followed Hyperlink" xfId="32590" builtinId="9" hidden="1"/>
    <cellStyle name="Followed Hyperlink" xfId="32591" builtinId="9" hidden="1"/>
    <cellStyle name="Followed Hyperlink" xfId="32592" builtinId="9" hidden="1"/>
    <cellStyle name="Followed Hyperlink" xfId="32593" builtinId="9" hidden="1"/>
    <cellStyle name="Followed Hyperlink" xfId="32594" builtinId="9" hidden="1"/>
    <cellStyle name="Followed Hyperlink" xfId="32595" builtinId="9" hidden="1"/>
    <cellStyle name="Followed Hyperlink" xfId="32596" builtinId="9" hidden="1"/>
    <cellStyle name="Followed Hyperlink" xfId="32597" builtinId="9" hidden="1"/>
    <cellStyle name="Followed Hyperlink" xfId="32598" builtinId="9" hidden="1"/>
    <cellStyle name="Followed Hyperlink" xfId="32599" builtinId="9" hidden="1"/>
    <cellStyle name="Followed Hyperlink" xfId="32600" builtinId="9" hidden="1"/>
    <cellStyle name="Followed Hyperlink" xfId="32601" builtinId="9" hidden="1"/>
    <cellStyle name="Followed Hyperlink" xfId="32602" builtinId="9" hidden="1"/>
    <cellStyle name="Followed Hyperlink" xfId="32611" builtinId="9" hidden="1"/>
    <cellStyle name="Followed Hyperlink" xfId="32612" builtinId="9" hidden="1"/>
    <cellStyle name="Followed Hyperlink" xfId="32613" builtinId="9" hidden="1"/>
    <cellStyle name="Followed Hyperlink" xfId="32614" builtinId="9" hidden="1"/>
    <cellStyle name="Followed Hyperlink" xfId="32615" builtinId="9" hidden="1"/>
    <cellStyle name="Followed Hyperlink" xfId="32616" builtinId="9" hidden="1"/>
    <cellStyle name="Followed Hyperlink" xfId="32617" builtinId="9" hidden="1"/>
    <cellStyle name="Followed Hyperlink" xfId="32618" builtinId="9" hidden="1"/>
    <cellStyle name="Followed Hyperlink" xfId="32619" builtinId="9" hidden="1"/>
    <cellStyle name="Followed Hyperlink" xfId="32620" builtinId="9" hidden="1"/>
    <cellStyle name="Followed Hyperlink" xfId="32621" builtinId="9" hidden="1"/>
    <cellStyle name="Followed Hyperlink" xfId="32622" builtinId="9" hidden="1"/>
    <cellStyle name="Followed Hyperlink" xfId="32623" builtinId="9" hidden="1"/>
    <cellStyle name="Followed Hyperlink" xfId="32624" builtinId="9" hidden="1"/>
    <cellStyle name="Followed Hyperlink" xfId="32625" builtinId="9" hidden="1"/>
    <cellStyle name="Followed Hyperlink" xfId="32626" builtinId="9" hidden="1"/>
    <cellStyle name="Followed Hyperlink" xfId="32627" builtinId="9" hidden="1"/>
    <cellStyle name="Followed Hyperlink" xfId="32628" builtinId="9" hidden="1"/>
    <cellStyle name="Followed Hyperlink" xfId="32629" builtinId="9" hidden="1"/>
    <cellStyle name="Followed Hyperlink" xfId="32630" builtinId="9" hidden="1"/>
    <cellStyle name="Followed Hyperlink" xfId="32631" builtinId="9" hidden="1"/>
    <cellStyle name="Followed Hyperlink" xfId="32632" builtinId="9" hidden="1"/>
    <cellStyle name="Followed Hyperlink" xfId="32633" builtinId="9" hidden="1"/>
    <cellStyle name="Followed Hyperlink" xfId="32634" builtinId="9" hidden="1"/>
    <cellStyle name="Followed Hyperlink" xfId="32635" builtinId="9" hidden="1"/>
    <cellStyle name="Followed Hyperlink" xfId="32636" builtinId="9" hidden="1"/>
    <cellStyle name="Followed Hyperlink" xfId="32637" builtinId="9" hidden="1"/>
    <cellStyle name="Followed Hyperlink" xfId="32638" builtinId="9" hidden="1"/>
    <cellStyle name="Followed Hyperlink" xfId="32639" builtinId="9" hidden="1"/>
    <cellStyle name="Followed Hyperlink" xfId="32640" builtinId="9" hidden="1"/>
    <cellStyle name="Followed Hyperlink" xfId="32641" builtinId="9" hidden="1"/>
    <cellStyle name="Followed Hyperlink" xfId="32642" builtinId="9" hidden="1"/>
    <cellStyle name="Followed Hyperlink" xfId="32643" builtinId="9" hidden="1"/>
    <cellStyle name="Followed Hyperlink" xfId="32644" builtinId="9" hidden="1"/>
    <cellStyle name="Followed Hyperlink" xfId="32645" builtinId="9" hidden="1"/>
    <cellStyle name="Followed Hyperlink" xfId="32646" builtinId="9" hidden="1"/>
    <cellStyle name="Followed Hyperlink" xfId="32647" builtinId="9" hidden="1"/>
    <cellStyle name="Followed Hyperlink" xfId="32648" builtinId="9" hidden="1"/>
    <cellStyle name="Followed Hyperlink" xfId="32649" builtinId="9" hidden="1"/>
    <cellStyle name="Followed Hyperlink" xfId="32650" builtinId="9" hidden="1"/>
    <cellStyle name="Followed Hyperlink" xfId="32651" builtinId="9" hidden="1"/>
    <cellStyle name="Followed Hyperlink" xfId="32652" builtinId="9" hidden="1"/>
    <cellStyle name="Followed Hyperlink" xfId="32653" builtinId="9" hidden="1"/>
    <cellStyle name="Followed Hyperlink" xfId="32654" builtinId="9" hidden="1"/>
    <cellStyle name="Followed Hyperlink" xfId="32655" builtinId="9" hidden="1"/>
    <cellStyle name="Followed Hyperlink" xfId="32656" builtinId="9" hidden="1"/>
    <cellStyle name="Followed Hyperlink" xfId="32657" builtinId="9" hidden="1"/>
    <cellStyle name="Followed Hyperlink" xfId="32658" builtinId="9" hidden="1"/>
    <cellStyle name="Followed Hyperlink" xfId="32659" builtinId="9" hidden="1"/>
    <cellStyle name="Followed Hyperlink" xfId="32660" builtinId="9" hidden="1"/>
    <cellStyle name="Followed Hyperlink" xfId="32661" builtinId="9" hidden="1"/>
    <cellStyle name="Followed Hyperlink" xfId="32662" builtinId="9" hidden="1"/>
    <cellStyle name="Followed Hyperlink" xfId="32663" builtinId="9" hidden="1"/>
    <cellStyle name="Followed Hyperlink" xfId="32664" builtinId="9" hidden="1"/>
    <cellStyle name="Followed Hyperlink" xfId="32665" builtinId="9" hidden="1"/>
    <cellStyle name="Followed Hyperlink" xfId="32666" builtinId="9" hidden="1"/>
    <cellStyle name="Followed Hyperlink" xfId="32667" builtinId="9" hidden="1"/>
    <cellStyle name="Followed Hyperlink" xfId="32668" builtinId="9" hidden="1"/>
    <cellStyle name="Followed Hyperlink" xfId="32669" builtinId="9" hidden="1"/>
    <cellStyle name="Followed Hyperlink" xfId="32670" builtinId="9" hidden="1"/>
    <cellStyle name="Followed Hyperlink" xfId="32671" builtinId="9" hidden="1"/>
    <cellStyle name="Followed Hyperlink" xfId="32672" builtinId="9" hidden="1"/>
    <cellStyle name="Followed Hyperlink" xfId="32673" builtinId="9" hidden="1"/>
    <cellStyle name="Followed Hyperlink" xfId="32674" builtinId="9" hidden="1"/>
    <cellStyle name="Followed Hyperlink" xfId="32675" builtinId="9" hidden="1"/>
    <cellStyle name="Followed Hyperlink" xfId="32676" builtinId="9" hidden="1"/>
    <cellStyle name="Followed Hyperlink" xfId="32677" builtinId="9" hidden="1"/>
    <cellStyle name="Followed Hyperlink" xfId="32678" builtinId="9" hidden="1"/>
    <cellStyle name="Followed Hyperlink" xfId="32679" builtinId="9" hidden="1"/>
    <cellStyle name="Followed Hyperlink" xfId="32680" builtinId="9" hidden="1"/>
    <cellStyle name="Followed Hyperlink" xfId="32681" builtinId="9" hidden="1"/>
    <cellStyle name="Followed Hyperlink" xfId="32682" builtinId="9" hidden="1"/>
    <cellStyle name="Followed Hyperlink" xfId="32683" builtinId="9" hidden="1"/>
    <cellStyle name="Followed Hyperlink" xfId="32684" builtinId="9" hidden="1"/>
    <cellStyle name="Followed Hyperlink" xfId="32685" builtinId="9" hidden="1"/>
    <cellStyle name="Followed Hyperlink" xfId="32686" builtinId="9" hidden="1"/>
    <cellStyle name="Followed Hyperlink" xfId="32687" builtinId="9" hidden="1"/>
    <cellStyle name="Followed Hyperlink" xfId="32688" builtinId="9" hidden="1"/>
    <cellStyle name="Followed Hyperlink" xfId="32689" builtinId="9" hidden="1"/>
    <cellStyle name="Followed Hyperlink" xfId="32690" builtinId="9" hidden="1"/>
    <cellStyle name="Followed Hyperlink" xfId="32691" builtinId="9" hidden="1"/>
    <cellStyle name="Followed Hyperlink" xfId="32692" builtinId="9" hidden="1"/>
    <cellStyle name="Followed Hyperlink" xfId="32693" builtinId="9" hidden="1"/>
    <cellStyle name="Followed Hyperlink" xfId="32694" builtinId="9" hidden="1"/>
    <cellStyle name="Followed Hyperlink" xfId="32695" builtinId="9" hidden="1"/>
    <cellStyle name="Followed Hyperlink" xfId="32696" builtinId="9" hidden="1"/>
    <cellStyle name="Followed Hyperlink" xfId="32697" builtinId="9" hidden="1"/>
    <cellStyle name="Followed Hyperlink" xfId="32698" builtinId="9" hidden="1"/>
    <cellStyle name="Followed Hyperlink" xfId="32699" builtinId="9" hidden="1"/>
    <cellStyle name="Followed Hyperlink" xfId="32700" builtinId="9" hidden="1"/>
    <cellStyle name="Followed Hyperlink" xfId="32701" builtinId="9" hidden="1"/>
    <cellStyle name="Followed Hyperlink" xfId="32702" builtinId="9" hidden="1"/>
    <cellStyle name="Followed Hyperlink" xfId="32703" builtinId="9" hidden="1"/>
    <cellStyle name="Followed Hyperlink" xfId="32704" builtinId="9" hidden="1"/>
    <cellStyle name="Followed Hyperlink" xfId="32705" builtinId="9" hidden="1"/>
    <cellStyle name="Followed Hyperlink" xfId="32706" builtinId="9" hidden="1"/>
    <cellStyle name="Followed Hyperlink" xfId="32707" builtinId="9" hidden="1"/>
    <cellStyle name="Followed Hyperlink" xfId="32708" builtinId="9" hidden="1"/>
    <cellStyle name="Followed Hyperlink" xfId="32709" builtinId="9" hidden="1"/>
    <cellStyle name="Followed Hyperlink" xfId="32710" builtinId="9" hidden="1"/>
    <cellStyle name="Followed Hyperlink" xfId="32711" builtinId="9" hidden="1"/>
    <cellStyle name="Followed Hyperlink" xfId="32712" builtinId="9" hidden="1"/>
    <cellStyle name="Followed Hyperlink" xfId="32713" builtinId="9" hidden="1"/>
    <cellStyle name="Followed Hyperlink" xfId="32714" builtinId="9" hidden="1"/>
    <cellStyle name="Followed Hyperlink" xfId="32715" builtinId="9" hidden="1"/>
    <cellStyle name="Followed Hyperlink" xfId="32716" builtinId="9" hidden="1"/>
    <cellStyle name="Followed Hyperlink" xfId="32717" builtinId="9" hidden="1"/>
    <cellStyle name="Followed Hyperlink" xfId="32718" builtinId="9" hidden="1"/>
    <cellStyle name="Followed Hyperlink" xfId="32719" builtinId="9" hidden="1"/>
    <cellStyle name="Followed Hyperlink" xfId="32720" builtinId="9" hidden="1"/>
    <cellStyle name="Followed Hyperlink" xfId="32721" builtinId="9" hidden="1"/>
    <cellStyle name="Followed Hyperlink" xfId="32722" builtinId="9" hidden="1"/>
    <cellStyle name="Followed Hyperlink" xfId="32723" builtinId="9" hidden="1"/>
    <cellStyle name="Followed Hyperlink" xfId="32724" builtinId="9" hidden="1"/>
    <cellStyle name="Followed Hyperlink" xfId="32725" builtinId="9" hidden="1"/>
    <cellStyle name="Followed Hyperlink" xfId="32726" builtinId="9" hidden="1"/>
    <cellStyle name="Followed Hyperlink" xfId="32727" builtinId="9" hidden="1"/>
    <cellStyle name="Followed Hyperlink" xfId="32728" builtinId="9" hidden="1"/>
    <cellStyle name="Followed Hyperlink" xfId="32729" builtinId="9" hidden="1"/>
    <cellStyle name="Followed Hyperlink" xfId="32730" builtinId="9" hidden="1"/>
    <cellStyle name="Followed Hyperlink" xfId="32731" builtinId="9" hidden="1"/>
    <cellStyle name="Followed Hyperlink" xfId="32732" builtinId="9" hidden="1"/>
    <cellStyle name="Followed Hyperlink" xfId="32733" builtinId="9" hidden="1"/>
    <cellStyle name="Followed Hyperlink" xfId="32603" builtinId="9" hidden="1"/>
    <cellStyle name="Followed Hyperlink" xfId="32561" builtinId="9" hidden="1"/>
    <cellStyle name="Followed Hyperlink" xfId="32735" builtinId="9" hidden="1"/>
    <cellStyle name="Followed Hyperlink" xfId="32736" builtinId="9" hidden="1"/>
    <cellStyle name="Followed Hyperlink" xfId="32737" builtinId="9" hidden="1"/>
    <cellStyle name="Followed Hyperlink" xfId="32738" builtinId="9" hidden="1"/>
    <cellStyle name="Followed Hyperlink" xfId="32739" builtinId="9" hidden="1"/>
    <cellStyle name="Followed Hyperlink" xfId="32740" builtinId="9" hidden="1"/>
    <cellStyle name="Followed Hyperlink" xfId="32741" builtinId="9" hidden="1"/>
    <cellStyle name="Followed Hyperlink" xfId="32742" builtinId="9" hidden="1"/>
    <cellStyle name="Followed Hyperlink" xfId="32743" builtinId="9" hidden="1"/>
    <cellStyle name="Followed Hyperlink" xfId="32744" builtinId="9" hidden="1"/>
    <cellStyle name="Followed Hyperlink" xfId="32745" builtinId="9" hidden="1"/>
    <cellStyle name="Followed Hyperlink" xfId="32746" builtinId="9" hidden="1"/>
    <cellStyle name="Followed Hyperlink" xfId="32747" builtinId="9" hidden="1"/>
    <cellStyle name="Followed Hyperlink" xfId="32748" builtinId="9" hidden="1"/>
    <cellStyle name="Followed Hyperlink" xfId="32749" builtinId="9" hidden="1"/>
    <cellStyle name="Followed Hyperlink" xfId="32750" builtinId="9" hidden="1"/>
    <cellStyle name="Followed Hyperlink" xfId="32751" builtinId="9" hidden="1"/>
    <cellStyle name="Followed Hyperlink" xfId="32752" builtinId="9" hidden="1"/>
    <cellStyle name="Followed Hyperlink" xfId="32753" builtinId="9" hidden="1"/>
    <cellStyle name="Followed Hyperlink" xfId="32754" builtinId="9" hidden="1"/>
    <cellStyle name="Followed Hyperlink" xfId="32755" builtinId="9" hidden="1"/>
    <cellStyle name="Followed Hyperlink" xfId="32756" builtinId="9" hidden="1"/>
    <cellStyle name="Followed Hyperlink" xfId="32757" builtinId="9" hidden="1"/>
    <cellStyle name="Followed Hyperlink" xfId="32758" builtinId="9" hidden="1"/>
    <cellStyle name="Followed Hyperlink" xfId="32759" builtinId="9" hidden="1"/>
    <cellStyle name="Followed Hyperlink" xfId="32760" builtinId="9" hidden="1"/>
    <cellStyle name="Followed Hyperlink" xfId="32761" builtinId="9" hidden="1"/>
    <cellStyle name="Followed Hyperlink" xfId="32762" builtinId="9" hidden="1"/>
    <cellStyle name="Followed Hyperlink" xfId="32763" builtinId="9" hidden="1"/>
    <cellStyle name="Followed Hyperlink" xfId="32764" builtinId="9" hidden="1"/>
    <cellStyle name="Followed Hyperlink" xfId="32765" builtinId="9" hidden="1"/>
    <cellStyle name="Followed Hyperlink" xfId="32766" builtinId="9" hidden="1"/>
    <cellStyle name="Followed Hyperlink" xfId="32767" builtinId="9" hidden="1"/>
    <cellStyle name="Followed Hyperlink" xfId="32768" builtinId="9" hidden="1"/>
    <cellStyle name="Followed Hyperlink" xfId="32769" builtinId="9" hidden="1"/>
    <cellStyle name="Followed Hyperlink" xfId="32770" builtinId="9" hidden="1"/>
    <cellStyle name="Followed Hyperlink" xfId="32771" builtinId="9" hidden="1"/>
    <cellStyle name="Followed Hyperlink" xfId="32772" builtinId="9" hidden="1"/>
    <cellStyle name="Followed Hyperlink" xfId="32773" builtinId="9" hidden="1"/>
    <cellStyle name="Followed Hyperlink" xfId="32608" builtinId="9" hidden="1"/>
    <cellStyle name="Followed Hyperlink" xfId="32734" builtinId="9" hidden="1"/>
    <cellStyle name="Followed Hyperlink" xfId="32775" builtinId="9" hidden="1"/>
    <cellStyle name="Followed Hyperlink" xfId="32776" builtinId="9" hidden="1"/>
    <cellStyle name="Followed Hyperlink" xfId="32777" builtinId="9" hidden="1"/>
    <cellStyle name="Followed Hyperlink" xfId="32778" builtinId="9" hidden="1"/>
    <cellStyle name="Followed Hyperlink" xfId="32779" builtinId="9" hidden="1"/>
    <cellStyle name="Followed Hyperlink" xfId="32780" builtinId="9" hidden="1"/>
    <cellStyle name="Followed Hyperlink" xfId="32781" builtinId="9" hidden="1"/>
    <cellStyle name="Followed Hyperlink" xfId="32782" builtinId="9" hidden="1"/>
    <cellStyle name="Followed Hyperlink" xfId="32783" builtinId="9" hidden="1"/>
    <cellStyle name="Followed Hyperlink" xfId="32784" builtinId="9" hidden="1"/>
    <cellStyle name="Followed Hyperlink" xfId="32785" builtinId="9" hidden="1"/>
    <cellStyle name="Followed Hyperlink" xfId="32786" builtinId="9" hidden="1"/>
    <cellStyle name="Followed Hyperlink" xfId="32787" builtinId="9" hidden="1"/>
    <cellStyle name="Followed Hyperlink" xfId="32788" builtinId="9" hidden="1"/>
    <cellStyle name="Followed Hyperlink" xfId="32789" builtinId="9" hidden="1"/>
    <cellStyle name="Followed Hyperlink" xfId="32790" builtinId="9" hidden="1"/>
    <cellStyle name="Followed Hyperlink" xfId="32791" builtinId="9" hidden="1"/>
    <cellStyle name="Followed Hyperlink" xfId="32792" builtinId="9" hidden="1"/>
    <cellStyle name="Followed Hyperlink" xfId="32793" builtinId="9" hidden="1"/>
    <cellStyle name="Followed Hyperlink" xfId="32794" builtinId="9" hidden="1"/>
    <cellStyle name="Followed Hyperlink" xfId="32795" builtinId="9" hidden="1"/>
    <cellStyle name="Followed Hyperlink" xfId="32796" builtinId="9" hidden="1"/>
    <cellStyle name="Followed Hyperlink" xfId="32797" builtinId="9" hidden="1"/>
    <cellStyle name="Followed Hyperlink" xfId="32798" builtinId="9" hidden="1"/>
    <cellStyle name="Followed Hyperlink" xfId="32799" builtinId="9" hidden="1"/>
    <cellStyle name="Followed Hyperlink" xfId="32800" builtinId="9" hidden="1"/>
    <cellStyle name="Followed Hyperlink" xfId="32801" builtinId="9" hidden="1"/>
    <cellStyle name="Followed Hyperlink" xfId="32802" builtinId="9" hidden="1"/>
    <cellStyle name="Followed Hyperlink" xfId="32803" builtinId="9" hidden="1"/>
    <cellStyle name="Followed Hyperlink" xfId="32804" builtinId="9" hidden="1"/>
    <cellStyle name="Followed Hyperlink" xfId="32805" builtinId="9" hidden="1"/>
    <cellStyle name="Followed Hyperlink" xfId="32806" builtinId="9" hidden="1"/>
    <cellStyle name="Followed Hyperlink" xfId="32807" builtinId="9" hidden="1"/>
    <cellStyle name="Followed Hyperlink" xfId="32808" builtinId="9" hidden="1"/>
    <cellStyle name="Followed Hyperlink" xfId="32809" builtinId="9" hidden="1"/>
    <cellStyle name="Followed Hyperlink" xfId="32810" builtinId="9" hidden="1"/>
    <cellStyle name="Followed Hyperlink" xfId="32811" builtinId="9" hidden="1"/>
    <cellStyle name="Followed Hyperlink" xfId="32812" builtinId="9" hidden="1"/>
    <cellStyle name="Followed Hyperlink" xfId="32813" builtinId="9" hidden="1"/>
    <cellStyle name="Followed Hyperlink" xfId="32610" builtinId="9" hidden="1"/>
    <cellStyle name="Followed Hyperlink" xfId="32774" builtinId="9" hidden="1"/>
    <cellStyle name="Followed Hyperlink" xfId="32815" builtinId="9" hidden="1"/>
    <cellStyle name="Followed Hyperlink" xfId="32816" builtinId="9" hidden="1"/>
    <cellStyle name="Followed Hyperlink" xfId="32817" builtinId="9" hidden="1"/>
    <cellStyle name="Followed Hyperlink" xfId="32818" builtinId="9" hidden="1"/>
    <cellStyle name="Followed Hyperlink" xfId="32819" builtinId="9" hidden="1"/>
    <cellStyle name="Followed Hyperlink" xfId="32820" builtinId="9" hidden="1"/>
    <cellStyle name="Followed Hyperlink" xfId="32821" builtinId="9" hidden="1"/>
    <cellStyle name="Followed Hyperlink" xfId="32822" builtinId="9" hidden="1"/>
    <cellStyle name="Followed Hyperlink" xfId="32823" builtinId="9" hidden="1"/>
    <cellStyle name="Followed Hyperlink" xfId="32824" builtinId="9" hidden="1"/>
    <cellStyle name="Followed Hyperlink" xfId="32825" builtinId="9" hidden="1"/>
    <cellStyle name="Followed Hyperlink" xfId="32826" builtinId="9" hidden="1"/>
    <cellStyle name="Followed Hyperlink" xfId="32827" builtinId="9" hidden="1"/>
    <cellStyle name="Followed Hyperlink" xfId="32828" builtinId="9" hidden="1"/>
    <cellStyle name="Followed Hyperlink" xfId="32829" builtinId="9" hidden="1"/>
    <cellStyle name="Followed Hyperlink" xfId="32830" builtinId="9" hidden="1"/>
    <cellStyle name="Followed Hyperlink" xfId="32831" builtinId="9" hidden="1"/>
    <cellStyle name="Followed Hyperlink" xfId="32832" builtinId="9" hidden="1"/>
    <cellStyle name="Followed Hyperlink" xfId="32833" builtinId="9" hidden="1"/>
    <cellStyle name="Followed Hyperlink" xfId="32834" builtinId="9" hidden="1"/>
    <cellStyle name="Followed Hyperlink" xfId="32835" builtinId="9" hidden="1"/>
    <cellStyle name="Followed Hyperlink" xfId="32836" builtinId="9" hidden="1"/>
    <cellStyle name="Followed Hyperlink" xfId="32837" builtinId="9" hidden="1"/>
    <cellStyle name="Followed Hyperlink" xfId="32838" builtinId="9" hidden="1"/>
    <cellStyle name="Followed Hyperlink" xfId="32839" builtinId="9" hidden="1"/>
    <cellStyle name="Followed Hyperlink" xfId="32840" builtinId="9" hidden="1"/>
    <cellStyle name="Followed Hyperlink" xfId="32841" builtinId="9" hidden="1"/>
    <cellStyle name="Followed Hyperlink" xfId="32842" builtinId="9" hidden="1"/>
    <cellStyle name="Followed Hyperlink" xfId="32843" builtinId="9" hidden="1"/>
    <cellStyle name="Followed Hyperlink" xfId="32844" builtinId="9" hidden="1"/>
    <cellStyle name="Followed Hyperlink" xfId="32845" builtinId="9" hidden="1"/>
    <cellStyle name="Followed Hyperlink" xfId="32846" builtinId="9" hidden="1"/>
    <cellStyle name="Followed Hyperlink" xfId="32847" builtinId="9" hidden="1"/>
    <cellStyle name="Followed Hyperlink" xfId="32848" builtinId="9" hidden="1"/>
    <cellStyle name="Followed Hyperlink" xfId="32849" builtinId="9" hidden="1"/>
    <cellStyle name="Followed Hyperlink" xfId="32850" builtinId="9" hidden="1"/>
    <cellStyle name="Followed Hyperlink" xfId="32851" builtinId="9" hidden="1"/>
    <cellStyle name="Followed Hyperlink" xfId="32852" builtinId="9" hidden="1"/>
    <cellStyle name="Followed Hyperlink" xfId="32853" builtinId="9" hidden="1"/>
    <cellStyle name="Followed Hyperlink" xfId="32604" builtinId="9" hidden="1"/>
    <cellStyle name="Followed Hyperlink" xfId="32814" builtinId="9" hidden="1"/>
    <cellStyle name="Followed Hyperlink" xfId="32855" builtinId="9" hidden="1"/>
    <cellStyle name="Followed Hyperlink" xfId="32856" builtinId="9" hidden="1"/>
    <cellStyle name="Followed Hyperlink" xfId="32857" builtinId="9" hidden="1"/>
    <cellStyle name="Followed Hyperlink" xfId="32858" builtinId="9" hidden="1"/>
    <cellStyle name="Followed Hyperlink" xfId="32859" builtinId="9" hidden="1"/>
    <cellStyle name="Followed Hyperlink" xfId="32860" builtinId="9" hidden="1"/>
    <cellStyle name="Followed Hyperlink" xfId="32861" builtinId="9" hidden="1"/>
    <cellStyle name="Followed Hyperlink" xfId="32862" builtinId="9" hidden="1"/>
    <cellStyle name="Followed Hyperlink" xfId="32863" builtinId="9" hidden="1"/>
    <cellStyle name="Followed Hyperlink" xfId="32864" builtinId="9" hidden="1"/>
    <cellStyle name="Followed Hyperlink" xfId="32865" builtinId="9" hidden="1"/>
    <cellStyle name="Followed Hyperlink" xfId="32866" builtinId="9" hidden="1"/>
    <cellStyle name="Followed Hyperlink" xfId="32867" builtinId="9" hidden="1"/>
    <cellStyle name="Followed Hyperlink" xfId="32868" builtinId="9" hidden="1"/>
    <cellStyle name="Followed Hyperlink" xfId="32869" builtinId="9" hidden="1"/>
    <cellStyle name="Followed Hyperlink" xfId="32870" builtinId="9" hidden="1"/>
    <cellStyle name="Followed Hyperlink" xfId="32871" builtinId="9" hidden="1"/>
    <cellStyle name="Followed Hyperlink" xfId="32872" builtinId="9" hidden="1"/>
    <cellStyle name="Followed Hyperlink" xfId="32873" builtinId="9" hidden="1"/>
    <cellStyle name="Followed Hyperlink" xfId="32874" builtinId="9" hidden="1"/>
    <cellStyle name="Followed Hyperlink" xfId="32875" builtinId="9" hidden="1"/>
    <cellStyle name="Followed Hyperlink" xfId="32876" builtinId="9" hidden="1"/>
    <cellStyle name="Followed Hyperlink" xfId="32877" builtinId="9" hidden="1"/>
    <cellStyle name="Followed Hyperlink" xfId="32878" builtinId="9" hidden="1"/>
    <cellStyle name="Followed Hyperlink" xfId="32879" builtinId="9" hidden="1"/>
    <cellStyle name="Followed Hyperlink" xfId="32880" builtinId="9" hidden="1"/>
    <cellStyle name="Followed Hyperlink" xfId="32881" builtinId="9" hidden="1"/>
    <cellStyle name="Followed Hyperlink" xfId="32882" builtinId="9" hidden="1"/>
    <cellStyle name="Followed Hyperlink" xfId="32883" builtinId="9" hidden="1"/>
    <cellStyle name="Followed Hyperlink" xfId="32884" builtinId="9" hidden="1"/>
    <cellStyle name="Followed Hyperlink" xfId="32885" builtinId="9" hidden="1"/>
    <cellStyle name="Followed Hyperlink" xfId="32886" builtinId="9" hidden="1"/>
    <cellStyle name="Followed Hyperlink" xfId="32887" builtinId="9" hidden="1"/>
    <cellStyle name="Followed Hyperlink" xfId="32888" builtinId="9" hidden="1"/>
    <cellStyle name="Followed Hyperlink" xfId="32889" builtinId="9" hidden="1"/>
    <cellStyle name="Followed Hyperlink" xfId="32890" builtinId="9" hidden="1"/>
    <cellStyle name="Followed Hyperlink" xfId="32891" builtinId="9" hidden="1"/>
    <cellStyle name="Followed Hyperlink" xfId="32892" builtinId="9" hidden="1"/>
    <cellStyle name="Followed Hyperlink" xfId="32893" builtinId="9" hidden="1"/>
    <cellStyle name="Followed Hyperlink" xfId="32606" builtinId="9" hidden="1"/>
    <cellStyle name="Followed Hyperlink" xfId="32854" builtinId="9" hidden="1"/>
    <cellStyle name="Followed Hyperlink" xfId="32895" builtinId="9" hidden="1"/>
    <cellStyle name="Followed Hyperlink" xfId="32896" builtinId="9" hidden="1"/>
    <cellStyle name="Followed Hyperlink" xfId="32897" builtinId="9" hidden="1"/>
    <cellStyle name="Followed Hyperlink" xfId="32898" builtinId="9" hidden="1"/>
    <cellStyle name="Followed Hyperlink" xfId="32899" builtinId="9" hidden="1"/>
    <cellStyle name="Followed Hyperlink" xfId="32900" builtinId="9" hidden="1"/>
    <cellStyle name="Followed Hyperlink" xfId="32901" builtinId="9" hidden="1"/>
    <cellStyle name="Followed Hyperlink" xfId="32902" builtinId="9" hidden="1"/>
    <cellStyle name="Followed Hyperlink" xfId="32903" builtinId="9" hidden="1"/>
    <cellStyle name="Followed Hyperlink" xfId="32904" builtinId="9" hidden="1"/>
    <cellStyle name="Followed Hyperlink" xfId="32905" builtinId="9" hidden="1"/>
    <cellStyle name="Followed Hyperlink" xfId="32906" builtinId="9" hidden="1"/>
    <cellStyle name="Followed Hyperlink" xfId="32907" builtinId="9" hidden="1"/>
    <cellStyle name="Followed Hyperlink" xfId="32908" builtinId="9" hidden="1"/>
    <cellStyle name="Followed Hyperlink" xfId="32909" builtinId="9" hidden="1"/>
    <cellStyle name="Followed Hyperlink" xfId="32910" builtinId="9" hidden="1"/>
    <cellStyle name="Followed Hyperlink" xfId="32911" builtinId="9" hidden="1"/>
    <cellStyle name="Followed Hyperlink" xfId="32912" builtinId="9" hidden="1"/>
    <cellStyle name="Followed Hyperlink" xfId="32913" builtinId="9" hidden="1"/>
    <cellStyle name="Followed Hyperlink" xfId="32914" builtinId="9" hidden="1"/>
    <cellStyle name="Followed Hyperlink" xfId="32915" builtinId="9" hidden="1"/>
    <cellStyle name="Followed Hyperlink" xfId="32916" builtinId="9" hidden="1"/>
    <cellStyle name="Followed Hyperlink" xfId="32917" builtinId="9" hidden="1"/>
    <cellStyle name="Followed Hyperlink" xfId="32918" builtinId="9" hidden="1"/>
    <cellStyle name="Followed Hyperlink" xfId="32919" builtinId="9" hidden="1"/>
    <cellStyle name="Followed Hyperlink" xfId="32920" builtinId="9" hidden="1"/>
    <cellStyle name="Followed Hyperlink" xfId="32921" builtinId="9" hidden="1"/>
    <cellStyle name="Followed Hyperlink" xfId="32922" builtinId="9" hidden="1"/>
    <cellStyle name="Followed Hyperlink" xfId="32923" builtinId="9" hidden="1"/>
    <cellStyle name="Followed Hyperlink" xfId="32924" builtinId="9" hidden="1"/>
    <cellStyle name="Followed Hyperlink" xfId="32925" builtinId="9" hidden="1"/>
    <cellStyle name="Followed Hyperlink" xfId="32926" builtinId="9" hidden="1"/>
    <cellStyle name="Followed Hyperlink" xfId="32927" builtinId="9" hidden="1"/>
    <cellStyle name="Followed Hyperlink" xfId="32928" builtinId="9" hidden="1"/>
    <cellStyle name="Followed Hyperlink" xfId="32929" builtinId="9" hidden="1"/>
    <cellStyle name="Followed Hyperlink" xfId="32930" builtinId="9" hidden="1"/>
    <cellStyle name="Followed Hyperlink" xfId="32931" builtinId="9" hidden="1"/>
    <cellStyle name="Followed Hyperlink" xfId="32932" builtinId="9" hidden="1"/>
    <cellStyle name="Followed Hyperlink" xfId="32933" builtinId="9" hidden="1"/>
    <cellStyle name="Followed Hyperlink" xfId="32607" builtinId="9" hidden="1"/>
    <cellStyle name="Followed Hyperlink" xfId="32894" builtinId="9" hidden="1"/>
    <cellStyle name="Followed Hyperlink" xfId="32935" builtinId="9" hidden="1"/>
    <cellStyle name="Followed Hyperlink" xfId="32936" builtinId="9" hidden="1"/>
    <cellStyle name="Followed Hyperlink" xfId="32937" builtinId="9" hidden="1"/>
    <cellStyle name="Followed Hyperlink" xfId="32938" builtinId="9" hidden="1"/>
    <cellStyle name="Followed Hyperlink" xfId="32939" builtinId="9" hidden="1"/>
    <cellStyle name="Followed Hyperlink" xfId="32940" builtinId="9" hidden="1"/>
    <cellStyle name="Followed Hyperlink" xfId="32941" builtinId="9" hidden="1"/>
    <cellStyle name="Followed Hyperlink" xfId="32942" builtinId="9" hidden="1"/>
    <cellStyle name="Followed Hyperlink" xfId="32943" builtinId="9" hidden="1"/>
    <cellStyle name="Followed Hyperlink" xfId="32944" builtinId="9" hidden="1"/>
    <cellStyle name="Followed Hyperlink" xfId="32945" builtinId="9" hidden="1"/>
    <cellStyle name="Followed Hyperlink" xfId="32946" builtinId="9" hidden="1"/>
    <cellStyle name="Followed Hyperlink" xfId="32947" builtinId="9" hidden="1"/>
    <cellStyle name="Followed Hyperlink" xfId="32948" builtinId="9" hidden="1"/>
    <cellStyle name="Followed Hyperlink" xfId="32949" builtinId="9" hidden="1"/>
    <cellStyle name="Followed Hyperlink" xfId="32950" builtinId="9" hidden="1"/>
    <cellStyle name="Followed Hyperlink" xfId="32951" builtinId="9" hidden="1"/>
    <cellStyle name="Followed Hyperlink" xfId="32952" builtinId="9" hidden="1"/>
    <cellStyle name="Followed Hyperlink" xfId="32953" builtinId="9" hidden="1"/>
    <cellStyle name="Followed Hyperlink" xfId="32954" builtinId="9" hidden="1"/>
    <cellStyle name="Followed Hyperlink" xfId="32955" builtinId="9" hidden="1"/>
    <cellStyle name="Followed Hyperlink" xfId="32956" builtinId="9" hidden="1"/>
    <cellStyle name="Followed Hyperlink" xfId="32957" builtinId="9" hidden="1"/>
    <cellStyle name="Followed Hyperlink" xfId="32958" builtinId="9" hidden="1"/>
    <cellStyle name="Followed Hyperlink" xfId="32959" builtinId="9" hidden="1"/>
    <cellStyle name="Followed Hyperlink" xfId="32960" builtinId="9" hidden="1"/>
    <cellStyle name="Followed Hyperlink" xfId="32961" builtinId="9" hidden="1"/>
    <cellStyle name="Followed Hyperlink" xfId="32962" builtinId="9" hidden="1"/>
    <cellStyle name="Followed Hyperlink" xfId="32963" builtinId="9" hidden="1"/>
    <cellStyle name="Followed Hyperlink" xfId="32964" builtinId="9" hidden="1"/>
    <cellStyle name="Followed Hyperlink" xfId="32965" builtinId="9" hidden="1"/>
    <cellStyle name="Followed Hyperlink" xfId="32966" builtinId="9" hidden="1"/>
    <cellStyle name="Followed Hyperlink" xfId="32967" builtinId="9" hidden="1"/>
    <cellStyle name="Followed Hyperlink" xfId="32968" builtinId="9" hidden="1"/>
    <cellStyle name="Followed Hyperlink" xfId="32969" builtinId="9" hidden="1"/>
    <cellStyle name="Followed Hyperlink" xfId="32970" builtinId="9" hidden="1"/>
    <cellStyle name="Followed Hyperlink" xfId="32971" builtinId="9" hidden="1"/>
    <cellStyle name="Followed Hyperlink" xfId="32972" builtinId="9" hidden="1"/>
    <cellStyle name="Followed Hyperlink" xfId="32973" builtinId="9" hidden="1"/>
    <cellStyle name="Followed Hyperlink" xfId="32609" builtinId="9" hidden="1"/>
    <cellStyle name="Followed Hyperlink" xfId="32934" builtinId="9" hidden="1"/>
    <cellStyle name="Followed Hyperlink" xfId="32975" builtinId="9" hidden="1"/>
    <cellStyle name="Followed Hyperlink" xfId="32976" builtinId="9" hidden="1"/>
    <cellStyle name="Followed Hyperlink" xfId="32977" builtinId="9" hidden="1"/>
    <cellStyle name="Followed Hyperlink" xfId="32978" builtinId="9" hidden="1"/>
    <cellStyle name="Followed Hyperlink" xfId="32979" builtinId="9" hidden="1"/>
    <cellStyle name="Followed Hyperlink" xfId="32980" builtinId="9" hidden="1"/>
    <cellStyle name="Followed Hyperlink" xfId="32981" builtinId="9" hidden="1"/>
    <cellStyle name="Followed Hyperlink" xfId="32982" builtinId="9" hidden="1"/>
    <cellStyle name="Followed Hyperlink" xfId="32983" builtinId="9" hidden="1"/>
    <cellStyle name="Followed Hyperlink" xfId="32984" builtinId="9" hidden="1"/>
    <cellStyle name="Followed Hyperlink" xfId="32985" builtinId="9" hidden="1"/>
    <cellStyle name="Followed Hyperlink" xfId="32986" builtinId="9" hidden="1"/>
    <cellStyle name="Followed Hyperlink" xfId="32987" builtinId="9" hidden="1"/>
    <cellStyle name="Followed Hyperlink" xfId="32988" builtinId="9" hidden="1"/>
    <cellStyle name="Followed Hyperlink" xfId="32989" builtinId="9" hidden="1"/>
    <cellStyle name="Followed Hyperlink" xfId="32990" builtinId="9" hidden="1"/>
    <cellStyle name="Followed Hyperlink" xfId="32991" builtinId="9" hidden="1"/>
    <cellStyle name="Followed Hyperlink" xfId="32992" builtinId="9" hidden="1"/>
    <cellStyle name="Followed Hyperlink" xfId="32993" builtinId="9" hidden="1"/>
    <cellStyle name="Followed Hyperlink" xfId="32994" builtinId="9" hidden="1"/>
    <cellStyle name="Followed Hyperlink" xfId="32995" builtinId="9" hidden="1"/>
    <cellStyle name="Followed Hyperlink" xfId="32996" builtinId="9" hidden="1"/>
    <cellStyle name="Followed Hyperlink" xfId="32997" builtinId="9" hidden="1"/>
    <cellStyle name="Followed Hyperlink" xfId="32998" builtinId="9" hidden="1"/>
    <cellStyle name="Followed Hyperlink" xfId="32999" builtinId="9" hidden="1"/>
    <cellStyle name="Followed Hyperlink" xfId="33000" builtinId="9" hidden="1"/>
    <cellStyle name="Followed Hyperlink" xfId="33001" builtinId="9" hidden="1"/>
    <cellStyle name="Followed Hyperlink" xfId="33002" builtinId="9" hidden="1"/>
    <cellStyle name="Followed Hyperlink" xfId="33003" builtinId="9" hidden="1"/>
    <cellStyle name="Followed Hyperlink" xfId="33004" builtinId="9" hidden="1"/>
    <cellStyle name="Followed Hyperlink" xfId="33005" builtinId="9" hidden="1"/>
    <cellStyle name="Followed Hyperlink" xfId="33006" builtinId="9" hidden="1"/>
    <cellStyle name="Followed Hyperlink" xfId="33007" builtinId="9" hidden="1"/>
    <cellStyle name="Followed Hyperlink" xfId="33008" builtinId="9" hidden="1"/>
    <cellStyle name="Followed Hyperlink" xfId="33009" builtinId="9" hidden="1"/>
    <cellStyle name="Followed Hyperlink" xfId="33010" builtinId="9" hidden="1"/>
    <cellStyle name="Followed Hyperlink" xfId="33011" builtinId="9" hidden="1"/>
    <cellStyle name="Followed Hyperlink" xfId="33012" builtinId="9" hidden="1"/>
    <cellStyle name="Followed Hyperlink" xfId="33013" builtinId="9" hidden="1"/>
    <cellStyle name="Followed Hyperlink" xfId="32605" builtinId="9" hidden="1"/>
    <cellStyle name="Followed Hyperlink" xfId="32974" builtinId="9" hidden="1"/>
    <cellStyle name="Followed Hyperlink" xfId="33014" builtinId="9" hidden="1"/>
    <cellStyle name="Followed Hyperlink" xfId="33015" builtinId="9" hidden="1"/>
    <cellStyle name="Followed Hyperlink" xfId="33016" builtinId="9" hidden="1"/>
    <cellStyle name="Followed Hyperlink" xfId="33017" builtinId="9" hidden="1"/>
    <cellStyle name="Followed Hyperlink" xfId="33018" builtinId="9" hidden="1"/>
    <cellStyle name="Followed Hyperlink" xfId="33019" builtinId="9" hidden="1"/>
    <cellStyle name="Followed Hyperlink" xfId="33020" builtinId="9" hidden="1"/>
    <cellStyle name="Followed Hyperlink" xfId="33021" builtinId="9" hidden="1"/>
    <cellStyle name="Followed Hyperlink" xfId="33022" builtinId="9" hidden="1"/>
    <cellStyle name="Followed Hyperlink" xfId="33023" builtinId="9" hidden="1"/>
    <cellStyle name="Followed Hyperlink" xfId="33024" builtinId="9" hidden="1"/>
    <cellStyle name="Followed Hyperlink" xfId="33025" builtinId="9" hidden="1"/>
    <cellStyle name="Followed Hyperlink" xfId="33026" builtinId="9" hidden="1"/>
    <cellStyle name="Followed Hyperlink" xfId="33027" builtinId="9" hidden="1"/>
    <cellStyle name="Followed Hyperlink" xfId="33028" builtinId="9" hidden="1"/>
    <cellStyle name="Followed Hyperlink" xfId="33029" builtinId="9" hidden="1"/>
    <cellStyle name="Followed Hyperlink" xfId="33030" builtinId="9" hidden="1"/>
    <cellStyle name="Followed Hyperlink" xfId="33031" builtinId="9" hidden="1"/>
    <cellStyle name="Followed Hyperlink" xfId="33032" builtinId="9" hidden="1"/>
    <cellStyle name="Followed Hyperlink" xfId="33033" builtinId="9" hidden="1"/>
    <cellStyle name="Followed Hyperlink" xfId="33034" builtinId="9" hidden="1"/>
    <cellStyle name="Followed Hyperlink" xfId="33035" builtinId="9" hidden="1"/>
    <cellStyle name="Followed Hyperlink" xfId="33036" builtinId="9" hidden="1"/>
    <cellStyle name="Followed Hyperlink" xfId="33037" builtinId="9" hidden="1"/>
    <cellStyle name="Followed Hyperlink" xfId="33038" builtinId="9" hidden="1"/>
    <cellStyle name="Followed Hyperlink" xfId="33039" builtinId="9" hidden="1"/>
    <cellStyle name="Followed Hyperlink" xfId="33040" builtinId="9" hidden="1"/>
    <cellStyle name="Followed Hyperlink" xfId="33041" builtinId="9" hidden="1"/>
    <cellStyle name="Followed Hyperlink" xfId="33042" builtinId="9" hidden="1"/>
    <cellStyle name="Followed Hyperlink" xfId="33043" builtinId="9" hidden="1"/>
    <cellStyle name="Followed Hyperlink" xfId="33044" builtinId="9" hidden="1"/>
    <cellStyle name="Followed Hyperlink" xfId="33045" builtinId="9" hidden="1"/>
    <cellStyle name="Followed Hyperlink" xfId="33046" builtinId="9" hidden="1"/>
    <cellStyle name="Followed Hyperlink" xfId="33047" builtinId="9" hidden="1"/>
    <cellStyle name="Followed Hyperlink" xfId="33048" builtinId="9" hidden="1"/>
    <cellStyle name="Followed Hyperlink" xfId="33049" builtinId="9" hidden="1"/>
    <cellStyle name="Followed Hyperlink" xfId="33050" builtinId="9" hidden="1"/>
    <cellStyle name="Followed Hyperlink" xfId="33051" builtinId="9" hidden="1"/>
    <cellStyle name="Followed Hyperlink" xfId="33052" builtinId="9" hidden="1"/>
    <cellStyle name="Followed Hyperlink" xfId="33078" builtinId="9" hidden="1"/>
    <cellStyle name="Followed Hyperlink" xfId="33079" builtinId="9" hidden="1"/>
    <cellStyle name="Followed Hyperlink" xfId="33080" builtinId="9" hidden="1"/>
    <cellStyle name="Followed Hyperlink" xfId="33081" builtinId="9" hidden="1"/>
    <cellStyle name="Followed Hyperlink" xfId="33082" builtinId="9" hidden="1"/>
    <cellStyle name="Followed Hyperlink" xfId="33083" builtinId="9" hidden="1"/>
    <cellStyle name="Followed Hyperlink" xfId="33084" builtinId="9" hidden="1"/>
    <cellStyle name="Followed Hyperlink" xfId="33085" builtinId="9" hidden="1"/>
    <cellStyle name="Followed Hyperlink" xfId="33086" builtinId="9" hidden="1"/>
    <cellStyle name="Followed Hyperlink" xfId="33087" builtinId="9" hidden="1"/>
    <cellStyle name="Followed Hyperlink" xfId="33088" builtinId="9" hidden="1"/>
    <cellStyle name="Followed Hyperlink" xfId="33089" builtinId="9" hidden="1"/>
    <cellStyle name="Followed Hyperlink" xfId="33090" builtinId="9" hidden="1"/>
    <cellStyle name="Followed Hyperlink" xfId="33091" builtinId="9" hidden="1"/>
    <cellStyle name="Followed Hyperlink" xfId="33092" builtinId="9" hidden="1"/>
    <cellStyle name="Followed Hyperlink" xfId="33093" builtinId="9" hidden="1"/>
    <cellStyle name="Followed Hyperlink" xfId="33094" builtinId="9" hidden="1"/>
    <cellStyle name="Followed Hyperlink" xfId="33095" builtinId="9" hidden="1"/>
    <cellStyle name="Followed Hyperlink" xfId="33096" builtinId="9" hidden="1"/>
    <cellStyle name="Followed Hyperlink" xfId="33097" builtinId="9" hidden="1"/>
    <cellStyle name="Followed Hyperlink" xfId="33098" builtinId="9" hidden="1"/>
    <cellStyle name="Followed Hyperlink" xfId="33099" builtinId="9" hidden="1"/>
    <cellStyle name="Followed Hyperlink" xfId="33100" builtinId="9" hidden="1"/>
    <cellStyle name="Followed Hyperlink" xfId="33101" builtinId="9" hidden="1"/>
    <cellStyle name="Followed Hyperlink" xfId="33102" builtinId="9" hidden="1"/>
    <cellStyle name="Followed Hyperlink" xfId="33103" builtinId="9" hidden="1"/>
    <cellStyle name="Followed Hyperlink" xfId="33104" builtinId="9" hidden="1"/>
    <cellStyle name="Followed Hyperlink" xfId="33105" builtinId="9" hidden="1"/>
    <cellStyle name="Followed Hyperlink" xfId="33106" builtinId="9" hidden="1"/>
    <cellStyle name="Followed Hyperlink" xfId="33107" builtinId="9" hidden="1"/>
    <cellStyle name="Followed Hyperlink" xfId="33108" builtinId="9" hidden="1"/>
    <cellStyle name="Followed Hyperlink" xfId="33109" builtinId="9" hidden="1"/>
    <cellStyle name="Followed Hyperlink" xfId="33110" builtinId="9" hidden="1"/>
    <cellStyle name="Followed Hyperlink" xfId="33111" builtinId="9" hidden="1"/>
    <cellStyle name="Followed Hyperlink" xfId="33112" builtinId="9" hidden="1"/>
    <cellStyle name="Followed Hyperlink" xfId="33113" builtinId="9" hidden="1"/>
    <cellStyle name="Followed Hyperlink" xfId="33114" builtinId="9" hidden="1"/>
    <cellStyle name="Followed Hyperlink" xfId="33115" builtinId="9" hidden="1"/>
    <cellStyle name="Followed Hyperlink" xfId="33116" builtinId="9" hidden="1"/>
    <cellStyle name="Followed Hyperlink" xfId="33117" builtinId="9" hidden="1"/>
    <cellStyle name="Followed Hyperlink" xfId="33118" builtinId="9" hidden="1"/>
    <cellStyle name="Followed Hyperlink" xfId="33127" builtinId="9" hidden="1"/>
    <cellStyle name="Followed Hyperlink" xfId="33128" builtinId="9" hidden="1"/>
    <cellStyle name="Followed Hyperlink" xfId="33129" builtinId="9" hidden="1"/>
    <cellStyle name="Followed Hyperlink" xfId="33130" builtinId="9" hidden="1"/>
    <cellStyle name="Followed Hyperlink" xfId="33131" builtinId="9" hidden="1"/>
    <cellStyle name="Followed Hyperlink" xfId="33132" builtinId="9" hidden="1"/>
    <cellStyle name="Followed Hyperlink" xfId="33133" builtinId="9" hidden="1"/>
    <cellStyle name="Followed Hyperlink" xfId="33134" builtinId="9" hidden="1"/>
    <cellStyle name="Followed Hyperlink" xfId="33135" builtinId="9" hidden="1"/>
    <cellStyle name="Followed Hyperlink" xfId="33136" builtinId="9" hidden="1"/>
    <cellStyle name="Followed Hyperlink" xfId="33137" builtinId="9" hidden="1"/>
    <cellStyle name="Followed Hyperlink" xfId="33138" builtinId="9" hidden="1"/>
    <cellStyle name="Followed Hyperlink" xfId="33139" builtinId="9" hidden="1"/>
    <cellStyle name="Followed Hyperlink" xfId="33140" builtinId="9" hidden="1"/>
    <cellStyle name="Followed Hyperlink" xfId="33141" builtinId="9" hidden="1"/>
    <cellStyle name="Followed Hyperlink" xfId="33142" builtinId="9" hidden="1"/>
    <cellStyle name="Followed Hyperlink" xfId="33143" builtinId="9" hidden="1"/>
    <cellStyle name="Followed Hyperlink" xfId="33144" builtinId="9" hidden="1"/>
    <cellStyle name="Followed Hyperlink" xfId="33145" builtinId="9" hidden="1"/>
    <cellStyle name="Followed Hyperlink" xfId="33146" builtinId="9" hidden="1"/>
    <cellStyle name="Followed Hyperlink" xfId="33147" builtinId="9" hidden="1"/>
    <cellStyle name="Followed Hyperlink" xfId="33148" builtinId="9" hidden="1"/>
    <cellStyle name="Followed Hyperlink" xfId="33149" builtinId="9" hidden="1"/>
    <cellStyle name="Followed Hyperlink" xfId="33150" builtinId="9" hidden="1"/>
    <cellStyle name="Followed Hyperlink" xfId="33151" builtinId="9" hidden="1"/>
    <cellStyle name="Followed Hyperlink" xfId="33152" builtinId="9" hidden="1"/>
    <cellStyle name="Followed Hyperlink" xfId="33153" builtinId="9" hidden="1"/>
    <cellStyle name="Followed Hyperlink" xfId="33154" builtinId="9" hidden="1"/>
    <cellStyle name="Followed Hyperlink" xfId="33155" builtinId="9" hidden="1"/>
    <cellStyle name="Followed Hyperlink" xfId="33156" builtinId="9" hidden="1"/>
    <cellStyle name="Followed Hyperlink" xfId="33157" builtinId="9" hidden="1"/>
    <cellStyle name="Followed Hyperlink" xfId="33158" builtinId="9" hidden="1"/>
    <cellStyle name="Followed Hyperlink" xfId="33159" builtinId="9" hidden="1"/>
    <cellStyle name="Followed Hyperlink" xfId="33160" builtinId="9" hidden="1"/>
    <cellStyle name="Followed Hyperlink" xfId="33161" builtinId="9" hidden="1"/>
    <cellStyle name="Followed Hyperlink" xfId="33162" builtinId="9" hidden="1"/>
    <cellStyle name="Followed Hyperlink" xfId="33163" builtinId="9" hidden="1"/>
    <cellStyle name="Followed Hyperlink" xfId="33164" builtinId="9" hidden="1"/>
    <cellStyle name="Followed Hyperlink" xfId="33165" builtinId="9" hidden="1"/>
    <cellStyle name="Followed Hyperlink" xfId="33166" builtinId="9" hidden="1"/>
    <cellStyle name="Followed Hyperlink" xfId="33167" builtinId="9" hidden="1"/>
    <cellStyle name="Followed Hyperlink" xfId="33168" builtinId="9" hidden="1"/>
    <cellStyle name="Followed Hyperlink" xfId="33169" builtinId="9" hidden="1"/>
    <cellStyle name="Followed Hyperlink" xfId="33170" builtinId="9" hidden="1"/>
    <cellStyle name="Followed Hyperlink" xfId="33171" builtinId="9" hidden="1"/>
    <cellStyle name="Followed Hyperlink" xfId="33172" builtinId="9" hidden="1"/>
    <cellStyle name="Followed Hyperlink" xfId="33173" builtinId="9" hidden="1"/>
    <cellStyle name="Followed Hyperlink" xfId="33174" builtinId="9" hidden="1"/>
    <cellStyle name="Followed Hyperlink" xfId="33175" builtinId="9" hidden="1"/>
    <cellStyle name="Followed Hyperlink" xfId="33176" builtinId="9" hidden="1"/>
    <cellStyle name="Followed Hyperlink" xfId="33177" builtinId="9" hidden="1"/>
    <cellStyle name="Followed Hyperlink" xfId="33178" builtinId="9" hidden="1"/>
    <cellStyle name="Followed Hyperlink" xfId="33179" builtinId="9" hidden="1"/>
    <cellStyle name="Followed Hyperlink" xfId="33180" builtinId="9" hidden="1"/>
    <cellStyle name="Followed Hyperlink" xfId="33181" builtinId="9" hidden="1"/>
    <cellStyle name="Followed Hyperlink" xfId="33182" builtinId="9" hidden="1"/>
    <cellStyle name="Followed Hyperlink" xfId="33183" builtinId="9" hidden="1"/>
    <cellStyle name="Followed Hyperlink" xfId="33184" builtinId="9" hidden="1"/>
    <cellStyle name="Followed Hyperlink" xfId="33185" builtinId="9" hidden="1"/>
    <cellStyle name="Followed Hyperlink" xfId="33186" builtinId="9" hidden="1"/>
    <cellStyle name="Followed Hyperlink" xfId="33187" builtinId="9" hidden="1"/>
    <cellStyle name="Followed Hyperlink" xfId="33188" builtinId="9" hidden="1"/>
    <cellStyle name="Followed Hyperlink" xfId="33189" builtinId="9" hidden="1"/>
    <cellStyle name="Followed Hyperlink" xfId="33190" builtinId="9" hidden="1"/>
    <cellStyle name="Followed Hyperlink" xfId="33191" builtinId="9" hidden="1"/>
    <cellStyle name="Followed Hyperlink" xfId="33192" builtinId="9" hidden="1"/>
    <cellStyle name="Followed Hyperlink" xfId="33193" builtinId="9" hidden="1"/>
    <cellStyle name="Followed Hyperlink" xfId="33194" builtinId="9" hidden="1"/>
    <cellStyle name="Followed Hyperlink" xfId="33195" builtinId="9" hidden="1"/>
    <cellStyle name="Followed Hyperlink" xfId="33196" builtinId="9" hidden="1"/>
    <cellStyle name="Followed Hyperlink" xfId="33197" builtinId="9" hidden="1"/>
    <cellStyle name="Followed Hyperlink" xfId="33198" builtinId="9" hidden="1"/>
    <cellStyle name="Followed Hyperlink" xfId="33199" builtinId="9" hidden="1"/>
    <cellStyle name="Followed Hyperlink" xfId="33200" builtinId="9" hidden="1"/>
    <cellStyle name="Followed Hyperlink" xfId="33201" builtinId="9" hidden="1"/>
    <cellStyle name="Followed Hyperlink" xfId="33202" builtinId="9" hidden="1"/>
    <cellStyle name="Followed Hyperlink" xfId="33203" builtinId="9" hidden="1"/>
    <cellStyle name="Followed Hyperlink" xfId="33204" builtinId="9" hidden="1"/>
    <cellStyle name="Followed Hyperlink" xfId="33205" builtinId="9" hidden="1"/>
    <cellStyle name="Followed Hyperlink" xfId="33206" builtinId="9" hidden="1"/>
    <cellStyle name="Followed Hyperlink" xfId="33207" builtinId="9" hidden="1"/>
    <cellStyle name="Followed Hyperlink" xfId="33208" builtinId="9" hidden="1"/>
    <cellStyle name="Followed Hyperlink" xfId="33209" builtinId="9" hidden="1"/>
    <cellStyle name="Followed Hyperlink" xfId="33210" builtinId="9" hidden="1"/>
    <cellStyle name="Followed Hyperlink" xfId="33211" builtinId="9" hidden="1"/>
    <cellStyle name="Followed Hyperlink" xfId="33212" builtinId="9" hidden="1"/>
    <cellStyle name="Followed Hyperlink" xfId="33213" builtinId="9" hidden="1"/>
    <cellStyle name="Followed Hyperlink" xfId="33214" builtinId="9" hidden="1"/>
    <cellStyle name="Followed Hyperlink" xfId="33215" builtinId="9" hidden="1"/>
    <cellStyle name="Followed Hyperlink" xfId="33216" builtinId="9" hidden="1"/>
    <cellStyle name="Followed Hyperlink" xfId="33217" builtinId="9" hidden="1"/>
    <cellStyle name="Followed Hyperlink" xfId="33218" builtinId="9" hidden="1"/>
    <cellStyle name="Followed Hyperlink" xfId="33219" builtinId="9" hidden="1"/>
    <cellStyle name="Followed Hyperlink" xfId="33220" builtinId="9" hidden="1"/>
    <cellStyle name="Followed Hyperlink" xfId="33221" builtinId="9" hidden="1"/>
    <cellStyle name="Followed Hyperlink" xfId="33222" builtinId="9" hidden="1"/>
    <cellStyle name="Followed Hyperlink" xfId="33223" builtinId="9" hidden="1"/>
    <cellStyle name="Followed Hyperlink" xfId="33224" builtinId="9" hidden="1"/>
    <cellStyle name="Followed Hyperlink" xfId="33225" builtinId="9" hidden="1"/>
    <cellStyle name="Followed Hyperlink" xfId="33226" builtinId="9" hidden="1"/>
    <cellStyle name="Followed Hyperlink" xfId="33227" builtinId="9" hidden="1"/>
    <cellStyle name="Followed Hyperlink" xfId="33228" builtinId="9" hidden="1"/>
    <cellStyle name="Followed Hyperlink" xfId="33229" builtinId="9" hidden="1"/>
    <cellStyle name="Followed Hyperlink" xfId="33230" builtinId="9" hidden="1"/>
    <cellStyle name="Followed Hyperlink" xfId="33231" builtinId="9" hidden="1"/>
    <cellStyle name="Followed Hyperlink" xfId="33232" builtinId="9" hidden="1"/>
    <cellStyle name="Followed Hyperlink" xfId="33233" builtinId="9" hidden="1"/>
    <cellStyle name="Followed Hyperlink" xfId="33234" builtinId="9" hidden="1"/>
    <cellStyle name="Followed Hyperlink" xfId="33235" builtinId="9" hidden="1"/>
    <cellStyle name="Followed Hyperlink" xfId="33236" builtinId="9" hidden="1"/>
    <cellStyle name="Followed Hyperlink" xfId="33237" builtinId="9" hidden="1"/>
    <cellStyle name="Followed Hyperlink" xfId="33238" builtinId="9" hidden="1"/>
    <cellStyle name="Followed Hyperlink" xfId="33239" builtinId="9" hidden="1"/>
    <cellStyle name="Followed Hyperlink" xfId="33240" builtinId="9" hidden="1"/>
    <cellStyle name="Followed Hyperlink" xfId="33241" builtinId="9" hidden="1"/>
    <cellStyle name="Followed Hyperlink" xfId="33242" builtinId="9" hidden="1"/>
    <cellStyle name="Followed Hyperlink" xfId="33243" builtinId="9" hidden="1"/>
    <cellStyle name="Followed Hyperlink" xfId="33244" builtinId="9" hidden="1"/>
    <cellStyle name="Followed Hyperlink" xfId="33245" builtinId="9" hidden="1"/>
    <cellStyle name="Followed Hyperlink" xfId="33246" builtinId="9" hidden="1"/>
    <cellStyle name="Followed Hyperlink" xfId="33247" builtinId="9" hidden="1"/>
    <cellStyle name="Followed Hyperlink" xfId="33248" builtinId="9" hidden="1"/>
    <cellStyle name="Followed Hyperlink" xfId="33249" builtinId="9" hidden="1"/>
    <cellStyle name="Followed Hyperlink" xfId="33119" builtinId="9" hidden="1"/>
    <cellStyle name="Followed Hyperlink" xfId="33077" builtinId="9" hidden="1"/>
    <cellStyle name="Followed Hyperlink" xfId="33251" builtinId="9" hidden="1"/>
    <cellStyle name="Followed Hyperlink" xfId="33252" builtinId="9" hidden="1"/>
    <cellStyle name="Followed Hyperlink" xfId="33253" builtinId="9" hidden="1"/>
    <cellStyle name="Followed Hyperlink" xfId="33254" builtinId="9" hidden="1"/>
    <cellStyle name="Followed Hyperlink" xfId="33255" builtinId="9" hidden="1"/>
    <cellStyle name="Followed Hyperlink" xfId="33256" builtinId="9" hidden="1"/>
    <cellStyle name="Followed Hyperlink" xfId="33257" builtinId="9" hidden="1"/>
    <cellStyle name="Followed Hyperlink" xfId="33258" builtinId="9" hidden="1"/>
    <cellStyle name="Followed Hyperlink" xfId="33259" builtinId="9" hidden="1"/>
    <cellStyle name="Followed Hyperlink" xfId="33260" builtinId="9" hidden="1"/>
    <cellStyle name="Followed Hyperlink" xfId="33261" builtinId="9" hidden="1"/>
    <cellStyle name="Followed Hyperlink" xfId="33262" builtinId="9" hidden="1"/>
    <cellStyle name="Followed Hyperlink" xfId="33263" builtinId="9" hidden="1"/>
    <cellStyle name="Followed Hyperlink" xfId="33264" builtinId="9" hidden="1"/>
    <cellStyle name="Followed Hyperlink" xfId="33265" builtinId="9" hidden="1"/>
    <cellStyle name="Followed Hyperlink" xfId="33266" builtinId="9" hidden="1"/>
    <cellStyle name="Followed Hyperlink" xfId="33267" builtinId="9" hidden="1"/>
    <cellStyle name="Followed Hyperlink" xfId="33268" builtinId="9" hidden="1"/>
    <cellStyle name="Followed Hyperlink" xfId="33269" builtinId="9" hidden="1"/>
    <cellStyle name="Followed Hyperlink" xfId="33270" builtinId="9" hidden="1"/>
    <cellStyle name="Followed Hyperlink" xfId="33271" builtinId="9" hidden="1"/>
    <cellStyle name="Followed Hyperlink" xfId="33272" builtinId="9" hidden="1"/>
    <cellStyle name="Followed Hyperlink" xfId="33273" builtinId="9" hidden="1"/>
    <cellStyle name="Followed Hyperlink" xfId="33274" builtinId="9" hidden="1"/>
    <cellStyle name="Followed Hyperlink" xfId="33275" builtinId="9" hidden="1"/>
    <cellStyle name="Followed Hyperlink" xfId="33276" builtinId="9" hidden="1"/>
    <cellStyle name="Followed Hyperlink" xfId="33277" builtinId="9" hidden="1"/>
    <cellStyle name="Followed Hyperlink" xfId="33278" builtinId="9" hidden="1"/>
    <cellStyle name="Followed Hyperlink" xfId="33279" builtinId="9" hidden="1"/>
    <cellStyle name="Followed Hyperlink" xfId="33280" builtinId="9" hidden="1"/>
    <cellStyle name="Followed Hyperlink" xfId="33281" builtinId="9" hidden="1"/>
    <cellStyle name="Followed Hyperlink" xfId="33282" builtinId="9" hidden="1"/>
    <cellStyle name="Followed Hyperlink" xfId="33283" builtinId="9" hidden="1"/>
    <cellStyle name="Followed Hyperlink" xfId="33284" builtinId="9" hidden="1"/>
    <cellStyle name="Followed Hyperlink" xfId="33285" builtinId="9" hidden="1"/>
    <cellStyle name="Followed Hyperlink" xfId="33286" builtinId="9" hidden="1"/>
    <cellStyle name="Followed Hyperlink" xfId="33287" builtinId="9" hidden="1"/>
    <cellStyle name="Followed Hyperlink" xfId="33288" builtinId="9" hidden="1"/>
    <cellStyle name="Followed Hyperlink" xfId="33289" builtinId="9" hidden="1"/>
    <cellStyle name="Followed Hyperlink" xfId="33124" builtinId="9" hidden="1"/>
    <cellStyle name="Followed Hyperlink" xfId="33250" builtinId="9" hidden="1"/>
    <cellStyle name="Followed Hyperlink" xfId="33291" builtinId="9" hidden="1"/>
    <cellStyle name="Followed Hyperlink" xfId="33292" builtinId="9" hidden="1"/>
    <cellStyle name="Followed Hyperlink" xfId="33293" builtinId="9" hidden="1"/>
    <cellStyle name="Followed Hyperlink" xfId="33294" builtinId="9" hidden="1"/>
    <cellStyle name="Followed Hyperlink" xfId="33295" builtinId="9" hidden="1"/>
    <cellStyle name="Followed Hyperlink" xfId="33296" builtinId="9" hidden="1"/>
    <cellStyle name="Followed Hyperlink" xfId="33297" builtinId="9" hidden="1"/>
    <cellStyle name="Followed Hyperlink" xfId="33298" builtinId="9" hidden="1"/>
    <cellStyle name="Followed Hyperlink" xfId="33299" builtinId="9" hidden="1"/>
    <cellStyle name="Followed Hyperlink" xfId="33300" builtinId="9" hidden="1"/>
    <cellStyle name="Followed Hyperlink" xfId="33301" builtinId="9" hidden="1"/>
    <cellStyle name="Followed Hyperlink" xfId="33302" builtinId="9" hidden="1"/>
    <cellStyle name="Followed Hyperlink" xfId="33303" builtinId="9" hidden="1"/>
    <cellStyle name="Followed Hyperlink" xfId="33304" builtinId="9" hidden="1"/>
    <cellStyle name="Followed Hyperlink" xfId="33305" builtinId="9" hidden="1"/>
    <cellStyle name="Followed Hyperlink" xfId="33306" builtinId="9" hidden="1"/>
    <cellStyle name="Followed Hyperlink" xfId="33307" builtinId="9" hidden="1"/>
    <cellStyle name="Followed Hyperlink" xfId="33308" builtinId="9" hidden="1"/>
    <cellStyle name="Followed Hyperlink" xfId="33309" builtinId="9" hidden="1"/>
    <cellStyle name="Followed Hyperlink" xfId="33310" builtinId="9" hidden="1"/>
    <cellStyle name="Followed Hyperlink" xfId="33311" builtinId="9" hidden="1"/>
    <cellStyle name="Followed Hyperlink" xfId="33312" builtinId="9" hidden="1"/>
    <cellStyle name="Followed Hyperlink" xfId="33313" builtinId="9" hidden="1"/>
    <cellStyle name="Followed Hyperlink" xfId="33314" builtinId="9" hidden="1"/>
    <cellStyle name="Followed Hyperlink" xfId="33315" builtinId="9" hidden="1"/>
    <cellStyle name="Followed Hyperlink" xfId="33316" builtinId="9" hidden="1"/>
    <cellStyle name="Followed Hyperlink" xfId="33317" builtinId="9" hidden="1"/>
    <cellStyle name="Followed Hyperlink" xfId="33318" builtinId="9" hidden="1"/>
    <cellStyle name="Followed Hyperlink" xfId="33319" builtinId="9" hidden="1"/>
    <cellStyle name="Followed Hyperlink" xfId="33320" builtinId="9" hidden="1"/>
    <cellStyle name="Followed Hyperlink" xfId="33321" builtinId="9" hidden="1"/>
    <cellStyle name="Followed Hyperlink" xfId="33322" builtinId="9" hidden="1"/>
    <cellStyle name="Followed Hyperlink" xfId="33323" builtinId="9" hidden="1"/>
    <cellStyle name="Followed Hyperlink" xfId="33324" builtinId="9" hidden="1"/>
    <cellStyle name="Followed Hyperlink" xfId="33325" builtinId="9" hidden="1"/>
    <cellStyle name="Followed Hyperlink" xfId="33326" builtinId="9" hidden="1"/>
    <cellStyle name="Followed Hyperlink" xfId="33327" builtinId="9" hidden="1"/>
    <cellStyle name="Followed Hyperlink" xfId="33328" builtinId="9" hidden="1"/>
    <cellStyle name="Followed Hyperlink" xfId="33329" builtinId="9" hidden="1"/>
    <cellStyle name="Followed Hyperlink" xfId="33126" builtinId="9" hidden="1"/>
    <cellStyle name="Followed Hyperlink" xfId="33290" builtinId="9" hidden="1"/>
    <cellStyle name="Followed Hyperlink" xfId="33331" builtinId="9" hidden="1"/>
    <cellStyle name="Followed Hyperlink" xfId="33332" builtinId="9" hidden="1"/>
    <cellStyle name="Followed Hyperlink" xfId="33333" builtinId="9" hidden="1"/>
    <cellStyle name="Followed Hyperlink" xfId="33334" builtinId="9" hidden="1"/>
    <cellStyle name="Followed Hyperlink" xfId="33335" builtinId="9" hidden="1"/>
    <cellStyle name="Followed Hyperlink" xfId="33336" builtinId="9" hidden="1"/>
    <cellStyle name="Followed Hyperlink" xfId="33337" builtinId="9" hidden="1"/>
    <cellStyle name="Followed Hyperlink" xfId="33338" builtinId="9" hidden="1"/>
    <cellStyle name="Followed Hyperlink" xfId="33339" builtinId="9" hidden="1"/>
    <cellStyle name="Followed Hyperlink" xfId="33340" builtinId="9" hidden="1"/>
    <cellStyle name="Followed Hyperlink" xfId="33341" builtinId="9" hidden="1"/>
    <cellStyle name="Followed Hyperlink" xfId="33342" builtinId="9" hidden="1"/>
    <cellStyle name="Followed Hyperlink" xfId="33343" builtinId="9" hidden="1"/>
    <cellStyle name="Followed Hyperlink" xfId="33344" builtinId="9" hidden="1"/>
    <cellStyle name="Followed Hyperlink" xfId="33345" builtinId="9" hidden="1"/>
    <cellStyle name="Followed Hyperlink" xfId="33346" builtinId="9" hidden="1"/>
    <cellStyle name="Followed Hyperlink" xfId="33347" builtinId="9" hidden="1"/>
    <cellStyle name="Followed Hyperlink" xfId="33348" builtinId="9" hidden="1"/>
    <cellStyle name="Followed Hyperlink" xfId="33349" builtinId="9" hidden="1"/>
    <cellStyle name="Followed Hyperlink" xfId="33350" builtinId="9" hidden="1"/>
    <cellStyle name="Followed Hyperlink" xfId="33351" builtinId="9" hidden="1"/>
    <cellStyle name="Followed Hyperlink" xfId="33352" builtinId="9" hidden="1"/>
    <cellStyle name="Followed Hyperlink" xfId="33353" builtinId="9" hidden="1"/>
    <cellStyle name="Followed Hyperlink" xfId="33354" builtinId="9" hidden="1"/>
    <cellStyle name="Followed Hyperlink" xfId="33355" builtinId="9" hidden="1"/>
    <cellStyle name="Followed Hyperlink" xfId="33356" builtinId="9" hidden="1"/>
    <cellStyle name="Followed Hyperlink" xfId="33357" builtinId="9" hidden="1"/>
    <cellStyle name="Followed Hyperlink" xfId="33358" builtinId="9" hidden="1"/>
    <cellStyle name="Followed Hyperlink" xfId="33359" builtinId="9" hidden="1"/>
    <cellStyle name="Followed Hyperlink" xfId="33360" builtinId="9" hidden="1"/>
    <cellStyle name="Followed Hyperlink" xfId="33361" builtinId="9" hidden="1"/>
    <cellStyle name="Followed Hyperlink" xfId="33362" builtinId="9" hidden="1"/>
    <cellStyle name="Followed Hyperlink" xfId="33363" builtinId="9" hidden="1"/>
    <cellStyle name="Followed Hyperlink" xfId="33364" builtinId="9" hidden="1"/>
    <cellStyle name="Followed Hyperlink" xfId="33365" builtinId="9" hidden="1"/>
    <cellStyle name="Followed Hyperlink" xfId="33366" builtinId="9" hidden="1"/>
    <cellStyle name="Followed Hyperlink" xfId="33367" builtinId="9" hidden="1"/>
    <cellStyle name="Followed Hyperlink" xfId="33368" builtinId="9" hidden="1"/>
    <cellStyle name="Followed Hyperlink" xfId="33369" builtinId="9" hidden="1"/>
    <cellStyle name="Followed Hyperlink" xfId="33120" builtinId="9" hidden="1"/>
    <cellStyle name="Followed Hyperlink" xfId="33330" builtinId="9" hidden="1"/>
    <cellStyle name="Followed Hyperlink" xfId="33371" builtinId="9" hidden="1"/>
    <cellStyle name="Followed Hyperlink" xfId="33372" builtinId="9" hidden="1"/>
    <cellStyle name="Followed Hyperlink" xfId="33373" builtinId="9" hidden="1"/>
    <cellStyle name="Followed Hyperlink" xfId="33374" builtinId="9" hidden="1"/>
    <cellStyle name="Followed Hyperlink" xfId="33375" builtinId="9" hidden="1"/>
    <cellStyle name="Followed Hyperlink" xfId="33376" builtinId="9" hidden="1"/>
    <cellStyle name="Followed Hyperlink" xfId="33377" builtinId="9" hidden="1"/>
    <cellStyle name="Followed Hyperlink" xfId="33378" builtinId="9" hidden="1"/>
    <cellStyle name="Followed Hyperlink" xfId="33379" builtinId="9" hidden="1"/>
    <cellStyle name="Followed Hyperlink" xfId="33380" builtinId="9" hidden="1"/>
    <cellStyle name="Followed Hyperlink" xfId="33381" builtinId="9" hidden="1"/>
    <cellStyle name="Followed Hyperlink" xfId="33382" builtinId="9" hidden="1"/>
    <cellStyle name="Followed Hyperlink" xfId="33383" builtinId="9" hidden="1"/>
    <cellStyle name="Followed Hyperlink" xfId="33384" builtinId="9" hidden="1"/>
    <cellStyle name="Followed Hyperlink" xfId="33385" builtinId="9" hidden="1"/>
    <cellStyle name="Followed Hyperlink" xfId="33386" builtinId="9" hidden="1"/>
    <cellStyle name="Followed Hyperlink" xfId="33387" builtinId="9" hidden="1"/>
    <cellStyle name="Followed Hyperlink" xfId="33388" builtinId="9" hidden="1"/>
    <cellStyle name="Followed Hyperlink" xfId="33389" builtinId="9" hidden="1"/>
    <cellStyle name="Followed Hyperlink" xfId="33390" builtinId="9" hidden="1"/>
    <cellStyle name="Followed Hyperlink" xfId="33391" builtinId="9" hidden="1"/>
    <cellStyle name="Followed Hyperlink" xfId="33392" builtinId="9" hidden="1"/>
    <cellStyle name="Followed Hyperlink" xfId="33393" builtinId="9" hidden="1"/>
    <cellStyle name="Followed Hyperlink" xfId="33394" builtinId="9" hidden="1"/>
    <cellStyle name="Followed Hyperlink" xfId="33395" builtinId="9" hidden="1"/>
    <cellStyle name="Followed Hyperlink" xfId="33396" builtinId="9" hidden="1"/>
    <cellStyle name="Followed Hyperlink" xfId="33397" builtinId="9" hidden="1"/>
    <cellStyle name="Followed Hyperlink" xfId="33398" builtinId="9" hidden="1"/>
    <cellStyle name="Followed Hyperlink" xfId="33399" builtinId="9" hidden="1"/>
    <cellStyle name="Followed Hyperlink" xfId="33400" builtinId="9" hidden="1"/>
    <cellStyle name="Followed Hyperlink" xfId="33401" builtinId="9" hidden="1"/>
    <cellStyle name="Followed Hyperlink" xfId="33402" builtinId="9" hidden="1"/>
    <cellStyle name="Followed Hyperlink" xfId="33403" builtinId="9" hidden="1"/>
    <cellStyle name="Followed Hyperlink" xfId="33404" builtinId="9" hidden="1"/>
    <cellStyle name="Followed Hyperlink" xfId="33405" builtinId="9" hidden="1"/>
    <cellStyle name="Followed Hyperlink" xfId="33406" builtinId="9" hidden="1"/>
    <cellStyle name="Followed Hyperlink" xfId="33407" builtinId="9" hidden="1"/>
    <cellStyle name="Followed Hyperlink" xfId="33408" builtinId="9" hidden="1"/>
    <cellStyle name="Followed Hyperlink" xfId="33409" builtinId="9" hidden="1"/>
    <cellStyle name="Followed Hyperlink" xfId="33122" builtinId="9" hidden="1"/>
    <cellStyle name="Followed Hyperlink" xfId="33370" builtinId="9" hidden="1"/>
    <cellStyle name="Followed Hyperlink" xfId="33411" builtinId="9" hidden="1"/>
    <cellStyle name="Followed Hyperlink" xfId="33412" builtinId="9" hidden="1"/>
    <cellStyle name="Followed Hyperlink" xfId="33413" builtinId="9" hidden="1"/>
    <cellStyle name="Followed Hyperlink" xfId="33414" builtinId="9" hidden="1"/>
    <cellStyle name="Followed Hyperlink" xfId="33415" builtinId="9" hidden="1"/>
    <cellStyle name="Followed Hyperlink" xfId="33416" builtinId="9" hidden="1"/>
    <cellStyle name="Followed Hyperlink" xfId="33417" builtinId="9" hidden="1"/>
    <cellStyle name="Followed Hyperlink" xfId="33418" builtinId="9" hidden="1"/>
    <cellStyle name="Followed Hyperlink" xfId="33419" builtinId="9" hidden="1"/>
    <cellStyle name="Followed Hyperlink" xfId="33420" builtinId="9" hidden="1"/>
    <cellStyle name="Followed Hyperlink" xfId="33421" builtinId="9" hidden="1"/>
    <cellStyle name="Followed Hyperlink" xfId="33422" builtinId="9" hidden="1"/>
    <cellStyle name="Followed Hyperlink" xfId="33423" builtinId="9" hidden="1"/>
    <cellStyle name="Followed Hyperlink" xfId="33424" builtinId="9" hidden="1"/>
    <cellStyle name="Followed Hyperlink" xfId="33425" builtinId="9" hidden="1"/>
    <cellStyle name="Followed Hyperlink" xfId="33426" builtinId="9" hidden="1"/>
    <cellStyle name="Followed Hyperlink" xfId="33427" builtinId="9" hidden="1"/>
    <cellStyle name="Followed Hyperlink" xfId="33428" builtinId="9" hidden="1"/>
    <cellStyle name="Followed Hyperlink" xfId="33429" builtinId="9" hidden="1"/>
    <cellStyle name="Followed Hyperlink" xfId="33430" builtinId="9" hidden="1"/>
    <cellStyle name="Followed Hyperlink" xfId="33431" builtinId="9" hidden="1"/>
    <cellStyle name="Followed Hyperlink" xfId="33432" builtinId="9" hidden="1"/>
    <cellStyle name="Followed Hyperlink" xfId="33433" builtinId="9" hidden="1"/>
    <cellStyle name="Followed Hyperlink" xfId="33434" builtinId="9" hidden="1"/>
    <cellStyle name="Followed Hyperlink" xfId="33435" builtinId="9" hidden="1"/>
    <cellStyle name="Followed Hyperlink" xfId="33436" builtinId="9" hidden="1"/>
    <cellStyle name="Followed Hyperlink" xfId="33437" builtinId="9" hidden="1"/>
    <cellStyle name="Followed Hyperlink" xfId="33438" builtinId="9" hidden="1"/>
    <cellStyle name="Followed Hyperlink" xfId="33439" builtinId="9" hidden="1"/>
    <cellStyle name="Followed Hyperlink" xfId="33440" builtinId="9" hidden="1"/>
    <cellStyle name="Followed Hyperlink" xfId="33441" builtinId="9" hidden="1"/>
    <cellStyle name="Followed Hyperlink" xfId="33442" builtinId="9" hidden="1"/>
    <cellStyle name="Followed Hyperlink" xfId="33443" builtinId="9" hidden="1"/>
    <cellStyle name="Followed Hyperlink" xfId="33444" builtinId="9" hidden="1"/>
    <cellStyle name="Followed Hyperlink" xfId="33445" builtinId="9" hidden="1"/>
    <cellStyle name="Followed Hyperlink" xfId="33446" builtinId="9" hidden="1"/>
    <cellStyle name="Followed Hyperlink" xfId="33447" builtinId="9" hidden="1"/>
    <cellStyle name="Followed Hyperlink" xfId="33448" builtinId="9" hidden="1"/>
    <cellStyle name="Followed Hyperlink" xfId="33449" builtinId="9" hidden="1"/>
    <cellStyle name="Followed Hyperlink" xfId="33123" builtinId="9" hidden="1"/>
    <cellStyle name="Followed Hyperlink" xfId="33410" builtinId="9" hidden="1"/>
    <cellStyle name="Followed Hyperlink" xfId="33451" builtinId="9" hidden="1"/>
    <cellStyle name="Followed Hyperlink" xfId="33452" builtinId="9" hidden="1"/>
    <cellStyle name="Followed Hyperlink" xfId="33453" builtinId="9" hidden="1"/>
    <cellStyle name="Followed Hyperlink" xfId="33454" builtinId="9" hidden="1"/>
    <cellStyle name="Followed Hyperlink" xfId="33455" builtinId="9" hidden="1"/>
    <cellStyle name="Followed Hyperlink" xfId="33456" builtinId="9" hidden="1"/>
    <cellStyle name="Followed Hyperlink" xfId="33457" builtinId="9" hidden="1"/>
    <cellStyle name="Followed Hyperlink" xfId="33458" builtinId="9" hidden="1"/>
    <cellStyle name="Followed Hyperlink" xfId="33459" builtinId="9" hidden="1"/>
    <cellStyle name="Followed Hyperlink" xfId="33460" builtinId="9" hidden="1"/>
    <cellStyle name="Followed Hyperlink" xfId="33461" builtinId="9" hidden="1"/>
    <cellStyle name="Followed Hyperlink" xfId="33462" builtinId="9" hidden="1"/>
    <cellStyle name="Followed Hyperlink" xfId="33463" builtinId="9" hidden="1"/>
    <cellStyle name="Followed Hyperlink" xfId="33464" builtinId="9" hidden="1"/>
    <cellStyle name="Followed Hyperlink" xfId="33465" builtinId="9" hidden="1"/>
    <cellStyle name="Followed Hyperlink" xfId="33466" builtinId="9" hidden="1"/>
    <cellStyle name="Followed Hyperlink" xfId="33467" builtinId="9" hidden="1"/>
    <cellStyle name="Followed Hyperlink" xfId="33468" builtinId="9" hidden="1"/>
    <cellStyle name="Followed Hyperlink" xfId="33469" builtinId="9" hidden="1"/>
    <cellStyle name="Followed Hyperlink" xfId="33470" builtinId="9" hidden="1"/>
    <cellStyle name="Followed Hyperlink" xfId="33471" builtinId="9" hidden="1"/>
    <cellStyle name="Followed Hyperlink" xfId="33472" builtinId="9" hidden="1"/>
    <cellStyle name="Followed Hyperlink" xfId="33473" builtinId="9" hidden="1"/>
    <cellStyle name="Followed Hyperlink" xfId="33474" builtinId="9" hidden="1"/>
    <cellStyle name="Followed Hyperlink" xfId="33475" builtinId="9" hidden="1"/>
    <cellStyle name="Followed Hyperlink" xfId="33476" builtinId="9" hidden="1"/>
    <cellStyle name="Followed Hyperlink" xfId="33477" builtinId="9" hidden="1"/>
    <cellStyle name="Followed Hyperlink" xfId="33478" builtinId="9" hidden="1"/>
    <cellStyle name="Followed Hyperlink" xfId="33479" builtinId="9" hidden="1"/>
    <cellStyle name="Followed Hyperlink" xfId="33480" builtinId="9" hidden="1"/>
    <cellStyle name="Followed Hyperlink" xfId="33481" builtinId="9" hidden="1"/>
    <cellStyle name="Followed Hyperlink" xfId="33482" builtinId="9" hidden="1"/>
    <cellStyle name="Followed Hyperlink" xfId="33483" builtinId="9" hidden="1"/>
    <cellStyle name="Followed Hyperlink" xfId="33484" builtinId="9" hidden="1"/>
    <cellStyle name="Followed Hyperlink" xfId="33485" builtinId="9" hidden="1"/>
    <cellStyle name="Followed Hyperlink" xfId="33486" builtinId="9" hidden="1"/>
    <cellStyle name="Followed Hyperlink" xfId="33487" builtinId="9" hidden="1"/>
    <cellStyle name="Followed Hyperlink" xfId="33488" builtinId="9" hidden="1"/>
    <cellStyle name="Followed Hyperlink" xfId="33489" builtinId="9" hidden="1"/>
    <cellStyle name="Followed Hyperlink" xfId="33125" builtinId="9" hidden="1"/>
    <cellStyle name="Followed Hyperlink" xfId="33450" builtinId="9" hidden="1"/>
    <cellStyle name="Followed Hyperlink" xfId="33491" builtinId="9" hidden="1"/>
    <cellStyle name="Followed Hyperlink" xfId="33492" builtinId="9" hidden="1"/>
    <cellStyle name="Followed Hyperlink" xfId="33493" builtinId="9" hidden="1"/>
    <cellStyle name="Followed Hyperlink" xfId="33494" builtinId="9" hidden="1"/>
    <cellStyle name="Followed Hyperlink" xfId="33495" builtinId="9" hidden="1"/>
    <cellStyle name="Followed Hyperlink" xfId="33496" builtinId="9" hidden="1"/>
    <cellStyle name="Followed Hyperlink" xfId="33497" builtinId="9" hidden="1"/>
    <cellStyle name="Followed Hyperlink" xfId="33498" builtinId="9" hidden="1"/>
    <cellStyle name="Followed Hyperlink" xfId="33499" builtinId="9" hidden="1"/>
    <cellStyle name="Followed Hyperlink" xfId="33500" builtinId="9" hidden="1"/>
    <cellStyle name="Followed Hyperlink" xfId="33501" builtinId="9" hidden="1"/>
    <cellStyle name="Followed Hyperlink" xfId="33502" builtinId="9" hidden="1"/>
    <cellStyle name="Followed Hyperlink" xfId="33503" builtinId="9" hidden="1"/>
    <cellStyle name="Followed Hyperlink" xfId="33504" builtinId="9" hidden="1"/>
    <cellStyle name="Followed Hyperlink" xfId="33505" builtinId="9" hidden="1"/>
    <cellStyle name="Followed Hyperlink" xfId="33506" builtinId="9" hidden="1"/>
    <cellStyle name="Followed Hyperlink" xfId="33507" builtinId="9" hidden="1"/>
    <cellStyle name="Followed Hyperlink" xfId="33508" builtinId="9" hidden="1"/>
    <cellStyle name="Followed Hyperlink" xfId="33509" builtinId="9" hidden="1"/>
    <cellStyle name="Followed Hyperlink" xfId="33510" builtinId="9" hidden="1"/>
    <cellStyle name="Followed Hyperlink" xfId="33511" builtinId="9" hidden="1"/>
    <cellStyle name="Followed Hyperlink" xfId="33512" builtinId="9" hidden="1"/>
    <cellStyle name="Followed Hyperlink" xfId="33513" builtinId="9" hidden="1"/>
    <cellStyle name="Followed Hyperlink" xfId="33514" builtinId="9" hidden="1"/>
    <cellStyle name="Followed Hyperlink" xfId="33515" builtinId="9" hidden="1"/>
    <cellStyle name="Followed Hyperlink" xfId="33516" builtinId="9" hidden="1"/>
    <cellStyle name="Followed Hyperlink" xfId="33517" builtinId="9" hidden="1"/>
    <cellStyle name="Followed Hyperlink" xfId="33518" builtinId="9" hidden="1"/>
    <cellStyle name="Followed Hyperlink" xfId="33519" builtinId="9" hidden="1"/>
    <cellStyle name="Followed Hyperlink" xfId="33520" builtinId="9" hidden="1"/>
    <cellStyle name="Followed Hyperlink" xfId="33521" builtinId="9" hidden="1"/>
    <cellStyle name="Followed Hyperlink" xfId="33522" builtinId="9" hidden="1"/>
    <cellStyle name="Followed Hyperlink" xfId="33523" builtinId="9" hidden="1"/>
    <cellStyle name="Followed Hyperlink" xfId="33524" builtinId="9" hidden="1"/>
    <cellStyle name="Followed Hyperlink" xfId="33525" builtinId="9" hidden="1"/>
    <cellStyle name="Followed Hyperlink" xfId="33526" builtinId="9" hidden="1"/>
    <cellStyle name="Followed Hyperlink" xfId="33527" builtinId="9" hidden="1"/>
    <cellStyle name="Followed Hyperlink" xfId="33528" builtinId="9" hidden="1"/>
    <cellStyle name="Followed Hyperlink" xfId="33529" builtinId="9" hidden="1"/>
    <cellStyle name="Followed Hyperlink" xfId="33121" builtinId="9" hidden="1"/>
    <cellStyle name="Followed Hyperlink" xfId="33490" builtinId="9" hidden="1"/>
    <cellStyle name="Followed Hyperlink" xfId="33530" builtinId="9" hidden="1"/>
    <cellStyle name="Followed Hyperlink" xfId="33531" builtinId="9" hidden="1"/>
    <cellStyle name="Followed Hyperlink" xfId="33532" builtinId="9" hidden="1"/>
    <cellStyle name="Followed Hyperlink" xfId="33533" builtinId="9" hidden="1"/>
    <cellStyle name="Followed Hyperlink" xfId="33534" builtinId="9" hidden="1"/>
    <cellStyle name="Followed Hyperlink" xfId="33535" builtinId="9" hidden="1"/>
    <cellStyle name="Followed Hyperlink" xfId="33536" builtinId="9" hidden="1"/>
    <cellStyle name="Followed Hyperlink" xfId="33537" builtinId="9" hidden="1"/>
    <cellStyle name="Followed Hyperlink" xfId="33538" builtinId="9" hidden="1"/>
    <cellStyle name="Followed Hyperlink" xfId="33539" builtinId="9" hidden="1"/>
    <cellStyle name="Followed Hyperlink" xfId="33540" builtinId="9" hidden="1"/>
    <cellStyle name="Followed Hyperlink" xfId="33541" builtinId="9" hidden="1"/>
    <cellStyle name="Followed Hyperlink" xfId="33542" builtinId="9" hidden="1"/>
    <cellStyle name="Followed Hyperlink" xfId="33543" builtinId="9" hidden="1"/>
    <cellStyle name="Followed Hyperlink" xfId="33544" builtinId="9" hidden="1"/>
    <cellStyle name="Followed Hyperlink" xfId="33545" builtinId="9" hidden="1"/>
    <cellStyle name="Followed Hyperlink" xfId="33546" builtinId="9" hidden="1"/>
    <cellStyle name="Followed Hyperlink" xfId="33547" builtinId="9" hidden="1"/>
    <cellStyle name="Followed Hyperlink" xfId="33548" builtinId="9" hidden="1"/>
    <cellStyle name="Followed Hyperlink" xfId="33549" builtinId="9" hidden="1"/>
    <cellStyle name="Followed Hyperlink" xfId="33550" builtinId="9" hidden="1"/>
    <cellStyle name="Followed Hyperlink" xfId="33551" builtinId="9" hidden="1"/>
    <cellStyle name="Followed Hyperlink" xfId="33552" builtinId="9" hidden="1"/>
    <cellStyle name="Followed Hyperlink" xfId="33553" builtinId="9" hidden="1"/>
    <cellStyle name="Followed Hyperlink" xfId="33554" builtinId="9" hidden="1"/>
    <cellStyle name="Followed Hyperlink" xfId="33555" builtinId="9" hidden="1"/>
    <cellStyle name="Followed Hyperlink" xfId="33556" builtinId="9" hidden="1"/>
    <cellStyle name="Followed Hyperlink" xfId="33557" builtinId="9" hidden="1"/>
    <cellStyle name="Followed Hyperlink" xfId="33558" builtinId="9" hidden="1"/>
    <cellStyle name="Followed Hyperlink" xfId="33559" builtinId="9" hidden="1"/>
    <cellStyle name="Followed Hyperlink" xfId="33560" builtinId="9" hidden="1"/>
    <cellStyle name="Followed Hyperlink" xfId="33561" builtinId="9" hidden="1"/>
    <cellStyle name="Followed Hyperlink" xfId="33562" builtinId="9" hidden="1"/>
    <cellStyle name="Followed Hyperlink" xfId="33563" builtinId="9" hidden="1"/>
    <cellStyle name="Followed Hyperlink" xfId="33564" builtinId="9" hidden="1"/>
    <cellStyle name="Followed Hyperlink" xfId="33565" builtinId="9" hidden="1"/>
    <cellStyle name="Followed Hyperlink" xfId="33566" builtinId="9" hidden="1"/>
    <cellStyle name="Followed Hyperlink" xfId="33567" builtinId="9" hidden="1"/>
    <cellStyle name="Followed Hyperlink" xfId="33568" builtinId="9" hidden="1"/>
    <cellStyle name="Followed Hyperlink" xfId="33056" builtinId="9" hidden="1"/>
    <cellStyle name="Followed Hyperlink" xfId="32560" builtinId="9" hidden="1"/>
    <cellStyle name="Followed Hyperlink" xfId="33569" builtinId="9" hidden="1"/>
    <cellStyle name="Followed Hyperlink" xfId="33570" builtinId="9" hidden="1"/>
    <cellStyle name="Followed Hyperlink" xfId="33571" builtinId="9" hidden="1"/>
    <cellStyle name="Followed Hyperlink" xfId="33572" builtinId="9" hidden="1"/>
    <cellStyle name="Followed Hyperlink" xfId="33573" builtinId="9" hidden="1"/>
    <cellStyle name="Followed Hyperlink" xfId="33574" builtinId="9" hidden="1"/>
    <cellStyle name="Followed Hyperlink" xfId="33575" builtinId="9" hidden="1"/>
    <cellStyle name="Followed Hyperlink" xfId="33576" builtinId="9" hidden="1"/>
    <cellStyle name="Followed Hyperlink" xfId="33577" builtinId="9" hidden="1"/>
    <cellStyle name="Followed Hyperlink" xfId="33578" builtinId="9" hidden="1"/>
    <cellStyle name="Followed Hyperlink" xfId="33579" builtinId="9" hidden="1"/>
    <cellStyle name="Followed Hyperlink" xfId="33580" builtinId="9" hidden="1"/>
    <cellStyle name="Followed Hyperlink" xfId="33581" builtinId="9" hidden="1"/>
    <cellStyle name="Followed Hyperlink" xfId="33582" builtinId="9" hidden="1"/>
    <cellStyle name="Followed Hyperlink" xfId="33583" builtinId="9" hidden="1"/>
    <cellStyle name="Followed Hyperlink" xfId="33584" builtinId="9" hidden="1"/>
    <cellStyle name="Followed Hyperlink" xfId="33585" builtinId="9" hidden="1"/>
    <cellStyle name="Followed Hyperlink" xfId="33586" builtinId="9" hidden="1"/>
    <cellStyle name="Followed Hyperlink" xfId="33587" builtinId="9" hidden="1"/>
    <cellStyle name="Followed Hyperlink" xfId="33588" builtinId="9" hidden="1"/>
    <cellStyle name="Followed Hyperlink" xfId="33589" builtinId="9" hidden="1"/>
    <cellStyle name="Followed Hyperlink" xfId="33590" builtinId="9" hidden="1"/>
    <cellStyle name="Followed Hyperlink" xfId="33591" builtinId="9" hidden="1"/>
    <cellStyle name="Followed Hyperlink" xfId="33592" builtinId="9" hidden="1"/>
    <cellStyle name="Followed Hyperlink" xfId="33593" builtinId="9" hidden="1"/>
    <cellStyle name="Followed Hyperlink" xfId="33594" builtinId="9" hidden="1"/>
    <cellStyle name="Followed Hyperlink" xfId="33595" builtinId="9" hidden="1"/>
    <cellStyle name="Followed Hyperlink" xfId="33596" builtinId="9" hidden="1"/>
    <cellStyle name="Followed Hyperlink" xfId="33597" builtinId="9" hidden="1"/>
    <cellStyle name="Followed Hyperlink" xfId="33598" builtinId="9" hidden="1"/>
    <cellStyle name="Followed Hyperlink" xfId="33599" builtinId="9" hidden="1"/>
    <cellStyle name="Followed Hyperlink" xfId="33600" builtinId="9" hidden="1"/>
    <cellStyle name="Followed Hyperlink" xfId="33601" builtinId="9" hidden="1"/>
    <cellStyle name="Followed Hyperlink" xfId="33602" builtinId="9" hidden="1"/>
    <cellStyle name="Followed Hyperlink" xfId="33603" builtinId="9" hidden="1"/>
    <cellStyle name="Followed Hyperlink" xfId="33604" builtinId="9" hidden="1"/>
    <cellStyle name="Followed Hyperlink" xfId="33605" builtinId="9" hidden="1"/>
    <cellStyle name="Followed Hyperlink" xfId="33606" builtinId="9" hidden="1"/>
    <cellStyle name="Followed Hyperlink" xfId="33607" builtinId="9" hidden="1"/>
    <cellStyle name="Followed Hyperlink" xfId="33616" builtinId="9" hidden="1"/>
    <cellStyle name="Followed Hyperlink" xfId="33617" builtinId="9" hidden="1"/>
    <cellStyle name="Followed Hyperlink" xfId="33618" builtinId="9" hidden="1"/>
    <cellStyle name="Followed Hyperlink" xfId="33619" builtinId="9" hidden="1"/>
    <cellStyle name="Followed Hyperlink" xfId="33620" builtinId="9" hidden="1"/>
    <cellStyle name="Followed Hyperlink" xfId="33621" builtinId="9" hidden="1"/>
    <cellStyle name="Followed Hyperlink" xfId="33622" builtinId="9" hidden="1"/>
    <cellStyle name="Followed Hyperlink" xfId="33623" builtinId="9" hidden="1"/>
    <cellStyle name="Followed Hyperlink" xfId="33624" builtinId="9" hidden="1"/>
    <cellStyle name="Followed Hyperlink" xfId="33625" builtinId="9" hidden="1"/>
    <cellStyle name="Followed Hyperlink" xfId="33626" builtinId="9" hidden="1"/>
    <cellStyle name="Followed Hyperlink" xfId="33627" builtinId="9" hidden="1"/>
    <cellStyle name="Followed Hyperlink" xfId="33628" builtinId="9" hidden="1"/>
    <cellStyle name="Followed Hyperlink" xfId="33629" builtinId="9" hidden="1"/>
    <cellStyle name="Followed Hyperlink" xfId="33630" builtinId="9" hidden="1"/>
    <cellStyle name="Followed Hyperlink" xfId="33631" builtinId="9" hidden="1"/>
    <cellStyle name="Followed Hyperlink" xfId="33632" builtinId="9" hidden="1"/>
    <cellStyle name="Followed Hyperlink" xfId="33633" builtinId="9" hidden="1"/>
    <cellStyle name="Followed Hyperlink" xfId="33634" builtinId="9" hidden="1"/>
    <cellStyle name="Followed Hyperlink" xfId="33635" builtinId="9" hidden="1"/>
    <cellStyle name="Followed Hyperlink" xfId="33636" builtinId="9" hidden="1"/>
    <cellStyle name="Followed Hyperlink" xfId="33637" builtinId="9" hidden="1"/>
    <cellStyle name="Followed Hyperlink" xfId="33638" builtinId="9" hidden="1"/>
    <cellStyle name="Followed Hyperlink" xfId="33639" builtinId="9" hidden="1"/>
    <cellStyle name="Followed Hyperlink" xfId="33640" builtinId="9" hidden="1"/>
    <cellStyle name="Followed Hyperlink" xfId="33641" builtinId="9" hidden="1"/>
    <cellStyle name="Followed Hyperlink" xfId="33642" builtinId="9" hidden="1"/>
    <cellStyle name="Followed Hyperlink" xfId="33643" builtinId="9" hidden="1"/>
    <cellStyle name="Followed Hyperlink" xfId="33644" builtinId="9" hidden="1"/>
    <cellStyle name="Followed Hyperlink" xfId="33645" builtinId="9" hidden="1"/>
    <cellStyle name="Followed Hyperlink" xfId="33646" builtinId="9" hidden="1"/>
    <cellStyle name="Followed Hyperlink" xfId="33647" builtinId="9" hidden="1"/>
    <cellStyle name="Followed Hyperlink" xfId="33648" builtinId="9" hidden="1"/>
    <cellStyle name="Followed Hyperlink" xfId="33649" builtinId="9" hidden="1"/>
    <cellStyle name="Followed Hyperlink" xfId="33650" builtinId="9" hidden="1"/>
    <cellStyle name="Followed Hyperlink" xfId="33651" builtinId="9" hidden="1"/>
    <cellStyle name="Followed Hyperlink" xfId="33652" builtinId="9" hidden="1"/>
    <cellStyle name="Followed Hyperlink" xfId="33653" builtinId="9" hidden="1"/>
    <cellStyle name="Followed Hyperlink" xfId="33654" builtinId="9" hidden="1"/>
    <cellStyle name="Followed Hyperlink" xfId="33655" builtinId="9" hidden="1"/>
    <cellStyle name="Followed Hyperlink" xfId="33656" builtinId="9" hidden="1"/>
    <cellStyle name="Followed Hyperlink" xfId="33657" builtinId="9" hidden="1"/>
    <cellStyle name="Followed Hyperlink" xfId="33658" builtinId="9" hidden="1"/>
    <cellStyle name="Followed Hyperlink" xfId="33659" builtinId="9" hidden="1"/>
    <cellStyle name="Followed Hyperlink" xfId="33660" builtinId="9" hidden="1"/>
    <cellStyle name="Followed Hyperlink" xfId="33661" builtinId="9" hidden="1"/>
    <cellStyle name="Followed Hyperlink" xfId="33662" builtinId="9" hidden="1"/>
    <cellStyle name="Followed Hyperlink" xfId="33663" builtinId="9" hidden="1"/>
    <cellStyle name="Followed Hyperlink" xfId="33664" builtinId="9" hidden="1"/>
    <cellStyle name="Followed Hyperlink" xfId="33665" builtinId="9" hidden="1"/>
    <cellStyle name="Followed Hyperlink" xfId="33666" builtinId="9" hidden="1"/>
    <cellStyle name="Followed Hyperlink" xfId="33667" builtinId="9" hidden="1"/>
    <cellStyle name="Followed Hyperlink" xfId="33668" builtinId="9" hidden="1"/>
    <cellStyle name="Followed Hyperlink" xfId="33669" builtinId="9" hidden="1"/>
    <cellStyle name="Followed Hyperlink" xfId="33670" builtinId="9" hidden="1"/>
    <cellStyle name="Followed Hyperlink" xfId="33671" builtinId="9" hidden="1"/>
    <cellStyle name="Followed Hyperlink" xfId="33672" builtinId="9" hidden="1"/>
    <cellStyle name="Followed Hyperlink" xfId="33673" builtinId="9" hidden="1"/>
    <cellStyle name="Followed Hyperlink" xfId="33674" builtinId="9" hidden="1"/>
    <cellStyle name="Followed Hyperlink" xfId="33675" builtinId="9" hidden="1"/>
    <cellStyle name="Followed Hyperlink" xfId="33676" builtinId="9" hidden="1"/>
    <cellStyle name="Followed Hyperlink" xfId="33677" builtinId="9" hidden="1"/>
    <cellStyle name="Followed Hyperlink" xfId="33678" builtinId="9" hidden="1"/>
    <cellStyle name="Followed Hyperlink" xfId="33679" builtinId="9" hidden="1"/>
    <cellStyle name="Followed Hyperlink" xfId="33680" builtinId="9" hidden="1"/>
    <cellStyle name="Followed Hyperlink" xfId="33681" builtinId="9" hidden="1"/>
    <cellStyle name="Followed Hyperlink" xfId="33682" builtinId="9" hidden="1"/>
    <cellStyle name="Followed Hyperlink" xfId="33683" builtinId="9" hidden="1"/>
    <cellStyle name="Followed Hyperlink" xfId="33684" builtinId="9" hidden="1"/>
    <cellStyle name="Followed Hyperlink" xfId="33685" builtinId="9" hidden="1"/>
    <cellStyle name="Followed Hyperlink" xfId="33686" builtinId="9" hidden="1"/>
    <cellStyle name="Followed Hyperlink" xfId="33687" builtinId="9" hidden="1"/>
    <cellStyle name="Followed Hyperlink" xfId="33688" builtinId="9" hidden="1"/>
    <cellStyle name="Followed Hyperlink" xfId="33689" builtinId="9" hidden="1"/>
    <cellStyle name="Followed Hyperlink" xfId="33690" builtinId="9" hidden="1"/>
    <cellStyle name="Followed Hyperlink" xfId="33691" builtinId="9" hidden="1"/>
    <cellStyle name="Followed Hyperlink" xfId="33692" builtinId="9" hidden="1"/>
    <cellStyle name="Followed Hyperlink" xfId="33693" builtinId="9" hidden="1"/>
    <cellStyle name="Followed Hyperlink" xfId="33694" builtinId="9" hidden="1"/>
    <cellStyle name="Followed Hyperlink" xfId="33695" builtinId="9" hidden="1"/>
    <cellStyle name="Followed Hyperlink" xfId="33696" builtinId="9" hidden="1"/>
    <cellStyle name="Followed Hyperlink" xfId="33697" builtinId="9" hidden="1"/>
    <cellStyle name="Followed Hyperlink" xfId="33698" builtinId="9" hidden="1"/>
    <cellStyle name="Followed Hyperlink" xfId="33699" builtinId="9" hidden="1"/>
    <cellStyle name="Followed Hyperlink" xfId="33700" builtinId="9" hidden="1"/>
    <cellStyle name="Followed Hyperlink" xfId="33701" builtinId="9" hidden="1"/>
    <cellStyle name="Followed Hyperlink" xfId="33702" builtinId="9" hidden="1"/>
    <cellStyle name="Followed Hyperlink" xfId="33703" builtinId="9" hidden="1"/>
    <cellStyle name="Followed Hyperlink" xfId="33704" builtinId="9" hidden="1"/>
    <cellStyle name="Followed Hyperlink" xfId="33705" builtinId="9" hidden="1"/>
    <cellStyle name="Followed Hyperlink" xfId="33706" builtinId="9" hidden="1"/>
    <cellStyle name="Followed Hyperlink" xfId="33707" builtinId="9" hidden="1"/>
    <cellStyle name="Followed Hyperlink" xfId="33708" builtinId="9" hidden="1"/>
    <cellStyle name="Followed Hyperlink" xfId="33709" builtinId="9" hidden="1"/>
    <cellStyle name="Followed Hyperlink" xfId="33710" builtinId="9" hidden="1"/>
    <cellStyle name="Followed Hyperlink" xfId="33711" builtinId="9" hidden="1"/>
    <cellStyle name="Followed Hyperlink" xfId="33712" builtinId="9" hidden="1"/>
    <cellStyle name="Followed Hyperlink" xfId="33713" builtinId="9" hidden="1"/>
    <cellStyle name="Followed Hyperlink" xfId="33714" builtinId="9" hidden="1"/>
    <cellStyle name="Followed Hyperlink" xfId="33715" builtinId="9" hidden="1"/>
    <cellStyle name="Followed Hyperlink" xfId="33716" builtinId="9" hidden="1"/>
    <cellStyle name="Followed Hyperlink" xfId="33717" builtinId="9" hidden="1"/>
    <cellStyle name="Followed Hyperlink" xfId="33718" builtinId="9" hidden="1"/>
    <cellStyle name="Followed Hyperlink" xfId="33719" builtinId="9" hidden="1"/>
    <cellStyle name="Followed Hyperlink" xfId="33720" builtinId="9" hidden="1"/>
    <cellStyle name="Followed Hyperlink" xfId="33721" builtinId="9" hidden="1"/>
    <cellStyle name="Followed Hyperlink" xfId="33722" builtinId="9" hidden="1"/>
    <cellStyle name="Followed Hyperlink" xfId="33723" builtinId="9" hidden="1"/>
    <cellStyle name="Followed Hyperlink" xfId="33724" builtinId="9" hidden="1"/>
    <cellStyle name="Followed Hyperlink" xfId="33725" builtinId="9" hidden="1"/>
    <cellStyle name="Followed Hyperlink" xfId="33726" builtinId="9" hidden="1"/>
    <cellStyle name="Followed Hyperlink" xfId="33727" builtinId="9" hidden="1"/>
    <cellStyle name="Followed Hyperlink" xfId="33728" builtinId="9" hidden="1"/>
    <cellStyle name="Followed Hyperlink" xfId="33729" builtinId="9" hidden="1"/>
    <cellStyle name="Followed Hyperlink" xfId="33730" builtinId="9" hidden="1"/>
    <cellStyle name="Followed Hyperlink" xfId="33731" builtinId="9" hidden="1"/>
    <cellStyle name="Followed Hyperlink" xfId="33732" builtinId="9" hidden="1"/>
    <cellStyle name="Followed Hyperlink" xfId="33733" builtinId="9" hidden="1"/>
    <cellStyle name="Followed Hyperlink" xfId="33734" builtinId="9" hidden="1"/>
    <cellStyle name="Followed Hyperlink" xfId="33735" builtinId="9" hidden="1"/>
    <cellStyle name="Followed Hyperlink" xfId="33736" builtinId="9" hidden="1"/>
    <cellStyle name="Followed Hyperlink" xfId="33737" builtinId="9" hidden="1"/>
    <cellStyle name="Followed Hyperlink" xfId="33738" builtinId="9" hidden="1"/>
    <cellStyle name="Followed Hyperlink" xfId="33608" builtinId="9" hidden="1"/>
    <cellStyle name="Followed Hyperlink" xfId="33057" builtinId="9" hidden="1"/>
    <cellStyle name="Followed Hyperlink" xfId="33740" builtinId="9" hidden="1"/>
    <cellStyle name="Followed Hyperlink" xfId="33741" builtinId="9" hidden="1"/>
    <cellStyle name="Followed Hyperlink" xfId="33742" builtinId="9" hidden="1"/>
    <cellStyle name="Followed Hyperlink" xfId="33743" builtinId="9" hidden="1"/>
    <cellStyle name="Followed Hyperlink" xfId="33744" builtinId="9" hidden="1"/>
    <cellStyle name="Followed Hyperlink" xfId="33745" builtinId="9" hidden="1"/>
    <cellStyle name="Followed Hyperlink" xfId="33746" builtinId="9" hidden="1"/>
    <cellStyle name="Followed Hyperlink" xfId="33747" builtinId="9" hidden="1"/>
    <cellStyle name="Followed Hyperlink" xfId="33748" builtinId="9" hidden="1"/>
    <cellStyle name="Followed Hyperlink" xfId="33749" builtinId="9" hidden="1"/>
    <cellStyle name="Followed Hyperlink" xfId="33750" builtinId="9" hidden="1"/>
    <cellStyle name="Followed Hyperlink" xfId="33751" builtinId="9" hidden="1"/>
    <cellStyle name="Followed Hyperlink" xfId="33752" builtinId="9" hidden="1"/>
    <cellStyle name="Followed Hyperlink" xfId="33753" builtinId="9" hidden="1"/>
    <cellStyle name="Followed Hyperlink" xfId="33754" builtinId="9" hidden="1"/>
    <cellStyle name="Followed Hyperlink" xfId="33755" builtinId="9" hidden="1"/>
    <cellStyle name="Followed Hyperlink" xfId="33756" builtinId="9" hidden="1"/>
    <cellStyle name="Followed Hyperlink" xfId="33757" builtinId="9" hidden="1"/>
    <cellStyle name="Followed Hyperlink" xfId="33758" builtinId="9" hidden="1"/>
    <cellStyle name="Followed Hyperlink" xfId="33759" builtinId="9" hidden="1"/>
    <cellStyle name="Followed Hyperlink" xfId="33760" builtinId="9" hidden="1"/>
    <cellStyle name="Followed Hyperlink" xfId="33761" builtinId="9" hidden="1"/>
    <cellStyle name="Followed Hyperlink" xfId="33762" builtinId="9" hidden="1"/>
    <cellStyle name="Followed Hyperlink" xfId="33763" builtinId="9" hidden="1"/>
    <cellStyle name="Followed Hyperlink" xfId="33764" builtinId="9" hidden="1"/>
    <cellStyle name="Followed Hyperlink" xfId="33765" builtinId="9" hidden="1"/>
    <cellStyle name="Followed Hyperlink" xfId="33766" builtinId="9" hidden="1"/>
    <cellStyle name="Followed Hyperlink" xfId="33767" builtinId="9" hidden="1"/>
    <cellStyle name="Followed Hyperlink" xfId="33768" builtinId="9" hidden="1"/>
    <cellStyle name="Followed Hyperlink" xfId="33769" builtinId="9" hidden="1"/>
    <cellStyle name="Followed Hyperlink" xfId="33770" builtinId="9" hidden="1"/>
    <cellStyle name="Followed Hyperlink" xfId="33771" builtinId="9" hidden="1"/>
    <cellStyle name="Followed Hyperlink" xfId="33772" builtinId="9" hidden="1"/>
    <cellStyle name="Followed Hyperlink" xfId="33773" builtinId="9" hidden="1"/>
    <cellStyle name="Followed Hyperlink" xfId="33774" builtinId="9" hidden="1"/>
    <cellStyle name="Followed Hyperlink" xfId="33775" builtinId="9" hidden="1"/>
    <cellStyle name="Followed Hyperlink" xfId="33776" builtinId="9" hidden="1"/>
    <cellStyle name="Followed Hyperlink" xfId="33777" builtinId="9" hidden="1"/>
    <cellStyle name="Followed Hyperlink" xfId="33778" builtinId="9" hidden="1"/>
    <cellStyle name="Followed Hyperlink" xfId="33613" builtinId="9" hidden="1"/>
    <cellStyle name="Followed Hyperlink" xfId="33739" builtinId="9" hidden="1"/>
    <cellStyle name="Followed Hyperlink" xfId="33780" builtinId="9" hidden="1"/>
    <cellStyle name="Followed Hyperlink" xfId="33781" builtinId="9" hidden="1"/>
    <cellStyle name="Followed Hyperlink" xfId="33782" builtinId="9" hidden="1"/>
    <cellStyle name="Followed Hyperlink" xfId="33783" builtinId="9" hidden="1"/>
    <cellStyle name="Followed Hyperlink" xfId="33784" builtinId="9" hidden="1"/>
    <cellStyle name="Followed Hyperlink" xfId="33785" builtinId="9" hidden="1"/>
    <cellStyle name="Followed Hyperlink" xfId="33786" builtinId="9" hidden="1"/>
    <cellStyle name="Followed Hyperlink" xfId="33787" builtinId="9" hidden="1"/>
    <cellStyle name="Followed Hyperlink" xfId="33788" builtinId="9" hidden="1"/>
    <cellStyle name="Followed Hyperlink" xfId="33789" builtinId="9" hidden="1"/>
    <cellStyle name="Followed Hyperlink" xfId="33790" builtinId="9" hidden="1"/>
    <cellStyle name="Followed Hyperlink" xfId="33791" builtinId="9" hidden="1"/>
    <cellStyle name="Followed Hyperlink" xfId="33792" builtinId="9" hidden="1"/>
    <cellStyle name="Followed Hyperlink" xfId="33793" builtinId="9" hidden="1"/>
    <cellStyle name="Followed Hyperlink" xfId="33794" builtinId="9" hidden="1"/>
    <cellStyle name="Followed Hyperlink" xfId="33795" builtinId="9" hidden="1"/>
    <cellStyle name="Followed Hyperlink" xfId="33796" builtinId="9" hidden="1"/>
    <cellStyle name="Followed Hyperlink" xfId="33797" builtinId="9" hidden="1"/>
    <cellStyle name="Followed Hyperlink" xfId="33798" builtinId="9" hidden="1"/>
    <cellStyle name="Followed Hyperlink" xfId="33799" builtinId="9" hidden="1"/>
    <cellStyle name="Followed Hyperlink" xfId="33800" builtinId="9" hidden="1"/>
    <cellStyle name="Followed Hyperlink" xfId="33801" builtinId="9" hidden="1"/>
    <cellStyle name="Followed Hyperlink" xfId="33802" builtinId="9" hidden="1"/>
    <cellStyle name="Followed Hyperlink" xfId="33803" builtinId="9" hidden="1"/>
    <cellStyle name="Followed Hyperlink" xfId="33804" builtinId="9" hidden="1"/>
    <cellStyle name="Followed Hyperlink" xfId="33805" builtinId="9" hidden="1"/>
    <cellStyle name="Followed Hyperlink" xfId="33806" builtinId="9" hidden="1"/>
    <cellStyle name="Followed Hyperlink" xfId="33807" builtinId="9" hidden="1"/>
    <cellStyle name="Followed Hyperlink" xfId="33808" builtinId="9" hidden="1"/>
    <cellStyle name="Followed Hyperlink" xfId="33809" builtinId="9" hidden="1"/>
    <cellStyle name="Followed Hyperlink" xfId="33810" builtinId="9" hidden="1"/>
    <cellStyle name="Followed Hyperlink" xfId="33811" builtinId="9" hidden="1"/>
    <cellStyle name="Followed Hyperlink" xfId="33812" builtinId="9" hidden="1"/>
    <cellStyle name="Followed Hyperlink" xfId="33813" builtinId="9" hidden="1"/>
    <cellStyle name="Followed Hyperlink" xfId="33814" builtinId="9" hidden="1"/>
    <cellStyle name="Followed Hyperlink" xfId="33815" builtinId="9" hidden="1"/>
    <cellStyle name="Followed Hyperlink" xfId="33816" builtinId="9" hidden="1"/>
    <cellStyle name="Followed Hyperlink" xfId="33817" builtinId="9" hidden="1"/>
    <cellStyle name="Followed Hyperlink" xfId="33818" builtinId="9" hidden="1"/>
    <cellStyle name="Followed Hyperlink" xfId="33615" builtinId="9" hidden="1"/>
    <cellStyle name="Followed Hyperlink" xfId="33779" builtinId="9" hidden="1"/>
    <cellStyle name="Followed Hyperlink" xfId="33820" builtinId="9" hidden="1"/>
    <cellStyle name="Followed Hyperlink" xfId="33821" builtinId="9" hidden="1"/>
    <cellStyle name="Followed Hyperlink" xfId="33822" builtinId="9" hidden="1"/>
    <cellStyle name="Followed Hyperlink" xfId="33823" builtinId="9" hidden="1"/>
    <cellStyle name="Followed Hyperlink" xfId="33824" builtinId="9" hidden="1"/>
    <cellStyle name="Followed Hyperlink" xfId="33825" builtinId="9" hidden="1"/>
    <cellStyle name="Followed Hyperlink" xfId="33826" builtinId="9" hidden="1"/>
    <cellStyle name="Followed Hyperlink" xfId="33827" builtinId="9" hidden="1"/>
    <cellStyle name="Followed Hyperlink" xfId="33828" builtinId="9" hidden="1"/>
    <cellStyle name="Followed Hyperlink" xfId="33829" builtinId="9" hidden="1"/>
    <cellStyle name="Followed Hyperlink" xfId="33830" builtinId="9" hidden="1"/>
    <cellStyle name="Followed Hyperlink" xfId="33831" builtinId="9" hidden="1"/>
    <cellStyle name="Followed Hyperlink" xfId="33832" builtinId="9" hidden="1"/>
    <cellStyle name="Followed Hyperlink" xfId="33833" builtinId="9" hidden="1"/>
    <cellStyle name="Followed Hyperlink" xfId="33834" builtinId="9" hidden="1"/>
    <cellStyle name="Followed Hyperlink" xfId="33835" builtinId="9" hidden="1"/>
    <cellStyle name="Followed Hyperlink" xfId="33836" builtinId="9" hidden="1"/>
    <cellStyle name="Followed Hyperlink" xfId="33837" builtinId="9" hidden="1"/>
    <cellStyle name="Followed Hyperlink" xfId="33838" builtinId="9" hidden="1"/>
    <cellStyle name="Followed Hyperlink" xfId="33839" builtinId="9" hidden="1"/>
    <cellStyle name="Followed Hyperlink" xfId="33840" builtinId="9" hidden="1"/>
    <cellStyle name="Followed Hyperlink" xfId="33841" builtinId="9" hidden="1"/>
    <cellStyle name="Followed Hyperlink" xfId="33842" builtinId="9" hidden="1"/>
    <cellStyle name="Followed Hyperlink" xfId="33843" builtinId="9" hidden="1"/>
    <cellStyle name="Followed Hyperlink" xfId="33844" builtinId="9" hidden="1"/>
    <cellStyle name="Followed Hyperlink" xfId="33845" builtinId="9" hidden="1"/>
    <cellStyle name="Followed Hyperlink" xfId="33846" builtinId="9" hidden="1"/>
    <cellStyle name="Followed Hyperlink" xfId="33847" builtinId="9" hidden="1"/>
    <cellStyle name="Followed Hyperlink" xfId="33848" builtinId="9" hidden="1"/>
    <cellStyle name="Followed Hyperlink" xfId="33849" builtinId="9" hidden="1"/>
    <cellStyle name="Followed Hyperlink" xfId="33850" builtinId="9" hidden="1"/>
    <cellStyle name="Followed Hyperlink" xfId="33851" builtinId="9" hidden="1"/>
    <cellStyle name="Followed Hyperlink" xfId="33852" builtinId="9" hidden="1"/>
    <cellStyle name="Followed Hyperlink" xfId="33853" builtinId="9" hidden="1"/>
    <cellStyle name="Followed Hyperlink" xfId="33854" builtinId="9" hidden="1"/>
    <cellStyle name="Followed Hyperlink" xfId="33855" builtinId="9" hidden="1"/>
    <cellStyle name="Followed Hyperlink" xfId="33856" builtinId="9" hidden="1"/>
    <cellStyle name="Followed Hyperlink" xfId="33857" builtinId="9" hidden="1"/>
    <cellStyle name="Followed Hyperlink" xfId="33858" builtinId="9" hidden="1"/>
    <cellStyle name="Followed Hyperlink" xfId="33609" builtinId="9" hidden="1"/>
    <cellStyle name="Followed Hyperlink" xfId="33819" builtinId="9" hidden="1"/>
    <cellStyle name="Followed Hyperlink" xfId="33860" builtinId="9" hidden="1"/>
    <cellStyle name="Followed Hyperlink" xfId="33861" builtinId="9" hidden="1"/>
    <cellStyle name="Followed Hyperlink" xfId="33862" builtinId="9" hidden="1"/>
    <cellStyle name="Followed Hyperlink" xfId="33863" builtinId="9" hidden="1"/>
    <cellStyle name="Followed Hyperlink" xfId="33864" builtinId="9" hidden="1"/>
    <cellStyle name="Followed Hyperlink" xfId="33865" builtinId="9" hidden="1"/>
    <cellStyle name="Followed Hyperlink" xfId="33866" builtinId="9" hidden="1"/>
    <cellStyle name="Followed Hyperlink" xfId="33867" builtinId="9" hidden="1"/>
    <cellStyle name="Followed Hyperlink" xfId="33868" builtinId="9" hidden="1"/>
    <cellStyle name="Followed Hyperlink" xfId="33869" builtinId="9" hidden="1"/>
    <cellStyle name="Followed Hyperlink" xfId="33870" builtinId="9" hidden="1"/>
    <cellStyle name="Followed Hyperlink" xfId="33871" builtinId="9" hidden="1"/>
    <cellStyle name="Followed Hyperlink" xfId="33872" builtinId="9" hidden="1"/>
    <cellStyle name="Followed Hyperlink" xfId="33873" builtinId="9" hidden="1"/>
    <cellStyle name="Followed Hyperlink" xfId="33874" builtinId="9" hidden="1"/>
    <cellStyle name="Followed Hyperlink" xfId="33875" builtinId="9" hidden="1"/>
    <cellStyle name="Followed Hyperlink" xfId="33876" builtinId="9" hidden="1"/>
    <cellStyle name="Followed Hyperlink" xfId="33877" builtinId="9" hidden="1"/>
    <cellStyle name="Followed Hyperlink" xfId="33878" builtinId="9" hidden="1"/>
    <cellStyle name="Followed Hyperlink" xfId="33879" builtinId="9" hidden="1"/>
    <cellStyle name="Followed Hyperlink" xfId="33880" builtinId="9" hidden="1"/>
    <cellStyle name="Followed Hyperlink" xfId="33881" builtinId="9" hidden="1"/>
    <cellStyle name="Followed Hyperlink" xfId="33882" builtinId="9" hidden="1"/>
    <cellStyle name="Followed Hyperlink" xfId="33883" builtinId="9" hidden="1"/>
    <cellStyle name="Followed Hyperlink" xfId="33884" builtinId="9" hidden="1"/>
    <cellStyle name="Followed Hyperlink" xfId="33885" builtinId="9" hidden="1"/>
    <cellStyle name="Followed Hyperlink" xfId="33886" builtinId="9" hidden="1"/>
    <cellStyle name="Followed Hyperlink" xfId="33887" builtinId="9" hidden="1"/>
    <cellStyle name="Followed Hyperlink" xfId="33888" builtinId="9" hidden="1"/>
    <cellStyle name="Followed Hyperlink" xfId="33889" builtinId="9" hidden="1"/>
    <cellStyle name="Followed Hyperlink" xfId="33890" builtinId="9" hidden="1"/>
    <cellStyle name="Followed Hyperlink" xfId="33891" builtinId="9" hidden="1"/>
    <cellStyle name="Followed Hyperlink" xfId="33892" builtinId="9" hidden="1"/>
    <cellStyle name="Followed Hyperlink" xfId="33893" builtinId="9" hidden="1"/>
    <cellStyle name="Followed Hyperlink" xfId="33894" builtinId="9" hidden="1"/>
    <cellStyle name="Followed Hyperlink" xfId="33895" builtinId="9" hidden="1"/>
    <cellStyle name="Followed Hyperlink" xfId="33896" builtinId="9" hidden="1"/>
    <cellStyle name="Followed Hyperlink" xfId="33897" builtinId="9" hidden="1"/>
    <cellStyle name="Followed Hyperlink" xfId="33898" builtinId="9" hidden="1"/>
    <cellStyle name="Followed Hyperlink" xfId="33611" builtinId="9" hidden="1"/>
    <cellStyle name="Followed Hyperlink" xfId="33859" builtinId="9" hidden="1"/>
    <cellStyle name="Followed Hyperlink" xfId="33900" builtinId="9" hidden="1"/>
    <cellStyle name="Followed Hyperlink" xfId="33901" builtinId="9" hidden="1"/>
    <cellStyle name="Followed Hyperlink" xfId="33902" builtinId="9" hidden="1"/>
    <cellStyle name="Followed Hyperlink" xfId="33903" builtinId="9" hidden="1"/>
    <cellStyle name="Followed Hyperlink" xfId="33904" builtinId="9" hidden="1"/>
    <cellStyle name="Followed Hyperlink" xfId="33905" builtinId="9" hidden="1"/>
    <cellStyle name="Followed Hyperlink" xfId="33906" builtinId="9" hidden="1"/>
    <cellStyle name="Followed Hyperlink" xfId="33907" builtinId="9" hidden="1"/>
    <cellStyle name="Followed Hyperlink" xfId="33908" builtinId="9" hidden="1"/>
    <cellStyle name="Followed Hyperlink" xfId="33909" builtinId="9" hidden="1"/>
    <cellStyle name="Followed Hyperlink" xfId="33910" builtinId="9" hidden="1"/>
    <cellStyle name="Followed Hyperlink" xfId="33911" builtinId="9" hidden="1"/>
    <cellStyle name="Followed Hyperlink" xfId="33912" builtinId="9" hidden="1"/>
    <cellStyle name="Followed Hyperlink" xfId="33913" builtinId="9" hidden="1"/>
    <cellStyle name="Followed Hyperlink" xfId="33914" builtinId="9" hidden="1"/>
    <cellStyle name="Followed Hyperlink" xfId="33915" builtinId="9" hidden="1"/>
    <cellStyle name="Followed Hyperlink" xfId="33916" builtinId="9" hidden="1"/>
    <cellStyle name="Followed Hyperlink" xfId="33917" builtinId="9" hidden="1"/>
    <cellStyle name="Followed Hyperlink" xfId="33918" builtinId="9" hidden="1"/>
    <cellStyle name="Followed Hyperlink" xfId="33919" builtinId="9" hidden="1"/>
    <cellStyle name="Followed Hyperlink" xfId="33920" builtinId="9" hidden="1"/>
    <cellStyle name="Followed Hyperlink" xfId="33921" builtinId="9" hidden="1"/>
    <cellStyle name="Followed Hyperlink" xfId="33922" builtinId="9" hidden="1"/>
    <cellStyle name="Followed Hyperlink" xfId="33923" builtinId="9" hidden="1"/>
    <cellStyle name="Followed Hyperlink" xfId="33924" builtinId="9" hidden="1"/>
    <cellStyle name="Followed Hyperlink" xfId="33925" builtinId="9" hidden="1"/>
    <cellStyle name="Followed Hyperlink" xfId="33926" builtinId="9" hidden="1"/>
    <cellStyle name="Followed Hyperlink" xfId="33927" builtinId="9" hidden="1"/>
    <cellStyle name="Followed Hyperlink" xfId="33928" builtinId="9" hidden="1"/>
    <cellStyle name="Followed Hyperlink" xfId="33929" builtinId="9" hidden="1"/>
    <cellStyle name="Followed Hyperlink" xfId="33930" builtinId="9" hidden="1"/>
    <cellStyle name="Followed Hyperlink" xfId="33931" builtinId="9" hidden="1"/>
    <cellStyle name="Followed Hyperlink" xfId="33932" builtinId="9" hidden="1"/>
    <cellStyle name="Followed Hyperlink" xfId="33933" builtinId="9" hidden="1"/>
    <cellStyle name="Followed Hyperlink" xfId="33934" builtinId="9" hidden="1"/>
    <cellStyle name="Followed Hyperlink" xfId="33935" builtinId="9" hidden="1"/>
    <cellStyle name="Followed Hyperlink" xfId="33936" builtinId="9" hidden="1"/>
    <cellStyle name="Followed Hyperlink" xfId="33937" builtinId="9" hidden="1"/>
    <cellStyle name="Followed Hyperlink" xfId="33938" builtinId="9" hidden="1"/>
    <cellStyle name="Followed Hyperlink" xfId="33612" builtinId="9" hidden="1"/>
    <cellStyle name="Followed Hyperlink" xfId="33899" builtinId="9" hidden="1"/>
    <cellStyle name="Followed Hyperlink" xfId="33940" builtinId="9" hidden="1"/>
    <cellStyle name="Followed Hyperlink" xfId="33941" builtinId="9" hidden="1"/>
    <cellStyle name="Followed Hyperlink" xfId="33942" builtinId="9" hidden="1"/>
    <cellStyle name="Followed Hyperlink" xfId="33943" builtinId="9" hidden="1"/>
    <cellStyle name="Followed Hyperlink" xfId="33944" builtinId="9" hidden="1"/>
    <cellStyle name="Followed Hyperlink" xfId="33945" builtinId="9" hidden="1"/>
    <cellStyle name="Followed Hyperlink" xfId="33946" builtinId="9" hidden="1"/>
    <cellStyle name="Followed Hyperlink" xfId="33947" builtinId="9" hidden="1"/>
    <cellStyle name="Followed Hyperlink" xfId="33948" builtinId="9" hidden="1"/>
    <cellStyle name="Followed Hyperlink" xfId="33949" builtinId="9" hidden="1"/>
    <cellStyle name="Followed Hyperlink" xfId="33950" builtinId="9" hidden="1"/>
    <cellStyle name="Followed Hyperlink" xfId="33951" builtinId="9" hidden="1"/>
    <cellStyle name="Followed Hyperlink" xfId="33952" builtinId="9" hidden="1"/>
    <cellStyle name="Followed Hyperlink" xfId="33953" builtinId="9" hidden="1"/>
    <cellStyle name="Followed Hyperlink" xfId="33954" builtinId="9" hidden="1"/>
    <cellStyle name="Followed Hyperlink" xfId="33955" builtinId="9" hidden="1"/>
    <cellStyle name="Followed Hyperlink" xfId="33956" builtinId="9" hidden="1"/>
    <cellStyle name="Followed Hyperlink" xfId="33957" builtinId="9" hidden="1"/>
    <cellStyle name="Followed Hyperlink" xfId="33958" builtinId="9" hidden="1"/>
    <cellStyle name="Followed Hyperlink" xfId="33959" builtinId="9" hidden="1"/>
    <cellStyle name="Followed Hyperlink" xfId="33960" builtinId="9" hidden="1"/>
    <cellStyle name="Followed Hyperlink" xfId="33961" builtinId="9" hidden="1"/>
    <cellStyle name="Followed Hyperlink" xfId="33962" builtinId="9" hidden="1"/>
    <cellStyle name="Followed Hyperlink" xfId="33963" builtinId="9" hidden="1"/>
    <cellStyle name="Followed Hyperlink" xfId="33964" builtinId="9" hidden="1"/>
    <cellStyle name="Followed Hyperlink" xfId="33965" builtinId="9" hidden="1"/>
    <cellStyle name="Followed Hyperlink" xfId="33966" builtinId="9" hidden="1"/>
    <cellStyle name="Followed Hyperlink" xfId="33967" builtinId="9" hidden="1"/>
    <cellStyle name="Followed Hyperlink" xfId="33968" builtinId="9" hidden="1"/>
    <cellStyle name="Followed Hyperlink" xfId="33969" builtinId="9" hidden="1"/>
    <cellStyle name="Followed Hyperlink" xfId="33970" builtinId="9" hidden="1"/>
    <cellStyle name="Followed Hyperlink" xfId="33971" builtinId="9" hidden="1"/>
    <cellStyle name="Followed Hyperlink" xfId="33972" builtinId="9" hidden="1"/>
    <cellStyle name="Followed Hyperlink" xfId="33973" builtinId="9" hidden="1"/>
    <cellStyle name="Followed Hyperlink" xfId="33974" builtinId="9" hidden="1"/>
    <cellStyle name="Followed Hyperlink" xfId="33975" builtinId="9" hidden="1"/>
    <cellStyle name="Followed Hyperlink" xfId="33976" builtinId="9" hidden="1"/>
    <cellStyle name="Followed Hyperlink" xfId="33977" builtinId="9" hidden="1"/>
    <cellStyle name="Followed Hyperlink" xfId="33978" builtinId="9" hidden="1"/>
    <cellStyle name="Followed Hyperlink" xfId="33614" builtinId="9" hidden="1"/>
    <cellStyle name="Followed Hyperlink" xfId="33939" builtinId="9" hidden="1"/>
    <cellStyle name="Followed Hyperlink" xfId="33980" builtinId="9" hidden="1"/>
    <cellStyle name="Followed Hyperlink" xfId="33981" builtinId="9" hidden="1"/>
    <cellStyle name="Followed Hyperlink" xfId="33982" builtinId="9" hidden="1"/>
    <cellStyle name="Followed Hyperlink" xfId="33983" builtinId="9" hidden="1"/>
    <cellStyle name="Followed Hyperlink" xfId="33984" builtinId="9" hidden="1"/>
    <cellStyle name="Followed Hyperlink" xfId="33985" builtinId="9" hidden="1"/>
    <cellStyle name="Followed Hyperlink" xfId="33986" builtinId="9" hidden="1"/>
    <cellStyle name="Followed Hyperlink" xfId="33987" builtinId="9" hidden="1"/>
    <cellStyle name="Followed Hyperlink" xfId="33988" builtinId="9" hidden="1"/>
    <cellStyle name="Followed Hyperlink" xfId="33989" builtinId="9" hidden="1"/>
    <cellStyle name="Followed Hyperlink" xfId="33990" builtinId="9" hidden="1"/>
    <cellStyle name="Followed Hyperlink" xfId="33991" builtinId="9" hidden="1"/>
    <cellStyle name="Followed Hyperlink" xfId="33992" builtinId="9" hidden="1"/>
    <cellStyle name="Followed Hyperlink" xfId="33993" builtinId="9" hidden="1"/>
    <cellStyle name="Followed Hyperlink" xfId="33994" builtinId="9" hidden="1"/>
    <cellStyle name="Followed Hyperlink" xfId="33995" builtinId="9" hidden="1"/>
    <cellStyle name="Followed Hyperlink" xfId="33996" builtinId="9" hidden="1"/>
    <cellStyle name="Followed Hyperlink" xfId="33997" builtinId="9" hidden="1"/>
    <cellStyle name="Followed Hyperlink" xfId="33998" builtinId="9" hidden="1"/>
    <cellStyle name="Followed Hyperlink" xfId="33999" builtinId="9" hidden="1"/>
    <cellStyle name="Followed Hyperlink" xfId="34000" builtinId="9" hidden="1"/>
    <cellStyle name="Followed Hyperlink" xfId="34001" builtinId="9" hidden="1"/>
    <cellStyle name="Followed Hyperlink" xfId="34002" builtinId="9" hidden="1"/>
    <cellStyle name="Followed Hyperlink" xfId="34003" builtinId="9" hidden="1"/>
    <cellStyle name="Followed Hyperlink" xfId="34004" builtinId="9" hidden="1"/>
    <cellStyle name="Followed Hyperlink" xfId="34005" builtinId="9" hidden="1"/>
    <cellStyle name="Followed Hyperlink" xfId="34006" builtinId="9" hidden="1"/>
    <cellStyle name="Followed Hyperlink" xfId="34007" builtinId="9" hidden="1"/>
    <cellStyle name="Followed Hyperlink" xfId="34008" builtinId="9" hidden="1"/>
    <cellStyle name="Followed Hyperlink" xfId="34009" builtinId="9" hidden="1"/>
    <cellStyle name="Followed Hyperlink" xfId="34010" builtinId="9" hidden="1"/>
    <cellStyle name="Followed Hyperlink" xfId="34011" builtinId="9" hidden="1"/>
    <cellStyle name="Followed Hyperlink" xfId="34012" builtinId="9" hidden="1"/>
    <cellStyle name="Followed Hyperlink" xfId="34013" builtinId="9" hidden="1"/>
    <cellStyle name="Followed Hyperlink" xfId="34014" builtinId="9" hidden="1"/>
    <cellStyle name="Followed Hyperlink" xfId="34015" builtinId="9" hidden="1"/>
    <cellStyle name="Followed Hyperlink" xfId="34016" builtinId="9" hidden="1"/>
    <cellStyle name="Followed Hyperlink" xfId="34017" builtinId="9" hidden="1"/>
    <cellStyle name="Followed Hyperlink" xfId="34018" builtinId="9" hidden="1"/>
    <cellStyle name="Followed Hyperlink" xfId="33610" builtinId="9" hidden="1"/>
    <cellStyle name="Followed Hyperlink" xfId="33979" builtinId="9" hidden="1"/>
    <cellStyle name="Followed Hyperlink" xfId="34019" builtinId="9" hidden="1"/>
    <cellStyle name="Followed Hyperlink" xfId="34020" builtinId="9" hidden="1"/>
    <cellStyle name="Followed Hyperlink" xfId="34021" builtinId="9" hidden="1"/>
    <cellStyle name="Followed Hyperlink" xfId="34022" builtinId="9" hidden="1"/>
    <cellStyle name="Followed Hyperlink" xfId="34023" builtinId="9" hidden="1"/>
    <cellStyle name="Followed Hyperlink" xfId="34024" builtinId="9" hidden="1"/>
    <cellStyle name="Followed Hyperlink" xfId="34025" builtinId="9" hidden="1"/>
    <cellStyle name="Followed Hyperlink" xfId="34026" builtinId="9" hidden="1"/>
    <cellStyle name="Followed Hyperlink" xfId="34027" builtinId="9" hidden="1"/>
    <cellStyle name="Followed Hyperlink" xfId="34028" builtinId="9" hidden="1"/>
    <cellStyle name="Followed Hyperlink" xfId="34029" builtinId="9" hidden="1"/>
    <cellStyle name="Followed Hyperlink" xfId="34030" builtinId="9" hidden="1"/>
    <cellStyle name="Followed Hyperlink" xfId="34031" builtinId="9" hidden="1"/>
    <cellStyle name="Followed Hyperlink" xfId="34032" builtinId="9" hidden="1"/>
    <cellStyle name="Followed Hyperlink" xfId="34033" builtinId="9" hidden="1"/>
    <cellStyle name="Followed Hyperlink" xfId="34034" builtinId="9" hidden="1"/>
    <cellStyle name="Followed Hyperlink" xfId="34035" builtinId="9" hidden="1"/>
    <cellStyle name="Followed Hyperlink" xfId="34036" builtinId="9" hidden="1"/>
    <cellStyle name="Followed Hyperlink" xfId="34037" builtinId="9" hidden="1"/>
    <cellStyle name="Followed Hyperlink" xfId="34038" builtinId="9" hidden="1"/>
    <cellStyle name="Followed Hyperlink" xfId="34039" builtinId="9" hidden="1"/>
    <cellStyle name="Followed Hyperlink" xfId="34040" builtinId="9" hidden="1"/>
    <cellStyle name="Followed Hyperlink" xfId="34041" builtinId="9" hidden="1"/>
    <cellStyle name="Followed Hyperlink" xfId="34042" builtinId="9" hidden="1"/>
    <cellStyle name="Followed Hyperlink" xfId="34043" builtinId="9" hidden="1"/>
    <cellStyle name="Followed Hyperlink" xfId="34044" builtinId="9" hidden="1"/>
    <cellStyle name="Followed Hyperlink" xfId="34045" builtinId="9" hidden="1"/>
    <cellStyle name="Followed Hyperlink" xfId="34046" builtinId="9" hidden="1"/>
    <cellStyle name="Followed Hyperlink" xfId="34047" builtinId="9" hidden="1"/>
    <cellStyle name="Followed Hyperlink" xfId="34048" builtinId="9" hidden="1"/>
    <cellStyle name="Followed Hyperlink" xfId="34049" builtinId="9" hidden="1"/>
    <cellStyle name="Followed Hyperlink" xfId="34050" builtinId="9" hidden="1"/>
    <cellStyle name="Followed Hyperlink" xfId="34051" builtinId="9" hidden="1"/>
    <cellStyle name="Followed Hyperlink" xfId="34052" builtinId="9" hidden="1"/>
    <cellStyle name="Followed Hyperlink" xfId="34053" builtinId="9" hidden="1"/>
    <cellStyle name="Followed Hyperlink" xfId="34054" builtinId="9" hidden="1"/>
    <cellStyle name="Followed Hyperlink" xfId="34055" builtinId="9" hidden="1"/>
    <cellStyle name="Followed Hyperlink" xfId="34056" builtinId="9" hidden="1"/>
    <cellStyle name="Followed Hyperlink" xfId="34057" builtinId="9" hidden="1"/>
    <cellStyle name="Followed Hyperlink" xfId="33066" builtinId="9" hidden="1"/>
    <cellStyle name="Followed Hyperlink" xfId="33071" builtinId="9" hidden="1"/>
    <cellStyle name="Followed Hyperlink" xfId="34058" builtinId="9" hidden="1"/>
    <cellStyle name="Followed Hyperlink" xfId="34059" builtinId="9" hidden="1"/>
    <cellStyle name="Followed Hyperlink" xfId="34060" builtinId="9" hidden="1"/>
    <cellStyle name="Followed Hyperlink" xfId="34061" builtinId="9" hidden="1"/>
    <cellStyle name="Followed Hyperlink" xfId="34062" builtinId="9" hidden="1"/>
    <cellStyle name="Followed Hyperlink" xfId="34063" builtinId="9" hidden="1"/>
    <cellStyle name="Followed Hyperlink" xfId="34064" builtinId="9" hidden="1"/>
    <cellStyle name="Followed Hyperlink" xfId="34065" builtinId="9" hidden="1"/>
    <cellStyle name="Followed Hyperlink" xfId="34066" builtinId="9" hidden="1"/>
    <cellStyle name="Followed Hyperlink" xfId="34067" builtinId="9" hidden="1"/>
    <cellStyle name="Followed Hyperlink" xfId="34068" builtinId="9" hidden="1"/>
    <cellStyle name="Followed Hyperlink" xfId="34069" builtinId="9" hidden="1"/>
    <cellStyle name="Followed Hyperlink" xfId="34070" builtinId="9" hidden="1"/>
    <cellStyle name="Followed Hyperlink" xfId="34071" builtinId="9" hidden="1"/>
    <cellStyle name="Followed Hyperlink" xfId="34072" builtinId="9" hidden="1"/>
    <cellStyle name="Followed Hyperlink" xfId="34073" builtinId="9" hidden="1"/>
    <cellStyle name="Followed Hyperlink" xfId="34074" builtinId="9" hidden="1"/>
    <cellStyle name="Followed Hyperlink" xfId="34075" builtinId="9" hidden="1"/>
    <cellStyle name="Followed Hyperlink" xfId="34076" builtinId="9" hidden="1"/>
    <cellStyle name="Followed Hyperlink" xfId="34077" builtinId="9" hidden="1"/>
    <cellStyle name="Followed Hyperlink" xfId="34078" builtinId="9" hidden="1"/>
    <cellStyle name="Followed Hyperlink" xfId="34079" builtinId="9" hidden="1"/>
    <cellStyle name="Followed Hyperlink" xfId="34080" builtinId="9" hidden="1"/>
    <cellStyle name="Followed Hyperlink" xfId="34081" builtinId="9" hidden="1"/>
    <cellStyle name="Followed Hyperlink" xfId="34082" builtinId="9" hidden="1"/>
    <cellStyle name="Followed Hyperlink" xfId="34083" builtinId="9" hidden="1"/>
    <cellStyle name="Followed Hyperlink" xfId="34084" builtinId="9" hidden="1"/>
    <cellStyle name="Followed Hyperlink" xfId="34085" builtinId="9" hidden="1"/>
    <cellStyle name="Followed Hyperlink" xfId="34086" builtinId="9" hidden="1"/>
    <cellStyle name="Followed Hyperlink" xfId="34087" builtinId="9" hidden="1"/>
    <cellStyle name="Followed Hyperlink" xfId="34088" builtinId="9" hidden="1"/>
    <cellStyle name="Followed Hyperlink" xfId="34089" builtinId="9" hidden="1"/>
    <cellStyle name="Followed Hyperlink" xfId="34090" builtinId="9" hidden="1"/>
    <cellStyle name="Followed Hyperlink" xfId="34091" builtinId="9" hidden="1"/>
    <cellStyle name="Followed Hyperlink" xfId="34092" builtinId="9" hidden="1"/>
    <cellStyle name="Followed Hyperlink" xfId="34093" builtinId="9" hidden="1"/>
    <cellStyle name="Followed Hyperlink" xfId="34094" builtinId="9" hidden="1"/>
    <cellStyle name="Followed Hyperlink" xfId="34095" builtinId="9" hidden="1"/>
    <cellStyle name="Followed Hyperlink" xfId="34096" builtinId="9" hidden="1"/>
    <cellStyle name="Followed Hyperlink" xfId="34105" builtinId="9" hidden="1"/>
    <cellStyle name="Followed Hyperlink" xfId="34106" builtinId="9" hidden="1"/>
    <cellStyle name="Followed Hyperlink" xfId="34107" builtinId="9" hidden="1"/>
    <cellStyle name="Followed Hyperlink" xfId="34108" builtinId="9" hidden="1"/>
    <cellStyle name="Followed Hyperlink" xfId="34109" builtinId="9" hidden="1"/>
    <cellStyle name="Followed Hyperlink" xfId="34110" builtinId="9" hidden="1"/>
    <cellStyle name="Followed Hyperlink" xfId="34111" builtinId="9" hidden="1"/>
    <cellStyle name="Followed Hyperlink" xfId="34112" builtinId="9" hidden="1"/>
    <cellStyle name="Followed Hyperlink" xfId="34113" builtinId="9" hidden="1"/>
    <cellStyle name="Followed Hyperlink" xfId="34114" builtinId="9" hidden="1"/>
    <cellStyle name="Followed Hyperlink" xfId="34115" builtinId="9" hidden="1"/>
    <cellStyle name="Followed Hyperlink" xfId="34116" builtinId="9" hidden="1"/>
    <cellStyle name="Followed Hyperlink" xfId="34117" builtinId="9" hidden="1"/>
    <cellStyle name="Followed Hyperlink" xfId="34118" builtinId="9" hidden="1"/>
    <cellStyle name="Followed Hyperlink" xfId="34119" builtinId="9" hidden="1"/>
    <cellStyle name="Followed Hyperlink" xfId="34120" builtinId="9" hidden="1"/>
    <cellStyle name="Followed Hyperlink" xfId="34121" builtinId="9" hidden="1"/>
    <cellStyle name="Followed Hyperlink" xfId="34122" builtinId="9" hidden="1"/>
    <cellStyle name="Followed Hyperlink" xfId="34123" builtinId="9" hidden="1"/>
    <cellStyle name="Followed Hyperlink" xfId="34124" builtinId="9" hidden="1"/>
    <cellStyle name="Followed Hyperlink" xfId="34125" builtinId="9" hidden="1"/>
    <cellStyle name="Followed Hyperlink" xfId="34126" builtinId="9" hidden="1"/>
    <cellStyle name="Followed Hyperlink" xfId="34127" builtinId="9" hidden="1"/>
    <cellStyle name="Followed Hyperlink" xfId="34128" builtinId="9" hidden="1"/>
    <cellStyle name="Followed Hyperlink" xfId="34129" builtinId="9" hidden="1"/>
    <cellStyle name="Followed Hyperlink" xfId="34130" builtinId="9" hidden="1"/>
    <cellStyle name="Followed Hyperlink" xfId="34131" builtinId="9" hidden="1"/>
    <cellStyle name="Followed Hyperlink" xfId="34132" builtinId="9" hidden="1"/>
    <cellStyle name="Followed Hyperlink" xfId="34133" builtinId="9" hidden="1"/>
    <cellStyle name="Followed Hyperlink" xfId="34134" builtinId="9" hidden="1"/>
    <cellStyle name="Followed Hyperlink" xfId="34135" builtinId="9" hidden="1"/>
    <cellStyle name="Followed Hyperlink" xfId="34136" builtinId="9" hidden="1"/>
    <cellStyle name="Followed Hyperlink" xfId="34137" builtinId="9" hidden="1"/>
    <cellStyle name="Followed Hyperlink" xfId="34138" builtinId="9" hidden="1"/>
    <cellStyle name="Followed Hyperlink" xfId="34139" builtinId="9" hidden="1"/>
    <cellStyle name="Followed Hyperlink" xfId="34140" builtinId="9" hidden="1"/>
    <cellStyle name="Followed Hyperlink" xfId="34141" builtinId="9" hidden="1"/>
    <cellStyle name="Followed Hyperlink" xfId="34142" builtinId="9" hidden="1"/>
    <cellStyle name="Followed Hyperlink" xfId="34143" builtinId="9" hidden="1"/>
    <cellStyle name="Followed Hyperlink" xfId="34144" builtinId="9" hidden="1"/>
    <cellStyle name="Followed Hyperlink" xfId="34145" builtinId="9" hidden="1"/>
    <cellStyle name="Followed Hyperlink" xfId="34146" builtinId="9" hidden="1"/>
    <cellStyle name="Followed Hyperlink" xfId="34147" builtinId="9" hidden="1"/>
    <cellStyle name="Followed Hyperlink" xfId="34148" builtinId="9" hidden="1"/>
    <cellStyle name="Followed Hyperlink" xfId="34149" builtinId="9" hidden="1"/>
    <cellStyle name="Followed Hyperlink" xfId="34150" builtinId="9" hidden="1"/>
    <cellStyle name="Followed Hyperlink" xfId="34151" builtinId="9" hidden="1"/>
    <cellStyle name="Followed Hyperlink" xfId="34152" builtinId="9" hidden="1"/>
    <cellStyle name="Followed Hyperlink" xfId="34153" builtinId="9" hidden="1"/>
    <cellStyle name="Followed Hyperlink" xfId="34154" builtinId="9" hidden="1"/>
    <cellStyle name="Followed Hyperlink" xfId="34155" builtinId="9" hidden="1"/>
    <cellStyle name="Followed Hyperlink" xfId="34156" builtinId="9" hidden="1"/>
    <cellStyle name="Followed Hyperlink" xfId="34157" builtinId="9" hidden="1"/>
    <cellStyle name="Followed Hyperlink" xfId="34158" builtinId="9" hidden="1"/>
    <cellStyle name="Followed Hyperlink" xfId="34159" builtinId="9" hidden="1"/>
    <cellStyle name="Followed Hyperlink" xfId="34160" builtinId="9" hidden="1"/>
    <cellStyle name="Followed Hyperlink" xfId="34161" builtinId="9" hidden="1"/>
    <cellStyle name="Followed Hyperlink" xfId="34162" builtinId="9" hidden="1"/>
    <cellStyle name="Followed Hyperlink" xfId="34163" builtinId="9" hidden="1"/>
    <cellStyle name="Followed Hyperlink" xfId="34164" builtinId="9" hidden="1"/>
    <cellStyle name="Followed Hyperlink" xfId="34165" builtinId="9" hidden="1"/>
    <cellStyle name="Followed Hyperlink" xfId="34166" builtinId="9" hidden="1"/>
    <cellStyle name="Followed Hyperlink" xfId="34167" builtinId="9" hidden="1"/>
    <cellStyle name="Followed Hyperlink" xfId="34168" builtinId="9" hidden="1"/>
    <cellStyle name="Followed Hyperlink" xfId="34169" builtinId="9" hidden="1"/>
    <cellStyle name="Followed Hyperlink" xfId="34170" builtinId="9" hidden="1"/>
    <cellStyle name="Followed Hyperlink" xfId="34171" builtinId="9" hidden="1"/>
    <cellStyle name="Followed Hyperlink" xfId="34172" builtinId="9" hidden="1"/>
    <cellStyle name="Followed Hyperlink" xfId="34173" builtinId="9" hidden="1"/>
    <cellStyle name="Followed Hyperlink" xfId="34174" builtinId="9" hidden="1"/>
    <cellStyle name="Followed Hyperlink" xfId="34175" builtinId="9" hidden="1"/>
    <cellStyle name="Followed Hyperlink" xfId="34176" builtinId="9" hidden="1"/>
    <cellStyle name="Followed Hyperlink" xfId="34177" builtinId="9" hidden="1"/>
    <cellStyle name="Followed Hyperlink" xfId="34178" builtinId="9" hidden="1"/>
    <cellStyle name="Followed Hyperlink" xfId="34179" builtinId="9" hidden="1"/>
    <cellStyle name="Followed Hyperlink" xfId="34180" builtinId="9" hidden="1"/>
    <cellStyle name="Followed Hyperlink" xfId="34181" builtinId="9" hidden="1"/>
    <cellStyle name="Followed Hyperlink" xfId="34182" builtinId="9" hidden="1"/>
    <cellStyle name="Followed Hyperlink" xfId="34183" builtinId="9" hidden="1"/>
    <cellStyle name="Followed Hyperlink" xfId="34184" builtinId="9" hidden="1"/>
    <cellStyle name="Followed Hyperlink" xfId="34185" builtinId="9" hidden="1"/>
    <cellStyle name="Followed Hyperlink" xfId="34186" builtinId="9" hidden="1"/>
    <cellStyle name="Followed Hyperlink" xfId="34187" builtinId="9" hidden="1"/>
    <cellStyle name="Followed Hyperlink" xfId="34188" builtinId="9" hidden="1"/>
    <cellStyle name="Followed Hyperlink" xfId="34189" builtinId="9" hidden="1"/>
    <cellStyle name="Followed Hyperlink" xfId="34190" builtinId="9" hidden="1"/>
    <cellStyle name="Followed Hyperlink" xfId="34191" builtinId="9" hidden="1"/>
    <cellStyle name="Followed Hyperlink" xfId="34192" builtinId="9" hidden="1"/>
    <cellStyle name="Followed Hyperlink" xfId="34193" builtinId="9" hidden="1"/>
    <cellStyle name="Followed Hyperlink" xfId="34194" builtinId="9" hidden="1"/>
    <cellStyle name="Followed Hyperlink" xfId="34195" builtinId="9" hidden="1"/>
    <cellStyle name="Followed Hyperlink" xfId="34196" builtinId="9" hidden="1"/>
    <cellStyle name="Followed Hyperlink" xfId="34197" builtinId="9" hidden="1"/>
    <cellStyle name="Followed Hyperlink" xfId="34198" builtinId="9" hidden="1"/>
    <cellStyle name="Followed Hyperlink" xfId="34199" builtinId="9" hidden="1"/>
    <cellStyle name="Followed Hyperlink" xfId="34200" builtinId="9" hidden="1"/>
    <cellStyle name="Followed Hyperlink" xfId="34201" builtinId="9" hidden="1"/>
    <cellStyle name="Followed Hyperlink" xfId="34202" builtinId="9" hidden="1"/>
    <cellStyle name="Followed Hyperlink" xfId="34203" builtinId="9" hidden="1"/>
    <cellStyle name="Followed Hyperlink" xfId="34204" builtinId="9" hidden="1"/>
    <cellStyle name="Followed Hyperlink" xfId="34205" builtinId="9" hidden="1"/>
    <cellStyle name="Followed Hyperlink" xfId="34206" builtinId="9" hidden="1"/>
    <cellStyle name="Followed Hyperlink" xfId="34207" builtinId="9" hidden="1"/>
    <cellStyle name="Followed Hyperlink" xfId="34208" builtinId="9" hidden="1"/>
    <cellStyle name="Followed Hyperlink" xfId="34209" builtinId="9" hidden="1"/>
    <cellStyle name="Followed Hyperlink" xfId="34210" builtinId="9" hidden="1"/>
    <cellStyle name="Followed Hyperlink" xfId="34211" builtinId="9" hidden="1"/>
    <cellStyle name="Followed Hyperlink" xfId="34212" builtinId="9" hidden="1"/>
    <cellStyle name="Followed Hyperlink" xfId="34213" builtinId="9" hidden="1"/>
    <cellStyle name="Followed Hyperlink" xfId="34214" builtinId="9" hidden="1"/>
    <cellStyle name="Followed Hyperlink" xfId="34215" builtinId="9" hidden="1"/>
    <cellStyle name="Followed Hyperlink" xfId="34216" builtinId="9" hidden="1"/>
    <cellStyle name="Followed Hyperlink" xfId="34217" builtinId="9" hidden="1"/>
    <cellStyle name="Followed Hyperlink" xfId="34218" builtinId="9" hidden="1"/>
    <cellStyle name="Followed Hyperlink" xfId="34219" builtinId="9" hidden="1"/>
    <cellStyle name="Followed Hyperlink" xfId="34220" builtinId="9" hidden="1"/>
    <cellStyle name="Followed Hyperlink" xfId="34221" builtinId="9" hidden="1"/>
    <cellStyle name="Followed Hyperlink" xfId="34222" builtinId="9" hidden="1"/>
    <cellStyle name="Followed Hyperlink" xfId="34223" builtinId="9" hidden="1"/>
    <cellStyle name="Followed Hyperlink" xfId="34224" builtinId="9" hidden="1"/>
    <cellStyle name="Followed Hyperlink" xfId="34225" builtinId="9" hidden="1"/>
    <cellStyle name="Followed Hyperlink" xfId="34226" builtinId="9" hidden="1"/>
    <cellStyle name="Followed Hyperlink" xfId="34227" builtinId="9" hidden="1"/>
    <cellStyle name="Followed Hyperlink" xfId="34097" builtinId="9" hidden="1"/>
    <cellStyle name="Followed Hyperlink" xfId="33070" builtinId="9" hidden="1"/>
    <cellStyle name="Followed Hyperlink" xfId="34229" builtinId="9" hidden="1"/>
    <cellStyle name="Followed Hyperlink" xfId="34230" builtinId="9" hidden="1"/>
    <cellStyle name="Followed Hyperlink" xfId="34231" builtinId="9" hidden="1"/>
    <cellStyle name="Followed Hyperlink" xfId="34232" builtinId="9" hidden="1"/>
    <cellStyle name="Followed Hyperlink" xfId="34233" builtinId="9" hidden="1"/>
    <cellStyle name="Followed Hyperlink" xfId="34234" builtinId="9" hidden="1"/>
    <cellStyle name="Followed Hyperlink" xfId="34235" builtinId="9" hidden="1"/>
    <cellStyle name="Followed Hyperlink" xfId="34236" builtinId="9" hidden="1"/>
    <cellStyle name="Followed Hyperlink" xfId="34237" builtinId="9" hidden="1"/>
    <cellStyle name="Followed Hyperlink" xfId="34238" builtinId="9" hidden="1"/>
    <cellStyle name="Followed Hyperlink" xfId="34239" builtinId="9" hidden="1"/>
    <cellStyle name="Followed Hyperlink" xfId="34240" builtinId="9" hidden="1"/>
    <cellStyle name="Followed Hyperlink" xfId="34241" builtinId="9" hidden="1"/>
    <cellStyle name="Followed Hyperlink" xfId="34242" builtinId="9" hidden="1"/>
    <cellStyle name="Followed Hyperlink" xfId="34243" builtinId="9" hidden="1"/>
    <cellStyle name="Followed Hyperlink" xfId="34244" builtinId="9" hidden="1"/>
    <cellStyle name="Followed Hyperlink" xfId="34245" builtinId="9" hidden="1"/>
    <cellStyle name="Followed Hyperlink" xfId="34246" builtinId="9" hidden="1"/>
    <cellStyle name="Followed Hyperlink" xfId="34247" builtinId="9" hidden="1"/>
    <cellStyle name="Followed Hyperlink" xfId="34248" builtinId="9" hidden="1"/>
    <cellStyle name="Followed Hyperlink" xfId="34249" builtinId="9" hidden="1"/>
    <cellStyle name="Followed Hyperlink" xfId="34250" builtinId="9" hidden="1"/>
    <cellStyle name="Followed Hyperlink" xfId="34251" builtinId="9" hidden="1"/>
    <cellStyle name="Followed Hyperlink" xfId="34252" builtinId="9" hidden="1"/>
    <cellStyle name="Followed Hyperlink" xfId="34253" builtinId="9" hidden="1"/>
    <cellStyle name="Followed Hyperlink" xfId="34254" builtinId="9" hidden="1"/>
    <cellStyle name="Followed Hyperlink" xfId="34255" builtinId="9" hidden="1"/>
    <cellStyle name="Followed Hyperlink" xfId="34256" builtinId="9" hidden="1"/>
    <cellStyle name="Followed Hyperlink" xfId="34257" builtinId="9" hidden="1"/>
    <cellStyle name="Followed Hyperlink" xfId="34258" builtinId="9" hidden="1"/>
    <cellStyle name="Followed Hyperlink" xfId="34259" builtinId="9" hidden="1"/>
    <cellStyle name="Followed Hyperlink" xfId="34260" builtinId="9" hidden="1"/>
    <cellStyle name="Followed Hyperlink" xfId="34261" builtinId="9" hidden="1"/>
    <cellStyle name="Followed Hyperlink" xfId="34262" builtinId="9" hidden="1"/>
    <cellStyle name="Followed Hyperlink" xfId="34263" builtinId="9" hidden="1"/>
    <cellStyle name="Followed Hyperlink" xfId="34264" builtinId="9" hidden="1"/>
    <cellStyle name="Followed Hyperlink" xfId="34265" builtinId="9" hidden="1"/>
    <cellStyle name="Followed Hyperlink" xfId="34266" builtinId="9" hidden="1"/>
    <cellStyle name="Followed Hyperlink" xfId="34267" builtinId="9" hidden="1"/>
    <cellStyle name="Followed Hyperlink" xfId="34102" builtinId="9" hidden="1"/>
    <cellStyle name="Followed Hyperlink" xfId="34228" builtinId="9" hidden="1"/>
    <cellStyle name="Followed Hyperlink" xfId="34269" builtinId="9" hidden="1"/>
    <cellStyle name="Followed Hyperlink" xfId="34270" builtinId="9" hidden="1"/>
    <cellStyle name="Followed Hyperlink" xfId="34271" builtinId="9" hidden="1"/>
    <cellStyle name="Followed Hyperlink" xfId="34272" builtinId="9" hidden="1"/>
    <cellStyle name="Followed Hyperlink" xfId="34273" builtinId="9" hidden="1"/>
    <cellStyle name="Followed Hyperlink" xfId="34274" builtinId="9" hidden="1"/>
    <cellStyle name="Followed Hyperlink" xfId="34275" builtinId="9" hidden="1"/>
    <cellStyle name="Followed Hyperlink" xfId="34276" builtinId="9" hidden="1"/>
    <cellStyle name="Followed Hyperlink" xfId="34277" builtinId="9" hidden="1"/>
    <cellStyle name="Followed Hyperlink" xfId="34278" builtinId="9" hidden="1"/>
    <cellStyle name="Followed Hyperlink" xfId="34279" builtinId="9" hidden="1"/>
    <cellStyle name="Followed Hyperlink" xfId="34280" builtinId="9" hidden="1"/>
    <cellStyle name="Followed Hyperlink" xfId="34281" builtinId="9" hidden="1"/>
    <cellStyle name="Followed Hyperlink" xfId="34282" builtinId="9" hidden="1"/>
    <cellStyle name="Followed Hyperlink" xfId="34283" builtinId="9" hidden="1"/>
    <cellStyle name="Followed Hyperlink" xfId="34284" builtinId="9" hidden="1"/>
    <cellStyle name="Followed Hyperlink" xfId="34285" builtinId="9" hidden="1"/>
    <cellStyle name="Followed Hyperlink" xfId="34286" builtinId="9" hidden="1"/>
    <cellStyle name="Followed Hyperlink" xfId="34287" builtinId="9" hidden="1"/>
    <cellStyle name="Followed Hyperlink" xfId="34288" builtinId="9" hidden="1"/>
    <cellStyle name="Followed Hyperlink" xfId="34289" builtinId="9" hidden="1"/>
    <cellStyle name="Followed Hyperlink" xfId="34290" builtinId="9" hidden="1"/>
    <cellStyle name="Followed Hyperlink" xfId="34291" builtinId="9" hidden="1"/>
    <cellStyle name="Followed Hyperlink" xfId="34292" builtinId="9" hidden="1"/>
    <cellStyle name="Followed Hyperlink" xfId="34293" builtinId="9" hidden="1"/>
    <cellStyle name="Followed Hyperlink" xfId="34294" builtinId="9" hidden="1"/>
    <cellStyle name="Followed Hyperlink" xfId="34295" builtinId="9" hidden="1"/>
    <cellStyle name="Followed Hyperlink" xfId="34296" builtinId="9" hidden="1"/>
    <cellStyle name="Followed Hyperlink" xfId="34297" builtinId="9" hidden="1"/>
    <cellStyle name="Followed Hyperlink" xfId="34298" builtinId="9" hidden="1"/>
    <cellStyle name="Followed Hyperlink" xfId="34299" builtinId="9" hidden="1"/>
    <cellStyle name="Followed Hyperlink" xfId="34300" builtinId="9" hidden="1"/>
    <cellStyle name="Followed Hyperlink" xfId="34301" builtinId="9" hidden="1"/>
    <cellStyle name="Followed Hyperlink" xfId="34302" builtinId="9" hidden="1"/>
    <cellStyle name="Followed Hyperlink" xfId="34303" builtinId="9" hidden="1"/>
    <cellStyle name="Followed Hyperlink" xfId="34304" builtinId="9" hidden="1"/>
    <cellStyle name="Followed Hyperlink" xfId="34305" builtinId="9" hidden="1"/>
    <cellStyle name="Followed Hyperlink" xfId="34306" builtinId="9" hidden="1"/>
    <cellStyle name="Followed Hyperlink" xfId="34307" builtinId="9" hidden="1"/>
    <cellStyle name="Followed Hyperlink" xfId="34104" builtinId="9" hidden="1"/>
    <cellStyle name="Followed Hyperlink" xfId="34268" builtinId="9" hidden="1"/>
    <cellStyle name="Followed Hyperlink" xfId="34309" builtinId="9" hidden="1"/>
    <cellStyle name="Followed Hyperlink" xfId="34310" builtinId="9" hidden="1"/>
    <cellStyle name="Followed Hyperlink" xfId="34311" builtinId="9" hidden="1"/>
    <cellStyle name="Followed Hyperlink" xfId="34312" builtinId="9" hidden="1"/>
    <cellStyle name="Followed Hyperlink" xfId="34313" builtinId="9" hidden="1"/>
    <cellStyle name="Followed Hyperlink" xfId="34314" builtinId="9" hidden="1"/>
    <cellStyle name="Followed Hyperlink" xfId="34315" builtinId="9" hidden="1"/>
    <cellStyle name="Followed Hyperlink" xfId="34316" builtinId="9" hidden="1"/>
    <cellStyle name="Followed Hyperlink" xfId="34317" builtinId="9" hidden="1"/>
    <cellStyle name="Followed Hyperlink" xfId="34318" builtinId="9" hidden="1"/>
    <cellStyle name="Followed Hyperlink" xfId="34319" builtinId="9" hidden="1"/>
    <cellStyle name="Followed Hyperlink" xfId="34320" builtinId="9" hidden="1"/>
    <cellStyle name="Followed Hyperlink" xfId="34321" builtinId="9" hidden="1"/>
    <cellStyle name="Followed Hyperlink" xfId="34322" builtinId="9" hidden="1"/>
    <cellStyle name="Followed Hyperlink" xfId="34323" builtinId="9" hidden="1"/>
    <cellStyle name="Followed Hyperlink" xfId="34324" builtinId="9" hidden="1"/>
    <cellStyle name="Followed Hyperlink" xfId="34325" builtinId="9" hidden="1"/>
    <cellStyle name="Followed Hyperlink" xfId="34326" builtinId="9" hidden="1"/>
    <cellStyle name="Followed Hyperlink" xfId="34327" builtinId="9" hidden="1"/>
    <cellStyle name="Followed Hyperlink" xfId="34328" builtinId="9" hidden="1"/>
    <cellStyle name="Followed Hyperlink" xfId="34329" builtinId="9" hidden="1"/>
    <cellStyle name="Followed Hyperlink" xfId="34330" builtinId="9" hidden="1"/>
    <cellStyle name="Followed Hyperlink" xfId="34331" builtinId="9" hidden="1"/>
    <cellStyle name="Followed Hyperlink" xfId="34332" builtinId="9" hidden="1"/>
    <cellStyle name="Followed Hyperlink" xfId="34333" builtinId="9" hidden="1"/>
    <cellStyle name="Followed Hyperlink" xfId="34334" builtinId="9" hidden="1"/>
    <cellStyle name="Followed Hyperlink" xfId="34335" builtinId="9" hidden="1"/>
    <cellStyle name="Followed Hyperlink" xfId="34336" builtinId="9" hidden="1"/>
    <cellStyle name="Followed Hyperlink" xfId="34337" builtinId="9" hidden="1"/>
    <cellStyle name="Followed Hyperlink" xfId="34338" builtinId="9" hidden="1"/>
    <cellStyle name="Followed Hyperlink" xfId="34339" builtinId="9" hidden="1"/>
    <cellStyle name="Followed Hyperlink" xfId="34340" builtinId="9" hidden="1"/>
    <cellStyle name="Followed Hyperlink" xfId="34341" builtinId="9" hidden="1"/>
    <cellStyle name="Followed Hyperlink" xfId="34342" builtinId="9" hidden="1"/>
    <cellStyle name="Followed Hyperlink" xfId="34343" builtinId="9" hidden="1"/>
    <cellStyle name="Followed Hyperlink" xfId="34344" builtinId="9" hidden="1"/>
    <cellStyle name="Followed Hyperlink" xfId="34345" builtinId="9" hidden="1"/>
    <cellStyle name="Followed Hyperlink" xfId="34346" builtinId="9" hidden="1"/>
    <cellStyle name="Followed Hyperlink" xfId="34347" builtinId="9" hidden="1"/>
    <cellStyle name="Followed Hyperlink" xfId="34098" builtinId="9" hidden="1"/>
    <cellStyle name="Followed Hyperlink" xfId="34308" builtinId="9" hidden="1"/>
    <cellStyle name="Followed Hyperlink" xfId="34349" builtinId="9" hidden="1"/>
    <cellStyle name="Followed Hyperlink" xfId="34350" builtinId="9" hidden="1"/>
    <cellStyle name="Followed Hyperlink" xfId="34351" builtinId="9" hidden="1"/>
    <cellStyle name="Followed Hyperlink" xfId="34352" builtinId="9" hidden="1"/>
    <cellStyle name="Followed Hyperlink" xfId="34353" builtinId="9" hidden="1"/>
    <cellStyle name="Followed Hyperlink" xfId="34354" builtinId="9" hidden="1"/>
    <cellStyle name="Followed Hyperlink" xfId="34355" builtinId="9" hidden="1"/>
    <cellStyle name="Followed Hyperlink" xfId="34356" builtinId="9" hidden="1"/>
    <cellStyle name="Followed Hyperlink" xfId="34357" builtinId="9" hidden="1"/>
    <cellStyle name="Followed Hyperlink" xfId="34358" builtinId="9" hidden="1"/>
    <cellStyle name="Followed Hyperlink" xfId="34359" builtinId="9" hidden="1"/>
    <cellStyle name="Followed Hyperlink" xfId="34360" builtinId="9" hidden="1"/>
    <cellStyle name="Followed Hyperlink" xfId="34361" builtinId="9" hidden="1"/>
    <cellStyle name="Followed Hyperlink" xfId="34362" builtinId="9" hidden="1"/>
    <cellStyle name="Followed Hyperlink" xfId="34363" builtinId="9" hidden="1"/>
    <cellStyle name="Followed Hyperlink" xfId="34364" builtinId="9" hidden="1"/>
    <cellStyle name="Followed Hyperlink" xfId="34365" builtinId="9" hidden="1"/>
    <cellStyle name="Followed Hyperlink" xfId="34366" builtinId="9" hidden="1"/>
    <cellStyle name="Followed Hyperlink" xfId="34367" builtinId="9" hidden="1"/>
    <cellStyle name="Followed Hyperlink" xfId="34368" builtinId="9" hidden="1"/>
    <cellStyle name="Followed Hyperlink" xfId="34369" builtinId="9" hidden="1"/>
    <cellStyle name="Followed Hyperlink" xfId="34370" builtinId="9" hidden="1"/>
    <cellStyle name="Followed Hyperlink" xfId="34371" builtinId="9" hidden="1"/>
    <cellStyle name="Followed Hyperlink" xfId="34372" builtinId="9" hidden="1"/>
    <cellStyle name="Followed Hyperlink" xfId="34373" builtinId="9" hidden="1"/>
    <cellStyle name="Followed Hyperlink" xfId="34374" builtinId="9" hidden="1"/>
    <cellStyle name="Followed Hyperlink" xfId="34375" builtinId="9" hidden="1"/>
    <cellStyle name="Followed Hyperlink" xfId="34376" builtinId="9" hidden="1"/>
    <cellStyle name="Followed Hyperlink" xfId="34377" builtinId="9" hidden="1"/>
    <cellStyle name="Followed Hyperlink" xfId="34378" builtinId="9" hidden="1"/>
    <cellStyle name="Followed Hyperlink" xfId="34379" builtinId="9" hidden="1"/>
    <cellStyle name="Followed Hyperlink" xfId="34380" builtinId="9" hidden="1"/>
    <cellStyle name="Followed Hyperlink" xfId="34381" builtinId="9" hidden="1"/>
    <cellStyle name="Followed Hyperlink" xfId="34382" builtinId="9" hidden="1"/>
    <cellStyle name="Followed Hyperlink" xfId="34383" builtinId="9" hidden="1"/>
    <cellStyle name="Followed Hyperlink" xfId="34384" builtinId="9" hidden="1"/>
    <cellStyle name="Followed Hyperlink" xfId="34385" builtinId="9" hidden="1"/>
    <cellStyle name="Followed Hyperlink" xfId="34386" builtinId="9" hidden="1"/>
    <cellStyle name="Followed Hyperlink" xfId="34387" builtinId="9" hidden="1"/>
    <cellStyle name="Followed Hyperlink" xfId="34100" builtinId="9" hidden="1"/>
    <cellStyle name="Followed Hyperlink" xfId="34348" builtinId="9" hidden="1"/>
    <cellStyle name="Followed Hyperlink" xfId="34389" builtinId="9" hidden="1"/>
    <cellStyle name="Followed Hyperlink" xfId="34390" builtinId="9" hidden="1"/>
    <cellStyle name="Followed Hyperlink" xfId="34391" builtinId="9" hidden="1"/>
    <cellStyle name="Followed Hyperlink" xfId="34392" builtinId="9" hidden="1"/>
    <cellStyle name="Followed Hyperlink" xfId="34393" builtinId="9" hidden="1"/>
    <cellStyle name="Followed Hyperlink" xfId="34394" builtinId="9" hidden="1"/>
    <cellStyle name="Followed Hyperlink" xfId="34395" builtinId="9" hidden="1"/>
    <cellStyle name="Followed Hyperlink" xfId="34396" builtinId="9" hidden="1"/>
    <cellStyle name="Followed Hyperlink" xfId="34397" builtinId="9" hidden="1"/>
    <cellStyle name="Followed Hyperlink" xfId="34398" builtinId="9" hidden="1"/>
    <cellStyle name="Followed Hyperlink" xfId="34399" builtinId="9" hidden="1"/>
    <cellStyle name="Followed Hyperlink" xfId="34400" builtinId="9" hidden="1"/>
    <cellStyle name="Followed Hyperlink" xfId="34401" builtinId="9" hidden="1"/>
    <cellStyle name="Followed Hyperlink" xfId="34402" builtinId="9" hidden="1"/>
    <cellStyle name="Followed Hyperlink" xfId="34403" builtinId="9" hidden="1"/>
    <cellStyle name="Followed Hyperlink" xfId="34404" builtinId="9" hidden="1"/>
    <cellStyle name="Followed Hyperlink" xfId="34405" builtinId="9" hidden="1"/>
    <cellStyle name="Followed Hyperlink" xfId="34406" builtinId="9" hidden="1"/>
    <cellStyle name="Followed Hyperlink" xfId="34407" builtinId="9" hidden="1"/>
    <cellStyle name="Followed Hyperlink" xfId="34408" builtinId="9" hidden="1"/>
    <cellStyle name="Followed Hyperlink" xfId="34409" builtinId="9" hidden="1"/>
    <cellStyle name="Followed Hyperlink" xfId="34410" builtinId="9" hidden="1"/>
    <cellStyle name="Followed Hyperlink" xfId="34411" builtinId="9" hidden="1"/>
    <cellStyle name="Followed Hyperlink" xfId="34412" builtinId="9" hidden="1"/>
    <cellStyle name="Followed Hyperlink" xfId="34413" builtinId="9" hidden="1"/>
    <cellStyle name="Followed Hyperlink" xfId="34414" builtinId="9" hidden="1"/>
    <cellStyle name="Followed Hyperlink" xfId="34415" builtinId="9" hidden="1"/>
    <cellStyle name="Followed Hyperlink" xfId="34416" builtinId="9" hidden="1"/>
    <cellStyle name="Followed Hyperlink" xfId="34417" builtinId="9" hidden="1"/>
    <cellStyle name="Followed Hyperlink" xfId="34418" builtinId="9" hidden="1"/>
    <cellStyle name="Followed Hyperlink" xfId="34419" builtinId="9" hidden="1"/>
    <cellStyle name="Followed Hyperlink" xfId="34420" builtinId="9" hidden="1"/>
    <cellStyle name="Followed Hyperlink" xfId="34421" builtinId="9" hidden="1"/>
    <cellStyle name="Followed Hyperlink" xfId="34422" builtinId="9" hidden="1"/>
    <cellStyle name="Followed Hyperlink" xfId="34423" builtinId="9" hidden="1"/>
    <cellStyle name="Followed Hyperlink" xfId="34424" builtinId="9" hidden="1"/>
    <cellStyle name="Followed Hyperlink" xfId="34425" builtinId="9" hidden="1"/>
    <cellStyle name="Followed Hyperlink" xfId="34426" builtinId="9" hidden="1"/>
    <cellStyle name="Followed Hyperlink" xfId="34427" builtinId="9" hidden="1"/>
    <cellStyle name="Followed Hyperlink" xfId="34101" builtinId="9" hidden="1"/>
    <cellStyle name="Followed Hyperlink" xfId="34388" builtinId="9" hidden="1"/>
    <cellStyle name="Followed Hyperlink" xfId="34429" builtinId="9" hidden="1"/>
    <cellStyle name="Followed Hyperlink" xfId="34430" builtinId="9" hidden="1"/>
    <cellStyle name="Followed Hyperlink" xfId="34431" builtinId="9" hidden="1"/>
    <cellStyle name="Followed Hyperlink" xfId="34432" builtinId="9" hidden="1"/>
    <cellStyle name="Followed Hyperlink" xfId="34433" builtinId="9" hidden="1"/>
    <cellStyle name="Followed Hyperlink" xfId="34434" builtinId="9" hidden="1"/>
    <cellStyle name="Followed Hyperlink" xfId="34435" builtinId="9" hidden="1"/>
    <cellStyle name="Followed Hyperlink" xfId="34436" builtinId="9" hidden="1"/>
    <cellStyle name="Followed Hyperlink" xfId="34437" builtinId="9" hidden="1"/>
    <cellStyle name="Followed Hyperlink" xfId="34438" builtinId="9" hidden="1"/>
    <cellStyle name="Followed Hyperlink" xfId="34439" builtinId="9" hidden="1"/>
    <cellStyle name="Followed Hyperlink" xfId="34440" builtinId="9" hidden="1"/>
    <cellStyle name="Followed Hyperlink" xfId="34441" builtinId="9" hidden="1"/>
    <cellStyle name="Followed Hyperlink" xfId="34442" builtinId="9" hidden="1"/>
    <cellStyle name="Followed Hyperlink" xfId="34443" builtinId="9" hidden="1"/>
    <cellStyle name="Followed Hyperlink" xfId="34444" builtinId="9" hidden="1"/>
    <cellStyle name="Followed Hyperlink" xfId="34445" builtinId="9" hidden="1"/>
    <cellStyle name="Followed Hyperlink" xfId="34446" builtinId="9" hidden="1"/>
    <cellStyle name="Followed Hyperlink" xfId="34447" builtinId="9" hidden="1"/>
    <cellStyle name="Followed Hyperlink" xfId="34448" builtinId="9" hidden="1"/>
    <cellStyle name="Followed Hyperlink" xfId="34449" builtinId="9" hidden="1"/>
    <cellStyle name="Followed Hyperlink" xfId="34450" builtinId="9" hidden="1"/>
    <cellStyle name="Followed Hyperlink" xfId="34451" builtinId="9" hidden="1"/>
    <cellStyle name="Followed Hyperlink" xfId="34452" builtinId="9" hidden="1"/>
    <cellStyle name="Followed Hyperlink" xfId="34453" builtinId="9" hidden="1"/>
    <cellStyle name="Followed Hyperlink" xfId="34454" builtinId="9" hidden="1"/>
    <cellStyle name="Followed Hyperlink" xfId="34455" builtinId="9" hidden="1"/>
    <cellStyle name="Followed Hyperlink" xfId="34456" builtinId="9" hidden="1"/>
    <cellStyle name="Followed Hyperlink" xfId="34457" builtinId="9" hidden="1"/>
    <cellStyle name="Followed Hyperlink" xfId="34458" builtinId="9" hidden="1"/>
    <cellStyle name="Followed Hyperlink" xfId="34459" builtinId="9" hidden="1"/>
    <cellStyle name="Followed Hyperlink" xfId="34460" builtinId="9" hidden="1"/>
    <cellStyle name="Followed Hyperlink" xfId="34461" builtinId="9" hidden="1"/>
    <cellStyle name="Followed Hyperlink" xfId="34462" builtinId="9" hidden="1"/>
    <cellStyle name="Followed Hyperlink" xfId="34463" builtinId="9" hidden="1"/>
    <cellStyle name="Followed Hyperlink" xfId="34464" builtinId="9" hidden="1"/>
    <cellStyle name="Followed Hyperlink" xfId="34465" builtinId="9" hidden="1"/>
    <cellStyle name="Followed Hyperlink" xfId="34466" builtinId="9" hidden="1"/>
    <cellStyle name="Followed Hyperlink" xfId="34467" builtinId="9" hidden="1"/>
    <cellStyle name="Followed Hyperlink" xfId="34103" builtinId="9" hidden="1"/>
    <cellStyle name="Followed Hyperlink" xfId="34428" builtinId="9" hidden="1"/>
    <cellStyle name="Followed Hyperlink" xfId="34469" builtinId="9" hidden="1"/>
    <cellStyle name="Followed Hyperlink" xfId="34470" builtinId="9" hidden="1"/>
    <cellStyle name="Followed Hyperlink" xfId="34471" builtinId="9" hidden="1"/>
    <cellStyle name="Followed Hyperlink" xfId="34472" builtinId="9" hidden="1"/>
    <cellStyle name="Followed Hyperlink" xfId="34473" builtinId="9" hidden="1"/>
    <cellStyle name="Followed Hyperlink" xfId="34474" builtinId="9" hidden="1"/>
    <cellStyle name="Followed Hyperlink" xfId="34475" builtinId="9" hidden="1"/>
    <cellStyle name="Followed Hyperlink" xfId="34476" builtinId="9" hidden="1"/>
    <cellStyle name="Followed Hyperlink" xfId="34477" builtinId="9" hidden="1"/>
    <cellStyle name="Followed Hyperlink" xfId="34478" builtinId="9" hidden="1"/>
    <cellStyle name="Followed Hyperlink" xfId="34479" builtinId="9" hidden="1"/>
    <cellStyle name="Followed Hyperlink" xfId="34480" builtinId="9" hidden="1"/>
    <cellStyle name="Followed Hyperlink" xfId="34481" builtinId="9" hidden="1"/>
    <cellStyle name="Followed Hyperlink" xfId="34482" builtinId="9" hidden="1"/>
    <cellStyle name="Followed Hyperlink" xfId="34483" builtinId="9" hidden="1"/>
    <cellStyle name="Followed Hyperlink" xfId="34484" builtinId="9" hidden="1"/>
    <cellStyle name="Followed Hyperlink" xfId="34485" builtinId="9" hidden="1"/>
    <cellStyle name="Followed Hyperlink" xfId="34486" builtinId="9" hidden="1"/>
    <cellStyle name="Followed Hyperlink" xfId="34487" builtinId="9" hidden="1"/>
    <cellStyle name="Followed Hyperlink" xfId="34488" builtinId="9" hidden="1"/>
    <cellStyle name="Followed Hyperlink" xfId="34489" builtinId="9" hidden="1"/>
    <cellStyle name="Followed Hyperlink" xfId="34490" builtinId="9" hidden="1"/>
    <cellStyle name="Followed Hyperlink" xfId="34491" builtinId="9" hidden="1"/>
    <cellStyle name="Followed Hyperlink" xfId="34492" builtinId="9" hidden="1"/>
    <cellStyle name="Followed Hyperlink" xfId="34493" builtinId="9" hidden="1"/>
    <cellStyle name="Followed Hyperlink" xfId="34494" builtinId="9" hidden="1"/>
    <cellStyle name="Followed Hyperlink" xfId="34495" builtinId="9" hidden="1"/>
    <cellStyle name="Followed Hyperlink" xfId="34496" builtinId="9" hidden="1"/>
    <cellStyle name="Followed Hyperlink" xfId="34497" builtinId="9" hidden="1"/>
    <cellStyle name="Followed Hyperlink" xfId="34498" builtinId="9" hidden="1"/>
    <cellStyle name="Followed Hyperlink" xfId="34499" builtinId="9" hidden="1"/>
    <cellStyle name="Followed Hyperlink" xfId="34500" builtinId="9" hidden="1"/>
    <cellStyle name="Followed Hyperlink" xfId="34501" builtinId="9" hidden="1"/>
    <cellStyle name="Followed Hyperlink" xfId="34502" builtinId="9" hidden="1"/>
    <cellStyle name="Followed Hyperlink" xfId="34503" builtinId="9" hidden="1"/>
    <cellStyle name="Followed Hyperlink" xfId="34504" builtinId="9" hidden="1"/>
    <cellStyle name="Followed Hyperlink" xfId="34505" builtinId="9" hidden="1"/>
    <cellStyle name="Followed Hyperlink" xfId="34506" builtinId="9" hidden="1"/>
    <cellStyle name="Followed Hyperlink" xfId="34507" builtinId="9" hidden="1"/>
    <cellStyle name="Followed Hyperlink" xfId="34099" builtinId="9" hidden="1"/>
    <cellStyle name="Followed Hyperlink" xfId="34468" builtinId="9" hidden="1"/>
    <cellStyle name="Followed Hyperlink" xfId="34508" builtinId="9" hidden="1"/>
    <cellStyle name="Followed Hyperlink" xfId="34509" builtinId="9" hidden="1"/>
    <cellStyle name="Followed Hyperlink" xfId="34510" builtinId="9" hidden="1"/>
    <cellStyle name="Followed Hyperlink" xfId="34511" builtinId="9" hidden="1"/>
    <cellStyle name="Followed Hyperlink" xfId="34512" builtinId="9" hidden="1"/>
    <cellStyle name="Followed Hyperlink" xfId="34513" builtinId="9" hidden="1"/>
    <cellStyle name="Followed Hyperlink" xfId="34514" builtinId="9" hidden="1"/>
    <cellStyle name="Followed Hyperlink" xfId="34515" builtinId="9" hidden="1"/>
    <cellStyle name="Followed Hyperlink" xfId="34516" builtinId="9" hidden="1"/>
    <cellStyle name="Followed Hyperlink" xfId="34517" builtinId="9" hidden="1"/>
    <cellStyle name="Followed Hyperlink" xfId="34518" builtinId="9" hidden="1"/>
    <cellStyle name="Followed Hyperlink" xfId="34519" builtinId="9" hidden="1"/>
    <cellStyle name="Followed Hyperlink" xfId="34520" builtinId="9" hidden="1"/>
    <cellStyle name="Followed Hyperlink" xfId="34521" builtinId="9" hidden="1"/>
    <cellStyle name="Followed Hyperlink" xfId="34522" builtinId="9" hidden="1"/>
    <cellStyle name="Followed Hyperlink" xfId="34523" builtinId="9" hidden="1"/>
    <cellStyle name="Followed Hyperlink" xfId="34524" builtinId="9" hidden="1"/>
    <cellStyle name="Followed Hyperlink" xfId="34525" builtinId="9" hidden="1"/>
    <cellStyle name="Followed Hyperlink" xfId="34526" builtinId="9" hidden="1"/>
    <cellStyle name="Followed Hyperlink" xfId="34527" builtinId="9" hidden="1"/>
    <cellStyle name="Followed Hyperlink" xfId="34528" builtinId="9" hidden="1"/>
    <cellStyle name="Followed Hyperlink" xfId="34529" builtinId="9" hidden="1"/>
    <cellStyle name="Followed Hyperlink" xfId="34530" builtinId="9" hidden="1"/>
    <cellStyle name="Followed Hyperlink" xfId="34531" builtinId="9" hidden="1"/>
    <cellStyle name="Followed Hyperlink" xfId="34532" builtinId="9" hidden="1"/>
    <cellStyle name="Followed Hyperlink" xfId="34533" builtinId="9" hidden="1"/>
    <cellStyle name="Followed Hyperlink" xfId="34534" builtinId="9" hidden="1"/>
    <cellStyle name="Followed Hyperlink" xfId="34535" builtinId="9" hidden="1"/>
    <cellStyle name="Followed Hyperlink" xfId="34536" builtinId="9" hidden="1"/>
    <cellStyle name="Followed Hyperlink" xfId="34537" builtinId="9" hidden="1"/>
    <cellStyle name="Followed Hyperlink" xfId="34538" builtinId="9" hidden="1"/>
    <cellStyle name="Followed Hyperlink" xfId="34539" builtinId="9" hidden="1"/>
    <cellStyle name="Followed Hyperlink" xfId="34540" builtinId="9" hidden="1"/>
    <cellStyle name="Followed Hyperlink" xfId="34541" builtinId="9" hidden="1"/>
    <cellStyle name="Followed Hyperlink" xfId="34542" builtinId="9" hidden="1"/>
    <cellStyle name="Followed Hyperlink" xfId="34543" builtinId="9" hidden="1"/>
    <cellStyle name="Followed Hyperlink" xfId="34544" builtinId="9" hidden="1"/>
    <cellStyle name="Followed Hyperlink" xfId="34545" builtinId="9" hidden="1"/>
    <cellStyle name="Followed Hyperlink" xfId="34546" builtinId="9" hidden="1"/>
    <cellStyle name="Followed Hyperlink" xfId="33053" builtinId="9" hidden="1"/>
    <cellStyle name="Followed Hyperlink" xfId="33069" builtinId="9" hidden="1"/>
    <cellStyle name="Followed Hyperlink" xfId="34547" builtinId="9" hidden="1"/>
    <cellStyle name="Followed Hyperlink" xfId="34548" builtinId="9" hidden="1"/>
    <cellStyle name="Followed Hyperlink" xfId="34549" builtinId="9" hidden="1"/>
    <cellStyle name="Followed Hyperlink" xfId="34550" builtinId="9" hidden="1"/>
    <cellStyle name="Followed Hyperlink" xfId="34551" builtinId="9" hidden="1"/>
    <cellStyle name="Followed Hyperlink" xfId="34552" builtinId="9" hidden="1"/>
    <cellStyle name="Followed Hyperlink" xfId="34553" builtinId="9" hidden="1"/>
    <cellStyle name="Followed Hyperlink" xfId="34554" builtinId="9" hidden="1"/>
    <cellStyle name="Followed Hyperlink" xfId="34555" builtinId="9" hidden="1"/>
    <cellStyle name="Followed Hyperlink" xfId="34556" builtinId="9" hidden="1"/>
    <cellStyle name="Followed Hyperlink" xfId="34557" builtinId="9" hidden="1"/>
    <cellStyle name="Followed Hyperlink" xfId="34558" builtinId="9" hidden="1"/>
    <cellStyle name="Followed Hyperlink" xfId="34559" builtinId="9" hidden="1"/>
    <cellStyle name="Followed Hyperlink" xfId="34560" builtinId="9" hidden="1"/>
    <cellStyle name="Followed Hyperlink" xfId="34561" builtinId="9" hidden="1"/>
    <cellStyle name="Followed Hyperlink" xfId="34562" builtinId="9" hidden="1"/>
    <cellStyle name="Followed Hyperlink" xfId="34563" builtinId="9" hidden="1"/>
    <cellStyle name="Followed Hyperlink" xfId="34564" builtinId="9" hidden="1"/>
    <cellStyle name="Followed Hyperlink" xfId="34565" builtinId="9" hidden="1"/>
    <cellStyle name="Followed Hyperlink" xfId="34566" builtinId="9" hidden="1"/>
    <cellStyle name="Followed Hyperlink" xfId="34567" builtinId="9" hidden="1"/>
    <cellStyle name="Followed Hyperlink" xfId="34568" builtinId="9" hidden="1"/>
    <cellStyle name="Followed Hyperlink" xfId="34569" builtinId="9" hidden="1"/>
    <cellStyle name="Followed Hyperlink" xfId="34570" builtinId="9" hidden="1"/>
    <cellStyle name="Followed Hyperlink" xfId="34571" builtinId="9" hidden="1"/>
    <cellStyle name="Followed Hyperlink" xfId="34572" builtinId="9" hidden="1"/>
    <cellStyle name="Followed Hyperlink" xfId="34573" builtinId="9" hidden="1"/>
    <cellStyle name="Followed Hyperlink" xfId="34574" builtinId="9" hidden="1"/>
    <cellStyle name="Followed Hyperlink" xfId="34575" builtinId="9" hidden="1"/>
    <cellStyle name="Followed Hyperlink" xfId="34576" builtinId="9" hidden="1"/>
    <cellStyle name="Followed Hyperlink" xfId="34577" builtinId="9" hidden="1"/>
    <cellStyle name="Followed Hyperlink" xfId="34578" builtinId="9" hidden="1"/>
    <cellStyle name="Followed Hyperlink" xfId="34579" builtinId="9" hidden="1"/>
    <cellStyle name="Followed Hyperlink" xfId="34580" builtinId="9" hidden="1"/>
    <cellStyle name="Followed Hyperlink" xfId="34581" builtinId="9" hidden="1"/>
    <cellStyle name="Followed Hyperlink" xfId="34582" builtinId="9" hidden="1"/>
    <cellStyle name="Followed Hyperlink" xfId="34583" builtinId="9" hidden="1"/>
    <cellStyle name="Followed Hyperlink" xfId="34584" builtinId="9" hidden="1"/>
    <cellStyle name="Followed Hyperlink" xfId="34585" builtinId="9" hidden="1"/>
    <cellStyle name="Followed Hyperlink" xfId="34594" builtinId="9" hidden="1"/>
    <cellStyle name="Followed Hyperlink" xfId="34595" builtinId="9" hidden="1"/>
    <cellStyle name="Followed Hyperlink" xfId="34596" builtinId="9" hidden="1"/>
    <cellStyle name="Followed Hyperlink" xfId="34597" builtinId="9" hidden="1"/>
    <cellStyle name="Followed Hyperlink" xfId="34598" builtinId="9" hidden="1"/>
    <cellStyle name="Followed Hyperlink" xfId="34599" builtinId="9" hidden="1"/>
    <cellStyle name="Followed Hyperlink" xfId="34600" builtinId="9" hidden="1"/>
    <cellStyle name="Followed Hyperlink" xfId="34601" builtinId="9" hidden="1"/>
    <cellStyle name="Followed Hyperlink" xfId="34602" builtinId="9" hidden="1"/>
    <cellStyle name="Followed Hyperlink" xfId="34603" builtinId="9" hidden="1"/>
    <cellStyle name="Followed Hyperlink" xfId="34604" builtinId="9" hidden="1"/>
    <cellStyle name="Followed Hyperlink" xfId="34605" builtinId="9" hidden="1"/>
    <cellStyle name="Followed Hyperlink" xfId="34606" builtinId="9" hidden="1"/>
    <cellStyle name="Followed Hyperlink" xfId="34607" builtinId="9" hidden="1"/>
    <cellStyle name="Followed Hyperlink" xfId="34608" builtinId="9" hidden="1"/>
    <cellStyle name="Followed Hyperlink" xfId="34609" builtinId="9" hidden="1"/>
    <cellStyle name="Followed Hyperlink" xfId="34610" builtinId="9" hidden="1"/>
    <cellStyle name="Followed Hyperlink" xfId="34611" builtinId="9" hidden="1"/>
    <cellStyle name="Followed Hyperlink" xfId="34612" builtinId="9" hidden="1"/>
    <cellStyle name="Followed Hyperlink" xfId="34613" builtinId="9" hidden="1"/>
    <cellStyle name="Followed Hyperlink" xfId="34614" builtinId="9" hidden="1"/>
    <cellStyle name="Followed Hyperlink" xfId="34615" builtinId="9" hidden="1"/>
    <cellStyle name="Followed Hyperlink" xfId="34616" builtinId="9" hidden="1"/>
    <cellStyle name="Followed Hyperlink" xfId="34617" builtinId="9" hidden="1"/>
    <cellStyle name="Followed Hyperlink" xfId="34618" builtinId="9" hidden="1"/>
    <cellStyle name="Followed Hyperlink" xfId="34619" builtinId="9" hidden="1"/>
    <cellStyle name="Followed Hyperlink" xfId="34620" builtinId="9" hidden="1"/>
    <cellStyle name="Followed Hyperlink" xfId="34621" builtinId="9" hidden="1"/>
    <cellStyle name="Followed Hyperlink" xfId="34622" builtinId="9" hidden="1"/>
    <cellStyle name="Followed Hyperlink" xfId="34623" builtinId="9" hidden="1"/>
    <cellStyle name="Followed Hyperlink" xfId="34624" builtinId="9" hidden="1"/>
    <cellStyle name="Followed Hyperlink" xfId="34625" builtinId="9" hidden="1"/>
    <cellStyle name="Followed Hyperlink" xfId="34626" builtinId="9" hidden="1"/>
    <cellStyle name="Followed Hyperlink" xfId="34627" builtinId="9" hidden="1"/>
    <cellStyle name="Followed Hyperlink" xfId="34628" builtinId="9" hidden="1"/>
    <cellStyle name="Followed Hyperlink" xfId="34629" builtinId="9" hidden="1"/>
    <cellStyle name="Followed Hyperlink" xfId="34630" builtinId="9" hidden="1"/>
    <cellStyle name="Followed Hyperlink" xfId="34631" builtinId="9" hidden="1"/>
    <cellStyle name="Followed Hyperlink" xfId="34632" builtinId="9" hidden="1"/>
    <cellStyle name="Followed Hyperlink" xfId="34633" builtinId="9" hidden="1"/>
    <cellStyle name="Followed Hyperlink" xfId="34634" builtinId="9" hidden="1"/>
    <cellStyle name="Followed Hyperlink" xfId="34635" builtinId="9" hidden="1"/>
    <cellStyle name="Followed Hyperlink" xfId="34636" builtinId="9" hidden="1"/>
    <cellStyle name="Followed Hyperlink" xfId="34637" builtinId="9" hidden="1"/>
    <cellStyle name="Followed Hyperlink" xfId="34638" builtinId="9" hidden="1"/>
    <cellStyle name="Followed Hyperlink" xfId="34639" builtinId="9" hidden="1"/>
    <cellStyle name="Followed Hyperlink" xfId="34640" builtinId="9" hidden="1"/>
    <cellStyle name="Followed Hyperlink" xfId="34641" builtinId="9" hidden="1"/>
    <cellStyle name="Followed Hyperlink" xfId="34642" builtinId="9" hidden="1"/>
    <cellStyle name="Followed Hyperlink" xfId="34643" builtinId="9" hidden="1"/>
    <cellStyle name="Followed Hyperlink" xfId="34644" builtinId="9" hidden="1"/>
    <cellStyle name="Followed Hyperlink" xfId="34645" builtinId="9" hidden="1"/>
    <cellStyle name="Followed Hyperlink" xfId="34646" builtinId="9" hidden="1"/>
    <cellStyle name="Followed Hyperlink" xfId="34647" builtinId="9" hidden="1"/>
    <cellStyle name="Followed Hyperlink" xfId="34648" builtinId="9" hidden="1"/>
    <cellStyle name="Followed Hyperlink" xfId="34649" builtinId="9" hidden="1"/>
    <cellStyle name="Followed Hyperlink" xfId="34650" builtinId="9" hidden="1"/>
    <cellStyle name="Followed Hyperlink" xfId="34651" builtinId="9" hidden="1"/>
    <cellStyle name="Followed Hyperlink" xfId="34652" builtinId="9" hidden="1"/>
    <cellStyle name="Followed Hyperlink" xfId="34653" builtinId="9" hidden="1"/>
    <cellStyle name="Followed Hyperlink" xfId="34654" builtinId="9" hidden="1"/>
    <cellStyle name="Followed Hyperlink" xfId="34655" builtinId="9" hidden="1"/>
    <cellStyle name="Followed Hyperlink" xfId="34656" builtinId="9" hidden="1"/>
    <cellStyle name="Followed Hyperlink" xfId="34657" builtinId="9" hidden="1"/>
    <cellStyle name="Followed Hyperlink" xfId="34658" builtinId="9" hidden="1"/>
    <cellStyle name="Followed Hyperlink" xfId="34659" builtinId="9" hidden="1"/>
    <cellStyle name="Followed Hyperlink" xfId="34660" builtinId="9" hidden="1"/>
    <cellStyle name="Followed Hyperlink" xfId="34661" builtinId="9" hidden="1"/>
    <cellStyle name="Followed Hyperlink" xfId="34662" builtinId="9" hidden="1"/>
    <cellStyle name="Followed Hyperlink" xfId="34663" builtinId="9" hidden="1"/>
    <cellStyle name="Followed Hyperlink" xfId="34664" builtinId="9" hidden="1"/>
    <cellStyle name="Followed Hyperlink" xfId="34665" builtinId="9" hidden="1"/>
    <cellStyle name="Followed Hyperlink" xfId="34666" builtinId="9" hidden="1"/>
    <cellStyle name="Followed Hyperlink" xfId="34667" builtinId="9" hidden="1"/>
    <cellStyle name="Followed Hyperlink" xfId="34668" builtinId="9" hidden="1"/>
    <cellStyle name="Followed Hyperlink" xfId="34669" builtinId="9" hidden="1"/>
    <cellStyle name="Followed Hyperlink" xfId="34670" builtinId="9" hidden="1"/>
    <cellStyle name="Followed Hyperlink" xfId="34671" builtinId="9" hidden="1"/>
    <cellStyle name="Followed Hyperlink" xfId="34672" builtinId="9" hidden="1"/>
    <cellStyle name="Followed Hyperlink" xfId="34673" builtinId="9" hidden="1"/>
    <cellStyle name="Followed Hyperlink" xfId="34674" builtinId="9" hidden="1"/>
    <cellStyle name="Followed Hyperlink" xfId="34675" builtinId="9" hidden="1"/>
    <cellStyle name="Followed Hyperlink" xfId="34676" builtinId="9" hidden="1"/>
    <cellStyle name="Followed Hyperlink" xfId="34677" builtinId="9" hidden="1"/>
    <cellStyle name="Followed Hyperlink" xfId="34678" builtinId="9" hidden="1"/>
    <cellStyle name="Followed Hyperlink" xfId="34679" builtinId="9" hidden="1"/>
    <cellStyle name="Followed Hyperlink" xfId="34680" builtinId="9" hidden="1"/>
    <cellStyle name="Followed Hyperlink" xfId="34681" builtinId="9" hidden="1"/>
    <cellStyle name="Followed Hyperlink" xfId="34682" builtinId="9" hidden="1"/>
    <cellStyle name="Followed Hyperlink" xfId="34683" builtinId="9" hidden="1"/>
    <cellStyle name="Followed Hyperlink" xfId="34684" builtinId="9" hidden="1"/>
    <cellStyle name="Followed Hyperlink" xfId="34685" builtinId="9" hidden="1"/>
    <cellStyle name="Followed Hyperlink" xfId="34686" builtinId="9" hidden="1"/>
    <cellStyle name="Followed Hyperlink" xfId="34687" builtinId="9" hidden="1"/>
    <cellStyle name="Followed Hyperlink" xfId="34688" builtinId="9" hidden="1"/>
    <cellStyle name="Followed Hyperlink" xfId="34689" builtinId="9" hidden="1"/>
    <cellStyle name="Followed Hyperlink" xfId="34690" builtinId="9" hidden="1"/>
    <cellStyle name="Followed Hyperlink" xfId="34691" builtinId="9" hidden="1"/>
    <cellStyle name="Followed Hyperlink" xfId="34692" builtinId="9" hidden="1"/>
    <cellStyle name="Followed Hyperlink" xfId="34693" builtinId="9" hidden="1"/>
    <cellStyle name="Followed Hyperlink" xfId="34694" builtinId="9" hidden="1"/>
    <cellStyle name="Followed Hyperlink" xfId="34695" builtinId="9" hidden="1"/>
    <cellStyle name="Followed Hyperlink" xfId="34696" builtinId="9" hidden="1"/>
    <cellStyle name="Followed Hyperlink" xfId="34697" builtinId="9" hidden="1"/>
    <cellStyle name="Followed Hyperlink" xfId="34698" builtinId="9" hidden="1"/>
    <cellStyle name="Followed Hyperlink" xfId="34699" builtinId="9" hidden="1"/>
    <cellStyle name="Followed Hyperlink" xfId="34700" builtinId="9" hidden="1"/>
    <cellStyle name="Followed Hyperlink" xfId="34701" builtinId="9" hidden="1"/>
    <cellStyle name="Followed Hyperlink" xfId="34702" builtinId="9" hidden="1"/>
    <cellStyle name="Followed Hyperlink" xfId="34703" builtinId="9" hidden="1"/>
    <cellStyle name="Followed Hyperlink" xfId="34704" builtinId="9" hidden="1"/>
    <cellStyle name="Followed Hyperlink" xfId="34705" builtinId="9" hidden="1"/>
    <cellStyle name="Followed Hyperlink" xfId="34706" builtinId="9" hidden="1"/>
    <cellStyle name="Followed Hyperlink" xfId="34707" builtinId="9" hidden="1"/>
    <cellStyle name="Followed Hyperlink" xfId="34708" builtinId="9" hidden="1"/>
    <cellStyle name="Followed Hyperlink" xfId="34709" builtinId="9" hidden="1"/>
    <cellStyle name="Followed Hyperlink" xfId="34710" builtinId="9" hidden="1"/>
    <cellStyle name="Followed Hyperlink" xfId="34711" builtinId="9" hidden="1"/>
    <cellStyle name="Followed Hyperlink" xfId="34712" builtinId="9" hidden="1"/>
    <cellStyle name="Followed Hyperlink" xfId="34713" builtinId="9" hidden="1"/>
    <cellStyle name="Followed Hyperlink" xfId="34714" builtinId="9" hidden="1"/>
    <cellStyle name="Followed Hyperlink" xfId="34715" builtinId="9" hidden="1"/>
    <cellStyle name="Followed Hyperlink" xfId="34716" builtinId="9" hidden="1"/>
    <cellStyle name="Followed Hyperlink" xfId="34586" builtinId="9" hidden="1"/>
    <cellStyle name="Followed Hyperlink" xfId="33054" builtinId="9" hidden="1"/>
    <cellStyle name="Followed Hyperlink" xfId="34718" builtinId="9" hidden="1"/>
    <cellStyle name="Followed Hyperlink" xfId="34719" builtinId="9" hidden="1"/>
    <cellStyle name="Followed Hyperlink" xfId="34720" builtinId="9" hidden="1"/>
    <cellStyle name="Followed Hyperlink" xfId="34721" builtinId="9" hidden="1"/>
    <cellStyle name="Followed Hyperlink" xfId="34722" builtinId="9" hidden="1"/>
    <cellStyle name="Followed Hyperlink" xfId="34723" builtinId="9" hidden="1"/>
    <cellStyle name="Followed Hyperlink" xfId="34724" builtinId="9" hidden="1"/>
    <cellStyle name="Followed Hyperlink" xfId="34725" builtinId="9" hidden="1"/>
    <cellStyle name="Followed Hyperlink" xfId="34726" builtinId="9" hidden="1"/>
    <cellStyle name="Followed Hyperlink" xfId="34727" builtinId="9" hidden="1"/>
    <cellStyle name="Followed Hyperlink" xfId="34728" builtinId="9" hidden="1"/>
    <cellStyle name="Followed Hyperlink" xfId="34729" builtinId="9" hidden="1"/>
    <cellStyle name="Followed Hyperlink" xfId="34730" builtinId="9" hidden="1"/>
    <cellStyle name="Followed Hyperlink" xfId="34731" builtinId="9" hidden="1"/>
    <cellStyle name="Followed Hyperlink" xfId="34732" builtinId="9" hidden="1"/>
    <cellStyle name="Followed Hyperlink" xfId="34733" builtinId="9" hidden="1"/>
    <cellStyle name="Followed Hyperlink" xfId="34734" builtinId="9" hidden="1"/>
    <cellStyle name="Followed Hyperlink" xfId="34735" builtinId="9" hidden="1"/>
    <cellStyle name="Followed Hyperlink" xfId="34736" builtinId="9" hidden="1"/>
    <cellStyle name="Followed Hyperlink" xfId="34737" builtinId="9" hidden="1"/>
    <cellStyle name="Followed Hyperlink" xfId="34738" builtinId="9" hidden="1"/>
    <cellStyle name="Followed Hyperlink" xfId="34739" builtinId="9" hidden="1"/>
    <cellStyle name="Followed Hyperlink" xfId="34740" builtinId="9" hidden="1"/>
    <cellStyle name="Followed Hyperlink" xfId="34741" builtinId="9" hidden="1"/>
    <cellStyle name="Followed Hyperlink" xfId="34742" builtinId="9" hidden="1"/>
    <cellStyle name="Followed Hyperlink" xfId="34743" builtinId="9" hidden="1"/>
    <cellStyle name="Followed Hyperlink" xfId="34744" builtinId="9" hidden="1"/>
    <cellStyle name="Followed Hyperlink" xfId="34745" builtinId="9" hidden="1"/>
    <cellStyle name="Followed Hyperlink" xfId="34746" builtinId="9" hidden="1"/>
    <cellStyle name="Followed Hyperlink" xfId="34747" builtinId="9" hidden="1"/>
    <cellStyle name="Followed Hyperlink" xfId="34748" builtinId="9" hidden="1"/>
    <cellStyle name="Followed Hyperlink" xfId="34749" builtinId="9" hidden="1"/>
    <cellStyle name="Followed Hyperlink" xfId="34750" builtinId="9" hidden="1"/>
    <cellStyle name="Followed Hyperlink" xfId="34751" builtinId="9" hidden="1"/>
    <cellStyle name="Followed Hyperlink" xfId="34752" builtinId="9" hidden="1"/>
    <cellStyle name="Followed Hyperlink" xfId="34753" builtinId="9" hidden="1"/>
    <cellStyle name="Followed Hyperlink" xfId="34754" builtinId="9" hidden="1"/>
    <cellStyle name="Followed Hyperlink" xfId="34755" builtinId="9" hidden="1"/>
    <cellStyle name="Followed Hyperlink" xfId="34756" builtinId="9" hidden="1"/>
    <cellStyle name="Followed Hyperlink" xfId="34591" builtinId="9" hidden="1"/>
    <cellStyle name="Followed Hyperlink" xfId="34717" builtinId="9" hidden="1"/>
    <cellStyle name="Followed Hyperlink" xfId="34758" builtinId="9" hidden="1"/>
    <cellStyle name="Followed Hyperlink" xfId="34759" builtinId="9" hidden="1"/>
    <cellStyle name="Followed Hyperlink" xfId="34760" builtinId="9" hidden="1"/>
    <cellStyle name="Followed Hyperlink" xfId="34761" builtinId="9" hidden="1"/>
    <cellStyle name="Followed Hyperlink" xfId="34762" builtinId="9" hidden="1"/>
    <cellStyle name="Followed Hyperlink" xfId="34763" builtinId="9" hidden="1"/>
    <cellStyle name="Followed Hyperlink" xfId="34764" builtinId="9" hidden="1"/>
    <cellStyle name="Followed Hyperlink" xfId="34765" builtinId="9" hidden="1"/>
    <cellStyle name="Followed Hyperlink" xfId="34766" builtinId="9" hidden="1"/>
    <cellStyle name="Followed Hyperlink" xfId="34767" builtinId="9" hidden="1"/>
    <cellStyle name="Followed Hyperlink" xfId="34768" builtinId="9" hidden="1"/>
    <cellStyle name="Followed Hyperlink" xfId="34769" builtinId="9" hidden="1"/>
    <cellStyle name="Followed Hyperlink" xfId="34770" builtinId="9" hidden="1"/>
    <cellStyle name="Followed Hyperlink" xfId="34771" builtinId="9" hidden="1"/>
    <cellStyle name="Followed Hyperlink" xfId="34772" builtinId="9" hidden="1"/>
    <cellStyle name="Followed Hyperlink" xfId="34773" builtinId="9" hidden="1"/>
    <cellStyle name="Followed Hyperlink" xfId="34774" builtinId="9" hidden="1"/>
    <cellStyle name="Followed Hyperlink" xfId="34775" builtinId="9" hidden="1"/>
    <cellStyle name="Followed Hyperlink" xfId="34776" builtinId="9" hidden="1"/>
    <cellStyle name="Followed Hyperlink" xfId="34777" builtinId="9" hidden="1"/>
    <cellStyle name="Followed Hyperlink" xfId="34778" builtinId="9" hidden="1"/>
    <cellStyle name="Followed Hyperlink" xfId="34779" builtinId="9" hidden="1"/>
    <cellStyle name="Followed Hyperlink" xfId="34780" builtinId="9" hidden="1"/>
    <cellStyle name="Followed Hyperlink" xfId="34781" builtinId="9" hidden="1"/>
    <cellStyle name="Followed Hyperlink" xfId="34782" builtinId="9" hidden="1"/>
    <cellStyle name="Followed Hyperlink" xfId="34783" builtinId="9" hidden="1"/>
    <cellStyle name="Followed Hyperlink" xfId="34784" builtinId="9" hidden="1"/>
    <cellStyle name="Followed Hyperlink" xfId="34785" builtinId="9" hidden="1"/>
    <cellStyle name="Followed Hyperlink" xfId="34786" builtinId="9" hidden="1"/>
    <cellStyle name="Followed Hyperlink" xfId="34787" builtinId="9" hidden="1"/>
    <cellStyle name="Followed Hyperlink" xfId="34788" builtinId="9" hidden="1"/>
    <cellStyle name="Followed Hyperlink" xfId="34789" builtinId="9" hidden="1"/>
    <cellStyle name="Followed Hyperlink" xfId="34790" builtinId="9" hidden="1"/>
    <cellStyle name="Followed Hyperlink" xfId="34791" builtinId="9" hidden="1"/>
    <cellStyle name="Followed Hyperlink" xfId="34792" builtinId="9" hidden="1"/>
    <cellStyle name="Followed Hyperlink" xfId="34793" builtinId="9" hidden="1"/>
    <cellStyle name="Followed Hyperlink" xfId="34794" builtinId="9" hidden="1"/>
    <cellStyle name="Followed Hyperlink" xfId="34795" builtinId="9" hidden="1"/>
    <cellStyle name="Followed Hyperlink" xfId="34796" builtinId="9" hidden="1"/>
    <cellStyle name="Followed Hyperlink" xfId="34593" builtinId="9" hidden="1"/>
    <cellStyle name="Followed Hyperlink" xfId="34757" builtinId="9" hidden="1"/>
    <cellStyle name="Followed Hyperlink" xfId="34798" builtinId="9" hidden="1"/>
    <cellStyle name="Followed Hyperlink" xfId="34799" builtinId="9" hidden="1"/>
    <cellStyle name="Followed Hyperlink" xfId="34800" builtinId="9" hidden="1"/>
    <cellStyle name="Followed Hyperlink" xfId="34801" builtinId="9" hidden="1"/>
    <cellStyle name="Followed Hyperlink" xfId="34802" builtinId="9" hidden="1"/>
    <cellStyle name="Followed Hyperlink" xfId="34803" builtinId="9" hidden="1"/>
    <cellStyle name="Followed Hyperlink" xfId="34804" builtinId="9" hidden="1"/>
    <cellStyle name="Followed Hyperlink" xfId="34805" builtinId="9" hidden="1"/>
    <cellStyle name="Followed Hyperlink" xfId="34806" builtinId="9" hidden="1"/>
    <cellStyle name="Followed Hyperlink" xfId="34807" builtinId="9" hidden="1"/>
    <cellStyle name="Followed Hyperlink" xfId="34808" builtinId="9" hidden="1"/>
    <cellStyle name="Followed Hyperlink" xfId="34809" builtinId="9" hidden="1"/>
    <cellStyle name="Followed Hyperlink" xfId="34810" builtinId="9" hidden="1"/>
    <cellStyle name="Followed Hyperlink" xfId="34811" builtinId="9" hidden="1"/>
    <cellStyle name="Followed Hyperlink" xfId="34812" builtinId="9" hidden="1"/>
    <cellStyle name="Followed Hyperlink" xfId="34813" builtinId="9" hidden="1"/>
    <cellStyle name="Followed Hyperlink" xfId="34814" builtinId="9" hidden="1"/>
    <cellStyle name="Followed Hyperlink" xfId="34815" builtinId="9" hidden="1"/>
    <cellStyle name="Followed Hyperlink" xfId="34816" builtinId="9" hidden="1"/>
    <cellStyle name="Followed Hyperlink" xfId="34817" builtinId="9" hidden="1"/>
    <cellStyle name="Followed Hyperlink" xfId="34818" builtinId="9" hidden="1"/>
    <cellStyle name="Followed Hyperlink" xfId="34819" builtinId="9" hidden="1"/>
    <cellStyle name="Followed Hyperlink" xfId="34820" builtinId="9" hidden="1"/>
    <cellStyle name="Followed Hyperlink" xfId="34821" builtinId="9" hidden="1"/>
    <cellStyle name="Followed Hyperlink" xfId="34822" builtinId="9" hidden="1"/>
    <cellStyle name="Followed Hyperlink" xfId="34823" builtinId="9" hidden="1"/>
    <cellStyle name="Followed Hyperlink" xfId="34824" builtinId="9" hidden="1"/>
    <cellStyle name="Followed Hyperlink" xfId="34825" builtinId="9" hidden="1"/>
    <cellStyle name="Followed Hyperlink" xfId="34826" builtinId="9" hidden="1"/>
    <cellStyle name="Followed Hyperlink" xfId="34827" builtinId="9" hidden="1"/>
    <cellStyle name="Followed Hyperlink" xfId="34828" builtinId="9" hidden="1"/>
    <cellStyle name="Followed Hyperlink" xfId="34829" builtinId="9" hidden="1"/>
    <cellStyle name="Followed Hyperlink" xfId="34830" builtinId="9" hidden="1"/>
    <cellStyle name="Followed Hyperlink" xfId="34831" builtinId="9" hidden="1"/>
    <cellStyle name="Followed Hyperlink" xfId="34832" builtinId="9" hidden="1"/>
    <cellStyle name="Followed Hyperlink" xfId="34833" builtinId="9" hidden="1"/>
    <cellStyle name="Followed Hyperlink" xfId="34834" builtinId="9" hidden="1"/>
    <cellStyle name="Followed Hyperlink" xfId="34835" builtinId="9" hidden="1"/>
    <cellStyle name="Followed Hyperlink" xfId="34836" builtinId="9" hidden="1"/>
    <cellStyle name="Followed Hyperlink" xfId="34587" builtinId="9" hidden="1"/>
    <cellStyle name="Followed Hyperlink" xfId="34797" builtinId="9" hidden="1"/>
    <cellStyle name="Followed Hyperlink" xfId="34838" builtinId="9" hidden="1"/>
    <cellStyle name="Followed Hyperlink" xfId="34839" builtinId="9" hidden="1"/>
    <cellStyle name="Followed Hyperlink" xfId="34840" builtinId="9" hidden="1"/>
    <cellStyle name="Followed Hyperlink" xfId="34841" builtinId="9" hidden="1"/>
    <cellStyle name="Followed Hyperlink" xfId="34842" builtinId="9" hidden="1"/>
    <cellStyle name="Followed Hyperlink" xfId="34843" builtinId="9" hidden="1"/>
    <cellStyle name="Followed Hyperlink" xfId="34844" builtinId="9" hidden="1"/>
    <cellStyle name="Followed Hyperlink" xfId="34845" builtinId="9" hidden="1"/>
    <cellStyle name="Followed Hyperlink" xfId="34846" builtinId="9" hidden="1"/>
    <cellStyle name="Followed Hyperlink" xfId="34847" builtinId="9" hidden="1"/>
    <cellStyle name="Followed Hyperlink" xfId="34848" builtinId="9" hidden="1"/>
    <cellStyle name="Followed Hyperlink" xfId="34849" builtinId="9" hidden="1"/>
    <cellStyle name="Followed Hyperlink" xfId="34850" builtinId="9" hidden="1"/>
    <cellStyle name="Followed Hyperlink" xfId="34851" builtinId="9" hidden="1"/>
    <cellStyle name="Followed Hyperlink" xfId="34852" builtinId="9" hidden="1"/>
    <cellStyle name="Followed Hyperlink" xfId="34853" builtinId="9" hidden="1"/>
    <cellStyle name="Followed Hyperlink" xfId="34854" builtinId="9" hidden="1"/>
    <cellStyle name="Followed Hyperlink" xfId="34855" builtinId="9" hidden="1"/>
    <cellStyle name="Followed Hyperlink" xfId="34856" builtinId="9" hidden="1"/>
    <cellStyle name="Followed Hyperlink" xfId="34857" builtinId="9" hidden="1"/>
    <cellStyle name="Followed Hyperlink" xfId="34858" builtinId="9" hidden="1"/>
    <cellStyle name="Followed Hyperlink" xfId="34859" builtinId="9" hidden="1"/>
    <cellStyle name="Followed Hyperlink" xfId="34860" builtinId="9" hidden="1"/>
    <cellStyle name="Followed Hyperlink" xfId="34861" builtinId="9" hidden="1"/>
    <cellStyle name="Followed Hyperlink" xfId="34862" builtinId="9" hidden="1"/>
    <cellStyle name="Followed Hyperlink" xfId="34863" builtinId="9" hidden="1"/>
    <cellStyle name="Followed Hyperlink" xfId="34864" builtinId="9" hidden="1"/>
    <cellStyle name="Followed Hyperlink" xfId="34865" builtinId="9" hidden="1"/>
    <cellStyle name="Followed Hyperlink" xfId="34866" builtinId="9" hidden="1"/>
    <cellStyle name="Followed Hyperlink" xfId="34867" builtinId="9" hidden="1"/>
    <cellStyle name="Followed Hyperlink" xfId="34868" builtinId="9" hidden="1"/>
    <cellStyle name="Followed Hyperlink" xfId="34869" builtinId="9" hidden="1"/>
    <cellStyle name="Followed Hyperlink" xfId="34870" builtinId="9" hidden="1"/>
    <cellStyle name="Followed Hyperlink" xfId="34871" builtinId="9" hidden="1"/>
    <cellStyle name="Followed Hyperlink" xfId="34872" builtinId="9" hidden="1"/>
    <cellStyle name="Followed Hyperlink" xfId="34873" builtinId="9" hidden="1"/>
    <cellStyle name="Followed Hyperlink" xfId="34874" builtinId="9" hidden="1"/>
    <cellStyle name="Followed Hyperlink" xfId="34875" builtinId="9" hidden="1"/>
    <cellStyle name="Followed Hyperlink" xfId="34876" builtinId="9" hidden="1"/>
    <cellStyle name="Followed Hyperlink" xfId="34589" builtinId="9" hidden="1"/>
    <cellStyle name="Followed Hyperlink" xfId="34837" builtinId="9" hidden="1"/>
    <cellStyle name="Followed Hyperlink" xfId="34878" builtinId="9" hidden="1"/>
    <cellStyle name="Followed Hyperlink" xfId="34879" builtinId="9" hidden="1"/>
    <cellStyle name="Followed Hyperlink" xfId="34880" builtinId="9" hidden="1"/>
    <cellStyle name="Followed Hyperlink" xfId="34881" builtinId="9" hidden="1"/>
    <cellStyle name="Followed Hyperlink" xfId="34882" builtinId="9" hidden="1"/>
    <cellStyle name="Followed Hyperlink" xfId="34883" builtinId="9" hidden="1"/>
    <cellStyle name="Followed Hyperlink" xfId="34884" builtinId="9" hidden="1"/>
    <cellStyle name="Followed Hyperlink" xfId="34885" builtinId="9" hidden="1"/>
    <cellStyle name="Followed Hyperlink" xfId="34886" builtinId="9" hidden="1"/>
    <cellStyle name="Followed Hyperlink" xfId="34887" builtinId="9" hidden="1"/>
    <cellStyle name="Followed Hyperlink" xfId="34888" builtinId="9" hidden="1"/>
    <cellStyle name="Followed Hyperlink" xfId="34889" builtinId="9" hidden="1"/>
    <cellStyle name="Followed Hyperlink" xfId="34890" builtinId="9" hidden="1"/>
    <cellStyle name="Followed Hyperlink" xfId="34891" builtinId="9" hidden="1"/>
    <cellStyle name="Followed Hyperlink" xfId="34892" builtinId="9" hidden="1"/>
    <cellStyle name="Followed Hyperlink" xfId="34893" builtinId="9" hidden="1"/>
    <cellStyle name="Followed Hyperlink" xfId="34894" builtinId="9" hidden="1"/>
    <cellStyle name="Followed Hyperlink" xfId="34895" builtinId="9" hidden="1"/>
    <cellStyle name="Followed Hyperlink" xfId="34896" builtinId="9" hidden="1"/>
    <cellStyle name="Followed Hyperlink" xfId="34897" builtinId="9" hidden="1"/>
    <cellStyle name="Followed Hyperlink" xfId="34898" builtinId="9" hidden="1"/>
    <cellStyle name="Followed Hyperlink" xfId="34899" builtinId="9" hidden="1"/>
    <cellStyle name="Followed Hyperlink" xfId="34900" builtinId="9" hidden="1"/>
    <cellStyle name="Followed Hyperlink" xfId="34901" builtinId="9" hidden="1"/>
    <cellStyle name="Followed Hyperlink" xfId="34902" builtinId="9" hidden="1"/>
    <cellStyle name="Followed Hyperlink" xfId="34903" builtinId="9" hidden="1"/>
    <cellStyle name="Followed Hyperlink" xfId="34904" builtinId="9" hidden="1"/>
    <cellStyle name="Followed Hyperlink" xfId="34905" builtinId="9" hidden="1"/>
    <cellStyle name="Followed Hyperlink" xfId="34906" builtinId="9" hidden="1"/>
    <cellStyle name="Followed Hyperlink" xfId="34907" builtinId="9" hidden="1"/>
    <cellStyle name="Followed Hyperlink" xfId="34908" builtinId="9" hidden="1"/>
    <cellStyle name="Followed Hyperlink" xfId="34909" builtinId="9" hidden="1"/>
    <cellStyle name="Followed Hyperlink" xfId="34910" builtinId="9" hidden="1"/>
    <cellStyle name="Followed Hyperlink" xfId="34911" builtinId="9" hidden="1"/>
    <cellStyle name="Followed Hyperlink" xfId="34912" builtinId="9" hidden="1"/>
    <cellStyle name="Followed Hyperlink" xfId="34913" builtinId="9" hidden="1"/>
    <cellStyle name="Followed Hyperlink" xfId="34914" builtinId="9" hidden="1"/>
    <cellStyle name="Followed Hyperlink" xfId="34915" builtinId="9" hidden="1"/>
    <cellStyle name="Followed Hyperlink" xfId="34916" builtinId="9" hidden="1"/>
    <cellStyle name="Followed Hyperlink" xfId="34590" builtinId="9" hidden="1"/>
    <cellStyle name="Followed Hyperlink" xfId="34877" builtinId="9" hidden="1"/>
    <cellStyle name="Followed Hyperlink" xfId="34918" builtinId="9" hidden="1"/>
    <cellStyle name="Followed Hyperlink" xfId="34919" builtinId="9" hidden="1"/>
    <cellStyle name="Followed Hyperlink" xfId="34920" builtinId="9" hidden="1"/>
    <cellStyle name="Followed Hyperlink" xfId="34921" builtinId="9" hidden="1"/>
    <cellStyle name="Followed Hyperlink" xfId="34922" builtinId="9" hidden="1"/>
    <cellStyle name="Followed Hyperlink" xfId="34923" builtinId="9" hidden="1"/>
    <cellStyle name="Followed Hyperlink" xfId="34924" builtinId="9" hidden="1"/>
    <cellStyle name="Followed Hyperlink" xfId="34925" builtinId="9" hidden="1"/>
    <cellStyle name="Followed Hyperlink" xfId="34926" builtinId="9" hidden="1"/>
    <cellStyle name="Followed Hyperlink" xfId="34927" builtinId="9" hidden="1"/>
    <cellStyle name="Followed Hyperlink" xfId="34928" builtinId="9" hidden="1"/>
    <cellStyle name="Followed Hyperlink" xfId="34929" builtinId="9" hidden="1"/>
    <cellStyle name="Followed Hyperlink" xfId="34930" builtinId="9" hidden="1"/>
    <cellStyle name="Followed Hyperlink" xfId="34931" builtinId="9" hidden="1"/>
    <cellStyle name="Followed Hyperlink" xfId="34932" builtinId="9" hidden="1"/>
    <cellStyle name="Followed Hyperlink" xfId="34933" builtinId="9" hidden="1"/>
    <cellStyle name="Followed Hyperlink" xfId="34934" builtinId="9" hidden="1"/>
    <cellStyle name="Followed Hyperlink" xfId="34935" builtinId="9" hidden="1"/>
    <cellStyle name="Followed Hyperlink" xfId="34936" builtinId="9" hidden="1"/>
    <cellStyle name="Followed Hyperlink" xfId="34937" builtinId="9" hidden="1"/>
    <cellStyle name="Followed Hyperlink" xfId="34938" builtinId="9" hidden="1"/>
    <cellStyle name="Followed Hyperlink" xfId="34939" builtinId="9" hidden="1"/>
    <cellStyle name="Followed Hyperlink" xfId="34940" builtinId="9" hidden="1"/>
    <cellStyle name="Followed Hyperlink" xfId="34941" builtinId="9" hidden="1"/>
    <cellStyle name="Followed Hyperlink" xfId="34942" builtinId="9" hidden="1"/>
    <cellStyle name="Followed Hyperlink" xfId="34943" builtinId="9" hidden="1"/>
    <cellStyle name="Followed Hyperlink" xfId="34944" builtinId="9" hidden="1"/>
    <cellStyle name="Followed Hyperlink" xfId="34945" builtinId="9" hidden="1"/>
    <cellStyle name="Followed Hyperlink" xfId="34946" builtinId="9" hidden="1"/>
    <cellStyle name="Followed Hyperlink" xfId="34947" builtinId="9" hidden="1"/>
    <cellStyle name="Followed Hyperlink" xfId="34948" builtinId="9" hidden="1"/>
    <cellStyle name="Followed Hyperlink" xfId="34949" builtinId="9" hidden="1"/>
    <cellStyle name="Followed Hyperlink" xfId="34950" builtinId="9" hidden="1"/>
    <cellStyle name="Followed Hyperlink" xfId="34951" builtinId="9" hidden="1"/>
    <cellStyle name="Followed Hyperlink" xfId="34952" builtinId="9" hidden="1"/>
    <cellStyle name="Followed Hyperlink" xfId="34953" builtinId="9" hidden="1"/>
    <cellStyle name="Followed Hyperlink" xfId="34954" builtinId="9" hidden="1"/>
    <cellStyle name="Followed Hyperlink" xfId="34955" builtinId="9" hidden="1"/>
    <cellStyle name="Followed Hyperlink" xfId="34956" builtinId="9" hidden="1"/>
    <cellStyle name="Followed Hyperlink" xfId="34592" builtinId="9" hidden="1"/>
    <cellStyle name="Followed Hyperlink" xfId="34917" builtinId="9" hidden="1"/>
    <cellStyle name="Followed Hyperlink" xfId="34958" builtinId="9" hidden="1"/>
    <cellStyle name="Followed Hyperlink" xfId="34959" builtinId="9" hidden="1"/>
    <cellStyle name="Followed Hyperlink" xfId="34960" builtinId="9" hidden="1"/>
    <cellStyle name="Followed Hyperlink" xfId="34961" builtinId="9" hidden="1"/>
    <cellStyle name="Followed Hyperlink" xfId="34962" builtinId="9" hidden="1"/>
    <cellStyle name="Followed Hyperlink" xfId="34963" builtinId="9" hidden="1"/>
    <cellStyle name="Followed Hyperlink" xfId="34964" builtinId="9" hidden="1"/>
    <cellStyle name="Followed Hyperlink" xfId="34965" builtinId="9" hidden="1"/>
    <cellStyle name="Followed Hyperlink" xfId="34966" builtinId="9" hidden="1"/>
    <cellStyle name="Followed Hyperlink" xfId="34967" builtinId="9" hidden="1"/>
    <cellStyle name="Followed Hyperlink" xfId="34968" builtinId="9" hidden="1"/>
    <cellStyle name="Followed Hyperlink" xfId="34969" builtinId="9" hidden="1"/>
    <cellStyle name="Followed Hyperlink" xfId="34970" builtinId="9" hidden="1"/>
    <cellStyle name="Followed Hyperlink" xfId="34971" builtinId="9" hidden="1"/>
    <cellStyle name="Followed Hyperlink" xfId="34972" builtinId="9" hidden="1"/>
    <cellStyle name="Followed Hyperlink" xfId="34973" builtinId="9" hidden="1"/>
    <cellStyle name="Followed Hyperlink" xfId="34974" builtinId="9" hidden="1"/>
    <cellStyle name="Followed Hyperlink" xfId="34975" builtinId="9" hidden="1"/>
    <cellStyle name="Followed Hyperlink" xfId="34976" builtinId="9" hidden="1"/>
    <cellStyle name="Followed Hyperlink" xfId="34977" builtinId="9" hidden="1"/>
    <cellStyle name="Followed Hyperlink" xfId="34978" builtinId="9" hidden="1"/>
    <cellStyle name="Followed Hyperlink" xfId="34979" builtinId="9" hidden="1"/>
    <cellStyle name="Followed Hyperlink" xfId="34980" builtinId="9" hidden="1"/>
    <cellStyle name="Followed Hyperlink" xfId="34981" builtinId="9" hidden="1"/>
    <cellStyle name="Followed Hyperlink" xfId="34982" builtinId="9" hidden="1"/>
    <cellStyle name="Followed Hyperlink" xfId="34983" builtinId="9" hidden="1"/>
    <cellStyle name="Followed Hyperlink" xfId="34984" builtinId="9" hidden="1"/>
    <cellStyle name="Followed Hyperlink" xfId="34985" builtinId="9" hidden="1"/>
    <cellStyle name="Followed Hyperlink" xfId="34986" builtinId="9" hidden="1"/>
    <cellStyle name="Followed Hyperlink" xfId="34987" builtinId="9" hidden="1"/>
    <cellStyle name="Followed Hyperlink" xfId="34988" builtinId="9" hidden="1"/>
    <cellStyle name="Followed Hyperlink" xfId="34989" builtinId="9" hidden="1"/>
    <cellStyle name="Followed Hyperlink" xfId="34990" builtinId="9" hidden="1"/>
    <cellStyle name="Followed Hyperlink" xfId="34991" builtinId="9" hidden="1"/>
    <cellStyle name="Followed Hyperlink" xfId="34992" builtinId="9" hidden="1"/>
    <cellStyle name="Followed Hyperlink" xfId="34993" builtinId="9" hidden="1"/>
    <cellStyle name="Followed Hyperlink" xfId="34994" builtinId="9" hidden="1"/>
    <cellStyle name="Followed Hyperlink" xfId="34995" builtinId="9" hidden="1"/>
    <cellStyle name="Followed Hyperlink" xfId="34996" builtinId="9" hidden="1"/>
    <cellStyle name="Followed Hyperlink" xfId="34588" builtinId="9" hidden="1"/>
    <cellStyle name="Followed Hyperlink" xfId="34957" builtinId="9" hidden="1"/>
    <cellStyle name="Followed Hyperlink" xfId="34997" builtinId="9" hidden="1"/>
    <cellStyle name="Followed Hyperlink" xfId="34998" builtinId="9" hidden="1"/>
    <cellStyle name="Followed Hyperlink" xfId="34999" builtinId="9" hidden="1"/>
    <cellStyle name="Followed Hyperlink" xfId="35000" builtinId="9" hidden="1"/>
    <cellStyle name="Followed Hyperlink" xfId="35001" builtinId="9" hidden="1"/>
    <cellStyle name="Followed Hyperlink" xfId="35002" builtinId="9" hidden="1"/>
    <cellStyle name="Followed Hyperlink" xfId="35003" builtinId="9" hidden="1"/>
    <cellStyle name="Followed Hyperlink" xfId="35004" builtinId="9" hidden="1"/>
    <cellStyle name="Followed Hyperlink" xfId="35005" builtinId="9" hidden="1"/>
    <cellStyle name="Followed Hyperlink" xfId="35006" builtinId="9" hidden="1"/>
    <cellStyle name="Followed Hyperlink" xfId="35007" builtinId="9" hidden="1"/>
    <cellStyle name="Followed Hyperlink" xfId="35008" builtinId="9" hidden="1"/>
    <cellStyle name="Followed Hyperlink" xfId="35009" builtinId="9" hidden="1"/>
    <cellStyle name="Followed Hyperlink" xfId="35010" builtinId="9" hidden="1"/>
    <cellStyle name="Followed Hyperlink" xfId="35011" builtinId="9" hidden="1"/>
    <cellStyle name="Followed Hyperlink" xfId="35012" builtinId="9" hidden="1"/>
    <cellStyle name="Followed Hyperlink" xfId="35013" builtinId="9" hidden="1"/>
    <cellStyle name="Followed Hyperlink" xfId="35014" builtinId="9" hidden="1"/>
    <cellStyle name="Followed Hyperlink" xfId="35015" builtinId="9" hidden="1"/>
    <cellStyle name="Followed Hyperlink" xfId="35016" builtinId="9" hidden="1"/>
    <cellStyle name="Followed Hyperlink" xfId="35017" builtinId="9" hidden="1"/>
    <cellStyle name="Followed Hyperlink" xfId="35018" builtinId="9" hidden="1"/>
    <cellStyle name="Followed Hyperlink" xfId="35019" builtinId="9" hidden="1"/>
    <cellStyle name="Followed Hyperlink" xfId="35020" builtinId="9" hidden="1"/>
    <cellStyle name="Followed Hyperlink" xfId="35021" builtinId="9" hidden="1"/>
    <cellStyle name="Followed Hyperlink" xfId="35022" builtinId="9" hidden="1"/>
    <cellStyle name="Followed Hyperlink" xfId="35023" builtinId="9" hidden="1"/>
    <cellStyle name="Followed Hyperlink" xfId="35024" builtinId="9" hidden="1"/>
    <cellStyle name="Followed Hyperlink" xfId="35025" builtinId="9" hidden="1"/>
    <cellStyle name="Followed Hyperlink" xfId="35026" builtinId="9" hidden="1"/>
    <cellStyle name="Followed Hyperlink" xfId="35027" builtinId="9" hidden="1"/>
    <cellStyle name="Followed Hyperlink" xfId="35028" builtinId="9" hidden="1"/>
    <cellStyle name="Followed Hyperlink" xfId="35029" builtinId="9" hidden="1"/>
    <cellStyle name="Followed Hyperlink" xfId="35030" builtinId="9" hidden="1"/>
    <cellStyle name="Followed Hyperlink" xfId="35031" builtinId="9" hidden="1"/>
    <cellStyle name="Followed Hyperlink" xfId="35032" builtinId="9" hidden="1"/>
    <cellStyle name="Followed Hyperlink" xfId="35033" builtinId="9" hidden="1"/>
    <cellStyle name="Followed Hyperlink" xfId="35034" builtinId="9" hidden="1"/>
    <cellStyle name="Followed Hyperlink" xfId="35035" builtinId="9" hidden="1"/>
    <cellStyle name="Followed Hyperlink" xfId="33073" builtinId="9" hidden="1"/>
    <cellStyle name="Followed Hyperlink" xfId="33055" builtinId="9" hidden="1"/>
    <cellStyle name="Followed Hyperlink" xfId="35036" builtinId="9" hidden="1"/>
    <cellStyle name="Followed Hyperlink" xfId="35037" builtinId="9" hidden="1"/>
    <cellStyle name="Followed Hyperlink" xfId="35038" builtinId="9" hidden="1"/>
    <cellStyle name="Followed Hyperlink" xfId="35039" builtinId="9" hidden="1"/>
    <cellStyle name="Followed Hyperlink" xfId="35040" builtinId="9" hidden="1"/>
    <cellStyle name="Followed Hyperlink" xfId="35041" builtinId="9" hidden="1"/>
    <cellStyle name="Followed Hyperlink" xfId="35042" builtinId="9" hidden="1"/>
    <cellStyle name="Followed Hyperlink" xfId="35043" builtinId="9" hidden="1"/>
    <cellStyle name="Followed Hyperlink" xfId="35044" builtinId="9" hidden="1"/>
    <cellStyle name="Followed Hyperlink" xfId="35045" builtinId="9" hidden="1"/>
    <cellStyle name="Followed Hyperlink" xfId="35046" builtinId="9" hidden="1"/>
    <cellStyle name="Followed Hyperlink" xfId="35047" builtinId="9" hidden="1"/>
    <cellStyle name="Followed Hyperlink" xfId="35048" builtinId="9" hidden="1"/>
    <cellStyle name="Followed Hyperlink" xfId="35049" builtinId="9" hidden="1"/>
    <cellStyle name="Followed Hyperlink" xfId="35050" builtinId="9" hidden="1"/>
    <cellStyle name="Followed Hyperlink" xfId="35051" builtinId="9" hidden="1"/>
    <cellStyle name="Followed Hyperlink" xfId="35052" builtinId="9" hidden="1"/>
    <cellStyle name="Followed Hyperlink" xfId="35053" builtinId="9" hidden="1"/>
    <cellStyle name="Followed Hyperlink" xfId="35054" builtinId="9" hidden="1"/>
    <cellStyle name="Followed Hyperlink" xfId="35055" builtinId="9" hidden="1"/>
    <cellStyle name="Followed Hyperlink" xfId="35056" builtinId="9" hidden="1"/>
    <cellStyle name="Followed Hyperlink" xfId="35057" builtinId="9" hidden="1"/>
    <cellStyle name="Followed Hyperlink" xfId="35058" builtinId="9" hidden="1"/>
    <cellStyle name="Followed Hyperlink" xfId="35059" builtinId="9" hidden="1"/>
    <cellStyle name="Followed Hyperlink" xfId="35060" builtinId="9" hidden="1"/>
    <cellStyle name="Followed Hyperlink" xfId="35061" builtinId="9" hidden="1"/>
    <cellStyle name="Followed Hyperlink" xfId="35062" builtinId="9" hidden="1"/>
    <cellStyle name="Followed Hyperlink" xfId="35063" builtinId="9" hidden="1"/>
    <cellStyle name="Followed Hyperlink" xfId="35064" builtinId="9" hidden="1"/>
    <cellStyle name="Followed Hyperlink" xfId="35065" builtinId="9" hidden="1"/>
    <cellStyle name="Followed Hyperlink" xfId="35066" builtinId="9" hidden="1"/>
    <cellStyle name="Followed Hyperlink" xfId="35067" builtinId="9" hidden="1"/>
    <cellStyle name="Followed Hyperlink" xfId="35068" builtinId="9" hidden="1"/>
    <cellStyle name="Followed Hyperlink" xfId="35069" builtinId="9" hidden="1"/>
    <cellStyle name="Followed Hyperlink" xfId="35070" builtinId="9" hidden="1"/>
    <cellStyle name="Followed Hyperlink" xfId="35071" builtinId="9" hidden="1"/>
    <cellStyle name="Followed Hyperlink" xfId="35072" builtinId="9" hidden="1"/>
    <cellStyle name="Followed Hyperlink" xfId="35073" builtinId="9" hidden="1"/>
    <cellStyle name="Followed Hyperlink" xfId="35074" builtinId="9" hidden="1"/>
    <cellStyle name="Followed Hyperlink" xfId="35083" builtinId="9" hidden="1"/>
    <cellStyle name="Followed Hyperlink" xfId="35084" builtinId="9" hidden="1"/>
    <cellStyle name="Followed Hyperlink" xfId="35085" builtinId="9" hidden="1"/>
    <cellStyle name="Followed Hyperlink" xfId="35086" builtinId="9" hidden="1"/>
    <cellStyle name="Followed Hyperlink" xfId="35087" builtinId="9" hidden="1"/>
    <cellStyle name="Followed Hyperlink" xfId="35088" builtinId="9" hidden="1"/>
    <cellStyle name="Followed Hyperlink" xfId="35089" builtinId="9" hidden="1"/>
    <cellStyle name="Followed Hyperlink" xfId="35090" builtinId="9" hidden="1"/>
    <cellStyle name="Followed Hyperlink" xfId="35091" builtinId="9" hidden="1"/>
    <cellStyle name="Followed Hyperlink" xfId="35092" builtinId="9" hidden="1"/>
    <cellStyle name="Followed Hyperlink" xfId="35093" builtinId="9" hidden="1"/>
    <cellStyle name="Followed Hyperlink" xfId="35094" builtinId="9" hidden="1"/>
    <cellStyle name="Followed Hyperlink" xfId="35095" builtinId="9" hidden="1"/>
    <cellStyle name="Followed Hyperlink" xfId="35096" builtinId="9" hidden="1"/>
    <cellStyle name="Followed Hyperlink" xfId="35097" builtinId="9" hidden="1"/>
    <cellStyle name="Followed Hyperlink" xfId="35098" builtinId="9" hidden="1"/>
    <cellStyle name="Followed Hyperlink" xfId="35099" builtinId="9" hidden="1"/>
    <cellStyle name="Followed Hyperlink" xfId="35100" builtinId="9" hidden="1"/>
    <cellStyle name="Followed Hyperlink" xfId="35101" builtinId="9" hidden="1"/>
    <cellStyle name="Followed Hyperlink" xfId="35102" builtinId="9" hidden="1"/>
    <cellStyle name="Followed Hyperlink" xfId="35103" builtinId="9" hidden="1"/>
    <cellStyle name="Followed Hyperlink" xfId="35104" builtinId="9" hidden="1"/>
    <cellStyle name="Followed Hyperlink" xfId="35105" builtinId="9" hidden="1"/>
    <cellStyle name="Followed Hyperlink" xfId="35106" builtinId="9" hidden="1"/>
    <cellStyle name="Followed Hyperlink" xfId="35107" builtinId="9" hidden="1"/>
    <cellStyle name="Followed Hyperlink" xfId="35108" builtinId="9" hidden="1"/>
    <cellStyle name="Followed Hyperlink" xfId="35109" builtinId="9" hidden="1"/>
    <cellStyle name="Followed Hyperlink" xfId="35110" builtinId="9" hidden="1"/>
    <cellStyle name="Followed Hyperlink" xfId="35111" builtinId="9" hidden="1"/>
    <cellStyle name="Followed Hyperlink" xfId="35112" builtinId="9" hidden="1"/>
    <cellStyle name="Followed Hyperlink" xfId="35113" builtinId="9" hidden="1"/>
    <cellStyle name="Followed Hyperlink" xfId="35114" builtinId="9" hidden="1"/>
    <cellStyle name="Followed Hyperlink" xfId="35115" builtinId="9" hidden="1"/>
    <cellStyle name="Followed Hyperlink" xfId="35116" builtinId="9" hidden="1"/>
    <cellStyle name="Followed Hyperlink" xfId="35117" builtinId="9" hidden="1"/>
    <cellStyle name="Followed Hyperlink" xfId="35118" builtinId="9" hidden="1"/>
    <cellStyle name="Followed Hyperlink" xfId="35119" builtinId="9" hidden="1"/>
    <cellStyle name="Followed Hyperlink" xfId="35120" builtinId="9" hidden="1"/>
    <cellStyle name="Followed Hyperlink" xfId="35121" builtinId="9" hidden="1"/>
    <cellStyle name="Followed Hyperlink" xfId="35122" builtinId="9" hidden="1"/>
    <cellStyle name="Followed Hyperlink" xfId="35123" builtinId="9" hidden="1"/>
    <cellStyle name="Followed Hyperlink" xfId="35124" builtinId="9" hidden="1"/>
    <cellStyle name="Followed Hyperlink" xfId="35125" builtinId="9" hidden="1"/>
    <cellStyle name="Followed Hyperlink" xfId="35126" builtinId="9" hidden="1"/>
    <cellStyle name="Followed Hyperlink" xfId="35127" builtinId="9" hidden="1"/>
    <cellStyle name="Followed Hyperlink" xfId="35128" builtinId="9" hidden="1"/>
    <cellStyle name="Followed Hyperlink" xfId="35129" builtinId="9" hidden="1"/>
    <cellStyle name="Followed Hyperlink" xfId="35130" builtinId="9" hidden="1"/>
    <cellStyle name="Followed Hyperlink" xfId="35131" builtinId="9" hidden="1"/>
    <cellStyle name="Followed Hyperlink" xfId="35132" builtinId="9" hidden="1"/>
    <cellStyle name="Followed Hyperlink" xfId="35133" builtinId="9" hidden="1"/>
    <cellStyle name="Followed Hyperlink" xfId="35134" builtinId="9" hidden="1"/>
    <cellStyle name="Followed Hyperlink" xfId="35135" builtinId="9" hidden="1"/>
    <cellStyle name="Followed Hyperlink" xfId="35136" builtinId="9" hidden="1"/>
    <cellStyle name="Followed Hyperlink" xfId="35137" builtinId="9" hidden="1"/>
    <cellStyle name="Followed Hyperlink" xfId="35138" builtinId="9" hidden="1"/>
    <cellStyle name="Followed Hyperlink" xfId="35139" builtinId="9" hidden="1"/>
    <cellStyle name="Followed Hyperlink" xfId="35140" builtinId="9" hidden="1"/>
    <cellStyle name="Followed Hyperlink" xfId="35141" builtinId="9" hidden="1"/>
    <cellStyle name="Followed Hyperlink" xfId="35142" builtinId="9" hidden="1"/>
    <cellStyle name="Followed Hyperlink" xfId="35143" builtinId="9" hidden="1"/>
    <cellStyle name="Followed Hyperlink" xfId="35144" builtinId="9" hidden="1"/>
    <cellStyle name="Followed Hyperlink" xfId="35145" builtinId="9" hidden="1"/>
    <cellStyle name="Followed Hyperlink" xfId="35146" builtinId="9" hidden="1"/>
    <cellStyle name="Followed Hyperlink" xfId="35147" builtinId="9" hidden="1"/>
    <cellStyle name="Followed Hyperlink" xfId="35148" builtinId="9" hidden="1"/>
    <cellStyle name="Followed Hyperlink" xfId="35149" builtinId="9" hidden="1"/>
    <cellStyle name="Followed Hyperlink" xfId="35150" builtinId="9" hidden="1"/>
    <cellStyle name="Followed Hyperlink" xfId="35151" builtinId="9" hidden="1"/>
    <cellStyle name="Followed Hyperlink" xfId="35152" builtinId="9" hidden="1"/>
    <cellStyle name="Followed Hyperlink" xfId="35153" builtinId="9" hidden="1"/>
    <cellStyle name="Followed Hyperlink" xfId="35154" builtinId="9" hidden="1"/>
    <cellStyle name="Followed Hyperlink" xfId="35155" builtinId="9" hidden="1"/>
    <cellStyle name="Followed Hyperlink" xfId="35156" builtinId="9" hidden="1"/>
    <cellStyle name="Followed Hyperlink" xfId="35157" builtinId="9" hidden="1"/>
    <cellStyle name="Followed Hyperlink" xfId="35158" builtinId="9" hidden="1"/>
    <cellStyle name="Followed Hyperlink" xfId="35159" builtinId="9" hidden="1"/>
    <cellStyle name="Followed Hyperlink" xfId="35160" builtinId="9" hidden="1"/>
    <cellStyle name="Followed Hyperlink" xfId="35161" builtinId="9" hidden="1"/>
    <cellStyle name="Followed Hyperlink" xfId="35162" builtinId="9" hidden="1"/>
    <cellStyle name="Followed Hyperlink" xfId="35163" builtinId="9" hidden="1"/>
    <cellStyle name="Followed Hyperlink" xfId="35164" builtinId="9" hidden="1"/>
    <cellStyle name="Followed Hyperlink" xfId="35165" builtinId="9" hidden="1"/>
    <cellStyle name="Followed Hyperlink" xfId="35166" builtinId="9" hidden="1"/>
    <cellStyle name="Followed Hyperlink" xfId="35167" builtinId="9" hidden="1"/>
    <cellStyle name="Followed Hyperlink" xfId="35168" builtinId="9" hidden="1"/>
    <cellStyle name="Followed Hyperlink" xfId="35169" builtinId="9" hidden="1"/>
    <cellStyle name="Followed Hyperlink" xfId="35170" builtinId="9" hidden="1"/>
    <cellStyle name="Followed Hyperlink" xfId="35171" builtinId="9" hidden="1"/>
    <cellStyle name="Followed Hyperlink" xfId="35172" builtinId="9" hidden="1"/>
    <cellStyle name="Followed Hyperlink" xfId="35173" builtinId="9" hidden="1"/>
    <cellStyle name="Followed Hyperlink" xfId="35174" builtinId="9" hidden="1"/>
    <cellStyle name="Followed Hyperlink" xfId="35175" builtinId="9" hidden="1"/>
    <cellStyle name="Followed Hyperlink" xfId="35176" builtinId="9" hidden="1"/>
    <cellStyle name="Followed Hyperlink" xfId="35177" builtinId="9" hidden="1"/>
    <cellStyle name="Followed Hyperlink" xfId="35178" builtinId="9" hidden="1"/>
    <cellStyle name="Followed Hyperlink" xfId="35179" builtinId="9" hidden="1"/>
    <cellStyle name="Followed Hyperlink" xfId="35180" builtinId="9" hidden="1"/>
    <cellStyle name="Followed Hyperlink" xfId="35181" builtinId="9" hidden="1"/>
    <cellStyle name="Followed Hyperlink" xfId="35182" builtinId="9" hidden="1"/>
    <cellStyle name="Followed Hyperlink" xfId="35183" builtinId="9" hidden="1"/>
    <cellStyle name="Followed Hyperlink" xfId="35184" builtinId="9" hidden="1"/>
    <cellStyle name="Followed Hyperlink" xfId="35185" builtinId="9" hidden="1"/>
    <cellStyle name="Followed Hyperlink" xfId="35186" builtinId="9" hidden="1"/>
    <cellStyle name="Followed Hyperlink" xfId="35187" builtinId="9" hidden="1"/>
    <cellStyle name="Followed Hyperlink" xfId="35188" builtinId="9" hidden="1"/>
    <cellStyle name="Followed Hyperlink" xfId="35189" builtinId="9" hidden="1"/>
    <cellStyle name="Followed Hyperlink" xfId="35190" builtinId="9" hidden="1"/>
    <cellStyle name="Followed Hyperlink" xfId="35191" builtinId="9" hidden="1"/>
    <cellStyle name="Followed Hyperlink" xfId="35192" builtinId="9" hidden="1"/>
    <cellStyle name="Followed Hyperlink" xfId="35193" builtinId="9" hidden="1"/>
    <cellStyle name="Followed Hyperlink" xfId="35194" builtinId="9" hidden="1"/>
    <cellStyle name="Followed Hyperlink" xfId="35195" builtinId="9" hidden="1"/>
    <cellStyle name="Followed Hyperlink" xfId="35196" builtinId="9" hidden="1"/>
    <cellStyle name="Followed Hyperlink" xfId="35197" builtinId="9" hidden="1"/>
    <cellStyle name="Followed Hyperlink" xfId="35198" builtinId="9" hidden="1"/>
    <cellStyle name="Followed Hyperlink" xfId="35199" builtinId="9" hidden="1"/>
    <cellStyle name="Followed Hyperlink" xfId="35200" builtinId="9" hidden="1"/>
    <cellStyle name="Followed Hyperlink" xfId="35201" builtinId="9" hidden="1"/>
    <cellStyle name="Followed Hyperlink" xfId="35202" builtinId="9" hidden="1"/>
    <cellStyle name="Followed Hyperlink" xfId="35203" builtinId="9" hidden="1"/>
    <cellStyle name="Followed Hyperlink" xfId="35204" builtinId="9" hidden="1"/>
    <cellStyle name="Followed Hyperlink" xfId="35205" builtinId="9" hidden="1"/>
    <cellStyle name="Followed Hyperlink" xfId="35075" builtinId="9" hidden="1"/>
    <cellStyle name="Followed Hyperlink" xfId="33068" builtinId="9" hidden="1"/>
    <cellStyle name="Followed Hyperlink" xfId="35207" builtinId="9" hidden="1"/>
    <cellStyle name="Followed Hyperlink" xfId="35208" builtinId="9" hidden="1"/>
    <cellStyle name="Followed Hyperlink" xfId="35209" builtinId="9" hidden="1"/>
    <cellStyle name="Followed Hyperlink" xfId="35210" builtinId="9" hidden="1"/>
    <cellStyle name="Followed Hyperlink" xfId="35211" builtinId="9" hidden="1"/>
    <cellStyle name="Followed Hyperlink" xfId="35212" builtinId="9" hidden="1"/>
    <cellStyle name="Followed Hyperlink" xfId="35213" builtinId="9" hidden="1"/>
    <cellStyle name="Followed Hyperlink" xfId="35214" builtinId="9" hidden="1"/>
    <cellStyle name="Followed Hyperlink" xfId="35215" builtinId="9" hidden="1"/>
    <cellStyle name="Followed Hyperlink" xfId="35216" builtinId="9" hidden="1"/>
    <cellStyle name="Followed Hyperlink" xfId="35217" builtinId="9" hidden="1"/>
    <cellStyle name="Followed Hyperlink" xfId="35218" builtinId="9" hidden="1"/>
    <cellStyle name="Followed Hyperlink" xfId="35219" builtinId="9" hidden="1"/>
    <cellStyle name="Followed Hyperlink" xfId="35220" builtinId="9" hidden="1"/>
    <cellStyle name="Followed Hyperlink" xfId="35221" builtinId="9" hidden="1"/>
    <cellStyle name="Followed Hyperlink" xfId="35222" builtinId="9" hidden="1"/>
    <cellStyle name="Followed Hyperlink" xfId="35223" builtinId="9" hidden="1"/>
    <cellStyle name="Followed Hyperlink" xfId="35224" builtinId="9" hidden="1"/>
    <cellStyle name="Followed Hyperlink" xfId="35225" builtinId="9" hidden="1"/>
    <cellStyle name="Followed Hyperlink" xfId="35226" builtinId="9" hidden="1"/>
    <cellStyle name="Followed Hyperlink" xfId="35227" builtinId="9" hidden="1"/>
    <cellStyle name="Followed Hyperlink" xfId="35228" builtinId="9" hidden="1"/>
    <cellStyle name="Followed Hyperlink" xfId="35229" builtinId="9" hidden="1"/>
    <cellStyle name="Followed Hyperlink" xfId="35230" builtinId="9" hidden="1"/>
    <cellStyle name="Followed Hyperlink" xfId="35231" builtinId="9" hidden="1"/>
    <cellStyle name="Followed Hyperlink" xfId="35232" builtinId="9" hidden="1"/>
    <cellStyle name="Followed Hyperlink" xfId="35233" builtinId="9" hidden="1"/>
    <cellStyle name="Followed Hyperlink" xfId="35234" builtinId="9" hidden="1"/>
    <cellStyle name="Followed Hyperlink" xfId="35235" builtinId="9" hidden="1"/>
    <cellStyle name="Followed Hyperlink" xfId="35236" builtinId="9" hidden="1"/>
    <cellStyle name="Followed Hyperlink" xfId="35237" builtinId="9" hidden="1"/>
    <cellStyle name="Followed Hyperlink" xfId="35238" builtinId="9" hidden="1"/>
    <cellStyle name="Followed Hyperlink" xfId="35239" builtinId="9" hidden="1"/>
    <cellStyle name="Followed Hyperlink" xfId="35240" builtinId="9" hidden="1"/>
    <cellStyle name="Followed Hyperlink" xfId="35241" builtinId="9" hidden="1"/>
    <cellStyle name="Followed Hyperlink" xfId="35242" builtinId="9" hidden="1"/>
    <cellStyle name="Followed Hyperlink" xfId="35243" builtinId="9" hidden="1"/>
    <cellStyle name="Followed Hyperlink" xfId="35244" builtinId="9" hidden="1"/>
    <cellStyle name="Followed Hyperlink" xfId="35245" builtinId="9" hidden="1"/>
    <cellStyle name="Followed Hyperlink" xfId="35080" builtinId="9" hidden="1"/>
    <cellStyle name="Followed Hyperlink" xfId="35206" builtinId="9" hidden="1"/>
    <cellStyle name="Followed Hyperlink" xfId="35247" builtinId="9" hidden="1"/>
    <cellStyle name="Followed Hyperlink" xfId="35248" builtinId="9" hidden="1"/>
    <cellStyle name="Followed Hyperlink" xfId="35249" builtinId="9" hidden="1"/>
    <cellStyle name="Followed Hyperlink" xfId="35250" builtinId="9" hidden="1"/>
    <cellStyle name="Followed Hyperlink" xfId="35251" builtinId="9" hidden="1"/>
    <cellStyle name="Followed Hyperlink" xfId="35252" builtinId="9" hidden="1"/>
    <cellStyle name="Followed Hyperlink" xfId="35253" builtinId="9" hidden="1"/>
    <cellStyle name="Followed Hyperlink" xfId="35254" builtinId="9" hidden="1"/>
    <cellStyle name="Followed Hyperlink" xfId="35255" builtinId="9" hidden="1"/>
    <cellStyle name="Followed Hyperlink" xfId="35256" builtinId="9" hidden="1"/>
    <cellStyle name="Followed Hyperlink" xfId="35257" builtinId="9" hidden="1"/>
    <cellStyle name="Followed Hyperlink" xfId="35258" builtinId="9" hidden="1"/>
    <cellStyle name="Followed Hyperlink" xfId="35259" builtinId="9" hidden="1"/>
    <cellStyle name="Followed Hyperlink" xfId="35260" builtinId="9" hidden="1"/>
    <cellStyle name="Followed Hyperlink" xfId="35261" builtinId="9" hidden="1"/>
    <cellStyle name="Followed Hyperlink" xfId="35262" builtinId="9" hidden="1"/>
    <cellStyle name="Followed Hyperlink" xfId="35263" builtinId="9" hidden="1"/>
    <cellStyle name="Followed Hyperlink" xfId="35264" builtinId="9" hidden="1"/>
    <cellStyle name="Followed Hyperlink" xfId="35265" builtinId="9" hidden="1"/>
    <cellStyle name="Followed Hyperlink" xfId="35266" builtinId="9" hidden="1"/>
    <cellStyle name="Followed Hyperlink" xfId="35267" builtinId="9" hidden="1"/>
    <cellStyle name="Followed Hyperlink" xfId="35268" builtinId="9" hidden="1"/>
    <cellStyle name="Followed Hyperlink" xfId="35269" builtinId="9" hidden="1"/>
    <cellStyle name="Followed Hyperlink" xfId="35270" builtinId="9" hidden="1"/>
    <cellStyle name="Followed Hyperlink" xfId="35271" builtinId="9" hidden="1"/>
    <cellStyle name="Followed Hyperlink" xfId="35272" builtinId="9" hidden="1"/>
    <cellStyle name="Followed Hyperlink" xfId="35273" builtinId="9" hidden="1"/>
    <cellStyle name="Followed Hyperlink" xfId="35274" builtinId="9" hidden="1"/>
    <cellStyle name="Followed Hyperlink" xfId="35275" builtinId="9" hidden="1"/>
    <cellStyle name="Followed Hyperlink" xfId="35276" builtinId="9" hidden="1"/>
    <cellStyle name="Followed Hyperlink" xfId="35277" builtinId="9" hidden="1"/>
    <cellStyle name="Followed Hyperlink" xfId="35278" builtinId="9" hidden="1"/>
    <cellStyle name="Followed Hyperlink" xfId="35279" builtinId="9" hidden="1"/>
    <cellStyle name="Followed Hyperlink" xfId="35280" builtinId="9" hidden="1"/>
    <cellStyle name="Followed Hyperlink" xfId="35281" builtinId="9" hidden="1"/>
    <cellStyle name="Followed Hyperlink" xfId="35282" builtinId="9" hidden="1"/>
    <cellStyle name="Followed Hyperlink" xfId="35283" builtinId="9" hidden="1"/>
    <cellStyle name="Followed Hyperlink" xfId="35284" builtinId="9" hidden="1"/>
    <cellStyle name="Followed Hyperlink" xfId="35285" builtinId="9" hidden="1"/>
    <cellStyle name="Followed Hyperlink" xfId="35082" builtinId="9" hidden="1"/>
    <cellStyle name="Followed Hyperlink" xfId="35246" builtinId="9" hidden="1"/>
    <cellStyle name="Followed Hyperlink" xfId="35287" builtinId="9" hidden="1"/>
    <cellStyle name="Followed Hyperlink" xfId="35288" builtinId="9" hidden="1"/>
    <cellStyle name="Followed Hyperlink" xfId="35289" builtinId="9" hidden="1"/>
    <cellStyle name="Followed Hyperlink" xfId="35290" builtinId="9" hidden="1"/>
    <cellStyle name="Followed Hyperlink" xfId="35291" builtinId="9" hidden="1"/>
    <cellStyle name="Followed Hyperlink" xfId="35292" builtinId="9" hidden="1"/>
    <cellStyle name="Followed Hyperlink" xfId="35293" builtinId="9" hidden="1"/>
    <cellStyle name="Followed Hyperlink" xfId="35294" builtinId="9" hidden="1"/>
    <cellStyle name="Followed Hyperlink" xfId="35295" builtinId="9" hidden="1"/>
    <cellStyle name="Followed Hyperlink" xfId="35296" builtinId="9" hidden="1"/>
    <cellStyle name="Followed Hyperlink" xfId="35297" builtinId="9" hidden="1"/>
    <cellStyle name="Followed Hyperlink" xfId="35298" builtinId="9" hidden="1"/>
    <cellStyle name="Followed Hyperlink" xfId="35299" builtinId="9" hidden="1"/>
    <cellStyle name="Followed Hyperlink" xfId="35300" builtinId="9" hidden="1"/>
    <cellStyle name="Followed Hyperlink" xfId="35301" builtinId="9" hidden="1"/>
    <cellStyle name="Followed Hyperlink" xfId="35302" builtinId="9" hidden="1"/>
    <cellStyle name="Followed Hyperlink" xfId="35303" builtinId="9" hidden="1"/>
    <cellStyle name="Followed Hyperlink" xfId="35304" builtinId="9" hidden="1"/>
    <cellStyle name="Followed Hyperlink" xfId="35305" builtinId="9" hidden="1"/>
    <cellStyle name="Followed Hyperlink" xfId="35306" builtinId="9" hidden="1"/>
    <cellStyle name="Followed Hyperlink" xfId="35307" builtinId="9" hidden="1"/>
    <cellStyle name="Followed Hyperlink" xfId="35308" builtinId="9" hidden="1"/>
    <cellStyle name="Followed Hyperlink" xfId="35309" builtinId="9" hidden="1"/>
    <cellStyle name="Followed Hyperlink" xfId="35310" builtinId="9" hidden="1"/>
    <cellStyle name="Followed Hyperlink" xfId="35311" builtinId="9" hidden="1"/>
    <cellStyle name="Followed Hyperlink" xfId="35312" builtinId="9" hidden="1"/>
    <cellStyle name="Followed Hyperlink" xfId="35313" builtinId="9" hidden="1"/>
    <cellStyle name="Followed Hyperlink" xfId="35314" builtinId="9" hidden="1"/>
    <cellStyle name="Followed Hyperlink" xfId="35315" builtinId="9" hidden="1"/>
    <cellStyle name="Followed Hyperlink" xfId="35316" builtinId="9" hidden="1"/>
    <cellStyle name="Followed Hyperlink" xfId="35317" builtinId="9" hidden="1"/>
    <cellStyle name="Followed Hyperlink" xfId="35318" builtinId="9" hidden="1"/>
    <cellStyle name="Followed Hyperlink" xfId="35319" builtinId="9" hidden="1"/>
    <cellStyle name="Followed Hyperlink" xfId="35320" builtinId="9" hidden="1"/>
    <cellStyle name="Followed Hyperlink" xfId="35321" builtinId="9" hidden="1"/>
    <cellStyle name="Followed Hyperlink" xfId="35322" builtinId="9" hidden="1"/>
    <cellStyle name="Followed Hyperlink" xfId="35323" builtinId="9" hidden="1"/>
    <cellStyle name="Followed Hyperlink" xfId="35324" builtinId="9" hidden="1"/>
    <cellStyle name="Followed Hyperlink" xfId="35325" builtinId="9" hidden="1"/>
    <cellStyle name="Followed Hyperlink" xfId="35076" builtinId="9" hidden="1"/>
    <cellStyle name="Followed Hyperlink" xfId="35286" builtinId="9" hidden="1"/>
    <cellStyle name="Followed Hyperlink" xfId="35327" builtinId="9" hidden="1"/>
    <cellStyle name="Followed Hyperlink" xfId="35328" builtinId="9" hidden="1"/>
    <cellStyle name="Followed Hyperlink" xfId="35329" builtinId="9" hidden="1"/>
    <cellStyle name="Followed Hyperlink" xfId="35330" builtinId="9" hidden="1"/>
    <cellStyle name="Followed Hyperlink" xfId="35331" builtinId="9" hidden="1"/>
    <cellStyle name="Followed Hyperlink" xfId="35332" builtinId="9" hidden="1"/>
    <cellStyle name="Followed Hyperlink" xfId="35333" builtinId="9" hidden="1"/>
    <cellStyle name="Followed Hyperlink" xfId="35334" builtinId="9" hidden="1"/>
    <cellStyle name="Followed Hyperlink" xfId="35335" builtinId="9" hidden="1"/>
    <cellStyle name="Followed Hyperlink" xfId="35336" builtinId="9" hidden="1"/>
    <cellStyle name="Followed Hyperlink" xfId="35337" builtinId="9" hidden="1"/>
    <cellStyle name="Followed Hyperlink" xfId="35338" builtinId="9" hidden="1"/>
    <cellStyle name="Followed Hyperlink" xfId="35339" builtinId="9" hidden="1"/>
    <cellStyle name="Followed Hyperlink" xfId="35340" builtinId="9" hidden="1"/>
    <cellStyle name="Followed Hyperlink" xfId="35341" builtinId="9" hidden="1"/>
    <cellStyle name="Followed Hyperlink" xfId="35342" builtinId="9" hidden="1"/>
    <cellStyle name="Followed Hyperlink" xfId="35343" builtinId="9" hidden="1"/>
    <cellStyle name="Followed Hyperlink" xfId="35344" builtinId="9" hidden="1"/>
    <cellStyle name="Followed Hyperlink" xfId="35345" builtinId="9" hidden="1"/>
    <cellStyle name="Followed Hyperlink" xfId="35346" builtinId="9" hidden="1"/>
    <cellStyle name="Followed Hyperlink" xfId="35347" builtinId="9" hidden="1"/>
    <cellStyle name="Followed Hyperlink" xfId="35348" builtinId="9" hidden="1"/>
    <cellStyle name="Followed Hyperlink" xfId="35349" builtinId="9" hidden="1"/>
    <cellStyle name="Followed Hyperlink" xfId="35350" builtinId="9" hidden="1"/>
    <cellStyle name="Followed Hyperlink" xfId="35351" builtinId="9" hidden="1"/>
    <cellStyle name="Followed Hyperlink" xfId="35352" builtinId="9" hidden="1"/>
    <cellStyle name="Followed Hyperlink" xfId="35353" builtinId="9" hidden="1"/>
    <cellStyle name="Followed Hyperlink" xfId="35354" builtinId="9" hidden="1"/>
    <cellStyle name="Followed Hyperlink" xfId="35355" builtinId="9" hidden="1"/>
    <cellStyle name="Followed Hyperlink" xfId="35356" builtinId="9" hidden="1"/>
    <cellStyle name="Followed Hyperlink" xfId="35357" builtinId="9" hidden="1"/>
    <cellStyle name="Followed Hyperlink" xfId="35358" builtinId="9" hidden="1"/>
    <cellStyle name="Followed Hyperlink" xfId="35359" builtinId="9" hidden="1"/>
    <cellStyle name="Followed Hyperlink" xfId="35360" builtinId="9" hidden="1"/>
    <cellStyle name="Followed Hyperlink" xfId="35361" builtinId="9" hidden="1"/>
    <cellStyle name="Followed Hyperlink" xfId="35362" builtinId="9" hidden="1"/>
    <cellStyle name="Followed Hyperlink" xfId="35363" builtinId="9" hidden="1"/>
    <cellStyle name="Followed Hyperlink" xfId="35364" builtinId="9" hidden="1"/>
    <cellStyle name="Followed Hyperlink" xfId="35365" builtinId="9" hidden="1"/>
    <cellStyle name="Followed Hyperlink" xfId="35078" builtinId="9" hidden="1"/>
    <cellStyle name="Followed Hyperlink" xfId="35326" builtinId="9" hidden="1"/>
    <cellStyle name="Followed Hyperlink" xfId="35367" builtinId="9" hidden="1"/>
    <cellStyle name="Followed Hyperlink" xfId="35368" builtinId="9" hidden="1"/>
    <cellStyle name="Followed Hyperlink" xfId="35369" builtinId="9" hidden="1"/>
    <cellStyle name="Followed Hyperlink" xfId="35370" builtinId="9" hidden="1"/>
    <cellStyle name="Followed Hyperlink" xfId="35371" builtinId="9" hidden="1"/>
    <cellStyle name="Followed Hyperlink" xfId="35372" builtinId="9" hidden="1"/>
    <cellStyle name="Followed Hyperlink" xfId="35373" builtinId="9" hidden="1"/>
    <cellStyle name="Followed Hyperlink" xfId="35374" builtinId="9" hidden="1"/>
    <cellStyle name="Followed Hyperlink" xfId="35375" builtinId="9" hidden="1"/>
    <cellStyle name="Followed Hyperlink" xfId="35376" builtinId="9" hidden="1"/>
    <cellStyle name="Followed Hyperlink" xfId="35377" builtinId="9" hidden="1"/>
    <cellStyle name="Followed Hyperlink" xfId="35378" builtinId="9" hidden="1"/>
    <cellStyle name="Followed Hyperlink" xfId="35379" builtinId="9" hidden="1"/>
    <cellStyle name="Followed Hyperlink" xfId="35380" builtinId="9" hidden="1"/>
    <cellStyle name="Followed Hyperlink" xfId="35381" builtinId="9" hidden="1"/>
    <cellStyle name="Followed Hyperlink" xfId="35382" builtinId="9" hidden="1"/>
    <cellStyle name="Followed Hyperlink" xfId="35383" builtinId="9" hidden="1"/>
    <cellStyle name="Followed Hyperlink" xfId="35384" builtinId="9" hidden="1"/>
    <cellStyle name="Followed Hyperlink" xfId="35385" builtinId="9" hidden="1"/>
    <cellStyle name="Followed Hyperlink" xfId="35386" builtinId="9" hidden="1"/>
    <cellStyle name="Followed Hyperlink" xfId="35387" builtinId="9" hidden="1"/>
    <cellStyle name="Followed Hyperlink" xfId="35388" builtinId="9" hidden="1"/>
    <cellStyle name="Followed Hyperlink" xfId="35389" builtinId="9" hidden="1"/>
    <cellStyle name="Followed Hyperlink" xfId="35390" builtinId="9" hidden="1"/>
    <cellStyle name="Followed Hyperlink" xfId="35391" builtinId="9" hidden="1"/>
    <cellStyle name="Followed Hyperlink" xfId="35392" builtinId="9" hidden="1"/>
    <cellStyle name="Followed Hyperlink" xfId="35393" builtinId="9" hidden="1"/>
    <cellStyle name="Followed Hyperlink" xfId="35394" builtinId="9" hidden="1"/>
    <cellStyle name="Followed Hyperlink" xfId="35395" builtinId="9" hidden="1"/>
    <cellStyle name="Followed Hyperlink" xfId="35396" builtinId="9" hidden="1"/>
    <cellStyle name="Followed Hyperlink" xfId="35397" builtinId="9" hidden="1"/>
    <cellStyle name="Followed Hyperlink" xfId="35398" builtinId="9" hidden="1"/>
    <cellStyle name="Followed Hyperlink" xfId="35399" builtinId="9" hidden="1"/>
    <cellStyle name="Followed Hyperlink" xfId="35400" builtinId="9" hidden="1"/>
    <cellStyle name="Followed Hyperlink" xfId="35401" builtinId="9" hidden="1"/>
    <cellStyle name="Followed Hyperlink" xfId="35402" builtinId="9" hidden="1"/>
    <cellStyle name="Followed Hyperlink" xfId="35403" builtinId="9" hidden="1"/>
    <cellStyle name="Followed Hyperlink" xfId="35404" builtinId="9" hidden="1"/>
    <cellStyle name="Followed Hyperlink" xfId="35405" builtinId="9" hidden="1"/>
    <cellStyle name="Followed Hyperlink" xfId="35079" builtinId="9" hidden="1"/>
    <cellStyle name="Followed Hyperlink" xfId="35366" builtinId="9" hidden="1"/>
    <cellStyle name="Followed Hyperlink" xfId="35407" builtinId="9" hidden="1"/>
    <cellStyle name="Followed Hyperlink" xfId="35408" builtinId="9" hidden="1"/>
    <cellStyle name="Followed Hyperlink" xfId="35409" builtinId="9" hidden="1"/>
    <cellStyle name="Followed Hyperlink" xfId="35410" builtinId="9" hidden="1"/>
    <cellStyle name="Followed Hyperlink" xfId="35411" builtinId="9" hidden="1"/>
    <cellStyle name="Followed Hyperlink" xfId="35412" builtinId="9" hidden="1"/>
    <cellStyle name="Followed Hyperlink" xfId="35413" builtinId="9" hidden="1"/>
    <cellStyle name="Followed Hyperlink" xfId="35414" builtinId="9" hidden="1"/>
    <cellStyle name="Followed Hyperlink" xfId="35415" builtinId="9" hidden="1"/>
    <cellStyle name="Followed Hyperlink" xfId="35416" builtinId="9" hidden="1"/>
    <cellStyle name="Followed Hyperlink" xfId="35417" builtinId="9" hidden="1"/>
    <cellStyle name="Followed Hyperlink" xfId="35418" builtinId="9" hidden="1"/>
    <cellStyle name="Followed Hyperlink" xfId="35419" builtinId="9" hidden="1"/>
    <cellStyle name="Followed Hyperlink" xfId="35420" builtinId="9" hidden="1"/>
    <cellStyle name="Followed Hyperlink" xfId="35421" builtinId="9" hidden="1"/>
    <cellStyle name="Followed Hyperlink" xfId="35422" builtinId="9" hidden="1"/>
    <cellStyle name="Followed Hyperlink" xfId="35423" builtinId="9" hidden="1"/>
    <cellStyle name="Followed Hyperlink" xfId="35424" builtinId="9" hidden="1"/>
    <cellStyle name="Followed Hyperlink" xfId="35425" builtinId="9" hidden="1"/>
    <cellStyle name="Followed Hyperlink" xfId="35426" builtinId="9" hidden="1"/>
    <cellStyle name="Followed Hyperlink" xfId="35427" builtinId="9" hidden="1"/>
    <cellStyle name="Followed Hyperlink" xfId="35428" builtinId="9" hidden="1"/>
    <cellStyle name="Followed Hyperlink" xfId="35429" builtinId="9" hidden="1"/>
    <cellStyle name="Followed Hyperlink" xfId="35430" builtinId="9" hidden="1"/>
    <cellStyle name="Followed Hyperlink" xfId="35431" builtinId="9" hidden="1"/>
    <cellStyle name="Followed Hyperlink" xfId="35432" builtinId="9" hidden="1"/>
    <cellStyle name="Followed Hyperlink" xfId="35433" builtinId="9" hidden="1"/>
    <cellStyle name="Followed Hyperlink" xfId="35434" builtinId="9" hidden="1"/>
    <cellStyle name="Followed Hyperlink" xfId="35435" builtinId="9" hidden="1"/>
    <cellStyle name="Followed Hyperlink" xfId="35436" builtinId="9" hidden="1"/>
    <cellStyle name="Followed Hyperlink" xfId="35437" builtinId="9" hidden="1"/>
    <cellStyle name="Followed Hyperlink" xfId="35438" builtinId="9" hidden="1"/>
    <cellStyle name="Followed Hyperlink" xfId="35439" builtinId="9" hidden="1"/>
    <cellStyle name="Followed Hyperlink" xfId="35440" builtinId="9" hidden="1"/>
    <cellStyle name="Followed Hyperlink" xfId="35441" builtinId="9" hidden="1"/>
    <cellStyle name="Followed Hyperlink" xfId="35442" builtinId="9" hidden="1"/>
    <cellStyle name="Followed Hyperlink" xfId="35443" builtinId="9" hidden="1"/>
    <cellStyle name="Followed Hyperlink" xfId="35444" builtinId="9" hidden="1"/>
    <cellStyle name="Followed Hyperlink" xfId="35445" builtinId="9" hidden="1"/>
    <cellStyle name="Followed Hyperlink" xfId="35081" builtinId="9" hidden="1"/>
    <cellStyle name="Followed Hyperlink" xfId="35406" builtinId="9" hidden="1"/>
    <cellStyle name="Followed Hyperlink" xfId="35447" builtinId="9" hidden="1"/>
    <cellStyle name="Followed Hyperlink" xfId="35448" builtinId="9" hidden="1"/>
    <cellStyle name="Followed Hyperlink" xfId="35449" builtinId="9" hidden="1"/>
    <cellStyle name="Followed Hyperlink" xfId="35450" builtinId="9" hidden="1"/>
    <cellStyle name="Followed Hyperlink" xfId="35451" builtinId="9" hidden="1"/>
    <cellStyle name="Followed Hyperlink" xfId="35452" builtinId="9" hidden="1"/>
    <cellStyle name="Followed Hyperlink" xfId="35453" builtinId="9" hidden="1"/>
    <cellStyle name="Followed Hyperlink" xfId="35454" builtinId="9" hidden="1"/>
    <cellStyle name="Followed Hyperlink" xfId="35455" builtinId="9" hidden="1"/>
    <cellStyle name="Followed Hyperlink" xfId="35456" builtinId="9" hidden="1"/>
    <cellStyle name="Followed Hyperlink" xfId="35457" builtinId="9" hidden="1"/>
    <cellStyle name="Followed Hyperlink" xfId="35458" builtinId="9" hidden="1"/>
    <cellStyle name="Followed Hyperlink" xfId="35459" builtinId="9" hidden="1"/>
    <cellStyle name="Followed Hyperlink" xfId="35460" builtinId="9" hidden="1"/>
    <cellStyle name="Followed Hyperlink" xfId="35461" builtinId="9" hidden="1"/>
    <cellStyle name="Followed Hyperlink" xfId="35462" builtinId="9" hidden="1"/>
    <cellStyle name="Followed Hyperlink" xfId="35463" builtinId="9" hidden="1"/>
    <cellStyle name="Followed Hyperlink" xfId="35464" builtinId="9" hidden="1"/>
    <cellStyle name="Followed Hyperlink" xfId="35465" builtinId="9" hidden="1"/>
    <cellStyle name="Followed Hyperlink" xfId="35466" builtinId="9" hidden="1"/>
    <cellStyle name="Followed Hyperlink" xfId="35467" builtinId="9" hidden="1"/>
    <cellStyle name="Followed Hyperlink" xfId="35468" builtinId="9" hidden="1"/>
    <cellStyle name="Followed Hyperlink" xfId="35469" builtinId="9" hidden="1"/>
    <cellStyle name="Followed Hyperlink" xfId="35470" builtinId="9" hidden="1"/>
    <cellStyle name="Followed Hyperlink" xfId="35471" builtinId="9" hidden="1"/>
    <cellStyle name="Followed Hyperlink" xfId="35472" builtinId="9" hidden="1"/>
    <cellStyle name="Followed Hyperlink" xfId="35473" builtinId="9" hidden="1"/>
    <cellStyle name="Followed Hyperlink" xfId="35474" builtinId="9" hidden="1"/>
    <cellStyle name="Followed Hyperlink" xfId="35475" builtinId="9" hidden="1"/>
    <cellStyle name="Followed Hyperlink" xfId="35476" builtinId="9" hidden="1"/>
    <cellStyle name="Followed Hyperlink" xfId="35477" builtinId="9" hidden="1"/>
    <cellStyle name="Followed Hyperlink" xfId="35478" builtinId="9" hidden="1"/>
    <cellStyle name="Followed Hyperlink" xfId="35479" builtinId="9" hidden="1"/>
    <cellStyle name="Followed Hyperlink" xfId="35480" builtinId="9" hidden="1"/>
    <cellStyle name="Followed Hyperlink" xfId="35481" builtinId="9" hidden="1"/>
    <cellStyle name="Followed Hyperlink" xfId="35482" builtinId="9" hidden="1"/>
    <cellStyle name="Followed Hyperlink" xfId="35483" builtinId="9" hidden="1"/>
    <cellStyle name="Followed Hyperlink" xfId="35484" builtinId="9" hidden="1"/>
    <cellStyle name="Followed Hyperlink" xfId="35485" builtinId="9" hidden="1"/>
    <cellStyle name="Followed Hyperlink" xfId="35077" builtinId="9" hidden="1"/>
    <cellStyle name="Followed Hyperlink" xfId="35446" builtinId="9" hidden="1"/>
    <cellStyle name="Followed Hyperlink" xfId="35486" builtinId="9" hidden="1"/>
    <cellStyle name="Followed Hyperlink" xfId="35487" builtinId="9" hidden="1"/>
    <cellStyle name="Followed Hyperlink" xfId="35488" builtinId="9" hidden="1"/>
    <cellStyle name="Followed Hyperlink" xfId="35489" builtinId="9" hidden="1"/>
    <cellStyle name="Followed Hyperlink" xfId="35490" builtinId="9" hidden="1"/>
    <cellStyle name="Followed Hyperlink" xfId="35491" builtinId="9" hidden="1"/>
    <cellStyle name="Followed Hyperlink" xfId="35492" builtinId="9" hidden="1"/>
    <cellStyle name="Followed Hyperlink" xfId="35493" builtinId="9" hidden="1"/>
    <cellStyle name="Followed Hyperlink" xfId="35494" builtinId="9" hidden="1"/>
    <cellStyle name="Followed Hyperlink" xfId="35495" builtinId="9" hidden="1"/>
    <cellStyle name="Followed Hyperlink" xfId="35496" builtinId="9" hidden="1"/>
    <cellStyle name="Followed Hyperlink" xfId="35497" builtinId="9" hidden="1"/>
    <cellStyle name="Followed Hyperlink" xfId="35498" builtinId="9" hidden="1"/>
    <cellStyle name="Followed Hyperlink" xfId="35499" builtinId="9" hidden="1"/>
    <cellStyle name="Followed Hyperlink" xfId="35500" builtinId="9" hidden="1"/>
    <cellStyle name="Followed Hyperlink" xfId="35501" builtinId="9" hidden="1"/>
    <cellStyle name="Followed Hyperlink" xfId="35502" builtinId="9" hidden="1"/>
    <cellStyle name="Followed Hyperlink" xfId="35503" builtinId="9" hidden="1"/>
    <cellStyle name="Followed Hyperlink" xfId="35504" builtinId="9" hidden="1"/>
    <cellStyle name="Followed Hyperlink" xfId="35505" builtinId="9" hidden="1"/>
    <cellStyle name="Followed Hyperlink" xfId="35506" builtinId="9" hidden="1"/>
    <cellStyle name="Followed Hyperlink" xfId="35507" builtinId="9" hidden="1"/>
    <cellStyle name="Followed Hyperlink" xfId="35508" builtinId="9" hidden="1"/>
    <cellStyle name="Followed Hyperlink" xfId="35509" builtinId="9" hidden="1"/>
    <cellStyle name="Followed Hyperlink" xfId="35510" builtinId="9" hidden="1"/>
    <cellStyle name="Followed Hyperlink" xfId="35511" builtinId="9" hidden="1"/>
    <cellStyle name="Followed Hyperlink" xfId="35512" builtinId="9" hidden="1"/>
    <cellStyle name="Followed Hyperlink" xfId="35513" builtinId="9" hidden="1"/>
    <cellStyle name="Followed Hyperlink" xfId="35514" builtinId="9" hidden="1"/>
    <cellStyle name="Followed Hyperlink" xfId="35515" builtinId="9" hidden="1"/>
    <cellStyle name="Followed Hyperlink" xfId="35516" builtinId="9" hidden="1"/>
    <cellStyle name="Followed Hyperlink" xfId="35517" builtinId="9" hidden="1"/>
    <cellStyle name="Followed Hyperlink" xfId="35518" builtinId="9" hidden="1"/>
    <cellStyle name="Followed Hyperlink" xfId="35519" builtinId="9" hidden="1"/>
    <cellStyle name="Followed Hyperlink" xfId="35520" builtinId="9" hidden="1"/>
    <cellStyle name="Followed Hyperlink" xfId="35521" builtinId="9" hidden="1"/>
    <cellStyle name="Followed Hyperlink" xfId="35522" builtinId="9" hidden="1"/>
    <cellStyle name="Followed Hyperlink" xfId="35523" builtinId="9" hidden="1"/>
    <cellStyle name="Followed Hyperlink" xfId="35524" builtinId="9" hidden="1"/>
    <cellStyle name="Followed Hyperlink" xfId="33065" builtinId="9" hidden="1"/>
    <cellStyle name="Followed Hyperlink" xfId="33074" builtinId="9" hidden="1"/>
    <cellStyle name="Followed Hyperlink" xfId="35525" builtinId="9" hidden="1"/>
    <cellStyle name="Followed Hyperlink" xfId="35526" builtinId="9" hidden="1"/>
    <cellStyle name="Followed Hyperlink" xfId="35527" builtinId="9" hidden="1"/>
    <cellStyle name="Followed Hyperlink" xfId="35528" builtinId="9" hidden="1"/>
    <cellStyle name="Followed Hyperlink" xfId="35529" builtinId="9" hidden="1"/>
    <cellStyle name="Followed Hyperlink" xfId="35530" builtinId="9" hidden="1"/>
    <cellStyle name="Followed Hyperlink" xfId="35531" builtinId="9" hidden="1"/>
    <cellStyle name="Followed Hyperlink" xfId="35532" builtinId="9" hidden="1"/>
    <cellStyle name="Followed Hyperlink" xfId="35533" builtinId="9" hidden="1"/>
    <cellStyle name="Followed Hyperlink" xfId="35534" builtinId="9" hidden="1"/>
    <cellStyle name="Followed Hyperlink" xfId="35535" builtinId="9" hidden="1"/>
    <cellStyle name="Followed Hyperlink" xfId="35536" builtinId="9" hidden="1"/>
    <cellStyle name="Followed Hyperlink" xfId="35537" builtinId="9" hidden="1"/>
    <cellStyle name="Followed Hyperlink" xfId="35538" builtinId="9" hidden="1"/>
    <cellStyle name="Followed Hyperlink" xfId="35539" builtinId="9" hidden="1"/>
    <cellStyle name="Followed Hyperlink" xfId="35540" builtinId="9" hidden="1"/>
    <cellStyle name="Followed Hyperlink" xfId="35541" builtinId="9" hidden="1"/>
    <cellStyle name="Followed Hyperlink" xfId="35542" builtinId="9" hidden="1"/>
    <cellStyle name="Followed Hyperlink" xfId="35543" builtinId="9" hidden="1"/>
    <cellStyle name="Followed Hyperlink" xfId="35544" builtinId="9" hidden="1"/>
    <cellStyle name="Followed Hyperlink" xfId="35545" builtinId="9" hidden="1"/>
    <cellStyle name="Followed Hyperlink" xfId="35546" builtinId="9" hidden="1"/>
    <cellStyle name="Followed Hyperlink" xfId="35547" builtinId="9" hidden="1"/>
    <cellStyle name="Followed Hyperlink" xfId="35548" builtinId="9" hidden="1"/>
    <cellStyle name="Followed Hyperlink" xfId="35549" builtinId="9" hidden="1"/>
    <cellStyle name="Followed Hyperlink" xfId="35550" builtinId="9" hidden="1"/>
    <cellStyle name="Followed Hyperlink" xfId="35551" builtinId="9" hidden="1"/>
    <cellStyle name="Followed Hyperlink" xfId="35552" builtinId="9" hidden="1"/>
    <cellStyle name="Followed Hyperlink" xfId="35553" builtinId="9" hidden="1"/>
    <cellStyle name="Followed Hyperlink" xfId="35554" builtinId="9" hidden="1"/>
    <cellStyle name="Followed Hyperlink" xfId="35555" builtinId="9" hidden="1"/>
    <cellStyle name="Followed Hyperlink" xfId="35556" builtinId="9" hidden="1"/>
    <cellStyle name="Followed Hyperlink" xfId="35557" builtinId="9" hidden="1"/>
    <cellStyle name="Followed Hyperlink" xfId="35558" builtinId="9" hidden="1"/>
    <cellStyle name="Followed Hyperlink" xfId="35559" builtinId="9" hidden="1"/>
    <cellStyle name="Followed Hyperlink" xfId="35560" builtinId="9" hidden="1"/>
    <cellStyle name="Followed Hyperlink" xfId="35561" builtinId="9" hidden="1"/>
    <cellStyle name="Followed Hyperlink" xfId="35562" builtinId="9" hidden="1"/>
    <cellStyle name="Followed Hyperlink" xfId="35563" builtinId="9" hidden="1"/>
    <cellStyle name="Followed Hyperlink" xfId="35572" builtinId="9" hidden="1"/>
    <cellStyle name="Followed Hyperlink" xfId="35573" builtinId="9" hidden="1"/>
    <cellStyle name="Followed Hyperlink" xfId="35574" builtinId="9" hidden="1"/>
    <cellStyle name="Followed Hyperlink" xfId="35575" builtinId="9" hidden="1"/>
    <cellStyle name="Followed Hyperlink" xfId="35576" builtinId="9" hidden="1"/>
    <cellStyle name="Followed Hyperlink" xfId="35577" builtinId="9" hidden="1"/>
    <cellStyle name="Followed Hyperlink" xfId="35578" builtinId="9" hidden="1"/>
    <cellStyle name="Followed Hyperlink" xfId="35579" builtinId="9" hidden="1"/>
    <cellStyle name="Followed Hyperlink" xfId="35580" builtinId="9" hidden="1"/>
    <cellStyle name="Followed Hyperlink" xfId="35581" builtinId="9" hidden="1"/>
    <cellStyle name="Followed Hyperlink" xfId="35582" builtinId="9" hidden="1"/>
    <cellStyle name="Followed Hyperlink" xfId="35583" builtinId="9" hidden="1"/>
    <cellStyle name="Followed Hyperlink" xfId="35584" builtinId="9" hidden="1"/>
    <cellStyle name="Followed Hyperlink" xfId="35585" builtinId="9" hidden="1"/>
    <cellStyle name="Followed Hyperlink" xfId="35586" builtinId="9" hidden="1"/>
    <cellStyle name="Followed Hyperlink" xfId="35587" builtinId="9" hidden="1"/>
    <cellStyle name="Followed Hyperlink" xfId="35588" builtinId="9" hidden="1"/>
    <cellStyle name="Followed Hyperlink" xfId="35589" builtinId="9" hidden="1"/>
    <cellStyle name="Followed Hyperlink" xfId="35590" builtinId="9" hidden="1"/>
    <cellStyle name="Followed Hyperlink" xfId="35591" builtinId="9" hidden="1"/>
    <cellStyle name="Followed Hyperlink" xfId="35592" builtinId="9" hidden="1"/>
    <cellStyle name="Followed Hyperlink" xfId="35593" builtinId="9" hidden="1"/>
    <cellStyle name="Followed Hyperlink" xfId="35594" builtinId="9" hidden="1"/>
    <cellStyle name="Followed Hyperlink" xfId="35595" builtinId="9" hidden="1"/>
    <cellStyle name="Followed Hyperlink" xfId="35596" builtinId="9" hidden="1"/>
    <cellStyle name="Followed Hyperlink" xfId="35597" builtinId="9" hidden="1"/>
    <cellStyle name="Followed Hyperlink" xfId="35598" builtinId="9" hidden="1"/>
    <cellStyle name="Followed Hyperlink" xfId="35599" builtinId="9" hidden="1"/>
    <cellStyle name="Followed Hyperlink" xfId="35600" builtinId="9" hidden="1"/>
    <cellStyle name="Followed Hyperlink" xfId="35601" builtinId="9" hidden="1"/>
    <cellStyle name="Followed Hyperlink" xfId="35602" builtinId="9" hidden="1"/>
    <cellStyle name="Followed Hyperlink" xfId="35603" builtinId="9" hidden="1"/>
    <cellStyle name="Followed Hyperlink" xfId="35604" builtinId="9" hidden="1"/>
    <cellStyle name="Followed Hyperlink" xfId="35605" builtinId="9" hidden="1"/>
    <cellStyle name="Followed Hyperlink" xfId="35606" builtinId="9" hidden="1"/>
    <cellStyle name="Followed Hyperlink" xfId="35607" builtinId="9" hidden="1"/>
    <cellStyle name="Followed Hyperlink" xfId="35608" builtinId="9" hidden="1"/>
    <cellStyle name="Followed Hyperlink" xfId="35609" builtinId="9" hidden="1"/>
    <cellStyle name="Followed Hyperlink" xfId="35610" builtinId="9" hidden="1"/>
    <cellStyle name="Followed Hyperlink" xfId="35611" builtinId="9" hidden="1"/>
    <cellStyle name="Followed Hyperlink" xfId="35612" builtinId="9" hidden="1"/>
    <cellStyle name="Followed Hyperlink" xfId="35613" builtinId="9" hidden="1"/>
    <cellStyle name="Followed Hyperlink" xfId="35614" builtinId="9" hidden="1"/>
    <cellStyle name="Followed Hyperlink" xfId="35615" builtinId="9" hidden="1"/>
    <cellStyle name="Followed Hyperlink" xfId="35616" builtinId="9" hidden="1"/>
    <cellStyle name="Followed Hyperlink" xfId="35617" builtinId="9" hidden="1"/>
    <cellStyle name="Followed Hyperlink" xfId="35618" builtinId="9" hidden="1"/>
    <cellStyle name="Followed Hyperlink" xfId="35619" builtinId="9" hidden="1"/>
    <cellStyle name="Followed Hyperlink" xfId="35620" builtinId="9" hidden="1"/>
    <cellStyle name="Followed Hyperlink" xfId="35621" builtinId="9" hidden="1"/>
    <cellStyle name="Followed Hyperlink" xfId="35622" builtinId="9" hidden="1"/>
    <cellStyle name="Followed Hyperlink" xfId="35623" builtinId="9" hidden="1"/>
    <cellStyle name="Followed Hyperlink" xfId="35624" builtinId="9" hidden="1"/>
    <cellStyle name="Followed Hyperlink" xfId="35625" builtinId="9" hidden="1"/>
    <cellStyle name="Followed Hyperlink" xfId="35626" builtinId="9" hidden="1"/>
    <cellStyle name="Followed Hyperlink" xfId="35627" builtinId="9" hidden="1"/>
    <cellStyle name="Followed Hyperlink" xfId="35628" builtinId="9" hidden="1"/>
    <cellStyle name="Followed Hyperlink" xfId="35629" builtinId="9" hidden="1"/>
    <cellStyle name="Followed Hyperlink" xfId="35630" builtinId="9" hidden="1"/>
    <cellStyle name="Followed Hyperlink" xfId="35631" builtinId="9" hidden="1"/>
    <cellStyle name="Followed Hyperlink" xfId="35632" builtinId="9" hidden="1"/>
    <cellStyle name="Followed Hyperlink" xfId="35633" builtinId="9" hidden="1"/>
    <cellStyle name="Followed Hyperlink" xfId="35634" builtinId="9" hidden="1"/>
    <cellStyle name="Followed Hyperlink" xfId="35635" builtinId="9" hidden="1"/>
    <cellStyle name="Followed Hyperlink" xfId="35636" builtinId="9" hidden="1"/>
    <cellStyle name="Followed Hyperlink" xfId="35637" builtinId="9" hidden="1"/>
    <cellStyle name="Followed Hyperlink" xfId="35638" builtinId="9" hidden="1"/>
    <cellStyle name="Followed Hyperlink" xfId="35639" builtinId="9" hidden="1"/>
    <cellStyle name="Followed Hyperlink" xfId="35640" builtinId="9" hidden="1"/>
    <cellStyle name="Followed Hyperlink" xfId="35641" builtinId="9" hidden="1"/>
    <cellStyle name="Followed Hyperlink" xfId="35642" builtinId="9" hidden="1"/>
    <cellStyle name="Followed Hyperlink" xfId="35643" builtinId="9" hidden="1"/>
    <cellStyle name="Followed Hyperlink" xfId="35644" builtinId="9" hidden="1"/>
    <cellStyle name="Followed Hyperlink" xfId="35645" builtinId="9" hidden="1"/>
    <cellStyle name="Followed Hyperlink" xfId="35646" builtinId="9" hidden="1"/>
    <cellStyle name="Followed Hyperlink" xfId="35647" builtinId="9" hidden="1"/>
    <cellStyle name="Followed Hyperlink" xfId="35648" builtinId="9" hidden="1"/>
    <cellStyle name="Followed Hyperlink" xfId="35649" builtinId="9" hidden="1"/>
    <cellStyle name="Followed Hyperlink" xfId="35650" builtinId="9" hidden="1"/>
    <cellStyle name="Followed Hyperlink" xfId="35651" builtinId="9" hidden="1"/>
    <cellStyle name="Followed Hyperlink" xfId="35652" builtinId="9" hidden="1"/>
    <cellStyle name="Followed Hyperlink" xfId="35653" builtinId="9" hidden="1"/>
    <cellStyle name="Followed Hyperlink" xfId="35654" builtinId="9" hidden="1"/>
    <cellStyle name="Followed Hyperlink" xfId="35655" builtinId="9" hidden="1"/>
    <cellStyle name="Followed Hyperlink" xfId="35656" builtinId="9" hidden="1"/>
    <cellStyle name="Followed Hyperlink" xfId="35657" builtinId="9" hidden="1"/>
    <cellStyle name="Followed Hyperlink" xfId="35658" builtinId="9" hidden="1"/>
    <cellStyle name="Followed Hyperlink" xfId="35659" builtinId="9" hidden="1"/>
    <cellStyle name="Followed Hyperlink" xfId="35660" builtinId="9" hidden="1"/>
    <cellStyle name="Followed Hyperlink" xfId="35661" builtinId="9" hidden="1"/>
    <cellStyle name="Followed Hyperlink" xfId="35662" builtinId="9" hidden="1"/>
    <cellStyle name="Followed Hyperlink" xfId="35663" builtinId="9" hidden="1"/>
    <cellStyle name="Followed Hyperlink" xfId="35664" builtinId="9" hidden="1"/>
    <cellStyle name="Followed Hyperlink" xfId="35665" builtinId="9" hidden="1"/>
    <cellStyle name="Followed Hyperlink" xfId="35666" builtinId="9" hidden="1"/>
    <cellStyle name="Followed Hyperlink" xfId="35667" builtinId="9" hidden="1"/>
    <cellStyle name="Followed Hyperlink" xfId="35668" builtinId="9" hidden="1"/>
    <cellStyle name="Followed Hyperlink" xfId="35669" builtinId="9" hidden="1"/>
    <cellStyle name="Followed Hyperlink" xfId="35670" builtinId="9" hidden="1"/>
    <cellStyle name="Followed Hyperlink" xfId="35671" builtinId="9" hidden="1"/>
    <cellStyle name="Followed Hyperlink" xfId="35672" builtinId="9" hidden="1"/>
    <cellStyle name="Followed Hyperlink" xfId="35673" builtinId="9" hidden="1"/>
    <cellStyle name="Followed Hyperlink" xfId="35674" builtinId="9" hidden="1"/>
    <cellStyle name="Followed Hyperlink" xfId="35675" builtinId="9" hidden="1"/>
    <cellStyle name="Followed Hyperlink" xfId="35676" builtinId="9" hidden="1"/>
    <cellStyle name="Followed Hyperlink" xfId="35677" builtinId="9" hidden="1"/>
    <cellStyle name="Followed Hyperlink" xfId="35678" builtinId="9" hidden="1"/>
    <cellStyle name="Followed Hyperlink" xfId="35679" builtinId="9" hidden="1"/>
    <cellStyle name="Followed Hyperlink" xfId="35680" builtinId="9" hidden="1"/>
    <cellStyle name="Followed Hyperlink" xfId="35681" builtinId="9" hidden="1"/>
    <cellStyle name="Followed Hyperlink" xfId="35682" builtinId="9" hidden="1"/>
    <cellStyle name="Followed Hyperlink" xfId="35683" builtinId="9" hidden="1"/>
    <cellStyle name="Followed Hyperlink" xfId="35684" builtinId="9" hidden="1"/>
    <cellStyle name="Followed Hyperlink" xfId="35685" builtinId="9" hidden="1"/>
    <cellStyle name="Followed Hyperlink" xfId="35686" builtinId="9" hidden="1"/>
    <cellStyle name="Followed Hyperlink" xfId="35687" builtinId="9" hidden="1"/>
    <cellStyle name="Followed Hyperlink" xfId="35688" builtinId="9" hidden="1"/>
    <cellStyle name="Followed Hyperlink" xfId="35689" builtinId="9" hidden="1"/>
    <cellStyle name="Followed Hyperlink" xfId="35690" builtinId="9" hidden="1"/>
    <cellStyle name="Followed Hyperlink" xfId="35691" builtinId="9" hidden="1"/>
    <cellStyle name="Followed Hyperlink" xfId="35692" builtinId="9" hidden="1"/>
    <cellStyle name="Followed Hyperlink" xfId="35693" builtinId="9" hidden="1"/>
    <cellStyle name="Followed Hyperlink" xfId="35694" builtinId="9" hidden="1"/>
    <cellStyle name="Followed Hyperlink" xfId="35564" builtinId="9" hidden="1"/>
    <cellStyle name="Followed Hyperlink" xfId="33061" builtinId="9" hidden="1"/>
    <cellStyle name="Followed Hyperlink" xfId="35696" builtinId="9" hidden="1"/>
    <cellStyle name="Followed Hyperlink" xfId="35697" builtinId="9" hidden="1"/>
    <cellStyle name="Followed Hyperlink" xfId="35698" builtinId="9" hidden="1"/>
    <cellStyle name="Followed Hyperlink" xfId="35699" builtinId="9" hidden="1"/>
    <cellStyle name="Followed Hyperlink" xfId="35700" builtinId="9" hidden="1"/>
    <cellStyle name="Followed Hyperlink" xfId="35701" builtinId="9" hidden="1"/>
    <cellStyle name="Followed Hyperlink" xfId="35702" builtinId="9" hidden="1"/>
    <cellStyle name="Followed Hyperlink" xfId="35703" builtinId="9" hidden="1"/>
    <cellStyle name="Followed Hyperlink" xfId="35704" builtinId="9" hidden="1"/>
    <cellStyle name="Followed Hyperlink" xfId="35705" builtinId="9" hidden="1"/>
    <cellStyle name="Followed Hyperlink" xfId="35706" builtinId="9" hidden="1"/>
    <cellStyle name="Followed Hyperlink" xfId="35707" builtinId="9" hidden="1"/>
    <cellStyle name="Followed Hyperlink" xfId="35708" builtinId="9" hidden="1"/>
    <cellStyle name="Followed Hyperlink" xfId="35709" builtinId="9" hidden="1"/>
    <cellStyle name="Followed Hyperlink" xfId="35710" builtinId="9" hidden="1"/>
    <cellStyle name="Followed Hyperlink" xfId="35711" builtinId="9" hidden="1"/>
    <cellStyle name="Followed Hyperlink" xfId="35712" builtinId="9" hidden="1"/>
    <cellStyle name="Followed Hyperlink" xfId="35713" builtinId="9" hidden="1"/>
    <cellStyle name="Followed Hyperlink" xfId="35714" builtinId="9" hidden="1"/>
    <cellStyle name="Followed Hyperlink" xfId="35715" builtinId="9" hidden="1"/>
    <cellStyle name="Followed Hyperlink" xfId="35716" builtinId="9" hidden="1"/>
    <cellStyle name="Followed Hyperlink" xfId="35717" builtinId="9" hidden="1"/>
    <cellStyle name="Followed Hyperlink" xfId="35718" builtinId="9" hidden="1"/>
    <cellStyle name="Followed Hyperlink" xfId="35719" builtinId="9" hidden="1"/>
    <cellStyle name="Followed Hyperlink" xfId="35720" builtinId="9" hidden="1"/>
    <cellStyle name="Followed Hyperlink" xfId="35721" builtinId="9" hidden="1"/>
    <cellStyle name="Followed Hyperlink" xfId="35722" builtinId="9" hidden="1"/>
    <cellStyle name="Followed Hyperlink" xfId="35723" builtinId="9" hidden="1"/>
    <cellStyle name="Followed Hyperlink" xfId="35724" builtinId="9" hidden="1"/>
    <cellStyle name="Followed Hyperlink" xfId="35725" builtinId="9" hidden="1"/>
    <cellStyle name="Followed Hyperlink" xfId="35726" builtinId="9" hidden="1"/>
    <cellStyle name="Followed Hyperlink" xfId="35727" builtinId="9" hidden="1"/>
    <cellStyle name="Followed Hyperlink" xfId="35728" builtinId="9" hidden="1"/>
    <cellStyle name="Followed Hyperlink" xfId="35729" builtinId="9" hidden="1"/>
    <cellStyle name="Followed Hyperlink" xfId="35730" builtinId="9" hidden="1"/>
    <cellStyle name="Followed Hyperlink" xfId="35731" builtinId="9" hidden="1"/>
    <cellStyle name="Followed Hyperlink" xfId="35732" builtinId="9" hidden="1"/>
    <cellStyle name="Followed Hyperlink" xfId="35733" builtinId="9" hidden="1"/>
    <cellStyle name="Followed Hyperlink" xfId="35734" builtinId="9" hidden="1"/>
    <cellStyle name="Followed Hyperlink" xfId="35569" builtinId="9" hidden="1"/>
    <cellStyle name="Followed Hyperlink" xfId="35695" builtinId="9" hidden="1"/>
    <cellStyle name="Followed Hyperlink" xfId="35736" builtinId="9" hidden="1"/>
    <cellStyle name="Followed Hyperlink" xfId="35737" builtinId="9" hidden="1"/>
    <cellStyle name="Followed Hyperlink" xfId="35738" builtinId="9" hidden="1"/>
    <cellStyle name="Followed Hyperlink" xfId="35739" builtinId="9" hidden="1"/>
    <cellStyle name="Followed Hyperlink" xfId="35740" builtinId="9" hidden="1"/>
    <cellStyle name="Followed Hyperlink" xfId="35741" builtinId="9" hidden="1"/>
    <cellStyle name="Followed Hyperlink" xfId="35742" builtinId="9" hidden="1"/>
    <cellStyle name="Followed Hyperlink" xfId="35743" builtinId="9" hidden="1"/>
    <cellStyle name="Followed Hyperlink" xfId="35744" builtinId="9" hidden="1"/>
    <cellStyle name="Followed Hyperlink" xfId="35745" builtinId="9" hidden="1"/>
    <cellStyle name="Followed Hyperlink" xfId="35746" builtinId="9" hidden="1"/>
    <cellStyle name="Followed Hyperlink" xfId="35747" builtinId="9" hidden="1"/>
    <cellStyle name="Followed Hyperlink" xfId="35748" builtinId="9" hidden="1"/>
    <cellStyle name="Followed Hyperlink" xfId="35749" builtinId="9" hidden="1"/>
    <cellStyle name="Followed Hyperlink" xfId="35750" builtinId="9" hidden="1"/>
    <cellStyle name="Followed Hyperlink" xfId="35751" builtinId="9" hidden="1"/>
    <cellStyle name="Followed Hyperlink" xfId="35752" builtinId="9" hidden="1"/>
    <cellStyle name="Followed Hyperlink" xfId="35753" builtinId="9" hidden="1"/>
    <cellStyle name="Followed Hyperlink" xfId="35754" builtinId="9" hidden="1"/>
    <cellStyle name="Followed Hyperlink" xfId="35755" builtinId="9" hidden="1"/>
    <cellStyle name="Followed Hyperlink" xfId="35756" builtinId="9" hidden="1"/>
    <cellStyle name="Followed Hyperlink" xfId="35757" builtinId="9" hidden="1"/>
    <cellStyle name="Followed Hyperlink" xfId="35758" builtinId="9" hidden="1"/>
    <cellStyle name="Followed Hyperlink" xfId="35759" builtinId="9" hidden="1"/>
    <cellStyle name="Followed Hyperlink" xfId="35760" builtinId="9" hidden="1"/>
    <cellStyle name="Followed Hyperlink" xfId="35761" builtinId="9" hidden="1"/>
    <cellStyle name="Followed Hyperlink" xfId="35762" builtinId="9" hidden="1"/>
    <cellStyle name="Followed Hyperlink" xfId="35763" builtinId="9" hidden="1"/>
    <cellStyle name="Followed Hyperlink" xfId="35764" builtinId="9" hidden="1"/>
    <cellStyle name="Followed Hyperlink" xfId="35765" builtinId="9" hidden="1"/>
    <cellStyle name="Followed Hyperlink" xfId="35766" builtinId="9" hidden="1"/>
    <cellStyle name="Followed Hyperlink" xfId="35767" builtinId="9" hidden="1"/>
    <cellStyle name="Followed Hyperlink" xfId="35768" builtinId="9" hidden="1"/>
    <cellStyle name="Followed Hyperlink" xfId="35769" builtinId="9" hidden="1"/>
    <cellStyle name="Followed Hyperlink" xfId="35770" builtinId="9" hidden="1"/>
    <cellStyle name="Followed Hyperlink" xfId="35771" builtinId="9" hidden="1"/>
    <cellStyle name="Followed Hyperlink" xfId="35772" builtinId="9" hidden="1"/>
    <cellStyle name="Followed Hyperlink" xfId="35773" builtinId="9" hidden="1"/>
    <cellStyle name="Followed Hyperlink" xfId="35774" builtinId="9" hidden="1"/>
    <cellStyle name="Followed Hyperlink" xfId="35571" builtinId="9" hidden="1"/>
    <cellStyle name="Followed Hyperlink" xfId="35735" builtinId="9" hidden="1"/>
    <cellStyle name="Followed Hyperlink" xfId="35776" builtinId="9" hidden="1"/>
    <cellStyle name="Followed Hyperlink" xfId="35777" builtinId="9" hidden="1"/>
    <cellStyle name="Followed Hyperlink" xfId="35778" builtinId="9" hidden="1"/>
    <cellStyle name="Followed Hyperlink" xfId="35779" builtinId="9" hidden="1"/>
    <cellStyle name="Followed Hyperlink" xfId="35780" builtinId="9" hidden="1"/>
    <cellStyle name="Followed Hyperlink" xfId="35781" builtinId="9" hidden="1"/>
    <cellStyle name="Followed Hyperlink" xfId="35782" builtinId="9" hidden="1"/>
    <cellStyle name="Followed Hyperlink" xfId="35783" builtinId="9" hidden="1"/>
    <cellStyle name="Followed Hyperlink" xfId="35784" builtinId="9" hidden="1"/>
    <cellStyle name="Followed Hyperlink" xfId="35785" builtinId="9" hidden="1"/>
    <cellStyle name="Followed Hyperlink" xfId="35786" builtinId="9" hidden="1"/>
    <cellStyle name="Followed Hyperlink" xfId="35787" builtinId="9" hidden="1"/>
    <cellStyle name="Followed Hyperlink" xfId="35788" builtinId="9" hidden="1"/>
    <cellStyle name="Followed Hyperlink" xfId="35789" builtinId="9" hidden="1"/>
    <cellStyle name="Followed Hyperlink" xfId="35790" builtinId="9" hidden="1"/>
    <cellStyle name="Followed Hyperlink" xfId="35791" builtinId="9" hidden="1"/>
    <cellStyle name="Followed Hyperlink" xfId="35792" builtinId="9" hidden="1"/>
    <cellStyle name="Followed Hyperlink" xfId="35793" builtinId="9" hidden="1"/>
    <cellStyle name="Followed Hyperlink" xfId="35794" builtinId="9" hidden="1"/>
    <cellStyle name="Followed Hyperlink" xfId="35795" builtinId="9" hidden="1"/>
    <cellStyle name="Followed Hyperlink" xfId="35796" builtinId="9" hidden="1"/>
    <cellStyle name="Followed Hyperlink" xfId="35797" builtinId="9" hidden="1"/>
    <cellStyle name="Followed Hyperlink" xfId="35798" builtinId="9" hidden="1"/>
    <cellStyle name="Followed Hyperlink" xfId="35799" builtinId="9" hidden="1"/>
    <cellStyle name="Followed Hyperlink" xfId="35800" builtinId="9" hidden="1"/>
    <cellStyle name="Followed Hyperlink" xfId="35801" builtinId="9" hidden="1"/>
    <cellStyle name="Followed Hyperlink" xfId="35802" builtinId="9" hidden="1"/>
    <cellStyle name="Followed Hyperlink" xfId="35803" builtinId="9" hidden="1"/>
    <cellStyle name="Followed Hyperlink" xfId="35804" builtinId="9" hidden="1"/>
    <cellStyle name="Followed Hyperlink" xfId="35805" builtinId="9" hidden="1"/>
    <cellStyle name="Followed Hyperlink" xfId="35806" builtinId="9" hidden="1"/>
    <cellStyle name="Followed Hyperlink" xfId="35807" builtinId="9" hidden="1"/>
    <cellStyle name="Followed Hyperlink" xfId="35808" builtinId="9" hidden="1"/>
    <cellStyle name="Followed Hyperlink" xfId="35809" builtinId="9" hidden="1"/>
    <cellStyle name="Followed Hyperlink" xfId="35810" builtinId="9" hidden="1"/>
    <cellStyle name="Followed Hyperlink" xfId="35811" builtinId="9" hidden="1"/>
    <cellStyle name="Followed Hyperlink" xfId="35812" builtinId="9" hidden="1"/>
    <cellStyle name="Followed Hyperlink" xfId="35813" builtinId="9" hidden="1"/>
    <cellStyle name="Followed Hyperlink" xfId="35814" builtinId="9" hidden="1"/>
    <cellStyle name="Followed Hyperlink" xfId="35565" builtinId="9" hidden="1"/>
    <cellStyle name="Followed Hyperlink" xfId="35775" builtinId="9" hidden="1"/>
    <cellStyle name="Followed Hyperlink" xfId="35816" builtinId="9" hidden="1"/>
    <cellStyle name="Followed Hyperlink" xfId="35817" builtinId="9" hidden="1"/>
    <cellStyle name="Followed Hyperlink" xfId="35818" builtinId="9" hidden="1"/>
    <cellStyle name="Followed Hyperlink" xfId="35819" builtinId="9" hidden="1"/>
    <cellStyle name="Followed Hyperlink" xfId="35820" builtinId="9" hidden="1"/>
    <cellStyle name="Followed Hyperlink" xfId="35821" builtinId="9" hidden="1"/>
    <cellStyle name="Followed Hyperlink" xfId="35822" builtinId="9" hidden="1"/>
    <cellStyle name="Followed Hyperlink" xfId="35823" builtinId="9" hidden="1"/>
    <cellStyle name="Followed Hyperlink" xfId="35824" builtinId="9" hidden="1"/>
    <cellStyle name="Followed Hyperlink" xfId="35825" builtinId="9" hidden="1"/>
    <cellStyle name="Followed Hyperlink" xfId="35826" builtinId="9" hidden="1"/>
    <cellStyle name="Followed Hyperlink" xfId="35827" builtinId="9" hidden="1"/>
    <cellStyle name="Followed Hyperlink" xfId="35828" builtinId="9" hidden="1"/>
    <cellStyle name="Followed Hyperlink" xfId="35829" builtinId="9" hidden="1"/>
    <cellStyle name="Followed Hyperlink" xfId="35830" builtinId="9" hidden="1"/>
    <cellStyle name="Followed Hyperlink" xfId="35831" builtinId="9" hidden="1"/>
    <cellStyle name="Followed Hyperlink" xfId="35832" builtinId="9" hidden="1"/>
    <cellStyle name="Followed Hyperlink" xfId="35833" builtinId="9" hidden="1"/>
    <cellStyle name="Followed Hyperlink" xfId="35834" builtinId="9" hidden="1"/>
    <cellStyle name="Followed Hyperlink" xfId="35835" builtinId="9" hidden="1"/>
    <cellStyle name="Followed Hyperlink" xfId="35836" builtinId="9" hidden="1"/>
    <cellStyle name="Followed Hyperlink" xfId="35837" builtinId="9" hidden="1"/>
    <cellStyle name="Followed Hyperlink" xfId="35838" builtinId="9" hidden="1"/>
    <cellStyle name="Followed Hyperlink" xfId="35839" builtinId="9" hidden="1"/>
    <cellStyle name="Followed Hyperlink" xfId="35840" builtinId="9" hidden="1"/>
    <cellStyle name="Followed Hyperlink" xfId="35841" builtinId="9" hidden="1"/>
    <cellStyle name="Followed Hyperlink" xfId="35842" builtinId="9" hidden="1"/>
    <cellStyle name="Followed Hyperlink" xfId="35843" builtinId="9" hidden="1"/>
    <cellStyle name="Followed Hyperlink" xfId="35844" builtinId="9" hidden="1"/>
    <cellStyle name="Followed Hyperlink" xfId="35845" builtinId="9" hidden="1"/>
    <cellStyle name="Followed Hyperlink" xfId="35846" builtinId="9" hidden="1"/>
    <cellStyle name="Followed Hyperlink" xfId="35847" builtinId="9" hidden="1"/>
    <cellStyle name="Followed Hyperlink" xfId="35848" builtinId="9" hidden="1"/>
    <cellStyle name="Followed Hyperlink" xfId="35849" builtinId="9" hidden="1"/>
    <cellStyle name="Followed Hyperlink" xfId="35850" builtinId="9" hidden="1"/>
    <cellStyle name="Followed Hyperlink" xfId="35851" builtinId="9" hidden="1"/>
    <cellStyle name="Followed Hyperlink" xfId="35852" builtinId="9" hidden="1"/>
    <cellStyle name="Followed Hyperlink" xfId="35853" builtinId="9" hidden="1"/>
    <cellStyle name="Followed Hyperlink" xfId="35854" builtinId="9" hidden="1"/>
    <cellStyle name="Followed Hyperlink" xfId="35567" builtinId="9" hidden="1"/>
    <cellStyle name="Followed Hyperlink" xfId="35815" builtinId="9" hidden="1"/>
    <cellStyle name="Followed Hyperlink" xfId="35856" builtinId="9" hidden="1"/>
    <cellStyle name="Followed Hyperlink" xfId="35857" builtinId="9" hidden="1"/>
    <cellStyle name="Followed Hyperlink" xfId="35858" builtinId="9" hidden="1"/>
    <cellStyle name="Followed Hyperlink" xfId="35859" builtinId="9" hidden="1"/>
    <cellStyle name="Followed Hyperlink" xfId="35860" builtinId="9" hidden="1"/>
    <cellStyle name="Followed Hyperlink" xfId="35861" builtinId="9" hidden="1"/>
    <cellStyle name="Followed Hyperlink" xfId="35862" builtinId="9" hidden="1"/>
    <cellStyle name="Followed Hyperlink" xfId="35863" builtinId="9" hidden="1"/>
    <cellStyle name="Followed Hyperlink" xfId="35864" builtinId="9" hidden="1"/>
    <cellStyle name="Followed Hyperlink" xfId="35865" builtinId="9" hidden="1"/>
    <cellStyle name="Followed Hyperlink" xfId="35866" builtinId="9" hidden="1"/>
    <cellStyle name="Followed Hyperlink" xfId="35867" builtinId="9" hidden="1"/>
    <cellStyle name="Followed Hyperlink" xfId="35868" builtinId="9" hidden="1"/>
    <cellStyle name="Followed Hyperlink" xfId="35869" builtinId="9" hidden="1"/>
    <cellStyle name="Followed Hyperlink" xfId="35870" builtinId="9" hidden="1"/>
    <cellStyle name="Followed Hyperlink" xfId="35871" builtinId="9" hidden="1"/>
    <cellStyle name="Followed Hyperlink" xfId="35872" builtinId="9" hidden="1"/>
    <cellStyle name="Followed Hyperlink" xfId="35873" builtinId="9" hidden="1"/>
    <cellStyle name="Followed Hyperlink" xfId="35874" builtinId="9" hidden="1"/>
    <cellStyle name="Followed Hyperlink" xfId="35875" builtinId="9" hidden="1"/>
    <cellStyle name="Followed Hyperlink" xfId="35876" builtinId="9" hidden="1"/>
    <cellStyle name="Followed Hyperlink" xfId="35877" builtinId="9" hidden="1"/>
    <cellStyle name="Followed Hyperlink" xfId="35878" builtinId="9" hidden="1"/>
    <cellStyle name="Followed Hyperlink" xfId="35879" builtinId="9" hidden="1"/>
    <cellStyle name="Followed Hyperlink" xfId="35880" builtinId="9" hidden="1"/>
    <cellStyle name="Followed Hyperlink" xfId="35881" builtinId="9" hidden="1"/>
    <cellStyle name="Followed Hyperlink" xfId="35882" builtinId="9" hidden="1"/>
    <cellStyle name="Followed Hyperlink" xfId="35883" builtinId="9" hidden="1"/>
    <cellStyle name="Followed Hyperlink" xfId="35884" builtinId="9" hidden="1"/>
    <cellStyle name="Followed Hyperlink" xfId="35885" builtinId="9" hidden="1"/>
    <cellStyle name="Followed Hyperlink" xfId="35886" builtinId="9" hidden="1"/>
    <cellStyle name="Followed Hyperlink" xfId="35887" builtinId="9" hidden="1"/>
    <cellStyle name="Followed Hyperlink" xfId="35888" builtinId="9" hidden="1"/>
    <cellStyle name="Followed Hyperlink" xfId="35889" builtinId="9" hidden="1"/>
    <cellStyle name="Followed Hyperlink" xfId="35890" builtinId="9" hidden="1"/>
    <cellStyle name="Followed Hyperlink" xfId="35891" builtinId="9" hidden="1"/>
    <cellStyle name="Followed Hyperlink" xfId="35892" builtinId="9" hidden="1"/>
    <cellStyle name="Followed Hyperlink" xfId="35893" builtinId="9" hidden="1"/>
    <cellStyle name="Followed Hyperlink" xfId="35894" builtinId="9" hidden="1"/>
    <cellStyle name="Followed Hyperlink" xfId="35568" builtinId="9" hidden="1"/>
    <cellStyle name="Followed Hyperlink" xfId="35855" builtinId="9" hidden="1"/>
    <cellStyle name="Followed Hyperlink" xfId="35896" builtinId="9" hidden="1"/>
    <cellStyle name="Followed Hyperlink" xfId="35897" builtinId="9" hidden="1"/>
    <cellStyle name="Followed Hyperlink" xfId="35898" builtinId="9" hidden="1"/>
    <cellStyle name="Followed Hyperlink" xfId="35899" builtinId="9" hidden="1"/>
    <cellStyle name="Followed Hyperlink" xfId="35900" builtinId="9" hidden="1"/>
    <cellStyle name="Followed Hyperlink" xfId="35901" builtinId="9" hidden="1"/>
    <cellStyle name="Followed Hyperlink" xfId="35902" builtinId="9" hidden="1"/>
    <cellStyle name="Followed Hyperlink" xfId="35903" builtinId="9" hidden="1"/>
    <cellStyle name="Followed Hyperlink" xfId="35904" builtinId="9" hidden="1"/>
    <cellStyle name="Followed Hyperlink" xfId="35905" builtinId="9" hidden="1"/>
    <cellStyle name="Followed Hyperlink" xfId="35906" builtinId="9" hidden="1"/>
    <cellStyle name="Followed Hyperlink" xfId="35907" builtinId="9" hidden="1"/>
    <cellStyle name="Followed Hyperlink" xfId="35908" builtinId="9" hidden="1"/>
    <cellStyle name="Followed Hyperlink" xfId="35909" builtinId="9" hidden="1"/>
    <cellStyle name="Followed Hyperlink" xfId="35910" builtinId="9" hidden="1"/>
    <cellStyle name="Followed Hyperlink" xfId="35911" builtinId="9" hidden="1"/>
    <cellStyle name="Followed Hyperlink" xfId="35912" builtinId="9" hidden="1"/>
    <cellStyle name="Followed Hyperlink" xfId="35913" builtinId="9" hidden="1"/>
    <cellStyle name="Followed Hyperlink" xfId="35914" builtinId="9" hidden="1"/>
    <cellStyle name="Followed Hyperlink" xfId="35915" builtinId="9" hidden="1"/>
    <cellStyle name="Followed Hyperlink" xfId="35916" builtinId="9" hidden="1"/>
    <cellStyle name="Followed Hyperlink" xfId="35917" builtinId="9" hidden="1"/>
    <cellStyle name="Followed Hyperlink" xfId="35918" builtinId="9" hidden="1"/>
    <cellStyle name="Followed Hyperlink" xfId="35919" builtinId="9" hidden="1"/>
    <cellStyle name="Followed Hyperlink" xfId="35920" builtinId="9" hidden="1"/>
    <cellStyle name="Followed Hyperlink" xfId="35921" builtinId="9" hidden="1"/>
    <cellStyle name="Followed Hyperlink" xfId="35922" builtinId="9" hidden="1"/>
    <cellStyle name="Followed Hyperlink" xfId="35923" builtinId="9" hidden="1"/>
    <cellStyle name="Followed Hyperlink" xfId="35924" builtinId="9" hidden="1"/>
    <cellStyle name="Followed Hyperlink" xfId="35925" builtinId="9" hidden="1"/>
    <cellStyle name="Followed Hyperlink" xfId="35926" builtinId="9" hidden="1"/>
    <cellStyle name="Followed Hyperlink" xfId="35927" builtinId="9" hidden="1"/>
    <cellStyle name="Followed Hyperlink" xfId="35928" builtinId="9" hidden="1"/>
    <cellStyle name="Followed Hyperlink" xfId="35929" builtinId="9" hidden="1"/>
    <cellStyle name="Followed Hyperlink" xfId="35930" builtinId="9" hidden="1"/>
    <cellStyle name="Followed Hyperlink" xfId="35931" builtinId="9" hidden="1"/>
    <cellStyle name="Followed Hyperlink" xfId="35932" builtinId="9" hidden="1"/>
    <cellStyle name="Followed Hyperlink" xfId="35933" builtinId="9" hidden="1"/>
    <cellStyle name="Followed Hyperlink" xfId="35934" builtinId="9" hidden="1"/>
    <cellStyle name="Followed Hyperlink" xfId="35570" builtinId="9" hidden="1"/>
    <cellStyle name="Followed Hyperlink" xfId="35895" builtinId="9" hidden="1"/>
    <cellStyle name="Followed Hyperlink" xfId="35936" builtinId="9" hidden="1"/>
    <cellStyle name="Followed Hyperlink" xfId="35937" builtinId="9" hidden="1"/>
    <cellStyle name="Followed Hyperlink" xfId="35938" builtinId="9" hidden="1"/>
    <cellStyle name="Followed Hyperlink" xfId="35939" builtinId="9" hidden="1"/>
    <cellStyle name="Followed Hyperlink" xfId="35940" builtinId="9" hidden="1"/>
    <cellStyle name="Followed Hyperlink" xfId="35941" builtinId="9" hidden="1"/>
    <cellStyle name="Followed Hyperlink" xfId="35942" builtinId="9" hidden="1"/>
    <cellStyle name="Followed Hyperlink" xfId="35943" builtinId="9" hidden="1"/>
    <cellStyle name="Followed Hyperlink" xfId="35944" builtinId="9" hidden="1"/>
    <cellStyle name="Followed Hyperlink" xfId="35945" builtinId="9" hidden="1"/>
    <cellStyle name="Followed Hyperlink" xfId="35946" builtinId="9" hidden="1"/>
    <cellStyle name="Followed Hyperlink" xfId="35947" builtinId="9" hidden="1"/>
    <cellStyle name="Followed Hyperlink" xfId="35948" builtinId="9" hidden="1"/>
    <cellStyle name="Followed Hyperlink" xfId="35949" builtinId="9" hidden="1"/>
    <cellStyle name="Followed Hyperlink" xfId="35950" builtinId="9" hidden="1"/>
    <cellStyle name="Followed Hyperlink" xfId="35951" builtinId="9" hidden="1"/>
    <cellStyle name="Followed Hyperlink" xfId="35952" builtinId="9" hidden="1"/>
    <cellStyle name="Followed Hyperlink" xfId="35953" builtinId="9" hidden="1"/>
    <cellStyle name="Followed Hyperlink" xfId="35954" builtinId="9" hidden="1"/>
    <cellStyle name="Followed Hyperlink" xfId="35955" builtinId="9" hidden="1"/>
    <cellStyle name="Followed Hyperlink" xfId="35956" builtinId="9" hidden="1"/>
    <cellStyle name="Followed Hyperlink" xfId="35957" builtinId="9" hidden="1"/>
    <cellStyle name="Followed Hyperlink" xfId="35958" builtinId="9" hidden="1"/>
    <cellStyle name="Followed Hyperlink" xfId="35959" builtinId="9" hidden="1"/>
    <cellStyle name="Followed Hyperlink" xfId="35960" builtinId="9" hidden="1"/>
    <cellStyle name="Followed Hyperlink" xfId="35961" builtinId="9" hidden="1"/>
    <cellStyle name="Followed Hyperlink" xfId="35962" builtinId="9" hidden="1"/>
    <cellStyle name="Followed Hyperlink" xfId="35963" builtinId="9" hidden="1"/>
    <cellStyle name="Followed Hyperlink" xfId="35964" builtinId="9" hidden="1"/>
    <cellStyle name="Followed Hyperlink" xfId="35965" builtinId="9" hidden="1"/>
    <cellStyle name="Followed Hyperlink" xfId="35966" builtinId="9" hidden="1"/>
    <cellStyle name="Followed Hyperlink" xfId="35967" builtinId="9" hidden="1"/>
    <cellStyle name="Followed Hyperlink" xfId="35968" builtinId="9" hidden="1"/>
    <cellStyle name="Followed Hyperlink" xfId="35969" builtinId="9" hidden="1"/>
    <cellStyle name="Followed Hyperlink" xfId="35970" builtinId="9" hidden="1"/>
    <cellStyle name="Followed Hyperlink" xfId="35971" builtinId="9" hidden="1"/>
    <cellStyle name="Followed Hyperlink" xfId="35972" builtinId="9" hidden="1"/>
    <cellStyle name="Followed Hyperlink" xfId="35973" builtinId="9" hidden="1"/>
    <cellStyle name="Followed Hyperlink" xfId="35974" builtinId="9" hidden="1"/>
    <cellStyle name="Followed Hyperlink" xfId="35566" builtinId="9" hidden="1"/>
    <cellStyle name="Followed Hyperlink" xfId="35935" builtinId="9" hidden="1"/>
    <cellStyle name="Followed Hyperlink" xfId="35975" builtinId="9" hidden="1"/>
    <cellStyle name="Followed Hyperlink" xfId="35976" builtinId="9" hidden="1"/>
    <cellStyle name="Followed Hyperlink" xfId="35977" builtinId="9" hidden="1"/>
    <cellStyle name="Followed Hyperlink" xfId="35978" builtinId="9" hidden="1"/>
    <cellStyle name="Followed Hyperlink" xfId="35979" builtinId="9" hidden="1"/>
    <cellStyle name="Followed Hyperlink" xfId="35980" builtinId="9" hidden="1"/>
    <cellStyle name="Followed Hyperlink" xfId="35981" builtinId="9" hidden="1"/>
    <cellStyle name="Followed Hyperlink" xfId="35982" builtinId="9" hidden="1"/>
    <cellStyle name="Followed Hyperlink" xfId="35983" builtinId="9" hidden="1"/>
    <cellStyle name="Followed Hyperlink" xfId="35984" builtinId="9" hidden="1"/>
    <cellStyle name="Followed Hyperlink" xfId="35985" builtinId="9" hidden="1"/>
    <cellStyle name="Followed Hyperlink" xfId="35986" builtinId="9" hidden="1"/>
    <cellStyle name="Followed Hyperlink" xfId="35987" builtinId="9" hidden="1"/>
    <cellStyle name="Followed Hyperlink" xfId="35988" builtinId="9" hidden="1"/>
    <cellStyle name="Followed Hyperlink" xfId="35989" builtinId="9" hidden="1"/>
    <cellStyle name="Followed Hyperlink" xfId="35990" builtinId="9" hidden="1"/>
    <cellStyle name="Followed Hyperlink" xfId="35991" builtinId="9" hidden="1"/>
    <cellStyle name="Followed Hyperlink" xfId="35992" builtinId="9" hidden="1"/>
    <cellStyle name="Followed Hyperlink" xfId="35993" builtinId="9" hidden="1"/>
    <cellStyle name="Followed Hyperlink" xfId="35994" builtinId="9" hidden="1"/>
    <cellStyle name="Followed Hyperlink" xfId="35995" builtinId="9" hidden="1"/>
    <cellStyle name="Followed Hyperlink" xfId="35996" builtinId="9" hidden="1"/>
    <cellStyle name="Followed Hyperlink" xfId="35997" builtinId="9" hidden="1"/>
    <cellStyle name="Followed Hyperlink" xfId="35998" builtinId="9" hidden="1"/>
    <cellStyle name="Followed Hyperlink" xfId="35999" builtinId="9" hidden="1"/>
    <cellStyle name="Followed Hyperlink" xfId="36000" builtinId="9" hidden="1"/>
    <cellStyle name="Followed Hyperlink" xfId="36001" builtinId="9" hidden="1"/>
    <cellStyle name="Followed Hyperlink" xfId="36002" builtinId="9" hidden="1"/>
    <cellStyle name="Followed Hyperlink" xfId="36003" builtinId="9" hidden="1"/>
    <cellStyle name="Followed Hyperlink" xfId="36004" builtinId="9" hidden="1"/>
    <cellStyle name="Followed Hyperlink" xfId="36005" builtinId="9" hidden="1"/>
    <cellStyle name="Followed Hyperlink" xfId="36006" builtinId="9" hidden="1"/>
    <cellStyle name="Followed Hyperlink" xfId="36007" builtinId="9" hidden="1"/>
    <cellStyle name="Followed Hyperlink" xfId="36008" builtinId="9" hidden="1"/>
    <cellStyle name="Followed Hyperlink" xfId="36009" builtinId="9" hidden="1"/>
    <cellStyle name="Followed Hyperlink" xfId="36010" builtinId="9" hidden="1"/>
    <cellStyle name="Followed Hyperlink" xfId="36011" builtinId="9" hidden="1"/>
    <cellStyle name="Followed Hyperlink" xfId="36012" builtinId="9" hidden="1"/>
    <cellStyle name="Followed Hyperlink" xfId="36013" builtinId="9" hidden="1"/>
    <cellStyle name="Followed Hyperlink" xfId="33063" builtinId="9" hidden="1"/>
    <cellStyle name="Followed Hyperlink" xfId="33059" builtinId="9" hidden="1"/>
    <cellStyle name="Followed Hyperlink" xfId="36014" builtinId="9" hidden="1"/>
    <cellStyle name="Followed Hyperlink" xfId="36015" builtinId="9" hidden="1"/>
    <cellStyle name="Followed Hyperlink" xfId="36016" builtinId="9" hidden="1"/>
    <cellStyle name="Followed Hyperlink" xfId="36017" builtinId="9" hidden="1"/>
    <cellStyle name="Followed Hyperlink" xfId="36018" builtinId="9" hidden="1"/>
    <cellStyle name="Followed Hyperlink" xfId="36019" builtinId="9" hidden="1"/>
    <cellStyle name="Followed Hyperlink" xfId="36020" builtinId="9" hidden="1"/>
    <cellStyle name="Followed Hyperlink" xfId="36021" builtinId="9" hidden="1"/>
    <cellStyle name="Followed Hyperlink" xfId="36022" builtinId="9" hidden="1"/>
    <cellStyle name="Followed Hyperlink" xfId="36023" builtinId="9" hidden="1"/>
    <cellStyle name="Followed Hyperlink" xfId="36024" builtinId="9" hidden="1"/>
    <cellStyle name="Followed Hyperlink" xfId="36025" builtinId="9" hidden="1"/>
    <cellStyle name="Followed Hyperlink" xfId="36026" builtinId="9" hidden="1"/>
    <cellStyle name="Followed Hyperlink" xfId="36027" builtinId="9" hidden="1"/>
    <cellStyle name="Followed Hyperlink" xfId="36028" builtinId="9" hidden="1"/>
    <cellStyle name="Followed Hyperlink" xfId="36029" builtinId="9" hidden="1"/>
    <cellStyle name="Followed Hyperlink" xfId="36030" builtinId="9" hidden="1"/>
    <cellStyle name="Followed Hyperlink" xfId="36031" builtinId="9" hidden="1"/>
    <cellStyle name="Followed Hyperlink" xfId="36032" builtinId="9" hidden="1"/>
    <cellStyle name="Followed Hyperlink" xfId="36033" builtinId="9" hidden="1"/>
    <cellStyle name="Followed Hyperlink" xfId="36034" builtinId="9" hidden="1"/>
    <cellStyle name="Followed Hyperlink" xfId="36035" builtinId="9" hidden="1"/>
    <cellStyle name="Followed Hyperlink" xfId="36036" builtinId="9" hidden="1"/>
    <cellStyle name="Followed Hyperlink" xfId="36037" builtinId="9" hidden="1"/>
    <cellStyle name="Followed Hyperlink" xfId="36038" builtinId="9" hidden="1"/>
    <cellStyle name="Followed Hyperlink" xfId="36039" builtinId="9" hidden="1"/>
    <cellStyle name="Followed Hyperlink" xfId="36040" builtinId="9" hidden="1"/>
    <cellStyle name="Followed Hyperlink" xfId="36041" builtinId="9" hidden="1"/>
    <cellStyle name="Followed Hyperlink" xfId="36042" builtinId="9" hidden="1"/>
    <cellStyle name="Followed Hyperlink" xfId="36043" builtinId="9" hidden="1"/>
    <cellStyle name="Followed Hyperlink" xfId="36044" builtinId="9" hidden="1"/>
    <cellStyle name="Followed Hyperlink" xfId="36045" builtinId="9" hidden="1"/>
    <cellStyle name="Followed Hyperlink" xfId="36046" builtinId="9" hidden="1"/>
    <cellStyle name="Followed Hyperlink" xfId="36047" builtinId="9" hidden="1"/>
    <cellStyle name="Followed Hyperlink" xfId="36048" builtinId="9" hidden="1"/>
    <cellStyle name="Followed Hyperlink" xfId="36049" builtinId="9" hidden="1"/>
    <cellStyle name="Followed Hyperlink" xfId="36050" builtinId="9" hidden="1"/>
    <cellStyle name="Followed Hyperlink" xfId="36051" builtinId="9" hidden="1"/>
    <cellStyle name="Followed Hyperlink" xfId="36052" builtinId="9" hidden="1"/>
    <cellStyle name="Followed Hyperlink" xfId="36061" builtinId="9" hidden="1"/>
    <cellStyle name="Followed Hyperlink" xfId="36062" builtinId="9" hidden="1"/>
    <cellStyle name="Followed Hyperlink" xfId="36063" builtinId="9" hidden="1"/>
    <cellStyle name="Followed Hyperlink" xfId="36064" builtinId="9" hidden="1"/>
    <cellStyle name="Followed Hyperlink" xfId="36065" builtinId="9" hidden="1"/>
    <cellStyle name="Followed Hyperlink" xfId="36066" builtinId="9" hidden="1"/>
    <cellStyle name="Followed Hyperlink" xfId="36067" builtinId="9" hidden="1"/>
    <cellStyle name="Followed Hyperlink" xfId="36068" builtinId="9" hidden="1"/>
    <cellStyle name="Followed Hyperlink" xfId="36069" builtinId="9" hidden="1"/>
    <cellStyle name="Followed Hyperlink" xfId="36070" builtinId="9" hidden="1"/>
    <cellStyle name="Followed Hyperlink" xfId="36071" builtinId="9" hidden="1"/>
    <cellStyle name="Followed Hyperlink" xfId="36072" builtinId="9" hidden="1"/>
    <cellStyle name="Followed Hyperlink" xfId="36073" builtinId="9" hidden="1"/>
    <cellStyle name="Followed Hyperlink" xfId="36074" builtinId="9" hidden="1"/>
    <cellStyle name="Followed Hyperlink" xfId="36075" builtinId="9" hidden="1"/>
    <cellStyle name="Followed Hyperlink" xfId="36076" builtinId="9" hidden="1"/>
    <cellStyle name="Followed Hyperlink" xfId="36077" builtinId="9" hidden="1"/>
    <cellStyle name="Followed Hyperlink" xfId="36078" builtinId="9" hidden="1"/>
    <cellStyle name="Followed Hyperlink" xfId="36079" builtinId="9" hidden="1"/>
    <cellStyle name="Followed Hyperlink" xfId="36080" builtinId="9" hidden="1"/>
    <cellStyle name="Followed Hyperlink" xfId="36081" builtinId="9" hidden="1"/>
    <cellStyle name="Followed Hyperlink" xfId="36082" builtinId="9" hidden="1"/>
    <cellStyle name="Followed Hyperlink" xfId="36083" builtinId="9" hidden="1"/>
    <cellStyle name="Followed Hyperlink" xfId="36084" builtinId="9" hidden="1"/>
    <cellStyle name="Followed Hyperlink" xfId="36085" builtinId="9" hidden="1"/>
    <cellStyle name="Followed Hyperlink" xfId="36086" builtinId="9" hidden="1"/>
    <cellStyle name="Followed Hyperlink" xfId="36087" builtinId="9" hidden="1"/>
    <cellStyle name="Followed Hyperlink" xfId="36088" builtinId="9" hidden="1"/>
    <cellStyle name="Followed Hyperlink" xfId="36089" builtinId="9" hidden="1"/>
    <cellStyle name="Followed Hyperlink" xfId="36090" builtinId="9" hidden="1"/>
    <cellStyle name="Followed Hyperlink" xfId="36091" builtinId="9" hidden="1"/>
    <cellStyle name="Followed Hyperlink" xfId="36092" builtinId="9" hidden="1"/>
    <cellStyle name="Followed Hyperlink" xfId="36093" builtinId="9" hidden="1"/>
    <cellStyle name="Followed Hyperlink" xfId="36094" builtinId="9" hidden="1"/>
    <cellStyle name="Followed Hyperlink" xfId="36095" builtinId="9" hidden="1"/>
    <cellStyle name="Followed Hyperlink" xfId="36096" builtinId="9" hidden="1"/>
    <cellStyle name="Followed Hyperlink" xfId="36097" builtinId="9" hidden="1"/>
    <cellStyle name="Followed Hyperlink" xfId="36098" builtinId="9" hidden="1"/>
    <cellStyle name="Followed Hyperlink" xfId="36099" builtinId="9" hidden="1"/>
    <cellStyle name="Followed Hyperlink" xfId="36100" builtinId="9" hidden="1"/>
    <cellStyle name="Followed Hyperlink" xfId="36101" builtinId="9" hidden="1"/>
    <cellStyle name="Followed Hyperlink" xfId="36102" builtinId="9" hidden="1"/>
    <cellStyle name="Followed Hyperlink" xfId="36103" builtinId="9" hidden="1"/>
    <cellStyle name="Followed Hyperlink" xfId="36104" builtinId="9" hidden="1"/>
    <cellStyle name="Followed Hyperlink" xfId="36105" builtinId="9" hidden="1"/>
    <cellStyle name="Followed Hyperlink" xfId="36106" builtinId="9" hidden="1"/>
    <cellStyle name="Followed Hyperlink" xfId="36107" builtinId="9" hidden="1"/>
    <cellStyle name="Followed Hyperlink" xfId="36108" builtinId="9" hidden="1"/>
    <cellStyle name="Followed Hyperlink" xfId="36109" builtinId="9" hidden="1"/>
    <cellStyle name="Followed Hyperlink" xfId="36110" builtinId="9" hidden="1"/>
    <cellStyle name="Followed Hyperlink" xfId="36111" builtinId="9" hidden="1"/>
    <cellStyle name="Followed Hyperlink" xfId="36112" builtinId="9" hidden="1"/>
    <cellStyle name="Followed Hyperlink" xfId="36113" builtinId="9" hidden="1"/>
    <cellStyle name="Followed Hyperlink" xfId="36114" builtinId="9" hidden="1"/>
    <cellStyle name="Followed Hyperlink" xfId="36115" builtinId="9" hidden="1"/>
    <cellStyle name="Followed Hyperlink" xfId="36116" builtinId="9" hidden="1"/>
    <cellStyle name="Followed Hyperlink" xfId="36117" builtinId="9" hidden="1"/>
    <cellStyle name="Followed Hyperlink" xfId="36118" builtinId="9" hidden="1"/>
    <cellStyle name="Followed Hyperlink" xfId="36119" builtinId="9" hidden="1"/>
    <cellStyle name="Followed Hyperlink" xfId="36120" builtinId="9" hidden="1"/>
    <cellStyle name="Followed Hyperlink" xfId="36121" builtinId="9" hidden="1"/>
    <cellStyle name="Followed Hyperlink" xfId="36122" builtinId="9" hidden="1"/>
    <cellStyle name="Followed Hyperlink" xfId="36123" builtinId="9" hidden="1"/>
    <cellStyle name="Followed Hyperlink" xfId="36124" builtinId="9" hidden="1"/>
    <cellStyle name="Followed Hyperlink" xfId="36125" builtinId="9" hidden="1"/>
    <cellStyle name="Followed Hyperlink" xfId="36126" builtinId="9" hidden="1"/>
    <cellStyle name="Followed Hyperlink" xfId="36127" builtinId="9" hidden="1"/>
    <cellStyle name="Followed Hyperlink" xfId="36128" builtinId="9" hidden="1"/>
    <cellStyle name="Followed Hyperlink" xfId="36129" builtinId="9" hidden="1"/>
    <cellStyle name="Followed Hyperlink" xfId="36130" builtinId="9" hidden="1"/>
    <cellStyle name="Followed Hyperlink" xfId="36131" builtinId="9" hidden="1"/>
    <cellStyle name="Followed Hyperlink" xfId="36132" builtinId="9" hidden="1"/>
    <cellStyle name="Followed Hyperlink" xfId="36133" builtinId="9" hidden="1"/>
    <cellStyle name="Followed Hyperlink" xfId="36134" builtinId="9" hidden="1"/>
    <cellStyle name="Followed Hyperlink" xfId="36135" builtinId="9" hidden="1"/>
    <cellStyle name="Followed Hyperlink" xfId="36136" builtinId="9" hidden="1"/>
    <cellStyle name="Followed Hyperlink" xfId="36137" builtinId="9" hidden="1"/>
    <cellStyle name="Followed Hyperlink" xfId="36138" builtinId="9" hidden="1"/>
    <cellStyle name="Followed Hyperlink" xfId="36139" builtinId="9" hidden="1"/>
    <cellStyle name="Followed Hyperlink" xfId="36140" builtinId="9" hidden="1"/>
    <cellStyle name="Followed Hyperlink" xfId="36141" builtinId="9" hidden="1"/>
    <cellStyle name="Followed Hyperlink" xfId="36142" builtinId="9" hidden="1"/>
    <cellStyle name="Followed Hyperlink" xfId="36143" builtinId="9" hidden="1"/>
    <cellStyle name="Followed Hyperlink" xfId="36144" builtinId="9" hidden="1"/>
    <cellStyle name="Followed Hyperlink" xfId="36145" builtinId="9" hidden="1"/>
    <cellStyle name="Followed Hyperlink" xfId="36146" builtinId="9" hidden="1"/>
    <cellStyle name="Followed Hyperlink" xfId="36147" builtinId="9" hidden="1"/>
    <cellStyle name="Followed Hyperlink" xfId="36148" builtinId="9" hidden="1"/>
    <cellStyle name="Followed Hyperlink" xfId="36149" builtinId="9" hidden="1"/>
    <cellStyle name="Followed Hyperlink" xfId="36150" builtinId="9" hidden="1"/>
    <cellStyle name="Followed Hyperlink" xfId="36151" builtinId="9" hidden="1"/>
    <cellStyle name="Followed Hyperlink" xfId="36152" builtinId="9" hidden="1"/>
    <cellStyle name="Followed Hyperlink" xfId="36153" builtinId="9" hidden="1"/>
    <cellStyle name="Followed Hyperlink" xfId="36154" builtinId="9" hidden="1"/>
    <cellStyle name="Followed Hyperlink" xfId="36155" builtinId="9" hidden="1"/>
    <cellStyle name="Followed Hyperlink" xfId="36156" builtinId="9" hidden="1"/>
    <cellStyle name="Followed Hyperlink" xfId="36157" builtinId="9" hidden="1"/>
    <cellStyle name="Followed Hyperlink" xfId="36158" builtinId="9" hidden="1"/>
    <cellStyle name="Followed Hyperlink" xfId="36159" builtinId="9" hidden="1"/>
    <cellStyle name="Followed Hyperlink" xfId="36160" builtinId="9" hidden="1"/>
    <cellStyle name="Followed Hyperlink" xfId="36161" builtinId="9" hidden="1"/>
    <cellStyle name="Followed Hyperlink" xfId="36162" builtinId="9" hidden="1"/>
    <cellStyle name="Followed Hyperlink" xfId="36163" builtinId="9" hidden="1"/>
    <cellStyle name="Followed Hyperlink" xfId="36164" builtinId="9" hidden="1"/>
    <cellStyle name="Followed Hyperlink" xfId="36165" builtinId="9" hidden="1"/>
    <cellStyle name="Followed Hyperlink" xfId="36166" builtinId="9" hidden="1"/>
    <cellStyle name="Followed Hyperlink" xfId="36167" builtinId="9" hidden="1"/>
    <cellStyle name="Followed Hyperlink" xfId="36168" builtinId="9" hidden="1"/>
    <cellStyle name="Followed Hyperlink" xfId="36169" builtinId="9" hidden="1"/>
    <cellStyle name="Followed Hyperlink" xfId="36170" builtinId="9" hidden="1"/>
    <cellStyle name="Followed Hyperlink" xfId="36171" builtinId="9" hidden="1"/>
    <cellStyle name="Followed Hyperlink" xfId="36172" builtinId="9" hidden="1"/>
    <cellStyle name="Followed Hyperlink" xfId="36173" builtinId="9" hidden="1"/>
    <cellStyle name="Followed Hyperlink" xfId="36174" builtinId="9" hidden="1"/>
    <cellStyle name="Followed Hyperlink" xfId="36175" builtinId="9" hidden="1"/>
    <cellStyle name="Followed Hyperlink" xfId="36176" builtinId="9" hidden="1"/>
    <cellStyle name="Followed Hyperlink" xfId="36177" builtinId="9" hidden="1"/>
    <cellStyle name="Followed Hyperlink" xfId="36178" builtinId="9" hidden="1"/>
    <cellStyle name="Followed Hyperlink" xfId="36179" builtinId="9" hidden="1"/>
    <cellStyle name="Followed Hyperlink" xfId="36180" builtinId="9" hidden="1"/>
    <cellStyle name="Followed Hyperlink" xfId="36181" builtinId="9" hidden="1"/>
    <cellStyle name="Followed Hyperlink" xfId="36182" builtinId="9" hidden="1"/>
    <cellStyle name="Followed Hyperlink" xfId="36183" builtinId="9" hidden="1"/>
    <cellStyle name="Followed Hyperlink" xfId="36053" builtinId="9" hidden="1"/>
    <cellStyle name="Followed Hyperlink" xfId="33058" builtinId="9" hidden="1"/>
    <cellStyle name="Followed Hyperlink" xfId="36185" builtinId="9" hidden="1"/>
    <cellStyle name="Followed Hyperlink" xfId="36186" builtinId="9" hidden="1"/>
    <cellStyle name="Followed Hyperlink" xfId="36187" builtinId="9" hidden="1"/>
    <cellStyle name="Followed Hyperlink" xfId="36188" builtinId="9" hidden="1"/>
    <cellStyle name="Followed Hyperlink" xfId="36189" builtinId="9" hidden="1"/>
    <cellStyle name="Followed Hyperlink" xfId="36190" builtinId="9" hidden="1"/>
    <cellStyle name="Followed Hyperlink" xfId="36191" builtinId="9" hidden="1"/>
    <cellStyle name="Followed Hyperlink" xfId="36192" builtinId="9" hidden="1"/>
    <cellStyle name="Followed Hyperlink" xfId="36193" builtinId="9" hidden="1"/>
    <cellStyle name="Followed Hyperlink" xfId="36194" builtinId="9" hidden="1"/>
    <cellStyle name="Followed Hyperlink" xfId="36195" builtinId="9" hidden="1"/>
    <cellStyle name="Followed Hyperlink" xfId="36196" builtinId="9" hidden="1"/>
    <cellStyle name="Followed Hyperlink" xfId="36197" builtinId="9" hidden="1"/>
    <cellStyle name="Followed Hyperlink" xfId="36198" builtinId="9" hidden="1"/>
    <cellStyle name="Followed Hyperlink" xfId="36199" builtinId="9" hidden="1"/>
    <cellStyle name="Followed Hyperlink" xfId="36200" builtinId="9" hidden="1"/>
    <cellStyle name="Followed Hyperlink" xfId="36201" builtinId="9" hidden="1"/>
    <cellStyle name="Followed Hyperlink" xfId="36202" builtinId="9" hidden="1"/>
    <cellStyle name="Followed Hyperlink" xfId="36203" builtinId="9" hidden="1"/>
    <cellStyle name="Followed Hyperlink" xfId="36204" builtinId="9" hidden="1"/>
    <cellStyle name="Followed Hyperlink" xfId="36205" builtinId="9" hidden="1"/>
    <cellStyle name="Followed Hyperlink" xfId="36206" builtinId="9" hidden="1"/>
    <cellStyle name="Followed Hyperlink" xfId="36207" builtinId="9" hidden="1"/>
    <cellStyle name="Followed Hyperlink" xfId="36208" builtinId="9" hidden="1"/>
    <cellStyle name="Followed Hyperlink" xfId="36209" builtinId="9" hidden="1"/>
    <cellStyle name="Followed Hyperlink" xfId="36210" builtinId="9" hidden="1"/>
    <cellStyle name="Followed Hyperlink" xfId="36211" builtinId="9" hidden="1"/>
    <cellStyle name="Followed Hyperlink" xfId="36212" builtinId="9" hidden="1"/>
    <cellStyle name="Followed Hyperlink" xfId="36213" builtinId="9" hidden="1"/>
    <cellStyle name="Followed Hyperlink" xfId="36214" builtinId="9" hidden="1"/>
    <cellStyle name="Followed Hyperlink" xfId="36215" builtinId="9" hidden="1"/>
    <cellStyle name="Followed Hyperlink" xfId="36216" builtinId="9" hidden="1"/>
    <cellStyle name="Followed Hyperlink" xfId="36217" builtinId="9" hidden="1"/>
    <cellStyle name="Followed Hyperlink" xfId="36218" builtinId="9" hidden="1"/>
    <cellStyle name="Followed Hyperlink" xfId="36219" builtinId="9" hidden="1"/>
    <cellStyle name="Followed Hyperlink" xfId="36220" builtinId="9" hidden="1"/>
    <cellStyle name="Followed Hyperlink" xfId="36221" builtinId="9" hidden="1"/>
    <cellStyle name="Followed Hyperlink" xfId="36222" builtinId="9" hidden="1"/>
    <cellStyle name="Followed Hyperlink" xfId="36223" builtinId="9" hidden="1"/>
    <cellStyle name="Followed Hyperlink" xfId="36058" builtinId="9" hidden="1"/>
    <cellStyle name="Followed Hyperlink" xfId="36184" builtinId="9" hidden="1"/>
    <cellStyle name="Followed Hyperlink" xfId="36225" builtinId="9" hidden="1"/>
    <cellStyle name="Followed Hyperlink" xfId="36226" builtinId="9" hidden="1"/>
    <cellStyle name="Followed Hyperlink" xfId="36227" builtinId="9" hidden="1"/>
    <cellStyle name="Followed Hyperlink" xfId="36228" builtinId="9" hidden="1"/>
    <cellStyle name="Followed Hyperlink" xfId="36229" builtinId="9" hidden="1"/>
    <cellStyle name="Followed Hyperlink" xfId="36230" builtinId="9" hidden="1"/>
    <cellStyle name="Followed Hyperlink" xfId="36231" builtinId="9" hidden="1"/>
    <cellStyle name="Followed Hyperlink" xfId="36232" builtinId="9" hidden="1"/>
    <cellStyle name="Followed Hyperlink" xfId="36233" builtinId="9" hidden="1"/>
    <cellStyle name="Followed Hyperlink" xfId="36234" builtinId="9" hidden="1"/>
    <cellStyle name="Followed Hyperlink" xfId="36235" builtinId="9" hidden="1"/>
    <cellStyle name="Followed Hyperlink" xfId="36236" builtinId="9" hidden="1"/>
    <cellStyle name="Followed Hyperlink" xfId="36237" builtinId="9" hidden="1"/>
    <cellStyle name="Followed Hyperlink" xfId="36238" builtinId="9" hidden="1"/>
    <cellStyle name="Followed Hyperlink" xfId="36239" builtinId="9" hidden="1"/>
    <cellStyle name="Followed Hyperlink" xfId="36240" builtinId="9" hidden="1"/>
    <cellStyle name="Followed Hyperlink" xfId="36241" builtinId="9" hidden="1"/>
    <cellStyle name="Followed Hyperlink" xfId="36242" builtinId="9" hidden="1"/>
    <cellStyle name="Followed Hyperlink" xfId="36243" builtinId="9" hidden="1"/>
    <cellStyle name="Followed Hyperlink" xfId="36244" builtinId="9" hidden="1"/>
    <cellStyle name="Followed Hyperlink" xfId="36245" builtinId="9" hidden="1"/>
    <cellStyle name="Followed Hyperlink" xfId="36246" builtinId="9" hidden="1"/>
    <cellStyle name="Followed Hyperlink" xfId="36247" builtinId="9" hidden="1"/>
    <cellStyle name="Followed Hyperlink" xfId="36248" builtinId="9" hidden="1"/>
    <cellStyle name="Followed Hyperlink" xfId="36249" builtinId="9" hidden="1"/>
    <cellStyle name="Followed Hyperlink" xfId="36250" builtinId="9" hidden="1"/>
    <cellStyle name="Followed Hyperlink" xfId="36251" builtinId="9" hidden="1"/>
    <cellStyle name="Followed Hyperlink" xfId="36252" builtinId="9" hidden="1"/>
    <cellStyle name="Followed Hyperlink" xfId="36253" builtinId="9" hidden="1"/>
    <cellStyle name="Followed Hyperlink" xfId="36254" builtinId="9" hidden="1"/>
    <cellStyle name="Followed Hyperlink" xfId="36255" builtinId="9" hidden="1"/>
    <cellStyle name="Followed Hyperlink" xfId="36256" builtinId="9" hidden="1"/>
    <cellStyle name="Followed Hyperlink" xfId="36257" builtinId="9" hidden="1"/>
    <cellStyle name="Followed Hyperlink" xfId="36258" builtinId="9" hidden="1"/>
    <cellStyle name="Followed Hyperlink" xfId="36259" builtinId="9" hidden="1"/>
    <cellStyle name="Followed Hyperlink" xfId="36260" builtinId="9" hidden="1"/>
    <cellStyle name="Followed Hyperlink" xfId="36261" builtinId="9" hidden="1"/>
    <cellStyle name="Followed Hyperlink" xfId="36262" builtinId="9" hidden="1"/>
    <cellStyle name="Followed Hyperlink" xfId="36263" builtinId="9" hidden="1"/>
    <cellStyle name="Followed Hyperlink" xfId="36060" builtinId="9" hidden="1"/>
    <cellStyle name="Followed Hyperlink" xfId="36224" builtinId="9" hidden="1"/>
    <cellStyle name="Followed Hyperlink" xfId="36265" builtinId="9" hidden="1"/>
    <cellStyle name="Followed Hyperlink" xfId="36266" builtinId="9" hidden="1"/>
    <cellStyle name="Followed Hyperlink" xfId="36267" builtinId="9" hidden="1"/>
    <cellStyle name="Followed Hyperlink" xfId="36268" builtinId="9" hidden="1"/>
    <cellStyle name="Followed Hyperlink" xfId="36269" builtinId="9" hidden="1"/>
    <cellStyle name="Followed Hyperlink" xfId="36270" builtinId="9" hidden="1"/>
    <cellStyle name="Followed Hyperlink" xfId="36271" builtinId="9" hidden="1"/>
    <cellStyle name="Followed Hyperlink" xfId="36272" builtinId="9" hidden="1"/>
    <cellStyle name="Followed Hyperlink" xfId="36273" builtinId="9" hidden="1"/>
    <cellStyle name="Followed Hyperlink" xfId="36274" builtinId="9" hidden="1"/>
    <cellStyle name="Followed Hyperlink" xfId="36275" builtinId="9" hidden="1"/>
    <cellStyle name="Followed Hyperlink" xfId="36276" builtinId="9" hidden="1"/>
    <cellStyle name="Followed Hyperlink" xfId="36277" builtinId="9" hidden="1"/>
    <cellStyle name="Followed Hyperlink" xfId="36278" builtinId="9" hidden="1"/>
    <cellStyle name="Followed Hyperlink" xfId="36279" builtinId="9" hidden="1"/>
    <cellStyle name="Followed Hyperlink" xfId="36280" builtinId="9" hidden="1"/>
    <cellStyle name="Followed Hyperlink" xfId="36281" builtinId="9" hidden="1"/>
    <cellStyle name="Followed Hyperlink" xfId="36282" builtinId="9" hidden="1"/>
    <cellStyle name="Followed Hyperlink" xfId="36283" builtinId="9" hidden="1"/>
    <cellStyle name="Followed Hyperlink" xfId="36284" builtinId="9" hidden="1"/>
    <cellStyle name="Followed Hyperlink" xfId="36285" builtinId="9" hidden="1"/>
    <cellStyle name="Followed Hyperlink" xfId="36286" builtinId="9" hidden="1"/>
    <cellStyle name="Followed Hyperlink" xfId="36287" builtinId="9" hidden="1"/>
    <cellStyle name="Followed Hyperlink" xfId="36288" builtinId="9" hidden="1"/>
    <cellStyle name="Followed Hyperlink" xfId="36289" builtinId="9" hidden="1"/>
    <cellStyle name="Followed Hyperlink" xfId="36290" builtinId="9" hidden="1"/>
    <cellStyle name="Followed Hyperlink" xfId="36291" builtinId="9" hidden="1"/>
    <cellStyle name="Followed Hyperlink" xfId="36292" builtinId="9" hidden="1"/>
    <cellStyle name="Followed Hyperlink" xfId="36293" builtinId="9" hidden="1"/>
    <cellStyle name="Followed Hyperlink" xfId="36294" builtinId="9" hidden="1"/>
    <cellStyle name="Followed Hyperlink" xfId="36295" builtinId="9" hidden="1"/>
    <cellStyle name="Followed Hyperlink" xfId="36296" builtinId="9" hidden="1"/>
    <cellStyle name="Followed Hyperlink" xfId="36297" builtinId="9" hidden="1"/>
    <cellStyle name="Followed Hyperlink" xfId="36298" builtinId="9" hidden="1"/>
    <cellStyle name="Followed Hyperlink" xfId="36299" builtinId="9" hidden="1"/>
    <cellStyle name="Followed Hyperlink" xfId="36300" builtinId="9" hidden="1"/>
    <cellStyle name="Followed Hyperlink" xfId="36301" builtinId="9" hidden="1"/>
    <cellStyle name="Followed Hyperlink" xfId="36302" builtinId="9" hidden="1"/>
    <cellStyle name="Followed Hyperlink" xfId="36303" builtinId="9" hidden="1"/>
    <cellStyle name="Followed Hyperlink" xfId="36054" builtinId="9" hidden="1"/>
    <cellStyle name="Followed Hyperlink" xfId="36264" builtinId="9" hidden="1"/>
    <cellStyle name="Followed Hyperlink" xfId="36305" builtinId="9" hidden="1"/>
    <cellStyle name="Followed Hyperlink" xfId="36306" builtinId="9" hidden="1"/>
    <cellStyle name="Followed Hyperlink" xfId="36307" builtinId="9" hidden="1"/>
    <cellStyle name="Followed Hyperlink" xfId="36308" builtinId="9" hidden="1"/>
    <cellStyle name="Followed Hyperlink" xfId="36309" builtinId="9" hidden="1"/>
    <cellStyle name="Followed Hyperlink" xfId="36310" builtinId="9" hidden="1"/>
    <cellStyle name="Followed Hyperlink" xfId="36311" builtinId="9" hidden="1"/>
    <cellStyle name="Followed Hyperlink" xfId="36312" builtinId="9" hidden="1"/>
    <cellStyle name="Followed Hyperlink" xfId="36313" builtinId="9" hidden="1"/>
    <cellStyle name="Followed Hyperlink" xfId="36314" builtinId="9" hidden="1"/>
    <cellStyle name="Followed Hyperlink" xfId="36315" builtinId="9" hidden="1"/>
    <cellStyle name="Followed Hyperlink" xfId="36316" builtinId="9" hidden="1"/>
    <cellStyle name="Followed Hyperlink" xfId="36317" builtinId="9" hidden="1"/>
    <cellStyle name="Followed Hyperlink" xfId="36318" builtinId="9" hidden="1"/>
    <cellStyle name="Followed Hyperlink" xfId="36319" builtinId="9" hidden="1"/>
    <cellStyle name="Followed Hyperlink" xfId="36320" builtinId="9" hidden="1"/>
    <cellStyle name="Followed Hyperlink" xfId="36321" builtinId="9" hidden="1"/>
    <cellStyle name="Followed Hyperlink" xfId="36322" builtinId="9" hidden="1"/>
    <cellStyle name="Followed Hyperlink" xfId="36323" builtinId="9" hidden="1"/>
    <cellStyle name="Followed Hyperlink" xfId="36324" builtinId="9" hidden="1"/>
    <cellStyle name="Followed Hyperlink" xfId="36325" builtinId="9" hidden="1"/>
    <cellStyle name="Followed Hyperlink" xfId="36326" builtinId="9" hidden="1"/>
    <cellStyle name="Followed Hyperlink" xfId="36327" builtinId="9" hidden="1"/>
    <cellStyle name="Followed Hyperlink" xfId="36328" builtinId="9" hidden="1"/>
    <cellStyle name="Followed Hyperlink" xfId="36329" builtinId="9" hidden="1"/>
    <cellStyle name="Followed Hyperlink" xfId="36330" builtinId="9" hidden="1"/>
    <cellStyle name="Followed Hyperlink" xfId="36331" builtinId="9" hidden="1"/>
    <cellStyle name="Followed Hyperlink" xfId="36332" builtinId="9" hidden="1"/>
    <cellStyle name="Followed Hyperlink" xfId="36333" builtinId="9" hidden="1"/>
    <cellStyle name="Followed Hyperlink" xfId="36334" builtinId="9" hidden="1"/>
    <cellStyle name="Followed Hyperlink" xfId="36335" builtinId="9" hidden="1"/>
    <cellStyle name="Followed Hyperlink" xfId="36336" builtinId="9" hidden="1"/>
    <cellStyle name="Followed Hyperlink" xfId="36337" builtinId="9" hidden="1"/>
    <cellStyle name="Followed Hyperlink" xfId="36338" builtinId="9" hidden="1"/>
    <cellStyle name="Followed Hyperlink" xfId="36339" builtinId="9" hidden="1"/>
    <cellStyle name="Followed Hyperlink" xfId="36340" builtinId="9" hidden="1"/>
    <cellStyle name="Followed Hyperlink" xfId="36341" builtinId="9" hidden="1"/>
    <cellStyle name="Followed Hyperlink" xfId="36342" builtinId="9" hidden="1"/>
    <cellStyle name="Followed Hyperlink" xfId="36343" builtinId="9" hidden="1"/>
    <cellStyle name="Followed Hyperlink" xfId="36056" builtinId="9" hidden="1"/>
    <cellStyle name="Followed Hyperlink" xfId="36304" builtinId="9" hidden="1"/>
    <cellStyle name="Followed Hyperlink" xfId="36345" builtinId="9" hidden="1"/>
    <cellStyle name="Followed Hyperlink" xfId="36346" builtinId="9" hidden="1"/>
    <cellStyle name="Followed Hyperlink" xfId="36347" builtinId="9" hidden="1"/>
    <cellStyle name="Followed Hyperlink" xfId="36348" builtinId="9" hidden="1"/>
    <cellStyle name="Followed Hyperlink" xfId="36349" builtinId="9" hidden="1"/>
    <cellStyle name="Followed Hyperlink" xfId="36350" builtinId="9" hidden="1"/>
    <cellStyle name="Followed Hyperlink" xfId="36351" builtinId="9" hidden="1"/>
    <cellStyle name="Followed Hyperlink" xfId="36352" builtinId="9" hidden="1"/>
    <cellStyle name="Followed Hyperlink" xfId="36353" builtinId="9" hidden="1"/>
    <cellStyle name="Followed Hyperlink" xfId="36354" builtinId="9" hidden="1"/>
    <cellStyle name="Followed Hyperlink" xfId="36355" builtinId="9" hidden="1"/>
    <cellStyle name="Followed Hyperlink" xfId="36356" builtinId="9" hidden="1"/>
    <cellStyle name="Followed Hyperlink" xfId="36357" builtinId="9" hidden="1"/>
    <cellStyle name="Followed Hyperlink" xfId="36358" builtinId="9" hidden="1"/>
    <cellStyle name="Followed Hyperlink" xfId="36359" builtinId="9" hidden="1"/>
    <cellStyle name="Followed Hyperlink" xfId="36360" builtinId="9" hidden="1"/>
    <cellStyle name="Followed Hyperlink" xfId="36361" builtinId="9" hidden="1"/>
    <cellStyle name="Followed Hyperlink" xfId="36362" builtinId="9" hidden="1"/>
    <cellStyle name="Followed Hyperlink" xfId="36363" builtinId="9" hidden="1"/>
    <cellStyle name="Followed Hyperlink" xfId="36364" builtinId="9" hidden="1"/>
    <cellStyle name="Followed Hyperlink" xfId="36365" builtinId="9" hidden="1"/>
    <cellStyle name="Followed Hyperlink" xfId="36366" builtinId="9" hidden="1"/>
    <cellStyle name="Followed Hyperlink" xfId="36367" builtinId="9" hidden="1"/>
    <cellStyle name="Followed Hyperlink" xfId="36368" builtinId="9" hidden="1"/>
    <cellStyle name="Followed Hyperlink" xfId="36369" builtinId="9" hidden="1"/>
    <cellStyle name="Followed Hyperlink" xfId="36370" builtinId="9" hidden="1"/>
    <cellStyle name="Followed Hyperlink" xfId="36371" builtinId="9" hidden="1"/>
    <cellStyle name="Followed Hyperlink" xfId="36372" builtinId="9" hidden="1"/>
    <cellStyle name="Followed Hyperlink" xfId="36373" builtinId="9" hidden="1"/>
    <cellStyle name="Followed Hyperlink" xfId="36374" builtinId="9" hidden="1"/>
    <cellStyle name="Followed Hyperlink" xfId="36375" builtinId="9" hidden="1"/>
    <cellStyle name="Followed Hyperlink" xfId="36376" builtinId="9" hidden="1"/>
    <cellStyle name="Followed Hyperlink" xfId="36377" builtinId="9" hidden="1"/>
    <cellStyle name="Followed Hyperlink" xfId="36378" builtinId="9" hidden="1"/>
    <cellStyle name="Followed Hyperlink" xfId="36379" builtinId="9" hidden="1"/>
    <cellStyle name="Followed Hyperlink" xfId="36380" builtinId="9" hidden="1"/>
    <cellStyle name="Followed Hyperlink" xfId="36381" builtinId="9" hidden="1"/>
    <cellStyle name="Followed Hyperlink" xfId="36382" builtinId="9" hidden="1"/>
    <cellStyle name="Followed Hyperlink" xfId="36383" builtinId="9" hidden="1"/>
    <cellStyle name="Followed Hyperlink" xfId="36057" builtinId="9" hidden="1"/>
    <cellStyle name="Followed Hyperlink" xfId="36344" builtinId="9" hidden="1"/>
    <cellStyle name="Followed Hyperlink" xfId="36385" builtinId="9" hidden="1"/>
    <cellStyle name="Followed Hyperlink" xfId="36386" builtinId="9" hidden="1"/>
    <cellStyle name="Followed Hyperlink" xfId="36387" builtinId="9" hidden="1"/>
    <cellStyle name="Followed Hyperlink" xfId="36388" builtinId="9" hidden="1"/>
    <cellStyle name="Followed Hyperlink" xfId="36389" builtinId="9" hidden="1"/>
    <cellStyle name="Followed Hyperlink" xfId="36390" builtinId="9" hidden="1"/>
    <cellStyle name="Followed Hyperlink" xfId="36391" builtinId="9" hidden="1"/>
    <cellStyle name="Followed Hyperlink" xfId="36392" builtinId="9" hidden="1"/>
    <cellStyle name="Followed Hyperlink" xfId="36393" builtinId="9" hidden="1"/>
    <cellStyle name="Followed Hyperlink" xfId="36394" builtinId="9" hidden="1"/>
    <cellStyle name="Followed Hyperlink" xfId="36395" builtinId="9" hidden="1"/>
    <cellStyle name="Followed Hyperlink" xfId="36396" builtinId="9" hidden="1"/>
    <cellStyle name="Followed Hyperlink" xfId="36397" builtinId="9" hidden="1"/>
    <cellStyle name="Followed Hyperlink" xfId="36398" builtinId="9" hidden="1"/>
    <cellStyle name="Followed Hyperlink" xfId="36399" builtinId="9" hidden="1"/>
    <cellStyle name="Followed Hyperlink" xfId="36400" builtinId="9" hidden="1"/>
    <cellStyle name="Followed Hyperlink" xfId="36401" builtinId="9" hidden="1"/>
    <cellStyle name="Followed Hyperlink" xfId="36402" builtinId="9" hidden="1"/>
    <cellStyle name="Followed Hyperlink" xfId="36403" builtinId="9" hidden="1"/>
    <cellStyle name="Followed Hyperlink" xfId="36404" builtinId="9" hidden="1"/>
    <cellStyle name="Followed Hyperlink" xfId="36405" builtinId="9" hidden="1"/>
    <cellStyle name="Followed Hyperlink" xfId="36406" builtinId="9" hidden="1"/>
    <cellStyle name="Followed Hyperlink" xfId="36407" builtinId="9" hidden="1"/>
    <cellStyle name="Followed Hyperlink" xfId="36408" builtinId="9" hidden="1"/>
    <cellStyle name="Followed Hyperlink" xfId="36409" builtinId="9" hidden="1"/>
    <cellStyle name="Followed Hyperlink" xfId="36410" builtinId="9" hidden="1"/>
    <cellStyle name="Followed Hyperlink" xfId="36411" builtinId="9" hidden="1"/>
    <cellStyle name="Followed Hyperlink" xfId="36412" builtinId="9" hidden="1"/>
    <cellStyle name="Followed Hyperlink" xfId="36413" builtinId="9" hidden="1"/>
    <cellStyle name="Followed Hyperlink" xfId="36414" builtinId="9" hidden="1"/>
    <cellStyle name="Followed Hyperlink" xfId="36415" builtinId="9" hidden="1"/>
    <cellStyle name="Followed Hyperlink" xfId="36416" builtinId="9" hidden="1"/>
    <cellStyle name="Followed Hyperlink" xfId="36417" builtinId="9" hidden="1"/>
    <cellStyle name="Followed Hyperlink" xfId="36418" builtinId="9" hidden="1"/>
    <cellStyle name="Followed Hyperlink" xfId="36419" builtinId="9" hidden="1"/>
    <cellStyle name="Followed Hyperlink" xfId="36420" builtinId="9" hidden="1"/>
    <cellStyle name="Followed Hyperlink" xfId="36421" builtinId="9" hidden="1"/>
    <cellStyle name="Followed Hyperlink" xfId="36422" builtinId="9" hidden="1"/>
    <cellStyle name="Followed Hyperlink" xfId="36423" builtinId="9" hidden="1"/>
    <cellStyle name="Followed Hyperlink" xfId="36059" builtinId="9" hidden="1"/>
    <cellStyle name="Followed Hyperlink" xfId="36384" builtinId="9" hidden="1"/>
    <cellStyle name="Followed Hyperlink" xfId="36425" builtinId="9" hidden="1"/>
    <cellStyle name="Followed Hyperlink" xfId="36426" builtinId="9" hidden="1"/>
    <cellStyle name="Followed Hyperlink" xfId="36427" builtinId="9" hidden="1"/>
    <cellStyle name="Followed Hyperlink" xfId="36428" builtinId="9" hidden="1"/>
    <cellStyle name="Followed Hyperlink" xfId="36429" builtinId="9" hidden="1"/>
    <cellStyle name="Followed Hyperlink" xfId="36430" builtinId="9" hidden="1"/>
    <cellStyle name="Followed Hyperlink" xfId="36431" builtinId="9" hidden="1"/>
    <cellStyle name="Followed Hyperlink" xfId="36432" builtinId="9" hidden="1"/>
    <cellStyle name="Followed Hyperlink" xfId="36433" builtinId="9" hidden="1"/>
    <cellStyle name="Followed Hyperlink" xfId="36434" builtinId="9" hidden="1"/>
    <cellStyle name="Followed Hyperlink" xfId="36435" builtinId="9" hidden="1"/>
    <cellStyle name="Followed Hyperlink" xfId="36436" builtinId="9" hidden="1"/>
    <cellStyle name="Followed Hyperlink" xfId="36437" builtinId="9" hidden="1"/>
    <cellStyle name="Followed Hyperlink" xfId="36438" builtinId="9" hidden="1"/>
    <cellStyle name="Followed Hyperlink" xfId="36439" builtinId="9" hidden="1"/>
    <cellStyle name="Followed Hyperlink" xfId="36440" builtinId="9" hidden="1"/>
    <cellStyle name="Followed Hyperlink" xfId="36441" builtinId="9" hidden="1"/>
    <cellStyle name="Followed Hyperlink" xfId="36442" builtinId="9" hidden="1"/>
    <cellStyle name="Followed Hyperlink" xfId="36443" builtinId="9" hidden="1"/>
    <cellStyle name="Followed Hyperlink" xfId="36444" builtinId="9" hidden="1"/>
    <cellStyle name="Followed Hyperlink" xfId="36445" builtinId="9" hidden="1"/>
    <cellStyle name="Followed Hyperlink" xfId="36446" builtinId="9" hidden="1"/>
    <cellStyle name="Followed Hyperlink" xfId="36447" builtinId="9" hidden="1"/>
    <cellStyle name="Followed Hyperlink" xfId="36448" builtinId="9" hidden="1"/>
    <cellStyle name="Followed Hyperlink" xfId="36449" builtinId="9" hidden="1"/>
    <cellStyle name="Followed Hyperlink" xfId="36450" builtinId="9" hidden="1"/>
    <cellStyle name="Followed Hyperlink" xfId="36451" builtinId="9" hidden="1"/>
    <cellStyle name="Followed Hyperlink" xfId="36452" builtinId="9" hidden="1"/>
    <cellStyle name="Followed Hyperlink" xfId="36453" builtinId="9" hidden="1"/>
    <cellStyle name="Followed Hyperlink" xfId="36454" builtinId="9" hidden="1"/>
    <cellStyle name="Followed Hyperlink" xfId="36455" builtinId="9" hidden="1"/>
    <cellStyle name="Followed Hyperlink" xfId="36456" builtinId="9" hidden="1"/>
    <cellStyle name="Followed Hyperlink" xfId="36457" builtinId="9" hidden="1"/>
    <cellStyle name="Followed Hyperlink" xfId="36458" builtinId="9" hidden="1"/>
    <cellStyle name="Followed Hyperlink" xfId="36459" builtinId="9" hidden="1"/>
    <cellStyle name="Followed Hyperlink" xfId="36460" builtinId="9" hidden="1"/>
    <cellStyle name="Followed Hyperlink" xfId="36461" builtinId="9" hidden="1"/>
    <cellStyle name="Followed Hyperlink" xfId="36462" builtinId="9" hidden="1"/>
    <cellStyle name="Followed Hyperlink" xfId="36463" builtinId="9" hidden="1"/>
    <cellStyle name="Followed Hyperlink" xfId="36055" builtinId="9" hidden="1"/>
    <cellStyle name="Followed Hyperlink" xfId="36424" builtinId="9" hidden="1"/>
    <cellStyle name="Followed Hyperlink" xfId="36464" builtinId="9" hidden="1"/>
    <cellStyle name="Followed Hyperlink" xfId="36465" builtinId="9" hidden="1"/>
    <cellStyle name="Followed Hyperlink" xfId="36466" builtinId="9" hidden="1"/>
    <cellStyle name="Followed Hyperlink" xfId="36467" builtinId="9" hidden="1"/>
    <cellStyle name="Followed Hyperlink" xfId="36468" builtinId="9" hidden="1"/>
    <cellStyle name="Followed Hyperlink" xfId="36469" builtinId="9" hidden="1"/>
    <cellStyle name="Followed Hyperlink" xfId="36470" builtinId="9" hidden="1"/>
    <cellStyle name="Followed Hyperlink" xfId="36471" builtinId="9" hidden="1"/>
    <cellStyle name="Followed Hyperlink" xfId="36472" builtinId="9" hidden="1"/>
    <cellStyle name="Followed Hyperlink" xfId="36473" builtinId="9" hidden="1"/>
    <cellStyle name="Followed Hyperlink" xfId="36474" builtinId="9" hidden="1"/>
    <cellStyle name="Followed Hyperlink" xfId="36475" builtinId="9" hidden="1"/>
    <cellStyle name="Followed Hyperlink" xfId="36476" builtinId="9" hidden="1"/>
    <cellStyle name="Followed Hyperlink" xfId="36477" builtinId="9" hidden="1"/>
    <cellStyle name="Followed Hyperlink" xfId="36478" builtinId="9" hidden="1"/>
    <cellStyle name="Followed Hyperlink" xfId="36479" builtinId="9" hidden="1"/>
    <cellStyle name="Followed Hyperlink" xfId="36480" builtinId="9" hidden="1"/>
    <cellStyle name="Followed Hyperlink" xfId="36481" builtinId="9" hidden="1"/>
    <cellStyle name="Followed Hyperlink" xfId="36482" builtinId="9" hidden="1"/>
    <cellStyle name="Followed Hyperlink" xfId="36483" builtinId="9" hidden="1"/>
    <cellStyle name="Followed Hyperlink" xfId="36484" builtinId="9" hidden="1"/>
    <cellStyle name="Followed Hyperlink" xfId="36485" builtinId="9" hidden="1"/>
    <cellStyle name="Followed Hyperlink" xfId="36486" builtinId="9" hidden="1"/>
    <cellStyle name="Followed Hyperlink" xfId="36487" builtinId="9" hidden="1"/>
    <cellStyle name="Followed Hyperlink" xfId="36488" builtinId="9" hidden="1"/>
    <cellStyle name="Followed Hyperlink" xfId="36489" builtinId="9" hidden="1"/>
    <cellStyle name="Followed Hyperlink" xfId="36490" builtinId="9" hidden="1"/>
    <cellStyle name="Followed Hyperlink" xfId="36491" builtinId="9" hidden="1"/>
    <cellStyle name="Followed Hyperlink" xfId="36492" builtinId="9" hidden="1"/>
    <cellStyle name="Followed Hyperlink" xfId="36493" builtinId="9" hidden="1"/>
    <cellStyle name="Followed Hyperlink" xfId="36494" builtinId="9" hidden="1"/>
    <cellStyle name="Followed Hyperlink" xfId="36495" builtinId="9" hidden="1"/>
    <cellStyle name="Followed Hyperlink" xfId="36496" builtinId="9" hidden="1"/>
    <cellStyle name="Followed Hyperlink" xfId="36497" builtinId="9" hidden="1"/>
    <cellStyle name="Followed Hyperlink" xfId="36498" builtinId="9" hidden="1"/>
    <cellStyle name="Followed Hyperlink" xfId="36499" builtinId="9" hidden="1"/>
    <cellStyle name="Followed Hyperlink" xfId="36500" builtinId="9" hidden="1"/>
    <cellStyle name="Followed Hyperlink" xfId="36501" builtinId="9" hidden="1"/>
    <cellStyle name="Followed Hyperlink" xfId="36502" builtinId="9" hidden="1"/>
    <cellStyle name="Followed Hyperlink" xfId="33060" builtinId="9" hidden="1"/>
    <cellStyle name="Followed Hyperlink" xfId="33067" builtinId="9" hidden="1"/>
    <cellStyle name="Followed Hyperlink" xfId="36503" builtinId="9" hidden="1"/>
    <cellStyle name="Followed Hyperlink" xfId="36504" builtinId="9" hidden="1"/>
    <cellStyle name="Followed Hyperlink" xfId="36505" builtinId="9" hidden="1"/>
    <cellStyle name="Followed Hyperlink" xfId="36506" builtinId="9" hidden="1"/>
    <cellStyle name="Followed Hyperlink" xfId="36507" builtinId="9" hidden="1"/>
    <cellStyle name="Followed Hyperlink" xfId="36508" builtinId="9" hidden="1"/>
    <cellStyle name="Followed Hyperlink" xfId="36509" builtinId="9" hidden="1"/>
    <cellStyle name="Followed Hyperlink" xfId="36510" builtinId="9" hidden="1"/>
    <cellStyle name="Followed Hyperlink" xfId="36511" builtinId="9" hidden="1"/>
    <cellStyle name="Followed Hyperlink" xfId="36512" builtinId="9" hidden="1"/>
    <cellStyle name="Followed Hyperlink" xfId="36513" builtinId="9" hidden="1"/>
    <cellStyle name="Followed Hyperlink" xfId="36514" builtinId="9" hidden="1"/>
    <cellStyle name="Followed Hyperlink" xfId="36515" builtinId="9" hidden="1"/>
    <cellStyle name="Followed Hyperlink" xfId="36516" builtinId="9" hidden="1"/>
    <cellStyle name="Followed Hyperlink" xfId="36517" builtinId="9" hidden="1"/>
    <cellStyle name="Followed Hyperlink" xfId="36518" builtinId="9" hidden="1"/>
    <cellStyle name="Followed Hyperlink" xfId="36519" builtinId="9" hidden="1"/>
    <cellStyle name="Followed Hyperlink" xfId="36520" builtinId="9" hidden="1"/>
    <cellStyle name="Followed Hyperlink" xfId="36521" builtinId="9" hidden="1"/>
    <cellStyle name="Followed Hyperlink" xfId="36522" builtinId="9" hidden="1"/>
    <cellStyle name="Followed Hyperlink" xfId="36523" builtinId="9" hidden="1"/>
    <cellStyle name="Followed Hyperlink" xfId="36524" builtinId="9" hidden="1"/>
    <cellStyle name="Followed Hyperlink" xfId="36525" builtinId="9" hidden="1"/>
    <cellStyle name="Followed Hyperlink" xfId="36526" builtinId="9" hidden="1"/>
    <cellStyle name="Followed Hyperlink" xfId="36527" builtinId="9" hidden="1"/>
    <cellStyle name="Followed Hyperlink" xfId="36528" builtinId="9" hidden="1"/>
    <cellStyle name="Followed Hyperlink" xfId="36529" builtinId="9" hidden="1"/>
    <cellStyle name="Followed Hyperlink" xfId="36530" builtinId="9" hidden="1"/>
    <cellStyle name="Followed Hyperlink" xfId="36531" builtinId="9" hidden="1"/>
    <cellStyle name="Followed Hyperlink" xfId="36532" builtinId="9" hidden="1"/>
    <cellStyle name="Followed Hyperlink" xfId="36533" builtinId="9" hidden="1"/>
    <cellStyle name="Followed Hyperlink" xfId="36534" builtinId="9" hidden="1"/>
    <cellStyle name="Followed Hyperlink" xfId="36535" builtinId="9" hidden="1"/>
    <cellStyle name="Followed Hyperlink" xfId="36536" builtinId="9" hidden="1"/>
    <cellStyle name="Followed Hyperlink" xfId="36537" builtinId="9" hidden="1"/>
    <cellStyle name="Followed Hyperlink" xfId="36538" builtinId="9" hidden="1"/>
    <cellStyle name="Followed Hyperlink" xfId="36539" builtinId="9" hidden="1"/>
    <cellStyle name="Followed Hyperlink" xfId="36540" builtinId="9" hidden="1"/>
    <cellStyle name="Followed Hyperlink" xfId="36541" builtinId="9" hidden="1"/>
    <cellStyle name="Followed Hyperlink" xfId="36550" builtinId="9" hidden="1"/>
    <cellStyle name="Followed Hyperlink" xfId="36551" builtinId="9" hidden="1"/>
    <cellStyle name="Followed Hyperlink" xfId="36552" builtinId="9" hidden="1"/>
    <cellStyle name="Followed Hyperlink" xfId="36553" builtinId="9" hidden="1"/>
    <cellStyle name="Followed Hyperlink" xfId="36554" builtinId="9" hidden="1"/>
    <cellStyle name="Followed Hyperlink" xfId="36555" builtinId="9" hidden="1"/>
    <cellStyle name="Followed Hyperlink" xfId="36556" builtinId="9" hidden="1"/>
    <cellStyle name="Followed Hyperlink" xfId="36557" builtinId="9" hidden="1"/>
    <cellStyle name="Followed Hyperlink" xfId="36558" builtinId="9" hidden="1"/>
    <cellStyle name="Followed Hyperlink" xfId="36559" builtinId="9" hidden="1"/>
    <cellStyle name="Followed Hyperlink" xfId="36560" builtinId="9" hidden="1"/>
    <cellStyle name="Followed Hyperlink" xfId="36561" builtinId="9" hidden="1"/>
    <cellStyle name="Followed Hyperlink" xfId="36562" builtinId="9" hidden="1"/>
    <cellStyle name="Followed Hyperlink" xfId="36563" builtinId="9" hidden="1"/>
    <cellStyle name="Followed Hyperlink" xfId="36564" builtinId="9" hidden="1"/>
    <cellStyle name="Followed Hyperlink" xfId="36565" builtinId="9" hidden="1"/>
    <cellStyle name="Followed Hyperlink" xfId="36566" builtinId="9" hidden="1"/>
    <cellStyle name="Followed Hyperlink" xfId="36567" builtinId="9" hidden="1"/>
    <cellStyle name="Followed Hyperlink" xfId="36568" builtinId="9" hidden="1"/>
    <cellStyle name="Followed Hyperlink" xfId="36569" builtinId="9" hidden="1"/>
    <cellStyle name="Followed Hyperlink" xfId="36570" builtinId="9" hidden="1"/>
    <cellStyle name="Followed Hyperlink" xfId="36571" builtinId="9" hidden="1"/>
    <cellStyle name="Followed Hyperlink" xfId="36572" builtinId="9" hidden="1"/>
    <cellStyle name="Followed Hyperlink" xfId="36573" builtinId="9" hidden="1"/>
    <cellStyle name="Followed Hyperlink" xfId="36574" builtinId="9" hidden="1"/>
    <cellStyle name="Followed Hyperlink" xfId="36575" builtinId="9" hidden="1"/>
    <cellStyle name="Followed Hyperlink" xfId="36576" builtinId="9" hidden="1"/>
    <cellStyle name="Followed Hyperlink" xfId="36577" builtinId="9" hidden="1"/>
    <cellStyle name="Followed Hyperlink" xfId="36578" builtinId="9" hidden="1"/>
    <cellStyle name="Followed Hyperlink" xfId="36579" builtinId="9" hidden="1"/>
    <cellStyle name="Followed Hyperlink" xfId="36580" builtinId="9" hidden="1"/>
    <cellStyle name="Followed Hyperlink" xfId="36581" builtinId="9" hidden="1"/>
    <cellStyle name="Followed Hyperlink" xfId="36582" builtinId="9" hidden="1"/>
    <cellStyle name="Followed Hyperlink" xfId="36583" builtinId="9" hidden="1"/>
    <cellStyle name="Followed Hyperlink" xfId="36584" builtinId="9" hidden="1"/>
    <cellStyle name="Followed Hyperlink" xfId="36585" builtinId="9" hidden="1"/>
    <cellStyle name="Followed Hyperlink" xfId="36586" builtinId="9" hidden="1"/>
    <cellStyle name="Followed Hyperlink" xfId="36587" builtinId="9" hidden="1"/>
    <cellStyle name="Followed Hyperlink" xfId="36588" builtinId="9" hidden="1"/>
    <cellStyle name="Followed Hyperlink" xfId="36589" builtinId="9" hidden="1"/>
    <cellStyle name="Followed Hyperlink" xfId="36590" builtinId="9" hidden="1"/>
    <cellStyle name="Followed Hyperlink" xfId="36591" builtinId="9" hidden="1"/>
    <cellStyle name="Followed Hyperlink" xfId="36592" builtinId="9" hidden="1"/>
    <cellStyle name="Followed Hyperlink" xfId="36593" builtinId="9" hidden="1"/>
    <cellStyle name="Followed Hyperlink" xfId="36594" builtinId="9" hidden="1"/>
    <cellStyle name="Followed Hyperlink" xfId="36595" builtinId="9" hidden="1"/>
    <cellStyle name="Followed Hyperlink" xfId="36596" builtinId="9" hidden="1"/>
    <cellStyle name="Followed Hyperlink" xfId="36597" builtinId="9" hidden="1"/>
    <cellStyle name="Followed Hyperlink" xfId="36598" builtinId="9" hidden="1"/>
    <cellStyle name="Followed Hyperlink" xfId="36599" builtinId="9" hidden="1"/>
    <cellStyle name="Followed Hyperlink" xfId="36600" builtinId="9" hidden="1"/>
    <cellStyle name="Followed Hyperlink" xfId="36601" builtinId="9" hidden="1"/>
    <cellStyle name="Followed Hyperlink" xfId="36602" builtinId="9" hidden="1"/>
    <cellStyle name="Followed Hyperlink" xfId="36603" builtinId="9" hidden="1"/>
    <cellStyle name="Followed Hyperlink" xfId="36604" builtinId="9" hidden="1"/>
    <cellStyle name="Followed Hyperlink" xfId="36605" builtinId="9" hidden="1"/>
    <cellStyle name="Followed Hyperlink" xfId="36606" builtinId="9" hidden="1"/>
    <cellStyle name="Followed Hyperlink" xfId="36607" builtinId="9" hidden="1"/>
    <cellStyle name="Followed Hyperlink" xfId="36608" builtinId="9" hidden="1"/>
    <cellStyle name="Followed Hyperlink" xfId="36609" builtinId="9" hidden="1"/>
    <cellStyle name="Followed Hyperlink" xfId="36610" builtinId="9" hidden="1"/>
    <cellStyle name="Followed Hyperlink" xfId="36611" builtinId="9" hidden="1"/>
    <cellStyle name="Followed Hyperlink" xfId="36612" builtinId="9" hidden="1"/>
    <cellStyle name="Followed Hyperlink" xfId="36613" builtinId="9" hidden="1"/>
    <cellStyle name="Followed Hyperlink" xfId="36614" builtinId="9" hidden="1"/>
    <cellStyle name="Followed Hyperlink" xfId="36615" builtinId="9" hidden="1"/>
    <cellStyle name="Followed Hyperlink" xfId="36616" builtinId="9" hidden="1"/>
    <cellStyle name="Followed Hyperlink" xfId="36617" builtinId="9" hidden="1"/>
    <cellStyle name="Followed Hyperlink" xfId="36618" builtinId="9" hidden="1"/>
    <cellStyle name="Followed Hyperlink" xfId="36619" builtinId="9" hidden="1"/>
    <cellStyle name="Followed Hyperlink" xfId="36620" builtinId="9" hidden="1"/>
    <cellStyle name="Followed Hyperlink" xfId="36621" builtinId="9" hidden="1"/>
    <cellStyle name="Followed Hyperlink" xfId="36622" builtinId="9" hidden="1"/>
    <cellStyle name="Followed Hyperlink" xfId="36623" builtinId="9" hidden="1"/>
    <cellStyle name="Followed Hyperlink" xfId="36624" builtinId="9" hidden="1"/>
    <cellStyle name="Followed Hyperlink" xfId="36625" builtinId="9" hidden="1"/>
    <cellStyle name="Followed Hyperlink" xfId="36626" builtinId="9" hidden="1"/>
    <cellStyle name="Followed Hyperlink" xfId="36627" builtinId="9" hidden="1"/>
    <cellStyle name="Followed Hyperlink" xfId="36628" builtinId="9" hidden="1"/>
    <cellStyle name="Followed Hyperlink" xfId="36629" builtinId="9" hidden="1"/>
    <cellStyle name="Followed Hyperlink" xfId="36630" builtinId="9" hidden="1"/>
    <cellStyle name="Followed Hyperlink" xfId="36631" builtinId="9" hidden="1"/>
    <cellStyle name="Followed Hyperlink" xfId="36632" builtinId="9" hidden="1"/>
    <cellStyle name="Followed Hyperlink" xfId="36633" builtinId="9" hidden="1"/>
    <cellStyle name="Followed Hyperlink" xfId="36634" builtinId="9" hidden="1"/>
    <cellStyle name="Followed Hyperlink" xfId="36635" builtinId="9" hidden="1"/>
    <cellStyle name="Followed Hyperlink" xfId="36636" builtinId="9" hidden="1"/>
    <cellStyle name="Followed Hyperlink" xfId="36637" builtinId="9" hidden="1"/>
    <cellStyle name="Followed Hyperlink" xfId="36638" builtinId="9" hidden="1"/>
    <cellStyle name="Followed Hyperlink" xfId="36639" builtinId="9" hidden="1"/>
    <cellStyle name="Followed Hyperlink" xfId="36640" builtinId="9" hidden="1"/>
    <cellStyle name="Followed Hyperlink" xfId="36641" builtinId="9" hidden="1"/>
    <cellStyle name="Followed Hyperlink" xfId="36642" builtinId="9" hidden="1"/>
    <cellStyle name="Followed Hyperlink" xfId="36643" builtinId="9" hidden="1"/>
    <cellStyle name="Followed Hyperlink" xfId="36644" builtinId="9" hidden="1"/>
    <cellStyle name="Followed Hyperlink" xfId="36645" builtinId="9" hidden="1"/>
    <cellStyle name="Followed Hyperlink" xfId="36646" builtinId="9" hidden="1"/>
    <cellStyle name="Followed Hyperlink" xfId="36647" builtinId="9" hidden="1"/>
    <cellStyle name="Followed Hyperlink" xfId="36648" builtinId="9" hidden="1"/>
    <cellStyle name="Followed Hyperlink" xfId="36649" builtinId="9" hidden="1"/>
    <cellStyle name="Followed Hyperlink" xfId="36650" builtinId="9" hidden="1"/>
    <cellStyle name="Followed Hyperlink" xfId="36651" builtinId="9" hidden="1"/>
    <cellStyle name="Followed Hyperlink" xfId="36652" builtinId="9" hidden="1"/>
    <cellStyle name="Followed Hyperlink" xfId="36653" builtinId="9" hidden="1"/>
    <cellStyle name="Followed Hyperlink" xfId="36654" builtinId="9" hidden="1"/>
    <cellStyle name="Followed Hyperlink" xfId="36655" builtinId="9" hidden="1"/>
    <cellStyle name="Followed Hyperlink" xfId="36656" builtinId="9" hidden="1"/>
    <cellStyle name="Followed Hyperlink" xfId="36657" builtinId="9" hidden="1"/>
    <cellStyle name="Followed Hyperlink" xfId="36658" builtinId="9" hidden="1"/>
    <cellStyle name="Followed Hyperlink" xfId="36659" builtinId="9" hidden="1"/>
    <cellStyle name="Followed Hyperlink" xfId="36660" builtinId="9" hidden="1"/>
    <cellStyle name="Followed Hyperlink" xfId="36661" builtinId="9" hidden="1"/>
    <cellStyle name="Followed Hyperlink" xfId="36662" builtinId="9" hidden="1"/>
    <cellStyle name="Followed Hyperlink" xfId="36663" builtinId="9" hidden="1"/>
    <cellStyle name="Followed Hyperlink" xfId="36664" builtinId="9" hidden="1"/>
    <cellStyle name="Followed Hyperlink" xfId="36665" builtinId="9" hidden="1"/>
    <cellStyle name="Followed Hyperlink" xfId="36666" builtinId="9" hidden="1"/>
    <cellStyle name="Followed Hyperlink" xfId="36667" builtinId="9" hidden="1"/>
    <cellStyle name="Followed Hyperlink" xfId="36668" builtinId="9" hidden="1"/>
    <cellStyle name="Followed Hyperlink" xfId="36669" builtinId="9" hidden="1"/>
    <cellStyle name="Followed Hyperlink" xfId="36670" builtinId="9" hidden="1"/>
    <cellStyle name="Followed Hyperlink" xfId="36671" builtinId="9" hidden="1"/>
    <cellStyle name="Followed Hyperlink" xfId="36672" builtinId="9" hidden="1"/>
    <cellStyle name="Followed Hyperlink" xfId="36542" builtinId="9" hidden="1"/>
    <cellStyle name="Followed Hyperlink" xfId="33062" builtinId="9" hidden="1"/>
    <cellStyle name="Followed Hyperlink" xfId="36674" builtinId="9" hidden="1"/>
    <cellStyle name="Followed Hyperlink" xfId="36675" builtinId="9" hidden="1"/>
    <cellStyle name="Followed Hyperlink" xfId="36676" builtinId="9" hidden="1"/>
    <cellStyle name="Followed Hyperlink" xfId="36677" builtinId="9" hidden="1"/>
    <cellStyle name="Followed Hyperlink" xfId="36678" builtinId="9" hidden="1"/>
    <cellStyle name="Followed Hyperlink" xfId="36679" builtinId="9" hidden="1"/>
    <cellStyle name="Followed Hyperlink" xfId="36680" builtinId="9" hidden="1"/>
    <cellStyle name="Followed Hyperlink" xfId="36681" builtinId="9" hidden="1"/>
    <cellStyle name="Followed Hyperlink" xfId="36682" builtinId="9" hidden="1"/>
    <cellStyle name="Followed Hyperlink" xfId="36683" builtinId="9" hidden="1"/>
    <cellStyle name="Followed Hyperlink" xfId="36684" builtinId="9" hidden="1"/>
    <cellStyle name="Followed Hyperlink" xfId="36685" builtinId="9" hidden="1"/>
    <cellStyle name="Followed Hyperlink" xfId="36686" builtinId="9" hidden="1"/>
    <cellStyle name="Followed Hyperlink" xfId="36687" builtinId="9" hidden="1"/>
    <cellStyle name="Followed Hyperlink" xfId="36688" builtinId="9" hidden="1"/>
    <cellStyle name="Followed Hyperlink" xfId="36689" builtinId="9" hidden="1"/>
    <cellStyle name="Followed Hyperlink" xfId="36690" builtinId="9" hidden="1"/>
    <cellStyle name="Followed Hyperlink" xfId="36691" builtinId="9" hidden="1"/>
    <cellStyle name="Followed Hyperlink" xfId="36692" builtinId="9" hidden="1"/>
    <cellStyle name="Followed Hyperlink" xfId="36693" builtinId="9" hidden="1"/>
    <cellStyle name="Followed Hyperlink" xfId="36694" builtinId="9" hidden="1"/>
    <cellStyle name="Followed Hyperlink" xfId="36695" builtinId="9" hidden="1"/>
    <cellStyle name="Followed Hyperlink" xfId="36696" builtinId="9" hidden="1"/>
    <cellStyle name="Followed Hyperlink" xfId="36697" builtinId="9" hidden="1"/>
    <cellStyle name="Followed Hyperlink" xfId="36698" builtinId="9" hidden="1"/>
    <cellStyle name="Followed Hyperlink" xfId="36699" builtinId="9" hidden="1"/>
    <cellStyle name="Followed Hyperlink" xfId="36700" builtinId="9" hidden="1"/>
    <cellStyle name="Followed Hyperlink" xfId="36701" builtinId="9" hidden="1"/>
    <cellStyle name="Followed Hyperlink" xfId="36702" builtinId="9" hidden="1"/>
    <cellStyle name="Followed Hyperlink" xfId="36703" builtinId="9" hidden="1"/>
    <cellStyle name="Followed Hyperlink" xfId="36704" builtinId="9" hidden="1"/>
    <cellStyle name="Followed Hyperlink" xfId="36705" builtinId="9" hidden="1"/>
    <cellStyle name="Followed Hyperlink" xfId="36706" builtinId="9" hidden="1"/>
    <cellStyle name="Followed Hyperlink" xfId="36707" builtinId="9" hidden="1"/>
    <cellStyle name="Followed Hyperlink" xfId="36708" builtinId="9" hidden="1"/>
    <cellStyle name="Followed Hyperlink" xfId="36709" builtinId="9" hidden="1"/>
    <cellStyle name="Followed Hyperlink" xfId="36710" builtinId="9" hidden="1"/>
    <cellStyle name="Followed Hyperlink" xfId="36711" builtinId="9" hidden="1"/>
    <cellStyle name="Followed Hyperlink" xfId="36712" builtinId="9" hidden="1"/>
    <cellStyle name="Followed Hyperlink" xfId="36547" builtinId="9" hidden="1"/>
    <cellStyle name="Followed Hyperlink" xfId="36673" builtinId="9" hidden="1"/>
    <cellStyle name="Followed Hyperlink" xfId="36714" builtinId="9" hidden="1"/>
    <cellStyle name="Followed Hyperlink" xfId="36715" builtinId="9" hidden="1"/>
    <cellStyle name="Followed Hyperlink" xfId="36716" builtinId="9" hidden="1"/>
    <cellStyle name="Followed Hyperlink" xfId="36717" builtinId="9" hidden="1"/>
    <cellStyle name="Followed Hyperlink" xfId="36718" builtinId="9" hidden="1"/>
    <cellStyle name="Followed Hyperlink" xfId="36719" builtinId="9" hidden="1"/>
    <cellStyle name="Followed Hyperlink" xfId="36720" builtinId="9" hidden="1"/>
    <cellStyle name="Followed Hyperlink" xfId="36721" builtinId="9" hidden="1"/>
    <cellStyle name="Followed Hyperlink" xfId="36722" builtinId="9" hidden="1"/>
    <cellStyle name="Followed Hyperlink" xfId="36723" builtinId="9" hidden="1"/>
    <cellStyle name="Followed Hyperlink" xfId="36724" builtinId="9" hidden="1"/>
    <cellStyle name="Followed Hyperlink" xfId="36725" builtinId="9" hidden="1"/>
    <cellStyle name="Followed Hyperlink" xfId="36726" builtinId="9" hidden="1"/>
    <cellStyle name="Followed Hyperlink" xfId="36727" builtinId="9" hidden="1"/>
    <cellStyle name="Followed Hyperlink" xfId="36728" builtinId="9" hidden="1"/>
    <cellStyle name="Followed Hyperlink" xfId="36729" builtinId="9" hidden="1"/>
    <cellStyle name="Followed Hyperlink" xfId="36730" builtinId="9" hidden="1"/>
    <cellStyle name="Followed Hyperlink" xfId="36731" builtinId="9" hidden="1"/>
    <cellStyle name="Followed Hyperlink" xfId="36732" builtinId="9" hidden="1"/>
    <cellStyle name="Followed Hyperlink" xfId="36733" builtinId="9" hidden="1"/>
    <cellStyle name="Followed Hyperlink" xfId="36734" builtinId="9" hidden="1"/>
    <cellStyle name="Followed Hyperlink" xfId="36735" builtinId="9" hidden="1"/>
    <cellStyle name="Followed Hyperlink" xfId="36736" builtinId="9" hidden="1"/>
    <cellStyle name="Followed Hyperlink" xfId="36737" builtinId="9" hidden="1"/>
    <cellStyle name="Followed Hyperlink" xfId="36738" builtinId="9" hidden="1"/>
    <cellStyle name="Followed Hyperlink" xfId="36739" builtinId="9" hidden="1"/>
    <cellStyle name="Followed Hyperlink" xfId="36740" builtinId="9" hidden="1"/>
    <cellStyle name="Followed Hyperlink" xfId="36741" builtinId="9" hidden="1"/>
    <cellStyle name="Followed Hyperlink" xfId="36742" builtinId="9" hidden="1"/>
    <cellStyle name="Followed Hyperlink" xfId="36743" builtinId="9" hidden="1"/>
    <cellStyle name="Followed Hyperlink" xfId="36744" builtinId="9" hidden="1"/>
    <cellStyle name="Followed Hyperlink" xfId="36745" builtinId="9" hidden="1"/>
    <cellStyle name="Followed Hyperlink" xfId="36746" builtinId="9" hidden="1"/>
    <cellStyle name="Followed Hyperlink" xfId="36747" builtinId="9" hidden="1"/>
    <cellStyle name="Followed Hyperlink" xfId="36748" builtinId="9" hidden="1"/>
    <cellStyle name="Followed Hyperlink" xfId="36749" builtinId="9" hidden="1"/>
    <cellStyle name="Followed Hyperlink" xfId="36750" builtinId="9" hidden="1"/>
    <cellStyle name="Followed Hyperlink" xfId="36751" builtinId="9" hidden="1"/>
    <cellStyle name="Followed Hyperlink" xfId="36752" builtinId="9" hidden="1"/>
    <cellStyle name="Followed Hyperlink" xfId="36549" builtinId="9" hidden="1"/>
    <cellStyle name="Followed Hyperlink" xfId="36713" builtinId="9" hidden="1"/>
    <cellStyle name="Followed Hyperlink" xfId="36754" builtinId="9" hidden="1"/>
    <cellStyle name="Followed Hyperlink" xfId="36755" builtinId="9" hidden="1"/>
    <cellStyle name="Followed Hyperlink" xfId="36756" builtinId="9" hidden="1"/>
    <cellStyle name="Followed Hyperlink" xfId="36757" builtinId="9" hidden="1"/>
    <cellStyle name="Followed Hyperlink" xfId="36758" builtinId="9" hidden="1"/>
    <cellStyle name="Followed Hyperlink" xfId="36759" builtinId="9" hidden="1"/>
    <cellStyle name="Followed Hyperlink" xfId="36760" builtinId="9" hidden="1"/>
    <cellStyle name="Followed Hyperlink" xfId="36761" builtinId="9" hidden="1"/>
    <cellStyle name="Followed Hyperlink" xfId="36762" builtinId="9" hidden="1"/>
    <cellStyle name="Followed Hyperlink" xfId="36763" builtinId="9" hidden="1"/>
    <cellStyle name="Followed Hyperlink" xfId="36764" builtinId="9" hidden="1"/>
    <cellStyle name="Followed Hyperlink" xfId="36765" builtinId="9" hidden="1"/>
    <cellStyle name="Followed Hyperlink" xfId="36766" builtinId="9" hidden="1"/>
    <cellStyle name="Followed Hyperlink" xfId="36767" builtinId="9" hidden="1"/>
    <cellStyle name="Followed Hyperlink" xfId="36768" builtinId="9" hidden="1"/>
    <cellStyle name="Followed Hyperlink" xfId="36769" builtinId="9" hidden="1"/>
    <cellStyle name="Followed Hyperlink" xfId="36770" builtinId="9" hidden="1"/>
    <cellStyle name="Followed Hyperlink" xfId="36771" builtinId="9" hidden="1"/>
    <cellStyle name="Followed Hyperlink" xfId="36772" builtinId="9" hidden="1"/>
    <cellStyle name="Followed Hyperlink" xfId="36773" builtinId="9" hidden="1"/>
    <cellStyle name="Followed Hyperlink" xfId="36774" builtinId="9" hidden="1"/>
    <cellStyle name="Followed Hyperlink" xfId="36775" builtinId="9" hidden="1"/>
    <cellStyle name="Followed Hyperlink" xfId="36776" builtinId="9" hidden="1"/>
    <cellStyle name="Followed Hyperlink" xfId="36777" builtinId="9" hidden="1"/>
    <cellStyle name="Followed Hyperlink" xfId="36778" builtinId="9" hidden="1"/>
    <cellStyle name="Followed Hyperlink" xfId="36779" builtinId="9" hidden="1"/>
    <cellStyle name="Followed Hyperlink" xfId="36780" builtinId="9" hidden="1"/>
    <cellStyle name="Followed Hyperlink" xfId="36781" builtinId="9" hidden="1"/>
    <cellStyle name="Followed Hyperlink" xfId="36782" builtinId="9" hidden="1"/>
    <cellStyle name="Followed Hyperlink" xfId="36783" builtinId="9" hidden="1"/>
    <cellStyle name="Followed Hyperlink" xfId="36784" builtinId="9" hidden="1"/>
    <cellStyle name="Followed Hyperlink" xfId="36785" builtinId="9" hidden="1"/>
    <cellStyle name="Followed Hyperlink" xfId="36786" builtinId="9" hidden="1"/>
    <cellStyle name="Followed Hyperlink" xfId="36787" builtinId="9" hidden="1"/>
    <cellStyle name="Followed Hyperlink" xfId="36788" builtinId="9" hidden="1"/>
    <cellStyle name="Followed Hyperlink" xfId="36789" builtinId="9" hidden="1"/>
    <cellStyle name="Followed Hyperlink" xfId="36790" builtinId="9" hidden="1"/>
    <cellStyle name="Followed Hyperlink" xfId="36791" builtinId="9" hidden="1"/>
    <cellStyle name="Followed Hyperlink" xfId="36792" builtinId="9" hidden="1"/>
    <cellStyle name="Followed Hyperlink" xfId="36543" builtinId="9" hidden="1"/>
    <cellStyle name="Followed Hyperlink" xfId="36753" builtinId="9" hidden="1"/>
    <cellStyle name="Followed Hyperlink" xfId="36794" builtinId="9" hidden="1"/>
    <cellStyle name="Followed Hyperlink" xfId="36795" builtinId="9" hidden="1"/>
    <cellStyle name="Followed Hyperlink" xfId="36796" builtinId="9" hidden="1"/>
    <cellStyle name="Followed Hyperlink" xfId="36797" builtinId="9" hidden="1"/>
    <cellStyle name="Followed Hyperlink" xfId="36798" builtinId="9" hidden="1"/>
    <cellStyle name="Followed Hyperlink" xfId="36799" builtinId="9" hidden="1"/>
    <cellStyle name="Followed Hyperlink" xfId="36800" builtinId="9" hidden="1"/>
    <cellStyle name="Followed Hyperlink" xfId="36801" builtinId="9" hidden="1"/>
    <cellStyle name="Followed Hyperlink" xfId="36802" builtinId="9" hidden="1"/>
    <cellStyle name="Followed Hyperlink" xfId="36803" builtinId="9" hidden="1"/>
    <cellStyle name="Followed Hyperlink" xfId="36804" builtinId="9" hidden="1"/>
    <cellStyle name="Followed Hyperlink" xfId="36805" builtinId="9" hidden="1"/>
    <cellStyle name="Followed Hyperlink" xfId="36806" builtinId="9" hidden="1"/>
    <cellStyle name="Followed Hyperlink" xfId="36807" builtinId="9" hidden="1"/>
    <cellStyle name="Followed Hyperlink" xfId="36808" builtinId="9" hidden="1"/>
    <cellStyle name="Followed Hyperlink" xfId="36809" builtinId="9" hidden="1"/>
    <cellStyle name="Followed Hyperlink" xfId="36810" builtinId="9" hidden="1"/>
    <cellStyle name="Followed Hyperlink" xfId="36811" builtinId="9" hidden="1"/>
    <cellStyle name="Followed Hyperlink" xfId="36812" builtinId="9" hidden="1"/>
    <cellStyle name="Followed Hyperlink" xfId="36813" builtinId="9" hidden="1"/>
    <cellStyle name="Followed Hyperlink" xfId="36814" builtinId="9" hidden="1"/>
    <cellStyle name="Followed Hyperlink" xfId="36815" builtinId="9" hidden="1"/>
    <cellStyle name="Followed Hyperlink" xfId="36816" builtinId="9" hidden="1"/>
    <cellStyle name="Followed Hyperlink" xfId="36817" builtinId="9" hidden="1"/>
    <cellStyle name="Followed Hyperlink" xfId="36818" builtinId="9" hidden="1"/>
    <cellStyle name="Followed Hyperlink" xfId="36819" builtinId="9" hidden="1"/>
    <cellStyle name="Followed Hyperlink" xfId="36820" builtinId="9" hidden="1"/>
    <cellStyle name="Followed Hyperlink" xfId="36821" builtinId="9" hidden="1"/>
    <cellStyle name="Followed Hyperlink" xfId="36822" builtinId="9" hidden="1"/>
    <cellStyle name="Followed Hyperlink" xfId="36823" builtinId="9" hidden="1"/>
    <cellStyle name="Followed Hyperlink" xfId="36824" builtinId="9" hidden="1"/>
    <cellStyle name="Followed Hyperlink" xfId="36825" builtinId="9" hidden="1"/>
    <cellStyle name="Followed Hyperlink" xfId="36826" builtinId="9" hidden="1"/>
    <cellStyle name="Followed Hyperlink" xfId="36827" builtinId="9" hidden="1"/>
    <cellStyle name="Followed Hyperlink" xfId="36828" builtinId="9" hidden="1"/>
    <cellStyle name="Followed Hyperlink" xfId="36829" builtinId="9" hidden="1"/>
    <cellStyle name="Followed Hyperlink" xfId="36830" builtinId="9" hidden="1"/>
    <cellStyle name="Followed Hyperlink" xfId="36831" builtinId="9" hidden="1"/>
    <cellStyle name="Followed Hyperlink" xfId="36832" builtinId="9" hidden="1"/>
    <cellStyle name="Followed Hyperlink" xfId="36545" builtinId="9" hidden="1"/>
    <cellStyle name="Followed Hyperlink" xfId="36793" builtinId="9" hidden="1"/>
    <cellStyle name="Followed Hyperlink" xfId="36834" builtinId="9" hidden="1"/>
    <cellStyle name="Followed Hyperlink" xfId="36835" builtinId="9" hidden="1"/>
    <cellStyle name="Followed Hyperlink" xfId="36836" builtinId="9" hidden="1"/>
    <cellStyle name="Followed Hyperlink" xfId="36837" builtinId="9" hidden="1"/>
    <cellStyle name="Followed Hyperlink" xfId="36838" builtinId="9" hidden="1"/>
    <cellStyle name="Followed Hyperlink" xfId="36839" builtinId="9" hidden="1"/>
    <cellStyle name="Followed Hyperlink" xfId="36840" builtinId="9" hidden="1"/>
    <cellStyle name="Followed Hyperlink" xfId="36841" builtinId="9" hidden="1"/>
    <cellStyle name="Followed Hyperlink" xfId="36842" builtinId="9" hidden="1"/>
    <cellStyle name="Followed Hyperlink" xfId="36843" builtinId="9" hidden="1"/>
    <cellStyle name="Followed Hyperlink" xfId="36844" builtinId="9" hidden="1"/>
    <cellStyle name="Followed Hyperlink" xfId="36845" builtinId="9" hidden="1"/>
    <cellStyle name="Followed Hyperlink" xfId="36846" builtinId="9" hidden="1"/>
    <cellStyle name="Followed Hyperlink" xfId="36847" builtinId="9" hidden="1"/>
    <cellStyle name="Followed Hyperlink" xfId="36848" builtinId="9" hidden="1"/>
    <cellStyle name="Followed Hyperlink" xfId="36849" builtinId="9" hidden="1"/>
    <cellStyle name="Followed Hyperlink" xfId="36850" builtinId="9" hidden="1"/>
    <cellStyle name="Followed Hyperlink" xfId="36851" builtinId="9" hidden="1"/>
    <cellStyle name="Followed Hyperlink" xfId="36852" builtinId="9" hidden="1"/>
    <cellStyle name="Followed Hyperlink" xfId="36853" builtinId="9" hidden="1"/>
    <cellStyle name="Followed Hyperlink" xfId="36854" builtinId="9" hidden="1"/>
    <cellStyle name="Followed Hyperlink" xfId="36855" builtinId="9" hidden="1"/>
    <cellStyle name="Followed Hyperlink" xfId="36856" builtinId="9" hidden="1"/>
    <cellStyle name="Followed Hyperlink" xfId="36857" builtinId="9" hidden="1"/>
    <cellStyle name="Followed Hyperlink" xfId="36858" builtinId="9" hidden="1"/>
    <cellStyle name="Followed Hyperlink" xfId="36859" builtinId="9" hidden="1"/>
    <cellStyle name="Followed Hyperlink" xfId="36860" builtinId="9" hidden="1"/>
    <cellStyle name="Followed Hyperlink" xfId="36861" builtinId="9" hidden="1"/>
    <cellStyle name="Followed Hyperlink" xfId="36862" builtinId="9" hidden="1"/>
    <cellStyle name="Followed Hyperlink" xfId="36863" builtinId="9" hidden="1"/>
    <cellStyle name="Followed Hyperlink" xfId="36864" builtinId="9" hidden="1"/>
    <cellStyle name="Followed Hyperlink" xfId="36865" builtinId="9" hidden="1"/>
    <cellStyle name="Followed Hyperlink" xfId="36866" builtinId="9" hidden="1"/>
    <cellStyle name="Followed Hyperlink" xfId="36867" builtinId="9" hidden="1"/>
    <cellStyle name="Followed Hyperlink" xfId="36868" builtinId="9" hidden="1"/>
    <cellStyle name="Followed Hyperlink" xfId="36869" builtinId="9" hidden="1"/>
    <cellStyle name="Followed Hyperlink" xfId="36870" builtinId="9" hidden="1"/>
    <cellStyle name="Followed Hyperlink" xfId="36871" builtinId="9" hidden="1"/>
    <cellStyle name="Followed Hyperlink" xfId="36872" builtinId="9" hidden="1"/>
    <cellStyle name="Followed Hyperlink" xfId="36546" builtinId="9" hidden="1"/>
    <cellStyle name="Followed Hyperlink" xfId="36833" builtinId="9" hidden="1"/>
    <cellStyle name="Followed Hyperlink" xfId="36874" builtinId="9" hidden="1"/>
    <cellStyle name="Followed Hyperlink" xfId="36875" builtinId="9" hidden="1"/>
    <cellStyle name="Followed Hyperlink" xfId="36876" builtinId="9" hidden="1"/>
    <cellStyle name="Followed Hyperlink" xfId="36877" builtinId="9" hidden="1"/>
    <cellStyle name="Followed Hyperlink" xfId="36878" builtinId="9" hidden="1"/>
    <cellStyle name="Followed Hyperlink" xfId="36879" builtinId="9" hidden="1"/>
    <cellStyle name="Followed Hyperlink" xfId="36880" builtinId="9" hidden="1"/>
    <cellStyle name="Followed Hyperlink" xfId="36881" builtinId="9" hidden="1"/>
    <cellStyle name="Followed Hyperlink" xfId="36882" builtinId="9" hidden="1"/>
    <cellStyle name="Followed Hyperlink" xfId="36883" builtinId="9" hidden="1"/>
    <cellStyle name="Followed Hyperlink" xfId="36884" builtinId="9" hidden="1"/>
    <cellStyle name="Followed Hyperlink" xfId="36885" builtinId="9" hidden="1"/>
    <cellStyle name="Followed Hyperlink" xfId="36886" builtinId="9" hidden="1"/>
    <cellStyle name="Followed Hyperlink" xfId="36887" builtinId="9" hidden="1"/>
    <cellStyle name="Followed Hyperlink" xfId="36888" builtinId="9" hidden="1"/>
    <cellStyle name="Followed Hyperlink" xfId="36889" builtinId="9" hidden="1"/>
    <cellStyle name="Followed Hyperlink" xfId="36890" builtinId="9" hidden="1"/>
    <cellStyle name="Followed Hyperlink" xfId="36891" builtinId="9" hidden="1"/>
    <cellStyle name="Followed Hyperlink" xfId="36892" builtinId="9" hidden="1"/>
    <cellStyle name="Followed Hyperlink" xfId="36893" builtinId="9" hidden="1"/>
    <cellStyle name="Followed Hyperlink" xfId="36894" builtinId="9" hidden="1"/>
    <cellStyle name="Followed Hyperlink" xfId="36895" builtinId="9" hidden="1"/>
    <cellStyle name="Followed Hyperlink" xfId="36896" builtinId="9" hidden="1"/>
    <cellStyle name="Followed Hyperlink" xfId="36897" builtinId="9" hidden="1"/>
    <cellStyle name="Followed Hyperlink" xfId="36898" builtinId="9" hidden="1"/>
    <cellStyle name="Followed Hyperlink" xfId="36899" builtinId="9" hidden="1"/>
    <cellStyle name="Followed Hyperlink" xfId="36900" builtinId="9" hidden="1"/>
    <cellStyle name="Followed Hyperlink" xfId="36901" builtinId="9" hidden="1"/>
    <cellStyle name="Followed Hyperlink" xfId="36902" builtinId="9" hidden="1"/>
    <cellStyle name="Followed Hyperlink" xfId="36903" builtinId="9" hidden="1"/>
    <cellStyle name="Followed Hyperlink" xfId="36904" builtinId="9" hidden="1"/>
    <cellStyle name="Followed Hyperlink" xfId="36905" builtinId="9" hidden="1"/>
    <cellStyle name="Followed Hyperlink" xfId="36906" builtinId="9" hidden="1"/>
    <cellStyle name="Followed Hyperlink" xfId="36907" builtinId="9" hidden="1"/>
    <cellStyle name="Followed Hyperlink" xfId="36908" builtinId="9" hidden="1"/>
    <cellStyle name="Followed Hyperlink" xfId="36909" builtinId="9" hidden="1"/>
    <cellStyle name="Followed Hyperlink" xfId="36910" builtinId="9" hidden="1"/>
    <cellStyle name="Followed Hyperlink" xfId="36911" builtinId="9" hidden="1"/>
    <cellStyle name="Followed Hyperlink" xfId="36912" builtinId="9" hidden="1"/>
    <cellStyle name="Followed Hyperlink" xfId="36548" builtinId="9" hidden="1"/>
    <cellStyle name="Followed Hyperlink" xfId="36873" builtinId="9" hidden="1"/>
    <cellStyle name="Followed Hyperlink" xfId="36914" builtinId="9" hidden="1"/>
    <cellStyle name="Followed Hyperlink" xfId="36915" builtinId="9" hidden="1"/>
    <cellStyle name="Followed Hyperlink" xfId="36916" builtinId="9" hidden="1"/>
    <cellStyle name="Followed Hyperlink" xfId="36917" builtinId="9" hidden="1"/>
    <cellStyle name="Followed Hyperlink" xfId="36918" builtinId="9" hidden="1"/>
    <cellStyle name="Followed Hyperlink" xfId="36919" builtinId="9" hidden="1"/>
    <cellStyle name="Followed Hyperlink" xfId="36920" builtinId="9" hidden="1"/>
    <cellStyle name="Followed Hyperlink" xfId="36921" builtinId="9" hidden="1"/>
    <cellStyle name="Followed Hyperlink" xfId="36922" builtinId="9" hidden="1"/>
    <cellStyle name="Followed Hyperlink" xfId="36923" builtinId="9" hidden="1"/>
    <cellStyle name="Followed Hyperlink" xfId="36924" builtinId="9" hidden="1"/>
    <cellStyle name="Followed Hyperlink" xfId="36925" builtinId="9" hidden="1"/>
    <cellStyle name="Followed Hyperlink" xfId="36926" builtinId="9" hidden="1"/>
    <cellStyle name="Followed Hyperlink" xfId="36927" builtinId="9" hidden="1"/>
    <cellStyle name="Followed Hyperlink" xfId="36928" builtinId="9" hidden="1"/>
    <cellStyle name="Followed Hyperlink" xfId="36929" builtinId="9" hidden="1"/>
    <cellStyle name="Followed Hyperlink" xfId="36930" builtinId="9" hidden="1"/>
    <cellStyle name="Followed Hyperlink" xfId="36931" builtinId="9" hidden="1"/>
    <cellStyle name="Followed Hyperlink" xfId="36932" builtinId="9" hidden="1"/>
    <cellStyle name="Followed Hyperlink" xfId="36933" builtinId="9" hidden="1"/>
    <cellStyle name="Followed Hyperlink" xfId="36934" builtinId="9" hidden="1"/>
    <cellStyle name="Followed Hyperlink" xfId="36935" builtinId="9" hidden="1"/>
    <cellStyle name="Followed Hyperlink" xfId="36936" builtinId="9" hidden="1"/>
    <cellStyle name="Followed Hyperlink" xfId="36937" builtinId="9" hidden="1"/>
    <cellStyle name="Followed Hyperlink" xfId="36938" builtinId="9" hidden="1"/>
    <cellStyle name="Followed Hyperlink" xfId="36939" builtinId="9" hidden="1"/>
    <cellStyle name="Followed Hyperlink" xfId="36940" builtinId="9" hidden="1"/>
    <cellStyle name="Followed Hyperlink" xfId="36941" builtinId="9" hidden="1"/>
    <cellStyle name="Followed Hyperlink" xfId="36942" builtinId="9" hidden="1"/>
    <cellStyle name="Followed Hyperlink" xfId="36943" builtinId="9" hidden="1"/>
    <cellStyle name="Followed Hyperlink" xfId="36944" builtinId="9" hidden="1"/>
    <cellStyle name="Followed Hyperlink" xfId="36945" builtinId="9" hidden="1"/>
    <cellStyle name="Followed Hyperlink" xfId="36946" builtinId="9" hidden="1"/>
    <cellStyle name="Followed Hyperlink" xfId="36947" builtinId="9" hidden="1"/>
    <cellStyle name="Followed Hyperlink" xfId="36948" builtinId="9" hidden="1"/>
    <cellStyle name="Followed Hyperlink" xfId="36949" builtinId="9" hidden="1"/>
    <cellStyle name="Followed Hyperlink" xfId="36950" builtinId="9" hidden="1"/>
    <cellStyle name="Followed Hyperlink" xfId="36951" builtinId="9" hidden="1"/>
    <cellStyle name="Followed Hyperlink" xfId="36952" builtinId="9" hidden="1"/>
    <cellStyle name="Followed Hyperlink" xfId="36544" builtinId="9" hidden="1"/>
    <cellStyle name="Followed Hyperlink" xfId="36913" builtinId="9" hidden="1"/>
    <cellStyle name="Followed Hyperlink" xfId="36953" builtinId="9" hidden="1"/>
    <cellStyle name="Followed Hyperlink" xfId="36954" builtinId="9" hidden="1"/>
    <cellStyle name="Followed Hyperlink" xfId="36955" builtinId="9" hidden="1"/>
    <cellStyle name="Followed Hyperlink" xfId="36956" builtinId="9" hidden="1"/>
    <cellStyle name="Followed Hyperlink" xfId="36957" builtinId="9" hidden="1"/>
    <cellStyle name="Followed Hyperlink" xfId="36958" builtinId="9" hidden="1"/>
    <cellStyle name="Followed Hyperlink" xfId="36959" builtinId="9" hidden="1"/>
    <cellStyle name="Followed Hyperlink" xfId="36960" builtinId="9" hidden="1"/>
    <cellStyle name="Followed Hyperlink" xfId="36961" builtinId="9" hidden="1"/>
    <cellStyle name="Followed Hyperlink" xfId="36962" builtinId="9" hidden="1"/>
    <cellStyle name="Followed Hyperlink" xfId="36963" builtinId="9" hidden="1"/>
    <cellStyle name="Followed Hyperlink" xfId="36964" builtinId="9" hidden="1"/>
    <cellStyle name="Followed Hyperlink" xfId="36965" builtinId="9" hidden="1"/>
    <cellStyle name="Followed Hyperlink" xfId="36966" builtinId="9" hidden="1"/>
    <cellStyle name="Followed Hyperlink" xfId="36967" builtinId="9" hidden="1"/>
    <cellStyle name="Followed Hyperlink" xfId="36968" builtinId="9" hidden="1"/>
    <cellStyle name="Followed Hyperlink" xfId="36969" builtinId="9" hidden="1"/>
    <cellStyle name="Followed Hyperlink" xfId="36970" builtinId="9" hidden="1"/>
    <cellStyle name="Followed Hyperlink" xfId="36971" builtinId="9" hidden="1"/>
    <cellStyle name="Followed Hyperlink" xfId="36972" builtinId="9" hidden="1"/>
    <cellStyle name="Followed Hyperlink" xfId="36973" builtinId="9" hidden="1"/>
    <cellStyle name="Followed Hyperlink" xfId="36974" builtinId="9" hidden="1"/>
    <cellStyle name="Followed Hyperlink" xfId="36975" builtinId="9" hidden="1"/>
    <cellStyle name="Followed Hyperlink" xfId="36976" builtinId="9" hidden="1"/>
    <cellStyle name="Followed Hyperlink" xfId="36977" builtinId="9" hidden="1"/>
    <cellStyle name="Followed Hyperlink" xfId="36978" builtinId="9" hidden="1"/>
    <cellStyle name="Followed Hyperlink" xfId="36979" builtinId="9" hidden="1"/>
    <cellStyle name="Followed Hyperlink" xfId="36980" builtinId="9" hidden="1"/>
    <cellStyle name="Followed Hyperlink" xfId="36981" builtinId="9" hidden="1"/>
    <cellStyle name="Followed Hyperlink" xfId="36982" builtinId="9" hidden="1"/>
    <cellStyle name="Followed Hyperlink" xfId="36983" builtinId="9" hidden="1"/>
    <cellStyle name="Followed Hyperlink" xfId="36984" builtinId="9" hidden="1"/>
    <cellStyle name="Followed Hyperlink" xfId="36985" builtinId="9" hidden="1"/>
    <cellStyle name="Followed Hyperlink" xfId="36986" builtinId="9" hidden="1"/>
    <cellStyle name="Followed Hyperlink" xfId="36987" builtinId="9" hidden="1"/>
    <cellStyle name="Followed Hyperlink" xfId="36988" builtinId="9" hidden="1"/>
    <cellStyle name="Followed Hyperlink" xfId="36989" builtinId="9" hidden="1"/>
    <cellStyle name="Followed Hyperlink" xfId="36990" builtinId="9" hidden="1"/>
    <cellStyle name="Followed Hyperlink" xfId="36991" builtinId="9" hidden="1"/>
    <cellStyle name="Followed Hyperlink" xfId="36992" builtinId="9" hidden="1"/>
    <cellStyle name="Followed Hyperlink" xfId="36993" builtinId="9" hidden="1"/>
    <cellStyle name="Followed Hyperlink" xfId="36994" builtinId="9" hidden="1"/>
    <cellStyle name="Followed Hyperlink" xfId="36995" builtinId="9" hidden="1"/>
    <cellStyle name="Followed Hyperlink" xfId="36996" builtinId="9" hidden="1"/>
    <cellStyle name="Followed Hyperlink" xfId="36997" builtinId="9" hidden="1"/>
    <cellStyle name="Followed Hyperlink" xfId="36998" builtinId="9" hidden="1"/>
    <cellStyle name="Followed Hyperlink" xfId="36999" builtinId="9" hidden="1"/>
    <cellStyle name="Followed Hyperlink" xfId="37000" builtinId="9" hidden="1"/>
    <cellStyle name="Followed Hyperlink" xfId="37001" builtinId="9" hidden="1"/>
    <cellStyle name="Followed Hyperlink" xfId="37002" builtinId="9" hidden="1"/>
    <cellStyle name="Followed Hyperlink" xfId="37003" builtinId="9" hidden="1"/>
    <cellStyle name="Followed Hyperlink" xfId="37004" builtinId="9" hidden="1"/>
    <cellStyle name="Followed Hyperlink" xfId="37005" builtinId="9" hidden="1"/>
    <cellStyle name="Followed Hyperlink" xfId="37006" builtinId="9" hidden="1"/>
    <cellStyle name="Followed Hyperlink" xfId="37007" builtinId="9" hidden="1"/>
    <cellStyle name="Followed Hyperlink" xfId="37008" builtinId="9" hidden="1"/>
    <cellStyle name="Followed Hyperlink" xfId="37009" builtinId="9" hidden="1"/>
    <cellStyle name="Followed Hyperlink" xfId="37010" builtinId="9" hidden="1"/>
    <cellStyle name="Followed Hyperlink" xfId="37011" builtinId="9" hidden="1"/>
    <cellStyle name="Followed Hyperlink" xfId="37012" builtinId="9" hidden="1"/>
    <cellStyle name="Followed Hyperlink" xfId="37013" builtinId="9" hidden="1"/>
    <cellStyle name="Followed Hyperlink" xfId="37014" builtinId="9" hidden="1"/>
    <cellStyle name="Followed Hyperlink" xfId="37015" builtinId="9" hidden="1"/>
    <cellStyle name="Followed Hyperlink" xfId="37016" builtinId="9" hidden="1"/>
    <cellStyle name="Followed Hyperlink" xfId="37017" builtinId="9" hidden="1"/>
    <cellStyle name="Followed Hyperlink" xfId="37018" builtinId="9" hidden="1"/>
    <cellStyle name="Followed Hyperlink" xfId="37019" builtinId="9" hidden="1"/>
    <cellStyle name="Followed Hyperlink" xfId="37020" builtinId="9" hidden="1"/>
    <cellStyle name="Followed Hyperlink" xfId="37021" builtinId="9" hidden="1"/>
    <cellStyle name="Followed Hyperlink" xfId="37022" builtinId="9" hidden="1"/>
    <cellStyle name="Followed Hyperlink" xfId="37023" builtinId="9" hidden="1"/>
    <cellStyle name="Followed Hyperlink" xfId="37024" builtinId="9" hidden="1"/>
    <cellStyle name="Followed Hyperlink" xfId="37025" builtinId="9" hidden="1"/>
    <cellStyle name="Followed Hyperlink" xfId="37026" builtinId="9" hidden="1"/>
    <cellStyle name="Followed Hyperlink" xfId="37027" builtinId="9" hidden="1"/>
    <cellStyle name="Followed Hyperlink" xfId="37028" builtinId="9" hidden="1"/>
    <cellStyle name="Followed Hyperlink" xfId="37029" builtinId="9" hidden="1"/>
    <cellStyle name="Followed Hyperlink" xfId="37030" builtinId="9" hidden="1"/>
    <cellStyle name="Followed Hyperlink" xfId="37031" builtinId="9" hidden="1"/>
    <cellStyle name="Followed Hyperlink" xfId="37032" builtinId="9" hidden="1"/>
    <cellStyle name="Followed Hyperlink" xfId="37041" builtinId="9" hidden="1"/>
    <cellStyle name="Followed Hyperlink" xfId="37042" builtinId="9" hidden="1"/>
    <cellStyle name="Followed Hyperlink" xfId="37043" builtinId="9" hidden="1"/>
    <cellStyle name="Followed Hyperlink" xfId="37044" builtinId="9" hidden="1"/>
    <cellStyle name="Followed Hyperlink" xfId="37045" builtinId="9" hidden="1"/>
    <cellStyle name="Followed Hyperlink" xfId="37046" builtinId="9" hidden="1"/>
    <cellStyle name="Followed Hyperlink" xfId="37047" builtinId="9" hidden="1"/>
    <cellStyle name="Followed Hyperlink" xfId="37048" builtinId="9" hidden="1"/>
    <cellStyle name="Followed Hyperlink" xfId="37049" builtinId="9" hidden="1"/>
    <cellStyle name="Followed Hyperlink" xfId="37050" builtinId="9" hidden="1"/>
    <cellStyle name="Followed Hyperlink" xfId="37051" builtinId="9" hidden="1"/>
    <cellStyle name="Followed Hyperlink" xfId="37052" builtinId="9" hidden="1"/>
    <cellStyle name="Followed Hyperlink" xfId="37053" builtinId="9" hidden="1"/>
    <cellStyle name="Followed Hyperlink" xfId="37054" builtinId="9" hidden="1"/>
    <cellStyle name="Followed Hyperlink" xfId="37055" builtinId="9" hidden="1"/>
    <cellStyle name="Followed Hyperlink" xfId="37056" builtinId="9" hidden="1"/>
    <cellStyle name="Followed Hyperlink" xfId="37057" builtinId="9" hidden="1"/>
    <cellStyle name="Followed Hyperlink" xfId="37058" builtinId="9" hidden="1"/>
    <cellStyle name="Followed Hyperlink" xfId="37059" builtinId="9" hidden="1"/>
    <cellStyle name="Followed Hyperlink" xfId="37060" builtinId="9" hidden="1"/>
    <cellStyle name="Followed Hyperlink" xfId="37061" builtinId="9" hidden="1"/>
    <cellStyle name="Followed Hyperlink" xfId="37062" builtinId="9" hidden="1"/>
    <cellStyle name="Followed Hyperlink" xfId="37063" builtinId="9" hidden="1"/>
    <cellStyle name="Followed Hyperlink" xfId="37064" builtinId="9" hidden="1"/>
    <cellStyle name="Followed Hyperlink" xfId="37065" builtinId="9" hidden="1"/>
    <cellStyle name="Followed Hyperlink" xfId="37066" builtinId="9" hidden="1"/>
    <cellStyle name="Followed Hyperlink" xfId="37067" builtinId="9" hidden="1"/>
    <cellStyle name="Followed Hyperlink" xfId="37068" builtinId="9" hidden="1"/>
    <cellStyle name="Followed Hyperlink" xfId="37069" builtinId="9" hidden="1"/>
    <cellStyle name="Followed Hyperlink" xfId="37070" builtinId="9" hidden="1"/>
    <cellStyle name="Followed Hyperlink" xfId="37071" builtinId="9" hidden="1"/>
    <cellStyle name="Followed Hyperlink" xfId="37072" builtinId="9" hidden="1"/>
    <cellStyle name="Followed Hyperlink" xfId="37073" builtinId="9" hidden="1"/>
    <cellStyle name="Followed Hyperlink" xfId="37074" builtinId="9" hidden="1"/>
    <cellStyle name="Followed Hyperlink" xfId="37075" builtinId="9" hidden="1"/>
    <cellStyle name="Followed Hyperlink" xfId="37076" builtinId="9" hidden="1"/>
    <cellStyle name="Followed Hyperlink" xfId="37077" builtinId="9" hidden="1"/>
    <cellStyle name="Followed Hyperlink" xfId="37078" builtinId="9" hidden="1"/>
    <cellStyle name="Followed Hyperlink" xfId="37079" builtinId="9" hidden="1"/>
    <cellStyle name="Followed Hyperlink" xfId="37080" builtinId="9" hidden="1"/>
    <cellStyle name="Followed Hyperlink" xfId="37081" builtinId="9" hidden="1"/>
    <cellStyle name="Followed Hyperlink" xfId="37082" builtinId="9" hidden="1"/>
    <cellStyle name="Followed Hyperlink" xfId="37083" builtinId="9" hidden="1"/>
    <cellStyle name="Followed Hyperlink" xfId="37084" builtinId="9" hidden="1"/>
    <cellStyle name="Followed Hyperlink" xfId="37085" builtinId="9" hidden="1"/>
    <cellStyle name="Followed Hyperlink" xfId="37086" builtinId="9" hidden="1"/>
    <cellStyle name="Followed Hyperlink" xfId="37087" builtinId="9" hidden="1"/>
    <cellStyle name="Followed Hyperlink" xfId="37088" builtinId="9" hidden="1"/>
    <cellStyle name="Followed Hyperlink" xfId="37089" builtinId="9" hidden="1"/>
    <cellStyle name="Followed Hyperlink" xfId="37090" builtinId="9" hidden="1"/>
    <cellStyle name="Followed Hyperlink" xfId="37091" builtinId="9" hidden="1"/>
    <cellStyle name="Followed Hyperlink" xfId="37092" builtinId="9" hidden="1"/>
    <cellStyle name="Followed Hyperlink" xfId="37093" builtinId="9" hidden="1"/>
    <cellStyle name="Followed Hyperlink" xfId="37094" builtinId="9" hidden="1"/>
    <cellStyle name="Followed Hyperlink" xfId="37095" builtinId="9" hidden="1"/>
    <cellStyle name="Followed Hyperlink" xfId="37096" builtinId="9" hidden="1"/>
    <cellStyle name="Followed Hyperlink" xfId="37097" builtinId="9" hidden="1"/>
    <cellStyle name="Followed Hyperlink" xfId="37098" builtinId="9" hidden="1"/>
    <cellStyle name="Followed Hyperlink" xfId="37099" builtinId="9" hidden="1"/>
    <cellStyle name="Followed Hyperlink" xfId="37100" builtinId="9" hidden="1"/>
    <cellStyle name="Followed Hyperlink" xfId="37101" builtinId="9" hidden="1"/>
    <cellStyle name="Followed Hyperlink" xfId="37102" builtinId="9" hidden="1"/>
    <cellStyle name="Followed Hyperlink" xfId="37103" builtinId="9" hidden="1"/>
    <cellStyle name="Followed Hyperlink" xfId="37104" builtinId="9" hidden="1"/>
    <cellStyle name="Followed Hyperlink" xfId="37105" builtinId="9" hidden="1"/>
    <cellStyle name="Followed Hyperlink" xfId="37106" builtinId="9" hidden="1"/>
    <cellStyle name="Followed Hyperlink" xfId="37107" builtinId="9" hidden="1"/>
    <cellStyle name="Followed Hyperlink" xfId="37108" builtinId="9" hidden="1"/>
    <cellStyle name="Followed Hyperlink" xfId="37109" builtinId="9" hidden="1"/>
    <cellStyle name="Followed Hyperlink" xfId="37110" builtinId="9" hidden="1"/>
    <cellStyle name="Followed Hyperlink" xfId="37111" builtinId="9" hidden="1"/>
    <cellStyle name="Followed Hyperlink" xfId="37112" builtinId="9" hidden="1"/>
    <cellStyle name="Followed Hyperlink" xfId="37113" builtinId="9" hidden="1"/>
    <cellStyle name="Followed Hyperlink" xfId="37114" builtinId="9" hidden="1"/>
    <cellStyle name="Followed Hyperlink" xfId="37115" builtinId="9" hidden="1"/>
    <cellStyle name="Followed Hyperlink" xfId="37116" builtinId="9" hidden="1"/>
    <cellStyle name="Followed Hyperlink" xfId="37117" builtinId="9" hidden="1"/>
    <cellStyle name="Followed Hyperlink" xfId="37118" builtinId="9" hidden="1"/>
    <cellStyle name="Followed Hyperlink" xfId="37119" builtinId="9" hidden="1"/>
    <cellStyle name="Followed Hyperlink" xfId="37120" builtinId="9" hidden="1"/>
    <cellStyle name="Followed Hyperlink" xfId="37121" builtinId="9" hidden="1"/>
    <cellStyle name="Followed Hyperlink" xfId="37122" builtinId="9" hidden="1"/>
    <cellStyle name="Followed Hyperlink" xfId="37123" builtinId="9" hidden="1"/>
    <cellStyle name="Followed Hyperlink" xfId="37124" builtinId="9" hidden="1"/>
    <cellStyle name="Followed Hyperlink" xfId="37125" builtinId="9" hidden="1"/>
    <cellStyle name="Followed Hyperlink" xfId="37126" builtinId="9" hidden="1"/>
    <cellStyle name="Followed Hyperlink" xfId="37127" builtinId="9" hidden="1"/>
    <cellStyle name="Followed Hyperlink" xfId="37128" builtinId="9" hidden="1"/>
    <cellStyle name="Followed Hyperlink" xfId="37129" builtinId="9" hidden="1"/>
    <cellStyle name="Followed Hyperlink" xfId="37130" builtinId="9" hidden="1"/>
    <cellStyle name="Followed Hyperlink" xfId="37131" builtinId="9" hidden="1"/>
    <cellStyle name="Followed Hyperlink" xfId="37132" builtinId="9" hidden="1"/>
    <cellStyle name="Followed Hyperlink" xfId="37133" builtinId="9" hidden="1"/>
    <cellStyle name="Followed Hyperlink" xfId="37134" builtinId="9" hidden="1"/>
    <cellStyle name="Followed Hyperlink" xfId="37135" builtinId="9" hidden="1"/>
    <cellStyle name="Followed Hyperlink" xfId="37136" builtinId="9" hidden="1"/>
    <cellStyle name="Followed Hyperlink" xfId="37137" builtinId="9" hidden="1"/>
    <cellStyle name="Followed Hyperlink" xfId="37138" builtinId="9" hidden="1"/>
    <cellStyle name="Followed Hyperlink" xfId="37139" builtinId="9" hidden="1"/>
    <cellStyle name="Followed Hyperlink" xfId="37140" builtinId="9" hidden="1"/>
    <cellStyle name="Followed Hyperlink" xfId="37141" builtinId="9" hidden="1"/>
    <cellStyle name="Followed Hyperlink" xfId="37142" builtinId="9" hidden="1"/>
    <cellStyle name="Followed Hyperlink" xfId="37143" builtinId="9" hidden="1"/>
    <cellStyle name="Followed Hyperlink" xfId="37144" builtinId="9" hidden="1"/>
    <cellStyle name="Followed Hyperlink" xfId="37145" builtinId="9" hidden="1"/>
    <cellStyle name="Followed Hyperlink" xfId="37146" builtinId="9" hidden="1"/>
    <cellStyle name="Followed Hyperlink" xfId="37147" builtinId="9" hidden="1"/>
    <cellStyle name="Followed Hyperlink" xfId="37148" builtinId="9" hidden="1"/>
    <cellStyle name="Followed Hyperlink" xfId="37149" builtinId="9" hidden="1"/>
    <cellStyle name="Followed Hyperlink" xfId="37150" builtinId="9" hidden="1"/>
    <cellStyle name="Followed Hyperlink" xfId="37151" builtinId="9" hidden="1"/>
    <cellStyle name="Followed Hyperlink" xfId="37152" builtinId="9" hidden="1"/>
    <cellStyle name="Followed Hyperlink" xfId="37153" builtinId="9" hidden="1"/>
    <cellStyle name="Followed Hyperlink" xfId="37154" builtinId="9" hidden="1"/>
    <cellStyle name="Followed Hyperlink" xfId="37155" builtinId="9" hidden="1"/>
    <cellStyle name="Followed Hyperlink" xfId="37156" builtinId="9" hidden="1"/>
    <cellStyle name="Followed Hyperlink" xfId="37157" builtinId="9" hidden="1"/>
    <cellStyle name="Followed Hyperlink" xfId="37158" builtinId="9" hidden="1"/>
    <cellStyle name="Followed Hyperlink" xfId="37159" builtinId="9" hidden="1"/>
    <cellStyle name="Followed Hyperlink" xfId="37160" builtinId="9" hidden="1"/>
    <cellStyle name="Followed Hyperlink" xfId="37161" builtinId="9" hidden="1"/>
    <cellStyle name="Followed Hyperlink" xfId="37162" builtinId="9" hidden="1"/>
    <cellStyle name="Followed Hyperlink" xfId="37163" builtinId="9" hidden="1"/>
    <cellStyle name="Followed Hyperlink" xfId="37033" builtinId="9" hidden="1"/>
    <cellStyle name="Followed Hyperlink" xfId="33064" builtinId="9" hidden="1"/>
    <cellStyle name="Followed Hyperlink" xfId="37165" builtinId="9" hidden="1"/>
    <cellStyle name="Followed Hyperlink" xfId="37166" builtinId="9" hidden="1"/>
    <cellStyle name="Followed Hyperlink" xfId="37167" builtinId="9" hidden="1"/>
    <cellStyle name="Followed Hyperlink" xfId="37168" builtinId="9" hidden="1"/>
    <cellStyle name="Followed Hyperlink" xfId="37169" builtinId="9" hidden="1"/>
    <cellStyle name="Followed Hyperlink" xfId="37170" builtinId="9" hidden="1"/>
    <cellStyle name="Followed Hyperlink" xfId="37171" builtinId="9" hidden="1"/>
    <cellStyle name="Followed Hyperlink" xfId="37172" builtinId="9" hidden="1"/>
    <cellStyle name="Followed Hyperlink" xfId="37173" builtinId="9" hidden="1"/>
    <cellStyle name="Followed Hyperlink" xfId="37174" builtinId="9" hidden="1"/>
    <cellStyle name="Followed Hyperlink" xfId="37175" builtinId="9" hidden="1"/>
    <cellStyle name="Followed Hyperlink" xfId="37176" builtinId="9" hidden="1"/>
    <cellStyle name="Followed Hyperlink" xfId="37177" builtinId="9" hidden="1"/>
    <cellStyle name="Followed Hyperlink" xfId="37178" builtinId="9" hidden="1"/>
    <cellStyle name="Followed Hyperlink" xfId="37179" builtinId="9" hidden="1"/>
    <cellStyle name="Followed Hyperlink" xfId="37180" builtinId="9" hidden="1"/>
    <cellStyle name="Followed Hyperlink" xfId="37181" builtinId="9" hidden="1"/>
    <cellStyle name="Followed Hyperlink" xfId="37182" builtinId="9" hidden="1"/>
    <cellStyle name="Followed Hyperlink" xfId="37183" builtinId="9" hidden="1"/>
    <cellStyle name="Followed Hyperlink" xfId="37184" builtinId="9" hidden="1"/>
    <cellStyle name="Followed Hyperlink" xfId="37185" builtinId="9" hidden="1"/>
    <cellStyle name="Followed Hyperlink" xfId="37186" builtinId="9" hidden="1"/>
    <cellStyle name="Followed Hyperlink" xfId="37187" builtinId="9" hidden="1"/>
    <cellStyle name="Followed Hyperlink" xfId="37188" builtinId="9" hidden="1"/>
    <cellStyle name="Followed Hyperlink" xfId="37189" builtinId="9" hidden="1"/>
    <cellStyle name="Followed Hyperlink" xfId="37190" builtinId="9" hidden="1"/>
    <cellStyle name="Followed Hyperlink" xfId="37191" builtinId="9" hidden="1"/>
    <cellStyle name="Followed Hyperlink" xfId="37192" builtinId="9" hidden="1"/>
    <cellStyle name="Followed Hyperlink" xfId="37193" builtinId="9" hidden="1"/>
    <cellStyle name="Followed Hyperlink" xfId="37194" builtinId="9" hidden="1"/>
    <cellStyle name="Followed Hyperlink" xfId="37195" builtinId="9" hidden="1"/>
    <cellStyle name="Followed Hyperlink" xfId="37196" builtinId="9" hidden="1"/>
    <cellStyle name="Followed Hyperlink" xfId="37197" builtinId="9" hidden="1"/>
    <cellStyle name="Followed Hyperlink" xfId="37198" builtinId="9" hidden="1"/>
    <cellStyle name="Followed Hyperlink" xfId="37199" builtinId="9" hidden="1"/>
    <cellStyle name="Followed Hyperlink" xfId="37200" builtinId="9" hidden="1"/>
    <cellStyle name="Followed Hyperlink" xfId="37201" builtinId="9" hidden="1"/>
    <cellStyle name="Followed Hyperlink" xfId="37202" builtinId="9" hidden="1"/>
    <cellStyle name="Followed Hyperlink" xfId="37203" builtinId="9" hidden="1"/>
    <cellStyle name="Followed Hyperlink" xfId="37038" builtinId="9" hidden="1"/>
    <cellStyle name="Followed Hyperlink" xfId="37164" builtinId="9" hidden="1"/>
    <cellStyle name="Followed Hyperlink" xfId="37205" builtinId="9" hidden="1"/>
    <cellStyle name="Followed Hyperlink" xfId="37206" builtinId="9" hidden="1"/>
    <cellStyle name="Followed Hyperlink" xfId="37207" builtinId="9" hidden="1"/>
    <cellStyle name="Followed Hyperlink" xfId="37208" builtinId="9" hidden="1"/>
    <cellStyle name="Followed Hyperlink" xfId="37209" builtinId="9" hidden="1"/>
    <cellStyle name="Followed Hyperlink" xfId="37210" builtinId="9" hidden="1"/>
    <cellStyle name="Followed Hyperlink" xfId="37211" builtinId="9" hidden="1"/>
    <cellStyle name="Followed Hyperlink" xfId="37212" builtinId="9" hidden="1"/>
    <cellStyle name="Followed Hyperlink" xfId="37213" builtinId="9" hidden="1"/>
    <cellStyle name="Followed Hyperlink" xfId="37214" builtinId="9" hidden="1"/>
    <cellStyle name="Followed Hyperlink" xfId="37215" builtinId="9" hidden="1"/>
    <cellStyle name="Followed Hyperlink" xfId="37216" builtinId="9" hidden="1"/>
    <cellStyle name="Followed Hyperlink" xfId="37217" builtinId="9" hidden="1"/>
    <cellStyle name="Followed Hyperlink" xfId="37218" builtinId="9" hidden="1"/>
    <cellStyle name="Followed Hyperlink" xfId="37219" builtinId="9" hidden="1"/>
    <cellStyle name="Followed Hyperlink" xfId="37220" builtinId="9" hidden="1"/>
    <cellStyle name="Followed Hyperlink" xfId="37221" builtinId="9" hidden="1"/>
    <cellStyle name="Followed Hyperlink" xfId="37222" builtinId="9" hidden="1"/>
    <cellStyle name="Followed Hyperlink" xfId="37223" builtinId="9" hidden="1"/>
    <cellStyle name="Followed Hyperlink" xfId="37224" builtinId="9" hidden="1"/>
    <cellStyle name="Followed Hyperlink" xfId="37225" builtinId="9" hidden="1"/>
    <cellStyle name="Followed Hyperlink" xfId="37226" builtinId="9" hidden="1"/>
    <cellStyle name="Followed Hyperlink" xfId="37227" builtinId="9" hidden="1"/>
    <cellStyle name="Followed Hyperlink" xfId="37228" builtinId="9" hidden="1"/>
    <cellStyle name="Followed Hyperlink" xfId="37229" builtinId="9" hidden="1"/>
    <cellStyle name="Followed Hyperlink" xfId="37230" builtinId="9" hidden="1"/>
    <cellStyle name="Followed Hyperlink" xfId="37231" builtinId="9" hidden="1"/>
    <cellStyle name="Followed Hyperlink" xfId="37232" builtinId="9" hidden="1"/>
    <cellStyle name="Followed Hyperlink" xfId="37233" builtinId="9" hidden="1"/>
    <cellStyle name="Followed Hyperlink" xfId="37234" builtinId="9" hidden="1"/>
    <cellStyle name="Followed Hyperlink" xfId="37235" builtinId="9" hidden="1"/>
    <cellStyle name="Followed Hyperlink" xfId="37236" builtinId="9" hidden="1"/>
    <cellStyle name="Followed Hyperlink" xfId="37237" builtinId="9" hidden="1"/>
    <cellStyle name="Followed Hyperlink" xfId="37238" builtinId="9" hidden="1"/>
    <cellStyle name="Followed Hyperlink" xfId="37239" builtinId="9" hidden="1"/>
    <cellStyle name="Followed Hyperlink" xfId="37240" builtinId="9" hidden="1"/>
    <cellStyle name="Followed Hyperlink" xfId="37241" builtinId="9" hidden="1"/>
    <cellStyle name="Followed Hyperlink" xfId="37242" builtinId="9" hidden="1"/>
    <cellStyle name="Followed Hyperlink" xfId="37243" builtinId="9" hidden="1"/>
    <cellStyle name="Followed Hyperlink" xfId="37040" builtinId="9" hidden="1"/>
    <cellStyle name="Followed Hyperlink" xfId="37204" builtinId="9" hidden="1"/>
    <cellStyle name="Followed Hyperlink" xfId="37245" builtinId="9" hidden="1"/>
    <cellStyle name="Followed Hyperlink" xfId="37246" builtinId="9" hidden="1"/>
    <cellStyle name="Followed Hyperlink" xfId="37247" builtinId="9" hidden="1"/>
    <cellStyle name="Followed Hyperlink" xfId="37248" builtinId="9" hidden="1"/>
    <cellStyle name="Followed Hyperlink" xfId="37249" builtinId="9" hidden="1"/>
    <cellStyle name="Followed Hyperlink" xfId="37250" builtinId="9" hidden="1"/>
    <cellStyle name="Followed Hyperlink" xfId="37251" builtinId="9" hidden="1"/>
    <cellStyle name="Followed Hyperlink" xfId="37252" builtinId="9" hidden="1"/>
    <cellStyle name="Followed Hyperlink" xfId="37253" builtinId="9" hidden="1"/>
    <cellStyle name="Followed Hyperlink" xfId="37254" builtinId="9" hidden="1"/>
    <cellStyle name="Followed Hyperlink" xfId="37255" builtinId="9" hidden="1"/>
    <cellStyle name="Followed Hyperlink" xfId="37256" builtinId="9" hidden="1"/>
    <cellStyle name="Followed Hyperlink" xfId="37257" builtinId="9" hidden="1"/>
    <cellStyle name="Followed Hyperlink" xfId="37258" builtinId="9" hidden="1"/>
    <cellStyle name="Followed Hyperlink" xfId="37259" builtinId="9" hidden="1"/>
    <cellStyle name="Followed Hyperlink" xfId="37260" builtinId="9" hidden="1"/>
    <cellStyle name="Followed Hyperlink" xfId="37261" builtinId="9" hidden="1"/>
    <cellStyle name="Followed Hyperlink" xfId="37262" builtinId="9" hidden="1"/>
    <cellStyle name="Followed Hyperlink" xfId="37263" builtinId="9" hidden="1"/>
    <cellStyle name="Followed Hyperlink" xfId="37264" builtinId="9" hidden="1"/>
    <cellStyle name="Followed Hyperlink" xfId="37265" builtinId="9" hidden="1"/>
    <cellStyle name="Followed Hyperlink" xfId="37266" builtinId="9" hidden="1"/>
    <cellStyle name="Followed Hyperlink" xfId="37267" builtinId="9" hidden="1"/>
    <cellStyle name="Followed Hyperlink" xfId="37268" builtinId="9" hidden="1"/>
    <cellStyle name="Followed Hyperlink" xfId="37269" builtinId="9" hidden="1"/>
    <cellStyle name="Followed Hyperlink" xfId="37270" builtinId="9" hidden="1"/>
    <cellStyle name="Followed Hyperlink" xfId="37271" builtinId="9" hidden="1"/>
    <cellStyle name="Followed Hyperlink" xfId="37272" builtinId="9" hidden="1"/>
    <cellStyle name="Followed Hyperlink" xfId="37273" builtinId="9" hidden="1"/>
    <cellStyle name="Followed Hyperlink" xfId="37274" builtinId="9" hidden="1"/>
    <cellStyle name="Followed Hyperlink" xfId="37275" builtinId="9" hidden="1"/>
    <cellStyle name="Followed Hyperlink" xfId="37276" builtinId="9" hidden="1"/>
    <cellStyle name="Followed Hyperlink" xfId="37277" builtinId="9" hidden="1"/>
    <cellStyle name="Followed Hyperlink" xfId="37278" builtinId="9" hidden="1"/>
    <cellStyle name="Followed Hyperlink" xfId="37279" builtinId="9" hidden="1"/>
    <cellStyle name="Followed Hyperlink" xfId="37280" builtinId="9" hidden="1"/>
    <cellStyle name="Followed Hyperlink" xfId="37281" builtinId="9" hidden="1"/>
    <cellStyle name="Followed Hyperlink" xfId="37282" builtinId="9" hidden="1"/>
    <cellStyle name="Followed Hyperlink" xfId="37283" builtinId="9" hidden="1"/>
    <cellStyle name="Followed Hyperlink" xfId="37034" builtinId="9" hidden="1"/>
    <cellStyle name="Followed Hyperlink" xfId="37244" builtinId="9" hidden="1"/>
    <cellStyle name="Followed Hyperlink" xfId="37285" builtinId="9" hidden="1"/>
    <cellStyle name="Followed Hyperlink" xfId="37286" builtinId="9" hidden="1"/>
    <cellStyle name="Followed Hyperlink" xfId="37287" builtinId="9" hidden="1"/>
    <cellStyle name="Followed Hyperlink" xfId="37288" builtinId="9" hidden="1"/>
    <cellStyle name="Followed Hyperlink" xfId="37289" builtinId="9" hidden="1"/>
    <cellStyle name="Followed Hyperlink" xfId="37290" builtinId="9" hidden="1"/>
    <cellStyle name="Followed Hyperlink" xfId="37291" builtinId="9" hidden="1"/>
    <cellStyle name="Followed Hyperlink" xfId="37292" builtinId="9" hidden="1"/>
    <cellStyle name="Followed Hyperlink" xfId="37293" builtinId="9" hidden="1"/>
    <cellStyle name="Followed Hyperlink" xfId="37294" builtinId="9" hidden="1"/>
    <cellStyle name="Followed Hyperlink" xfId="37295" builtinId="9" hidden="1"/>
    <cellStyle name="Followed Hyperlink" xfId="37296" builtinId="9" hidden="1"/>
    <cellStyle name="Followed Hyperlink" xfId="37297" builtinId="9" hidden="1"/>
    <cellStyle name="Followed Hyperlink" xfId="37298" builtinId="9" hidden="1"/>
    <cellStyle name="Followed Hyperlink" xfId="37299" builtinId="9" hidden="1"/>
    <cellStyle name="Followed Hyperlink" xfId="37300" builtinId="9" hidden="1"/>
    <cellStyle name="Followed Hyperlink" xfId="37301" builtinId="9" hidden="1"/>
    <cellStyle name="Followed Hyperlink" xfId="37302" builtinId="9" hidden="1"/>
    <cellStyle name="Followed Hyperlink" xfId="37303" builtinId="9" hidden="1"/>
    <cellStyle name="Followed Hyperlink" xfId="37304" builtinId="9" hidden="1"/>
    <cellStyle name="Followed Hyperlink" xfId="37305" builtinId="9" hidden="1"/>
    <cellStyle name="Followed Hyperlink" xfId="37306" builtinId="9" hidden="1"/>
    <cellStyle name="Followed Hyperlink" xfId="37307" builtinId="9" hidden="1"/>
    <cellStyle name="Followed Hyperlink" xfId="37308" builtinId="9" hidden="1"/>
    <cellStyle name="Followed Hyperlink" xfId="37309" builtinId="9" hidden="1"/>
    <cellStyle name="Followed Hyperlink" xfId="37310" builtinId="9" hidden="1"/>
    <cellStyle name="Followed Hyperlink" xfId="37311" builtinId="9" hidden="1"/>
    <cellStyle name="Followed Hyperlink" xfId="37312" builtinId="9" hidden="1"/>
    <cellStyle name="Followed Hyperlink" xfId="37313" builtinId="9" hidden="1"/>
    <cellStyle name="Followed Hyperlink" xfId="37314" builtinId="9" hidden="1"/>
    <cellStyle name="Followed Hyperlink" xfId="37315" builtinId="9" hidden="1"/>
    <cellStyle name="Followed Hyperlink" xfId="37316" builtinId="9" hidden="1"/>
    <cellStyle name="Followed Hyperlink" xfId="37317" builtinId="9" hidden="1"/>
    <cellStyle name="Followed Hyperlink" xfId="37318" builtinId="9" hidden="1"/>
    <cellStyle name="Followed Hyperlink" xfId="37319" builtinId="9" hidden="1"/>
    <cellStyle name="Followed Hyperlink" xfId="37320" builtinId="9" hidden="1"/>
    <cellStyle name="Followed Hyperlink" xfId="37321" builtinId="9" hidden="1"/>
    <cellStyle name="Followed Hyperlink" xfId="37322" builtinId="9" hidden="1"/>
    <cellStyle name="Followed Hyperlink" xfId="37323" builtinId="9" hidden="1"/>
    <cellStyle name="Followed Hyperlink" xfId="37036" builtinId="9" hidden="1"/>
    <cellStyle name="Followed Hyperlink" xfId="37284" builtinId="9" hidden="1"/>
    <cellStyle name="Followed Hyperlink" xfId="37325" builtinId="9" hidden="1"/>
    <cellStyle name="Followed Hyperlink" xfId="37326" builtinId="9" hidden="1"/>
    <cellStyle name="Followed Hyperlink" xfId="37327" builtinId="9" hidden="1"/>
    <cellStyle name="Followed Hyperlink" xfId="37328" builtinId="9" hidden="1"/>
    <cellStyle name="Followed Hyperlink" xfId="37329" builtinId="9" hidden="1"/>
    <cellStyle name="Followed Hyperlink" xfId="37330" builtinId="9" hidden="1"/>
    <cellStyle name="Followed Hyperlink" xfId="37331" builtinId="9" hidden="1"/>
    <cellStyle name="Followed Hyperlink" xfId="37332" builtinId="9" hidden="1"/>
    <cellStyle name="Followed Hyperlink" xfId="37333" builtinId="9" hidden="1"/>
    <cellStyle name="Followed Hyperlink" xfId="37334" builtinId="9" hidden="1"/>
    <cellStyle name="Followed Hyperlink" xfId="37335" builtinId="9" hidden="1"/>
    <cellStyle name="Followed Hyperlink" xfId="37336" builtinId="9" hidden="1"/>
    <cellStyle name="Followed Hyperlink" xfId="37337" builtinId="9" hidden="1"/>
    <cellStyle name="Followed Hyperlink" xfId="37338" builtinId="9" hidden="1"/>
    <cellStyle name="Followed Hyperlink" xfId="37339" builtinId="9" hidden="1"/>
    <cellStyle name="Followed Hyperlink" xfId="37340" builtinId="9" hidden="1"/>
    <cellStyle name="Followed Hyperlink" xfId="37341" builtinId="9" hidden="1"/>
    <cellStyle name="Followed Hyperlink" xfId="37342" builtinId="9" hidden="1"/>
    <cellStyle name="Followed Hyperlink" xfId="37343" builtinId="9" hidden="1"/>
    <cellStyle name="Followed Hyperlink" xfId="37344" builtinId="9" hidden="1"/>
    <cellStyle name="Followed Hyperlink" xfId="37345" builtinId="9" hidden="1"/>
    <cellStyle name="Followed Hyperlink" xfId="37346" builtinId="9" hidden="1"/>
    <cellStyle name="Followed Hyperlink" xfId="37347" builtinId="9" hidden="1"/>
    <cellStyle name="Followed Hyperlink" xfId="37348" builtinId="9" hidden="1"/>
    <cellStyle name="Followed Hyperlink" xfId="37349" builtinId="9" hidden="1"/>
    <cellStyle name="Followed Hyperlink" xfId="37350" builtinId="9" hidden="1"/>
    <cellStyle name="Followed Hyperlink" xfId="37351" builtinId="9" hidden="1"/>
    <cellStyle name="Followed Hyperlink" xfId="37352" builtinId="9" hidden="1"/>
    <cellStyle name="Followed Hyperlink" xfId="37353" builtinId="9" hidden="1"/>
    <cellStyle name="Followed Hyperlink" xfId="37354" builtinId="9" hidden="1"/>
    <cellStyle name="Followed Hyperlink" xfId="37355" builtinId="9" hidden="1"/>
    <cellStyle name="Followed Hyperlink" xfId="37356" builtinId="9" hidden="1"/>
    <cellStyle name="Followed Hyperlink" xfId="37357" builtinId="9" hidden="1"/>
    <cellStyle name="Followed Hyperlink" xfId="37358" builtinId="9" hidden="1"/>
    <cellStyle name="Followed Hyperlink" xfId="37359" builtinId="9" hidden="1"/>
    <cellStyle name="Followed Hyperlink" xfId="37360" builtinId="9" hidden="1"/>
    <cellStyle name="Followed Hyperlink" xfId="37361" builtinId="9" hidden="1"/>
    <cellStyle name="Followed Hyperlink" xfId="37362" builtinId="9" hidden="1"/>
    <cellStyle name="Followed Hyperlink" xfId="37363" builtinId="9" hidden="1"/>
    <cellStyle name="Followed Hyperlink" xfId="37037" builtinId="9" hidden="1"/>
    <cellStyle name="Followed Hyperlink" xfId="37324" builtinId="9" hidden="1"/>
    <cellStyle name="Followed Hyperlink" xfId="37365" builtinId="9" hidden="1"/>
    <cellStyle name="Followed Hyperlink" xfId="37366" builtinId="9" hidden="1"/>
    <cellStyle name="Followed Hyperlink" xfId="37367" builtinId="9" hidden="1"/>
    <cellStyle name="Followed Hyperlink" xfId="37368" builtinId="9" hidden="1"/>
    <cellStyle name="Followed Hyperlink" xfId="37369" builtinId="9" hidden="1"/>
    <cellStyle name="Followed Hyperlink" xfId="37370" builtinId="9" hidden="1"/>
    <cellStyle name="Followed Hyperlink" xfId="37371" builtinId="9" hidden="1"/>
    <cellStyle name="Followed Hyperlink" xfId="37372" builtinId="9" hidden="1"/>
    <cellStyle name="Followed Hyperlink" xfId="37373" builtinId="9" hidden="1"/>
    <cellStyle name="Followed Hyperlink" xfId="37374" builtinId="9" hidden="1"/>
    <cellStyle name="Followed Hyperlink" xfId="37375" builtinId="9" hidden="1"/>
    <cellStyle name="Followed Hyperlink" xfId="37376" builtinId="9" hidden="1"/>
    <cellStyle name="Followed Hyperlink" xfId="37377" builtinId="9" hidden="1"/>
    <cellStyle name="Followed Hyperlink" xfId="37378" builtinId="9" hidden="1"/>
    <cellStyle name="Followed Hyperlink" xfId="37379" builtinId="9" hidden="1"/>
    <cellStyle name="Followed Hyperlink" xfId="37380" builtinId="9" hidden="1"/>
    <cellStyle name="Followed Hyperlink" xfId="37381" builtinId="9" hidden="1"/>
    <cellStyle name="Followed Hyperlink" xfId="37382" builtinId="9" hidden="1"/>
    <cellStyle name="Followed Hyperlink" xfId="37383" builtinId="9" hidden="1"/>
    <cellStyle name="Followed Hyperlink" xfId="37384" builtinId="9" hidden="1"/>
    <cellStyle name="Followed Hyperlink" xfId="37385" builtinId="9" hidden="1"/>
    <cellStyle name="Followed Hyperlink" xfId="37386" builtinId="9" hidden="1"/>
    <cellStyle name="Followed Hyperlink" xfId="37387" builtinId="9" hidden="1"/>
    <cellStyle name="Followed Hyperlink" xfId="37388" builtinId="9" hidden="1"/>
    <cellStyle name="Followed Hyperlink" xfId="37389" builtinId="9" hidden="1"/>
    <cellStyle name="Followed Hyperlink" xfId="37390" builtinId="9" hidden="1"/>
    <cellStyle name="Followed Hyperlink" xfId="37391" builtinId="9" hidden="1"/>
    <cellStyle name="Followed Hyperlink" xfId="37392" builtinId="9" hidden="1"/>
    <cellStyle name="Followed Hyperlink" xfId="37393" builtinId="9" hidden="1"/>
    <cellStyle name="Followed Hyperlink" xfId="37394" builtinId="9" hidden="1"/>
    <cellStyle name="Followed Hyperlink" xfId="37395" builtinId="9" hidden="1"/>
    <cellStyle name="Followed Hyperlink" xfId="37396" builtinId="9" hidden="1"/>
    <cellStyle name="Followed Hyperlink" xfId="37397" builtinId="9" hidden="1"/>
    <cellStyle name="Followed Hyperlink" xfId="37398" builtinId="9" hidden="1"/>
    <cellStyle name="Followed Hyperlink" xfId="37399" builtinId="9" hidden="1"/>
    <cellStyle name="Followed Hyperlink" xfId="37400" builtinId="9" hidden="1"/>
    <cellStyle name="Followed Hyperlink" xfId="37401" builtinId="9" hidden="1"/>
    <cellStyle name="Followed Hyperlink" xfId="37402" builtinId="9" hidden="1"/>
    <cellStyle name="Followed Hyperlink" xfId="37403" builtinId="9" hidden="1"/>
    <cellStyle name="Followed Hyperlink" xfId="37039" builtinId="9" hidden="1"/>
    <cellStyle name="Followed Hyperlink" xfId="37364" builtinId="9" hidden="1"/>
    <cellStyle name="Followed Hyperlink" xfId="37405" builtinId="9" hidden="1"/>
    <cellStyle name="Followed Hyperlink" xfId="37406" builtinId="9" hidden="1"/>
    <cellStyle name="Followed Hyperlink" xfId="37407" builtinId="9" hidden="1"/>
    <cellStyle name="Followed Hyperlink" xfId="37408" builtinId="9" hidden="1"/>
    <cellStyle name="Followed Hyperlink" xfId="37409" builtinId="9" hidden="1"/>
    <cellStyle name="Followed Hyperlink" xfId="37410" builtinId="9" hidden="1"/>
    <cellStyle name="Followed Hyperlink" xfId="37411" builtinId="9" hidden="1"/>
    <cellStyle name="Followed Hyperlink" xfId="37412" builtinId="9" hidden="1"/>
    <cellStyle name="Followed Hyperlink" xfId="37413" builtinId="9" hidden="1"/>
    <cellStyle name="Followed Hyperlink" xfId="37414" builtinId="9" hidden="1"/>
    <cellStyle name="Followed Hyperlink" xfId="37415" builtinId="9" hidden="1"/>
    <cellStyle name="Followed Hyperlink" xfId="37416" builtinId="9" hidden="1"/>
    <cellStyle name="Followed Hyperlink" xfId="37417" builtinId="9" hidden="1"/>
    <cellStyle name="Followed Hyperlink" xfId="37418" builtinId="9" hidden="1"/>
    <cellStyle name="Followed Hyperlink" xfId="37419" builtinId="9" hidden="1"/>
    <cellStyle name="Followed Hyperlink" xfId="37420" builtinId="9" hidden="1"/>
    <cellStyle name="Followed Hyperlink" xfId="37421" builtinId="9" hidden="1"/>
    <cellStyle name="Followed Hyperlink" xfId="37422" builtinId="9" hidden="1"/>
    <cellStyle name="Followed Hyperlink" xfId="37423" builtinId="9" hidden="1"/>
    <cellStyle name="Followed Hyperlink" xfId="37424" builtinId="9" hidden="1"/>
    <cellStyle name="Followed Hyperlink" xfId="37425" builtinId="9" hidden="1"/>
    <cellStyle name="Followed Hyperlink" xfId="37426" builtinId="9" hidden="1"/>
    <cellStyle name="Followed Hyperlink" xfId="37427" builtinId="9" hidden="1"/>
    <cellStyle name="Followed Hyperlink" xfId="37428" builtinId="9" hidden="1"/>
    <cellStyle name="Followed Hyperlink" xfId="37429" builtinId="9" hidden="1"/>
    <cellStyle name="Followed Hyperlink" xfId="37430" builtinId="9" hidden="1"/>
    <cellStyle name="Followed Hyperlink" xfId="37431" builtinId="9" hidden="1"/>
    <cellStyle name="Followed Hyperlink" xfId="37432" builtinId="9" hidden="1"/>
    <cellStyle name="Followed Hyperlink" xfId="37433" builtinId="9" hidden="1"/>
    <cellStyle name="Followed Hyperlink" xfId="37434" builtinId="9" hidden="1"/>
    <cellStyle name="Followed Hyperlink" xfId="37435" builtinId="9" hidden="1"/>
    <cellStyle name="Followed Hyperlink" xfId="37436" builtinId="9" hidden="1"/>
    <cellStyle name="Followed Hyperlink" xfId="37437" builtinId="9" hidden="1"/>
    <cellStyle name="Followed Hyperlink" xfId="37438" builtinId="9" hidden="1"/>
    <cellStyle name="Followed Hyperlink" xfId="37439" builtinId="9" hidden="1"/>
    <cellStyle name="Followed Hyperlink" xfId="37440" builtinId="9" hidden="1"/>
    <cellStyle name="Followed Hyperlink" xfId="37441" builtinId="9" hidden="1"/>
    <cellStyle name="Followed Hyperlink" xfId="37442" builtinId="9" hidden="1"/>
    <cellStyle name="Followed Hyperlink" xfId="37443" builtinId="9" hidden="1"/>
    <cellStyle name="Followed Hyperlink" xfId="37035" builtinId="9" hidden="1"/>
    <cellStyle name="Followed Hyperlink" xfId="37404" builtinId="9" hidden="1"/>
    <cellStyle name="Followed Hyperlink" xfId="37444" builtinId="9" hidden="1"/>
    <cellStyle name="Followed Hyperlink" xfId="37445" builtinId="9" hidden="1"/>
    <cellStyle name="Followed Hyperlink" xfId="37446" builtinId="9" hidden="1"/>
    <cellStyle name="Followed Hyperlink" xfId="37447" builtinId="9" hidden="1"/>
    <cellStyle name="Followed Hyperlink" xfId="37448" builtinId="9" hidden="1"/>
    <cellStyle name="Followed Hyperlink" xfId="37449" builtinId="9" hidden="1"/>
    <cellStyle name="Followed Hyperlink" xfId="37450" builtinId="9" hidden="1"/>
    <cellStyle name="Followed Hyperlink" xfId="37451" builtinId="9" hidden="1"/>
    <cellStyle name="Followed Hyperlink" xfId="37452" builtinId="9" hidden="1"/>
    <cellStyle name="Followed Hyperlink" xfId="37453" builtinId="9" hidden="1"/>
    <cellStyle name="Followed Hyperlink" xfId="37454" builtinId="9" hidden="1"/>
    <cellStyle name="Followed Hyperlink" xfId="37455" builtinId="9" hidden="1"/>
    <cellStyle name="Followed Hyperlink" xfId="37456" builtinId="9" hidden="1"/>
    <cellStyle name="Followed Hyperlink" xfId="37457" builtinId="9" hidden="1"/>
    <cellStyle name="Followed Hyperlink" xfId="37458" builtinId="9" hidden="1"/>
    <cellStyle name="Followed Hyperlink" xfId="37459" builtinId="9" hidden="1"/>
    <cellStyle name="Followed Hyperlink" xfId="37460" builtinId="9" hidden="1"/>
    <cellStyle name="Followed Hyperlink" xfId="37461" builtinId="9" hidden="1"/>
    <cellStyle name="Followed Hyperlink" xfId="37462" builtinId="9" hidden="1"/>
    <cellStyle name="Followed Hyperlink" xfId="37463" builtinId="9" hidden="1"/>
    <cellStyle name="Followed Hyperlink" xfId="37464" builtinId="9" hidden="1"/>
    <cellStyle name="Followed Hyperlink" xfId="37465" builtinId="9" hidden="1"/>
    <cellStyle name="Followed Hyperlink" xfId="37466" builtinId="9" hidden="1"/>
    <cellStyle name="Followed Hyperlink" xfId="37467" builtinId="9" hidden="1"/>
    <cellStyle name="Followed Hyperlink" xfId="37468" builtinId="9" hidden="1"/>
    <cellStyle name="Followed Hyperlink" xfId="37469" builtinId="9" hidden="1"/>
    <cellStyle name="Followed Hyperlink" xfId="37470" builtinId="9" hidden="1"/>
    <cellStyle name="Followed Hyperlink" xfId="37471" builtinId="9" hidden="1"/>
    <cellStyle name="Followed Hyperlink" xfId="37472" builtinId="9" hidden="1"/>
    <cellStyle name="Followed Hyperlink" xfId="37473" builtinId="9" hidden="1"/>
    <cellStyle name="Followed Hyperlink" xfId="37474" builtinId="9" hidden="1"/>
    <cellStyle name="Followed Hyperlink" xfId="37475" builtinId="9" hidden="1"/>
    <cellStyle name="Followed Hyperlink" xfId="37476" builtinId="9" hidden="1"/>
    <cellStyle name="Followed Hyperlink" xfId="37477" builtinId="9" hidden="1"/>
    <cellStyle name="Followed Hyperlink" xfId="37478" builtinId="9" hidden="1"/>
    <cellStyle name="Followed Hyperlink" xfId="37479" builtinId="9" hidden="1"/>
    <cellStyle name="Followed Hyperlink" xfId="37480" builtinId="9" hidden="1"/>
    <cellStyle name="Followed Hyperlink" xfId="37481" builtinId="9" hidden="1"/>
    <cellStyle name="Followed Hyperlink" xfId="37482" builtinId="9" hidden="1"/>
    <cellStyle name="Followed Hyperlink" xfId="33076" builtinId="9" hidden="1"/>
    <cellStyle name="Followed Hyperlink" xfId="33072" builtinId="9" hidden="1"/>
    <cellStyle name="Followed Hyperlink" xfId="37483" builtinId="9" hidden="1"/>
    <cellStyle name="Followed Hyperlink" xfId="37484" builtinId="9" hidden="1"/>
    <cellStyle name="Followed Hyperlink" xfId="37485" builtinId="9" hidden="1"/>
    <cellStyle name="Followed Hyperlink" xfId="37486" builtinId="9" hidden="1"/>
    <cellStyle name="Followed Hyperlink" xfId="37487" builtinId="9" hidden="1"/>
    <cellStyle name="Followed Hyperlink" xfId="37488" builtinId="9" hidden="1"/>
    <cellStyle name="Followed Hyperlink" xfId="37489" builtinId="9" hidden="1"/>
    <cellStyle name="Followed Hyperlink" xfId="37490" builtinId="9" hidden="1"/>
    <cellStyle name="Followed Hyperlink" xfId="37491" builtinId="9" hidden="1"/>
    <cellStyle name="Followed Hyperlink" xfId="37492" builtinId="9" hidden="1"/>
    <cellStyle name="Followed Hyperlink" xfId="37493" builtinId="9" hidden="1"/>
    <cellStyle name="Followed Hyperlink" xfId="37494" builtinId="9" hidden="1"/>
    <cellStyle name="Followed Hyperlink" xfId="37495" builtinId="9" hidden="1"/>
    <cellStyle name="Followed Hyperlink" xfId="37496" builtinId="9" hidden="1"/>
    <cellStyle name="Followed Hyperlink" xfId="37497" builtinId="9" hidden="1"/>
    <cellStyle name="Followed Hyperlink" xfId="37498" builtinId="9" hidden="1"/>
    <cellStyle name="Followed Hyperlink" xfId="37499" builtinId="9" hidden="1"/>
    <cellStyle name="Followed Hyperlink" xfId="37500" builtinId="9" hidden="1"/>
    <cellStyle name="Followed Hyperlink" xfId="37501" builtinId="9" hidden="1"/>
    <cellStyle name="Followed Hyperlink" xfId="37502" builtinId="9" hidden="1"/>
    <cellStyle name="Followed Hyperlink" xfId="37503" builtinId="9" hidden="1"/>
    <cellStyle name="Followed Hyperlink" xfId="37504" builtinId="9" hidden="1"/>
    <cellStyle name="Followed Hyperlink" xfId="37505" builtinId="9" hidden="1"/>
    <cellStyle name="Followed Hyperlink" xfId="37506" builtinId="9" hidden="1"/>
    <cellStyle name="Followed Hyperlink" xfId="37507" builtinId="9" hidden="1"/>
    <cellStyle name="Followed Hyperlink" xfId="37508" builtinId="9" hidden="1"/>
    <cellStyle name="Followed Hyperlink" xfId="37509" builtinId="9" hidden="1"/>
    <cellStyle name="Followed Hyperlink" xfId="37510" builtinId="9" hidden="1"/>
    <cellStyle name="Followed Hyperlink" xfId="37511" builtinId="9" hidden="1"/>
    <cellStyle name="Followed Hyperlink" xfId="37512" builtinId="9" hidden="1"/>
    <cellStyle name="Followed Hyperlink" xfId="37513" builtinId="9" hidden="1"/>
    <cellStyle name="Followed Hyperlink" xfId="37514" builtinId="9" hidden="1"/>
    <cellStyle name="Followed Hyperlink" xfId="37515" builtinId="9" hidden="1"/>
    <cellStyle name="Followed Hyperlink" xfId="37516" builtinId="9" hidden="1"/>
    <cellStyle name="Followed Hyperlink" xfId="37517" builtinId="9" hidden="1"/>
    <cellStyle name="Followed Hyperlink" xfId="37518" builtinId="9" hidden="1"/>
    <cellStyle name="Followed Hyperlink" xfId="37519" builtinId="9" hidden="1"/>
    <cellStyle name="Followed Hyperlink" xfId="37520" builtinId="9" hidden="1"/>
    <cellStyle name="Followed Hyperlink" xfId="37521" builtinId="9" hidden="1"/>
    <cellStyle name="Followed Hyperlink" xfId="37530" builtinId="9" hidden="1"/>
    <cellStyle name="Followed Hyperlink" xfId="37531" builtinId="9" hidden="1"/>
    <cellStyle name="Followed Hyperlink" xfId="37532" builtinId="9" hidden="1"/>
    <cellStyle name="Followed Hyperlink" xfId="37533" builtinId="9" hidden="1"/>
    <cellStyle name="Followed Hyperlink" xfId="37534" builtinId="9" hidden="1"/>
    <cellStyle name="Followed Hyperlink" xfId="37535" builtinId="9" hidden="1"/>
    <cellStyle name="Followed Hyperlink" xfId="37536" builtinId="9" hidden="1"/>
    <cellStyle name="Followed Hyperlink" xfId="37537" builtinId="9" hidden="1"/>
    <cellStyle name="Followed Hyperlink" xfId="37538" builtinId="9" hidden="1"/>
    <cellStyle name="Followed Hyperlink" xfId="37539" builtinId="9" hidden="1"/>
    <cellStyle name="Followed Hyperlink" xfId="37540" builtinId="9" hidden="1"/>
    <cellStyle name="Followed Hyperlink" xfId="37541" builtinId="9" hidden="1"/>
    <cellStyle name="Followed Hyperlink" xfId="37542" builtinId="9" hidden="1"/>
    <cellStyle name="Followed Hyperlink" xfId="37543" builtinId="9" hidden="1"/>
    <cellStyle name="Followed Hyperlink" xfId="37544" builtinId="9" hidden="1"/>
    <cellStyle name="Followed Hyperlink" xfId="37545" builtinId="9" hidden="1"/>
    <cellStyle name="Followed Hyperlink" xfId="37546" builtinId="9" hidden="1"/>
    <cellStyle name="Followed Hyperlink" xfId="37547" builtinId="9" hidden="1"/>
    <cellStyle name="Followed Hyperlink" xfId="37548" builtinId="9" hidden="1"/>
    <cellStyle name="Followed Hyperlink" xfId="37549" builtinId="9" hidden="1"/>
    <cellStyle name="Followed Hyperlink" xfId="37550" builtinId="9" hidden="1"/>
    <cellStyle name="Followed Hyperlink" xfId="37551" builtinId="9" hidden="1"/>
    <cellStyle name="Followed Hyperlink" xfId="37552" builtinId="9" hidden="1"/>
    <cellStyle name="Followed Hyperlink" xfId="37553" builtinId="9" hidden="1"/>
    <cellStyle name="Followed Hyperlink" xfId="37554" builtinId="9" hidden="1"/>
    <cellStyle name="Followed Hyperlink" xfId="37555" builtinId="9" hidden="1"/>
    <cellStyle name="Followed Hyperlink" xfId="37556" builtinId="9" hidden="1"/>
    <cellStyle name="Followed Hyperlink" xfId="37557" builtinId="9" hidden="1"/>
    <cellStyle name="Followed Hyperlink" xfId="37558" builtinId="9" hidden="1"/>
    <cellStyle name="Followed Hyperlink" xfId="37559" builtinId="9" hidden="1"/>
    <cellStyle name="Followed Hyperlink" xfId="37560" builtinId="9" hidden="1"/>
    <cellStyle name="Followed Hyperlink" xfId="37561" builtinId="9" hidden="1"/>
    <cellStyle name="Followed Hyperlink" xfId="37562" builtinId="9" hidden="1"/>
    <cellStyle name="Followed Hyperlink" xfId="37563" builtinId="9" hidden="1"/>
    <cellStyle name="Followed Hyperlink" xfId="37564" builtinId="9" hidden="1"/>
    <cellStyle name="Followed Hyperlink" xfId="37565" builtinId="9" hidden="1"/>
    <cellStyle name="Followed Hyperlink" xfId="37566" builtinId="9" hidden="1"/>
    <cellStyle name="Followed Hyperlink" xfId="37567" builtinId="9" hidden="1"/>
    <cellStyle name="Followed Hyperlink" xfId="37568" builtinId="9" hidden="1"/>
    <cellStyle name="Followed Hyperlink" xfId="37569" builtinId="9" hidden="1"/>
    <cellStyle name="Followed Hyperlink" xfId="37570" builtinId="9" hidden="1"/>
    <cellStyle name="Followed Hyperlink" xfId="37571" builtinId="9" hidden="1"/>
    <cellStyle name="Followed Hyperlink" xfId="37572" builtinId="9" hidden="1"/>
    <cellStyle name="Followed Hyperlink" xfId="37573" builtinId="9" hidden="1"/>
    <cellStyle name="Followed Hyperlink" xfId="37574" builtinId="9" hidden="1"/>
    <cellStyle name="Followed Hyperlink" xfId="37575" builtinId="9" hidden="1"/>
    <cellStyle name="Followed Hyperlink" xfId="37576" builtinId="9" hidden="1"/>
    <cellStyle name="Followed Hyperlink" xfId="37577" builtinId="9" hidden="1"/>
    <cellStyle name="Followed Hyperlink" xfId="37578" builtinId="9" hidden="1"/>
    <cellStyle name="Followed Hyperlink" xfId="37579" builtinId="9" hidden="1"/>
    <cellStyle name="Followed Hyperlink" xfId="37580" builtinId="9" hidden="1"/>
    <cellStyle name="Followed Hyperlink" xfId="37581" builtinId="9" hidden="1"/>
    <cellStyle name="Followed Hyperlink" xfId="37582" builtinId="9" hidden="1"/>
    <cellStyle name="Followed Hyperlink" xfId="37583" builtinId="9" hidden="1"/>
    <cellStyle name="Followed Hyperlink" xfId="37584" builtinId="9" hidden="1"/>
    <cellStyle name="Followed Hyperlink" xfId="37585" builtinId="9" hidden="1"/>
    <cellStyle name="Followed Hyperlink" xfId="37586" builtinId="9" hidden="1"/>
    <cellStyle name="Followed Hyperlink" xfId="37587" builtinId="9" hidden="1"/>
    <cellStyle name="Followed Hyperlink" xfId="37588" builtinId="9" hidden="1"/>
    <cellStyle name="Followed Hyperlink" xfId="37589" builtinId="9" hidden="1"/>
    <cellStyle name="Followed Hyperlink" xfId="37590" builtinId="9" hidden="1"/>
    <cellStyle name="Followed Hyperlink" xfId="37591" builtinId="9" hidden="1"/>
    <cellStyle name="Followed Hyperlink" xfId="37592" builtinId="9" hidden="1"/>
    <cellStyle name="Followed Hyperlink" xfId="37593" builtinId="9" hidden="1"/>
    <cellStyle name="Followed Hyperlink" xfId="37594" builtinId="9" hidden="1"/>
    <cellStyle name="Followed Hyperlink" xfId="37595" builtinId="9" hidden="1"/>
    <cellStyle name="Followed Hyperlink" xfId="37596" builtinId="9" hidden="1"/>
    <cellStyle name="Followed Hyperlink" xfId="37597" builtinId="9" hidden="1"/>
    <cellStyle name="Followed Hyperlink" xfId="37598" builtinId="9" hidden="1"/>
    <cellStyle name="Followed Hyperlink" xfId="37599" builtinId="9" hidden="1"/>
    <cellStyle name="Followed Hyperlink" xfId="37600" builtinId="9" hidden="1"/>
    <cellStyle name="Followed Hyperlink" xfId="37601" builtinId="9" hidden="1"/>
    <cellStyle name="Followed Hyperlink" xfId="37602" builtinId="9" hidden="1"/>
    <cellStyle name="Followed Hyperlink" xfId="37603" builtinId="9" hidden="1"/>
    <cellStyle name="Followed Hyperlink" xfId="37604" builtinId="9" hidden="1"/>
    <cellStyle name="Followed Hyperlink" xfId="37605" builtinId="9" hidden="1"/>
    <cellStyle name="Followed Hyperlink" xfId="37606" builtinId="9" hidden="1"/>
    <cellStyle name="Followed Hyperlink" xfId="37607" builtinId="9" hidden="1"/>
    <cellStyle name="Followed Hyperlink" xfId="37608" builtinId="9" hidden="1"/>
    <cellStyle name="Followed Hyperlink" xfId="37609" builtinId="9" hidden="1"/>
    <cellStyle name="Followed Hyperlink" xfId="37610" builtinId="9" hidden="1"/>
    <cellStyle name="Followed Hyperlink" xfId="37611" builtinId="9" hidden="1"/>
    <cellStyle name="Followed Hyperlink" xfId="37612" builtinId="9" hidden="1"/>
    <cellStyle name="Followed Hyperlink" xfId="37613" builtinId="9" hidden="1"/>
    <cellStyle name="Followed Hyperlink" xfId="37614" builtinId="9" hidden="1"/>
    <cellStyle name="Followed Hyperlink" xfId="37615" builtinId="9" hidden="1"/>
    <cellStyle name="Followed Hyperlink" xfId="37616" builtinId="9" hidden="1"/>
    <cellStyle name="Followed Hyperlink" xfId="37617" builtinId="9" hidden="1"/>
    <cellStyle name="Followed Hyperlink" xfId="37618" builtinId="9" hidden="1"/>
    <cellStyle name="Followed Hyperlink" xfId="37619" builtinId="9" hidden="1"/>
    <cellStyle name="Followed Hyperlink" xfId="37620" builtinId="9" hidden="1"/>
    <cellStyle name="Followed Hyperlink" xfId="37621" builtinId="9" hidden="1"/>
    <cellStyle name="Followed Hyperlink" xfId="37622" builtinId="9" hidden="1"/>
    <cellStyle name="Followed Hyperlink" xfId="37623" builtinId="9" hidden="1"/>
    <cellStyle name="Followed Hyperlink" xfId="37624" builtinId="9" hidden="1"/>
    <cellStyle name="Followed Hyperlink" xfId="37625" builtinId="9" hidden="1"/>
    <cellStyle name="Followed Hyperlink" xfId="37626" builtinId="9" hidden="1"/>
    <cellStyle name="Followed Hyperlink" xfId="37627" builtinId="9" hidden="1"/>
    <cellStyle name="Followed Hyperlink" xfId="37628" builtinId="9" hidden="1"/>
    <cellStyle name="Followed Hyperlink" xfId="37629" builtinId="9" hidden="1"/>
    <cellStyle name="Followed Hyperlink" xfId="37630" builtinId="9" hidden="1"/>
    <cellStyle name="Followed Hyperlink" xfId="37631" builtinId="9" hidden="1"/>
    <cellStyle name="Followed Hyperlink" xfId="37632" builtinId="9" hidden="1"/>
    <cellStyle name="Followed Hyperlink" xfId="37633" builtinId="9" hidden="1"/>
    <cellStyle name="Followed Hyperlink" xfId="37634" builtinId="9" hidden="1"/>
    <cellStyle name="Followed Hyperlink" xfId="37635" builtinId="9" hidden="1"/>
    <cellStyle name="Followed Hyperlink" xfId="37636" builtinId="9" hidden="1"/>
    <cellStyle name="Followed Hyperlink" xfId="37637" builtinId="9" hidden="1"/>
    <cellStyle name="Followed Hyperlink" xfId="37638" builtinId="9" hidden="1"/>
    <cellStyle name="Followed Hyperlink" xfId="37639" builtinId="9" hidden="1"/>
    <cellStyle name="Followed Hyperlink" xfId="37640" builtinId="9" hidden="1"/>
    <cellStyle name="Followed Hyperlink" xfId="37641" builtinId="9" hidden="1"/>
    <cellStyle name="Followed Hyperlink" xfId="37642" builtinId="9" hidden="1"/>
    <cellStyle name="Followed Hyperlink" xfId="37643" builtinId="9" hidden="1"/>
    <cellStyle name="Followed Hyperlink" xfId="37644" builtinId="9" hidden="1"/>
    <cellStyle name="Followed Hyperlink" xfId="37645" builtinId="9" hidden="1"/>
    <cellStyle name="Followed Hyperlink" xfId="37646" builtinId="9" hidden="1"/>
    <cellStyle name="Followed Hyperlink" xfId="37647" builtinId="9" hidden="1"/>
    <cellStyle name="Followed Hyperlink" xfId="37648" builtinId="9" hidden="1"/>
    <cellStyle name="Followed Hyperlink" xfId="37649" builtinId="9" hidden="1"/>
    <cellStyle name="Followed Hyperlink" xfId="37650" builtinId="9" hidden="1"/>
    <cellStyle name="Followed Hyperlink" xfId="37651" builtinId="9" hidden="1"/>
    <cellStyle name="Followed Hyperlink" xfId="37652" builtinId="9" hidden="1"/>
    <cellStyle name="Followed Hyperlink" xfId="37522" builtinId="9" hidden="1"/>
    <cellStyle name="Followed Hyperlink" xfId="33075" builtinId="9" hidden="1"/>
    <cellStyle name="Followed Hyperlink" xfId="37654" builtinId="9" hidden="1"/>
    <cellStyle name="Followed Hyperlink" xfId="37655" builtinId="9" hidden="1"/>
    <cellStyle name="Followed Hyperlink" xfId="37656" builtinId="9" hidden="1"/>
    <cellStyle name="Followed Hyperlink" xfId="37657" builtinId="9" hidden="1"/>
    <cellStyle name="Followed Hyperlink" xfId="37658" builtinId="9" hidden="1"/>
    <cellStyle name="Followed Hyperlink" xfId="37659" builtinId="9" hidden="1"/>
    <cellStyle name="Followed Hyperlink" xfId="37660" builtinId="9" hidden="1"/>
    <cellStyle name="Followed Hyperlink" xfId="37661" builtinId="9" hidden="1"/>
    <cellStyle name="Followed Hyperlink" xfId="37662" builtinId="9" hidden="1"/>
    <cellStyle name="Followed Hyperlink" xfId="37663" builtinId="9" hidden="1"/>
    <cellStyle name="Followed Hyperlink" xfId="37664" builtinId="9" hidden="1"/>
    <cellStyle name="Followed Hyperlink" xfId="37665" builtinId="9" hidden="1"/>
    <cellStyle name="Followed Hyperlink" xfId="37666" builtinId="9" hidden="1"/>
    <cellStyle name="Followed Hyperlink" xfId="37667" builtinId="9" hidden="1"/>
    <cellStyle name="Followed Hyperlink" xfId="37668" builtinId="9" hidden="1"/>
    <cellStyle name="Followed Hyperlink" xfId="37669" builtinId="9" hidden="1"/>
    <cellStyle name="Followed Hyperlink" xfId="37670" builtinId="9" hidden="1"/>
    <cellStyle name="Followed Hyperlink" xfId="37671" builtinId="9" hidden="1"/>
    <cellStyle name="Followed Hyperlink" xfId="37672" builtinId="9" hidden="1"/>
    <cellStyle name="Followed Hyperlink" xfId="37673" builtinId="9" hidden="1"/>
    <cellStyle name="Followed Hyperlink" xfId="37674" builtinId="9" hidden="1"/>
    <cellStyle name="Followed Hyperlink" xfId="37675" builtinId="9" hidden="1"/>
    <cellStyle name="Followed Hyperlink" xfId="37676" builtinId="9" hidden="1"/>
    <cellStyle name="Followed Hyperlink" xfId="37677" builtinId="9" hidden="1"/>
    <cellStyle name="Followed Hyperlink" xfId="37678" builtinId="9" hidden="1"/>
    <cellStyle name="Followed Hyperlink" xfId="37679" builtinId="9" hidden="1"/>
    <cellStyle name="Followed Hyperlink" xfId="37680" builtinId="9" hidden="1"/>
    <cellStyle name="Followed Hyperlink" xfId="37681" builtinId="9" hidden="1"/>
    <cellStyle name="Followed Hyperlink" xfId="37682" builtinId="9" hidden="1"/>
    <cellStyle name="Followed Hyperlink" xfId="37683" builtinId="9" hidden="1"/>
    <cellStyle name="Followed Hyperlink" xfId="37684" builtinId="9" hidden="1"/>
    <cellStyle name="Followed Hyperlink" xfId="37685" builtinId="9" hidden="1"/>
    <cellStyle name="Followed Hyperlink" xfId="37686" builtinId="9" hidden="1"/>
    <cellStyle name="Followed Hyperlink" xfId="37687" builtinId="9" hidden="1"/>
    <cellStyle name="Followed Hyperlink" xfId="37688" builtinId="9" hidden="1"/>
    <cellStyle name="Followed Hyperlink" xfId="37689" builtinId="9" hidden="1"/>
    <cellStyle name="Followed Hyperlink" xfId="37690" builtinId="9" hidden="1"/>
    <cellStyle name="Followed Hyperlink" xfId="37691" builtinId="9" hidden="1"/>
    <cellStyle name="Followed Hyperlink" xfId="37692" builtinId="9" hidden="1"/>
    <cellStyle name="Followed Hyperlink" xfId="37527" builtinId="9" hidden="1"/>
    <cellStyle name="Followed Hyperlink" xfId="37653" builtinId="9" hidden="1"/>
    <cellStyle name="Followed Hyperlink" xfId="37694" builtinId="9" hidden="1"/>
    <cellStyle name="Followed Hyperlink" xfId="37695" builtinId="9" hidden="1"/>
    <cellStyle name="Followed Hyperlink" xfId="37696" builtinId="9" hidden="1"/>
    <cellStyle name="Followed Hyperlink" xfId="37697" builtinId="9" hidden="1"/>
    <cellStyle name="Followed Hyperlink" xfId="37698" builtinId="9" hidden="1"/>
    <cellStyle name="Followed Hyperlink" xfId="37699" builtinId="9" hidden="1"/>
    <cellStyle name="Followed Hyperlink" xfId="37700" builtinId="9" hidden="1"/>
    <cellStyle name="Followed Hyperlink" xfId="37701" builtinId="9" hidden="1"/>
    <cellStyle name="Followed Hyperlink" xfId="37702" builtinId="9" hidden="1"/>
    <cellStyle name="Followed Hyperlink" xfId="37703" builtinId="9" hidden="1"/>
    <cellStyle name="Followed Hyperlink" xfId="37704" builtinId="9" hidden="1"/>
    <cellStyle name="Followed Hyperlink" xfId="37705" builtinId="9" hidden="1"/>
    <cellStyle name="Followed Hyperlink" xfId="37706" builtinId="9" hidden="1"/>
    <cellStyle name="Followed Hyperlink" xfId="37707" builtinId="9" hidden="1"/>
    <cellStyle name="Followed Hyperlink" xfId="37708" builtinId="9" hidden="1"/>
    <cellStyle name="Followed Hyperlink" xfId="37709" builtinId="9" hidden="1"/>
    <cellStyle name="Followed Hyperlink" xfId="37710" builtinId="9" hidden="1"/>
    <cellStyle name="Followed Hyperlink" xfId="37711" builtinId="9" hidden="1"/>
    <cellStyle name="Followed Hyperlink" xfId="37712" builtinId="9" hidden="1"/>
    <cellStyle name="Followed Hyperlink" xfId="37713" builtinId="9" hidden="1"/>
    <cellStyle name="Followed Hyperlink" xfId="37714" builtinId="9" hidden="1"/>
    <cellStyle name="Followed Hyperlink" xfId="37715" builtinId="9" hidden="1"/>
    <cellStyle name="Followed Hyperlink" xfId="37716" builtinId="9" hidden="1"/>
    <cellStyle name="Followed Hyperlink" xfId="37717" builtinId="9" hidden="1"/>
    <cellStyle name="Followed Hyperlink" xfId="37718" builtinId="9" hidden="1"/>
    <cellStyle name="Followed Hyperlink" xfId="37719" builtinId="9" hidden="1"/>
    <cellStyle name="Followed Hyperlink" xfId="37720" builtinId="9" hidden="1"/>
    <cellStyle name="Followed Hyperlink" xfId="37721" builtinId="9" hidden="1"/>
    <cellStyle name="Followed Hyperlink" xfId="37722" builtinId="9" hidden="1"/>
    <cellStyle name="Followed Hyperlink" xfId="37723" builtinId="9" hidden="1"/>
    <cellStyle name="Followed Hyperlink" xfId="37724" builtinId="9" hidden="1"/>
    <cellStyle name="Followed Hyperlink" xfId="37725" builtinId="9" hidden="1"/>
    <cellStyle name="Followed Hyperlink" xfId="37726" builtinId="9" hidden="1"/>
    <cellStyle name="Followed Hyperlink" xfId="37727" builtinId="9" hidden="1"/>
    <cellStyle name="Followed Hyperlink" xfId="37728" builtinId="9" hidden="1"/>
    <cellStyle name="Followed Hyperlink" xfId="37729" builtinId="9" hidden="1"/>
    <cellStyle name="Followed Hyperlink" xfId="37730" builtinId="9" hidden="1"/>
    <cellStyle name="Followed Hyperlink" xfId="37731" builtinId="9" hidden="1"/>
    <cellStyle name="Followed Hyperlink" xfId="37732" builtinId="9" hidden="1"/>
    <cellStyle name="Followed Hyperlink" xfId="37529" builtinId="9" hidden="1"/>
    <cellStyle name="Followed Hyperlink" xfId="37693" builtinId="9" hidden="1"/>
    <cellStyle name="Followed Hyperlink" xfId="37734" builtinId="9" hidden="1"/>
    <cellStyle name="Followed Hyperlink" xfId="37735" builtinId="9" hidden="1"/>
    <cellStyle name="Followed Hyperlink" xfId="37736" builtinId="9" hidden="1"/>
    <cellStyle name="Followed Hyperlink" xfId="37737" builtinId="9" hidden="1"/>
    <cellStyle name="Followed Hyperlink" xfId="37738" builtinId="9" hidden="1"/>
    <cellStyle name="Followed Hyperlink" xfId="37739" builtinId="9" hidden="1"/>
    <cellStyle name="Followed Hyperlink" xfId="37740" builtinId="9" hidden="1"/>
    <cellStyle name="Followed Hyperlink" xfId="37741" builtinId="9" hidden="1"/>
    <cellStyle name="Followed Hyperlink" xfId="37742" builtinId="9" hidden="1"/>
    <cellStyle name="Followed Hyperlink" xfId="37743" builtinId="9" hidden="1"/>
    <cellStyle name="Followed Hyperlink" xfId="37744" builtinId="9" hidden="1"/>
    <cellStyle name="Followed Hyperlink" xfId="37745" builtinId="9" hidden="1"/>
    <cellStyle name="Followed Hyperlink" xfId="37746" builtinId="9" hidden="1"/>
    <cellStyle name="Followed Hyperlink" xfId="37747" builtinId="9" hidden="1"/>
    <cellStyle name="Followed Hyperlink" xfId="37748" builtinId="9" hidden="1"/>
    <cellStyle name="Followed Hyperlink" xfId="37749" builtinId="9" hidden="1"/>
    <cellStyle name="Followed Hyperlink" xfId="37750" builtinId="9" hidden="1"/>
    <cellStyle name="Followed Hyperlink" xfId="37751" builtinId="9" hidden="1"/>
    <cellStyle name="Followed Hyperlink" xfId="37752" builtinId="9" hidden="1"/>
    <cellStyle name="Followed Hyperlink" xfId="37753" builtinId="9" hidden="1"/>
    <cellStyle name="Followed Hyperlink" xfId="37754" builtinId="9" hidden="1"/>
    <cellStyle name="Followed Hyperlink" xfId="37755" builtinId="9" hidden="1"/>
    <cellStyle name="Followed Hyperlink" xfId="37756" builtinId="9" hidden="1"/>
    <cellStyle name="Followed Hyperlink" xfId="37757" builtinId="9" hidden="1"/>
    <cellStyle name="Followed Hyperlink" xfId="37758" builtinId="9" hidden="1"/>
    <cellStyle name="Followed Hyperlink" xfId="37759" builtinId="9" hidden="1"/>
    <cellStyle name="Followed Hyperlink" xfId="37760" builtinId="9" hidden="1"/>
    <cellStyle name="Followed Hyperlink" xfId="37761" builtinId="9" hidden="1"/>
    <cellStyle name="Followed Hyperlink" xfId="37762" builtinId="9" hidden="1"/>
    <cellStyle name="Followed Hyperlink" xfId="37763" builtinId="9" hidden="1"/>
    <cellStyle name="Followed Hyperlink" xfId="37764" builtinId="9" hidden="1"/>
    <cellStyle name="Followed Hyperlink" xfId="37765" builtinId="9" hidden="1"/>
    <cellStyle name="Followed Hyperlink" xfId="37766" builtinId="9" hidden="1"/>
    <cellStyle name="Followed Hyperlink" xfId="37767" builtinId="9" hidden="1"/>
    <cellStyle name="Followed Hyperlink" xfId="37768" builtinId="9" hidden="1"/>
    <cellStyle name="Followed Hyperlink" xfId="37769" builtinId="9" hidden="1"/>
    <cellStyle name="Followed Hyperlink" xfId="37770" builtinId="9" hidden="1"/>
    <cellStyle name="Followed Hyperlink" xfId="37771" builtinId="9" hidden="1"/>
    <cellStyle name="Followed Hyperlink" xfId="37772" builtinId="9" hidden="1"/>
    <cellStyle name="Followed Hyperlink" xfId="37523" builtinId="9" hidden="1"/>
    <cellStyle name="Followed Hyperlink" xfId="37733" builtinId="9" hidden="1"/>
    <cellStyle name="Followed Hyperlink" xfId="37774" builtinId="9" hidden="1"/>
    <cellStyle name="Followed Hyperlink" xfId="37775" builtinId="9" hidden="1"/>
    <cellStyle name="Followed Hyperlink" xfId="37776" builtinId="9" hidden="1"/>
    <cellStyle name="Followed Hyperlink" xfId="37777" builtinId="9" hidden="1"/>
    <cellStyle name="Followed Hyperlink" xfId="37778" builtinId="9" hidden="1"/>
    <cellStyle name="Followed Hyperlink" xfId="37779" builtinId="9" hidden="1"/>
    <cellStyle name="Followed Hyperlink" xfId="37780" builtinId="9" hidden="1"/>
    <cellStyle name="Followed Hyperlink" xfId="37781" builtinId="9" hidden="1"/>
    <cellStyle name="Followed Hyperlink" xfId="37782" builtinId="9" hidden="1"/>
    <cellStyle name="Followed Hyperlink" xfId="37783" builtinId="9" hidden="1"/>
    <cellStyle name="Followed Hyperlink" xfId="37784" builtinId="9" hidden="1"/>
    <cellStyle name="Followed Hyperlink" xfId="37785" builtinId="9" hidden="1"/>
    <cellStyle name="Followed Hyperlink" xfId="37786" builtinId="9" hidden="1"/>
    <cellStyle name="Followed Hyperlink" xfId="37787" builtinId="9" hidden="1"/>
    <cellStyle name="Followed Hyperlink" xfId="37788" builtinId="9" hidden="1"/>
    <cellStyle name="Followed Hyperlink" xfId="37789" builtinId="9" hidden="1"/>
    <cellStyle name="Followed Hyperlink" xfId="37790" builtinId="9" hidden="1"/>
    <cellStyle name="Followed Hyperlink" xfId="37791" builtinId="9" hidden="1"/>
    <cellStyle name="Followed Hyperlink" xfId="37792" builtinId="9" hidden="1"/>
    <cellStyle name="Followed Hyperlink" xfId="37793" builtinId="9" hidden="1"/>
    <cellStyle name="Followed Hyperlink" xfId="37794" builtinId="9" hidden="1"/>
    <cellStyle name="Followed Hyperlink" xfId="37795" builtinId="9" hidden="1"/>
    <cellStyle name="Followed Hyperlink" xfId="37796" builtinId="9" hidden="1"/>
    <cellStyle name="Followed Hyperlink" xfId="37797" builtinId="9" hidden="1"/>
    <cellStyle name="Followed Hyperlink" xfId="37798" builtinId="9" hidden="1"/>
    <cellStyle name="Followed Hyperlink" xfId="37799" builtinId="9" hidden="1"/>
    <cellStyle name="Followed Hyperlink" xfId="37800" builtinId="9" hidden="1"/>
    <cellStyle name="Followed Hyperlink" xfId="37801" builtinId="9" hidden="1"/>
    <cellStyle name="Followed Hyperlink" xfId="37802" builtinId="9" hidden="1"/>
    <cellStyle name="Followed Hyperlink" xfId="37803" builtinId="9" hidden="1"/>
    <cellStyle name="Followed Hyperlink" xfId="37804" builtinId="9" hidden="1"/>
    <cellStyle name="Followed Hyperlink" xfId="37805" builtinId="9" hidden="1"/>
    <cellStyle name="Followed Hyperlink" xfId="37806" builtinId="9" hidden="1"/>
    <cellStyle name="Followed Hyperlink" xfId="37807" builtinId="9" hidden="1"/>
    <cellStyle name="Followed Hyperlink" xfId="37808" builtinId="9" hidden="1"/>
    <cellStyle name="Followed Hyperlink" xfId="37809" builtinId="9" hidden="1"/>
    <cellStyle name="Followed Hyperlink" xfId="37810" builtinId="9" hidden="1"/>
    <cellStyle name="Followed Hyperlink" xfId="37811" builtinId="9" hidden="1"/>
    <cellStyle name="Followed Hyperlink" xfId="37812" builtinId="9" hidden="1"/>
    <cellStyle name="Followed Hyperlink" xfId="37525" builtinId="9" hidden="1"/>
    <cellStyle name="Followed Hyperlink" xfId="37773" builtinId="9" hidden="1"/>
    <cellStyle name="Followed Hyperlink" xfId="37814" builtinId="9" hidden="1"/>
    <cellStyle name="Followed Hyperlink" xfId="37815" builtinId="9" hidden="1"/>
    <cellStyle name="Followed Hyperlink" xfId="37816" builtinId="9" hidden="1"/>
    <cellStyle name="Followed Hyperlink" xfId="37817" builtinId="9" hidden="1"/>
    <cellStyle name="Followed Hyperlink" xfId="37818" builtinId="9" hidden="1"/>
    <cellStyle name="Followed Hyperlink" xfId="37819" builtinId="9" hidden="1"/>
    <cellStyle name="Followed Hyperlink" xfId="37820" builtinId="9" hidden="1"/>
    <cellStyle name="Followed Hyperlink" xfId="37821" builtinId="9" hidden="1"/>
    <cellStyle name="Followed Hyperlink" xfId="37822" builtinId="9" hidden="1"/>
    <cellStyle name="Followed Hyperlink" xfId="37823" builtinId="9" hidden="1"/>
    <cellStyle name="Followed Hyperlink" xfId="37824" builtinId="9" hidden="1"/>
    <cellStyle name="Followed Hyperlink" xfId="37825" builtinId="9" hidden="1"/>
    <cellStyle name="Followed Hyperlink" xfId="37826" builtinId="9" hidden="1"/>
    <cellStyle name="Followed Hyperlink" xfId="37827" builtinId="9" hidden="1"/>
    <cellStyle name="Followed Hyperlink" xfId="37828" builtinId="9" hidden="1"/>
    <cellStyle name="Followed Hyperlink" xfId="37829" builtinId="9" hidden="1"/>
    <cellStyle name="Followed Hyperlink" xfId="37830" builtinId="9" hidden="1"/>
    <cellStyle name="Followed Hyperlink" xfId="37831" builtinId="9" hidden="1"/>
    <cellStyle name="Followed Hyperlink" xfId="37832" builtinId="9" hidden="1"/>
    <cellStyle name="Followed Hyperlink" xfId="37833" builtinId="9" hidden="1"/>
    <cellStyle name="Followed Hyperlink" xfId="37834" builtinId="9" hidden="1"/>
    <cellStyle name="Followed Hyperlink" xfId="37835" builtinId="9" hidden="1"/>
    <cellStyle name="Followed Hyperlink" xfId="37836" builtinId="9" hidden="1"/>
    <cellStyle name="Followed Hyperlink" xfId="37837" builtinId="9" hidden="1"/>
    <cellStyle name="Followed Hyperlink" xfId="37838" builtinId="9" hidden="1"/>
    <cellStyle name="Followed Hyperlink" xfId="37839" builtinId="9" hidden="1"/>
    <cellStyle name="Followed Hyperlink" xfId="37840" builtinId="9" hidden="1"/>
    <cellStyle name="Followed Hyperlink" xfId="37841" builtinId="9" hidden="1"/>
    <cellStyle name="Followed Hyperlink" xfId="37842" builtinId="9" hidden="1"/>
    <cellStyle name="Followed Hyperlink" xfId="37843" builtinId="9" hidden="1"/>
    <cellStyle name="Followed Hyperlink" xfId="37844" builtinId="9" hidden="1"/>
    <cellStyle name="Followed Hyperlink" xfId="37845" builtinId="9" hidden="1"/>
    <cellStyle name="Followed Hyperlink" xfId="37846" builtinId="9" hidden="1"/>
    <cellStyle name="Followed Hyperlink" xfId="37847" builtinId="9" hidden="1"/>
    <cellStyle name="Followed Hyperlink" xfId="37848" builtinId="9" hidden="1"/>
    <cellStyle name="Followed Hyperlink" xfId="37849" builtinId="9" hidden="1"/>
    <cellStyle name="Followed Hyperlink" xfId="37850" builtinId="9" hidden="1"/>
    <cellStyle name="Followed Hyperlink" xfId="37851" builtinId="9" hidden="1"/>
    <cellStyle name="Followed Hyperlink" xfId="37852" builtinId="9" hidden="1"/>
    <cellStyle name="Followed Hyperlink" xfId="37526" builtinId="9" hidden="1"/>
    <cellStyle name="Followed Hyperlink" xfId="37813" builtinId="9" hidden="1"/>
    <cellStyle name="Followed Hyperlink" xfId="37854" builtinId="9" hidden="1"/>
    <cellStyle name="Followed Hyperlink" xfId="37855" builtinId="9" hidden="1"/>
    <cellStyle name="Followed Hyperlink" xfId="37856" builtinId="9" hidden="1"/>
    <cellStyle name="Followed Hyperlink" xfId="37857" builtinId="9" hidden="1"/>
    <cellStyle name="Followed Hyperlink" xfId="37858" builtinId="9" hidden="1"/>
    <cellStyle name="Followed Hyperlink" xfId="37859" builtinId="9" hidden="1"/>
    <cellStyle name="Followed Hyperlink" xfId="37860" builtinId="9" hidden="1"/>
    <cellStyle name="Followed Hyperlink" xfId="37861" builtinId="9" hidden="1"/>
    <cellStyle name="Followed Hyperlink" xfId="37862" builtinId="9" hidden="1"/>
    <cellStyle name="Followed Hyperlink" xfId="37863" builtinId="9" hidden="1"/>
    <cellStyle name="Followed Hyperlink" xfId="37864" builtinId="9" hidden="1"/>
    <cellStyle name="Followed Hyperlink" xfId="37865" builtinId="9" hidden="1"/>
    <cellStyle name="Followed Hyperlink" xfId="37866" builtinId="9" hidden="1"/>
    <cellStyle name="Followed Hyperlink" xfId="37867" builtinId="9" hidden="1"/>
    <cellStyle name="Followed Hyperlink" xfId="37868" builtinId="9" hidden="1"/>
    <cellStyle name="Followed Hyperlink" xfId="37869" builtinId="9" hidden="1"/>
    <cellStyle name="Followed Hyperlink" xfId="37870" builtinId="9" hidden="1"/>
    <cellStyle name="Followed Hyperlink" xfId="37871" builtinId="9" hidden="1"/>
    <cellStyle name="Followed Hyperlink" xfId="37872" builtinId="9" hidden="1"/>
    <cellStyle name="Followed Hyperlink" xfId="37873" builtinId="9" hidden="1"/>
    <cellStyle name="Followed Hyperlink" xfId="37874" builtinId="9" hidden="1"/>
    <cellStyle name="Followed Hyperlink" xfId="37875" builtinId="9" hidden="1"/>
    <cellStyle name="Followed Hyperlink" xfId="37876" builtinId="9" hidden="1"/>
    <cellStyle name="Followed Hyperlink" xfId="37877" builtinId="9" hidden="1"/>
    <cellStyle name="Followed Hyperlink" xfId="37878" builtinId="9" hidden="1"/>
    <cellStyle name="Followed Hyperlink" xfId="37879" builtinId="9" hidden="1"/>
    <cellStyle name="Followed Hyperlink" xfId="37880" builtinId="9" hidden="1"/>
    <cellStyle name="Followed Hyperlink" xfId="37881" builtinId="9" hidden="1"/>
    <cellStyle name="Followed Hyperlink" xfId="37882" builtinId="9" hidden="1"/>
    <cellStyle name="Followed Hyperlink" xfId="37883" builtinId="9" hidden="1"/>
    <cellStyle name="Followed Hyperlink" xfId="37884" builtinId="9" hidden="1"/>
    <cellStyle name="Followed Hyperlink" xfId="37885" builtinId="9" hidden="1"/>
    <cellStyle name="Followed Hyperlink" xfId="37886" builtinId="9" hidden="1"/>
    <cellStyle name="Followed Hyperlink" xfId="37887" builtinId="9" hidden="1"/>
    <cellStyle name="Followed Hyperlink" xfId="37888" builtinId="9" hidden="1"/>
    <cellStyle name="Followed Hyperlink" xfId="37889" builtinId="9" hidden="1"/>
    <cellStyle name="Followed Hyperlink" xfId="37890" builtinId="9" hidden="1"/>
    <cellStyle name="Followed Hyperlink" xfId="37891" builtinId="9" hidden="1"/>
    <cellStyle name="Followed Hyperlink" xfId="37892" builtinId="9" hidden="1"/>
    <cellStyle name="Followed Hyperlink" xfId="37528" builtinId="9" hidden="1"/>
    <cellStyle name="Followed Hyperlink" xfId="37853" builtinId="9" hidden="1"/>
    <cellStyle name="Followed Hyperlink" xfId="37894" builtinId="9" hidden="1"/>
    <cellStyle name="Followed Hyperlink" xfId="37895" builtinId="9" hidden="1"/>
    <cellStyle name="Followed Hyperlink" xfId="37896" builtinId="9" hidden="1"/>
    <cellStyle name="Followed Hyperlink" xfId="37897" builtinId="9" hidden="1"/>
    <cellStyle name="Followed Hyperlink" xfId="37898" builtinId="9" hidden="1"/>
    <cellStyle name="Followed Hyperlink" xfId="37899" builtinId="9" hidden="1"/>
    <cellStyle name="Followed Hyperlink" xfId="37900" builtinId="9" hidden="1"/>
    <cellStyle name="Followed Hyperlink" xfId="37901" builtinId="9" hidden="1"/>
    <cellStyle name="Followed Hyperlink" xfId="37902" builtinId="9" hidden="1"/>
    <cellStyle name="Followed Hyperlink" xfId="37903" builtinId="9" hidden="1"/>
    <cellStyle name="Followed Hyperlink" xfId="37904" builtinId="9" hidden="1"/>
    <cellStyle name="Followed Hyperlink" xfId="37905" builtinId="9" hidden="1"/>
    <cellStyle name="Followed Hyperlink" xfId="37906" builtinId="9" hidden="1"/>
    <cellStyle name="Followed Hyperlink" xfId="37907" builtinId="9" hidden="1"/>
    <cellStyle name="Followed Hyperlink" xfId="37908" builtinId="9" hidden="1"/>
    <cellStyle name="Followed Hyperlink" xfId="37909" builtinId="9" hidden="1"/>
    <cellStyle name="Followed Hyperlink" xfId="37910" builtinId="9" hidden="1"/>
    <cellStyle name="Followed Hyperlink" xfId="37911" builtinId="9" hidden="1"/>
    <cellStyle name="Followed Hyperlink" xfId="37912" builtinId="9" hidden="1"/>
    <cellStyle name="Followed Hyperlink" xfId="37913" builtinId="9" hidden="1"/>
    <cellStyle name="Followed Hyperlink" xfId="37914" builtinId="9" hidden="1"/>
    <cellStyle name="Followed Hyperlink" xfId="37915" builtinId="9" hidden="1"/>
    <cellStyle name="Followed Hyperlink" xfId="37916" builtinId="9" hidden="1"/>
    <cellStyle name="Followed Hyperlink" xfId="37917" builtinId="9" hidden="1"/>
    <cellStyle name="Followed Hyperlink" xfId="37918" builtinId="9" hidden="1"/>
    <cellStyle name="Followed Hyperlink" xfId="37919" builtinId="9" hidden="1"/>
    <cellStyle name="Followed Hyperlink" xfId="37920" builtinId="9" hidden="1"/>
    <cellStyle name="Followed Hyperlink" xfId="37921" builtinId="9" hidden="1"/>
    <cellStyle name="Followed Hyperlink" xfId="37922" builtinId="9" hidden="1"/>
    <cellStyle name="Followed Hyperlink" xfId="37923" builtinId="9" hidden="1"/>
    <cellStyle name="Followed Hyperlink" xfId="37924" builtinId="9" hidden="1"/>
    <cellStyle name="Followed Hyperlink" xfId="37925" builtinId="9" hidden="1"/>
    <cellStyle name="Followed Hyperlink" xfId="37926" builtinId="9" hidden="1"/>
    <cellStyle name="Followed Hyperlink" xfId="37927" builtinId="9" hidden="1"/>
    <cellStyle name="Followed Hyperlink" xfId="37928" builtinId="9" hidden="1"/>
    <cellStyle name="Followed Hyperlink" xfId="37929" builtinId="9" hidden="1"/>
    <cellStyle name="Followed Hyperlink" xfId="37930" builtinId="9" hidden="1"/>
    <cellStyle name="Followed Hyperlink" xfId="37931" builtinId="9" hidden="1"/>
    <cellStyle name="Followed Hyperlink" xfId="37932" builtinId="9" hidden="1"/>
    <cellStyle name="Followed Hyperlink" xfId="37524" builtinId="9" hidden="1"/>
    <cellStyle name="Followed Hyperlink" xfId="37893" builtinId="9" hidden="1"/>
    <cellStyle name="Followed Hyperlink" xfId="37933" builtinId="9" hidden="1"/>
    <cellStyle name="Followed Hyperlink" xfId="37934" builtinId="9" hidden="1"/>
    <cellStyle name="Followed Hyperlink" xfId="37935" builtinId="9" hidden="1"/>
    <cellStyle name="Followed Hyperlink" xfId="37936" builtinId="9" hidden="1"/>
    <cellStyle name="Followed Hyperlink" xfId="37937" builtinId="9" hidden="1"/>
    <cellStyle name="Followed Hyperlink" xfId="37938" builtinId="9" hidden="1"/>
    <cellStyle name="Followed Hyperlink" xfId="37939" builtinId="9" hidden="1"/>
    <cellStyle name="Followed Hyperlink" xfId="37940" builtinId="9" hidden="1"/>
    <cellStyle name="Followed Hyperlink" xfId="37941" builtinId="9" hidden="1"/>
    <cellStyle name="Followed Hyperlink" xfId="37942" builtinId="9" hidden="1"/>
    <cellStyle name="Followed Hyperlink" xfId="37943" builtinId="9" hidden="1"/>
    <cellStyle name="Followed Hyperlink" xfId="37944" builtinId="9" hidden="1"/>
    <cellStyle name="Followed Hyperlink" xfId="37945" builtinId="9" hidden="1"/>
    <cellStyle name="Followed Hyperlink" xfId="37946" builtinId="9" hidden="1"/>
    <cellStyle name="Followed Hyperlink" xfId="37947" builtinId="9" hidden="1"/>
    <cellStyle name="Followed Hyperlink" xfId="37948" builtinId="9" hidden="1"/>
    <cellStyle name="Followed Hyperlink" xfId="37949" builtinId="9" hidden="1"/>
    <cellStyle name="Followed Hyperlink" xfId="37950" builtinId="9" hidden="1"/>
    <cellStyle name="Followed Hyperlink" xfId="37951" builtinId="9" hidden="1"/>
    <cellStyle name="Followed Hyperlink" xfId="37952" builtinId="9" hidden="1"/>
    <cellStyle name="Followed Hyperlink" xfId="37953" builtinId="9" hidden="1"/>
    <cellStyle name="Followed Hyperlink" xfId="37954" builtinId="9" hidden="1"/>
    <cellStyle name="Followed Hyperlink" xfId="37955" builtinId="9" hidden="1"/>
    <cellStyle name="Followed Hyperlink" xfId="37956" builtinId="9" hidden="1"/>
    <cellStyle name="Followed Hyperlink" xfId="37957" builtinId="9" hidden="1"/>
    <cellStyle name="Followed Hyperlink" xfId="37958" builtinId="9" hidden="1"/>
    <cellStyle name="Followed Hyperlink" xfId="37959" builtinId="9" hidden="1"/>
    <cellStyle name="Followed Hyperlink" xfId="37960" builtinId="9" hidden="1"/>
    <cellStyle name="Followed Hyperlink" xfId="37961" builtinId="9" hidden="1"/>
    <cellStyle name="Followed Hyperlink" xfId="37962" builtinId="9" hidden="1"/>
    <cellStyle name="Followed Hyperlink" xfId="37963" builtinId="9" hidden="1"/>
    <cellStyle name="Followed Hyperlink" xfId="37964" builtinId="9" hidden="1"/>
    <cellStyle name="Followed Hyperlink" xfId="37965" builtinId="9" hidden="1"/>
    <cellStyle name="Followed Hyperlink" xfId="37966" builtinId="9" hidden="1"/>
    <cellStyle name="Followed Hyperlink" xfId="37967" builtinId="9" hidden="1"/>
    <cellStyle name="Followed Hyperlink" xfId="37968" builtinId="9" hidden="1"/>
    <cellStyle name="Followed Hyperlink" xfId="37969" builtinId="9" hidden="1"/>
    <cellStyle name="Followed Hyperlink" xfId="37970" builtinId="9" hidden="1"/>
    <cellStyle name="Followed Hyperlink" xfId="37971" builtinId="9" hidden="1"/>
    <cellStyle name="Followed Hyperlink" xfId="38315" builtinId="9" hidden="1"/>
    <cellStyle name="Followed Hyperlink" xfId="38316" builtinId="9" hidden="1"/>
    <cellStyle name="Followed Hyperlink" xfId="38317" builtinId="9" hidden="1"/>
    <cellStyle name="Followed Hyperlink" xfId="38318" builtinId="9" hidden="1"/>
    <cellStyle name="Followed Hyperlink" xfId="38319" builtinId="9" hidden="1"/>
    <cellStyle name="Followed Hyperlink" xfId="38320" builtinId="9" hidden="1"/>
    <cellStyle name="Followed Hyperlink" xfId="38321" builtinId="9" hidden="1"/>
    <cellStyle name="Followed Hyperlink" xfId="38322" builtinId="9" hidden="1"/>
    <cellStyle name="Followed Hyperlink" xfId="38323" builtinId="9" hidden="1"/>
    <cellStyle name="Followed Hyperlink" xfId="38324" builtinId="9" hidden="1"/>
    <cellStyle name="Followed Hyperlink" xfId="38325" builtinId="9" hidden="1"/>
    <cellStyle name="Followed Hyperlink" xfId="38326" builtinId="9" hidden="1"/>
    <cellStyle name="Followed Hyperlink" xfId="38327" builtinId="9" hidden="1"/>
    <cellStyle name="Followed Hyperlink" xfId="38328" builtinId="9" hidden="1"/>
    <cellStyle name="Followed Hyperlink" xfId="38329" builtinId="9" hidden="1"/>
    <cellStyle name="Followed Hyperlink" xfId="38330" builtinId="9" hidden="1"/>
    <cellStyle name="Followed Hyperlink" xfId="38331" builtinId="9" hidden="1"/>
    <cellStyle name="Followed Hyperlink" xfId="38332" builtinId="9" hidden="1"/>
    <cellStyle name="Followed Hyperlink" xfId="38333" builtinId="9" hidden="1"/>
    <cellStyle name="Followed Hyperlink" xfId="38334" builtinId="9" hidden="1"/>
    <cellStyle name="Followed Hyperlink" xfId="38335" builtinId="9" hidden="1"/>
    <cellStyle name="Followed Hyperlink" xfId="38336" builtinId="9" hidden="1"/>
    <cellStyle name="Followed Hyperlink" xfId="38337" builtinId="9" hidden="1"/>
    <cellStyle name="Followed Hyperlink" xfId="38338" builtinId="9" hidden="1"/>
    <cellStyle name="Followed Hyperlink" xfId="38339" builtinId="9" hidden="1"/>
    <cellStyle name="Followed Hyperlink" xfId="38340" builtinId="9" hidden="1"/>
    <cellStyle name="Followed Hyperlink" xfId="38341" builtinId="9" hidden="1"/>
    <cellStyle name="Followed Hyperlink" xfId="38342" builtinId="9" hidden="1"/>
    <cellStyle name="Followed Hyperlink" xfId="38343" builtinId="9" hidden="1"/>
    <cellStyle name="Followed Hyperlink" xfId="38344" builtinId="9" hidden="1"/>
    <cellStyle name="Followed Hyperlink" xfId="38345" builtinId="9" hidden="1"/>
    <cellStyle name="Followed Hyperlink" xfId="38346" builtinId="9" hidden="1"/>
    <cellStyle name="Followed Hyperlink" xfId="38347" builtinId="9" hidden="1"/>
    <cellStyle name="Followed Hyperlink" xfId="38348" builtinId="9" hidden="1"/>
    <cellStyle name="Followed Hyperlink" xfId="38349" builtinId="9" hidden="1"/>
    <cellStyle name="Followed Hyperlink" xfId="38350" builtinId="9" hidden="1"/>
    <cellStyle name="Followed Hyperlink" xfId="38351" builtinId="9" hidden="1"/>
    <cellStyle name="Followed Hyperlink" xfId="38352" builtinId="9" hidden="1"/>
    <cellStyle name="Followed Hyperlink" xfId="38353" builtinId="9" hidden="1"/>
    <cellStyle name="Followed Hyperlink" xfId="38354" builtinId="9" hidden="1"/>
    <cellStyle name="Followed Hyperlink" xfId="38355" builtinId="9" hidden="1"/>
    <cellStyle name="Followed Hyperlink" xfId="44858" builtinId="9" hidden="1"/>
    <cellStyle name="Followed Hyperlink" xfId="44859" builtinId="9" hidden="1"/>
    <cellStyle name="Followed Hyperlink" xfId="44860" builtinId="9" hidden="1"/>
    <cellStyle name="Followed Hyperlink" xfId="44861" builtinId="9" hidden="1"/>
    <cellStyle name="Followed Hyperlink" xfId="44862" builtinId="9" hidden="1"/>
    <cellStyle name="Followed Hyperlink" xfId="44863" builtinId="9" hidden="1"/>
    <cellStyle name="Followed Hyperlink" xfId="44864" builtinId="9" hidden="1"/>
    <cellStyle name="Followed Hyperlink" xfId="44865" builtinId="9" hidden="1"/>
    <cellStyle name="Followed Hyperlink" xfId="44866" builtinId="9" hidden="1"/>
    <cellStyle name="Followed Hyperlink" xfId="44867" builtinId="9" hidden="1"/>
    <cellStyle name="Followed Hyperlink" xfId="44868" builtinId="9" hidden="1"/>
    <cellStyle name="Followed Hyperlink" xfId="44869" builtinId="9" hidden="1"/>
    <cellStyle name="Followed Hyperlink" xfId="44870" builtinId="9" hidden="1"/>
    <cellStyle name="Followed Hyperlink" xfId="44871" builtinId="9" hidden="1"/>
    <cellStyle name="Followed Hyperlink" xfId="44872" builtinId="9" hidden="1"/>
    <cellStyle name="Followed Hyperlink" xfId="44873" builtinId="9" hidden="1"/>
    <cellStyle name="Followed Hyperlink" xfId="44874" builtinId="9" hidden="1"/>
    <cellStyle name="Followed Hyperlink" xfId="44875" builtinId="9" hidden="1"/>
    <cellStyle name="Followed Hyperlink" xfId="44876" builtinId="9" hidden="1"/>
    <cellStyle name="Followed Hyperlink" xfId="44877" builtinId="9" hidden="1"/>
    <cellStyle name="Followed Hyperlink" xfId="44878" builtinId="9" hidden="1"/>
    <cellStyle name="Followed Hyperlink" xfId="44879" builtinId="9" hidden="1"/>
    <cellStyle name="Followed Hyperlink" xfId="44880" builtinId="9" hidden="1"/>
    <cellStyle name="Followed Hyperlink" xfId="44881" builtinId="9" hidden="1"/>
    <cellStyle name="Followed Hyperlink" xfId="44882" builtinId="9" hidden="1"/>
    <cellStyle name="Followed Hyperlink" xfId="44883" builtinId="9" hidden="1"/>
    <cellStyle name="Followed Hyperlink" xfId="44884" builtinId="9" hidden="1"/>
    <cellStyle name="Followed Hyperlink" xfId="44885" builtinId="9" hidden="1"/>
    <cellStyle name="Followed Hyperlink" xfId="44886" builtinId="9" hidden="1"/>
    <cellStyle name="Followed Hyperlink" xfId="44887" builtinId="9" hidden="1"/>
    <cellStyle name="Followed Hyperlink" xfId="44888" builtinId="9" hidden="1"/>
    <cellStyle name="Followed Hyperlink" xfId="44889" builtinId="9" hidden="1"/>
    <cellStyle name="Followed Hyperlink" xfId="44890" builtinId="9" hidden="1"/>
    <cellStyle name="Followed Hyperlink" xfId="44891" builtinId="9" hidden="1"/>
    <cellStyle name="Followed Hyperlink" xfId="44892" builtinId="9" hidden="1"/>
    <cellStyle name="Followed Hyperlink" xfId="44893" builtinId="9" hidden="1"/>
    <cellStyle name="Followed Hyperlink" xfId="44894" builtinId="9" hidden="1"/>
    <cellStyle name="Followed Hyperlink" xfId="44895" builtinId="9" hidden="1"/>
    <cellStyle name="Followed Hyperlink" xfId="44896" builtinId="9" hidden="1"/>
    <cellStyle name="Followed Hyperlink" xfId="44897" builtinId="9" hidden="1"/>
    <cellStyle name="Followed Hyperlink" xfId="44898" builtinId="9" hidden="1"/>
    <cellStyle name="Followed Hyperlink" xfId="45259" builtinId="9" hidden="1"/>
    <cellStyle name="Followed Hyperlink" xfId="45003" builtinId="9" hidden="1"/>
    <cellStyle name="Followed Hyperlink" xfId="44939" builtinId="9" hidden="1"/>
    <cellStyle name="Followed Hyperlink" xfId="44905" builtinId="9" hidden="1"/>
    <cellStyle name="Followed Hyperlink" xfId="45046" builtinId="9" hidden="1"/>
    <cellStyle name="Followed Hyperlink" xfId="45176" builtinId="9" hidden="1"/>
    <cellStyle name="Followed Hyperlink" xfId="45119" builtinId="9" hidden="1"/>
    <cellStyle name="Followed Hyperlink" xfId="45231" builtinId="9" hidden="1"/>
    <cellStyle name="Followed Hyperlink" xfId="44973" builtinId="9" hidden="1"/>
    <cellStyle name="Followed Hyperlink" xfId="45090" builtinId="9" hidden="1"/>
    <cellStyle name="Followed Hyperlink" xfId="45210" builtinId="9" hidden="1"/>
    <cellStyle name="Followed Hyperlink" xfId="45145" builtinId="9" hidden="1"/>
    <cellStyle name="Followed Hyperlink" xfId="45254" builtinId="9" hidden="1"/>
    <cellStyle name="Followed Hyperlink" xfId="45001" builtinId="9" hidden="1"/>
    <cellStyle name="Followed Hyperlink" xfId="44934" builtinId="9" hidden="1"/>
    <cellStyle name="Followed Hyperlink" xfId="45069" builtinId="9" hidden="1"/>
    <cellStyle name="Followed Hyperlink" xfId="45195" builtinId="9" hidden="1"/>
    <cellStyle name="Followed Hyperlink" xfId="45159" builtinId="9" hidden="1"/>
    <cellStyle name="Followed Hyperlink" xfId="45272" builtinId="9" hidden="1"/>
    <cellStyle name="Followed Hyperlink" xfId="45021" builtinId="9" hidden="1"/>
    <cellStyle name="Followed Hyperlink" xfId="44955" builtinId="9" hidden="1"/>
    <cellStyle name="Followed Hyperlink" xfId="44857" builtinId="9" hidden="1"/>
    <cellStyle name="Followed Hyperlink" xfId="45038" builtinId="9" hidden="1"/>
    <cellStyle name="Followed Hyperlink" xfId="45173" builtinId="9" hidden="1"/>
    <cellStyle name="Followed Hyperlink" xfId="45112" builtinId="9" hidden="1"/>
    <cellStyle name="Followed Hyperlink" xfId="45227" builtinId="9" hidden="1"/>
    <cellStyle name="Followed Hyperlink" xfId="44968" builtinId="9" hidden="1"/>
    <cellStyle name="Followed Hyperlink" xfId="45086" builtinId="9" hidden="1"/>
    <cellStyle name="Followed Hyperlink" xfId="45208" builtinId="9" hidden="1"/>
    <cellStyle name="Followed Hyperlink" xfId="45138" builtinId="9" hidden="1"/>
    <cellStyle name="Followed Hyperlink" xfId="45249" builtinId="9" hidden="1"/>
    <cellStyle name="Followed Hyperlink" xfId="44996" builtinId="9" hidden="1"/>
    <cellStyle name="Followed Hyperlink" xfId="44928" builtinId="9" hidden="1"/>
    <cellStyle name="Followed Hyperlink" xfId="45063" builtinId="9" hidden="1"/>
    <cellStyle name="Followed Hyperlink" xfId="45188" builtinId="9" hidden="1"/>
    <cellStyle name="Followed Hyperlink" xfId="45156" builtinId="9" hidden="1"/>
    <cellStyle name="Followed Hyperlink" xfId="45269" builtinId="9" hidden="1"/>
    <cellStyle name="Followed Hyperlink" xfId="45016" builtinId="9" hidden="1"/>
    <cellStyle name="Followed Hyperlink" xfId="44951" builtinId="9" hidden="1"/>
    <cellStyle name="Followed Hyperlink" xfId="44850" builtinId="9" hidden="1"/>
    <cellStyle name="Followed Hyperlink" xfId="45035" builtinId="9" hidden="1"/>
    <cellStyle name="Followed Hyperlink" xfId="44936" builtinId="9" hidden="1"/>
    <cellStyle name="Followed Hyperlink" xfId="45088" builtinId="9" hidden="1"/>
    <cellStyle name="Followed Hyperlink" xfId="45202" builtinId="9" hidden="1"/>
    <cellStyle name="Followed Hyperlink" xfId="45228" builtinId="9" hidden="1"/>
    <cellStyle name="Followed Hyperlink" xfId="45162" builtinId="9" hidden="1"/>
    <cellStyle name="Followed Hyperlink" xfId="45141" builtinId="9" hidden="1"/>
    <cellStyle name="Followed Hyperlink" xfId="45248" builtinId="9" hidden="1"/>
    <cellStyle name="Followed Hyperlink" xfId="45114" builtinId="9" hidden="1"/>
    <cellStyle name="Followed Hyperlink" xfId="44848" builtinId="9" hidden="1"/>
    <cellStyle name="Followed Hyperlink" xfId="44916" builtinId="9" hidden="1"/>
    <cellStyle name="Followed Hyperlink" xfId="44851" builtinId="9" hidden="1"/>
    <cellStyle name="Followed Hyperlink" xfId="45054" builtinId="9" hidden="1"/>
    <cellStyle name="Followed Hyperlink" xfId="44975" builtinId="9" hidden="1"/>
    <cellStyle name="Followed Hyperlink" xfId="45267" builtinId="9" hidden="1"/>
    <cellStyle name="Followed Hyperlink" xfId="45237" builtinId="9" hidden="1"/>
    <cellStyle name="Followed Hyperlink" xfId="45029" builtinId="9" hidden="1"/>
    <cellStyle name="Followed Hyperlink" xfId="45139" builtinId="9" hidden="1"/>
    <cellStyle name="Followed Hyperlink" xfId="45059" builtinId="9" hidden="1"/>
    <cellStyle name="Followed Hyperlink" xfId="45274" builtinId="9" hidden="1"/>
    <cellStyle name="Followed Hyperlink" xfId="45207" builtinId="9" hidden="1"/>
    <cellStyle name="Followed Hyperlink" xfId="45266" builtinId="9" hidden="1"/>
    <cellStyle name="Followed Hyperlink" xfId="45234" builtinId="9" hidden="1"/>
    <cellStyle name="Followed Hyperlink" xfId="45100" builtinId="9" hidden="1"/>
    <cellStyle name="Followed Hyperlink" xfId="45143" builtinId="9" hidden="1"/>
    <cellStyle name="Followed Hyperlink" xfId="44985" builtinId="9" hidden="1"/>
    <cellStyle name="Followed Hyperlink" xfId="45223" builtinId="9" hidden="1"/>
    <cellStyle name="Followed Hyperlink" xfId="44950" builtinId="9" hidden="1"/>
    <cellStyle name="Followed Hyperlink" xfId="45047" builtinId="9" hidden="1"/>
    <cellStyle name="Followed Hyperlink" xfId="44852" builtinId="9" hidden="1"/>
    <cellStyle name="Followed Hyperlink" xfId="45055" builtinId="9" hidden="1"/>
    <cellStyle name="Followed Hyperlink" xfId="45080" builtinId="9" hidden="1"/>
    <cellStyle name="Followed Hyperlink" xfId="45010" builtinId="9" hidden="1"/>
    <cellStyle name="Followed Hyperlink" xfId="45126" builtinId="9" hidden="1"/>
    <cellStyle name="Followed Hyperlink" xfId="44843" builtinId="9" hidden="1"/>
    <cellStyle name="Followed Hyperlink" xfId="45140" builtinId="9" hidden="1"/>
    <cellStyle name="Followed Hyperlink" xfId="45060" builtinId="9" hidden="1"/>
    <cellStyle name="Followed Hyperlink" xfId="45026" builtinId="9" hidden="1"/>
    <cellStyle name="Followed Hyperlink" xfId="45125" builtinId="9" hidden="1"/>
    <cellStyle name="Followed Hyperlink" xfId="45085" builtinId="9" hidden="1"/>
    <cellStyle name="Followed Hyperlink" xfId="45120" builtinId="9" hidden="1"/>
    <cellStyle name="Followed Hyperlink" xfId="37972" builtinId="9" hidden="1"/>
    <cellStyle name="Followed Hyperlink" xfId="44972" builtinId="9" hidden="1"/>
    <cellStyle name="Followed Hyperlink" xfId="44986" builtinId="9" hidden="1"/>
    <cellStyle name="Followed Hyperlink" xfId="44989" builtinId="9" hidden="1"/>
    <cellStyle name="Followed Hyperlink" xfId="44965" builtinId="9" hidden="1"/>
    <cellStyle name="Followed Hyperlink" xfId="44941" builtinId="9" hidden="1"/>
    <cellStyle name="Followed Hyperlink" xfId="45258" builtinId="9" hidden="1"/>
    <cellStyle name="Followed Hyperlink" xfId="45238" builtinId="9" hidden="1"/>
    <cellStyle name="Followed Hyperlink" xfId="45073" builtinId="9" hidden="1"/>
    <cellStyle name="Followed Hyperlink" xfId="45005" builtinId="9" hidden="1"/>
    <cellStyle name="Followed Hyperlink" xfId="45201" builtinId="9" hidden="1"/>
    <cellStyle name="Followed Hyperlink" xfId="45255" builtinId="9" hidden="1"/>
    <cellStyle name="Followed Hyperlink" xfId="45032" builtinId="9" hidden="1"/>
    <cellStyle name="Followed Hyperlink" xfId="45263" builtinId="9" hidden="1"/>
    <cellStyle name="Followed Hyperlink" xfId="44908" builtinId="9" hidden="1"/>
    <cellStyle name="Followed Hyperlink" xfId="45075" builtinId="9" hidden="1"/>
    <cellStyle name="Followed Hyperlink" xfId="45181" builtinId="9" hidden="1"/>
    <cellStyle name="Followed Hyperlink" xfId="45232" builtinId="9" hidden="1"/>
    <cellStyle name="Followed Hyperlink" xfId="45190" builtinId="9" hidden="1"/>
    <cellStyle name="Followed Hyperlink" xfId="45276" builtinId="9" hidden="1"/>
    <cellStyle name="Followed Hyperlink" xfId="44953" builtinId="9" hidden="1"/>
    <cellStyle name="Followed Hyperlink" xfId="44907" builtinId="9" hidden="1"/>
    <cellStyle name="Followed Hyperlink" xfId="45064" builtinId="9" hidden="1"/>
    <cellStyle name="Followed Hyperlink" xfId="45037" builtinId="9" hidden="1"/>
    <cellStyle name="Followed Hyperlink" xfId="44938" builtinId="9" hidden="1"/>
    <cellStyle name="Followed Hyperlink" xfId="44933" builtinId="9" hidden="1"/>
    <cellStyle name="Followed Hyperlink" xfId="44945" builtinId="9" hidden="1"/>
    <cellStyle name="Followed Hyperlink" xfId="45193" builtinId="9" hidden="1"/>
    <cellStyle name="Followed Hyperlink" xfId="44919" builtinId="9" hidden="1"/>
    <cellStyle name="Followed Hyperlink" xfId="44935" builtinId="9" hidden="1"/>
    <cellStyle name="Followed Hyperlink" xfId="45108" builtinId="9" hidden="1"/>
    <cellStyle name="Followed Hyperlink" xfId="44943" builtinId="9" hidden="1"/>
    <cellStyle name="Followed Hyperlink" xfId="45034" builtinId="9" hidden="1"/>
    <cellStyle name="Followed Hyperlink" xfId="44909" builtinId="9" hidden="1"/>
    <cellStyle name="Followed Hyperlink" xfId="45106" builtinId="9" hidden="1"/>
    <cellStyle name="Followed Hyperlink" xfId="45094" builtinId="9" hidden="1"/>
    <cellStyle name="Followed Hyperlink" xfId="45270" builtinId="9" hidden="1"/>
    <cellStyle name="Followed Hyperlink" xfId="44967" builtinId="9" hidden="1"/>
    <cellStyle name="Followed Hyperlink" xfId="45205" builtinId="9" hidden="1"/>
    <cellStyle name="Followed Hyperlink" xfId="45072" builtinId="9" hidden="1"/>
    <cellStyle name="Followed Hyperlink" xfId="45031" builtinId="9" hidden="1"/>
    <cellStyle name="Followed Hyperlink" xfId="44912" builtinId="9" hidden="1"/>
    <cellStyle name="Followed Hyperlink" xfId="44994" builtinId="9" hidden="1"/>
    <cellStyle name="Followed Hyperlink" xfId="45172" builtinId="9" hidden="1"/>
    <cellStyle name="Followed Hyperlink" xfId="45273" builtinId="9" hidden="1"/>
    <cellStyle name="Followed Hyperlink" xfId="45182" builtinId="9" hidden="1"/>
    <cellStyle name="Followed Hyperlink" xfId="45096" builtinId="9" hidden="1"/>
    <cellStyle name="Followed Hyperlink" xfId="45235" builtinId="9" hidden="1"/>
    <cellStyle name="Followed Hyperlink" xfId="45028" builtinId="9" hidden="1"/>
    <cellStyle name="Followed Hyperlink" xfId="45166" builtinId="9" hidden="1"/>
    <cellStyle name="Followed Hyperlink" xfId="45199" builtinId="9" hidden="1"/>
    <cellStyle name="Followed Hyperlink" xfId="45245" builtinId="9" hidden="1"/>
    <cellStyle name="Followed Hyperlink" xfId="45211" builtinId="9" hidden="1"/>
    <cellStyle name="Followed Hyperlink" xfId="45025" builtinId="9" hidden="1"/>
    <cellStyle name="Followed Hyperlink" xfId="45134" builtinId="9" hidden="1"/>
    <cellStyle name="Followed Hyperlink" xfId="45079" builtinId="9" hidden="1"/>
    <cellStyle name="Followed Hyperlink" xfId="45019" builtinId="9" hidden="1"/>
    <cellStyle name="Followed Hyperlink" xfId="45157" builtinId="9" hidden="1"/>
    <cellStyle name="Followed Hyperlink" xfId="45128" builtinId="9" hidden="1"/>
    <cellStyle name="Followed Hyperlink" xfId="45097" builtinId="9" hidden="1"/>
    <cellStyle name="Followed Hyperlink" xfId="45278" builtinId="9" hidden="1"/>
    <cellStyle name="Followed Hyperlink" xfId="45221" builtinId="9" hidden="1"/>
    <cellStyle name="Followed Hyperlink" xfId="45170" builtinId="9" hidden="1"/>
    <cellStyle name="Followed Hyperlink" xfId="45091" builtinId="9" hidden="1"/>
    <cellStyle name="Followed Hyperlink" xfId="45042" builtinId="9" hidden="1"/>
    <cellStyle name="Followed Hyperlink" xfId="45163" builtinId="9" hidden="1"/>
    <cellStyle name="Followed Hyperlink" xfId="44924" builtinId="9" hidden="1"/>
    <cellStyle name="Followed Hyperlink" xfId="45219" builtinId="9" hidden="1"/>
    <cellStyle name="Followed Hyperlink" xfId="45174" builtinId="9" hidden="1"/>
    <cellStyle name="Followed Hyperlink" xfId="44944" builtinId="9" hidden="1"/>
    <cellStyle name="Followed Hyperlink" xfId="44910" builtinId="9" hidden="1"/>
    <cellStyle name="Followed Hyperlink" xfId="45130" builtinId="9" hidden="1"/>
    <cellStyle name="Followed Hyperlink" xfId="45000" builtinId="9" hidden="1"/>
    <cellStyle name="Followed Hyperlink" xfId="45071" builtinId="9" hidden="1"/>
    <cellStyle name="Followed Hyperlink" xfId="44957" builtinId="9" hidden="1"/>
    <cellStyle name="Followed Hyperlink" xfId="45041" builtinId="9" hidden="1"/>
    <cellStyle name="Followed Hyperlink" xfId="45189" builtinId="9" hidden="1"/>
    <cellStyle name="Followed Hyperlink" xfId="44977" builtinId="9" hidden="1"/>
    <cellStyle name="Followed Hyperlink" xfId="45192" builtinId="9" hidden="1"/>
    <cellStyle name="Followed Hyperlink" xfId="45002" builtinId="9" hidden="1"/>
    <cellStyle name="Followed Hyperlink" xfId="44918" builtinId="9" hidden="1"/>
    <cellStyle name="Followed Hyperlink" xfId="45243" builtinId="9" hidden="1"/>
    <cellStyle name="Followed Hyperlink" xfId="45084" builtinId="9" hidden="1"/>
    <cellStyle name="Followed Hyperlink" xfId="44847" builtinId="9" hidden="1"/>
    <cellStyle name="Followed Hyperlink" xfId="45095" builtinId="9" hidden="1"/>
    <cellStyle name="Followed Hyperlink" xfId="45275" builtinId="9" hidden="1"/>
    <cellStyle name="Followed Hyperlink" xfId="45081" builtinId="9" hidden="1"/>
    <cellStyle name="Followed Hyperlink" xfId="44846" builtinId="9" hidden="1"/>
    <cellStyle name="Followed Hyperlink" xfId="44925" builtinId="9" hidden="1"/>
    <cellStyle name="Followed Hyperlink" xfId="45220" builtinId="9" hidden="1"/>
    <cellStyle name="Followed Hyperlink" xfId="45256" builtinId="9" hidden="1"/>
    <cellStyle name="Followed Hyperlink" xfId="44854" builtinId="9" hidden="1"/>
    <cellStyle name="Followed Hyperlink" xfId="44980" builtinId="9" hidden="1"/>
    <cellStyle name="Followed Hyperlink" xfId="45152" builtinId="9" hidden="1"/>
    <cellStyle name="Followed Hyperlink" xfId="45020" builtinId="9" hidden="1"/>
    <cellStyle name="Followed Hyperlink" xfId="44841" builtinId="9" hidden="1"/>
    <cellStyle name="Followed Hyperlink" xfId="45050" builtinId="9" hidden="1"/>
    <cellStyle name="Followed Hyperlink" xfId="44932" builtinId="9" hidden="1"/>
    <cellStyle name="Followed Hyperlink" xfId="45098" builtinId="9" hidden="1"/>
    <cellStyle name="Followed Hyperlink" xfId="44971" builtinId="9" hidden="1"/>
    <cellStyle name="Followed Hyperlink" xfId="45175" builtinId="9" hidden="1"/>
    <cellStyle name="Followed Hyperlink" xfId="45280" builtinId="9" hidden="1"/>
    <cellStyle name="Followed Hyperlink" xfId="45018" builtinId="9" hidden="1"/>
    <cellStyle name="Followed Hyperlink" xfId="44990" builtinId="9" hidden="1"/>
    <cellStyle name="Followed Hyperlink" xfId="45105" builtinId="9" hidden="1"/>
    <cellStyle name="Followed Hyperlink" xfId="45187" builtinId="9" hidden="1"/>
    <cellStyle name="Followed Hyperlink" xfId="44855" builtinId="9" hidden="1"/>
    <cellStyle name="Followed Hyperlink" xfId="45045" builtinId="9" hidden="1"/>
    <cellStyle name="Followed Hyperlink" xfId="45012" builtinId="9" hidden="1"/>
    <cellStyle name="Followed Hyperlink" xfId="44991" builtinId="9" hidden="1"/>
    <cellStyle name="Followed Hyperlink" xfId="45268" builtinId="9" hidden="1"/>
    <cellStyle name="Followed Hyperlink" xfId="44900" builtinId="9" hidden="1"/>
    <cellStyle name="Followed Hyperlink" xfId="45265" builtinId="9" hidden="1"/>
    <cellStyle name="Followed Hyperlink" xfId="44993" builtinId="9" hidden="1"/>
    <cellStyle name="Followed Hyperlink" xfId="44961" builtinId="9" hidden="1"/>
    <cellStyle name="Followed Hyperlink" xfId="45206" builtinId="9" hidden="1"/>
    <cellStyle name="Followed Hyperlink" xfId="45224" builtinId="9" hidden="1"/>
    <cellStyle name="Followed Hyperlink" xfId="45262" builtinId="9" hidden="1"/>
    <cellStyle name="Followed Hyperlink" xfId="45062" builtinId="9" hidden="1"/>
    <cellStyle name="Followed Hyperlink" xfId="45257" builtinId="9" hidden="1"/>
    <cellStyle name="Followed Hyperlink" xfId="45099" builtinId="9" hidden="1"/>
    <cellStyle name="Followed Hyperlink" xfId="45183" builtinId="9" hidden="1"/>
    <cellStyle name="Followed Hyperlink" xfId="45222" builtinId="9" hidden="1"/>
    <cellStyle name="Followed Hyperlink" xfId="44842" builtinId="9" hidden="1"/>
    <cellStyle name="Followed Hyperlink" xfId="45127" builtinId="9" hidden="1"/>
    <cellStyle name="Followed Hyperlink" xfId="45154" builtinId="9" hidden="1"/>
    <cellStyle name="Followed Hyperlink" xfId="45277" builtinId="9" hidden="1"/>
    <cellStyle name="Followed Hyperlink" xfId="45158" builtinId="9" hidden="1"/>
    <cellStyle name="Followed Hyperlink" xfId="44845" builtinId="9" hidden="1"/>
    <cellStyle name="Followed Hyperlink" xfId="45194" builtinId="9" hidden="1"/>
    <cellStyle name="Followed Hyperlink" xfId="44902" builtinId="9" hidden="1"/>
    <cellStyle name="Followed Hyperlink" xfId="44899" builtinId="9" hidden="1"/>
    <cellStyle name="Followed Hyperlink" xfId="45196" builtinId="9" hidden="1"/>
    <cellStyle name="Followed Hyperlink" xfId="45253" builtinId="9" hidden="1"/>
    <cellStyle name="Followed Hyperlink" xfId="45048" builtinId="9" hidden="1"/>
    <cellStyle name="Followed Hyperlink" xfId="45111" builtinId="9" hidden="1"/>
    <cellStyle name="Followed Hyperlink" xfId="45074" builtinId="9" hidden="1"/>
    <cellStyle name="Followed Hyperlink" xfId="45009" builtinId="9" hidden="1"/>
    <cellStyle name="Followed Hyperlink" xfId="44963" builtinId="9" hidden="1"/>
    <cellStyle name="Followed Hyperlink" xfId="45230" builtinId="9" hidden="1"/>
    <cellStyle name="Followed Hyperlink" xfId="45233" builtinId="9" hidden="1"/>
    <cellStyle name="Followed Hyperlink" xfId="45185" builtinId="9" hidden="1"/>
    <cellStyle name="Followed Hyperlink" xfId="45282" builtinId="9" hidden="1"/>
    <cellStyle name="Followed Hyperlink" xfId="44962" builtinId="9" hidden="1"/>
    <cellStyle name="Followed Hyperlink" xfId="44901" builtinId="9" hidden="1"/>
    <cellStyle name="Followed Hyperlink" xfId="44960" builtinId="9" hidden="1"/>
    <cellStyle name="Followed Hyperlink" xfId="45217" builtinId="9" hidden="1"/>
    <cellStyle name="Followed Hyperlink" xfId="45113" builtinId="9" hidden="1"/>
    <cellStyle name="Followed Hyperlink" xfId="45008" builtinId="9" hidden="1"/>
    <cellStyle name="Followed Hyperlink" xfId="45093" builtinId="9" hidden="1"/>
    <cellStyle name="Followed Hyperlink" xfId="45117" builtinId="9" hidden="1"/>
    <cellStyle name="Followed Hyperlink" xfId="45027" builtinId="9" hidden="1"/>
    <cellStyle name="Followed Hyperlink" xfId="45078" builtinId="9" hidden="1"/>
    <cellStyle name="Followed Hyperlink" xfId="45024" builtinId="9" hidden="1"/>
    <cellStyle name="Followed Hyperlink" xfId="44948" builtinId="9" hidden="1"/>
    <cellStyle name="Followed Hyperlink" xfId="45015" builtinId="9" hidden="1"/>
    <cellStyle name="Followed Hyperlink" xfId="45066" builtinId="9" hidden="1"/>
    <cellStyle name="Followed Hyperlink" xfId="45213" builtinId="9" hidden="1"/>
    <cellStyle name="Followed Hyperlink" xfId="44913" builtinId="9" hidden="1"/>
    <cellStyle name="Followed Hyperlink" xfId="45057" builtinId="9" hidden="1"/>
    <cellStyle name="Followed Hyperlink" xfId="38444" builtinId="9" hidden="1"/>
    <cellStyle name="Followed Hyperlink" xfId="45252" builtinId="9" hidden="1"/>
    <cellStyle name="Followed Hyperlink" xfId="45247" builtinId="9" hidden="1"/>
    <cellStyle name="Followed Hyperlink" xfId="45151" builtinId="9" hidden="1"/>
    <cellStyle name="Followed Hyperlink" xfId="45030" builtinId="9" hidden="1"/>
    <cellStyle name="Followed Hyperlink" xfId="45177" builtinId="9" hidden="1"/>
    <cellStyle name="Followed Hyperlink" xfId="45261" builtinId="9" hidden="1"/>
    <cellStyle name="Followed Hyperlink" xfId="45279" builtinId="9" hidden="1"/>
    <cellStyle name="Followed Hyperlink" xfId="44937" builtinId="9" hidden="1"/>
    <cellStyle name="Followed Hyperlink" xfId="44956" builtinId="9" hidden="1"/>
    <cellStyle name="Followed Hyperlink" xfId="45229" builtinId="9" hidden="1"/>
    <cellStyle name="Followed Hyperlink" xfId="45165" builtinId="9" hidden="1"/>
    <cellStyle name="Followed Hyperlink" xfId="45169" builtinId="9" hidden="1"/>
    <cellStyle name="Followed Hyperlink" xfId="44997" builtinId="9" hidden="1"/>
    <cellStyle name="Followed Hyperlink" xfId="38010" builtinId="9" hidden="1"/>
    <cellStyle name="Followed Hyperlink" xfId="45061" builtinId="9" hidden="1"/>
    <cellStyle name="Followed Hyperlink" xfId="45136" builtinId="9" hidden="1"/>
    <cellStyle name="Followed Hyperlink" xfId="44998" builtinId="9" hidden="1"/>
    <cellStyle name="Followed Hyperlink" xfId="44949" builtinId="9" hidden="1"/>
    <cellStyle name="Followed Hyperlink" xfId="45264" builtinId="9" hidden="1"/>
    <cellStyle name="Followed Hyperlink" xfId="45239" builtinId="9" hidden="1"/>
    <cellStyle name="Followed Hyperlink" xfId="45147" builtinId="9" hidden="1"/>
    <cellStyle name="Followed Hyperlink" xfId="45023" builtinId="9" hidden="1"/>
    <cellStyle name="Followed Hyperlink" xfId="45284" builtinId="9" hidden="1"/>
    <cellStyle name="Followed Hyperlink" xfId="45133" builtinId="9" hidden="1"/>
    <cellStyle name="Followed Hyperlink" xfId="45244" builtinId="9" hidden="1"/>
    <cellStyle name="Followed Hyperlink" xfId="44927" builtinId="9" hidden="1"/>
    <cellStyle name="Followed Hyperlink" xfId="44974" builtinId="9" hidden="1"/>
    <cellStyle name="Followed Hyperlink" xfId="45053" builtinId="9" hidden="1"/>
    <cellStyle name="Followed Hyperlink" xfId="45014" builtinId="9" hidden="1"/>
    <cellStyle name="Followed Hyperlink" xfId="44942" builtinId="9" hidden="1"/>
    <cellStyle name="Followed Hyperlink" xfId="45116" builtinId="9" hidden="1"/>
    <cellStyle name="Followed Hyperlink" xfId="45083" builtinId="9" hidden="1"/>
    <cellStyle name="Followed Hyperlink" xfId="44917" builtinId="9" hidden="1"/>
    <cellStyle name="Followed Hyperlink" xfId="44903" builtinId="9" hidden="1"/>
    <cellStyle name="Followed Hyperlink" xfId="44904" builtinId="9" hidden="1"/>
    <cellStyle name="Followed Hyperlink" xfId="45011" builtinId="9" hidden="1"/>
    <cellStyle name="Followed Hyperlink" xfId="45197" builtinId="9" hidden="1"/>
    <cellStyle name="Followed Hyperlink" xfId="45160" builtinId="9" hidden="1"/>
    <cellStyle name="Followed Hyperlink" xfId="45137" builtinId="9" hidden="1"/>
    <cellStyle name="Followed Hyperlink" xfId="45007" builtinId="9" hidden="1"/>
    <cellStyle name="Followed Hyperlink" xfId="45017" builtinId="9" hidden="1"/>
    <cellStyle name="Followed Hyperlink" xfId="45215" builtinId="9" hidden="1"/>
    <cellStyle name="Followed Hyperlink" xfId="45260" builtinId="9" hidden="1"/>
    <cellStyle name="Followed Hyperlink" xfId="44981" builtinId="9" hidden="1"/>
    <cellStyle name="Followed Hyperlink" xfId="45191" builtinId="9" hidden="1"/>
    <cellStyle name="Followed Hyperlink" xfId="45013" builtinId="9" hidden="1"/>
    <cellStyle name="Followed Hyperlink" xfId="45101" builtinId="9" hidden="1"/>
    <cellStyle name="Followed Hyperlink" xfId="45281" builtinId="9" hidden="1"/>
    <cellStyle name="Followed Hyperlink" xfId="44923" builtinId="9" hidden="1"/>
    <cellStyle name="Followed Hyperlink" xfId="45033" builtinId="9" hidden="1"/>
    <cellStyle name="Followed Hyperlink" xfId="45076" builtinId="9" hidden="1"/>
    <cellStyle name="Followed Hyperlink" xfId="45135" builtinId="9" hidden="1"/>
    <cellStyle name="Followed Hyperlink" xfId="45246" builtinId="9" hidden="1"/>
    <cellStyle name="Followed Hyperlink" xfId="44844" builtinId="9" hidden="1"/>
    <cellStyle name="Followed Hyperlink" xfId="44979" builtinId="9" hidden="1"/>
    <cellStyle name="Followed Hyperlink" xfId="44947" builtinId="9" hidden="1"/>
    <cellStyle name="Followed Hyperlink" xfId="45115" builtinId="9" hidden="1"/>
    <cellStyle name="Followed Hyperlink" xfId="45043" builtinId="9" hidden="1"/>
    <cellStyle name="Followed Hyperlink" xfId="45089" builtinId="9" hidden="1"/>
    <cellStyle name="Followed Hyperlink" xfId="45058" builtinId="9" hidden="1"/>
    <cellStyle name="Followed Hyperlink" xfId="45102" builtinId="9" hidden="1"/>
    <cellStyle name="Followed Hyperlink" xfId="44958" builtinId="9" hidden="1"/>
    <cellStyle name="Followed Hyperlink" xfId="45198" builtinId="9" hidden="1"/>
    <cellStyle name="Followed Hyperlink" xfId="45286" builtinId="9" hidden="1"/>
    <cellStyle name="Followed Hyperlink" xfId="45103" builtinId="9" hidden="1"/>
    <cellStyle name="Followed Hyperlink" xfId="45203" builtinId="9" hidden="1"/>
    <cellStyle name="Followed Hyperlink" xfId="45004" builtinId="9" hidden="1"/>
    <cellStyle name="Followed Hyperlink" xfId="44922" builtinId="9" hidden="1"/>
    <cellStyle name="Followed Hyperlink" xfId="44946" builtinId="9" hidden="1"/>
    <cellStyle name="Followed Hyperlink" xfId="45131" builtinId="9" hidden="1"/>
    <cellStyle name="Followed Hyperlink" xfId="45144" builtinId="9" hidden="1"/>
    <cellStyle name="Followed Hyperlink" xfId="45049" builtinId="9" hidden="1"/>
    <cellStyle name="Followed Hyperlink" xfId="45077" builtinId="9" hidden="1"/>
    <cellStyle name="Followed Hyperlink" xfId="45051" builtinId="9" hidden="1"/>
    <cellStyle name="Followed Hyperlink" xfId="44906" builtinId="9" hidden="1"/>
    <cellStyle name="Followed Hyperlink" xfId="45022" builtinId="9" hidden="1"/>
    <cellStyle name="Followed Hyperlink" xfId="45167" builtinId="9" hidden="1"/>
    <cellStyle name="Followed Hyperlink" xfId="44853" builtinId="9" hidden="1"/>
    <cellStyle name="Followed Hyperlink" xfId="45123" builtinId="9" hidden="1"/>
    <cellStyle name="Followed Hyperlink" xfId="45107" builtinId="9" hidden="1"/>
    <cellStyle name="Followed Hyperlink" xfId="45155" builtinId="9" hidden="1"/>
    <cellStyle name="Followed Hyperlink" xfId="44920" builtinId="9" hidden="1"/>
    <cellStyle name="Followed Hyperlink" xfId="45036" builtinId="9" hidden="1"/>
    <cellStyle name="Followed Hyperlink" xfId="45039" builtinId="9" hidden="1"/>
    <cellStyle name="Followed Hyperlink" xfId="45225" builtinId="9" hidden="1"/>
    <cellStyle name="Followed Hyperlink" xfId="44978" builtinId="9" hidden="1"/>
    <cellStyle name="Followed Hyperlink" xfId="44931" builtinId="9" hidden="1"/>
    <cellStyle name="Followed Hyperlink" xfId="45110" builtinId="9" hidden="1"/>
    <cellStyle name="Followed Hyperlink" xfId="45283" builtinId="9" hidden="1"/>
    <cellStyle name="Followed Hyperlink" xfId="45148" builtinId="9" hidden="1"/>
    <cellStyle name="Followed Hyperlink" xfId="45216" builtinId="9" hidden="1"/>
    <cellStyle name="Followed Hyperlink" xfId="45171" builtinId="9" hidden="1"/>
    <cellStyle name="Followed Hyperlink" xfId="45040" builtinId="9" hidden="1"/>
    <cellStyle name="Followed Hyperlink" xfId="45178" builtinId="9" hidden="1"/>
    <cellStyle name="Followed Hyperlink" xfId="44983" builtinId="9" hidden="1"/>
    <cellStyle name="Followed Hyperlink" xfId="45118" builtinId="9" hidden="1"/>
    <cellStyle name="Followed Hyperlink" xfId="45150" builtinId="9" hidden="1"/>
    <cellStyle name="Followed Hyperlink" xfId="45240" builtinId="9" hidden="1"/>
    <cellStyle name="Followed Hyperlink" xfId="45109" builtinId="9" hidden="1"/>
    <cellStyle name="Followed Hyperlink" xfId="44959" builtinId="9" hidden="1"/>
    <cellStyle name="Followed Hyperlink" xfId="45180" builtinId="9" hidden="1"/>
    <cellStyle name="Followed Hyperlink" xfId="44992" builtinId="9" hidden="1"/>
    <cellStyle name="Followed Hyperlink" xfId="45226" builtinId="9" hidden="1"/>
    <cellStyle name="Followed Hyperlink" xfId="45161" builtinId="9" hidden="1"/>
    <cellStyle name="Followed Hyperlink" xfId="45287" builtinId="9" hidden="1"/>
    <cellStyle name="Followed Hyperlink" xfId="45056" builtinId="9" hidden="1"/>
    <cellStyle name="Followed Hyperlink" xfId="44984" builtinId="9" hidden="1"/>
    <cellStyle name="Followed Hyperlink" xfId="45218" builtinId="9" hidden="1"/>
    <cellStyle name="Followed Hyperlink" xfId="44911" builtinId="9" hidden="1"/>
    <cellStyle name="Followed Hyperlink" xfId="45214" builtinId="9" hidden="1"/>
    <cellStyle name="Followed Hyperlink" xfId="45129" builtinId="9" hidden="1"/>
    <cellStyle name="Followed Hyperlink" xfId="45204" builtinId="9" hidden="1"/>
    <cellStyle name="Followed Hyperlink" xfId="45242" builtinId="9" hidden="1"/>
    <cellStyle name="Followed Hyperlink" xfId="45006" builtinId="9" hidden="1"/>
    <cellStyle name="Followed Hyperlink" xfId="45212" builtinId="9" hidden="1"/>
    <cellStyle name="Followed Hyperlink" xfId="44969" builtinId="9" hidden="1"/>
    <cellStyle name="Followed Hyperlink" xfId="45132" builtinId="9" hidden="1"/>
    <cellStyle name="Followed Hyperlink" xfId="45250" builtinId="9" hidden="1"/>
    <cellStyle name="Followed Hyperlink" xfId="45070" builtinId="9" hidden="1"/>
    <cellStyle name="Followed Hyperlink" xfId="44856" builtinId="9" hidden="1"/>
    <cellStyle name="Followed Hyperlink" xfId="45153" builtinId="9" hidden="1"/>
    <cellStyle name="Followed Hyperlink" xfId="45067" builtinId="9" hidden="1"/>
    <cellStyle name="Followed Hyperlink" xfId="45164" builtinId="9" hidden="1"/>
    <cellStyle name="Followed Hyperlink" xfId="45146" builtinId="9" hidden="1"/>
    <cellStyle name="Followed Hyperlink" xfId="45122" builtinId="9" hidden="1"/>
    <cellStyle name="Followed Hyperlink" xfId="45209" builtinId="9" hidden="1"/>
    <cellStyle name="Followed Hyperlink" xfId="45121" builtinId="9" hidden="1"/>
    <cellStyle name="Followed Hyperlink" xfId="45168" builtinId="9" hidden="1"/>
    <cellStyle name="Followed Hyperlink" xfId="44930" builtinId="9" hidden="1"/>
    <cellStyle name="Followed Hyperlink" xfId="45285" builtinId="9" hidden="1"/>
    <cellStyle name="Followed Hyperlink" xfId="45179" builtinId="9" hidden="1"/>
    <cellStyle name="Followed Hyperlink" xfId="44988" builtinId="9" hidden="1"/>
    <cellStyle name="Followed Hyperlink" xfId="44940" builtinId="9" hidden="1"/>
    <cellStyle name="Followed Hyperlink" xfId="45271" builtinId="9" hidden="1"/>
    <cellStyle name="Followed Hyperlink" xfId="44914" builtinId="9" hidden="1"/>
    <cellStyle name="Followed Hyperlink" xfId="45200" builtinId="9" hidden="1"/>
    <cellStyle name="Followed Hyperlink" xfId="45068" builtinId="9" hidden="1"/>
    <cellStyle name="Followed Hyperlink" xfId="45236" builtinId="9" hidden="1"/>
    <cellStyle name="Followed Hyperlink" xfId="44970" builtinId="9" hidden="1"/>
    <cellStyle name="Followed Hyperlink" xfId="44987" builtinId="9" hidden="1"/>
    <cellStyle name="Followed Hyperlink" xfId="44995" builtinId="9" hidden="1"/>
    <cellStyle name="Followed Hyperlink" xfId="45142" builtinId="9" hidden="1"/>
    <cellStyle name="Followed Hyperlink" xfId="44954" builtinId="9" hidden="1"/>
    <cellStyle name="Followed Hyperlink" xfId="45065" builtinId="9" hidden="1"/>
    <cellStyle name="Followed Hyperlink" xfId="44915" builtinId="9" hidden="1"/>
    <cellStyle name="Followed Hyperlink" xfId="45288" builtinId="9" hidden="1"/>
    <cellStyle name="Followed Hyperlink" xfId="45241" builtinId="9" hidden="1"/>
    <cellStyle name="Followed Hyperlink" xfId="45044" builtinId="9" hidden="1"/>
    <cellStyle name="Followed Hyperlink" xfId="44964" builtinId="9" hidden="1"/>
    <cellStyle name="Followed Hyperlink" xfId="44999" builtinId="9" hidden="1"/>
    <cellStyle name="Followed Hyperlink" xfId="45087" builtinId="9" hidden="1"/>
    <cellStyle name="Followed Hyperlink" xfId="44966" builtinId="9" hidden="1"/>
    <cellStyle name="Followed Hyperlink" xfId="45092" builtinId="9" hidden="1"/>
    <cellStyle name="Followed Hyperlink" xfId="44952" builtinId="9" hidden="1"/>
    <cellStyle name="Followed Hyperlink" xfId="44926" builtinId="9" hidden="1"/>
    <cellStyle name="Followed Hyperlink" xfId="45184" builtinId="9" hidden="1"/>
    <cellStyle name="Followed Hyperlink" xfId="44849" builtinId="9" hidden="1"/>
    <cellStyle name="Followed Hyperlink" xfId="44921" builtinId="9" hidden="1"/>
    <cellStyle name="Followed Hyperlink" xfId="45052" builtinId="9" hidden="1"/>
    <cellStyle name="Followed Hyperlink" xfId="45104" builtinId="9" hidden="1"/>
    <cellStyle name="Followed Hyperlink" xfId="44929" builtinId="9" hidden="1"/>
    <cellStyle name="Followed Hyperlink" xfId="45149" builtinId="9" hidden="1"/>
    <cellStyle name="Followed Hyperlink" xfId="45251" builtinId="9" hidden="1"/>
    <cellStyle name="Followed Hyperlink" xfId="45082" builtinId="9" hidden="1"/>
    <cellStyle name="Followed Hyperlink" xfId="44982" builtinId="9" hidden="1"/>
    <cellStyle name="Followed Hyperlink" xfId="44976" builtinId="9" hidden="1"/>
    <cellStyle name="Followed Hyperlink" xfId="45186" builtinId="9" hidden="1"/>
    <cellStyle name="Followed Hyperlink" xfId="45124" builtinId="9" hidden="1"/>
    <cellStyle name="Good" xfId="55" builtinId="26" customBuiltin="1"/>
    <cellStyle name="Good 2" xfId="59989"/>
    <cellStyle name="Good 2 2" xfId="59990"/>
    <cellStyle name="Good 3" xfId="59991"/>
    <cellStyle name="Good 4" xfId="59992"/>
    <cellStyle name="Good 5" xfId="59993"/>
    <cellStyle name="Good 6" xfId="59994"/>
    <cellStyle name="Heading" xfId="8"/>
    <cellStyle name="Heading 1" xfId="51" builtinId="16" customBuiltin="1"/>
    <cellStyle name="Heading 2" xfId="52" builtinId="17" customBuiltin="1"/>
    <cellStyle name="Heading 3" xfId="53" builtinId="18" customBuiltin="1"/>
    <cellStyle name="Heading 4" xfId="54" builtinId="19" customBuiltin="1"/>
    <cellStyle name="Hyperlink" xfId="16" builtinId="8"/>
    <cellStyle name="Hyperlink 2" xfId="9"/>
    <cellStyle name="Hyperlink 3" xfId="40369"/>
    <cellStyle name="Hyperlink 4" xfId="45313"/>
    <cellStyle name="Input" xfId="6" builtinId="20" customBuiltin="1"/>
    <cellStyle name="Linked Cell" xfId="59" builtinId="24" customBuiltin="1"/>
    <cellStyle name="Neutral" xfId="57" builtinId="28" customBuiltin="1"/>
    <cellStyle name="Neutral 2" xfId="59995"/>
    <cellStyle name="Normal" xfId="0" builtinId="0" customBuiltin="1"/>
    <cellStyle name="Normal 10" xfId="92"/>
    <cellStyle name="Normal 10 2" xfId="93"/>
    <cellStyle name="Normal 10 2 2" xfId="38819"/>
    <cellStyle name="Normal 10 3" xfId="196"/>
    <cellStyle name="Normal 10 3 2" xfId="3509"/>
    <cellStyle name="Normal 10 3 3" xfId="4545"/>
    <cellStyle name="Normal 10 3 4" xfId="2753"/>
    <cellStyle name="Normal 10 4" xfId="59996"/>
    <cellStyle name="Normal 11" xfId="94"/>
    <cellStyle name="Normal 11 2" xfId="60020"/>
    <cellStyle name="Normal 12" xfId="95"/>
    <cellStyle name="Normal 12 10" xfId="10922"/>
    <cellStyle name="Normal 12 10 2" xfId="51176"/>
    <cellStyle name="Normal 12 11" xfId="2758"/>
    <cellStyle name="Normal 12 11 2" xfId="47459"/>
    <cellStyle name="Normal 12 12" xfId="38012"/>
    <cellStyle name="Normal 12 12 2" xfId="53212"/>
    <cellStyle name="Normal 12 13" xfId="45342"/>
    <cellStyle name="Normal 12 2" xfId="198"/>
    <cellStyle name="Normal 12 2 10" xfId="38087"/>
    <cellStyle name="Normal 12 2 10 2" xfId="53287"/>
    <cellStyle name="Normal 12 2 11" xfId="45430"/>
    <cellStyle name="Normal 12 2 2" xfId="952"/>
    <cellStyle name="Normal 12 2 2 2" xfId="5301"/>
    <cellStyle name="Normal 12 2 2 2 2" xfId="44603"/>
    <cellStyle name="Normal 12 2 2 2 2 2" xfId="59729"/>
    <cellStyle name="Normal 12 2 2 2 3" xfId="42367"/>
    <cellStyle name="Normal 12 2 2 2 3 2" xfId="57494"/>
    <cellStyle name="Normal 12 2 2 2 4" xfId="40087"/>
    <cellStyle name="Normal 12 2 2 2 4 2" xfId="55215"/>
    <cellStyle name="Normal 12 2 2 2 5" xfId="49986"/>
    <cellStyle name="Normal 12 2 2 3" xfId="11762"/>
    <cellStyle name="Normal 12 2 2 3 2" xfId="43037"/>
    <cellStyle name="Normal 12 2 2 3 2 2" xfId="58163"/>
    <cellStyle name="Normal 12 2 2 3 3" xfId="52016"/>
    <cellStyle name="Normal 12 2 2 4" xfId="3187"/>
    <cellStyle name="Normal 12 2 2 4 2" xfId="40801"/>
    <cellStyle name="Normal 12 2 2 4 2 2" xfId="55928"/>
    <cellStyle name="Normal 12 2 2 4 3" xfId="47881"/>
    <cellStyle name="Normal 12 2 2 5" xfId="38945"/>
    <cellStyle name="Normal 12 2 2 5 2" xfId="54076"/>
    <cellStyle name="Normal 12 2 2 6" xfId="46182"/>
    <cellStyle name="Normal 12 2 3" xfId="1254"/>
    <cellStyle name="Normal 12 2 3 2" xfId="5603"/>
    <cellStyle name="Normal 12 2 3 2 2" xfId="44252"/>
    <cellStyle name="Normal 12 2 3 2 2 2" xfId="59378"/>
    <cellStyle name="Normal 12 2 3 2 3" xfId="42016"/>
    <cellStyle name="Normal 12 2 3 2 3 2" xfId="57143"/>
    <cellStyle name="Normal 12 2 3 2 4" xfId="39736"/>
    <cellStyle name="Normal 12 2 3 2 4 2" xfId="54864"/>
    <cellStyle name="Normal 12 2 3 2 5" xfId="50288"/>
    <cellStyle name="Normal 12 2 3 3" xfId="12064"/>
    <cellStyle name="Normal 12 2 3 3 2" xfId="43388"/>
    <cellStyle name="Normal 12 2 3 3 2 2" xfId="58514"/>
    <cellStyle name="Normal 12 2 3 3 3" xfId="52318"/>
    <cellStyle name="Normal 12 2 3 4" xfId="3537"/>
    <cellStyle name="Normal 12 2 3 4 2" xfId="41152"/>
    <cellStyle name="Normal 12 2 3 4 2 2" xfId="56279"/>
    <cellStyle name="Normal 12 2 3 4 3" xfId="48230"/>
    <cellStyle name="Normal 12 2 3 5" xfId="38572"/>
    <cellStyle name="Normal 12 2 3 5 2" xfId="53725"/>
    <cellStyle name="Normal 12 2 3 6" xfId="46484"/>
    <cellStyle name="Normal 12 2 4" xfId="1465"/>
    <cellStyle name="Normal 12 2 4 2" xfId="5814"/>
    <cellStyle name="Normal 12 2 4 2 2" xfId="43814"/>
    <cellStyle name="Normal 12 2 4 2 2 2" xfId="58940"/>
    <cellStyle name="Normal 12 2 4 2 3" xfId="50499"/>
    <cellStyle name="Normal 12 2 4 3" xfId="12275"/>
    <cellStyle name="Normal 12 2 4 3 2" xfId="41578"/>
    <cellStyle name="Normal 12 2 4 3 2 2" xfId="56705"/>
    <cellStyle name="Normal 12 2 4 3 3" xfId="52529"/>
    <cellStyle name="Normal 12 2 4 4" xfId="3764"/>
    <cellStyle name="Normal 12 2 4 4 2" xfId="48457"/>
    <cellStyle name="Normal 12 2 4 5" xfId="39298"/>
    <cellStyle name="Normal 12 2 4 5 2" xfId="54426"/>
    <cellStyle name="Normal 12 2 4 6" xfId="46695"/>
    <cellStyle name="Normal 12 2 5" xfId="620"/>
    <cellStyle name="Normal 12 2 5 2" xfId="4969"/>
    <cellStyle name="Normal 12 2 5 2 2" xfId="49654"/>
    <cellStyle name="Normal 12 2 5 3" xfId="11430"/>
    <cellStyle name="Normal 12 2 5 3 2" xfId="51684"/>
    <cellStyle name="Normal 12 2 5 4" xfId="4123"/>
    <cellStyle name="Normal 12 2 5 4 2" xfId="48813"/>
    <cellStyle name="Normal 12 2 5 5" xfId="42686"/>
    <cellStyle name="Normal 12 2 5 5 2" xfId="57813"/>
    <cellStyle name="Normal 12 2 5 6" xfId="45850"/>
    <cellStyle name="Normal 12 2 6" xfId="1871"/>
    <cellStyle name="Normal 12 2 6 2" xfId="12678"/>
    <cellStyle name="Normal 12 2 6 2 2" xfId="52931"/>
    <cellStyle name="Normal 12 2 6 3" xfId="6218"/>
    <cellStyle name="Normal 12 2 6 3 2" xfId="50901"/>
    <cellStyle name="Normal 12 2 6 4" xfId="40451"/>
    <cellStyle name="Normal 12 2 6 4 2" xfId="55578"/>
    <cellStyle name="Normal 12 2 6 5" xfId="47097"/>
    <cellStyle name="Normal 12 2 7" xfId="4547"/>
    <cellStyle name="Normal 12 2 7 2" xfId="49234"/>
    <cellStyle name="Normal 12 2 8" xfId="11010"/>
    <cellStyle name="Normal 12 2 8 2" xfId="51264"/>
    <cellStyle name="Normal 12 2 9" xfId="2854"/>
    <cellStyle name="Normal 12 2 9 2" xfId="47548"/>
    <cellStyle name="Normal 12 3" xfId="289"/>
    <cellStyle name="Normal 12 3 10" xfId="45519"/>
    <cellStyle name="Normal 12 3 2" xfId="1343"/>
    <cellStyle name="Normal 12 3 2 2" xfId="5692"/>
    <cellStyle name="Normal 12 3 2 2 2" xfId="44679"/>
    <cellStyle name="Normal 12 3 2 2 2 2" xfId="59805"/>
    <cellStyle name="Normal 12 3 2 2 3" xfId="42443"/>
    <cellStyle name="Normal 12 3 2 2 3 2" xfId="57570"/>
    <cellStyle name="Normal 12 3 2 2 4" xfId="40163"/>
    <cellStyle name="Normal 12 3 2 2 4 2" xfId="55291"/>
    <cellStyle name="Normal 12 3 2 2 5" xfId="50377"/>
    <cellStyle name="Normal 12 3 2 3" xfId="12153"/>
    <cellStyle name="Normal 12 3 2 3 2" xfId="43113"/>
    <cellStyle name="Normal 12 3 2 3 2 2" xfId="58239"/>
    <cellStyle name="Normal 12 3 2 3 3" xfId="52407"/>
    <cellStyle name="Normal 12 3 2 4" xfId="3626"/>
    <cellStyle name="Normal 12 3 2 4 2" xfId="40877"/>
    <cellStyle name="Normal 12 3 2 4 2 2" xfId="56004"/>
    <cellStyle name="Normal 12 3 2 4 3" xfId="48319"/>
    <cellStyle name="Normal 12 3 2 5" xfId="39021"/>
    <cellStyle name="Normal 12 3 2 5 2" xfId="54152"/>
    <cellStyle name="Normal 12 3 2 6" xfId="46573"/>
    <cellStyle name="Normal 12 3 3" xfId="1554"/>
    <cellStyle name="Normal 12 3 3 2" xfId="5903"/>
    <cellStyle name="Normal 12 3 3 2 2" xfId="44328"/>
    <cellStyle name="Normal 12 3 3 2 2 2" xfId="59454"/>
    <cellStyle name="Normal 12 3 3 2 3" xfId="42092"/>
    <cellStyle name="Normal 12 3 3 2 3 2" xfId="57219"/>
    <cellStyle name="Normal 12 3 3 2 4" xfId="39812"/>
    <cellStyle name="Normal 12 3 3 2 4 2" xfId="54940"/>
    <cellStyle name="Normal 12 3 3 2 5" xfId="50588"/>
    <cellStyle name="Normal 12 3 3 3" xfId="12364"/>
    <cellStyle name="Normal 12 3 3 3 2" xfId="43464"/>
    <cellStyle name="Normal 12 3 3 3 2 2" xfId="58590"/>
    <cellStyle name="Normal 12 3 3 3 3" xfId="52618"/>
    <cellStyle name="Normal 12 3 3 4" xfId="3853"/>
    <cellStyle name="Normal 12 3 3 4 2" xfId="41228"/>
    <cellStyle name="Normal 12 3 3 4 2 2" xfId="56355"/>
    <cellStyle name="Normal 12 3 3 4 3" xfId="48546"/>
    <cellStyle name="Normal 12 3 3 5" xfId="38648"/>
    <cellStyle name="Normal 12 3 3 5 2" xfId="53801"/>
    <cellStyle name="Normal 12 3 3 6" xfId="46784"/>
    <cellStyle name="Normal 12 3 4" xfId="1041"/>
    <cellStyle name="Normal 12 3 4 2" xfId="5390"/>
    <cellStyle name="Normal 12 3 4 2 2" xfId="43890"/>
    <cellStyle name="Normal 12 3 4 2 2 2" xfId="59016"/>
    <cellStyle name="Normal 12 3 4 2 3" xfId="50075"/>
    <cellStyle name="Normal 12 3 4 3" xfId="11851"/>
    <cellStyle name="Normal 12 3 4 3 2" xfId="41654"/>
    <cellStyle name="Normal 12 3 4 3 2 2" xfId="56781"/>
    <cellStyle name="Normal 12 3 4 3 3" xfId="52105"/>
    <cellStyle name="Normal 12 3 4 4" xfId="4212"/>
    <cellStyle name="Normal 12 3 4 4 2" xfId="48902"/>
    <cellStyle name="Normal 12 3 4 5" xfId="39374"/>
    <cellStyle name="Normal 12 3 4 5 2" xfId="54502"/>
    <cellStyle name="Normal 12 3 4 6" xfId="46271"/>
    <cellStyle name="Normal 12 3 5" xfId="1947"/>
    <cellStyle name="Normal 12 3 5 2" xfId="12754"/>
    <cellStyle name="Normal 12 3 5 2 2" xfId="53007"/>
    <cellStyle name="Normal 12 3 5 3" xfId="6294"/>
    <cellStyle name="Normal 12 3 5 3 2" xfId="50977"/>
    <cellStyle name="Normal 12 3 5 4" xfId="42762"/>
    <cellStyle name="Normal 12 3 5 4 2" xfId="57889"/>
    <cellStyle name="Normal 12 3 5 5" xfId="47173"/>
    <cellStyle name="Normal 12 3 6" xfId="4638"/>
    <cellStyle name="Normal 12 3 6 2" xfId="40527"/>
    <cellStyle name="Normal 12 3 6 2 2" xfId="55654"/>
    <cellStyle name="Normal 12 3 6 3" xfId="49323"/>
    <cellStyle name="Normal 12 3 7" xfId="11099"/>
    <cellStyle name="Normal 12 3 7 2" xfId="51353"/>
    <cellStyle name="Normal 12 3 8" xfId="3276"/>
    <cellStyle name="Normal 12 3 8 2" xfId="47970"/>
    <cellStyle name="Normal 12 3 9" xfId="38163"/>
    <cellStyle name="Normal 12 3 9 2" xfId="53363"/>
    <cellStyle name="Normal 12 4" xfId="410"/>
    <cellStyle name="Normal 12 4 2" xfId="1675"/>
    <cellStyle name="Normal 12 4 2 2" xfId="6024"/>
    <cellStyle name="Normal 12 4 2 2 2" xfId="44756"/>
    <cellStyle name="Normal 12 4 2 2 2 2" xfId="59882"/>
    <cellStyle name="Normal 12 4 2 2 3" xfId="42520"/>
    <cellStyle name="Normal 12 4 2 2 3 2" xfId="57647"/>
    <cellStyle name="Normal 12 4 2 2 4" xfId="40240"/>
    <cellStyle name="Normal 12 4 2 2 4 2" xfId="55368"/>
    <cellStyle name="Normal 12 4 2 2 5" xfId="50709"/>
    <cellStyle name="Normal 12 4 2 3" xfId="12485"/>
    <cellStyle name="Normal 12 4 2 3 2" xfId="43190"/>
    <cellStyle name="Normal 12 4 2 3 2 2" xfId="58316"/>
    <cellStyle name="Normal 12 4 2 3 3" xfId="52739"/>
    <cellStyle name="Normal 12 4 2 4" xfId="3974"/>
    <cellStyle name="Normal 12 4 2 4 2" xfId="40954"/>
    <cellStyle name="Normal 12 4 2 4 2 2" xfId="56081"/>
    <cellStyle name="Normal 12 4 2 4 3" xfId="48667"/>
    <cellStyle name="Normal 12 4 2 5" xfId="39098"/>
    <cellStyle name="Normal 12 4 2 5 2" xfId="54229"/>
    <cellStyle name="Normal 12 4 2 6" xfId="46905"/>
    <cellStyle name="Normal 12 4 3" xfId="1162"/>
    <cellStyle name="Normal 12 4 3 2" xfId="5511"/>
    <cellStyle name="Normal 12 4 3 2 2" xfId="44405"/>
    <cellStyle name="Normal 12 4 3 2 2 2" xfId="59531"/>
    <cellStyle name="Normal 12 4 3 2 3" xfId="42169"/>
    <cellStyle name="Normal 12 4 3 2 3 2" xfId="57296"/>
    <cellStyle name="Normal 12 4 3 2 4" xfId="39889"/>
    <cellStyle name="Normal 12 4 3 2 4 2" xfId="55017"/>
    <cellStyle name="Normal 12 4 3 2 5" xfId="50196"/>
    <cellStyle name="Normal 12 4 3 3" xfId="11972"/>
    <cellStyle name="Normal 12 4 3 3 2" xfId="43541"/>
    <cellStyle name="Normal 12 4 3 3 2 2" xfId="58667"/>
    <cellStyle name="Normal 12 4 3 3 3" xfId="52226"/>
    <cellStyle name="Normal 12 4 3 4" xfId="4333"/>
    <cellStyle name="Normal 12 4 3 4 2" xfId="41305"/>
    <cellStyle name="Normal 12 4 3 4 2 2" xfId="56432"/>
    <cellStyle name="Normal 12 4 3 4 3" xfId="49023"/>
    <cellStyle name="Normal 12 4 3 5" xfId="38725"/>
    <cellStyle name="Normal 12 4 3 5 2" xfId="53878"/>
    <cellStyle name="Normal 12 4 3 6" xfId="46392"/>
    <cellStyle name="Normal 12 4 4" xfId="2025"/>
    <cellStyle name="Normal 12 4 4 2" xfId="12831"/>
    <cellStyle name="Normal 12 4 4 2 2" xfId="43967"/>
    <cellStyle name="Normal 12 4 4 2 2 2" xfId="59093"/>
    <cellStyle name="Normal 12 4 4 2 3" xfId="53084"/>
    <cellStyle name="Normal 12 4 4 3" xfId="6371"/>
    <cellStyle name="Normal 12 4 4 3 2" xfId="41731"/>
    <cellStyle name="Normal 12 4 4 3 2 2" xfId="56858"/>
    <cellStyle name="Normal 12 4 4 3 3" xfId="51054"/>
    <cellStyle name="Normal 12 4 4 4" xfId="39451"/>
    <cellStyle name="Normal 12 4 4 4 2" xfId="54579"/>
    <cellStyle name="Normal 12 4 4 5" xfId="47250"/>
    <cellStyle name="Normal 12 4 5" xfId="4759"/>
    <cellStyle name="Normal 12 4 5 2" xfId="42839"/>
    <cellStyle name="Normal 12 4 5 2 2" xfId="57966"/>
    <cellStyle name="Normal 12 4 5 3" xfId="49444"/>
    <cellStyle name="Normal 12 4 6" xfId="11220"/>
    <cellStyle name="Normal 12 4 6 2" xfId="40604"/>
    <cellStyle name="Normal 12 4 6 2 2" xfId="55731"/>
    <cellStyle name="Normal 12 4 6 3" xfId="51474"/>
    <cellStyle name="Normal 12 4 7" xfId="3397"/>
    <cellStyle name="Normal 12 4 7 2" xfId="48091"/>
    <cellStyle name="Normal 12 4 8" xfId="38240"/>
    <cellStyle name="Normal 12 4 8 2" xfId="53440"/>
    <cellStyle name="Normal 12 4 9" xfId="45640"/>
    <cellStyle name="Normal 12 5" xfId="864"/>
    <cellStyle name="Normal 12 5 2" xfId="5213"/>
    <cellStyle name="Normal 12 5 2 2" xfId="40012"/>
    <cellStyle name="Normal 12 5 2 2 2" xfId="44528"/>
    <cellStyle name="Normal 12 5 2 2 2 2" xfId="59654"/>
    <cellStyle name="Normal 12 5 2 2 3" xfId="42292"/>
    <cellStyle name="Normal 12 5 2 2 3 2" xfId="57419"/>
    <cellStyle name="Normal 12 5 2 2 4" xfId="55140"/>
    <cellStyle name="Normal 12 5 2 3" xfId="43663"/>
    <cellStyle name="Normal 12 5 2 3 2" xfId="58789"/>
    <cellStyle name="Normal 12 5 2 4" xfId="41427"/>
    <cellStyle name="Normal 12 5 2 4 2" xfId="56554"/>
    <cellStyle name="Normal 12 5 2 5" xfId="38869"/>
    <cellStyle name="Normal 12 5 2 5 2" xfId="54001"/>
    <cellStyle name="Normal 12 5 2 6" xfId="49898"/>
    <cellStyle name="Normal 12 5 3" xfId="11674"/>
    <cellStyle name="Normal 12 5 3 2" xfId="44050"/>
    <cellStyle name="Normal 12 5 3 2 2" xfId="59176"/>
    <cellStyle name="Normal 12 5 3 3" xfId="41814"/>
    <cellStyle name="Normal 12 5 3 3 2" xfId="56941"/>
    <cellStyle name="Normal 12 5 3 4" xfId="39534"/>
    <cellStyle name="Normal 12 5 3 4 2" xfId="54662"/>
    <cellStyle name="Normal 12 5 3 5" xfId="51928"/>
    <cellStyle name="Normal 12 5 4" xfId="3099"/>
    <cellStyle name="Normal 12 5 4 2" xfId="42962"/>
    <cellStyle name="Normal 12 5 4 2 2" xfId="58088"/>
    <cellStyle name="Normal 12 5 4 3" xfId="47793"/>
    <cellStyle name="Normal 12 5 5" xfId="40726"/>
    <cellStyle name="Normal 12 5 5 2" xfId="55853"/>
    <cellStyle name="Normal 12 5 6" xfId="38364"/>
    <cellStyle name="Normal 12 5 6 2" xfId="53523"/>
    <cellStyle name="Normal 12 5 7" xfId="46094"/>
    <cellStyle name="Normal 12 6" xfId="741"/>
    <cellStyle name="Normal 12 6 2" xfId="5090"/>
    <cellStyle name="Normal 12 6 2 2" xfId="44177"/>
    <cellStyle name="Normal 12 6 2 2 2" xfId="59303"/>
    <cellStyle name="Normal 12 6 2 3" xfId="41941"/>
    <cellStyle name="Normal 12 6 2 3 2" xfId="57068"/>
    <cellStyle name="Normal 12 6 2 4" xfId="39661"/>
    <cellStyle name="Normal 12 6 2 4 2" xfId="54789"/>
    <cellStyle name="Normal 12 6 2 5" xfId="49775"/>
    <cellStyle name="Normal 12 6 3" xfId="11551"/>
    <cellStyle name="Normal 12 6 3 2" xfId="43313"/>
    <cellStyle name="Normal 12 6 3 2 2" xfId="58439"/>
    <cellStyle name="Normal 12 6 3 3" xfId="51805"/>
    <cellStyle name="Normal 12 6 4" xfId="2976"/>
    <cellStyle name="Normal 12 6 4 2" xfId="41077"/>
    <cellStyle name="Normal 12 6 4 2 2" xfId="56204"/>
    <cellStyle name="Normal 12 6 4 3" xfId="47670"/>
    <cellStyle name="Normal 12 6 5" xfId="38494"/>
    <cellStyle name="Normal 12 6 5 2" xfId="53650"/>
    <cellStyle name="Normal 12 6 6" xfId="45971"/>
    <cellStyle name="Normal 12 7" xfId="531"/>
    <cellStyle name="Normal 12 7 2" xfId="4880"/>
    <cellStyle name="Normal 12 7 2 2" xfId="43739"/>
    <cellStyle name="Normal 12 7 2 2 2" xfId="58865"/>
    <cellStyle name="Normal 12 7 2 3" xfId="49565"/>
    <cellStyle name="Normal 12 7 3" xfId="11341"/>
    <cellStyle name="Normal 12 7 3 2" xfId="41503"/>
    <cellStyle name="Normal 12 7 3 2 2" xfId="56630"/>
    <cellStyle name="Normal 12 7 3 3" xfId="51595"/>
    <cellStyle name="Normal 12 7 4" xfId="4067"/>
    <cellStyle name="Normal 12 7 4 2" xfId="48759"/>
    <cellStyle name="Normal 12 7 5" xfId="39223"/>
    <cellStyle name="Normal 12 7 5 2" xfId="54351"/>
    <cellStyle name="Normal 12 7 6" xfId="45761"/>
    <cellStyle name="Normal 12 8" xfId="1792"/>
    <cellStyle name="Normal 12 8 2" xfId="12602"/>
    <cellStyle name="Normal 12 8 2 2" xfId="52856"/>
    <cellStyle name="Normal 12 8 3" xfId="6141"/>
    <cellStyle name="Normal 12 8 3 2" xfId="50826"/>
    <cellStyle name="Normal 12 8 4" xfId="42611"/>
    <cellStyle name="Normal 12 8 4 2" xfId="57738"/>
    <cellStyle name="Normal 12 8 5" xfId="47022"/>
    <cellStyle name="Normal 12 9" xfId="2606"/>
    <cellStyle name="Normal 12 9 2" xfId="4456"/>
    <cellStyle name="Normal 12 9 2 2" xfId="49146"/>
    <cellStyle name="Normal 12 9 3" xfId="40376"/>
    <cellStyle name="Normal 12 9 3 2" xfId="55503"/>
    <cellStyle name="Normal 12 9 4" xfId="47338"/>
    <cellStyle name="Normal 13" xfId="96"/>
    <cellStyle name="Normal 13 10" xfId="10923"/>
    <cellStyle name="Normal 13 10 2" xfId="51177"/>
    <cellStyle name="Normal 13 11" xfId="2759"/>
    <cellStyle name="Normal 13 11 2" xfId="47460"/>
    <cellStyle name="Normal 13 12" xfId="38011"/>
    <cellStyle name="Normal 13 12 2" xfId="53211"/>
    <cellStyle name="Normal 13 13" xfId="45343"/>
    <cellStyle name="Normal 13 2" xfId="199"/>
    <cellStyle name="Normal 13 2 10" xfId="38088"/>
    <cellStyle name="Normal 13 2 10 2" xfId="53288"/>
    <cellStyle name="Normal 13 2 11" xfId="45431"/>
    <cellStyle name="Normal 13 2 2" xfId="953"/>
    <cellStyle name="Normal 13 2 2 2" xfId="5302"/>
    <cellStyle name="Normal 13 2 2 2 2" xfId="44604"/>
    <cellStyle name="Normal 13 2 2 2 2 2" xfId="59730"/>
    <cellStyle name="Normal 13 2 2 2 3" xfId="42368"/>
    <cellStyle name="Normal 13 2 2 2 3 2" xfId="57495"/>
    <cellStyle name="Normal 13 2 2 2 4" xfId="40088"/>
    <cellStyle name="Normal 13 2 2 2 4 2" xfId="55216"/>
    <cellStyle name="Normal 13 2 2 2 5" xfId="49987"/>
    <cellStyle name="Normal 13 2 2 3" xfId="11763"/>
    <cellStyle name="Normal 13 2 2 3 2" xfId="43038"/>
    <cellStyle name="Normal 13 2 2 3 2 2" xfId="58164"/>
    <cellStyle name="Normal 13 2 2 3 3" xfId="52017"/>
    <cellStyle name="Normal 13 2 2 4" xfId="3188"/>
    <cellStyle name="Normal 13 2 2 4 2" xfId="40802"/>
    <cellStyle name="Normal 13 2 2 4 2 2" xfId="55929"/>
    <cellStyle name="Normal 13 2 2 4 3" xfId="47882"/>
    <cellStyle name="Normal 13 2 2 5" xfId="38946"/>
    <cellStyle name="Normal 13 2 2 5 2" xfId="54077"/>
    <cellStyle name="Normal 13 2 2 6" xfId="46183"/>
    <cellStyle name="Normal 13 2 3" xfId="1255"/>
    <cellStyle name="Normal 13 2 3 2" xfId="5604"/>
    <cellStyle name="Normal 13 2 3 2 2" xfId="44253"/>
    <cellStyle name="Normal 13 2 3 2 2 2" xfId="59379"/>
    <cellStyle name="Normal 13 2 3 2 3" xfId="42017"/>
    <cellStyle name="Normal 13 2 3 2 3 2" xfId="57144"/>
    <cellStyle name="Normal 13 2 3 2 4" xfId="39737"/>
    <cellStyle name="Normal 13 2 3 2 4 2" xfId="54865"/>
    <cellStyle name="Normal 13 2 3 2 5" xfId="50289"/>
    <cellStyle name="Normal 13 2 3 3" xfId="12065"/>
    <cellStyle name="Normal 13 2 3 3 2" xfId="43389"/>
    <cellStyle name="Normal 13 2 3 3 2 2" xfId="58515"/>
    <cellStyle name="Normal 13 2 3 3 3" xfId="52319"/>
    <cellStyle name="Normal 13 2 3 4" xfId="3538"/>
    <cellStyle name="Normal 13 2 3 4 2" xfId="41153"/>
    <cellStyle name="Normal 13 2 3 4 2 2" xfId="56280"/>
    <cellStyle name="Normal 13 2 3 4 3" xfId="48231"/>
    <cellStyle name="Normal 13 2 3 5" xfId="38573"/>
    <cellStyle name="Normal 13 2 3 5 2" xfId="53726"/>
    <cellStyle name="Normal 13 2 3 6" xfId="46485"/>
    <cellStyle name="Normal 13 2 4" xfId="1466"/>
    <cellStyle name="Normal 13 2 4 2" xfId="5815"/>
    <cellStyle name="Normal 13 2 4 2 2" xfId="43815"/>
    <cellStyle name="Normal 13 2 4 2 2 2" xfId="58941"/>
    <cellStyle name="Normal 13 2 4 2 3" xfId="50500"/>
    <cellStyle name="Normal 13 2 4 3" xfId="12276"/>
    <cellStyle name="Normal 13 2 4 3 2" xfId="41579"/>
    <cellStyle name="Normal 13 2 4 3 2 2" xfId="56706"/>
    <cellStyle name="Normal 13 2 4 3 3" xfId="52530"/>
    <cellStyle name="Normal 13 2 4 4" xfId="3765"/>
    <cellStyle name="Normal 13 2 4 4 2" xfId="48458"/>
    <cellStyle name="Normal 13 2 4 5" xfId="39299"/>
    <cellStyle name="Normal 13 2 4 5 2" xfId="54427"/>
    <cellStyle name="Normal 13 2 4 6" xfId="46696"/>
    <cellStyle name="Normal 13 2 5" xfId="621"/>
    <cellStyle name="Normal 13 2 5 2" xfId="4970"/>
    <cellStyle name="Normal 13 2 5 2 2" xfId="49655"/>
    <cellStyle name="Normal 13 2 5 3" xfId="11431"/>
    <cellStyle name="Normal 13 2 5 3 2" xfId="51685"/>
    <cellStyle name="Normal 13 2 5 4" xfId="4124"/>
    <cellStyle name="Normal 13 2 5 4 2" xfId="48814"/>
    <cellStyle name="Normal 13 2 5 5" xfId="42687"/>
    <cellStyle name="Normal 13 2 5 5 2" xfId="57814"/>
    <cellStyle name="Normal 13 2 5 6" xfId="45851"/>
    <cellStyle name="Normal 13 2 6" xfId="1872"/>
    <cellStyle name="Normal 13 2 6 2" xfId="12679"/>
    <cellStyle name="Normal 13 2 6 2 2" xfId="52932"/>
    <cellStyle name="Normal 13 2 6 3" xfId="6219"/>
    <cellStyle name="Normal 13 2 6 3 2" xfId="50902"/>
    <cellStyle name="Normal 13 2 6 4" xfId="40452"/>
    <cellStyle name="Normal 13 2 6 4 2" xfId="55579"/>
    <cellStyle name="Normal 13 2 6 5" xfId="47098"/>
    <cellStyle name="Normal 13 2 7" xfId="4548"/>
    <cellStyle name="Normal 13 2 7 2" xfId="49235"/>
    <cellStyle name="Normal 13 2 8" xfId="11011"/>
    <cellStyle name="Normal 13 2 8 2" xfId="51265"/>
    <cellStyle name="Normal 13 2 9" xfId="2855"/>
    <cellStyle name="Normal 13 2 9 2" xfId="47549"/>
    <cellStyle name="Normal 13 3" xfId="290"/>
    <cellStyle name="Normal 13 3 10" xfId="45520"/>
    <cellStyle name="Normal 13 3 2" xfId="1344"/>
    <cellStyle name="Normal 13 3 2 2" xfId="5693"/>
    <cellStyle name="Normal 13 3 2 2 2" xfId="44680"/>
    <cellStyle name="Normal 13 3 2 2 2 2" xfId="59806"/>
    <cellStyle name="Normal 13 3 2 2 3" xfId="42444"/>
    <cellStyle name="Normal 13 3 2 2 3 2" xfId="57571"/>
    <cellStyle name="Normal 13 3 2 2 4" xfId="40164"/>
    <cellStyle name="Normal 13 3 2 2 4 2" xfId="55292"/>
    <cellStyle name="Normal 13 3 2 2 5" xfId="50378"/>
    <cellStyle name="Normal 13 3 2 3" xfId="12154"/>
    <cellStyle name="Normal 13 3 2 3 2" xfId="43114"/>
    <cellStyle name="Normal 13 3 2 3 2 2" xfId="58240"/>
    <cellStyle name="Normal 13 3 2 3 3" xfId="52408"/>
    <cellStyle name="Normal 13 3 2 4" xfId="3627"/>
    <cellStyle name="Normal 13 3 2 4 2" xfId="40878"/>
    <cellStyle name="Normal 13 3 2 4 2 2" xfId="56005"/>
    <cellStyle name="Normal 13 3 2 4 3" xfId="48320"/>
    <cellStyle name="Normal 13 3 2 5" xfId="39022"/>
    <cellStyle name="Normal 13 3 2 5 2" xfId="54153"/>
    <cellStyle name="Normal 13 3 2 6" xfId="46574"/>
    <cellStyle name="Normal 13 3 3" xfId="1555"/>
    <cellStyle name="Normal 13 3 3 2" xfId="5904"/>
    <cellStyle name="Normal 13 3 3 2 2" xfId="44329"/>
    <cellStyle name="Normal 13 3 3 2 2 2" xfId="59455"/>
    <cellStyle name="Normal 13 3 3 2 3" xfId="42093"/>
    <cellStyle name="Normal 13 3 3 2 3 2" xfId="57220"/>
    <cellStyle name="Normal 13 3 3 2 4" xfId="39813"/>
    <cellStyle name="Normal 13 3 3 2 4 2" xfId="54941"/>
    <cellStyle name="Normal 13 3 3 2 5" xfId="50589"/>
    <cellStyle name="Normal 13 3 3 3" xfId="12365"/>
    <cellStyle name="Normal 13 3 3 3 2" xfId="43465"/>
    <cellStyle name="Normal 13 3 3 3 2 2" xfId="58591"/>
    <cellStyle name="Normal 13 3 3 3 3" xfId="52619"/>
    <cellStyle name="Normal 13 3 3 4" xfId="3854"/>
    <cellStyle name="Normal 13 3 3 4 2" xfId="41229"/>
    <cellStyle name="Normal 13 3 3 4 2 2" xfId="56356"/>
    <cellStyle name="Normal 13 3 3 4 3" xfId="48547"/>
    <cellStyle name="Normal 13 3 3 5" xfId="38649"/>
    <cellStyle name="Normal 13 3 3 5 2" xfId="53802"/>
    <cellStyle name="Normal 13 3 3 6" xfId="46785"/>
    <cellStyle name="Normal 13 3 4" xfId="1042"/>
    <cellStyle name="Normal 13 3 4 2" xfId="5391"/>
    <cellStyle name="Normal 13 3 4 2 2" xfId="43891"/>
    <cellStyle name="Normal 13 3 4 2 2 2" xfId="59017"/>
    <cellStyle name="Normal 13 3 4 2 3" xfId="50076"/>
    <cellStyle name="Normal 13 3 4 3" xfId="11852"/>
    <cellStyle name="Normal 13 3 4 3 2" xfId="41655"/>
    <cellStyle name="Normal 13 3 4 3 2 2" xfId="56782"/>
    <cellStyle name="Normal 13 3 4 3 3" xfId="52106"/>
    <cellStyle name="Normal 13 3 4 4" xfId="4213"/>
    <cellStyle name="Normal 13 3 4 4 2" xfId="48903"/>
    <cellStyle name="Normal 13 3 4 5" xfId="39375"/>
    <cellStyle name="Normal 13 3 4 5 2" xfId="54503"/>
    <cellStyle name="Normal 13 3 4 6" xfId="46272"/>
    <cellStyle name="Normal 13 3 5" xfId="1948"/>
    <cellStyle name="Normal 13 3 5 2" xfId="12755"/>
    <cellStyle name="Normal 13 3 5 2 2" xfId="53008"/>
    <cellStyle name="Normal 13 3 5 3" xfId="6295"/>
    <cellStyle name="Normal 13 3 5 3 2" xfId="50978"/>
    <cellStyle name="Normal 13 3 5 4" xfId="42763"/>
    <cellStyle name="Normal 13 3 5 4 2" xfId="57890"/>
    <cellStyle name="Normal 13 3 5 5" xfId="47174"/>
    <cellStyle name="Normal 13 3 6" xfId="4639"/>
    <cellStyle name="Normal 13 3 6 2" xfId="40528"/>
    <cellStyle name="Normal 13 3 6 2 2" xfId="55655"/>
    <cellStyle name="Normal 13 3 6 3" xfId="49324"/>
    <cellStyle name="Normal 13 3 7" xfId="11100"/>
    <cellStyle name="Normal 13 3 7 2" xfId="51354"/>
    <cellStyle name="Normal 13 3 8" xfId="3277"/>
    <cellStyle name="Normal 13 3 8 2" xfId="47971"/>
    <cellStyle name="Normal 13 3 9" xfId="38164"/>
    <cellStyle name="Normal 13 3 9 2" xfId="53364"/>
    <cellStyle name="Normal 13 4" xfId="411"/>
    <cellStyle name="Normal 13 4 2" xfId="1676"/>
    <cellStyle name="Normal 13 4 2 2" xfId="6025"/>
    <cellStyle name="Normal 13 4 2 2 2" xfId="44527"/>
    <cellStyle name="Normal 13 4 2 2 2 2" xfId="59653"/>
    <cellStyle name="Normal 13 4 2 2 3" xfId="42291"/>
    <cellStyle name="Normal 13 4 2 2 3 2" xfId="57418"/>
    <cellStyle name="Normal 13 4 2 2 4" xfId="40011"/>
    <cellStyle name="Normal 13 4 2 2 4 2" xfId="55139"/>
    <cellStyle name="Normal 13 4 2 2 5" xfId="50710"/>
    <cellStyle name="Normal 13 4 2 3" xfId="12486"/>
    <cellStyle name="Normal 13 4 2 3 2" xfId="43662"/>
    <cellStyle name="Normal 13 4 2 3 2 2" xfId="58788"/>
    <cellStyle name="Normal 13 4 2 3 3" xfId="52740"/>
    <cellStyle name="Normal 13 4 2 4" xfId="3975"/>
    <cellStyle name="Normal 13 4 2 4 2" xfId="41426"/>
    <cellStyle name="Normal 13 4 2 4 2 2" xfId="56553"/>
    <cellStyle name="Normal 13 4 2 4 3" xfId="48668"/>
    <cellStyle name="Normal 13 4 2 5" xfId="38868"/>
    <cellStyle name="Normal 13 4 2 5 2" xfId="54000"/>
    <cellStyle name="Normal 13 4 2 6" xfId="46906"/>
    <cellStyle name="Normal 13 4 3" xfId="1163"/>
    <cellStyle name="Normal 13 4 3 2" xfId="5512"/>
    <cellStyle name="Normal 13 4 3 2 2" xfId="44051"/>
    <cellStyle name="Normal 13 4 3 2 2 2" xfId="59177"/>
    <cellStyle name="Normal 13 4 3 2 3" xfId="50197"/>
    <cellStyle name="Normal 13 4 3 3" xfId="11973"/>
    <cellStyle name="Normal 13 4 3 3 2" xfId="41815"/>
    <cellStyle name="Normal 13 4 3 3 2 2" xfId="56942"/>
    <cellStyle name="Normal 13 4 3 3 3" xfId="52227"/>
    <cellStyle name="Normal 13 4 3 4" xfId="4334"/>
    <cellStyle name="Normal 13 4 3 4 2" xfId="49024"/>
    <cellStyle name="Normal 13 4 3 5" xfId="39535"/>
    <cellStyle name="Normal 13 4 3 5 2" xfId="54663"/>
    <cellStyle name="Normal 13 4 3 6" xfId="46393"/>
    <cellStyle name="Normal 13 4 4" xfId="4760"/>
    <cellStyle name="Normal 13 4 4 2" xfId="42961"/>
    <cellStyle name="Normal 13 4 4 2 2" xfId="58087"/>
    <cellStyle name="Normal 13 4 4 3" xfId="49445"/>
    <cellStyle name="Normal 13 4 5" xfId="11221"/>
    <cellStyle name="Normal 13 4 5 2" xfId="40725"/>
    <cellStyle name="Normal 13 4 5 2 2" xfId="55852"/>
    <cellStyle name="Normal 13 4 5 3" xfId="51475"/>
    <cellStyle name="Normal 13 4 6" xfId="3398"/>
    <cellStyle name="Normal 13 4 6 2" xfId="48092"/>
    <cellStyle name="Normal 13 4 7" xfId="38365"/>
    <cellStyle name="Normal 13 4 7 2" xfId="53524"/>
    <cellStyle name="Normal 13 4 8" xfId="45641"/>
    <cellStyle name="Normal 13 5" xfId="865"/>
    <cellStyle name="Normal 13 5 2" xfId="5214"/>
    <cellStyle name="Normal 13 5 2 2" xfId="44176"/>
    <cellStyle name="Normal 13 5 2 2 2" xfId="59302"/>
    <cellStyle name="Normal 13 5 2 3" xfId="41940"/>
    <cellStyle name="Normal 13 5 2 3 2" xfId="57067"/>
    <cellStyle name="Normal 13 5 2 4" xfId="39660"/>
    <cellStyle name="Normal 13 5 2 4 2" xfId="54788"/>
    <cellStyle name="Normal 13 5 2 5" xfId="49899"/>
    <cellStyle name="Normal 13 5 3" xfId="11675"/>
    <cellStyle name="Normal 13 5 3 2" xfId="43312"/>
    <cellStyle name="Normal 13 5 3 2 2" xfId="58438"/>
    <cellStyle name="Normal 13 5 3 3" xfId="51929"/>
    <cellStyle name="Normal 13 5 4" xfId="3100"/>
    <cellStyle name="Normal 13 5 4 2" xfId="41076"/>
    <cellStyle name="Normal 13 5 4 2 2" xfId="56203"/>
    <cellStyle name="Normal 13 5 4 3" xfId="47794"/>
    <cellStyle name="Normal 13 5 5" xfId="38493"/>
    <cellStyle name="Normal 13 5 5 2" xfId="53649"/>
    <cellStyle name="Normal 13 5 6" xfId="46095"/>
    <cellStyle name="Normal 13 6" xfId="742"/>
    <cellStyle name="Normal 13 6 2" xfId="5091"/>
    <cellStyle name="Normal 13 6 2 2" xfId="43738"/>
    <cellStyle name="Normal 13 6 2 2 2" xfId="58864"/>
    <cellStyle name="Normal 13 6 2 3" xfId="49776"/>
    <cellStyle name="Normal 13 6 3" xfId="11552"/>
    <cellStyle name="Normal 13 6 3 2" xfId="41502"/>
    <cellStyle name="Normal 13 6 3 2 2" xfId="56629"/>
    <cellStyle name="Normal 13 6 3 3" xfId="51806"/>
    <cellStyle name="Normal 13 6 4" xfId="2977"/>
    <cellStyle name="Normal 13 6 4 2" xfId="47671"/>
    <cellStyle name="Normal 13 6 5" xfId="39222"/>
    <cellStyle name="Normal 13 6 5 2" xfId="54350"/>
    <cellStyle name="Normal 13 6 6" xfId="45972"/>
    <cellStyle name="Normal 13 7" xfId="532"/>
    <cellStyle name="Normal 13 7 2" xfId="4881"/>
    <cellStyle name="Normal 13 7 2 2" xfId="49566"/>
    <cellStyle name="Normal 13 7 3" xfId="11342"/>
    <cellStyle name="Normal 13 7 3 2" xfId="51596"/>
    <cellStyle name="Normal 13 7 4" xfId="3481"/>
    <cellStyle name="Normal 13 7 4 2" xfId="48175"/>
    <cellStyle name="Normal 13 7 5" xfId="42610"/>
    <cellStyle name="Normal 13 7 5 2" xfId="57737"/>
    <cellStyle name="Normal 13 7 6" xfId="45762"/>
    <cellStyle name="Normal 13 8" xfId="1791"/>
    <cellStyle name="Normal 13 8 2" xfId="12601"/>
    <cellStyle name="Normal 13 8 2 2" xfId="52855"/>
    <cellStyle name="Normal 13 8 3" xfId="6140"/>
    <cellStyle name="Normal 13 8 3 2" xfId="50825"/>
    <cellStyle name="Normal 13 8 4" xfId="40375"/>
    <cellStyle name="Normal 13 8 4 2" xfId="55502"/>
    <cellStyle name="Normal 13 8 5" xfId="47021"/>
    <cellStyle name="Normal 13 9" xfId="2607"/>
    <cellStyle name="Normal 13 9 2" xfId="4457"/>
    <cellStyle name="Normal 13 9 2 2" xfId="49147"/>
    <cellStyle name="Normal 13 9 3" xfId="47339"/>
    <cellStyle name="Normal 14" xfId="1239"/>
    <cellStyle name="Normal 14 2" xfId="2024"/>
    <cellStyle name="Normal 14 2 2" xfId="12830"/>
    <cellStyle name="Normal 14 2 2 2" xfId="44755"/>
    <cellStyle name="Normal 14 2 2 2 2" xfId="59881"/>
    <cellStyle name="Normal 14 2 2 3" xfId="42519"/>
    <cellStyle name="Normal 14 2 2 3 2" xfId="57646"/>
    <cellStyle name="Normal 14 2 2 4" xfId="40239"/>
    <cellStyle name="Normal 14 2 2 4 2" xfId="55367"/>
    <cellStyle name="Normal 14 2 2 5" xfId="53083"/>
    <cellStyle name="Normal 14 2 3" xfId="6370"/>
    <cellStyle name="Normal 14 2 3 2" xfId="43189"/>
    <cellStyle name="Normal 14 2 3 2 2" xfId="58315"/>
    <cellStyle name="Normal 14 2 3 3" xfId="51053"/>
    <cellStyle name="Normal 14 2 4" xfId="40953"/>
    <cellStyle name="Normal 14 2 4 2" xfId="56080"/>
    <cellStyle name="Normal 14 2 5" xfId="39097"/>
    <cellStyle name="Normal 14 2 5 2" xfId="54228"/>
    <cellStyle name="Normal 14 2 6" xfId="47249"/>
    <cellStyle name="Normal 14 3" xfId="5588"/>
    <cellStyle name="Normal 14 3 2" xfId="39888"/>
    <cellStyle name="Normal 14 3 2 2" xfId="44404"/>
    <cellStyle name="Normal 14 3 2 2 2" xfId="59530"/>
    <cellStyle name="Normal 14 3 2 3" xfId="42168"/>
    <cellStyle name="Normal 14 3 2 3 2" xfId="57295"/>
    <cellStyle name="Normal 14 3 2 4" xfId="55016"/>
    <cellStyle name="Normal 14 3 3" xfId="43540"/>
    <cellStyle name="Normal 14 3 3 2" xfId="58666"/>
    <cellStyle name="Normal 14 3 4" xfId="41304"/>
    <cellStyle name="Normal 14 3 4 2" xfId="56431"/>
    <cellStyle name="Normal 14 3 5" xfId="38724"/>
    <cellStyle name="Normal 14 3 5 2" xfId="53877"/>
    <cellStyle name="Normal 14 3 6" xfId="50273"/>
    <cellStyle name="Normal 14 4" xfId="12049"/>
    <cellStyle name="Normal 14 4 2" xfId="43966"/>
    <cellStyle name="Normal 14 4 2 2" xfId="59092"/>
    <cellStyle name="Normal 14 4 3" xfId="41730"/>
    <cellStyle name="Normal 14 4 3 2" xfId="56857"/>
    <cellStyle name="Normal 14 4 4" xfId="39450"/>
    <cellStyle name="Normal 14 4 4 2" xfId="54578"/>
    <cellStyle name="Normal 14 4 5" xfId="52303"/>
    <cellStyle name="Normal 14 5" xfId="3485"/>
    <cellStyle name="Normal 14 5 2" xfId="42838"/>
    <cellStyle name="Normal 14 5 2 2" xfId="57965"/>
    <cellStyle name="Normal 14 5 3" xfId="48179"/>
    <cellStyle name="Normal 14 6" xfId="40603"/>
    <cellStyle name="Normal 14 6 2" xfId="55730"/>
    <cellStyle name="Normal 14 7" xfId="38239"/>
    <cellStyle name="Normal 14 7 2" xfId="53439"/>
    <cellStyle name="Normal 14 8" xfId="46469"/>
    <cellStyle name="Normal 15" xfId="1752"/>
    <cellStyle name="Normal 15 2" xfId="12562"/>
    <cellStyle name="Normal 15 2 2" xfId="52816"/>
    <cellStyle name="Normal 15 3" xfId="6101"/>
    <cellStyle name="Normal 15 3 2" xfId="50786"/>
    <cellStyle name="Normal 15 4" xfId="38454"/>
    <cellStyle name="Normal 15 5" xfId="46982"/>
    <cellStyle name="Normal 16" xfId="2144"/>
    <cellStyle name="Normal 16 2" xfId="39973"/>
    <cellStyle name="Normal 16 2 2" xfId="44489"/>
    <cellStyle name="Normal 16 2 2 2" xfId="59615"/>
    <cellStyle name="Normal 16 2 3" xfId="42253"/>
    <cellStyle name="Normal 16 2 3 2" xfId="57380"/>
    <cellStyle name="Normal 16 2 4" xfId="55101"/>
    <cellStyle name="Normal 16 3" xfId="42923"/>
    <cellStyle name="Normal 16 3 2" xfId="58049"/>
    <cellStyle name="Normal 16 4" xfId="40687"/>
    <cellStyle name="Normal 16 4 2" xfId="55814"/>
    <cellStyle name="Normal 16 5" xfId="38829"/>
    <cellStyle name="Normal 16 5 2" xfId="53962"/>
    <cellStyle name="Normal 17" xfId="18317"/>
    <cellStyle name="Normal 17 2" xfId="39184"/>
    <cellStyle name="Normal 17 3" xfId="42922"/>
    <cellStyle name="Normal 17 4" xfId="38811"/>
    <cellStyle name="Normal 17 5" xfId="53160"/>
    <cellStyle name="Normal 18" xfId="38453"/>
    <cellStyle name="Normal 18 2" xfId="39622"/>
    <cellStyle name="Normal 18 2 2" xfId="44138"/>
    <cellStyle name="Normal 18 2 2 2" xfId="59264"/>
    <cellStyle name="Normal 18 2 3" xfId="41902"/>
    <cellStyle name="Normal 18 2 3 2" xfId="57029"/>
    <cellStyle name="Normal 18 2 4" xfId="54750"/>
    <cellStyle name="Normal 18 3" xfId="43274"/>
    <cellStyle name="Normal 18 3 2" xfId="58400"/>
    <cellStyle name="Normal 18 4" xfId="41038"/>
    <cellStyle name="Normal 18 4 2" xfId="56165"/>
    <cellStyle name="Normal 18 5" xfId="53611"/>
    <cellStyle name="Normal 19" xfId="42604"/>
    <cellStyle name="Normal 19 2" xfId="57731"/>
    <cellStyle name="Normal 2" xfId="1"/>
    <cellStyle name="Normal 2 2" xfId="22"/>
    <cellStyle name="Normal 2 2 2" xfId="38812"/>
    <cellStyle name="Normal 2 2 3" xfId="59998"/>
    <cellStyle name="Normal 2 3" xfId="97"/>
    <cellStyle name="Normal 2 3 2" xfId="98"/>
    <cellStyle name="Normal 2 3 2 2" xfId="38820"/>
    <cellStyle name="Normal 2 3 3" xfId="99"/>
    <cellStyle name="Normal 2 3 3 2" xfId="38821"/>
    <cellStyle name="Normal 2 3 4" xfId="195"/>
    <cellStyle name="Normal 2 3 4 2" xfId="1793"/>
    <cellStyle name="Normal 2 3 4 2 2" xfId="39173"/>
    <cellStyle name="Normal 2 3 4 3" xfId="4544"/>
    <cellStyle name="Normal 2 3 4 4" xfId="38495"/>
    <cellStyle name="Normal 2 4" xfId="59997"/>
    <cellStyle name="Normal 20" xfId="45290"/>
    <cellStyle name="Normal 21" xfId="45304"/>
    <cellStyle name="Normal 22" xfId="59968"/>
    <cellStyle name="Normal 3" xfId="4"/>
    <cellStyle name="Normal 3 10" xfId="818"/>
    <cellStyle name="Normal 3 10 2" xfId="5167"/>
    <cellStyle name="Normal 3 10 2 2" xfId="40315"/>
    <cellStyle name="Normal 3 10 2 2 2" xfId="44831"/>
    <cellStyle name="Normal 3 10 2 2 2 2" xfId="59957"/>
    <cellStyle name="Normal 3 10 2 2 3" xfId="42595"/>
    <cellStyle name="Normal 3 10 2 2 3 2" xfId="57722"/>
    <cellStyle name="Normal 3 10 2 2 4" xfId="55443"/>
    <cellStyle name="Normal 3 10 2 3" xfId="43265"/>
    <cellStyle name="Normal 3 10 2 3 2" xfId="58391"/>
    <cellStyle name="Normal 3 10 2 4" xfId="41029"/>
    <cellStyle name="Normal 3 10 2 4 2" xfId="56156"/>
    <cellStyle name="Normal 3 10 2 5" xfId="39174"/>
    <cellStyle name="Normal 3 10 2 5 2" xfId="54304"/>
    <cellStyle name="Normal 3 10 2 6" xfId="49852"/>
    <cellStyle name="Normal 3 10 3" xfId="11628"/>
    <cellStyle name="Normal 3 10 3 2" xfId="39964"/>
    <cellStyle name="Normal 3 10 3 2 2" xfId="44480"/>
    <cellStyle name="Normal 3 10 3 2 2 2" xfId="59606"/>
    <cellStyle name="Normal 3 10 3 2 3" xfId="42244"/>
    <cellStyle name="Normal 3 10 3 2 3 2" xfId="57371"/>
    <cellStyle name="Normal 3 10 3 2 4" xfId="55092"/>
    <cellStyle name="Normal 3 10 3 3" xfId="43616"/>
    <cellStyle name="Normal 3 10 3 3 2" xfId="58742"/>
    <cellStyle name="Normal 3 10 3 4" xfId="41380"/>
    <cellStyle name="Normal 3 10 3 4 2" xfId="56507"/>
    <cellStyle name="Normal 3 10 3 5" xfId="38800"/>
    <cellStyle name="Normal 3 10 3 5 2" xfId="53953"/>
    <cellStyle name="Normal 3 10 3 6" xfId="51882"/>
    <cellStyle name="Normal 3 10 4" xfId="3053"/>
    <cellStyle name="Normal 3 10 4 2" xfId="44042"/>
    <cellStyle name="Normal 3 10 4 2 2" xfId="59168"/>
    <cellStyle name="Normal 3 10 4 3" xfId="41806"/>
    <cellStyle name="Normal 3 10 4 3 2" xfId="56933"/>
    <cellStyle name="Normal 3 10 4 4" xfId="39526"/>
    <cellStyle name="Normal 3 10 4 4 2" xfId="54654"/>
    <cellStyle name="Normal 3 10 4 5" xfId="47747"/>
    <cellStyle name="Normal 3 10 5" xfId="42914"/>
    <cellStyle name="Normal 3 10 5 2" xfId="58041"/>
    <cellStyle name="Normal 3 10 6" xfId="40679"/>
    <cellStyle name="Normal 3 10 6 2" xfId="55806"/>
    <cellStyle name="Normal 3 10 7" xfId="38356"/>
    <cellStyle name="Normal 3 10 7 2" xfId="53515"/>
    <cellStyle name="Normal 3 10 8" xfId="46048"/>
    <cellStyle name="Normal 3 11" xfId="697"/>
    <cellStyle name="Normal 3 11 2" xfId="5046"/>
    <cellStyle name="Normal 3 11 2 2" xfId="39974"/>
    <cellStyle name="Normal 3 11 2 2 2" xfId="44490"/>
    <cellStyle name="Normal 3 11 2 2 2 2" xfId="59616"/>
    <cellStyle name="Normal 3 11 2 2 3" xfId="42254"/>
    <cellStyle name="Normal 3 11 2 2 3 2" xfId="57381"/>
    <cellStyle name="Normal 3 11 2 2 4" xfId="55102"/>
    <cellStyle name="Normal 3 11 2 3" xfId="43625"/>
    <cellStyle name="Normal 3 11 2 3 2" xfId="58751"/>
    <cellStyle name="Normal 3 11 2 4" xfId="41389"/>
    <cellStyle name="Normal 3 11 2 4 2" xfId="56516"/>
    <cellStyle name="Normal 3 11 2 5" xfId="38831"/>
    <cellStyle name="Normal 3 11 2 5 2" xfId="53963"/>
    <cellStyle name="Normal 3 11 2 6" xfId="49731"/>
    <cellStyle name="Normal 3 11 3" xfId="11507"/>
    <cellStyle name="Normal 3 11 3 2" xfId="44052"/>
    <cellStyle name="Normal 3 11 3 2 2" xfId="59178"/>
    <cellStyle name="Normal 3 11 3 3" xfId="41816"/>
    <cellStyle name="Normal 3 11 3 3 2" xfId="56943"/>
    <cellStyle name="Normal 3 11 3 4" xfId="39536"/>
    <cellStyle name="Normal 3 11 3 4 2" xfId="54664"/>
    <cellStyle name="Normal 3 11 3 5" xfId="51761"/>
    <cellStyle name="Normal 3 11 4" xfId="2931"/>
    <cellStyle name="Normal 3 11 4 2" xfId="42924"/>
    <cellStyle name="Normal 3 11 4 2 2" xfId="58050"/>
    <cellStyle name="Normal 3 11 4 3" xfId="47625"/>
    <cellStyle name="Normal 3 11 5" xfId="40688"/>
    <cellStyle name="Normal 3 11 5 2" xfId="55815"/>
    <cellStyle name="Normal 3 11 6" xfId="38366"/>
    <cellStyle name="Normal 3 11 6 2" xfId="53525"/>
    <cellStyle name="Normal 3 11 7" xfId="45927"/>
    <cellStyle name="Normal 3 12" xfId="487"/>
    <cellStyle name="Normal 3 12 2" xfId="4836"/>
    <cellStyle name="Normal 3 12 2 2" xfId="44139"/>
    <cellStyle name="Normal 3 12 2 2 2" xfId="59265"/>
    <cellStyle name="Normal 3 12 2 3" xfId="41903"/>
    <cellStyle name="Normal 3 12 2 3 2" xfId="57030"/>
    <cellStyle name="Normal 3 12 2 4" xfId="39623"/>
    <cellStyle name="Normal 3 12 2 4 2" xfId="54751"/>
    <cellStyle name="Normal 3 12 2 5" xfId="49521"/>
    <cellStyle name="Normal 3 12 3" xfId="11297"/>
    <cellStyle name="Normal 3 12 3 2" xfId="43275"/>
    <cellStyle name="Normal 3 12 3 2 2" xfId="58401"/>
    <cellStyle name="Normal 3 12 3 3" xfId="51551"/>
    <cellStyle name="Normal 3 12 4" xfId="4074"/>
    <cellStyle name="Normal 3 12 4 2" xfId="41039"/>
    <cellStyle name="Normal 3 12 4 2 2" xfId="56166"/>
    <cellStyle name="Normal 3 12 4 3" xfId="48766"/>
    <cellStyle name="Normal 3 12 5" xfId="38456"/>
    <cellStyle name="Normal 3 12 5 2" xfId="53612"/>
    <cellStyle name="Normal 3 12 6" xfId="45717"/>
    <cellStyle name="Normal 3 13" xfId="1754"/>
    <cellStyle name="Normal 3 13 2" xfId="12564"/>
    <cellStyle name="Normal 3 13 2 2" xfId="43701"/>
    <cellStyle name="Normal 3 13 2 2 2" xfId="58827"/>
    <cellStyle name="Normal 3 13 2 3" xfId="52818"/>
    <cellStyle name="Normal 3 13 3" xfId="6103"/>
    <cellStyle name="Normal 3 13 3 2" xfId="41465"/>
    <cellStyle name="Normal 3 13 3 2 2" xfId="56592"/>
    <cellStyle name="Normal 3 13 3 3" xfId="50788"/>
    <cellStyle name="Normal 3 13 4" xfId="39185"/>
    <cellStyle name="Normal 3 13 4 2" xfId="54313"/>
    <cellStyle name="Normal 3 13 5" xfId="46984"/>
    <cellStyle name="Normal 3 14" xfId="2608"/>
    <cellStyle name="Normal 3 14 2" xfId="4410"/>
    <cellStyle name="Normal 3 14 2 2" xfId="49100"/>
    <cellStyle name="Normal 3 14 3" xfId="40325"/>
    <cellStyle name="Normal 3 14 3 2" xfId="55453"/>
    <cellStyle name="Normal 3 14 4" xfId="47340"/>
    <cellStyle name="Normal 3 15" xfId="10875"/>
    <cellStyle name="Normal 3 15 2" xfId="51130"/>
    <cellStyle name="Normal 3 16" xfId="2686"/>
    <cellStyle name="Normal 3 16 2" xfId="47415"/>
    <cellStyle name="Normal 3 17" xfId="37973"/>
    <cellStyle name="Normal 3 17 2" xfId="53174"/>
    <cellStyle name="Normal 3 18" xfId="45307"/>
    <cellStyle name="Normal 3 19" xfId="59999"/>
    <cellStyle name="Normal 3 2" xfId="18"/>
    <cellStyle name="Normal 3 2 10" xfId="703"/>
    <cellStyle name="Normal 3 2 10 2" xfId="5052"/>
    <cellStyle name="Normal 3 2 10 2 2" xfId="39980"/>
    <cellStyle name="Normal 3 2 10 2 2 2" xfId="44496"/>
    <cellStyle name="Normal 3 2 10 2 2 2 2" xfId="59622"/>
    <cellStyle name="Normal 3 2 10 2 2 3" xfId="42260"/>
    <cellStyle name="Normal 3 2 10 2 2 3 2" xfId="57387"/>
    <cellStyle name="Normal 3 2 10 2 2 4" xfId="55108"/>
    <cellStyle name="Normal 3 2 10 2 3" xfId="43631"/>
    <cellStyle name="Normal 3 2 10 2 3 2" xfId="58757"/>
    <cellStyle name="Normal 3 2 10 2 4" xfId="41395"/>
    <cellStyle name="Normal 3 2 10 2 4 2" xfId="56522"/>
    <cellStyle name="Normal 3 2 10 2 5" xfId="38837"/>
    <cellStyle name="Normal 3 2 10 2 5 2" xfId="53969"/>
    <cellStyle name="Normal 3 2 10 2 6" xfId="49737"/>
    <cellStyle name="Normal 3 2 10 3" xfId="11513"/>
    <cellStyle name="Normal 3 2 10 3 2" xfId="44053"/>
    <cellStyle name="Normal 3 2 10 3 2 2" xfId="59179"/>
    <cellStyle name="Normal 3 2 10 3 3" xfId="41817"/>
    <cellStyle name="Normal 3 2 10 3 3 2" xfId="56944"/>
    <cellStyle name="Normal 3 2 10 3 4" xfId="39537"/>
    <cellStyle name="Normal 3 2 10 3 4 2" xfId="54665"/>
    <cellStyle name="Normal 3 2 10 3 5" xfId="51767"/>
    <cellStyle name="Normal 3 2 10 4" xfId="2937"/>
    <cellStyle name="Normal 3 2 10 4 2" xfId="42930"/>
    <cellStyle name="Normal 3 2 10 4 2 2" xfId="58056"/>
    <cellStyle name="Normal 3 2 10 4 3" xfId="47631"/>
    <cellStyle name="Normal 3 2 10 5" xfId="40694"/>
    <cellStyle name="Normal 3 2 10 5 2" xfId="55821"/>
    <cellStyle name="Normal 3 2 10 6" xfId="38367"/>
    <cellStyle name="Normal 3 2 10 6 2" xfId="53526"/>
    <cellStyle name="Normal 3 2 10 7" xfId="45933"/>
    <cellStyle name="Normal 3 2 11" xfId="493"/>
    <cellStyle name="Normal 3 2 11 2" xfId="4842"/>
    <cellStyle name="Normal 3 2 11 2 2" xfId="44145"/>
    <cellStyle name="Normal 3 2 11 2 2 2" xfId="59271"/>
    <cellStyle name="Normal 3 2 11 2 3" xfId="41909"/>
    <cellStyle name="Normal 3 2 11 2 3 2" xfId="57036"/>
    <cellStyle name="Normal 3 2 11 2 4" xfId="39629"/>
    <cellStyle name="Normal 3 2 11 2 4 2" xfId="54757"/>
    <cellStyle name="Normal 3 2 11 2 5" xfId="49527"/>
    <cellStyle name="Normal 3 2 11 3" xfId="11303"/>
    <cellStyle name="Normal 3 2 11 3 2" xfId="43281"/>
    <cellStyle name="Normal 3 2 11 3 2 2" xfId="58407"/>
    <cellStyle name="Normal 3 2 11 3 3" xfId="51557"/>
    <cellStyle name="Normal 3 2 11 4" xfId="3742"/>
    <cellStyle name="Normal 3 2 11 4 2" xfId="41045"/>
    <cellStyle name="Normal 3 2 11 4 2 2" xfId="56172"/>
    <cellStyle name="Normal 3 2 11 4 3" xfId="48435"/>
    <cellStyle name="Normal 3 2 11 5" xfId="38462"/>
    <cellStyle name="Normal 3 2 11 5 2" xfId="53618"/>
    <cellStyle name="Normal 3 2 11 6" xfId="45723"/>
    <cellStyle name="Normal 3 2 12" xfId="1760"/>
    <cellStyle name="Normal 3 2 12 2" xfId="12570"/>
    <cellStyle name="Normal 3 2 12 2 2" xfId="43707"/>
    <cellStyle name="Normal 3 2 12 2 2 2" xfId="58833"/>
    <cellStyle name="Normal 3 2 12 2 3" xfId="52824"/>
    <cellStyle name="Normal 3 2 12 3" xfId="6109"/>
    <cellStyle name="Normal 3 2 12 3 2" xfId="41471"/>
    <cellStyle name="Normal 3 2 12 3 2 2" xfId="56598"/>
    <cellStyle name="Normal 3 2 12 3 3" xfId="50794"/>
    <cellStyle name="Normal 3 2 12 4" xfId="39191"/>
    <cellStyle name="Normal 3 2 12 4 2" xfId="54319"/>
    <cellStyle name="Normal 3 2 12 5" xfId="46990"/>
    <cellStyle name="Normal 3 2 13" xfId="2609"/>
    <cellStyle name="Normal 3 2 13 2" xfId="4416"/>
    <cellStyle name="Normal 3 2 13 2 2" xfId="49106"/>
    <cellStyle name="Normal 3 2 13 3" xfId="40332"/>
    <cellStyle name="Normal 3 2 13 3 2" xfId="55460"/>
    <cellStyle name="Normal 3 2 13 4" xfId="47341"/>
    <cellStyle name="Normal 3 2 14" xfId="10881"/>
    <cellStyle name="Normal 3 2 14 2" xfId="51136"/>
    <cellStyle name="Normal 3 2 15" xfId="2696"/>
    <cellStyle name="Normal 3 2 15 2" xfId="47421"/>
    <cellStyle name="Normal 3 2 16" xfId="37979"/>
    <cellStyle name="Normal 3 2 16 2" xfId="53180"/>
    <cellStyle name="Normal 3 2 17" xfId="45314"/>
    <cellStyle name="Normal 3 2 18" xfId="60000"/>
    <cellStyle name="Normal 3 2 2" xfId="29"/>
    <cellStyle name="Normal 3 2 2 10" xfId="501"/>
    <cellStyle name="Normal 3 2 2 10 2" xfId="4850"/>
    <cellStyle name="Normal 3 2 2 10 2 2" xfId="43715"/>
    <cellStyle name="Normal 3 2 2 10 2 2 2" xfId="58841"/>
    <cellStyle name="Normal 3 2 2 10 2 3" xfId="49535"/>
    <cellStyle name="Normal 3 2 2 10 3" xfId="11311"/>
    <cellStyle name="Normal 3 2 2 10 3 2" xfId="41479"/>
    <cellStyle name="Normal 3 2 2 10 3 2 2" xfId="56606"/>
    <cellStyle name="Normal 3 2 2 10 3 3" xfId="51565"/>
    <cellStyle name="Normal 3 2 2 10 4" xfId="4051"/>
    <cellStyle name="Normal 3 2 2 10 4 2" xfId="48744"/>
    <cellStyle name="Normal 3 2 2 10 5" xfId="39199"/>
    <cellStyle name="Normal 3 2 2 10 5 2" xfId="54327"/>
    <cellStyle name="Normal 3 2 2 10 6" xfId="45731"/>
    <cellStyle name="Normal 3 2 2 11" xfId="1768"/>
    <cellStyle name="Normal 3 2 2 11 2" xfId="12578"/>
    <cellStyle name="Normal 3 2 2 11 2 2" xfId="52832"/>
    <cellStyle name="Normal 3 2 2 11 3" xfId="6117"/>
    <cellStyle name="Normal 3 2 2 11 3 2" xfId="50802"/>
    <cellStyle name="Normal 3 2 2 11 4" xfId="40341"/>
    <cellStyle name="Normal 3 2 2 11 4 2" xfId="55469"/>
    <cellStyle name="Normal 3 2 2 11 5" xfId="46998"/>
    <cellStyle name="Normal 3 2 2 12" xfId="2610"/>
    <cellStyle name="Normal 3 2 2 12 2" xfId="4424"/>
    <cellStyle name="Normal 3 2 2 12 2 2" xfId="49114"/>
    <cellStyle name="Normal 3 2 2 12 3" xfId="47342"/>
    <cellStyle name="Normal 3 2 2 13" xfId="10889"/>
    <cellStyle name="Normal 3 2 2 13 2" xfId="51144"/>
    <cellStyle name="Normal 3 2 2 14" xfId="2705"/>
    <cellStyle name="Normal 3 2 2 14 2" xfId="47429"/>
    <cellStyle name="Normal 3 2 2 15" xfId="37987"/>
    <cellStyle name="Normal 3 2 2 15 2" xfId="53188"/>
    <cellStyle name="Normal 3 2 2 16" xfId="45322"/>
    <cellStyle name="Normal 3 2 2 17" xfId="60001"/>
    <cellStyle name="Normal 3 2 2 2" xfId="46"/>
    <cellStyle name="Normal 3 2 2 2 10" xfId="1786"/>
    <cellStyle name="Normal 3 2 2 2 10 2" xfId="12596"/>
    <cellStyle name="Normal 3 2 2 2 10 2 2" xfId="52850"/>
    <cellStyle name="Normal 3 2 2 2 10 3" xfId="6135"/>
    <cellStyle name="Normal 3 2 2 2 10 3 2" xfId="50820"/>
    <cellStyle name="Normal 3 2 2 2 10 4" xfId="40357"/>
    <cellStyle name="Normal 3 2 2 2 10 4 2" xfId="55485"/>
    <cellStyle name="Normal 3 2 2 2 10 5" xfId="47016"/>
    <cellStyle name="Normal 3 2 2 2 11" xfId="2611"/>
    <cellStyle name="Normal 3 2 2 2 11 2" xfId="4440"/>
    <cellStyle name="Normal 3 2 2 2 11 2 2" xfId="49130"/>
    <cellStyle name="Normal 3 2 2 2 11 3" xfId="47343"/>
    <cellStyle name="Normal 3 2 2 2 12" xfId="10905"/>
    <cellStyle name="Normal 3 2 2 2 12 2" xfId="51160"/>
    <cellStyle name="Normal 3 2 2 2 13" xfId="2721"/>
    <cellStyle name="Normal 3 2 2 2 13 2" xfId="47445"/>
    <cellStyle name="Normal 3 2 2 2 14" xfId="38005"/>
    <cellStyle name="Normal 3 2 2 2 14 2" xfId="53206"/>
    <cellStyle name="Normal 3 2 2 2 15" xfId="45338"/>
    <cellStyle name="Normal 3 2 2 2 2" xfId="104"/>
    <cellStyle name="Normal 3 2 2 2 2 10" xfId="10928"/>
    <cellStyle name="Normal 3 2 2 2 2 10 2" xfId="51182"/>
    <cellStyle name="Normal 3 2 2 2 2 11" xfId="2765"/>
    <cellStyle name="Normal 3 2 2 2 2 11 2" xfId="47465"/>
    <cellStyle name="Normal 3 2 2 2 2 12" xfId="38017"/>
    <cellStyle name="Normal 3 2 2 2 2 12 2" xfId="53217"/>
    <cellStyle name="Normal 3 2 2 2 2 13" xfId="45348"/>
    <cellStyle name="Normal 3 2 2 2 2 2" xfId="204"/>
    <cellStyle name="Normal 3 2 2 2 2 2 10" xfId="38093"/>
    <cellStyle name="Normal 3 2 2 2 2 2 10 2" xfId="53293"/>
    <cellStyle name="Normal 3 2 2 2 2 2 11" xfId="45436"/>
    <cellStyle name="Normal 3 2 2 2 2 2 2" xfId="958"/>
    <cellStyle name="Normal 3 2 2 2 2 2 2 2" xfId="5307"/>
    <cellStyle name="Normal 3 2 2 2 2 2 2 2 2" xfId="44609"/>
    <cellStyle name="Normal 3 2 2 2 2 2 2 2 2 2" xfId="59735"/>
    <cellStyle name="Normal 3 2 2 2 2 2 2 2 3" xfId="42373"/>
    <cellStyle name="Normal 3 2 2 2 2 2 2 2 3 2" xfId="57500"/>
    <cellStyle name="Normal 3 2 2 2 2 2 2 2 4" xfId="40093"/>
    <cellStyle name="Normal 3 2 2 2 2 2 2 2 4 2" xfId="55221"/>
    <cellStyle name="Normal 3 2 2 2 2 2 2 2 5" xfId="49992"/>
    <cellStyle name="Normal 3 2 2 2 2 2 2 3" xfId="11768"/>
    <cellStyle name="Normal 3 2 2 2 2 2 2 3 2" xfId="43043"/>
    <cellStyle name="Normal 3 2 2 2 2 2 2 3 2 2" xfId="58169"/>
    <cellStyle name="Normal 3 2 2 2 2 2 2 3 3" xfId="52022"/>
    <cellStyle name="Normal 3 2 2 2 2 2 2 4" xfId="3193"/>
    <cellStyle name="Normal 3 2 2 2 2 2 2 4 2" xfId="40807"/>
    <cellStyle name="Normal 3 2 2 2 2 2 2 4 2 2" xfId="55934"/>
    <cellStyle name="Normal 3 2 2 2 2 2 2 4 3" xfId="47887"/>
    <cellStyle name="Normal 3 2 2 2 2 2 2 5" xfId="38951"/>
    <cellStyle name="Normal 3 2 2 2 2 2 2 5 2" xfId="54082"/>
    <cellStyle name="Normal 3 2 2 2 2 2 2 6" xfId="46188"/>
    <cellStyle name="Normal 3 2 2 2 2 2 3" xfId="1260"/>
    <cellStyle name="Normal 3 2 2 2 2 2 3 2" xfId="5609"/>
    <cellStyle name="Normal 3 2 2 2 2 2 3 2 2" xfId="44258"/>
    <cellStyle name="Normal 3 2 2 2 2 2 3 2 2 2" xfId="59384"/>
    <cellStyle name="Normal 3 2 2 2 2 2 3 2 3" xfId="42022"/>
    <cellStyle name="Normal 3 2 2 2 2 2 3 2 3 2" xfId="57149"/>
    <cellStyle name="Normal 3 2 2 2 2 2 3 2 4" xfId="39742"/>
    <cellStyle name="Normal 3 2 2 2 2 2 3 2 4 2" xfId="54870"/>
    <cellStyle name="Normal 3 2 2 2 2 2 3 2 5" xfId="50294"/>
    <cellStyle name="Normal 3 2 2 2 2 2 3 3" xfId="12070"/>
    <cellStyle name="Normal 3 2 2 2 2 2 3 3 2" xfId="43394"/>
    <cellStyle name="Normal 3 2 2 2 2 2 3 3 2 2" xfId="58520"/>
    <cellStyle name="Normal 3 2 2 2 2 2 3 3 3" xfId="52324"/>
    <cellStyle name="Normal 3 2 2 2 2 2 3 4" xfId="3543"/>
    <cellStyle name="Normal 3 2 2 2 2 2 3 4 2" xfId="41158"/>
    <cellStyle name="Normal 3 2 2 2 2 2 3 4 2 2" xfId="56285"/>
    <cellStyle name="Normal 3 2 2 2 2 2 3 4 3" xfId="48236"/>
    <cellStyle name="Normal 3 2 2 2 2 2 3 5" xfId="38578"/>
    <cellStyle name="Normal 3 2 2 2 2 2 3 5 2" xfId="53731"/>
    <cellStyle name="Normal 3 2 2 2 2 2 3 6" xfId="46490"/>
    <cellStyle name="Normal 3 2 2 2 2 2 4" xfId="1471"/>
    <cellStyle name="Normal 3 2 2 2 2 2 4 2" xfId="5820"/>
    <cellStyle name="Normal 3 2 2 2 2 2 4 2 2" xfId="43820"/>
    <cellStyle name="Normal 3 2 2 2 2 2 4 2 2 2" xfId="58946"/>
    <cellStyle name="Normal 3 2 2 2 2 2 4 2 3" xfId="50505"/>
    <cellStyle name="Normal 3 2 2 2 2 2 4 3" xfId="12281"/>
    <cellStyle name="Normal 3 2 2 2 2 2 4 3 2" xfId="41584"/>
    <cellStyle name="Normal 3 2 2 2 2 2 4 3 2 2" xfId="56711"/>
    <cellStyle name="Normal 3 2 2 2 2 2 4 3 3" xfId="52535"/>
    <cellStyle name="Normal 3 2 2 2 2 2 4 4" xfId="3770"/>
    <cellStyle name="Normal 3 2 2 2 2 2 4 4 2" xfId="48463"/>
    <cellStyle name="Normal 3 2 2 2 2 2 4 5" xfId="39304"/>
    <cellStyle name="Normal 3 2 2 2 2 2 4 5 2" xfId="54432"/>
    <cellStyle name="Normal 3 2 2 2 2 2 4 6" xfId="46701"/>
    <cellStyle name="Normal 3 2 2 2 2 2 5" xfId="626"/>
    <cellStyle name="Normal 3 2 2 2 2 2 5 2" xfId="4975"/>
    <cellStyle name="Normal 3 2 2 2 2 2 5 2 2" xfId="49660"/>
    <cellStyle name="Normal 3 2 2 2 2 2 5 3" xfId="11436"/>
    <cellStyle name="Normal 3 2 2 2 2 2 5 3 2" xfId="51690"/>
    <cellStyle name="Normal 3 2 2 2 2 2 5 4" xfId="4129"/>
    <cellStyle name="Normal 3 2 2 2 2 2 5 4 2" xfId="48819"/>
    <cellStyle name="Normal 3 2 2 2 2 2 5 5" xfId="42692"/>
    <cellStyle name="Normal 3 2 2 2 2 2 5 5 2" xfId="57819"/>
    <cellStyle name="Normal 3 2 2 2 2 2 5 6" xfId="45856"/>
    <cellStyle name="Normal 3 2 2 2 2 2 6" xfId="1877"/>
    <cellStyle name="Normal 3 2 2 2 2 2 6 2" xfId="12684"/>
    <cellStyle name="Normal 3 2 2 2 2 2 6 2 2" xfId="52937"/>
    <cellStyle name="Normal 3 2 2 2 2 2 6 3" xfId="6224"/>
    <cellStyle name="Normal 3 2 2 2 2 2 6 3 2" xfId="50907"/>
    <cellStyle name="Normal 3 2 2 2 2 2 6 4" xfId="40457"/>
    <cellStyle name="Normal 3 2 2 2 2 2 6 4 2" xfId="55584"/>
    <cellStyle name="Normal 3 2 2 2 2 2 6 5" xfId="47103"/>
    <cellStyle name="Normal 3 2 2 2 2 2 7" xfId="4553"/>
    <cellStyle name="Normal 3 2 2 2 2 2 7 2" xfId="49240"/>
    <cellStyle name="Normal 3 2 2 2 2 2 8" xfId="11016"/>
    <cellStyle name="Normal 3 2 2 2 2 2 8 2" xfId="51270"/>
    <cellStyle name="Normal 3 2 2 2 2 2 9" xfId="2860"/>
    <cellStyle name="Normal 3 2 2 2 2 2 9 2" xfId="47554"/>
    <cellStyle name="Normal 3 2 2 2 2 3" xfId="295"/>
    <cellStyle name="Normal 3 2 2 2 2 3 10" xfId="45525"/>
    <cellStyle name="Normal 3 2 2 2 2 3 2" xfId="1349"/>
    <cellStyle name="Normal 3 2 2 2 2 3 2 2" xfId="5698"/>
    <cellStyle name="Normal 3 2 2 2 2 3 2 2 2" xfId="44685"/>
    <cellStyle name="Normal 3 2 2 2 2 3 2 2 2 2" xfId="59811"/>
    <cellStyle name="Normal 3 2 2 2 2 3 2 2 3" xfId="42449"/>
    <cellStyle name="Normal 3 2 2 2 2 3 2 2 3 2" xfId="57576"/>
    <cellStyle name="Normal 3 2 2 2 2 3 2 2 4" xfId="40169"/>
    <cellStyle name="Normal 3 2 2 2 2 3 2 2 4 2" xfId="55297"/>
    <cellStyle name="Normal 3 2 2 2 2 3 2 2 5" xfId="50383"/>
    <cellStyle name="Normal 3 2 2 2 2 3 2 3" xfId="12159"/>
    <cellStyle name="Normal 3 2 2 2 2 3 2 3 2" xfId="43119"/>
    <cellStyle name="Normal 3 2 2 2 2 3 2 3 2 2" xfId="58245"/>
    <cellStyle name="Normal 3 2 2 2 2 3 2 3 3" xfId="52413"/>
    <cellStyle name="Normal 3 2 2 2 2 3 2 4" xfId="3632"/>
    <cellStyle name="Normal 3 2 2 2 2 3 2 4 2" xfId="40883"/>
    <cellStyle name="Normal 3 2 2 2 2 3 2 4 2 2" xfId="56010"/>
    <cellStyle name="Normal 3 2 2 2 2 3 2 4 3" xfId="48325"/>
    <cellStyle name="Normal 3 2 2 2 2 3 2 5" xfId="39027"/>
    <cellStyle name="Normal 3 2 2 2 2 3 2 5 2" xfId="54158"/>
    <cellStyle name="Normal 3 2 2 2 2 3 2 6" xfId="46579"/>
    <cellStyle name="Normal 3 2 2 2 2 3 3" xfId="1560"/>
    <cellStyle name="Normal 3 2 2 2 2 3 3 2" xfId="5909"/>
    <cellStyle name="Normal 3 2 2 2 2 3 3 2 2" xfId="44334"/>
    <cellStyle name="Normal 3 2 2 2 2 3 3 2 2 2" xfId="59460"/>
    <cellStyle name="Normal 3 2 2 2 2 3 3 2 3" xfId="42098"/>
    <cellStyle name="Normal 3 2 2 2 2 3 3 2 3 2" xfId="57225"/>
    <cellStyle name="Normal 3 2 2 2 2 3 3 2 4" xfId="39818"/>
    <cellStyle name="Normal 3 2 2 2 2 3 3 2 4 2" xfId="54946"/>
    <cellStyle name="Normal 3 2 2 2 2 3 3 2 5" xfId="50594"/>
    <cellStyle name="Normal 3 2 2 2 2 3 3 3" xfId="12370"/>
    <cellStyle name="Normal 3 2 2 2 2 3 3 3 2" xfId="43470"/>
    <cellStyle name="Normal 3 2 2 2 2 3 3 3 2 2" xfId="58596"/>
    <cellStyle name="Normal 3 2 2 2 2 3 3 3 3" xfId="52624"/>
    <cellStyle name="Normal 3 2 2 2 2 3 3 4" xfId="3859"/>
    <cellStyle name="Normal 3 2 2 2 2 3 3 4 2" xfId="41234"/>
    <cellStyle name="Normal 3 2 2 2 2 3 3 4 2 2" xfId="56361"/>
    <cellStyle name="Normal 3 2 2 2 2 3 3 4 3" xfId="48552"/>
    <cellStyle name="Normal 3 2 2 2 2 3 3 5" xfId="38654"/>
    <cellStyle name="Normal 3 2 2 2 2 3 3 5 2" xfId="53807"/>
    <cellStyle name="Normal 3 2 2 2 2 3 3 6" xfId="46790"/>
    <cellStyle name="Normal 3 2 2 2 2 3 4" xfId="1047"/>
    <cellStyle name="Normal 3 2 2 2 2 3 4 2" xfId="5396"/>
    <cellStyle name="Normal 3 2 2 2 2 3 4 2 2" xfId="43896"/>
    <cellStyle name="Normal 3 2 2 2 2 3 4 2 2 2" xfId="59022"/>
    <cellStyle name="Normal 3 2 2 2 2 3 4 2 3" xfId="50081"/>
    <cellStyle name="Normal 3 2 2 2 2 3 4 3" xfId="11857"/>
    <cellStyle name="Normal 3 2 2 2 2 3 4 3 2" xfId="41660"/>
    <cellStyle name="Normal 3 2 2 2 2 3 4 3 2 2" xfId="56787"/>
    <cellStyle name="Normal 3 2 2 2 2 3 4 3 3" xfId="52111"/>
    <cellStyle name="Normal 3 2 2 2 2 3 4 4" xfId="4218"/>
    <cellStyle name="Normal 3 2 2 2 2 3 4 4 2" xfId="48908"/>
    <cellStyle name="Normal 3 2 2 2 2 3 4 5" xfId="39380"/>
    <cellStyle name="Normal 3 2 2 2 2 3 4 5 2" xfId="54508"/>
    <cellStyle name="Normal 3 2 2 2 2 3 4 6" xfId="46277"/>
    <cellStyle name="Normal 3 2 2 2 2 3 5" xfId="1953"/>
    <cellStyle name="Normal 3 2 2 2 2 3 5 2" xfId="12760"/>
    <cellStyle name="Normal 3 2 2 2 2 3 5 2 2" xfId="53013"/>
    <cellStyle name="Normal 3 2 2 2 2 3 5 3" xfId="6300"/>
    <cellStyle name="Normal 3 2 2 2 2 3 5 3 2" xfId="50983"/>
    <cellStyle name="Normal 3 2 2 2 2 3 5 4" xfId="42768"/>
    <cellStyle name="Normal 3 2 2 2 2 3 5 4 2" xfId="57895"/>
    <cellStyle name="Normal 3 2 2 2 2 3 5 5" xfId="47179"/>
    <cellStyle name="Normal 3 2 2 2 2 3 6" xfId="4644"/>
    <cellStyle name="Normal 3 2 2 2 2 3 6 2" xfId="40533"/>
    <cellStyle name="Normal 3 2 2 2 2 3 6 2 2" xfId="55660"/>
    <cellStyle name="Normal 3 2 2 2 2 3 6 3" xfId="49329"/>
    <cellStyle name="Normal 3 2 2 2 2 3 7" xfId="11105"/>
    <cellStyle name="Normal 3 2 2 2 2 3 7 2" xfId="51359"/>
    <cellStyle name="Normal 3 2 2 2 2 3 8" xfId="3282"/>
    <cellStyle name="Normal 3 2 2 2 2 3 8 2" xfId="47976"/>
    <cellStyle name="Normal 3 2 2 2 2 3 9" xfId="38169"/>
    <cellStyle name="Normal 3 2 2 2 2 3 9 2" xfId="53369"/>
    <cellStyle name="Normal 3 2 2 2 2 4" xfId="416"/>
    <cellStyle name="Normal 3 2 2 2 2 4 2" xfId="1681"/>
    <cellStyle name="Normal 3 2 2 2 2 4 2 2" xfId="6030"/>
    <cellStyle name="Normal 3 2 2 2 2 4 2 2 2" xfId="44761"/>
    <cellStyle name="Normal 3 2 2 2 2 4 2 2 2 2" xfId="59887"/>
    <cellStyle name="Normal 3 2 2 2 2 4 2 2 3" xfId="42525"/>
    <cellStyle name="Normal 3 2 2 2 2 4 2 2 3 2" xfId="57652"/>
    <cellStyle name="Normal 3 2 2 2 2 4 2 2 4" xfId="40245"/>
    <cellStyle name="Normal 3 2 2 2 2 4 2 2 4 2" xfId="55373"/>
    <cellStyle name="Normal 3 2 2 2 2 4 2 2 5" xfId="50715"/>
    <cellStyle name="Normal 3 2 2 2 2 4 2 3" xfId="12491"/>
    <cellStyle name="Normal 3 2 2 2 2 4 2 3 2" xfId="43195"/>
    <cellStyle name="Normal 3 2 2 2 2 4 2 3 2 2" xfId="58321"/>
    <cellStyle name="Normal 3 2 2 2 2 4 2 3 3" xfId="52745"/>
    <cellStyle name="Normal 3 2 2 2 2 4 2 4" xfId="3980"/>
    <cellStyle name="Normal 3 2 2 2 2 4 2 4 2" xfId="40959"/>
    <cellStyle name="Normal 3 2 2 2 2 4 2 4 2 2" xfId="56086"/>
    <cellStyle name="Normal 3 2 2 2 2 4 2 4 3" xfId="48673"/>
    <cellStyle name="Normal 3 2 2 2 2 4 2 5" xfId="39103"/>
    <cellStyle name="Normal 3 2 2 2 2 4 2 5 2" xfId="54234"/>
    <cellStyle name="Normal 3 2 2 2 2 4 2 6" xfId="46911"/>
    <cellStyle name="Normal 3 2 2 2 2 4 3" xfId="1168"/>
    <cellStyle name="Normal 3 2 2 2 2 4 3 2" xfId="5517"/>
    <cellStyle name="Normal 3 2 2 2 2 4 3 2 2" xfId="44410"/>
    <cellStyle name="Normal 3 2 2 2 2 4 3 2 2 2" xfId="59536"/>
    <cellStyle name="Normal 3 2 2 2 2 4 3 2 3" xfId="42174"/>
    <cellStyle name="Normal 3 2 2 2 2 4 3 2 3 2" xfId="57301"/>
    <cellStyle name="Normal 3 2 2 2 2 4 3 2 4" xfId="39894"/>
    <cellStyle name="Normal 3 2 2 2 2 4 3 2 4 2" xfId="55022"/>
    <cellStyle name="Normal 3 2 2 2 2 4 3 2 5" xfId="50202"/>
    <cellStyle name="Normal 3 2 2 2 2 4 3 3" xfId="11978"/>
    <cellStyle name="Normal 3 2 2 2 2 4 3 3 2" xfId="43546"/>
    <cellStyle name="Normal 3 2 2 2 2 4 3 3 2 2" xfId="58672"/>
    <cellStyle name="Normal 3 2 2 2 2 4 3 3 3" xfId="52232"/>
    <cellStyle name="Normal 3 2 2 2 2 4 3 4" xfId="4339"/>
    <cellStyle name="Normal 3 2 2 2 2 4 3 4 2" xfId="41310"/>
    <cellStyle name="Normal 3 2 2 2 2 4 3 4 2 2" xfId="56437"/>
    <cellStyle name="Normal 3 2 2 2 2 4 3 4 3" xfId="49029"/>
    <cellStyle name="Normal 3 2 2 2 2 4 3 5" xfId="38730"/>
    <cellStyle name="Normal 3 2 2 2 2 4 3 5 2" xfId="53883"/>
    <cellStyle name="Normal 3 2 2 2 2 4 3 6" xfId="46398"/>
    <cellStyle name="Normal 3 2 2 2 2 4 4" xfId="2030"/>
    <cellStyle name="Normal 3 2 2 2 2 4 4 2" xfId="12836"/>
    <cellStyle name="Normal 3 2 2 2 2 4 4 2 2" xfId="43972"/>
    <cellStyle name="Normal 3 2 2 2 2 4 4 2 2 2" xfId="59098"/>
    <cellStyle name="Normal 3 2 2 2 2 4 4 2 3" xfId="53089"/>
    <cellStyle name="Normal 3 2 2 2 2 4 4 3" xfId="6376"/>
    <cellStyle name="Normal 3 2 2 2 2 4 4 3 2" xfId="41736"/>
    <cellStyle name="Normal 3 2 2 2 2 4 4 3 2 2" xfId="56863"/>
    <cellStyle name="Normal 3 2 2 2 2 4 4 3 3" xfId="51059"/>
    <cellStyle name="Normal 3 2 2 2 2 4 4 4" xfId="39456"/>
    <cellStyle name="Normal 3 2 2 2 2 4 4 4 2" xfId="54584"/>
    <cellStyle name="Normal 3 2 2 2 2 4 4 5" xfId="47255"/>
    <cellStyle name="Normal 3 2 2 2 2 4 5" xfId="4765"/>
    <cellStyle name="Normal 3 2 2 2 2 4 5 2" xfId="42844"/>
    <cellStyle name="Normal 3 2 2 2 2 4 5 2 2" xfId="57971"/>
    <cellStyle name="Normal 3 2 2 2 2 4 5 3" xfId="49450"/>
    <cellStyle name="Normal 3 2 2 2 2 4 6" xfId="11226"/>
    <cellStyle name="Normal 3 2 2 2 2 4 6 2" xfId="40609"/>
    <cellStyle name="Normal 3 2 2 2 2 4 6 2 2" xfId="55736"/>
    <cellStyle name="Normal 3 2 2 2 2 4 6 3" xfId="51480"/>
    <cellStyle name="Normal 3 2 2 2 2 4 7" xfId="3403"/>
    <cellStyle name="Normal 3 2 2 2 2 4 7 2" xfId="48097"/>
    <cellStyle name="Normal 3 2 2 2 2 4 8" xfId="38245"/>
    <cellStyle name="Normal 3 2 2 2 2 4 8 2" xfId="53445"/>
    <cellStyle name="Normal 3 2 2 2 2 4 9" xfId="45646"/>
    <cellStyle name="Normal 3 2 2 2 2 5" xfId="870"/>
    <cellStyle name="Normal 3 2 2 2 2 5 2" xfId="5219"/>
    <cellStyle name="Normal 3 2 2 2 2 5 2 2" xfId="40017"/>
    <cellStyle name="Normal 3 2 2 2 2 5 2 2 2" xfId="44533"/>
    <cellStyle name="Normal 3 2 2 2 2 5 2 2 2 2" xfId="59659"/>
    <cellStyle name="Normal 3 2 2 2 2 5 2 2 3" xfId="42297"/>
    <cellStyle name="Normal 3 2 2 2 2 5 2 2 3 2" xfId="57424"/>
    <cellStyle name="Normal 3 2 2 2 2 5 2 2 4" xfId="55145"/>
    <cellStyle name="Normal 3 2 2 2 2 5 2 3" xfId="43664"/>
    <cellStyle name="Normal 3 2 2 2 2 5 2 3 2" xfId="58790"/>
    <cellStyle name="Normal 3 2 2 2 2 5 2 4" xfId="41428"/>
    <cellStyle name="Normal 3 2 2 2 2 5 2 4 2" xfId="56555"/>
    <cellStyle name="Normal 3 2 2 2 2 5 2 5" xfId="38874"/>
    <cellStyle name="Normal 3 2 2 2 2 5 2 5 2" xfId="54006"/>
    <cellStyle name="Normal 3 2 2 2 2 5 2 6" xfId="49904"/>
    <cellStyle name="Normal 3 2 2 2 2 5 3" xfId="11680"/>
    <cellStyle name="Normal 3 2 2 2 2 5 3 2" xfId="44056"/>
    <cellStyle name="Normal 3 2 2 2 2 5 3 2 2" xfId="59182"/>
    <cellStyle name="Normal 3 2 2 2 2 5 3 3" xfId="41820"/>
    <cellStyle name="Normal 3 2 2 2 2 5 3 3 2" xfId="56947"/>
    <cellStyle name="Normal 3 2 2 2 2 5 3 4" xfId="39540"/>
    <cellStyle name="Normal 3 2 2 2 2 5 3 4 2" xfId="54668"/>
    <cellStyle name="Normal 3 2 2 2 2 5 3 5" xfId="51934"/>
    <cellStyle name="Normal 3 2 2 2 2 5 4" xfId="3105"/>
    <cellStyle name="Normal 3 2 2 2 2 5 4 2" xfId="42967"/>
    <cellStyle name="Normal 3 2 2 2 2 5 4 2 2" xfId="58093"/>
    <cellStyle name="Normal 3 2 2 2 2 5 4 3" xfId="47799"/>
    <cellStyle name="Normal 3 2 2 2 2 5 5" xfId="40731"/>
    <cellStyle name="Normal 3 2 2 2 2 5 5 2" xfId="55858"/>
    <cellStyle name="Normal 3 2 2 2 2 5 6" xfId="38370"/>
    <cellStyle name="Normal 3 2 2 2 2 5 6 2" xfId="53529"/>
    <cellStyle name="Normal 3 2 2 2 2 5 7" xfId="46100"/>
    <cellStyle name="Normal 3 2 2 2 2 6" xfId="747"/>
    <cellStyle name="Normal 3 2 2 2 2 6 2" xfId="5096"/>
    <cellStyle name="Normal 3 2 2 2 2 6 2 2" xfId="44182"/>
    <cellStyle name="Normal 3 2 2 2 2 6 2 2 2" xfId="59308"/>
    <cellStyle name="Normal 3 2 2 2 2 6 2 3" xfId="41946"/>
    <cellStyle name="Normal 3 2 2 2 2 6 2 3 2" xfId="57073"/>
    <cellStyle name="Normal 3 2 2 2 2 6 2 4" xfId="39666"/>
    <cellStyle name="Normal 3 2 2 2 2 6 2 4 2" xfId="54794"/>
    <cellStyle name="Normal 3 2 2 2 2 6 2 5" xfId="49781"/>
    <cellStyle name="Normal 3 2 2 2 2 6 3" xfId="11557"/>
    <cellStyle name="Normal 3 2 2 2 2 6 3 2" xfId="43318"/>
    <cellStyle name="Normal 3 2 2 2 2 6 3 2 2" xfId="58444"/>
    <cellStyle name="Normal 3 2 2 2 2 6 3 3" xfId="51811"/>
    <cellStyle name="Normal 3 2 2 2 2 6 4" xfId="2982"/>
    <cellStyle name="Normal 3 2 2 2 2 6 4 2" xfId="41082"/>
    <cellStyle name="Normal 3 2 2 2 2 6 4 2 2" xfId="56209"/>
    <cellStyle name="Normal 3 2 2 2 2 6 4 3" xfId="47676"/>
    <cellStyle name="Normal 3 2 2 2 2 6 5" xfId="38500"/>
    <cellStyle name="Normal 3 2 2 2 2 6 5 2" xfId="53655"/>
    <cellStyle name="Normal 3 2 2 2 2 6 6" xfId="45977"/>
    <cellStyle name="Normal 3 2 2 2 2 7" xfId="537"/>
    <cellStyle name="Normal 3 2 2 2 2 7 2" xfId="4886"/>
    <cellStyle name="Normal 3 2 2 2 2 7 2 2" xfId="43744"/>
    <cellStyle name="Normal 3 2 2 2 2 7 2 2 2" xfId="58870"/>
    <cellStyle name="Normal 3 2 2 2 2 7 2 3" xfId="49571"/>
    <cellStyle name="Normal 3 2 2 2 2 7 3" xfId="11347"/>
    <cellStyle name="Normal 3 2 2 2 2 7 3 2" xfId="41508"/>
    <cellStyle name="Normal 3 2 2 2 2 7 3 2 2" xfId="56635"/>
    <cellStyle name="Normal 3 2 2 2 2 7 3 3" xfId="51601"/>
    <cellStyle name="Normal 3 2 2 2 2 7 4" xfId="4057"/>
    <cellStyle name="Normal 3 2 2 2 2 7 4 2" xfId="48749"/>
    <cellStyle name="Normal 3 2 2 2 2 7 5" xfId="39228"/>
    <cellStyle name="Normal 3 2 2 2 2 7 5 2" xfId="54356"/>
    <cellStyle name="Normal 3 2 2 2 2 7 6" xfId="45767"/>
    <cellStyle name="Normal 3 2 2 2 2 8" xfId="1798"/>
    <cellStyle name="Normal 3 2 2 2 2 8 2" xfId="12607"/>
    <cellStyle name="Normal 3 2 2 2 2 8 2 2" xfId="52861"/>
    <cellStyle name="Normal 3 2 2 2 2 8 3" xfId="6146"/>
    <cellStyle name="Normal 3 2 2 2 2 8 3 2" xfId="50831"/>
    <cellStyle name="Normal 3 2 2 2 2 8 4" xfId="42616"/>
    <cellStyle name="Normal 3 2 2 2 2 8 4 2" xfId="57743"/>
    <cellStyle name="Normal 3 2 2 2 2 8 5" xfId="47027"/>
    <cellStyle name="Normal 3 2 2 2 2 9" xfId="2612"/>
    <cellStyle name="Normal 3 2 2 2 2 9 2" xfId="4462"/>
    <cellStyle name="Normal 3 2 2 2 2 9 2 2" xfId="49152"/>
    <cellStyle name="Normal 3 2 2 2 2 9 3" xfId="40381"/>
    <cellStyle name="Normal 3 2 2 2 2 9 3 2" xfId="55508"/>
    <cellStyle name="Normal 3 2 2 2 2 9 4" xfId="47344"/>
    <cellStyle name="Normal 3 2 2 2 3" xfId="103"/>
    <cellStyle name="Normal 3 2 2 2 3 10" xfId="38016"/>
    <cellStyle name="Normal 3 2 2 2 3 10 2" xfId="53216"/>
    <cellStyle name="Normal 3 2 2 2 3 11" xfId="45347"/>
    <cellStyle name="Normal 3 2 2 2 3 2" xfId="415"/>
    <cellStyle name="Normal 3 2 2 2 3 2 2" xfId="1423"/>
    <cellStyle name="Normal 3 2 2 2 3 2 2 2" xfId="5772"/>
    <cellStyle name="Normal 3 2 2 2 3 2 2 2 2" xfId="44532"/>
    <cellStyle name="Normal 3 2 2 2 3 2 2 2 2 2" xfId="59658"/>
    <cellStyle name="Normal 3 2 2 2 3 2 2 2 3" xfId="50457"/>
    <cellStyle name="Normal 3 2 2 2 3 2 2 3" xfId="12233"/>
    <cellStyle name="Normal 3 2 2 2 3 2 2 3 2" xfId="42296"/>
    <cellStyle name="Normal 3 2 2 2 3 2 2 3 2 2" xfId="57423"/>
    <cellStyle name="Normal 3 2 2 2 3 2 2 3 3" xfId="52487"/>
    <cellStyle name="Normal 3 2 2 2 3 2 2 4" xfId="3706"/>
    <cellStyle name="Normal 3 2 2 2 3 2 2 4 2" xfId="48399"/>
    <cellStyle name="Normal 3 2 2 2 3 2 2 5" xfId="40016"/>
    <cellStyle name="Normal 3 2 2 2 3 2 2 5 2" xfId="55144"/>
    <cellStyle name="Normal 3 2 2 2 3 2 2 6" xfId="46653"/>
    <cellStyle name="Normal 3 2 2 2 3 2 3" xfId="1680"/>
    <cellStyle name="Normal 3 2 2 2 3 2 3 2" xfId="6029"/>
    <cellStyle name="Normal 3 2 2 2 3 2 3 2 2" xfId="50714"/>
    <cellStyle name="Normal 3 2 2 2 3 2 3 3" xfId="12490"/>
    <cellStyle name="Normal 3 2 2 2 3 2 3 3 2" xfId="52744"/>
    <cellStyle name="Normal 3 2 2 2 3 2 3 4" xfId="3979"/>
    <cellStyle name="Normal 3 2 2 2 3 2 3 4 2" xfId="48672"/>
    <cellStyle name="Normal 3 2 2 2 3 2 3 5" xfId="42966"/>
    <cellStyle name="Normal 3 2 2 2 3 2 3 5 2" xfId="58092"/>
    <cellStyle name="Normal 3 2 2 2 3 2 3 6" xfId="46910"/>
    <cellStyle name="Normal 3 2 2 2 3 2 4" xfId="1167"/>
    <cellStyle name="Normal 3 2 2 2 3 2 4 2" xfId="5516"/>
    <cellStyle name="Normal 3 2 2 2 3 2 4 2 2" xfId="50201"/>
    <cellStyle name="Normal 3 2 2 2 3 2 4 3" xfId="11977"/>
    <cellStyle name="Normal 3 2 2 2 3 2 4 3 2" xfId="52231"/>
    <cellStyle name="Normal 3 2 2 2 3 2 4 4" xfId="4338"/>
    <cellStyle name="Normal 3 2 2 2 3 2 4 4 2" xfId="49028"/>
    <cellStyle name="Normal 3 2 2 2 3 2 4 5" xfId="40730"/>
    <cellStyle name="Normal 3 2 2 2 3 2 4 5 2" xfId="55857"/>
    <cellStyle name="Normal 3 2 2 2 3 2 4 6" xfId="46397"/>
    <cellStyle name="Normal 3 2 2 2 3 2 5" xfId="4764"/>
    <cellStyle name="Normal 3 2 2 2 3 2 5 2" xfId="49449"/>
    <cellStyle name="Normal 3 2 2 2 3 2 6" xfId="11225"/>
    <cellStyle name="Normal 3 2 2 2 3 2 6 2" xfId="51479"/>
    <cellStyle name="Normal 3 2 2 2 3 2 7" xfId="3402"/>
    <cellStyle name="Normal 3 2 2 2 3 2 7 2" xfId="48096"/>
    <cellStyle name="Normal 3 2 2 2 3 2 8" xfId="38873"/>
    <cellStyle name="Normal 3 2 2 2 3 2 8 2" xfId="54005"/>
    <cellStyle name="Normal 3 2 2 2 3 2 9" xfId="45645"/>
    <cellStyle name="Normal 3 2 2 2 3 3" xfId="869"/>
    <cellStyle name="Normal 3 2 2 2 3 3 2" xfId="5218"/>
    <cellStyle name="Normal 3 2 2 2 3 3 2 2" xfId="44181"/>
    <cellStyle name="Normal 3 2 2 2 3 3 2 2 2" xfId="59307"/>
    <cellStyle name="Normal 3 2 2 2 3 3 2 3" xfId="41945"/>
    <cellStyle name="Normal 3 2 2 2 3 3 2 3 2" xfId="57072"/>
    <cellStyle name="Normal 3 2 2 2 3 3 2 4" xfId="39665"/>
    <cellStyle name="Normal 3 2 2 2 3 3 2 4 2" xfId="54793"/>
    <cellStyle name="Normal 3 2 2 2 3 3 2 5" xfId="49903"/>
    <cellStyle name="Normal 3 2 2 2 3 3 3" xfId="11679"/>
    <cellStyle name="Normal 3 2 2 2 3 3 3 2" xfId="43317"/>
    <cellStyle name="Normal 3 2 2 2 3 3 3 2 2" xfId="58443"/>
    <cellStyle name="Normal 3 2 2 2 3 3 3 3" xfId="51933"/>
    <cellStyle name="Normal 3 2 2 2 3 3 4" xfId="3104"/>
    <cellStyle name="Normal 3 2 2 2 3 3 4 2" xfId="41081"/>
    <cellStyle name="Normal 3 2 2 2 3 3 4 2 2" xfId="56208"/>
    <cellStyle name="Normal 3 2 2 2 3 3 4 3" xfId="47798"/>
    <cellStyle name="Normal 3 2 2 2 3 3 5" xfId="38499"/>
    <cellStyle name="Normal 3 2 2 2 3 3 5 2" xfId="53654"/>
    <cellStyle name="Normal 3 2 2 2 3 3 6" xfId="46099"/>
    <cellStyle name="Normal 3 2 2 2 3 4" xfId="746"/>
    <cellStyle name="Normal 3 2 2 2 3 4 2" xfId="5095"/>
    <cellStyle name="Normal 3 2 2 2 3 4 2 2" xfId="43743"/>
    <cellStyle name="Normal 3 2 2 2 3 4 2 2 2" xfId="58869"/>
    <cellStyle name="Normal 3 2 2 2 3 4 2 3" xfId="49780"/>
    <cellStyle name="Normal 3 2 2 2 3 4 3" xfId="11556"/>
    <cellStyle name="Normal 3 2 2 2 3 4 3 2" xfId="41507"/>
    <cellStyle name="Normal 3 2 2 2 3 4 3 2 2" xfId="56634"/>
    <cellStyle name="Normal 3 2 2 2 3 4 3 3" xfId="51810"/>
    <cellStyle name="Normal 3 2 2 2 3 4 4" xfId="2981"/>
    <cellStyle name="Normal 3 2 2 2 3 4 4 2" xfId="47675"/>
    <cellStyle name="Normal 3 2 2 2 3 4 5" xfId="39227"/>
    <cellStyle name="Normal 3 2 2 2 3 4 5 2" xfId="54355"/>
    <cellStyle name="Normal 3 2 2 2 3 4 6" xfId="45976"/>
    <cellStyle name="Normal 3 2 2 2 3 5" xfId="536"/>
    <cellStyle name="Normal 3 2 2 2 3 5 2" xfId="4885"/>
    <cellStyle name="Normal 3 2 2 2 3 5 2 2" xfId="49570"/>
    <cellStyle name="Normal 3 2 2 2 3 5 3" xfId="11346"/>
    <cellStyle name="Normal 3 2 2 2 3 5 3 2" xfId="51600"/>
    <cellStyle name="Normal 3 2 2 2 3 5 4" xfId="3519"/>
    <cellStyle name="Normal 3 2 2 2 3 5 4 2" xfId="48212"/>
    <cellStyle name="Normal 3 2 2 2 3 5 5" xfId="42615"/>
    <cellStyle name="Normal 3 2 2 2 3 5 5 2" xfId="57742"/>
    <cellStyle name="Normal 3 2 2 2 3 5 6" xfId="45766"/>
    <cellStyle name="Normal 3 2 2 2 3 6" xfId="1797"/>
    <cellStyle name="Normal 3 2 2 2 3 6 2" xfId="12606"/>
    <cellStyle name="Normal 3 2 2 2 3 6 2 2" xfId="52860"/>
    <cellStyle name="Normal 3 2 2 2 3 6 3" xfId="6145"/>
    <cellStyle name="Normal 3 2 2 2 3 6 3 2" xfId="50830"/>
    <cellStyle name="Normal 3 2 2 2 3 6 4" xfId="40380"/>
    <cellStyle name="Normal 3 2 2 2 3 6 4 2" xfId="55507"/>
    <cellStyle name="Normal 3 2 2 2 3 6 5" xfId="47026"/>
    <cellStyle name="Normal 3 2 2 2 3 7" xfId="4461"/>
    <cellStyle name="Normal 3 2 2 2 3 7 2" xfId="49151"/>
    <cellStyle name="Normal 3 2 2 2 3 8" xfId="10927"/>
    <cellStyle name="Normal 3 2 2 2 3 8 2" xfId="51181"/>
    <cellStyle name="Normal 3 2 2 2 3 9" xfId="2764"/>
    <cellStyle name="Normal 3 2 2 2 3 9 2" xfId="47464"/>
    <cellStyle name="Normal 3 2 2 2 4" xfId="203"/>
    <cellStyle name="Normal 3 2 2 2 4 10" xfId="38092"/>
    <cellStyle name="Normal 3 2 2 2 4 10 2" xfId="53292"/>
    <cellStyle name="Normal 3 2 2 2 4 11" xfId="45435"/>
    <cellStyle name="Normal 3 2 2 2 4 2" xfId="957"/>
    <cellStyle name="Normal 3 2 2 2 4 2 2" xfId="5306"/>
    <cellStyle name="Normal 3 2 2 2 4 2 2 2" xfId="44608"/>
    <cellStyle name="Normal 3 2 2 2 4 2 2 2 2" xfId="59734"/>
    <cellStyle name="Normal 3 2 2 2 4 2 2 3" xfId="42372"/>
    <cellStyle name="Normal 3 2 2 2 4 2 2 3 2" xfId="57499"/>
    <cellStyle name="Normal 3 2 2 2 4 2 2 4" xfId="40092"/>
    <cellStyle name="Normal 3 2 2 2 4 2 2 4 2" xfId="55220"/>
    <cellStyle name="Normal 3 2 2 2 4 2 2 5" xfId="49991"/>
    <cellStyle name="Normal 3 2 2 2 4 2 3" xfId="11767"/>
    <cellStyle name="Normal 3 2 2 2 4 2 3 2" xfId="43042"/>
    <cellStyle name="Normal 3 2 2 2 4 2 3 2 2" xfId="58168"/>
    <cellStyle name="Normal 3 2 2 2 4 2 3 3" xfId="52021"/>
    <cellStyle name="Normal 3 2 2 2 4 2 4" xfId="3192"/>
    <cellStyle name="Normal 3 2 2 2 4 2 4 2" xfId="40806"/>
    <cellStyle name="Normal 3 2 2 2 4 2 4 2 2" xfId="55933"/>
    <cellStyle name="Normal 3 2 2 2 4 2 4 3" xfId="47886"/>
    <cellStyle name="Normal 3 2 2 2 4 2 5" xfId="38950"/>
    <cellStyle name="Normal 3 2 2 2 4 2 5 2" xfId="54081"/>
    <cellStyle name="Normal 3 2 2 2 4 2 6" xfId="46187"/>
    <cellStyle name="Normal 3 2 2 2 4 3" xfId="1259"/>
    <cellStyle name="Normal 3 2 2 2 4 3 2" xfId="5608"/>
    <cellStyle name="Normal 3 2 2 2 4 3 2 2" xfId="44257"/>
    <cellStyle name="Normal 3 2 2 2 4 3 2 2 2" xfId="59383"/>
    <cellStyle name="Normal 3 2 2 2 4 3 2 3" xfId="42021"/>
    <cellStyle name="Normal 3 2 2 2 4 3 2 3 2" xfId="57148"/>
    <cellStyle name="Normal 3 2 2 2 4 3 2 4" xfId="39741"/>
    <cellStyle name="Normal 3 2 2 2 4 3 2 4 2" xfId="54869"/>
    <cellStyle name="Normal 3 2 2 2 4 3 2 5" xfId="50293"/>
    <cellStyle name="Normal 3 2 2 2 4 3 3" xfId="12069"/>
    <cellStyle name="Normal 3 2 2 2 4 3 3 2" xfId="43393"/>
    <cellStyle name="Normal 3 2 2 2 4 3 3 2 2" xfId="58519"/>
    <cellStyle name="Normal 3 2 2 2 4 3 3 3" xfId="52323"/>
    <cellStyle name="Normal 3 2 2 2 4 3 4" xfId="3542"/>
    <cellStyle name="Normal 3 2 2 2 4 3 4 2" xfId="41157"/>
    <cellStyle name="Normal 3 2 2 2 4 3 4 2 2" xfId="56284"/>
    <cellStyle name="Normal 3 2 2 2 4 3 4 3" xfId="48235"/>
    <cellStyle name="Normal 3 2 2 2 4 3 5" xfId="38577"/>
    <cellStyle name="Normal 3 2 2 2 4 3 5 2" xfId="53730"/>
    <cellStyle name="Normal 3 2 2 2 4 3 6" xfId="46489"/>
    <cellStyle name="Normal 3 2 2 2 4 4" xfId="1470"/>
    <cellStyle name="Normal 3 2 2 2 4 4 2" xfId="5819"/>
    <cellStyle name="Normal 3 2 2 2 4 4 2 2" xfId="43819"/>
    <cellStyle name="Normal 3 2 2 2 4 4 2 2 2" xfId="58945"/>
    <cellStyle name="Normal 3 2 2 2 4 4 2 3" xfId="50504"/>
    <cellStyle name="Normal 3 2 2 2 4 4 3" xfId="12280"/>
    <cellStyle name="Normal 3 2 2 2 4 4 3 2" xfId="41583"/>
    <cellStyle name="Normal 3 2 2 2 4 4 3 2 2" xfId="56710"/>
    <cellStyle name="Normal 3 2 2 2 4 4 3 3" xfId="52534"/>
    <cellStyle name="Normal 3 2 2 2 4 4 4" xfId="3769"/>
    <cellStyle name="Normal 3 2 2 2 4 4 4 2" xfId="48462"/>
    <cellStyle name="Normal 3 2 2 2 4 4 5" xfId="39303"/>
    <cellStyle name="Normal 3 2 2 2 4 4 5 2" xfId="54431"/>
    <cellStyle name="Normal 3 2 2 2 4 4 6" xfId="46700"/>
    <cellStyle name="Normal 3 2 2 2 4 5" xfId="625"/>
    <cellStyle name="Normal 3 2 2 2 4 5 2" xfId="4974"/>
    <cellStyle name="Normal 3 2 2 2 4 5 2 2" xfId="49659"/>
    <cellStyle name="Normal 3 2 2 2 4 5 3" xfId="11435"/>
    <cellStyle name="Normal 3 2 2 2 4 5 3 2" xfId="51689"/>
    <cellStyle name="Normal 3 2 2 2 4 5 4" xfId="4128"/>
    <cellStyle name="Normal 3 2 2 2 4 5 4 2" xfId="48818"/>
    <cellStyle name="Normal 3 2 2 2 4 5 5" xfId="42691"/>
    <cellStyle name="Normal 3 2 2 2 4 5 5 2" xfId="57818"/>
    <cellStyle name="Normal 3 2 2 2 4 5 6" xfId="45855"/>
    <cellStyle name="Normal 3 2 2 2 4 6" xfId="1876"/>
    <cellStyle name="Normal 3 2 2 2 4 6 2" xfId="12683"/>
    <cellStyle name="Normal 3 2 2 2 4 6 2 2" xfId="52936"/>
    <cellStyle name="Normal 3 2 2 2 4 6 3" xfId="6223"/>
    <cellStyle name="Normal 3 2 2 2 4 6 3 2" xfId="50906"/>
    <cellStyle name="Normal 3 2 2 2 4 6 4" xfId="40456"/>
    <cellStyle name="Normal 3 2 2 2 4 6 4 2" xfId="55583"/>
    <cellStyle name="Normal 3 2 2 2 4 6 5" xfId="47102"/>
    <cellStyle name="Normal 3 2 2 2 4 7" xfId="4552"/>
    <cellStyle name="Normal 3 2 2 2 4 7 2" xfId="49239"/>
    <cellStyle name="Normal 3 2 2 2 4 8" xfId="11015"/>
    <cellStyle name="Normal 3 2 2 2 4 8 2" xfId="51269"/>
    <cellStyle name="Normal 3 2 2 2 4 9" xfId="2859"/>
    <cellStyle name="Normal 3 2 2 2 4 9 2" xfId="47553"/>
    <cellStyle name="Normal 3 2 2 2 5" xfId="294"/>
    <cellStyle name="Normal 3 2 2 2 5 10" xfId="45524"/>
    <cellStyle name="Normal 3 2 2 2 5 2" xfId="1348"/>
    <cellStyle name="Normal 3 2 2 2 5 2 2" xfId="5697"/>
    <cellStyle name="Normal 3 2 2 2 5 2 2 2" xfId="44684"/>
    <cellStyle name="Normal 3 2 2 2 5 2 2 2 2" xfId="59810"/>
    <cellStyle name="Normal 3 2 2 2 5 2 2 3" xfId="42448"/>
    <cellStyle name="Normal 3 2 2 2 5 2 2 3 2" xfId="57575"/>
    <cellStyle name="Normal 3 2 2 2 5 2 2 4" xfId="40168"/>
    <cellStyle name="Normal 3 2 2 2 5 2 2 4 2" xfId="55296"/>
    <cellStyle name="Normal 3 2 2 2 5 2 2 5" xfId="50382"/>
    <cellStyle name="Normal 3 2 2 2 5 2 3" xfId="12158"/>
    <cellStyle name="Normal 3 2 2 2 5 2 3 2" xfId="43118"/>
    <cellStyle name="Normal 3 2 2 2 5 2 3 2 2" xfId="58244"/>
    <cellStyle name="Normal 3 2 2 2 5 2 3 3" xfId="52412"/>
    <cellStyle name="Normal 3 2 2 2 5 2 4" xfId="3631"/>
    <cellStyle name="Normal 3 2 2 2 5 2 4 2" xfId="40882"/>
    <cellStyle name="Normal 3 2 2 2 5 2 4 2 2" xfId="56009"/>
    <cellStyle name="Normal 3 2 2 2 5 2 4 3" xfId="48324"/>
    <cellStyle name="Normal 3 2 2 2 5 2 5" xfId="39026"/>
    <cellStyle name="Normal 3 2 2 2 5 2 5 2" xfId="54157"/>
    <cellStyle name="Normal 3 2 2 2 5 2 6" xfId="46578"/>
    <cellStyle name="Normal 3 2 2 2 5 3" xfId="1559"/>
    <cellStyle name="Normal 3 2 2 2 5 3 2" xfId="5908"/>
    <cellStyle name="Normal 3 2 2 2 5 3 2 2" xfId="44333"/>
    <cellStyle name="Normal 3 2 2 2 5 3 2 2 2" xfId="59459"/>
    <cellStyle name="Normal 3 2 2 2 5 3 2 3" xfId="42097"/>
    <cellStyle name="Normal 3 2 2 2 5 3 2 3 2" xfId="57224"/>
    <cellStyle name="Normal 3 2 2 2 5 3 2 4" xfId="39817"/>
    <cellStyle name="Normal 3 2 2 2 5 3 2 4 2" xfId="54945"/>
    <cellStyle name="Normal 3 2 2 2 5 3 2 5" xfId="50593"/>
    <cellStyle name="Normal 3 2 2 2 5 3 3" xfId="12369"/>
    <cellStyle name="Normal 3 2 2 2 5 3 3 2" xfId="43469"/>
    <cellStyle name="Normal 3 2 2 2 5 3 3 2 2" xfId="58595"/>
    <cellStyle name="Normal 3 2 2 2 5 3 3 3" xfId="52623"/>
    <cellStyle name="Normal 3 2 2 2 5 3 4" xfId="3858"/>
    <cellStyle name="Normal 3 2 2 2 5 3 4 2" xfId="41233"/>
    <cellStyle name="Normal 3 2 2 2 5 3 4 2 2" xfId="56360"/>
    <cellStyle name="Normal 3 2 2 2 5 3 4 3" xfId="48551"/>
    <cellStyle name="Normal 3 2 2 2 5 3 5" xfId="38653"/>
    <cellStyle name="Normal 3 2 2 2 5 3 5 2" xfId="53806"/>
    <cellStyle name="Normal 3 2 2 2 5 3 6" xfId="46789"/>
    <cellStyle name="Normal 3 2 2 2 5 4" xfId="1046"/>
    <cellStyle name="Normal 3 2 2 2 5 4 2" xfId="5395"/>
    <cellStyle name="Normal 3 2 2 2 5 4 2 2" xfId="43895"/>
    <cellStyle name="Normal 3 2 2 2 5 4 2 2 2" xfId="59021"/>
    <cellStyle name="Normal 3 2 2 2 5 4 2 3" xfId="50080"/>
    <cellStyle name="Normal 3 2 2 2 5 4 3" xfId="11856"/>
    <cellStyle name="Normal 3 2 2 2 5 4 3 2" xfId="41659"/>
    <cellStyle name="Normal 3 2 2 2 5 4 3 2 2" xfId="56786"/>
    <cellStyle name="Normal 3 2 2 2 5 4 3 3" xfId="52110"/>
    <cellStyle name="Normal 3 2 2 2 5 4 4" xfId="4217"/>
    <cellStyle name="Normal 3 2 2 2 5 4 4 2" xfId="48907"/>
    <cellStyle name="Normal 3 2 2 2 5 4 5" xfId="39379"/>
    <cellStyle name="Normal 3 2 2 2 5 4 5 2" xfId="54507"/>
    <cellStyle name="Normal 3 2 2 2 5 4 6" xfId="46276"/>
    <cellStyle name="Normal 3 2 2 2 5 5" xfId="1952"/>
    <cellStyle name="Normal 3 2 2 2 5 5 2" xfId="12759"/>
    <cellStyle name="Normal 3 2 2 2 5 5 2 2" xfId="53012"/>
    <cellStyle name="Normal 3 2 2 2 5 5 3" xfId="6299"/>
    <cellStyle name="Normal 3 2 2 2 5 5 3 2" xfId="50982"/>
    <cellStyle name="Normal 3 2 2 2 5 5 4" xfId="42767"/>
    <cellStyle name="Normal 3 2 2 2 5 5 4 2" xfId="57894"/>
    <cellStyle name="Normal 3 2 2 2 5 5 5" xfId="47178"/>
    <cellStyle name="Normal 3 2 2 2 5 6" xfId="4643"/>
    <cellStyle name="Normal 3 2 2 2 5 6 2" xfId="40532"/>
    <cellStyle name="Normal 3 2 2 2 5 6 2 2" xfId="55659"/>
    <cellStyle name="Normal 3 2 2 2 5 6 3" xfId="49328"/>
    <cellStyle name="Normal 3 2 2 2 5 7" xfId="11104"/>
    <cellStyle name="Normal 3 2 2 2 5 7 2" xfId="51358"/>
    <cellStyle name="Normal 3 2 2 2 5 8" xfId="3281"/>
    <cellStyle name="Normal 3 2 2 2 5 8 2" xfId="47975"/>
    <cellStyle name="Normal 3 2 2 2 5 9" xfId="38168"/>
    <cellStyle name="Normal 3 2 2 2 5 9 2" xfId="53368"/>
    <cellStyle name="Normal 3 2 2 2 6" xfId="396"/>
    <cellStyle name="Normal 3 2 2 2 6 2" xfId="1661"/>
    <cellStyle name="Normal 3 2 2 2 6 2 2" xfId="6010"/>
    <cellStyle name="Normal 3 2 2 2 6 2 2 2" xfId="44760"/>
    <cellStyle name="Normal 3 2 2 2 6 2 2 2 2" xfId="59886"/>
    <cellStyle name="Normal 3 2 2 2 6 2 2 3" xfId="42524"/>
    <cellStyle name="Normal 3 2 2 2 6 2 2 3 2" xfId="57651"/>
    <cellStyle name="Normal 3 2 2 2 6 2 2 4" xfId="40244"/>
    <cellStyle name="Normal 3 2 2 2 6 2 2 4 2" xfId="55372"/>
    <cellStyle name="Normal 3 2 2 2 6 2 2 5" xfId="50695"/>
    <cellStyle name="Normal 3 2 2 2 6 2 3" xfId="12471"/>
    <cellStyle name="Normal 3 2 2 2 6 2 3 2" xfId="43194"/>
    <cellStyle name="Normal 3 2 2 2 6 2 3 2 2" xfId="58320"/>
    <cellStyle name="Normal 3 2 2 2 6 2 3 3" xfId="52725"/>
    <cellStyle name="Normal 3 2 2 2 6 2 4" xfId="3960"/>
    <cellStyle name="Normal 3 2 2 2 6 2 4 2" xfId="40958"/>
    <cellStyle name="Normal 3 2 2 2 6 2 4 2 2" xfId="56085"/>
    <cellStyle name="Normal 3 2 2 2 6 2 4 3" xfId="48653"/>
    <cellStyle name="Normal 3 2 2 2 6 2 5" xfId="39102"/>
    <cellStyle name="Normal 3 2 2 2 6 2 5 2" xfId="54233"/>
    <cellStyle name="Normal 3 2 2 2 6 2 6" xfId="46891"/>
    <cellStyle name="Normal 3 2 2 2 6 3" xfId="1148"/>
    <cellStyle name="Normal 3 2 2 2 6 3 2" xfId="5497"/>
    <cellStyle name="Normal 3 2 2 2 6 3 2 2" xfId="44409"/>
    <cellStyle name="Normal 3 2 2 2 6 3 2 2 2" xfId="59535"/>
    <cellStyle name="Normal 3 2 2 2 6 3 2 3" xfId="42173"/>
    <cellStyle name="Normal 3 2 2 2 6 3 2 3 2" xfId="57300"/>
    <cellStyle name="Normal 3 2 2 2 6 3 2 4" xfId="39893"/>
    <cellStyle name="Normal 3 2 2 2 6 3 2 4 2" xfId="55021"/>
    <cellStyle name="Normal 3 2 2 2 6 3 2 5" xfId="50182"/>
    <cellStyle name="Normal 3 2 2 2 6 3 3" xfId="11958"/>
    <cellStyle name="Normal 3 2 2 2 6 3 3 2" xfId="43545"/>
    <cellStyle name="Normal 3 2 2 2 6 3 3 2 2" xfId="58671"/>
    <cellStyle name="Normal 3 2 2 2 6 3 3 3" xfId="52212"/>
    <cellStyle name="Normal 3 2 2 2 6 3 4" xfId="4319"/>
    <cellStyle name="Normal 3 2 2 2 6 3 4 2" xfId="41309"/>
    <cellStyle name="Normal 3 2 2 2 6 3 4 2 2" xfId="56436"/>
    <cellStyle name="Normal 3 2 2 2 6 3 4 3" xfId="49009"/>
    <cellStyle name="Normal 3 2 2 2 6 3 5" xfId="38729"/>
    <cellStyle name="Normal 3 2 2 2 6 3 5 2" xfId="53882"/>
    <cellStyle name="Normal 3 2 2 2 6 3 6" xfId="46378"/>
    <cellStyle name="Normal 3 2 2 2 6 4" xfId="2029"/>
    <cellStyle name="Normal 3 2 2 2 6 4 2" xfId="12835"/>
    <cellStyle name="Normal 3 2 2 2 6 4 2 2" xfId="43971"/>
    <cellStyle name="Normal 3 2 2 2 6 4 2 2 2" xfId="59097"/>
    <cellStyle name="Normal 3 2 2 2 6 4 2 3" xfId="53088"/>
    <cellStyle name="Normal 3 2 2 2 6 4 3" xfId="6375"/>
    <cellStyle name="Normal 3 2 2 2 6 4 3 2" xfId="41735"/>
    <cellStyle name="Normal 3 2 2 2 6 4 3 2 2" xfId="56862"/>
    <cellStyle name="Normal 3 2 2 2 6 4 3 3" xfId="51058"/>
    <cellStyle name="Normal 3 2 2 2 6 4 4" xfId="39455"/>
    <cellStyle name="Normal 3 2 2 2 6 4 4 2" xfId="54583"/>
    <cellStyle name="Normal 3 2 2 2 6 4 5" xfId="47254"/>
    <cellStyle name="Normal 3 2 2 2 6 5" xfId="4745"/>
    <cellStyle name="Normal 3 2 2 2 6 5 2" xfId="42843"/>
    <cellStyle name="Normal 3 2 2 2 6 5 2 2" xfId="57970"/>
    <cellStyle name="Normal 3 2 2 2 6 5 3" xfId="49430"/>
    <cellStyle name="Normal 3 2 2 2 6 6" xfId="11206"/>
    <cellStyle name="Normal 3 2 2 2 6 6 2" xfId="40608"/>
    <cellStyle name="Normal 3 2 2 2 6 6 2 2" xfId="55735"/>
    <cellStyle name="Normal 3 2 2 2 6 6 3" xfId="51460"/>
    <cellStyle name="Normal 3 2 2 2 6 7" xfId="3383"/>
    <cellStyle name="Normal 3 2 2 2 6 7 2" xfId="48077"/>
    <cellStyle name="Normal 3 2 2 2 6 8" xfId="38244"/>
    <cellStyle name="Normal 3 2 2 2 6 8 2" xfId="53444"/>
    <cellStyle name="Normal 3 2 2 2 6 9" xfId="45626"/>
    <cellStyle name="Normal 3 2 2 2 7" xfId="848"/>
    <cellStyle name="Normal 3 2 2 2 7 2" xfId="5197"/>
    <cellStyle name="Normal 3 2 2 2 7 2 2" xfId="40006"/>
    <cellStyle name="Normal 3 2 2 2 7 2 2 2" xfId="44522"/>
    <cellStyle name="Normal 3 2 2 2 7 2 2 2 2" xfId="59648"/>
    <cellStyle name="Normal 3 2 2 2 7 2 2 3" xfId="42286"/>
    <cellStyle name="Normal 3 2 2 2 7 2 2 3 2" xfId="57413"/>
    <cellStyle name="Normal 3 2 2 2 7 2 2 4" xfId="55134"/>
    <cellStyle name="Normal 3 2 2 2 7 2 3" xfId="43657"/>
    <cellStyle name="Normal 3 2 2 2 7 2 3 2" xfId="58783"/>
    <cellStyle name="Normal 3 2 2 2 7 2 4" xfId="41421"/>
    <cellStyle name="Normal 3 2 2 2 7 2 4 2" xfId="56548"/>
    <cellStyle name="Normal 3 2 2 2 7 2 5" xfId="38863"/>
    <cellStyle name="Normal 3 2 2 2 7 2 5 2" xfId="53995"/>
    <cellStyle name="Normal 3 2 2 2 7 2 6" xfId="49882"/>
    <cellStyle name="Normal 3 2 2 2 7 3" xfId="11658"/>
    <cellStyle name="Normal 3 2 2 2 7 3 2" xfId="44055"/>
    <cellStyle name="Normal 3 2 2 2 7 3 2 2" xfId="59181"/>
    <cellStyle name="Normal 3 2 2 2 7 3 3" xfId="41819"/>
    <cellStyle name="Normal 3 2 2 2 7 3 3 2" xfId="56946"/>
    <cellStyle name="Normal 3 2 2 2 7 3 4" xfId="39539"/>
    <cellStyle name="Normal 3 2 2 2 7 3 4 2" xfId="54667"/>
    <cellStyle name="Normal 3 2 2 2 7 3 5" xfId="51912"/>
    <cellStyle name="Normal 3 2 2 2 7 4" xfId="3083"/>
    <cellStyle name="Normal 3 2 2 2 7 4 2" xfId="42956"/>
    <cellStyle name="Normal 3 2 2 2 7 4 2 2" xfId="58082"/>
    <cellStyle name="Normal 3 2 2 2 7 4 3" xfId="47777"/>
    <cellStyle name="Normal 3 2 2 2 7 5" xfId="40720"/>
    <cellStyle name="Normal 3 2 2 2 7 5 2" xfId="55847"/>
    <cellStyle name="Normal 3 2 2 2 7 6" xfId="38369"/>
    <cellStyle name="Normal 3 2 2 2 7 6 2" xfId="53528"/>
    <cellStyle name="Normal 3 2 2 2 7 7" xfId="46078"/>
    <cellStyle name="Normal 3 2 2 2 8" xfId="727"/>
    <cellStyle name="Normal 3 2 2 2 8 2" xfId="5076"/>
    <cellStyle name="Normal 3 2 2 2 8 2 2" xfId="44171"/>
    <cellStyle name="Normal 3 2 2 2 8 2 2 2" xfId="59297"/>
    <cellStyle name="Normal 3 2 2 2 8 2 3" xfId="41935"/>
    <cellStyle name="Normal 3 2 2 2 8 2 3 2" xfId="57062"/>
    <cellStyle name="Normal 3 2 2 2 8 2 4" xfId="39655"/>
    <cellStyle name="Normal 3 2 2 2 8 2 4 2" xfId="54783"/>
    <cellStyle name="Normal 3 2 2 2 8 2 5" xfId="49761"/>
    <cellStyle name="Normal 3 2 2 2 8 3" xfId="11537"/>
    <cellStyle name="Normal 3 2 2 2 8 3 2" xfId="43307"/>
    <cellStyle name="Normal 3 2 2 2 8 3 2 2" xfId="58433"/>
    <cellStyle name="Normal 3 2 2 2 8 3 3" xfId="51791"/>
    <cellStyle name="Normal 3 2 2 2 8 4" xfId="2961"/>
    <cellStyle name="Normal 3 2 2 2 8 4 2" xfId="41071"/>
    <cellStyle name="Normal 3 2 2 2 8 4 2 2" xfId="56198"/>
    <cellStyle name="Normal 3 2 2 2 8 4 3" xfId="47655"/>
    <cellStyle name="Normal 3 2 2 2 8 5" xfId="38488"/>
    <cellStyle name="Normal 3 2 2 2 8 5 2" xfId="53644"/>
    <cellStyle name="Normal 3 2 2 2 8 6" xfId="45957"/>
    <cellStyle name="Normal 3 2 2 2 9" xfId="517"/>
    <cellStyle name="Normal 3 2 2 2 9 2" xfId="4866"/>
    <cellStyle name="Normal 3 2 2 2 9 2 2" xfId="43733"/>
    <cellStyle name="Normal 3 2 2 2 9 2 2 2" xfId="58859"/>
    <cellStyle name="Normal 3 2 2 2 9 2 3" xfId="49551"/>
    <cellStyle name="Normal 3 2 2 2 9 3" xfId="11327"/>
    <cellStyle name="Normal 3 2 2 2 9 3 2" xfId="41497"/>
    <cellStyle name="Normal 3 2 2 2 9 3 2 2" xfId="56624"/>
    <cellStyle name="Normal 3 2 2 2 9 3 3" xfId="51581"/>
    <cellStyle name="Normal 3 2 2 2 9 4" xfId="4090"/>
    <cellStyle name="Normal 3 2 2 2 9 4 2" xfId="48781"/>
    <cellStyle name="Normal 3 2 2 2 9 5" xfId="39217"/>
    <cellStyle name="Normal 3 2 2 2 9 5 2" xfId="54345"/>
    <cellStyle name="Normal 3 2 2 2 9 6" xfId="45747"/>
    <cellStyle name="Normal 3 2 2 3" xfId="105"/>
    <cellStyle name="Normal 3 2 2 3 10" xfId="10929"/>
    <cellStyle name="Normal 3 2 2 3 10 2" xfId="51183"/>
    <cellStyle name="Normal 3 2 2 3 11" xfId="2766"/>
    <cellStyle name="Normal 3 2 2 3 11 2" xfId="47466"/>
    <cellStyle name="Normal 3 2 2 3 12" xfId="38018"/>
    <cellStyle name="Normal 3 2 2 3 12 2" xfId="53218"/>
    <cellStyle name="Normal 3 2 2 3 13" xfId="45349"/>
    <cellStyle name="Normal 3 2 2 3 2" xfId="205"/>
    <cellStyle name="Normal 3 2 2 3 2 10" xfId="38094"/>
    <cellStyle name="Normal 3 2 2 3 2 10 2" xfId="53294"/>
    <cellStyle name="Normal 3 2 2 3 2 11" xfId="45437"/>
    <cellStyle name="Normal 3 2 2 3 2 2" xfId="959"/>
    <cellStyle name="Normal 3 2 2 3 2 2 2" xfId="5308"/>
    <cellStyle name="Normal 3 2 2 3 2 2 2 2" xfId="44610"/>
    <cellStyle name="Normal 3 2 2 3 2 2 2 2 2" xfId="59736"/>
    <cellStyle name="Normal 3 2 2 3 2 2 2 3" xfId="42374"/>
    <cellStyle name="Normal 3 2 2 3 2 2 2 3 2" xfId="57501"/>
    <cellStyle name="Normal 3 2 2 3 2 2 2 4" xfId="40094"/>
    <cellStyle name="Normal 3 2 2 3 2 2 2 4 2" xfId="55222"/>
    <cellStyle name="Normal 3 2 2 3 2 2 2 5" xfId="49993"/>
    <cellStyle name="Normal 3 2 2 3 2 2 3" xfId="11769"/>
    <cellStyle name="Normal 3 2 2 3 2 2 3 2" xfId="43044"/>
    <cellStyle name="Normal 3 2 2 3 2 2 3 2 2" xfId="58170"/>
    <cellStyle name="Normal 3 2 2 3 2 2 3 3" xfId="52023"/>
    <cellStyle name="Normal 3 2 2 3 2 2 4" xfId="3194"/>
    <cellStyle name="Normal 3 2 2 3 2 2 4 2" xfId="40808"/>
    <cellStyle name="Normal 3 2 2 3 2 2 4 2 2" xfId="55935"/>
    <cellStyle name="Normal 3 2 2 3 2 2 4 3" xfId="47888"/>
    <cellStyle name="Normal 3 2 2 3 2 2 5" xfId="38952"/>
    <cellStyle name="Normal 3 2 2 3 2 2 5 2" xfId="54083"/>
    <cellStyle name="Normal 3 2 2 3 2 2 6" xfId="46189"/>
    <cellStyle name="Normal 3 2 2 3 2 3" xfId="1261"/>
    <cellStyle name="Normal 3 2 2 3 2 3 2" xfId="5610"/>
    <cellStyle name="Normal 3 2 2 3 2 3 2 2" xfId="44259"/>
    <cellStyle name="Normal 3 2 2 3 2 3 2 2 2" xfId="59385"/>
    <cellStyle name="Normal 3 2 2 3 2 3 2 3" xfId="42023"/>
    <cellStyle name="Normal 3 2 2 3 2 3 2 3 2" xfId="57150"/>
    <cellStyle name="Normal 3 2 2 3 2 3 2 4" xfId="39743"/>
    <cellStyle name="Normal 3 2 2 3 2 3 2 4 2" xfId="54871"/>
    <cellStyle name="Normal 3 2 2 3 2 3 2 5" xfId="50295"/>
    <cellStyle name="Normal 3 2 2 3 2 3 3" xfId="12071"/>
    <cellStyle name="Normal 3 2 2 3 2 3 3 2" xfId="43395"/>
    <cellStyle name="Normal 3 2 2 3 2 3 3 2 2" xfId="58521"/>
    <cellStyle name="Normal 3 2 2 3 2 3 3 3" xfId="52325"/>
    <cellStyle name="Normal 3 2 2 3 2 3 4" xfId="3544"/>
    <cellStyle name="Normal 3 2 2 3 2 3 4 2" xfId="41159"/>
    <cellStyle name="Normal 3 2 2 3 2 3 4 2 2" xfId="56286"/>
    <cellStyle name="Normal 3 2 2 3 2 3 4 3" xfId="48237"/>
    <cellStyle name="Normal 3 2 2 3 2 3 5" xfId="38579"/>
    <cellStyle name="Normal 3 2 2 3 2 3 5 2" xfId="53732"/>
    <cellStyle name="Normal 3 2 2 3 2 3 6" xfId="46491"/>
    <cellStyle name="Normal 3 2 2 3 2 4" xfId="1472"/>
    <cellStyle name="Normal 3 2 2 3 2 4 2" xfId="5821"/>
    <cellStyle name="Normal 3 2 2 3 2 4 2 2" xfId="43821"/>
    <cellStyle name="Normal 3 2 2 3 2 4 2 2 2" xfId="58947"/>
    <cellStyle name="Normal 3 2 2 3 2 4 2 3" xfId="50506"/>
    <cellStyle name="Normal 3 2 2 3 2 4 3" xfId="12282"/>
    <cellStyle name="Normal 3 2 2 3 2 4 3 2" xfId="41585"/>
    <cellStyle name="Normal 3 2 2 3 2 4 3 2 2" xfId="56712"/>
    <cellStyle name="Normal 3 2 2 3 2 4 3 3" xfId="52536"/>
    <cellStyle name="Normal 3 2 2 3 2 4 4" xfId="3771"/>
    <cellStyle name="Normal 3 2 2 3 2 4 4 2" xfId="48464"/>
    <cellStyle name="Normal 3 2 2 3 2 4 5" xfId="39305"/>
    <cellStyle name="Normal 3 2 2 3 2 4 5 2" xfId="54433"/>
    <cellStyle name="Normal 3 2 2 3 2 4 6" xfId="46702"/>
    <cellStyle name="Normal 3 2 2 3 2 5" xfId="627"/>
    <cellStyle name="Normal 3 2 2 3 2 5 2" xfId="4976"/>
    <cellStyle name="Normal 3 2 2 3 2 5 2 2" xfId="49661"/>
    <cellStyle name="Normal 3 2 2 3 2 5 3" xfId="11437"/>
    <cellStyle name="Normal 3 2 2 3 2 5 3 2" xfId="51691"/>
    <cellStyle name="Normal 3 2 2 3 2 5 4" xfId="4130"/>
    <cellStyle name="Normal 3 2 2 3 2 5 4 2" xfId="48820"/>
    <cellStyle name="Normal 3 2 2 3 2 5 5" xfId="42693"/>
    <cellStyle name="Normal 3 2 2 3 2 5 5 2" xfId="57820"/>
    <cellStyle name="Normal 3 2 2 3 2 5 6" xfId="45857"/>
    <cellStyle name="Normal 3 2 2 3 2 6" xfId="1878"/>
    <cellStyle name="Normal 3 2 2 3 2 6 2" xfId="12685"/>
    <cellStyle name="Normal 3 2 2 3 2 6 2 2" xfId="52938"/>
    <cellStyle name="Normal 3 2 2 3 2 6 3" xfId="6225"/>
    <cellStyle name="Normal 3 2 2 3 2 6 3 2" xfId="50908"/>
    <cellStyle name="Normal 3 2 2 3 2 6 4" xfId="40458"/>
    <cellStyle name="Normal 3 2 2 3 2 6 4 2" xfId="55585"/>
    <cellStyle name="Normal 3 2 2 3 2 6 5" xfId="47104"/>
    <cellStyle name="Normal 3 2 2 3 2 7" xfId="4554"/>
    <cellStyle name="Normal 3 2 2 3 2 7 2" xfId="49241"/>
    <cellStyle name="Normal 3 2 2 3 2 8" xfId="11017"/>
    <cellStyle name="Normal 3 2 2 3 2 8 2" xfId="51271"/>
    <cellStyle name="Normal 3 2 2 3 2 9" xfId="2861"/>
    <cellStyle name="Normal 3 2 2 3 2 9 2" xfId="47555"/>
    <cellStyle name="Normal 3 2 2 3 3" xfId="296"/>
    <cellStyle name="Normal 3 2 2 3 3 10" xfId="45526"/>
    <cellStyle name="Normal 3 2 2 3 3 2" xfId="1350"/>
    <cellStyle name="Normal 3 2 2 3 3 2 2" xfId="5699"/>
    <cellStyle name="Normal 3 2 2 3 3 2 2 2" xfId="44686"/>
    <cellStyle name="Normal 3 2 2 3 3 2 2 2 2" xfId="59812"/>
    <cellStyle name="Normal 3 2 2 3 3 2 2 3" xfId="42450"/>
    <cellStyle name="Normal 3 2 2 3 3 2 2 3 2" xfId="57577"/>
    <cellStyle name="Normal 3 2 2 3 3 2 2 4" xfId="40170"/>
    <cellStyle name="Normal 3 2 2 3 3 2 2 4 2" xfId="55298"/>
    <cellStyle name="Normal 3 2 2 3 3 2 2 5" xfId="50384"/>
    <cellStyle name="Normal 3 2 2 3 3 2 3" xfId="12160"/>
    <cellStyle name="Normal 3 2 2 3 3 2 3 2" xfId="43120"/>
    <cellStyle name="Normal 3 2 2 3 3 2 3 2 2" xfId="58246"/>
    <cellStyle name="Normal 3 2 2 3 3 2 3 3" xfId="52414"/>
    <cellStyle name="Normal 3 2 2 3 3 2 4" xfId="3633"/>
    <cellStyle name="Normal 3 2 2 3 3 2 4 2" xfId="40884"/>
    <cellStyle name="Normal 3 2 2 3 3 2 4 2 2" xfId="56011"/>
    <cellStyle name="Normal 3 2 2 3 3 2 4 3" xfId="48326"/>
    <cellStyle name="Normal 3 2 2 3 3 2 5" xfId="39028"/>
    <cellStyle name="Normal 3 2 2 3 3 2 5 2" xfId="54159"/>
    <cellStyle name="Normal 3 2 2 3 3 2 6" xfId="46580"/>
    <cellStyle name="Normal 3 2 2 3 3 3" xfId="1561"/>
    <cellStyle name="Normal 3 2 2 3 3 3 2" xfId="5910"/>
    <cellStyle name="Normal 3 2 2 3 3 3 2 2" xfId="44335"/>
    <cellStyle name="Normal 3 2 2 3 3 3 2 2 2" xfId="59461"/>
    <cellStyle name="Normal 3 2 2 3 3 3 2 3" xfId="42099"/>
    <cellStyle name="Normal 3 2 2 3 3 3 2 3 2" xfId="57226"/>
    <cellStyle name="Normal 3 2 2 3 3 3 2 4" xfId="39819"/>
    <cellStyle name="Normal 3 2 2 3 3 3 2 4 2" xfId="54947"/>
    <cellStyle name="Normal 3 2 2 3 3 3 2 5" xfId="50595"/>
    <cellStyle name="Normal 3 2 2 3 3 3 3" xfId="12371"/>
    <cellStyle name="Normal 3 2 2 3 3 3 3 2" xfId="43471"/>
    <cellStyle name="Normal 3 2 2 3 3 3 3 2 2" xfId="58597"/>
    <cellStyle name="Normal 3 2 2 3 3 3 3 3" xfId="52625"/>
    <cellStyle name="Normal 3 2 2 3 3 3 4" xfId="3860"/>
    <cellStyle name="Normal 3 2 2 3 3 3 4 2" xfId="41235"/>
    <cellStyle name="Normal 3 2 2 3 3 3 4 2 2" xfId="56362"/>
    <cellStyle name="Normal 3 2 2 3 3 3 4 3" xfId="48553"/>
    <cellStyle name="Normal 3 2 2 3 3 3 5" xfId="38655"/>
    <cellStyle name="Normal 3 2 2 3 3 3 5 2" xfId="53808"/>
    <cellStyle name="Normal 3 2 2 3 3 3 6" xfId="46791"/>
    <cellStyle name="Normal 3 2 2 3 3 4" xfId="1048"/>
    <cellStyle name="Normal 3 2 2 3 3 4 2" xfId="5397"/>
    <cellStyle name="Normal 3 2 2 3 3 4 2 2" xfId="43897"/>
    <cellStyle name="Normal 3 2 2 3 3 4 2 2 2" xfId="59023"/>
    <cellStyle name="Normal 3 2 2 3 3 4 2 3" xfId="50082"/>
    <cellStyle name="Normal 3 2 2 3 3 4 3" xfId="11858"/>
    <cellStyle name="Normal 3 2 2 3 3 4 3 2" xfId="41661"/>
    <cellStyle name="Normal 3 2 2 3 3 4 3 2 2" xfId="56788"/>
    <cellStyle name="Normal 3 2 2 3 3 4 3 3" xfId="52112"/>
    <cellStyle name="Normal 3 2 2 3 3 4 4" xfId="4219"/>
    <cellStyle name="Normal 3 2 2 3 3 4 4 2" xfId="48909"/>
    <cellStyle name="Normal 3 2 2 3 3 4 5" xfId="39381"/>
    <cellStyle name="Normal 3 2 2 3 3 4 5 2" xfId="54509"/>
    <cellStyle name="Normal 3 2 2 3 3 4 6" xfId="46278"/>
    <cellStyle name="Normal 3 2 2 3 3 5" xfId="1954"/>
    <cellStyle name="Normal 3 2 2 3 3 5 2" xfId="12761"/>
    <cellStyle name="Normal 3 2 2 3 3 5 2 2" xfId="53014"/>
    <cellStyle name="Normal 3 2 2 3 3 5 3" xfId="6301"/>
    <cellStyle name="Normal 3 2 2 3 3 5 3 2" xfId="50984"/>
    <cellStyle name="Normal 3 2 2 3 3 5 4" xfId="42769"/>
    <cellStyle name="Normal 3 2 2 3 3 5 4 2" xfId="57896"/>
    <cellStyle name="Normal 3 2 2 3 3 5 5" xfId="47180"/>
    <cellStyle name="Normal 3 2 2 3 3 6" xfId="4645"/>
    <cellStyle name="Normal 3 2 2 3 3 6 2" xfId="40534"/>
    <cellStyle name="Normal 3 2 2 3 3 6 2 2" xfId="55661"/>
    <cellStyle name="Normal 3 2 2 3 3 6 3" xfId="49330"/>
    <cellStyle name="Normal 3 2 2 3 3 7" xfId="11106"/>
    <cellStyle name="Normal 3 2 2 3 3 7 2" xfId="51360"/>
    <cellStyle name="Normal 3 2 2 3 3 8" xfId="3283"/>
    <cellStyle name="Normal 3 2 2 3 3 8 2" xfId="47977"/>
    <cellStyle name="Normal 3 2 2 3 3 9" xfId="38170"/>
    <cellStyle name="Normal 3 2 2 3 3 9 2" xfId="53370"/>
    <cellStyle name="Normal 3 2 2 3 4" xfId="417"/>
    <cellStyle name="Normal 3 2 2 3 4 2" xfId="1682"/>
    <cellStyle name="Normal 3 2 2 3 4 2 2" xfId="6031"/>
    <cellStyle name="Normal 3 2 2 3 4 2 2 2" xfId="44762"/>
    <cellStyle name="Normal 3 2 2 3 4 2 2 2 2" xfId="59888"/>
    <cellStyle name="Normal 3 2 2 3 4 2 2 3" xfId="42526"/>
    <cellStyle name="Normal 3 2 2 3 4 2 2 3 2" xfId="57653"/>
    <cellStyle name="Normal 3 2 2 3 4 2 2 4" xfId="40246"/>
    <cellStyle name="Normal 3 2 2 3 4 2 2 4 2" xfId="55374"/>
    <cellStyle name="Normal 3 2 2 3 4 2 2 5" xfId="50716"/>
    <cellStyle name="Normal 3 2 2 3 4 2 3" xfId="12492"/>
    <cellStyle name="Normal 3 2 2 3 4 2 3 2" xfId="43196"/>
    <cellStyle name="Normal 3 2 2 3 4 2 3 2 2" xfId="58322"/>
    <cellStyle name="Normal 3 2 2 3 4 2 3 3" xfId="52746"/>
    <cellStyle name="Normal 3 2 2 3 4 2 4" xfId="3981"/>
    <cellStyle name="Normal 3 2 2 3 4 2 4 2" xfId="40960"/>
    <cellStyle name="Normal 3 2 2 3 4 2 4 2 2" xfId="56087"/>
    <cellStyle name="Normal 3 2 2 3 4 2 4 3" xfId="48674"/>
    <cellStyle name="Normal 3 2 2 3 4 2 5" xfId="39104"/>
    <cellStyle name="Normal 3 2 2 3 4 2 5 2" xfId="54235"/>
    <cellStyle name="Normal 3 2 2 3 4 2 6" xfId="46912"/>
    <cellStyle name="Normal 3 2 2 3 4 3" xfId="1169"/>
    <cellStyle name="Normal 3 2 2 3 4 3 2" xfId="5518"/>
    <cellStyle name="Normal 3 2 2 3 4 3 2 2" xfId="44411"/>
    <cellStyle name="Normal 3 2 2 3 4 3 2 2 2" xfId="59537"/>
    <cellStyle name="Normal 3 2 2 3 4 3 2 3" xfId="42175"/>
    <cellStyle name="Normal 3 2 2 3 4 3 2 3 2" xfId="57302"/>
    <cellStyle name="Normal 3 2 2 3 4 3 2 4" xfId="39895"/>
    <cellStyle name="Normal 3 2 2 3 4 3 2 4 2" xfId="55023"/>
    <cellStyle name="Normal 3 2 2 3 4 3 2 5" xfId="50203"/>
    <cellStyle name="Normal 3 2 2 3 4 3 3" xfId="11979"/>
    <cellStyle name="Normal 3 2 2 3 4 3 3 2" xfId="43547"/>
    <cellStyle name="Normal 3 2 2 3 4 3 3 2 2" xfId="58673"/>
    <cellStyle name="Normal 3 2 2 3 4 3 3 3" xfId="52233"/>
    <cellStyle name="Normal 3 2 2 3 4 3 4" xfId="4340"/>
    <cellStyle name="Normal 3 2 2 3 4 3 4 2" xfId="41311"/>
    <cellStyle name="Normal 3 2 2 3 4 3 4 2 2" xfId="56438"/>
    <cellStyle name="Normal 3 2 2 3 4 3 4 3" xfId="49030"/>
    <cellStyle name="Normal 3 2 2 3 4 3 5" xfId="38731"/>
    <cellStyle name="Normal 3 2 2 3 4 3 5 2" xfId="53884"/>
    <cellStyle name="Normal 3 2 2 3 4 3 6" xfId="46399"/>
    <cellStyle name="Normal 3 2 2 3 4 4" xfId="2031"/>
    <cellStyle name="Normal 3 2 2 3 4 4 2" xfId="12837"/>
    <cellStyle name="Normal 3 2 2 3 4 4 2 2" xfId="43973"/>
    <cellStyle name="Normal 3 2 2 3 4 4 2 2 2" xfId="59099"/>
    <cellStyle name="Normal 3 2 2 3 4 4 2 3" xfId="53090"/>
    <cellStyle name="Normal 3 2 2 3 4 4 3" xfId="6377"/>
    <cellStyle name="Normal 3 2 2 3 4 4 3 2" xfId="41737"/>
    <cellStyle name="Normal 3 2 2 3 4 4 3 2 2" xfId="56864"/>
    <cellStyle name="Normal 3 2 2 3 4 4 3 3" xfId="51060"/>
    <cellStyle name="Normal 3 2 2 3 4 4 4" xfId="39457"/>
    <cellStyle name="Normal 3 2 2 3 4 4 4 2" xfId="54585"/>
    <cellStyle name="Normal 3 2 2 3 4 4 5" xfId="47256"/>
    <cellStyle name="Normal 3 2 2 3 4 5" xfId="4766"/>
    <cellStyle name="Normal 3 2 2 3 4 5 2" xfId="42845"/>
    <cellStyle name="Normal 3 2 2 3 4 5 2 2" xfId="57972"/>
    <cellStyle name="Normal 3 2 2 3 4 5 3" xfId="49451"/>
    <cellStyle name="Normal 3 2 2 3 4 6" xfId="11227"/>
    <cellStyle name="Normal 3 2 2 3 4 6 2" xfId="40610"/>
    <cellStyle name="Normal 3 2 2 3 4 6 2 2" xfId="55737"/>
    <cellStyle name="Normal 3 2 2 3 4 6 3" xfId="51481"/>
    <cellStyle name="Normal 3 2 2 3 4 7" xfId="3404"/>
    <cellStyle name="Normal 3 2 2 3 4 7 2" xfId="48098"/>
    <cellStyle name="Normal 3 2 2 3 4 8" xfId="38246"/>
    <cellStyle name="Normal 3 2 2 3 4 8 2" xfId="53446"/>
    <cellStyle name="Normal 3 2 2 3 4 9" xfId="45647"/>
    <cellStyle name="Normal 3 2 2 3 5" xfId="871"/>
    <cellStyle name="Normal 3 2 2 3 5 2" xfId="5220"/>
    <cellStyle name="Normal 3 2 2 3 5 2 2" xfId="40018"/>
    <cellStyle name="Normal 3 2 2 3 5 2 2 2" xfId="44534"/>
    <cellStyle name="Normal 3 2 2 3 5 2 2 2 2" xfId="59660"/>
    <cellStyle name="Normal 3 2 2 3 5 2 2 3" xfId="42298"/>
    <cellStyle name="Normal 3 2 2 3 5 2 2 3 2" xfId="57425"/>
    <cellStyle name="Normal 3 2 2 3 5 2 2 4" xfId="55146"/>
    <cellStyle name="Normal 3 2 2 3 5 2 3" xfId="43665"/>
    <cellStyle name="Normal 3 2 2 3 5 2 3 2" xfId="58791"/>
    <cellStyle name="Normal 3 2 2 3 5 2 4" xfId="41429"/>
    <cellStyle name="Normal 3 2 2 3 5 2 4 2" xfId="56556"/>
    <cellStyle name="Normal 3 2 2 3 5 2 5" xfId="38875"/>
    <cellStyle name="Normal 3 2 2 3 5 2 5 2" xfId="54007"/>
    <cellStyle name="Normal 3 2 2 3 5 2 6" xfId="49905"/>
    <cellStyle name="Normal 3 2 2 3 5 3" xfId="11681"/>
    <cellStyle name="Normal 3 2 2 3 5 3 2" xfId="44057"/>
    <cellStyle name="Normal 3 2 2 3 5 3 2 2" xfId="59183"/>
    <cellStyle name="Normal 3 2 2 3 5 3 3" xfId="41821"/>
    <cellStyle name="Normal 3 2 2 3 5 3 3 2" xfId="56948"/>
    <cellStyle name="Normal 3 2 2 3 5 3 4" xfId="39541"/>
    <cellStyle name="Normal 3 2 2 3 5 3 4 2" xfId="54669"/>
    <cellStyle name="Normal 3 2 2 3 5 3 5" xfId="51935"/>
    <cellStyle name="Normal 3 2 2 3 5 4" xfId="3106"/>
    <cellStyle name="Normal 3 2 2 3 5 4 2" xfId="42968"/>
    <cellStyle name="Normal 3 2 2 3 5 4 2 2" xfId="58094"/>
    <cellStyle name="Normal 3 2 2 3 5 4 3" xfId="47800"/>
    <cellStyle name="Normal 3 2 2 3 5 5" xfId="40732"/>
    <cellStyle name="Normal 3 2 2 3 5 5 2" xfId="55859"/>
    <cellStyle name="Normal 3 2 2 3 5 6" xfId="38371"/>
    <cellStyle name="Normal 3 2 2 3 5 6 2" xfId="53530"/>
    <cellStyle name="Normal 3 2 2 3 5 7" xfId="46101"/>
    <cellStyle name="Normal 3 2 2 3 6" xfId="748"/>
    <cellStyle name="Normal 3 2 2 3 6 2" xfId="5097"/>
    <cellStyle name="Normal 3 2 2 3 6 2 2" xfId="44183"/>
    <cellStyle name="Normal 3 2 2 3 6 2 2 2" xfId="59309"/>
    <cellStyle name="Normal 3 2 2 3 6 2 3" xfId="41947"/>
    <cellStyle name="Normal 3 2 2 3 6 2 3 2" xfId="57074"/>
    <cellStyle name="Normal 3 2 2 3 6 2 4" xfId="39667"/>
    <cellStyle name="Normal 3 2 2 3 6 2 4 2" xfId="54795"/>
    <cellStyle name="Normal 3 2 2 3 6 2 5" xfId="49782"/>
    <cellStyle name="Normal 3 2 2 3 6 3" xfId="11558"/>
    <cellStyle name="Normal 3 2 2 3 6 3 2" xfId="43319"/>
    <cellStyle name="Normal 3 2 2 3 6 3 2 2" xfId="58445"/>
    <cellStyle name="Normal 3 2 2 3 6 3 3" xfId="51812"/>
    <cellStyle name="Normal 3 2 2 3 6 4" xfId="2983"/>
    <cellStyle name="Normal 3 2 2 3 6 4 2" xfId="41083"/>
    <cellStyle name="Normal 3 2 2 3 6 4 2 2" xfId="56210"/>
    <cellStyle name="Normal 3 2 2 3 6 4 3" xfId="47677"/>
    <cellStyle name="Normal 3 2 2 3 6 5" xfId="38501"/>
    <cellStyle name="Normal 3 2 2 3 6 5 2" xfId="53656"/>
    <cellStyle name="Normal 3 2 2 3 6 6" xfId="45978"/>
    <cellStyle name="Normal 3 2 2 3 7" xfId="538"/>
    <cellStyle name="Normal 3 2 2 3 7 2" xfId="4887"/>
    <cellStyle name="Normal 3 2 2 3 7 2 2" xfId="43745"/>
    <cellStyle name="Normal 3 2 2 3 7 2 2 2" xfId="58871"/>
    <cellStyle name="Normal 3 2 2 3 7 2 3" xfId="49572"/>
    <cellStyle name="Normal 3 2 2 3 7 3" xfId="11348"/>
    <cellStyle name="Normal 3 2 2 3 7 3 2" xfId="41509"/>
    <cellStyle name="Normal 3 2 2 3 7 3 2 2" xfId="56636"/>
    <cellStyle name="Normal 3 2 2 3 7 3 3" xfId="51602"/>
    <cellStyle name="Normal 3 2 2 3 7 4" xfId="4083"/>
    <cellStyle name="Normal 3 2 2 3 7 4 2" xfId="48775"/>
    <cellStyle name="Normal 3 2 2 3 7 5" xfId="39229"/>
    <cellStyle name="Normal 3 2 2 3 7 5 2" xfId="54357"/>
    <cellStyle name="Normal 3 2 2 3 7 6" xfId="45768"/>
    <cellStyle name="Normal 3 2 2 3 8" xfId="1799"/>
    <cellStyle name="Normal 3 2 2 3 8 2" xfId="12608"/>
    <cellStyle name="Normal 3 2 2 3 8 2 2" xfId="52862"/>
    <cellStyle name="Normal 3 2 2 3 8 3" xfId="6147"/>
    <cellStyle name="Normal 3 2 2 3 8 3 2" xfId="50832"/>
    <cellStyle name="Normal 3 2 2 3 8 4" xfId="42617"/>
    <cellStyle name="Normal 3 2 2 3 8 4 2" xfId="57744"/>
    <cellStyle name="Normal 3 2 2 3 8 5" xfId="47028"/>
    <cellStyle name="Normal 3 2 2 3 9" xfId="2613"/>
    <cellStyle name="Normal 3 2 2 3 9 2" xfId="4463"/>
    <cellStyle name="Normal 3 2 2 3 9 2 2" xfId="49153"/>
    <cellStyle name="Normal 3 2 2 3 9 3" xfId="40382"/>
    <cellStyle name="Normal 3 2 2 3 9 3 2" xfId="55509"/>
    <cellStyle name="Normal 3 2 2 3 9 4" xfId="47345"/>
    <cellStyle name="Normal 3 2 2 4" xfId="102"/>
    <cellStyle name="Normal 3 2 2 4 10" xfId="38015"/>
    <cellStyle name="Normal 3 2 2 4 10 2" xfId="53215"/>
    <cellStyle name="Normal 3 2 2 4 11" xfId="45346"/>
    <cellStyle name="Normal 3 2 2 4 2" xfId="414"/>
    <cellStyle name="Normal 3 2 2 4 2 2" xfId="1422"/>
    <cellStyle name="Normal 3 2 2 4 2 2 2" xfId="5771"/>
    <cellStyle name="Normal 3 2 2 4 2 2 2 2" xfId="44531"/>
    <cellStyle name="Normal 3 2 2 4 2 2 2 2 2" xfId="59657"/>
    <cellStyle name="Normal 3 2 2 4 2 2 2 3" xfId="50456"/>
    <cellStyle name="Normal 3 2 2 4 2 2 3" xfId="12232"/>
    <cellStyle name="Normal 3 2 2 4 2 2 3 2" xfId="42295"/>
    <cellStyle name="Normal 3 2 2 4 2 2 3 2 2" xfId="57422"/>
    <cellStyle name="Normal 3 2 2 4 2 2 3 3" xfId="52486"/>
    <cellStyle name="Normal 3 2 2 4 2 2 4" xfId="3705"/>
    <cellStyle name="Normal 3 2 2 4 2 2 4 2" xfId="48398"/>
    <cellStyle name="Normal 3 2 2 4 2 2 5" xfId="40015"/>
    <cellStyle name="Normal 3 2 2 4 2 2 5 2" xfId="55143"/>
    <cellStyle name="Normal 3 2 2 4 2 2 6" xfId="46652"/>
    <cellStyle name="Normal 3 2 2 4 2 3" xfId="1679"/>
    <cellStyle name="Normal 3 2 2 4 2 3 2" xfId="6028"/>
    <cellStyle name="Normal 3 2 2 4 2 3 2 2" xfId="50713"/>
    <cellStyle name="Normal 3 2 2 4 2 3 3" xfId="12489"/>
    <cellStyle name="Normal 3 2 2 4 2 3 3 2" xfId="52743"/>
    <cellStyle name="Normal 3 2 2 4 2 3 4" xfId="3978"/>
    <cellStyle name="Normal 3 2 2 4 2 3 4 2" xfId="48671"/>
    <cellStyle name="Normal 3 2 2 4 2 3 5" xfId="42965"/>
    <cellStyle name="Normal 3 2 2 4 2 3 5 2" xfId="58091"/>
    <cellStyle name="Normal 3 2 2 4 2 3 6" xfId="46909"/>
    <cellStyle name="Normal 3 2 2 4 2 4" xfId="1166"/>
    <cellStyle name="Normal 3 2 2 4 2 4 2" xfId="5515"/>
    <cellStyle name="Normal 3 2 2 4 2 4 2 2" xfId="50200"/>
    <cellStyle name="Normal 3 2 2 4 2 4 3" xfId="11976"/>
    <cellStyle name="Normal 3 2 2 4 2 4 3 2" xfId="52230"/>
    <cellStyle name="Normal 3 2 2 4 2 4 4" xfId="4337"/>
    <cellStyle name="Normal 3 2 2 4 2 4 4 2" xfId="49027"/>
    <cellStyle name="Normal 3 2 2 4 2 4 5" xfId="40729"/>
    <cellStyle name="Normal 3 2 2 4 2 4 5 2" xfId="55856"/>
    <cellStyle name="Normal 3 2 2 4 2 4 6" xfId="46396"/>
    <cellStyle name="Normal 3 2 2 4 2 5" xfId="4763"/>
    <cellStyle name="Normal 3 2 2 4 2 5 2" xfId="49448"/>
    <cellStyle name="Normal 3 2 2 4 2 6" xfId="11224"/>
    <cellStyle name="Normal 3 2 2 4 2 6 2" xfId="51478"/>
    <cellStyle name="Normal 3 2 2 4 2 7" xfId="3401"/>
    <cellStyle name="Normal 3 2 2 4 2 7 2" xfId="48095"/>
    <cellStyle name="Normal 3 2 2 4 2 8" xfId="38872"/>
    <cellStyle name="Normal 3 2 2 4 2 8 2" xfId="54004"/>
    <cellStyle name="Normal 3 2 2 4 2 9" xfId="45644"/>
    <cellStyle name="Normal 3 2 2 4 3" xfId="868"/>
    <cellStyle name="Normal 3 2 2 4 3 2" xfId="5217"/>
    <cellStyle name="Normal 3 2 2 4 3 2 2" xfId="44180"/>
    <cellStyle name="Normal 3 2 2 4 3 2 2 2" xfId="59306"/>
    <cellStyle name="Normal 3 2 2 4 3 2 3" xfId="41944"/>
    <cellStyle name="Normal 3 2 2 4 3 2 3 2" xfId="57071"/>
    <cellStyle name="Normal 3 2 2 4 3 2 4" xfId="39664"/>
    <cellStyle name="Normal 3 2 2 4 3 2 4 2" xfId="54792"/>
    <cellStyle name="Normal 3 2 2 4 3 2 5" xfId="49902"/>
    <cellStyle name="Normal 3 2 2 4 3 3" xfId="11678"/>
    <cellStyle name="Normal 3 2 2 4 3 3 2" xfId="43316"/>
    <cellStyle name="Normal 3 2 2 4 3 3 2 2" xfId="58442"/>
    <cellStyle name="Normal 3 2 2 4 3 3 3" xfId="51932"/>
    <cellStyle name="Normal 3 2 2 4 3 4" xfId="3103"/>
    <cellStyle name="Normal 3 2 2 4 3 4 2" xfId="41080"/>
    <cellStyle name="Normal 3 2 2 4 3 4 2 2" xfId="56207"/>
    <cellStyle name="Normal 3 2 2 4 3 4 3" xfId="47797"/>
    <cellStyle name="Normal 3 2 2 4 3 5" xfId="38498"/>
    <cellStyle name="Normal 3 2 2 4 3 5 2" xfId="53653"/>
    <cellStyle name="Normal 3 2 2 4 3 6" xfId="46098"/>
    <cellStyle name="Normal 3 2 2 4 4" xfId="745"/>
    <cellStyle name="Normal 3 2 2 4 4 2" xfId="5094"/>
    <cellStyle name="Normal 3 2 2 4 4 2 2" xfId="43742"/>
    <cellStyle name="Normal 3 2 2 4 4 2 2 2" xfId="58868"/>
    <cellStyle name="Normal 3 2 2 4 4 2 3" xfId="49779"/>
    <cellStyle name="Normal 3 2 2 4 4 3" xfId="11555"/>
    <cellStyle name="Normal 3 2 2 4 4 3 2" xfId="41506"/>
    <cellStyle name="Normal 3 2 2 4 4 3 2 2" xfId="56633"/>
    <cellStyle name="Normal 3 2 2 4 4 3 3" xfId="51809"/>
    <cellStyle name="Normal 3 2 2 4 4 4" xfId="2980"/>
    <cellStyle name="Normal 3 2 2 4 4 4 2" xfId="47674"/>
    <cellStyle name="Normal 3 2 2 4 4 5" xfId="39226"/>
    <cellStyle name="Normal 3 2 2 4 4 5 2" xfId="54354"/>
    <cellStyle name="Normal 3 2 2 4 4 6" xfId="45975"/>
    <cellStyle name="Normal 3 2 2 4 5" xfId="535"/>
    <cellStyle name="Normal 3 2 2 4 5 2" xfId="4884"/>
    <cellStyle name="Normal 3 2 2 4 5 2 2" xfId="49569"/>
    <cellStyle name="Normal 3 2 2 4 5 3" xfId="11345"/>
    <cellStyle name="Normal 3 2 2 4 5 3 2" xfId="51599"/>
    <cellStyle name="Normal 3 2 2 4 5 4" xfId="4052"/>
    <cellStyle name="Normal 3 2 2 4 5 4 2" xfId="48745"/>
    <cellStyle name="Normal 3 2 2 4 5 5" xfId="42614"/>
    <cellStyle name="Normal 3 2 2 4 5 5 2" xfId="57741"/>
    <cellStyle name="Normal 3 2 2 4 5 6" xfId="45765"/>
    <cellStyle name="Normal 3 2 2 4 6" xfId="1796"/>
    <cellStyle name="Normal 3 2 2 4 6 2" xfId="12605"/>
    <cellStyle name="Normal 3 2 2 4 6 2 2" xfId="52859"/>
    <cellStyle name="Normal 3 2 2 4 6 3" xfId="6144"/>
    <cellStyle name="Normal 3 2 2 4 6 3 2" xfId="50829"/>
    <cellStyle name="Normal 3 2 2 4 6 4" xfId="40379"/>
    <cellStyle name="Normal 3 2 2 4 6 4 2" xfId="55506"/>
    <cellStyle name="Normal 3 2 2 4 6 5" xfId="47025"/>
    <cellStyle name="Normal 3 2 2 4 7" xfId="4460"/>
    <cellStyle name="Normal 3 2 2 4 7 2" xfId="49150"/>
    <cellStyle name="Normal 3 2 2 4 8" xfId="10926"/>
    <cellStyle name="Normal 3 2 2 4 8 2" xfId="51180"/>
    <cellStyle name="Normal 3 2 2 4 9" xfId="2763"/>
    <cellStyle name="Normal 3 2 2 4 9 2" xfId="47463"/>
    <cellStyle name="Normal 3 2 2 5" xfId="202"/>
    <cellStyle name="Normal 3 2 2 5 10" xfId="38091"/>
    <cellStyle name="Normal 3 2 2 5 10 2" xfId="53291"/>
    <cellStyle name="Normal 3 2 2 5 11" xfId="45434"/>
    <cellStyle name="Normal 3 2 2 5 2" xfId="956"/>
    <cellStyle name="Normal 3 2 2 5 2 2" xfId="5305"/>
    <cellStyle name="Normal 3 2 2 5 2 2 2" xfId="44607"/>
    <cellStyle name="Normal 3 2 2 5 2 2 2 2" xfId="59733"/>
    <cellStyle name="Normal 3 2 2 5 2 2 3" xfId="42371"/>
    <cellStyle name="Normal 3 2 2 5 2 2 3 2" xfId="57498"/>
    <cellStyle name="Normal 3 2 2 5 2 2 4" xfId="40091"/>
    <cellStyle name="Normal 3 2 2 5 2 2 4 2" xfId="55219"/>
    <cellStyle name="Normal 3 2 2 5 2 2 5" xfId="49990"/>
    <cellStyle name="Normal 3 2 2 5 2 3" xfId="11766"/>
    <cellStyle name="Normal 3 2 2 5 2 3 2" xfId="43041"/>
    <cellStyle name="Normal 3 2 2 5 2 3 2 2" xfId="58167"/>
    <cellStyle name="Normal 3 2 2 5 2 3 3" xfId="52020"/>
    <cellStyle name="Normal 3 2 2 5 2 4" xfId="3191"/>
    <cellStyle name="Normal 3 2 2 5 2 4 2" xfId="40805"/>
    <cellStyle name="Normal 3 2 2 5 2 4 2 2" xfId="55932"/>
    <cellStyle name="Normal 3 2 2 5 2 4 3" xfId="47885"/>
    <cellStyle name="Normal 3 2 2 5 2 5" xfId="38949"/>
    <cellStyle name="Normal 3 2 2 5 2 5 2" xfId="54080"/>
    <cellStyle name="Normal 3 2 2 5 2 6" xfId="46186"/>
    <cellStyle name="Normal 3 2 2 5 3" xfId="1258"/>
    <cellStyle name="Normal 3 2 2 5 3 2" xfId="5607"/>
    <cellStyle name="Normal 3 2 2 5 3 2 2" xfId="44256"/>
    <cellStyle name="Normal 3 2 2 5 3 2 2 2" xfId="59382"/>
    <cellStyle name="Normal 3 2 2 5 3 2 3" xfId="42020"/>
    <cellStyle name="Normal 3 2 2 5 3 2 3 2" xfId="57147"/>
    <cellStyle name="Normal 3 2 2 5 3 2 4" xfId="39740"/>
    <cellStyle name="Normal 3 2 2 5 3 2 4 2" xfId="54868"/>
    <cellStyle name="Normal 3 2 2 5 3 2 5" xfId="50292"/>
    <cellStyle name="Normal 3 2 2 5 3 3" xfId="12068"/>
    <cellStyle name="Normal 3 2 2 5 3 3 2" xfId="43392"/>
    <cellStyle name="Normal 3 2 2 5 3 3 2 2" xfId="58518"/>
    <cellStyle name="Normal 3 2 2 5 3 3 3" xfId="52322"/>
    <cellStyle name="Normal 3 2 2 5 3 4" xfId="3541"/>
    <cellStyle name="Normal 3 2 2 5 3 4 2" xfId="41156"/>
    <cellStyle name="Normal 3 2 2 5 3 4 2 2" xfId="56283"/>
    <cellStyle name="Normal 3 2 2 5 3 4 3" xfId="48234"/>
    <cellStyle name="Normal 3 2 2 5 3 5" xfId="38576"/>
    <cellStyle name="Normal 3 2 2 5 3 5 2" xfId="53729"/>
    <cellStyle name="Normal 3 2 2 5 3 6" xfId="46488"/>
    <cellStyle name="Normal 3 2 2 5 4" xfId="1469"/>
    <cellStyle name="Normal 3 2 2 5 4 2" xfId="5818"/>
    <cellStyle name="Normal 3 2 2 5 4 2 2" xfId="43818"/>
    <cellStyle name="Normal 3 2 2 5 4 2 2 2" xfId="58944"/>
    <cellStyle name="Normal 3 2 2 5 4 2 3" xfId="50503"/>
    <cellStyle name="Normal 3 2 2 5 4 3" xfId="12279"/>
    <cellStyle name="Normal 3 2 2 5 4 3 2" xfId="41582"/>
    <cellStyle name="Normal 3 2 2 5 4 3 2 2" xfId="56709"/>
    <cellStyle name="Normal 3 2 2 5 4 3 3" xfId="52533"/>
    <cellStyle name="Normal 3 2 2 5 4 4" xfId="3768"/>
    <cellStyle name="Normal 3 2 2 5 4 4 2" xfId="48461"/>
    <cellStyle name="Normal 3 2 2 5 4 5" xfId="39302"/>
    <cellStyle name="Normal 3 2 2 5 4 5 2" xfId="54430"/>
    <cellStyle name="Normal 3 2 2 5 4 6" xfId="46699"/>
    <cellStyle name="Normal 3 2 2 5 5" xfId="624"/>
    <cellStyle name="Normal 3 2 2 5 5 2" xfId="4973"/>
    <cellStyle name="Normal 3 2 2 5 5 2 2" xfId="49658"/>
    <cellStyle name="Normal 3 2 2 5 5 3" xfId="11434"/>
    <cellStyle name="Normal 3 2 2 5 5 3 2" xfId="51688"/>
    <cellStyle name="Normal 3 2 2 5 5 4" xfId="4127"/>
    <cellStyle name="Normal 3 2 2 5 5 4 2" xfId="48817"/>
    <cellStyle name="Normal 3 2 2 5 5 5" xfId="42690"/>
    <cellStyle name="Normal 3 2 2 5 5 5 2" xfId="57817"/>
    <cellStyle name="Normal 3 2 2 5 5 6" xfId="45854"/>
    <cellStyle name="Normal 3 2 2 5 6" xfId="1875"/>
    <cellStyle name="Normal 3 2 2 5 6 2" xfId="12682"/>
    <cellStyle name="Normal 3 2 2 5 6 2 2" xfId="52935"/>
    <cellStyle name="Normal 3 2 2 5 6 3" xfId="6222"/>
    <cellStyle name="Normal 3 2 2 5 6 3 2" xfId="50905"/>
    <cellStyle name="Normal 3 2 2 5 6 4" xfId="40455"/>
    <cellStyle name="Normal 3 2 2 5 6 4 2" xfId="55582"/>
    <cellStyle name="Normal 3 2 2 5 6 5" xfId="47101"/>
    <cellStyle name="Normal 3 2 2 5 7" xfId="4551"/>
    <cellStyle name="Normal 3 2 2 5 7 2" xfId="49238"/>
    <cellStyle name="Normal 3 2 2 5 8" xfId="11014"/>
    <cellStyle name="Normal 3 2 2 5 8 2" xfId="51268"/>
    <cellStyle name="Normal 3 2 2 5 9" xfId="2858"/>
    <cellStyle name="Normal 3 2 2 5 9 2" xfId="47552"/>
    <cellStyle name="Normal 3 2 2 6" xfId="293"/>
    <cellStyle name="Normal 3 2 2 6 10" xfId="45523"/>
    <cellStyle name="Normal 3 2 2 6 2" xfId="1347"/>
    <cellStyle name="Normal 3 2 2 6 2 2" xfId="5696"/>
    <cellStyle name="Normal 3 2 2 6 2 2 2" xfId="44683"/>
    <cellStyle name="Normal 3 2 2 6 2 2 2 2" xfId="59809"/>
    <cellStyle name="Normal 3 2 2 6 2 2 3" xfId="42447"/>
    <cellStyle name="Normal 3 2 2 6 2 2 3 2" xfId="57574"/>
    <cellStyle name="Normal 3 2 2 6 2 2 4" xfId="40167"/>
    <cellStyle name="Normal 3 2 2 6 2 2 4 2" xfId="55295"/>
    <cellStyle name="Normal 3 2 2 6 2 2 5" xfId="50381"/>
    <cellStyle name="Normal 3 2 2 6 2 3" xfId="12157"/>
    <cellStyle name="Normal 3 2 2 6 2 3 2" xfId="43117"/>
    <cellStyle name="Normal 3 2 2 6 2 3 2 2" xfId="58243"/>
    <cellStyle name="Normal 3 2 2 6 2 3 3" xfId="52411"/>
    <cellStyle name="Normal 3 2 2 6 2 4" xfId="3630"/>
    <cellStyle name="Normal 3 2 2 6 2 4 2" xfId="40881"/>
    <cellStyle name="Normal 3 2 2 6 2 4 2 2" xfId="56008"/>
    <cellStyle name="Normal 3 2 2 6 2 4 3" xfId="48323"/>
    <cellStyle name="Normal 3 2 2 6 2 5" xfId="39025"/>
    <cellStyle name="Normal 3 2 2 6 2 5 2" xfId="54156"/>
    <cellStyle name="Normal 3 2 2 6 2 6" xfId="46577"/>
    <cellStyle name="Normal 3 2 2 6 3" xfId="1558"/>
    <cellStyle name="Normal 3 2 2 6 3 2" xfId="5907"/>
    <cellStyle name="Normal 3 2 2 6 3 2 2" xfId="44332"/>
    <cellStyle name="Normal 3 2 2 6 3 2 2 2" xfId="59458"/>
    <cellStyle name="Normal 3 2 2 6 3 2 3" xfId="42096"/>
    <cellStyle name="Normal 3 2 2 6 3 2 3 2" xfId="57223"/>
    <cellStyle name="Normal 3 2 2 6 3 2 4" xfId="39816"/>
    <cellStyle name="Normal 3 2 2 6 3 2 4 2" xfId="54944"/>
    <cellStyle name="Normal 3 2 2 6 3 2 5" xfId="50592"/>
    <cellStyle name="Normal 3 2 2 6 3 3" xfId="12368"/>
    <cellStyle name="Normal 3 2 2 6 3 3 2" xfId="43468"/>
    <cellStyle name="Normal 3 2 2 6 3 3 2 2" xfId="58594"/>
    <cellStyle name="Normal 3 2 2 6 3 3 3" xfId="52622"/>
    <cellStyle name="Normal 3 2 2 6 3 4" xfId="3857"/>
    <cellStyle name="Normal 3 2 2 6 3 4 2" xfId="41232"/>
    <cellStyle name="Normal 3 2 2 6 3 4 2 2" xfId="56359"/>
    <cellStyle name="Normal 3 2 2 6 3 4 3" xfId="48550"/>
    <cellStyle name="Normal 3 2 2 6 3 5" xfId="38652"/>
    <cellStyle name="Normal 3 2 2 6 3 5 2" xfId="53805"/>
    <cellStyle name="Normal 3 2 2 6 3 6" xfId="46788"/>
    <cellStyle name="Normal 3 2 2 6 4" xfId="1045"/>
    <cellStyle name="Normal 3 2 2 6 4 2" xfId="5394"/>
    <cellStyle name="Normal 3 2 2 6 4 2 2" xfId="43894"/>
    <cellStyle name="Normal 3 2 2 6 4 2 2 2" xfId="59020"/>
    <cellStyle name="Normal 3 2 2 6 4 2 3" xfId="50079"/>
    <cellStyle name="Normal 3 2 2 6 4 3" xfId="11855"/>
    <cellStyle name="Normal 3 2 2 6 4 3 2" xfId="41658"/>
    <cellStyle name="Normal 3 2 2 6 4 3 2 2" xfId="56785"/>
    <cellStyle name="Normal 3 2 2 6 4 3 3" xfId="52109"/>
    <cellStyle name="Normal 3 2 2 6 4 4" xfId="4216"/>
    <cellStyle name="Normal 3 2 2 6 4 4 2" xfId="48906"/>
    <cellStyle name="Normal 3 2 2 6 4 5" xfId="39378"/>
    <cellStyle name="Normal 3 2 2 6 4 5 2" xfId="54506"/>
    <cellStyle name="Normal 3 2 2 6 4 6" xfId="46275"/>
    <cellStyle name="Normal 3 2 2 6 5" xfId="1951"/>
    <cellStyle name="Normal 3 2 2 6 5 2" xfId="12758"/>
    <cellStyle name="Normal 3 2 2 6 5 2 2" xfId="53011"/>
    <cellStyle name="Normal 3 2 2 6 5 3" xfId="6298"/>
    <cellStyle name="Normal 3 2 2 6 5 3 2" xfId="50981"/>
    <cellStyle name="Normal 3 2 2 6 5 4" xfId="42766"/>
    <cellStyle name="Normal 3 2 2 6 5 4 2" xfId="57893"/>
    <cellStyle name="Normal 3 2 2 6 5 5" xfId="47177"/>
    <cellStyle name="Normal 3 2 2 6 6" xfId="4642"/>
    <cellStyle name="Normal 3 2 2 6 6 2" xfId="40531"/>
    <cellStyle name="Normal 3 2 2 6 6 2 2" xfId="55658"/>
    <cellStyle name="Normal 3 2 2 6 6 3" xfId="49327"/>
    <cellStyle name="Normal 3 2 2 6 7" xfId="11103"/>
    <cellStyle name="Normal 3 2 2 6 7 2" xfId="51357"/>
    <cellStyle name="Normal 3 2 2 6 8" xfId="3280"/>
    <cellStyle name="Normal 3 2 2 6 8 2" xfId="47974"/>
    <cellStyle name="Normal 3 2 2 6 9" xfId="38167"/>
    <cellStyle name="Normal 3 2 2 6 9 2" xfId="53367"/>
    <cellStyle name="Normal 3 2 2 7" xfId="380"/>
    <cellStyle name="Normal 3 2 2 7 2" xfId="1645"/>
    <cellStyle name="Normal 3 2 2 7 2 2" xfId="5994"/>
    <cellStyle name="Normal 3 2 2 7 2 2 2" xfId="44759"/>
    <cellStyle name="Normal 3 2 2 7 2 2 2 2" xfId="59885"/>
    <cellStyle name="Normal 3 2 2 7 2 2 3" xfId="42523"/>
    <cellStyle name="Normal 3 2 2 7 2 2 3 2" xfId="57650"/>
    <cellStyle name="Normal 3 2 2 7 2 2 4" xfId="40243"/>
    <cellStyle name="Normal 3 2 2 7 2 2 4 2" xfId="55371"/>
    <cellStyle name="Normal 3 2 2 7 2 2 5" xfId="50679"/>
    <cellStyle name="Normal 3 2 2 7 2 3" xfId="12455"/>
    <cellStyle name="Normal 3 2 2 7 2 3 2" xfId="43193"/>
    <cellStyle name="Normal 3 2 2 7 2 3 2 2" xfId="58319"/>
    <cellStyle name="Normal 3 2 2 7 2 3 3" xfId="52709"/>
    <cellStyle name="Normal 3 2 2 7 2 4" xfId="3944"/>
    <cellStyle name="Normal 3 2 2 7 2 4 2" xfId="40957"/>
    <cellStyle name="Normal 3 2 2 7 2 4 2 2" xfId="56084"/>
    <cellStyle name="Normal 3 2 2 7 2 4 3" xfId="48637"/>
    <cellStyle name="Normal 3 2 2 7 2 5" xfId="39101"/>
    <cellStyle name="Normal 3 2 2 7 2 5 2" xfId="54232"/>
    <cellStyle name="Normal 3 2 2 7 2 6" xfId="46875"/>
    <cellStyle name="Normal 3 2 2 7 3" xfId="1132"/>
    <cellStyle name="Normal 3 2 2 7 3 2" xfId="5481"/>
    <cellStyle name="Normal 3 2 2 7 3 2 2" xfId="44408"/>
    <cellStyle name="Normal 3 2 2 7 3 2 2 2" xfId="59534"/>
    <cellStyle name="Normal 3 2 2 7 3 2 3" xfId="42172"/>
    <cellStyle name="Normal 3 2 2 7 3 2 3 2" xfId="57299"/>
    <cellStyle name="Normal 3 2 2 7 3 2 4" xfId="39892"/>
    <cellStyle name="Normal 3 2 2 7 3 2 4 2" xfId="55020"/>
    <cellStyle name="Normal 3 2 2 7 3 2 5" xfId="50166"/>
    <cellStyle name="Normal 3 2 2 7 3 3" xfId="11942"/>
    <cellStyle name="Normal 3 2 2 7 3 3 2" xfId="43544"/>
    <cellStyle name="Normal 3 2 2 7 3 3 2 2" xfId="58670"/>
    <cellStyle name="Normal 3 2 2 7 3 3 3" xfId="52196"/>
    <cellStyle name="Normal 3 2 2 7 3 4" xfId="4303"/>
    <cellStyle name="Normal 3 2 2 7 3 4 2" xfId="41308"/>
    <cellStyle name="Normal 3 2 2 7 3 4 2 2" xfId="56435"/>
    <cellStyle name="Normal 3 2 2 7 3 4 3" xfId="48993"/>
    <cellStyle name="Normal 3 2 2 7 3 5" xfId="38728"/>
    <cellStyle name="Normal 3 2 2 7 3 5 2" xfId="53881"/>
    <cellStyle name="Normal 3 2 2 7 3 6" xfId="46362"/>
    <cellStyle name="Normal 3 2 2 7 4" xfId="2028"/>
    <cellStyle name="Normal 3 2 2 7 4 2" xfId="12834"/>
    <cellStyle name="Normal 3 2 2 7 4 2 2" xfId="43970"/>
    <cellStyle name="Normal 3 2 2 7 4 2 2 2" xfId="59096"/>
    <cellStyle name="Normal 3 2 2 7 4 2 3" xfId="53087"/>
    <cellStyle name="Normal 3 2 2 7 4 3" xfId="6374"/>
    <cellStyle name="Normal 3 2 2 7 4 3 2" xfId="41734"/>
    <cellStyle name="Normal 3 2 2 7 4 3 2 2" xfId="56861"/>
    <cellStyle name="Normal 3 2 2 7 4 3 3" xfId="51057"/>
    <cellStyle name="Normal 3 2 2 7 4 4" xfId="39454"/>
    <cellStyle name="Normal 3 2 2 7 4 4 2" xfId="54582"/>
    <cellStyle name="Normal 3 2 2 7 4 5" xfId="47253"/>
    <cellStyle name="Normal 3 2 2 7 5" xfId="4729"/>
    <cellStyle name="Normal 3 2 2 7 5 2" xfId="42842"/>
    <cellStyle name="Normal 3 2 2 7 5 2 2" xfId="57969"/>
    <cellStyle name="Normal 3 2 2 7 5 3" xfId="49414"/>
    <cellStyle name="Normal 3 2 2 7 6" xfId="11190"/>
    <cellStyle name="Normal 3 2 2 7 6 2" xfId="40607"/>
    <cellStyle name="Normal 3 2 2 7 6 2 2" xfId="55734"/>
    <cellStyle name="Normal 3 2 2 7 6 3" xfId="51444"/>
    <cellStyle name="Normal 3 2 2 7 7" xfId="3367"/>
    <cellStyle name="Normal 3 2 2 7 7 2" xfId="48061"/>
    <cellStyle name="Normal 3 2 2 7 8" xfId="38243"/>
    <cellStyle name="Normal 3 2 2 7 8 2" xfId="53443"/>
    <cellStyle name="Normal 3 2 2 7 9" xfId="45610"/>
    <cellStyle name="Normal 3 2 2 8" xfId="832"/>
    <cellStyle name="Normal 3 2 2 8 2" xfId="5181"/>
    <cellStyle name="Normal 3 2 2 8 2 2" xfId="39988"/>
    <cellStyle name="Normal 3 2 2 8 2 2 2" xfId="44504"/>
    <cellStyle name="Normal 3 2 2 8 2 2 2 2" xfId="59630"/>
    <cellStyle name="Normal 3 2 2 8 2 2 3" xfId="42268"/>
    <cellStyle name="Normal 3 2 2 8 2 2 3 2" xfId="57395"/>
    <cellStyle name="Normal 3 2 2 8 2 2 4" xfId="55116"/>
    <cellStyle name="Normal 3 2 2 8 2 3" xfId="43639"/>
    <cellStyle name="Normal 3 2 2 8 2 3 2" xfId="58765"/>
    <cellStyle name="Normal 3 2 2 8 2 4" xfId="41403"/>
    <cellStyle name="Normal 3 2 2 8 2 4 2" xfId="56530"/>
    <cellStyle name="Normal 3 2 2 8 2 5" xfId="38845"/>
    <cellStyle name="Normal 3 2 2 8 2 5 2" xfId="53977"/>
    <cellStyle name="Normal 3 2 2 8 2 6" xfId="49866"/>
    <cellStyle name="Normal 3 2 2 8 3" xfId="11642"/>
    <cellStyle name="Normal 3 2 2 8 3 2" xfId="44054"/>
    <cellStyle name="Normal 3 2 2 8 3 2 2" xfId="59180"/>
    <cellStyle name="Normal 3 2 2 8 3 3" xfId="41818"/>
    <cellStyle name="Normal 3 2 2 8 3 3 2" xfId="56945"/>
    <cellStyle name="Normal 3 2 2 8 3 4" xfId="39538"/>
    <cellStyle name="Normal 3 2 2 8 3 4 2" xfId="54666"/>
    <cellStyle name="Normal 3 2 2 8 3 5" xfId="51896"/>
    <cellStyle name="Normal 3 2 2 8 4" xfId="3067"/>
    <cellStyle name="Normal 3 2 2 8 4 2" xfId="42938"/>
    <cellStyle name="Normal 3 2 2 8 4 2 2" xfId="58064"/>
    <cellStyle name="Normal 3 2 2 8 4 3" xfId="47761"/>
    <cellStyle name="Normal 3 2 2 8 5" xfId="40702"/>
    <cellStyle name="Normal 3 2 2 8 5 2" xfId="55829"/>
    <cellStyle name="Normal 3 2 2 8 6" xfId="38368"/>
    <cellStyle name="Normal 3 2 2 8 6 2" xfId="53527"/>
    <cellStyle name="Normal 3 2 2 8 7" xfId="46062"/>
    <cellStyle name="Normal 3 2 2 9" xfId="711"/>
    <cellStyle name="Normal 3 2 2 9 2" xfId="5060"/>
    <cellStyle name="Normal 3 2 2 9 2 2" xfId="44153"/>
    <cellStyle name="Normal 3 2 2 9 2 2 2" xfId="59279"/>
    <cellStyle name="Normal 3 2 2 9 2 3" xfId="41917"/>
    <cellStyle name="Normal 3 2 2 9 2 3 2" xfId="57044"/>
    <cellStyle name="Normal 3 2 2 9 2 4" xfId="39637"/>
    <cellStyle name="Normal 3 2 2 9 2 4 2" xfId="54765"/>
    <cellStyle name="Normal 3 2 2 9 2 5" xfId="49745"/>
    <cellStyle name="Normal 3 2 2 9 3" xfId="11521"/>
    <cellStyle name="Normal 3 2 2 9 3 2" xfId="43289"/>
    <cellStyle name="Normal 3 2 2 9 3 2 2" xfId="58415"/>
    <cellStyle name="Normal 3 2 2 9 3 3" xfId="51775"/>
    <cellStyle name="Normal 3 2 2 9 4" xfId="2945"/>
    <cellStyle name="Normal 3 2 2 9 4 2" xfId="41053"/>
    <cellStyle name="Normal 3 2 2 9 4 2 2" xfId="56180"/>
    <cellStyle name="Normal 3 2 2 9 4 3" xfId="47639"/>
    <cellStyle name="Normal 3 2 2 9 5" xfId="38470"/>
    <cellStyle name="Normal 3 2 2 9 5 2" xfId="53626"/>
    <cellStyle name="Normal 3 2 2 9 6" xfId="45941"/>
    <cellStyle name="Normal 3 2 3" xfId="38"/>
    <cellStyle name="Normal 3 2 3 10" xfId="1778"/>
    <cellStyle name="Normal 3 2 3 10 2" xfId="12588"/>
    <cellStyle name="Normal 3 2 3 10 2 2" xfId="52842"/>
    <cellStyle name="Normal 3 2 3 10 3" xfId="6127"/>
    <cellStyle name="Normal 3 2 3 10 3 2" xfId="50812"/>
    <cellStyle name="Normal 3 2 3 10 4" xfId="40349"/>
    <cellStyle name="Normal 3 2 3 10 4 2" xfId="55477"/>
    <cellStyle name="Normal 3 2 3 10 5" xfId="47008"/>
    <cellStyle name="Normal 3 2 3 11" xfId="2614"/>
    <cellStyle name="Normal 3 2 3 11 2" xfId="4432"/>
    <cellStyle name="Normal 3 2 3 11 2 2" xfId="49122"/>
    <cellStyle name="Normal 3 2 3 11 3" xfId="47346"/>
    <cellStyle name="Normal 3 2 3 12" xfId="10897"/>
    <cellStyle name="Normal 3 2 3 12 2" xfId="51152"/>
    <cellStyle name="Normal 3 2 3 13" xfId="2713"/>
    <cellStyle name="Normal 3 2 3 13 2" xfId="47437"/>
    <cellStyle name="Normal 3 2 3 14" xfId="37997"/>
    <cellStyle name="Normal 3 2 3 14 2" xfId="53198"/>
    <cellStyle name="Normal 3 2 3 15" xfId="45330"/>
    <cellStyle name="Normal 3 2 3 2" xfId="107"/>
    <cellStyle name="Normal 3 2 3 2 10" xfId="10931"/>
    <cellStyle name="Normal 3 2 3 2 10 2" xfId="51185"/>
    <cellStyle name="Normal 3 2 3 2 11" xfId="2768"/>
    <cellStyle name="Normal 3 2 3 2 11 2" xfId="47468"/>
    <cellStyle name="Normal 3 2 3 2 12" xfId="38020"/>
    <cellStyle name="Normal 3 2 3 2 12 2" xfId="53220"/>
    <cellStyle name="Normal 3 2 3 2 13" xfId="45351"/>
    <cellStyle name="Normal 3 2 3 2 2" xfId="207"/>
    <cellStyle name="Normal 3 2 3 2 2 10" xfId="38096"/>
    <cellStyle name="Normal 3 2 3 2 2 10 2" xfId="53296"/>
    <cellStyle name="Normal 3 2 3 2 2 11" xfId="45439"/>
    <cellStyle name="Normal 3 2 3 2 2 2" xfId="961"/>
    <cellStyle name="Normal 3 2 3 2 2 2 2" xfId="5310"/>
    <cellStyle name="Normal 3 2 3 2 2 2 2 2" xfId="44612"/>
    <cellStyle name="Normal 3 2 3 2 2 2 2 2 2" xfId="59738"/>
    <cellStyle name="Normal 3 2 3 2 2 2 2 3" xfId="42376"/>
    <cellStyle name="Normal 3 2 3 2 2 2 2 3 2" xfId="57503"/>
    <cellStyle name="Normal 3 2 3 2 2 2 2 4" xfId="40096"/>
    <cellStyle name="Normal 3 2 3 2 2 2 2 4 2" xfId="55224"/>
    <cellStyle name="Normal 3 2 3 2 2 2 2 5" xfId="49995"/>
    <cellStyle name="Normal 3 2 3 2 2 2 3" xfId="11771"/>
    <cellStyle name="Normal 3 2 3 2 2 2 3 2" xfId="43046"/>
    <cellStyle name="Normal 3 2 3 2 2 2 3 2 2" xfId="58172"/>
    <cellStyle name="Normal 3 2 3 2 2 2 3 3" xfId="52025"/>
    <cellStyle name="Normal 3 2 3 2 2 2 4" xfId="3196"/>
    <cellStyle name="Normal 3 2 3 2 2 2 4 2" xfId="40810"/>
    <cellStyle name="Normal 3 2 3 2 2 2 4 2 2" xfId="55937"/>
    <cellStyle name="Normal 3 2 3 2 2 2 4 3" xfId="47890"/>
    <cellStyle name="Normal 3 2 3 2 2 2 5" xfId="38954"/>
    <cellStyle name="Normal 3 2 3 2 2 2 5 2" xfId="54085"/>
    <cellStyle name="Normal 3 2 3 2 2 2 6" xfId="46191"/>
    <cellStyle name="Normal 3 2 3 2 2 3" xfId="1263"/>
    <cellStyle name="Normal 3 2 3 2 2 3 2" xfId="5612"/>
    <cellStyle name="Normal 3 2 3 2 2 3 2 2" xfId="44261"/>
    <cellStyle name="Normal 3 2 3 2 2 3 2 2 2" xfId="59387"/>
    <cellStyle name="Normal 3 2 3 2 2 3 2 3" xfId="42025"/>
    <cellStyle name="Normal 3 2 3 2 2 3 2 3 2" xfId="57152"/>
    <cellStyle name="Normal 3 2 3 2 2 3 2 4" xfId="39745"/>
    <cellStyle name="Normal 3 2 3 2 2 3 2 4 2" xfId="54873"/>
    <cellStyle name="Normal 3 2 3 2 2 3 2 5" xfId="50297"/>
    <cellStyle name="Normal 3 2 3 2 2 3 3" xfId="12073"/>
    <cellStyle name="Normal 3 2 3 2 2 3 3 2" xfId="43397"/>
    <cellStyle name="Normal 3 2 3 2 2 3 3 2 2" xfId="58523"/>
    <cellStyle name="Normal 3 2 3 2 2 3 3 3" xfId="52327"/>
    <cellStyle name="Normal 3 2 3 2 2 3 4" xfId="3546"/>
    <cellStyle name="Normal 3 2 3 2 2 3 4 2" xfId="41161"/>
    <cellStyle name="Normal 3 2 3 2 2 3 4 2 2" xfId="56288"/>
    <cellStyle name="Normal 3 2 3 2 2 3 4 3" xfId="48239"/>
    <cellStyle name="Normal 3 2 3 2 2 3 5" xfId="38581"/>
    <cellStyle name="Normal 3 2 3 2 2 3 5 2" xfId="53734"/>
    <cellStyle name="Normal 3 2 3 2 2 3 6" xfId="46493"/>
    <cellStyle name="Normal 3 2 3 2 2 4" xfId="1474"/>
    <cellStyle name="Normal 3 2 3 2 2 4 2" xfId="5823"/>
    <cellStyle name="Normal 3 2 3 2 2 4 2 2" xfId="43823"/>
    <cellStyle name="Normal 3 2 3 2 2 4 2 2 2" xfId="58949"/>
    <cellStyle name="Normal 3 2 3 2 2 4 2 3" xfId="50508"/>
    <cellStyle name="Normal 3 2 3 2 2 4 3" xfId="12284"/>
    <cellStyle name="Normal 3 2 3 2 2 4 3 2" xfId="41587"/>
    <cellStyle name="Normal 3 2 3 2 2 4 3 2 2" xfId="56714"/>
    <cellStyle name="Normal 3 2 3 2 2 4 3 3" xfId="52538"/>
    <cellStyle name="Normal 3 2 3 2 2 4 4" xfId="3773"/>
    <cellStyle name="Normal 3 2 3 2 2 4 4 2" xfId="48466"/>
    <cellStyle name="Normal 3 2 3 2 2 4 5" xfId="39307"/>
    <cellStyle name="Normal 3 2 3 2 2 4 5 2" xfId="54435"/>
    <cellStyle name="Normal 3 2 3 2 2 4 6" xfId="46704"/>
    <cellStyle name="Normal 3 2 3 2 2 5" xfId="629"/>
    <cellStyle name="Normal 3 2 3 2 2 5 2" xfId="4978"/>
    <cellStyle name="Normal 3 2 3 2 2 5 2 2" xfId="49663"/>
    <cellStyle name="Normal 3 2 3 2 2 5 3" xfId="11439"/>
    <cellStyle name="Normal 3 2 3 2 2 5 3 2" xfId="51693"/>
    <cellStyle name="Normal 3 2 3 2 2 5 4" xfId="4132"/>
    <cellStyle name="Normal 3 2 3 2 2 5 4 2" xfId="48822"/>
    <cellStyle name="Normal 3 2 3 2 2 5 5" xfId="42695"/>
    <cellStyle name="Normal 3 2 3 2 2 5 5 2" xfId="57822"/>
    <cellStyle name="Normal 3 2 3 2 2 5 6" xfId="45859"/>
    <cellStyle name="Normal 3 2 3 2 2 6" xfId="1880"/>
    <cellStyle name="Normal 3 2 3 2 2 6 2" xfId="12687"/>
    <cellStyle name="Normal 3 2 3 2 2 6 2 2" xfId="52940"/>
    <cellStyle name="Normal 3 2 3 2 2 6 3" xfId="6227"/>
    <cellStyle name="Normal 3 2 3 2 2 6 3 2" xfId="50910"/>
    <cellStyle name="Normal 3 2 3 2 2 6 4" xfId="40460"/>
    <cellStyle name="Normal 3 2 3 2 2 6 4 2" xfId="55587"/>
    <cellStyle name="Normal 3 2 3 2 2 6 5" xfId="47106"/>
    <cellStyle name="Normal 3 2 3 2 2 7" xfId="4556"/>
    <cellStyle name="Normal 3 2 3 2 2 7 2" xfId="49243"/>
    <cellStyle name="Normal 3 2 3 2 2 8" xfId="11019"/>
    <cellStyle name="Normal 3 2 3 2 2 8 2" xfId="51273"/>
    <cellStyle name="Normal 3 2 3 2 2 9" xfId="2863"/>
    <cellStyle name="Normal 3 2 3 2 2 9 2" xfId="47557"/>
    <cellStyle name="Normal 3 2 3 2 3" xfId="298"/>
    <cellStyle name="Normal 3 2 3 2 3 10" xfId="45528"/>
    <cellStyle name="Normal 3 2 3 2 3 2" xfId="1352"/>
    <cellStyle name="Normal 3 2 3 2 3 2 2" xfId="5701"/>
    <cellStyle name="Normal 3 2 3 2 3 2 2 2" xfId="44688"/>
    <cellStyle name="Normal 3 2 3 2 3 2 2 2 2" xfId="59814"/>
    <cellStyle name="Normal 3 2 3 2 3 2 2 3" xfId="42452"/>
    <cellStyle name="Normal 3 2 3 2 3 2 2 3 2" xfId="57579"/>
    <cellStyle name="Normal 3 2 3 2 3 2 2 4" xfId="40172"/>
    <cellStyle name="Normal 3 2 3 2 3 2 2 4 2" xfId="55300"/>
    <cellStyle name="Normal 3 2 3 2 3 2 2 5" xfId="50386"/>
    <cellStyle name="Normal 3 2 3 2 3 2 3" xfId="12162"/>
    <cellStyle name="Normal 3 2 3 2 3 2 3 2" xfId="43122"/>
    <cellStyle name="Normal 3 2 3 2 3 2 3 2 2" xfId="58248"/>
    <cellStyle name="Normal 3 2 3 2 3 2 3 3" xfId="52416"/>
    <cellStyle name="Normal 3 2 3 2 3 2 4" xfId="3635"/>
    <cellStyle name="Normal 3 2 3 2 3 2 4 2" xfId="40886"/>
    <cellStyle name="Normal 3 2 3 2 3 2 4 2 2" xfId="56013"/>
    <cellStyle name="Normal 3 2 3 2 3 2 4 3" xfId="48328"/>
    <cellStyle name="Normal 3 2 3 2 3 2 5" xfId="39030"/>
    <cellStyle name="Normal 3 2 3 2 3 2 5 2" xfId="54161"/>
    <cellStyle name="Normal 3 2 3 2 3 2 6" xfId="46582"/>
    <cellStyle name="Normal 3 2 3 2 3 3" xfId="1563"/>
    <cellStyle name="Normal 3 2 3 2 3 3 2" xfId="5912"/>
    <cellStyle name="Normal 3 2 3 2 3 3 2 2" xfId="44337"/>
    <cellStyle name="Normal 3 2 3 2 3 3 2 2 2" xfId="59463"/>
    <cellStyle name="Normal 3 2 3 2 3 3 2 3" xfId="42101"/>
    <cellStyle name="Normal 3 2 3 2 3 3 2 3 2" xfId="57228"/>
    <cellStyle name="Normal 3 2 3 2 3 3 2 4" xfId="39821"/>
    <cellStyle name="Normal 3 2 3 2 3 3 2 4 2" xfId="54949"/>
    <cellStyle name="Normal 3 2 3 2 3 3 2 5" xfId="50597"/>
    <cellStyle name="Normal 3 2 3 2 3 3 3" xfId="12373"/>
    <cellStyle name="Normal 3 2 3 2 3 3 3 2" xfId="43473"/>
    <cellStyle name="Normal 3 2 3 2 3 3 3 2 2" xfId="58599"/>
    <cellStyle name="Normal 3 2 3 2 3 3 3 3" xfId="52627"/>
    <cellStyle name="Normal 3 2 3 2 3 3 4" xfId="3862"/>
    <cellStyle name="Normal 3 2 3 2 3 3 4 2" xfId="41237"/>
    <cellStyle name="Normal 3 2 3 2 3 3 4 2 2" xfId="56364"/>
    <cellStyle name="Normal 3 2 3 2 3 3 4 3" xfId="48555"/>
    <cellStyle name="Normal 3 2 3 2 3 3 5" xfId="38657"/>
    <cellStyle name="Normal 3 2 3 2 3 3 5 2" xfId="53810"/>
    <cellStyle name="Normal 3 2 3 2 3 3 6" xfId="46793"/>
    <cellStyle name="Normal 3 2 3 2 3 4" xfId="1050"/>
    <cellStyle name="Normal 3 2 3 2 3 4 2" xfId="5399"/>
    <cellStyle name="Normal 3 2 3 2 3 4 2 2" xfId="43899"/>
    <cellStyle name="Normal 3 2 3 2 3 4 2 2 2" xfId="59025"/>
    <cellStyle name="Normal 3 2 3 2 3 4 2 3" xfId="50084"/>
    <cellStyle name="Normal 3 2 3 2 3 4 3" xfId="11860"/>
    <cellStyle name="Normal 3 2 3 2 3 4 3 2" xfId="41663"/>
    <cellStyle name="Normal 3 2 3 2 3 4 3 2 2" xfId="56790"/>
    <cellStyle name="Normal 3 2 3 2 3 4 3 3" xfId="52114"/>
    <cellStyle name="Normal 3 2 3 2 3 4 4" xfId="4221"/>
    <cellStyle name="Normal 3 2 3 2 3 4 4 2" xfId="48911"/>
    <cellStyle name="Normal 3 2 3 2 3 4 5" xfId="39383"/>
    <cellStyle name="Normal 3 2 3 2 3 4 5 2" xfId="54511"/>
    <cellStyle name="Normal 3 2 3 2 3 4 6" xfId="46280"/>
    <cellStyle name="Normal 3 2 3 2 3 5" xfId="1956"/>
    <cellStyle name="Normal 3 2 3 2 3 5 2" xfId="12763"/>
    <cellStyle name="Normal 3 2 3 2 3 5 2 2" xfId="53016"/>
    <cellStyle name="Normal 3 2 3 2 3 5 3" xfId="6303"/>
    <cellStyle name="Normal 3 2 3 2 3 5 3 2" xfId="50986"/>
    <cellStyle name="Normal 3 2 3 2 3 5 4" xfId="42771"/>
    <cellStyle name="Normal 3 2 3 2 3 5 4 2" xfId="57898"/>
    <cellStyle name="Normal 3 2 3 2 3 5 5" xfId="47182"/>
    <cellStyle name="Normal 3 2 3 2 3 6" xfId="4647"/>
    <cellStyle name="Normal 3 2 3 2 3 6 2" xfId="40536"/>
    <cellStyle name="Normal 3 2 3 2 3 6 2 2" xfId="55663"/>
    <cellStyle name="Normal 3 2 3 2 3 6 3" xfId="49332"/>
    <cellStyle name="Normal 3 2 3 2 3 7" xfId="11108"/>
    <cellStyle name="Normal 3 2 3 2 3 7 2" xfId="51362"/>
    <cellStyle name="Normal 3 2 3 2 3 8" xfId="3285"/>
    <cellStyle name="Normal 3 2 3 2 3 8 2" xfId="47979"/>
    <cellStyle name="Normal 3 2 3 2 3 9" xfId="38172"/>
    <cellStyle name="Normal 3 2 3 2 3 9 2" xfId="53372"/>
    <cellStyle name="Normal 3 2 3 2 4" xfId="419"/>
    <cellStyle name="Normal 3 2 3 2 4 2" xfId="1684"/>
    <cellStyle name="Normal 3 2 3 2 4 2 2" xfId="6033"/>
    <cellStyle name="Normal 3 2 3 2 4 2 2 2" xfId="44764"/>
    <cellStyle name="Normal 3 2 3 2 4 2 2 2 2" xfId="59890"/>
    <cellStyle name="Normal 3 2 3 2 4 2 2 3" xfId="42528"/>
    <cellStyle name="Normal 3 2 3 2 4 2 2 3 2" xfId="57655"/>
    <cellStyle name="Normal 3 2 3 2 4 2 2 4" xfId="40248"/>
    <cellStyle name="Normal 3 2 3 2 4 2 2 4 2" xfId="55376"/>
    <cellStyle name="Normal 3 2 3 2 4 2 2 5" xfId="50718"/>
    <cellStyle name="Normal 3 2 3 2 4 2 3" xfId="12494"/>
    <cellStyle name="Normal 3 2 3 2 4 2 3 2" xfId="43198"/>
    <cellStyle name="Normal 3 2 3 2 4 2 3 2 2" xfId="58324"/>
    <cellStyle name="Normal 3 2 3 2 4 2 3 3" xfId="52748"/>
    <cellStyle name="Normal 3 2 3 2 4 2 4" xfId="3983"/>
    <cellStyle name="Normal 3 2 3 2 4 2 4 2" xfId="40962"/>
    <cellStyle name="Normal 3 2 3 2 4 2 4 2 2" xfId="56089"/>
    <cellStyle name="Normal 3 2 3 2 4 2 4 3" xfId="48676"/>
    <cellStyle name="Normal 3 2 3 2 4 2 5" xfId="39106"/>
    <cellStyle name="Normal 3 2 3 2 4 2 5 2" xfId="54237"/>
    <cellStyle name="Normal 3 2 3 2 4 2 6" xfId="46914"/>
    <cellStyle name="Normal 3 2 3 2 4 3" xfId="1171"/>
    <cellStyle name="Normal 3 2 3 2 4 3 2" xfId="5520"/>
    <cellStyle name="Normal 3 2 3 2 4 3 2 2" xfId="44413"/>
    <cellStyle name="Normal 3 2 3 2 4 3 2 2 2" xfId="59539"/>
    <cellStyle name="Normal 3 2 3 2 4 3 2 3" xfId="42177"/>
    <cellStyle name="Normal 3 2 3 2 4 3 2 3 2" xfId="57304"/>
    <cellStyle name="Normal 3 2 3 2 4 3 2 4" xfId="39897"/>
    <cellStyle name="Normal 3 2 3 2 4 3 2 4 2" xfId="55025"/>
    <cellStyle name="Normal 3 2 3 2 4 3 2 5" xfId="50205"/>
    <cellStyle name="Normal 3 2 3 2 4 3 3" xfId="11981"/>
    <cellStyle name="Normal 3 2 3 2 4 3 3 2" xfId="43549"/>
    <cellStyle name="Normal 3 2 3 2 4 3 3 2 2" xfId="58675"/>
    <cellStyle name="Normal 3 2 3 2 4 3 3 3" xfId="52235"/>
    <cellStyle name="Normal 3 2 3 2 4 3 4" xfId="4342"/>
    <cellStyle name="Normal 3 2 3 2 4 3 4 2" xfId="41313"/>
    <cellStyle name="Normal 3 2 3 2 4 3 4 2 2" xfId="56440"/>
    <cellStyle name="Normal 3 2 3 2 4 3 4 3" xfId="49032"/>
    <cellStyle name="Normal 3 2 3 2 4 3 5" xfId="38733"/>
    <cellStyle name="Normal 3 2 3 2 4 3 5 2" xfId="53886"/>
    <cellStyle name="Normal 3 2 3 2 4 3 6" xfId="46401"/>
    <cellStyle name="Normal 3 2 3 2 4 4" xfId="2033"/>
    <cellStyle name="Normal 3 2 3 2 4 4 2" xfId="12839"/>
    <cellStyle name="Normal 3 2 3 2 4 4 2 2" xfId="43975"/>
    <cellStyle name="Normal 3 2 3 2 4 4 2 2 2" xfId="59101"/>
    <cellStyle name="Normal 3 2 3 2 4 4 2 3" xfId="53092"/>
    <cellStyle name="Normal 3 2 3 2 4 4 3" xfId="6379"/>
    <cellStyle name="Normal 3 2 3 2 4 4 3 2" xfId="41739"/>
    <cellStyle name="Normal 3 2 3 2 4 4 3 2 2" xfId="56866"/>
    <cellStyle name="Normal 3 2 3 2 4 4 3 3" xfId="51062"/>
    <cellStyle name="Normal 3 2 3 2 4 4 4" xfId="39459"/>
    <cellStyle name="Normal 3 2 3 2 4 4 4 2" xfId="54587"/>
    <cellStyle name="Normal 3 2 3 2 4 4 5" xfId="47258"/>
    <cellStyle name="Normal 3 2 3 2 4 5" xfId="4768"/>
    <cellStyle name="Normal 3 2 3 2 4 5 2" xfId="42847"/>
    <cellStyle name="Normal 3 2 3 2 4 5 2 2" xfId="57974"/>
    <cellStyle name="Normal 3 2 3 2 4 5 3" xfId="49453"/>
    <cellStyle name="Normal 3 2 3 2 4 6" xfId="11229"/>
    <cellStyle name="Normal 3 2 3 2 4 6 2" xfId="40612"/>
    <cellStyle name="Normal 3 2 3 2 4 6 2 2" xfId="55739"/>
    <cellStyle name="Normal 3 2 3 2 4 6 3" xfId="51483"/>
    <cellStyle name="Normal 3 2 3 2 4 7" xfId="3406"/>
    <cellStyle name="Normal 3 2 3 2 4 7 2" xfId="48100"/>
    <cellStyle name="Normal 3 2 3 2 4 8" xfId="38248"/>
    <cellStyle name="Normal 3 2 3 2 4 8 2" xfId="53448"/>
    <cellStyle name="Normal 3 2 3 2 4 9" xfId="45649"/>
    <cellStyle name="Normal 3 2 3 2 5" xfId="873"/>
    <cellStyle name="Normal 3 2 3 2 5 2" xfId="5222"/>
    <cellStyle name="Normal 3 2 3 2 5 2 2" xfId="40020"/>
    <cellStyle name="Normal 3 2 3 2 5 2 2 2" xfId="44536"/>
    <cellStyle name="Normal 3 2 3 2 5 2 2 2 2" xfId="59662"/>
    <cellStyle name="Normal 3 2 3 2 5 2 2 3" xfId="42300"/>
    <cellStyle name="Normal 3 2 3 2 5 2 2 3 2" xfId="57427"/>
    <cellStyle name="Normal 3 2 3 2 5 2 2 4" xfId="55148"/>
    <cellStyle name="Normal 3 2 3 2 5 2 3" xfId="43666"/>
    <cellStyle name="Normal 3 2 3 2 5 2 3 2" xfId="58792"/>
    <cellStyle name="Normal 3 2 3 2 5 2 4" xfId="41430"/>
    <cellStyle name="Normal 3 2 3 2 5 2 4 2" xfId="56557"/>
    <cellStyle name="Normal 3 2 3 2 5 2 5" xfId="38877"/>
    <cellStyle name="Normal 3 2 3 2 5 2 5 2" xfId="54009"/>
    <cellStyle name="Normal 3 2 3 2 5 2 6" xfId="49907"/>
    <cellStyle name="Normal 3 2 3 2 5 3" xfId="11683"/>
    <cellStyle name="Normal 3 2 3 2 5 3 2" xfId="44059"/>
    <cellStyle name="Normal 3 2 3 2 5 3 2 2" xfId="59185"/>
    <cellStyle name="Normal 3 2 3 2 5 3 3" xfId="41823"/>
    <cellStyle name="Normal 3 2 3 2 5 3 3 2" xfId="56950"/>
    <cellStyle name="Normal 3 2 3 2 5 3 4" xfId="39543"/>
    <cellStyle name="Normal 3 2 3 2 5 3 4 2" xfId="54671"/>
    <cellStyle name="Normal 3 2 3 2 5 3 5" xfId="51937"/>
    <cellStyle name="Normal 3 2 3 2 5 4" xfId="3108"/>
    <cellStyle name="Normal 3 2 3 2 5 4 2" xfId="42970"/>
    <cellStyle name="Normal 3 2 3 2 5 4 2 2" xfId="58096"/>
    <cellStyle name="Normal 3 2 3 2 5 4 3" xfId="47802"/>
    <cellStyle name="Normal 3 2 3 2 5 5" xfId="40734"/>
    <cellStyle name="Normal 3 2 3 2 5 5 2" xfId="55861"/>
    <cellStyle name="Normal 3 2 3 2 5 6" xfId="38373"/>
    <cellStyle name="Normal 3 2 3 2 5 6 2" xfId="53532"/>
    <cellStyle name="Normal 3 2 3 2 5 7" xfId="46103"/>
    <cellStyle name="Normal 3 2 3 2 6" xfId="750"/>
    <cellStyle name="Normal 3 2 3 2 6 2" xfId="5099"/>
    <cellStyle name="Normal 3 2 3 2 6 2 2" xfId="44185"/>
    <cellStyle name="Normal 3 2 3 2 6 2 2 2" xfId="59311"/>
    <cellStyle name="Normal 3 2 3 2 6 2 3" xfId="41949"/>
    <cellStyle name="Normal 3 2 3 2 6 2 3 2" xfId="57076"/>
    <cellStyle name="Normal 3 2 3 2 6 2 4" xfId="39669"/>
    <cellStyle name="Normal 3 2 3 2 6 2 4 2" xfId="54797"/>
    <cellStyle name="Normal 3 2 3 2 6 2 5" xfId="49784"/>
    <cellStyle name="Normal 3 2 3 2 6 3" xfId="11560"/>
    <cellStyle name="Normal 3 2 3 2 6 3 2" xfId="43321"/>
    <cellStyle name="Normal 3 2 3 2 6 3 2 2" xfId="58447"/>
    <cellStyle name="Normal 3 2 3 2 6 3 3" xfId="51814"/>
    <cellStyle name="Normal 3 2 3 2 6 4" xfId="2985"/>
    <cellStyle name="Normal 3 2 3 2 6 4 2" xfId="41085"/>
    <cellStyle name="Normal 3 2 3 2 6 4 2 2" xfId="56212"/>
    <cellStyle name="Normal 3 2 3 2 6 4 3" xfId="47679"/>
    <cellStyle name="Normal 3 2 3 2 6 5" xfId="38503"/>
    <cellStyle name="Normal 3 2 3 2 6 5 2" xfId="53658"/>
    <cellStyle name="Normal 3 2 3 2 6 6" xfId="45980"/>
    <cellStyle name="Normal 3 2 3 2 7" xfId="540"/>
    <cellStyle name="Normal 3 2 3 2 7 2" xfId="4889"/>
    <cellStyle name="Normal 3 2 3 2 7 2 2" xfId="43747"/>
    <cellStyle name="Normal 3 2 3 2 7 2 2 2" xfId="58873"/>
    <cellStyle name="Normal 3 2 3 2 7 2 3" xfId="49574"/>
    <cellStyle name="Normal 3 2 3 2 7 3" xfId="11350"/>
    <cellStyle name="Normal 3 2 3 2 7 3 2" xfId="41511"/>
    <cellStyle name="Normal 3 2 3 2 7 3 2 2" xfId="56638"/>
    <cellStyle name="Normal 3 2 3 2 7 3 3" xfId="51604"/>
    <cellStyle name="Normal 3 2 3 2 7 4" xfId="3498"/>
    <cellStyle name="Normal 3 2 3 2 7 4 2" xfId="48192"/>
    <cellStyle name="Normal 3 2 3 2 7 5" xfId="39231"/>
    <cellStyle name="Normal 3 2 3 2 7 5 2" xfId="54359"/>
    <cellStyle name="Normal 3 2 3 2 7 6" xfId="45770"/>
    <cellStyle name="Normal 3 2 3 2 8" xfId="1801"/>
    <cellStyle name="Normal 3 2 3 2 8 2" xfId="12610"/>
    <cellStyle name="Normal 3 2 3 2 8 2 2" xfId="52864"/>
    <cellStyle name="Normal 3 2 3 2 8 3" xfId="6149"/>
    <cellStyle name="Normal 3 2 3 2 8 3 2" xfId="50834"/>
    <cellStyle name="Normal 3 2 3 2 8 4" xfId="42619"/>
    <cellStyle name="Normal 3 2 3 2 8 4 2" xfId="57746"/>
    <cellStyle name="Normal 3 2 3 2 8 5" xfId="47030"/>
    <cellStyle name="Normal 3 2 3 2 9" xfId="2615"/>
    <cellStyle name="Normal 3 2 3 2 9 2" xfId="4465"/>
    <cellStyle name="Normal 3 2 3 2 9 2 2" xfId="49155"/>
    <cellStyle name="Normal 3 2 3 2 9 3" xfId="40384"/>
    <cellStyle name="Normal 3 2 3 2 9 3 2" xfId="55511"/>
    <cellStyle name="Normal 3 2 3 2 9 4" xfId="47347"/>
    <cellStyle name="Normal 3 2 3 3" xfId="106"/>
    <cellStyle name="Normal 3 2 3 3 10" xfId="38019"/>
    <cellStyle name="Normal 3 2 3 3 10 2" xfId="53219"/>
    <cellStyle name="Normal 3 2 3 3 11" xfId="45350"/>
    <cellStyle name="Normal 3 2 3 3 2" xfId="418"/>
    <cellStyle name="Normal 3 2 3 3 2 2" xfId="1424"/>
    <cellStyle name="Normal 3 2 3 3 2 2 2" xfId="5773"/>
    <cellStyle name="Normal 3 2 3 3 2 2 2 2" xfId="44535"/>
    <cellStyle name="Normal 3 2 3 3 2 2 2 2 2" xfId="59661"/>
    <cellStyle name="Normal 3 2 3 3 2 2 2 3" xfId="50458"/>
    <cellStyle name="Normal 3 2 3 3 2 2 3" xfId="12234"/>
    <cellStyle name="Normal 3 2 3 3 2 2 3 2" xfId="42299"/>
    <cellStyle name="Normal 3 2 3 3 2 2 3 2 2" xfId="57426"/>
    <cellStyle name="Normal 3 2 3 3 2 2 3 3" xfId="52488"/>
    <cellStyle name="Normal 3 2 3 3 2 2 4" xfId="3707"/>
    <cellStyle name="Normal 3 2 3 3 2 2 4 2" xfId="48400"/>
    <cellStyle name="Normal 3 2 3 3 2 2 5" xfId="40019"/>
    <cellStyle name="Normal 3 2 3 3 2 2 5 2" xfId="55147"/>
    <cellStyle name="Normal 3 2 3 3 2 2 6" xfId="46654"/>
    <cellStyle name="Normal 3 2 3 3 2 3" xfId="1683"/>
    <cellStyle name="Normal 3 2 3 3 2 3 2" xfId="6032"/>
    <cellStyle name="Normal 3 2 3 3 2 3 2 2" xfId="50717"/>
    <cellStyle name="Normal 3 2 3 3 2 3 3" xfId="12493"/>
    <cellStyle name="Normal 3 2 3 3 2 3 3 2" xfId="52747"/>
    <cellStyle name="Normal 3 2 3 3 2 3 4" xfId="3982"/>
    <cellStyle name="Normal 3 2 3 3 2 3 4 2" xfId="48675"/>
    <cellStyle name="Normal 3 2 3 3 2 3 5" xfId="42969"/>
    <cellStyle name="Normal 3 2 3 3 2 3 5 2" xfId="58095"/>
    <cellStyle name="Normal 3 2 3 3 2 3 6" xfId="46913"/>
    <cellStyle name="Normal 3 2 3 3 2 4" xfId="1170"/>
    <cellStyle name="Normal 3 2 3 3 2 4 2" xfId="5519"/>
    <cellStyle name="Normal 3 2 3 3 2 4 2 2" xfId="50204"/>
    <cellStyle name="Normal 3 2 3 3 2 4 3" xfId="11980"/>
    <cellStyle name="Normal 3 2 3 3 2 4 3 2" xfId="52234"/>
    <cellStyle name="Normal 3 2 3 3 2 4 4" xfId="4341"/>
    <cellStyle name="Normal 3 2 3 3 2 4 4 2" xfId="49031"/>
    <cellStyle name="Normal 3 2 3 3 2 4 5" xfId="40733"/>
    <cellStyle name="Normal 3 2 3 3 2 4 5 2" xfId="55860"/>
    <cellStyle name="Normal 3 2 3 3 2 4 6" xfId="46400"/>
    <cellStyle name="Normal 3 2 3 3 2 5" xfId="4767"/>
    <cellStyle name="Normal 3 2 3 3 2 5 2" xfId="49452"/>
    <cellStyle name="Normal 3 2 3 3 2 6" xfId="11228"/>
    <cellStyle name="Normal 3 2 3 3 2 6 2" xfId="51482"/>
    <cellStyle name="Normal 3 2 3 3 2 7" xfId="3405"/>
    <cellStyle name="Normal 3 2 3 3 2 7 2" xfId="48099"/>
    <cellStyle name="Normal 3 2 3 3 2 8" xfId="38876"/>
    <cellStyle name="Normal 3 2 3 3 2 8 2" xfId="54008"/>
    <cellStyle name="Normal 3 2 3 3 2 9" xfId="45648"/>
    <cellStyle name="Normal 3 2 3 3 3" xfId="872"/>
    <cellStyle name="Normal 3 2 3 3 3 2" xfId="5221"/>
    <cellStyle name="Normal 3 2 3 3 3 2 2" xfId="44184"/>
    <cellStyle name="Normal 3 2 3 3 3 2 2 2" xfId="59310"/>
    <cellStyle name="Normal 3 2 3 3 3 2 3" xfId="41948"/>
    <cellStyle name="Normal 3 2 3 3 3 2 3 2" xfId="57075"/>
    <cellStyle name="Normal 3 2 3 3 3 2 4" xfId="39668"/>
    <cellStyle name="Normal 3 2 3 3 3 2 4 2" xfId="54796"/>
    <cellStyle name="Normal 3 2 3 3 3 2 5" xfId="49906"/>
    <cellStyle name="Normal 3 2 3 3 3 3" xfId="11682"/>
    <cellStyle name="Normal 3 2 3 3 3 3 2" xfId="43320"/>
    <cellStyle name="Normal 3 2 3 3 3 3 2 2" xfId="58446"/>
    <cellStyle name="Normal 3 2 3 3 3 3 3" xfId="51936"/>
    <cellStyle name="Normal 3 2 3 3 3 4" xfId="3107"/>
    <cellStyle name="Normal 3 2 3 3 3 4 2" xfId="41084"/>
    <cellStyle name="Normal 3 2 3 3 3 4 2 2" xfId="56211"/>
    <cellStyle name="Normal 3 2 3 3 3 4 3" xfId="47801"/>
    <cellStyle name="Normal 3 2 3 3 3 5" xfId="38502"/>
    <cellStyle name="Normal 3 2 3 3 3 5 2" xfId="53657"/>
    <cellStyle name="Normal 3 2 3 3 3 6" xfId="46102"/>
    <cellStyle name="Normal 3 2 3 3 4" xfId="749"/>
    <cellStyle name="Normal 3 2 3 3 4 2" xfId="5098"/>
    <cellStyle name="Normal 3 2 3 3 4 2 2" xfId="43746"/>
    <cellStyle name="Normal 3 2 3 3 4 2 2 2" xfId="58872"/>
    <cellStyle name="Normal 3 2 3 3 4 2 3" xfId="49783"/>
    <cellStyle name="Normal 3 2 3 3 4 3" xfId="11559"/>
    <cellStyle name="Normal 3 2 3 3 4 3 2" xfId="41510"/>
    <cellStyle name="Normal 3 2 3 3 4 3 2 2" xfId="56637"/>
    <cellStyle name="Normal 3 2 3 3 4 3 3" xfId="51813"/>
    <cellStyle name="Normal 3 2 3 3 4 4" xfId="2984"/>
    <cellStyle name="Normal 3 2 3 3 4 4 2" xfId="47678"/>
    <cellStyle name="Normal 3 2 3 3 4 5" xfId="39230"/>
    <cellStyle name="Normal 3 2 3 3 4 5 2" xfId="54358"/>
    <cellStyle name="Normal 3 2 3 3 4 6" xfId="45979"/>
    <cellStyle name="Normal 3 2 3 3 5" xfId="539"/>
    <cellStyle name="Normal 3 2 3 3 5 2" xfId="4888"/>
    <cellStyle name="Normal 3 2 3 3 5 2 2" xfId="49573"/>
    <cellStyle name="Normal 3 2 3 3 5 3" xfId="11349"/>
    <cellStyle name="Normal 3 2 3 3 5 3 2" xfId="51603"/>
    <cellStyle name="Normal 3 2 3 3 5 4" xfId="3516"/>
    <cellStyle name="Normal 3 2 3 3 5 4 2" xfId="48209"/>
    <cellStyle name="Normal 3 2 3 3 5 5" xfId="42618"/>
    <cellStyle name="Normal 3 2 3 3 5 5 2" xfId="57745"/>
    <cellStyle name="Normal 3 2 3 3 5 6" xfId="45769"/>
    <cellStyle name="Normal 3 2 3 3 6" xfId="1800"/>
    <cellStyle name="Normal 3 2 3 3 6 2" xfId="12609"/>
    <cellStyle name="Normal 3 2 3 3 6 2 2" xfId="52863"/>
    <cellStyle name="Normal 3 2 3 3 6 3" xfId="6148"/>
    <cellStyle name="Normal 3 2 3 3 6 3 2" xfId="50833"/>
    <cellStyle name="Normal 3 2 3 3 6 4" xfId="40383"/>
    <cellStyle name="Normal 3 2 3 3 6 4 2" xfId="55510"/>
    <cellStyle name="Normal 3 2 3 3 6 5" xfId="47029"/>
    <cellStyle name="Normal 3 2 3 3 7" xfId="4464"/>
    <cellStyle name="Normal 3 2 3 3 7 2" xfId="49154"/>
    <cellStyle name="Normal 3 2 3 3 8" xfId="10930"/>
    <cellStyle name="Normal 3 2 3 3 8 2" xfId="51184"/>
    <cellStyle name="Normal 3 2 3 3 9" xfId="2767"/>
    <cellStyle name="Normal 3 2 3 3 9 2" xfId="47467"/>
    <cellStyle name="Normal 3 2 3 4" xfId="206"/>
    <cellStyle name="Normal 3 2 3 4 10" xfId="38095"/>
    <cellStyle name="Normal 3 2 3 4 10 2" xfId="53295"/>
    <cellStyle name="Normal 3 2 3 4 11" xfId="45438"/>
    <cellStyle name="Normal 3 2 3 4 2" xfId="960"/>
    <cellStyle name="Normal 3 2 3 4 2 2" xfId="5309"/>
    <cellStyle name="Normal 3 2 3 4 2 2 2" xfId="44611"/>
    <cellStyle name="Normal 3 2 3 4 2 2 2 2" xfId="59737"/>
    <cellStyle name="Normal 3 2 3 4 2 2 3" xfId="42375"/>
    <cellStyle name="Normal 3 2 3 4 2 2 3 2" xfId="57502"/>
    <cellStyle name="Normal 3 2 3 4 2 2 4" xfId="40095"/>
    <cellStyle name="Normal 3 2 3 4 2 2 4 2" xfId="55223"/>
    <cellStyle name="Normal 3 2 3 4 2 2 5" xfId="49994"/>
    <cellStyle name="Normal 3 2 3 4 2 3" xfId="11770"/>
    <cellStyle name="Normal 3 2 3 4 2 3 2" xfId="43045"/>
    <cellStyle name="Normal 3 2 3 4 2 3 2 2" xfId="58171"/>
    <cellStyle name="Normal 3 2 3 4 2 3 3" xfId="52024"/>
    <cellStyle name="Normal 3 2 3 4 2 4" xfId="3195"/>
    <cellStyle name="Normal 3 2 3 4 2 4 2" xfId="40809"/>
    <cellStyle name="Normal 3 2 3 4 2 4 2 2" xfId="55936"/>
    <cellStyle name="Normal 3 2 3 4 2 4 3" xfId="47889"/>
    <cellStyle name="Normal 3 2 3 4 2 5" xfId="38953"/>
    <cellStyle name="Normal 3 2 3 4 2 5 2" xfId="54084"/>
    <cellStyle name="Normal 3 2 3 4 2 6" xfId="46190"/>
    <cellStyle name="Normal 3 2 3 4 3" xfId="1262"/>
    <cellStyle name="Normal 3 2 3 4 3 2" xfId="5611"/>
    <cellStyle name="Normal 3 2 3 4 3 2 2" xfId="44260"/>
    <cellStyle name="Normal 3 2 3 4 3 2 2 2" xfId="59386"/>
    <cellStyle name="Normal 3 2 3 4 3 2 3" xfId="42024"/>
    <cellStyle name="Normal 3 2 3 4 3 2 3 2" xfId="57151"/>
    <cellStyle name="Normal 3 2 3 4 3 2 4" xfId="39744"/>
    <cellStyle name="Normal 3 2 3 4 3 2 4 2" xfId="54872"/>
    <cellStyle name="Normal 3 2 3 4 3 2 5" xfId="50296"/>
    <cellStyle name="Normal 3 2 3 4 3 3" xfId="12072"/>
    <cellStyle name="Normal 3 2 3 4 3 3 2" xfId="43396"/>
    <cellStyle name="Normal 3 2 3 4 3 3 2 2" xfId="58522"/>
    <cellStyle name="Normal 3 2 3 4 3 3 3" xfId="52326"/>
    <cellStyle name="Normal 3 2 3 4 3 4" xfId="3545"/>
    <cellStyle name="Normal 3 2 3 4 3 4 2" xfId="41160"/>
    <cellStyle name="Normal 3 2 3 4 3 4 2 2" xfId="56287"/>
    <cellStyle name="Normal 3 2 3 4 3 4 3" xfId="48238"/>
    <cellStyle name="Normal 3 2 3 4 3 5" xfId="38580"/>
    <cellStyle name="Normal 3 2 3 4 3 5 2" xfId="53733"/>
    <cellStyle name="Normal 3 2 3 4 3 6" xfId="46492"/>
    <cellStyle name="Normal 3 2 3 4 4" xfId="1473"/>
    <cellStyle name="Normal 3 2 3 4 4 2" xfId="5822"/>
    <cellStyle name="Normal 3 2 3 4 4 2 2" xfId="43822"/>
    <cellStyle name="Normal 3 2 3 4 4 2 2 2" xfId="58948"/>
    <cellStyle name="Normal 3 2 3 4 4 2 3" xfId="50507"/>
    <cellStyle name="Normal 3 2 3 4 4 3" xfId="12283"/>
    <cellStyle name="Normal 3 2 3 4 4 3 2" xfId="41586"/>
    <cellStyle name="Normal 3 2 3 4 4 3 2 2" xfId="56713"/>
    <cellStyle name="Normal 3 2 3 4 4 3 3" xfId="52537"/>
    <cellStyle name="Normal 3 2 3 4 4 4" xfId="3772"/>
    <cellStyle name="Normal 3 2 3 4 4 4 2" xfId="48465"/>
    <cellStyle name="Normal 3 2 3 4 4 5" xfId="39306"/>
    <cellStyle name="Normal 3 2 3 4 4 5 2" xfId="54434"/>
    <cellStyle name="Normal 3 2 3 4 4 6" xfId="46703"/>
    <cellStyle name="Normal 3 2 3 4 5" xfId="628"/>
    <cellStyle name="Normal 3 2 3 4 5 2" xfId="4977"/>
    <cellStyle name="Normal 3 2 3 4 5 2 2" xfId="49662"/>
    <cellStyle name="Normal 3 2 3 4 5 3" xfId="11438"/>
    <cellStyle name="Normal 3 2 3 4 5 3 2" xfId="51692"/>
    <cellStyle name="Normal 3 2 3 4 5 4" xfId="4131"/>
    <cellStyle name="Normal 3 2 3 4 5 4 2" xfId="48821"/>
    <cellStyle name="Normal 3 2 3 4 5 5" xfId="42694"/>
    <cellStyle name="Normal 3 2 3 4 5 5 2" xfId="57821"/>
    <cellStyle name="Normal 3 2 3 4 5 6" xfId="45858"/>
    <cellStyle name="Normal 3 2 3 4 6" xfId="1879"/>
    <cellStyle name="Normal 3 2 3 4 6 2" xfId="12686"/>
    <cellStyle name="Normal 3 2 3 4 6 2 2" xfId="52939"/>
    <cellStyle name="Normal 3 2 3 4 6 3" xfId="6226"/>
    <cellStyle name="Normal 3 2 3 4 6 3 2" xfId="50909"/>
    <cellStyle name="Normal 3 2 3 4 6 4" xfId="40459"/>
    <cellStyle name="Normal 3 2 3 4 6 4 2" xfId="55586"/>
    <cellStyle name="Normal 3 2 3 4 6 5" xfId="47105"/>
    <cellStyle name="Normal 3 2 3 4 7" xfId="4555"/>
    <cellStyle name="Normal 3 2 3 4 7 2" xfId="49242"/>
    <cellStyle name="Normal 3 2 3 4 8" xfId="11018"/>
    <cellStyle name="Normal 3 2 3 4 8 2" xfId="51272"/>
    <cellStyle name="Normal 3 2 3 4 9" xfId="2862"/>
    <cellStyle name="Normal 3 2 3 4 9 2" xfId="47556"/>
    <cellStyle name="Normal 3 2 3 5" xfId="297"/>
    <cellStyle name="Normal 3 2 3 5 10" xfId="45527"/>
    <cellStyle name="Normal 3 2 3 5 2" xfId="1351"/>
    <cellStyle name="Normal 3 2 3 5 2 2" xfId="5700"/>
    <cellStyle name="Normal 3 2 3 5 2 2 2" xfId="44687"/>
    <cellStyle name="Normal 3 2 3 5 2 2 2 2" xfId="59813"/>
    <cellStyle name="Normal 3 2 3 5 2 2 3" xfId="42451"/>
    <cellStyle name="Normal 3 2 3 5 2 2 3 2" xfId="57578"/>
    <cellStyle name="Normal 3 2 3 5 2 2 4" xfId="40171"/>
    <cellStyle name="Normal 3 2 3 5 2 2 4 2" xfId="55299"/>
    <cellStyle name="Normal 3 2 3 5 2 2 5" xfId="50385"/>
    <cellStyle name="Normal 3 2 3 5 2 3" xfId="12161"/>
    <cellStyle name="Normal 3 2 3 5 2 3 2" xfId="43121"/>
    <cellStyle name="Normal 3 2 3 5 2 3 2 2" xfId="58247"/>
    <cellStyle name="Normal 3 2 3 5 2 3 3" xfId="52415"/>
    <cellStyle name="Normal 3 2 3 5 2 4" xfId="3634"/>
    <cellStyle name="Normal 3 2 3 5 2 4 2" xfId="40885"/>
    <cellStyle name="Normal 3 2 3 5 2 4 2 2" xfId="56012"/>
    <cellStyle name="Normal 3 2 3 5 2 4 3" xfId="48327"/>
    <cellStyle name="Normal 3 2 3 5 2 5" xfId="39029"/>
    <cellStyle name="Normal 3 2 3 5 2 5 2" xfId="54160"/>
    <cellStyle name="Normal 3 2 3 5 2 6" xfId="46581"/>
    <cellStyle name="Normal 3 2 3 5 3" xfId="1562"/>
    <cellStyle name="Normal 3 2 3 5 3 2" xfId="5911"/>
    <cellStyle name="Normal 3 2 3 5 3 2 2" xfId="44336"/>
    <cellStyle name="Normal 3 2 3 5 3 2 2 2" xfId="59462"/>
    <cellStyle name="Normal 3 2 3 5 3 2 3" xfId="42100"/>
    <cellStyle name="Normal 3 2 3 5 3 2 3 2" xfId="57227"/>
    <cellStyle name="Normal 3 2 3 5 3 2 4" xfId="39820"/>
    <cellStyle name="Normal 3 2 3 5 3 2 4 2" xfId="54948"/>
    <cellStyle name="Normal 3 2 3 5 3 2 5" xfId="50596"/>
    <cellStyle name="Normal 3 2 3 5 3 3" xfId="12372"/>
    <cellStyle name="Normal 3 2 3 5 3 3 2" xfId="43472"/>
    <cellStyle name="Normal 3 2 3 5 3 3 2 2" xfId="58598"/>
    <cellStyle name="Normal 3 2 3 5 3 3 3" xfId="52626"/>
    <cellStyle name="Normal 3 2 3 5 3 4" xfId="3861"/>
    <cellStyle name="Normal 3 2 3 5 3 4 2" xfId="41236"/>
    <cellStyle name="Normal 3 2 3 5 3 4 2 2" xfId="56363"/>
    <cellStyle name="Normal 3 2 3 5 3 4 3" xfId="48554"/>
    <cellStyle name="Normal 3 2 3 5 3 5" xfId="38656"/>
    <cellStyle name="Normal 3 2 3 5 3 5 2" xfId="53809"/>
    <cellStyle name="Normal 3 2 3 5 3 6" xfId="46792"/>
    <cellStyle name="Normal 3 2 3 5 4" xfId="1049"/>
    <cellStyle name="Normal 3 2 3 5 4 2" xfId="5398"/>
    <cellStyle name="Normal 3 2 3 5 4 2 2" xfId="43898"/>
    <cellStyle name="Normal 3 2 3 5 4 2 2 2" xfId="59024"/>
    <cellStyle name="Normal 3 2 3 5 4 2 3" xfId="50083"/>
    <cellStyle name="Normal 3 2 3 5 4 3" xfId="11859"/>
    <cellStyle name="Normal 3 2 3 5 4 3 2" xfId="41662"/>
    <cellStyle name="Normal 3 2 3 5 4 3 2 2" xfId="56789"/>
    <cellStyle name="Normal 3 2 3 5 4 3 3" xfId="52113"/>
    <cellStyle name="Normal 3 2 3 5 4 4" xfId="4220"/>
    <cellStyle name="Normal 3 2 3 5 4 4 2" xfId="48910"/>
    <cellStyle name="Normal 3 2 3 5 4 5" xfId="39382"/>
    <cellStyle name="Normal 3 2 3 5 4 5 2" xfId="54510"/>
    <cellStyle name="Normal 3 2 3 5 4 6" xfId="46279"/>
    <cellStyle name="Normal 3 2 3 5 5" xfId="1955"/>
    <cellStyle name="Normal 3 2 3 5 5 2" xfId="12762"/>
    <cellStyle name="Normal 3 2 3 5 5 2 2" xfId="53015"/>
    <cellStyle name="Normal 3 2 3 5 5 3" xfId="6302"/>
    <cellStyle name="Normal 3 2 3 5 5 3 2" xfId="50985"/>
    <cellStyle name="Normal 3 2 3 5 5 4" xfId="42770"/>
    <cellStyle name="Normal 3 2 3 5 5 4 2" xfId="57897"/>
    <cellStyle name="Normal 3 2 3 5 5 5" xfId="47181"/>
    <cellStyle name="Normal 3 2 3 5 6" xfId="4646"/>
    <cellStyle name="Normal 3 2 3 5 6 2" xfId="40535"/>
    <cellStyle name="Normal 3 2 3 5 6 2 2" xfId="55662"/>
    <cellStyle name="Normal 3 2 3 5 6 3" xfId="49331"/>
    <cellStyle name="Normal 3 2 3 5 7" xfId="11107"/>
    <cellStyle name="Normal 3 2 3 5 7 2" xfId="51361"/>
    <cellStyle name="Normal 3 2 3 5 8" xfId="3284"/>
    <cellStyle name="Normal 3 2 3 5 8 2" xfId="47978"/>
    <cellStyle name="Normal 3 2 3 5 9" xfId="38171"/>
    <cellStyle name="Normal 3 2 3 5 9 2" xfId="53371"/>
    <cellStyle name="Normal 3 2 3 6" xfId="388"/>
    <cellStyle name="Normal 3 2 3 6 2" xfId="1653"/>
    <cellStyle name="Normal 3 2 3 6 2 2" xfId="6002"/>
    <cellStyle name="Normal 3 2 3 6 2 2 2" xfId="44763"/>
    <cellStyle name="Normal 3 2 3 6 2 2 2 2" xfId="59889"/>
    <cellStyle name="Normal 3 2 3 6 2 2 3" xfId="42527"/>
    <cellStyle name="Normal 3 2 3 6 2 2 3 2" xfId="57654"/>
    <cellStyle name="Normal 3 2 3 6 2 2 4" xfId="40247"/>
    <cellStyle name="Normal 3 2 3 6 2 2 4 2" xfId="55375"/>
    <cellStyle name="Normal 3 2 3 6 2 2 5" xfId="50687"/>
    <cellStyle name="Normal 3 2 3 6 2 3" xfId="12463"/>
    <cellStyle name="Normal 3 2 3 6 2 3 2" xfId="43197"/>
    <cellStyle name="Normal 3 2 3 6 2 3 2 2" xfId="58323"/>
    <cellStyle name="Normal 3 2 3 6 2 3 3" xfId="52717"/>
    <cellStyle name="Normal 3 2 3 6 2 4" xfId="3952"/>
    <cellStyle name="Normal 3 2 3 6 2 4 2" xfId="40961"/>
    <cellStyle name="Normal 3 2 3 6 2 4 2 2" xfId="56088"/>
    <cellStyle name="Normal 3 2 3 6 2 4 3" xfId="48645"/>
    <cellStyle name="Normal 3 2 3 6 2 5" xfId="39105"/>
    <cellStyle name="Normal 3 2 3 6 2 5 2" xfId="54236"/>
    <cellStyle name="Normal 3 2 3 6 2 6" xfId="46883"/>
    <cellStyle name="Normal 3 2 3 6 3" xfId="1140"/>
    <cellStyle name="Normal 3 2 3 6 3 2" xfId="5489"/>
    <cellStyle name="Normal 3 2 3 6 3 2 2" xfId="44412"/>
    <cellStyle name="Normal 3 2 3 6 3 2 2 2" xfId="59538"/>
    <cellStyle name="Normal 3 2 3 6 3 2 3" xfId="42176"/>
    <cellStyle name="Normal 3 2 3 6 3 2 3 2" xfId="57303"/>
    <cellStyle name="Normal 3 2 3 6 3 2 4" xfId="39896"/>
    <cellStyle name="Normal 3 2 3 6 3 2 4 2" xfId="55024"/>
    <cellStyle name="Normal 3 2 3 6 3 2 5" xfId="50174"/>
    <cellStyle name="Normal 3 2 3 6 3 3" xfId="11950"/>
    <cellStyle name="Normal 3 2 3 6 3 3 2" xfId="43548"/>
    <cellStyle name="Normal 3 2 3 6 3 3 2 2" xfId="58674"/>
    <cellStyle name="Normal 3 2 3 6 3 3 3" xfId="52204"/>
    <cellStyle name="Normal 3 2 3 6 3 4" xfId="4311"/>
    <cellStyle name="Normal 3 2 3 6 3 4 2" xfId="41312"/>
    <cellStyle name="Normal 3 2 3 6 3 4 2 2" xfId="56439"/>
    <cellStyle name="Normal 3 2 3 6 3 4 3" xfId="49001"/>
    <cellStyle name="Normal 3 2 3 6 3 5" xfId="38732"/>
    <cellStyle name="Normal 3 2 3 6 3 5 2" xfId="53885"/>
    <cellStyle name="Normal 3 2 3 6 3 6" xfId="46370"/>
    <cellStyle name="Normal 3 2 3 6 4" xfId="2032"/>
    <cellStyle name="Normal 3 2 3 6 4 2" xfId="12838"/>
    <cellStyle name="Normal 3 2 3 6 4 2 2" xfId="43974"/>
    <cellStyle name="Normal 3 2 3 6 4 2 2 2" xfId="59100"/>
    <cellStyle name="Normal 3 2 3 6 4 2 3" xfId="53091"/>
    <cellStyle name="Normal 3 2 3 6 4 3" xfId="6378"/>
    <cellStyle name="Normal 3 2 3 6 4 3 2" xfId="41738"/>
    <cellStyle name="Normal 3 2 3 6 4 3 2 2" xfId="56865"/>
    <cellStyle name="Normal 3 2 3 6 4 3 3" xfId="51061"/>
    <cellStyle name="Normal 3 2 3 6 4 4" xfId="39458"/>
    <cellStyle name="Normal 3 2 3 6 4 4 2" xfId="54586"/>
    <cellStyle name="Normal 3 2 3 6 4 5" xfId="47257"/>
    <cellStyle name="Normal 3 2 3 6 5" xfId="4737"/>
    <cellStyle name="Normal 3 2 3 6 5 2" xfId="42846"/>
    <cellStyle name="Normal 3 2 3 6 5 2 2" xfId="57973"/>
    <cellStyle name="Normal 3 2 3 6 5 3" xfId="49422"/>
    <cellStyle name="Normal 3 2 3 6 6" xfId="11198"/>
    <cellStyle name="Normal 3 2 3 6 6 2" xfId="40611"/>
    <cellStyle name="Normal 3 2 3 6 6 2 2" xfId="55738"/>
    <cellStyle name="Normal 3 2 3 6 6 3" xfId="51452"/>
    <cellStyle name="Normal 3 2 3 6 7" xfId="3375"/>
    <cellStyle name="Normal 3 2 3 6 7 2" xfId="48069"/>
    <cellStyle name="Normal 3 2 3 6 8" xfId="38247"/>
    <cellStyle name="Normal 3 2 3 6 8 2" xfId="53447"/>
    <cellStyle name="Normal 3 2 3 6 9" xfId="45618"/>
    <cellStyle name="Normal 3 2 3 7" xfId="840"/>
    <cellStyle name="Normal 3 2 3 7 2" xfId="5189"/>
    <cellStyle name="Normal 3 2 3 7 2 2" xfId="39998"/>
    <cellStyle name="Normal 3 2 3 7 2 2 2" xfId="44514"/>
    <cellStyle name="Normal 3 2 3 7 2 2 2 2" xfId="59640"/>
    <cellStyle name="Normal 3 2 3 7 2 2 3" xfId="42278"/>
    <cellStyle name="Normal 3 2 3 7 2 2 3 2" xfId="57405"/>
    <cellStyle name="Normal 3 2 3 7 2 2 4" xfId="55126"/>
    <cellStyle name="Normal 3 2 3 7 2 3" xfId="43649"/>
    <cellStyle name="Normal 3 2 3 7 2 3 2" xfId="58775"/>
    <cellStyle name="Normal 3 2 3 7 2 4" xfId="41413"/>
    <cellStyle name="Normal 3 2 3 7 2 4 2" xfId="56540"/>
    <cellStyle name="Normal 3 2 3 7 2 5" xfId="38855"/>
    <cellStyle name="Normal 3 2 3 7 2 5 2" xfId="53987"/>
    <cellStyle name="Normal 3 2 3 7 2 6" xfId="49874"/>
    <cellStyle name="Normal 3 2 3 7 3" xfId="11650"/>
    <cellStyle name="Normal 3 2 3 7 3 2" xfId="44058"/>
    <cellStyle name="Normal 3 2 3 7 3 2 2" xfId="59184"/>
    <cellStyle name="Normal 3 2 3 7 3 3" xfId="41822"/>
    <cellStyle name="Normal 3 2 3 7 3 3 2" xfId="56949"/>
    <cellStyle name="Normal 3 2 3 7 3 4" xfId="39542"/>
    <cellStyle name="Normal 3 2 3 7 3 4 2" xfId="54670"/>
    <cellStyle name="Normal 3 2 3 7 3 5" xfId="51904"/>
    <cellStyle name="Normal 3 2 3 7 4" xfId="3075"/>
    <cellStyle name="Normal 3 2 3 7 4 2" xfId="42948"/>
    <cellStyle name="Normal 3 2 3 7 4 2 2" xfId="58074"/>
    <cellStyle name="Normal 3 2 3 7 4 3" xfId="47769"/>
    <cellStyle name="Normal 3 2 3 7 5" xfId="40712"/>
    <cellStyle name="Normal 3 2 3 7 5 2" xfId="55839"/>
    <cellStyle name="Normal 3 2 3 7 6" xfId="38372"/>
    <cellStyle name="Normal 3 2 3 7 6 2" xfId="53531"/>
    <cellStyle name="Normal 3 2 3 7 7" xfId="46070"/>
    <cellStyle name="Normal 3 2 3 8" xfId="719"/>
    <cellStyle name="Normal 3 2 3 8 2" xfId="5068"/>
    <cellStyle name="Normal 3 2 3 8 2 2" xfId="44163"/>
    <cellStyle name="Normal 3 2 3 8 2 2 2" xfId="59289"/>
    <cellStyle name="Normal 3 2 3 8 2 3" xfId="41927"/>
    <cellStyle name="Normal 3 2 3 8 2 3 2" xfId="57054"/>
    <cellStyle name="Normal 3 2 3 8 2 4" xfId="39647"/>
    <cellStyle name="Normal 3 2 3 8 2 4 2" xfId="54775"/>
    <cellStyle name="Normal 3 2 3 8 2 5" xfId="49753"/>
    <cellStyle name="Normal 3 2 3 8 3" xfId="11529"/>
    <cellStyle name="Normal 3 2 3 8 3 2" xfId="43299"/>
    <cellStyle name="Normal 3 2 3 8 3 2 2" xfId="58425"/>
    <cellStyle name="Normal 3 2 3 8 3 3" xfId="51783"/>
    <cellStyle name="Normal 3 2 3 8 4" xfId="2953"/>
    <cellStyle name="Normal 3 2 3 8 4 2" xfId="41063"/>
    <cellStyle name="Normal 3 2 3 8 4 2 2" xfId="56190"/>
    <cellStyle name="Normal 3 2 3 8 4 3" xfId="47647"/>
    <cellStyle name="Normal 3 2 3 8 5" xfId="38480"/>
    <cellStyle name="Normal 3 2 3 8 5 2" xfId="53636"/>
    <cellStyle name="Normal 3 2 3 8 6" xfId="45949"/>
    <cellStyle name="Normal 3 2 3 9" xfId="509"/>
    <cellStyle name="Normal 3 2 3 9 2" xfId="4858"/>
    <cellStyle name="Normal 3 2 3 9 2 2" xfId="43725"/>
    <cellStyle name="Normal 3 2 3 9 2 2 2" xfId="58851"/>
    <cellStyle name="Normal 3 2 3 9 2 3" xfId="49543"/>
    <cellStyle name="Normal 3 2 3 9 3" xfId="11319"/>
    <cellStyle name="Normal 3 2 3 9 3 2" xfId="41489"/>
    <cellStyle name="Normal 3 2 3 9 3 2 2" xfId="56616"/>
    <cellStyle name="Normal 3 2 3 9 3 3" xfId="51573"/>
    <cellStyle name="Normal 3 2 3 9 4" xfId="3491"/>
    <cellStyle name="Normal 3 2 3 9 4 2" xfId="48185"/>
    <cellStyle name="Normal 3 2 3 9 5" xfId="39209"/>
    <cellStyle name="Normal 3 2 3 9 5 2" xfId="54337"/>
    <cellStyle name="Normal 3 2 3 9 6" xfId="45739"/>
    <cellStyle name="Normal 3 2 4" xfId="108"/>
    <cellStyle name="Normal 3 2 4 10" xfId="10932"/>
    <cellStyle name="Normal 3 2 4 10 2" xfId="51186"/>
    <cellStyle name="Normal 3 2 4 11" xfId="2769"/>
    <cellStyle name="Normal 3 2 4 11 2" xfId="47469"/>
    <cellStyle name="Normal 3 2 4 12" xfId="38021"/>
    <cellStyle name="Normal 3 2 4 12 2" xfId="53221"/>
    <cellStyle name="Normal 3 2 4 13" xfId="45352"/>
    <cellStyle name="Normal 3 2 4 2" xfId="208"/>
    <cellStyle name="Normal 3 2 4 2 10" xfId="38097"/>
    <cellStyle name="Normal 3 2 4 2 10 2" xfId="53297"/>
    <cellStyle name="Normal 3 2 4 2 11" xfId="45440"/>
    <cellStyle name="Normal 3 2 4 2 2" xfId="962"/>
    <cellStyle name="Normal 3 2 4 2 2 2" xfId="5311"/>
    <cellStyle name="Normal 3 2 4 2 2 2 2" xfId="44613"/>
    <cellStyle name="Normal 3 2 4 2 2 2 2 2" xfId="59739"/>
    <cellStyle name="Normal 3 2 4 2 2 2 3" xfId="42377"/>
    <cellStyle name="Normal 3 2 4 2 2 2 3 2" xfId="57504"/>
    <cellStyle name="Normal 3 2 4 2 2 2 4" xfId="40097"/>
    <cellStyle name="Normal 3 2 4 2 2 2 4 2" xfId="55225"/>
    <cellStyle name="Normal 3 2 4 2 2 2 5" xfId="49996"/>
    <cellStyle name="Normal 3 2 4 2 2 3" xfId="11772"/>
    <cellStyle name="Normal 3 2 4 2 2 3 2" xfId="43047"/>
    <cellStyle name="Normal 3 2 4 2 2 3 2 2" xfId="58173"/>
    <cellStyle name="Normal 3 2 4 2 2 3 3" xfId="52026"/>
    <cellStyle name="Normal 3 2 4 2 2 4" xfId="3197"/>
    <cellStyle name="Normal 3 2 4 2 2 4 2" xfId="40811"/>
    <cellStyle name="Normal 3 2 4 2 2 4 2 2" xfId="55938"/>
    <cellStyle name="Normal 3 2 4 2 2 4 3" xfId="47891"/>
    <cellStyle name="Normal 3 2 4 2 2 5" xfId="38955"/>
    <cellStyle name="Normal 3 2 4 2 2 5 2" xfId="54086"/>
    <cellStyle name="Normal 3 2 4 2 2 6" xfId="46192"/>
    <cellStyle name="Normal 3 2 4 2 3" xfId="1264"/>
    <cellStyle name="Normal 3 2 4 2 3 2" xfId="5613"/>
    <cellStyle name="Normal 3 2 4 2 3 2 2" xfId="44262"/>
    <cellStyle name="Normal 3 2 4 2 3 2 2 2" xfId="59388"/>
    <cellStyle name="Normal 3 2 4 2 3 2 3" xfId="42026"/>
    <cellStyle name="Normal 3 2 4 2 3 2 3 2" xfId="57153"/>
    <cellStyle name="Normal 3 2 4 2 3 2 4" xfId="39746"/>
    <cellStyle name="Normal 3 2 4 2 3 2 4 2" xfId="54874"/>
    <cellStyle name="Normal 3 2 4 2 3 2 5" xfId="50298"/>
    <cellStyle name="Normal 3 2 4 2 3 3" xfId="12074"/>
    <cellStyle name="Normal 3 2 4 2 3 3 2" xfId="43398"/>
    <cellStyle name="Normal 3 2 4 2 3 3 2 2" xfId="58524"/>
    <cellStyle name="Normal 3 2 4 2 3 3 3" xfId="52328"/>
    <cellStyle name="Normal 3 2 4 2 3 4" xfId="3547"/>
    <cellStyle name="Normal 3 2 4 2 3 4 2" xfId="41162"/>
    <cellStyle name="Normal 3 2 4 2 3 4 2 2" xfId="56289"/>
    <cellStyle name="Normal 3 2 4 2 3 4 3" xfId="48240"/>
    <cellStyle name="Normal 3 2 4 2 3 5" xfId="38582"/>
    <cellStyle name="Normal 3 2 4 2 3 5 2" xfId="53735"/>
    <cellStyle name="Normal 3 2 4 2 3 6" xfId="46494"/>
    <cellStyle name="Normal 3 2 4 2 4" xfId="1475"/>
    <cellStyle name="Normal 3 2 4 2 4 2" xfId="5824"/>
    <cellStyle name="Normal 3 2 4 2 4 2 2" xfId="43824"/>
    <cellStyle name="Normal 3 2 4 2 4 2 2 2" xfId="58950"/>
    <cellStyle name="Normal 3 2 4 2 4 2 3" xfId="50509"/>
    <cellStyle name="Normal 3 2 4 2 4 3" xfId="12285"/>
    <cellStyle name="Normal 3 2 4 2 4 3 2" xfId="41588"/>
    <cellStyle name="Normal 3 2 4 2 4 3 2 2" xfId="56715"/>
    <cellStyle name="Normal 3 2 4 2 4 3 3" xfId="52539"/>
    <cellStyle name="Normal 3 2 4 2 4 4" xfId="3774"/>
    <cellStyle name="Normal 3 2 4 2 4 4 2" xfId="48467"/>
    <cellStyle name="Normal 3 2 4 2 4 5" xfId="39308"/>
    <cellStyle name="Normal 3 2 4 2 4 5 2" xfId="54436"/>
    <cellStyle name="Normal 3 2 4 2 4 6" xfId="46705"/>
    <cellStyle name="Normal 3 2 4 2 5" xfId="630"/>
    <cellStyle name="Normal 3 2 4 2 5 2" xfId="4979"/>
    <cellStyle name="Normal 3 2 4 2 5 2 2" xfId="49664"/>
    <cellStyle name="Normal 3 2 4 2 5 3" xfId="11440"/>
    <cellStyle name="Normal 3 2 4 2 5 3 2" xfId="51694"/>
    <cellStyle name="Normal 3 2 4 2 5 4" xfId="4133"/>
    <cellStyle name="Normal 3 2 4 2 5 4 2" xfId="48823"/>
    <cellStyle name="Normal 3 2 4 2 5 5" xfId="42696"/>
    <cellStyle name="Normal 3 2 4 2 5 5 2" xfId="57823"/>
    <cellStyle name="Normal 3 2 4 2 5 6" xfId="45860"/>
    <cellStyle name="Normal 3 2 4 2 6" xfId="1881"/>
    <cellStyle name="Normal 3 2 4 2 6 2" xfId="12688"/>
    <cellStyle name="Normal 3 2 4 2 6 2 2" xfId="52941"/>
    <cellStyle name="Normal 3 2 4 2 6 3" xfId="6228"/>
    <cellStyle name="Normal 3 2 4 2 6 3 2" xfId="50911"/>
    <cellStyle name="Normal 3 2 4 2 6 4" xfId="40461"/>
    <cellStyle name="Normal 3 2 4 2 6 4 2" xfId="55588"/>
    <cellStyle name="Normal 3 2 4 2 6 5" xfId="47107"/>
    <cellStyle name="Normal 3 2 4 2 7" xfId="4557"/>
    <cellStyle name="Normal 3 2 4 2 7 2" xfId="49244"/>
    <cellStyle name="Normal 3 2 4 2 8" xfId="11020"/>
    <cellStyle name="Normal 3 2 4 2 8 2" xfId="51274"/>
    <cellStyle name="Normal 3 2 4 2 9" xfId="2864"/>
    <cellStyle name="Normal 3 2 4 2 9 2" xfId="47558"/>
    <cellStyle name="Normal 3 2 4 3" xfId="299"/>
    <cellStyle name="Normal 3 2 4 3 10" xfId="45529"/>
    <cellStyle name="Normal 3 2 4 3 2" xfId="1353"/>
    <cellStyle name="Normal 3 2 4 3 2 2" xfId="5702"/>
    <cellStyle name="Normal 3 2 4 3 2 2 2" xfId="44689"/>
    <cellStyle name="Normal 3 2 4 3 2 2 2 2" xfId="59815"/>
    <cellStyle name="Normal 3 2 4 3 2 2 3" xfId="42453"/>
    <cellStyle name="Normal 3 2 4 3 2 2 3 2" xfId="57580"/>
    <cellStyle name="Normal 3 2 4 3 2 2 4" xfId="40173"/>
    <cellStyle name="Normal 3 2 4 3 2 2 4 2" xfId="55301"/>
    <cellStyle name="Normal 3 2 4 3 2 2 5" xfId="50387"/>
    <cellStyle name="Normal 3 2 4 3 2 3" xfId="12163"/>
    <cellStyle name="Normal 3 2 4 3 2 3 2" xfId="43123"/>
    <cellStyle name="Normal 3 2 4 3 2 3 2 2" xfId="58249"/>
    <cellStyle name="Normal 3 2 4 3 2 3 3" xfId="52417"/>
    <cellStyle name="Normal 3 2 4 3 2 4" xfId="3636"/>
    <cellStyle name="Normal 3 2 4 3 2 4 2" xfId="40887"/>
    <cellStyle name="Normal 3 2 4 3 2 4 2 2" xfId="56014"/>
    <cellStyle name="Normal 3 2 4 3 2 4 3" xfId="48329"/>
    <cellStyle name="Normal 3 2 4 3 2 5" xfId="39031"/>
    <cellStyle name="Normal 3 2 4 3 2 5 2" xfId="54162"/>
    <cellStyle name="Normal 3 2 4 3 2 6" xfId="46583"/>
    <cellStyle name="Normal 3 2 4 3 3" xfId="1564"/>
    <cellStyle name="Normal 3 2 4 3 3 2" xfId="5913"/>
    <cellStyle name="Normal 3 2 4 3 3 2 2" xfId="44338"/>
    <cellStyle name="Normal 3 2 4 3 3 2 2 2" xfId="59464"/>
    <cellStyle name="Normal 3 2 4 3 3 2 3" xfId="42102"/>
    <cellStyle name="Normal 3 2 4 3 3 2 3 2" xfId="57229"/>
    <cellStyle name="Normal 3 2 4 3 3 2 4" xfId="39822"/>
    <cellStyle name="Normal 3 2 4 3 3 2 4 2" xfId="54950"/>
    <cellStyle name="Normal 3 2 4 3 3 2 5" xfId="50598"/>
    <cellStyle name="Normal 3 2 4 3 3 3" xfId="12374"/>
    <cellStyle name="Normal 3 2 4 3 3 3 2" xfId="43474"/>
    <cellStyle name="Normal 3 2 4 3 3 3 2 2" xfId="58600"/>
    <cellStyle name="Normal 3 2 4 3 3 3 3" xfId="52628"/>
    <cellStyle name="Normal 3 2 4 3 3 4" xfId="3863"/>
    <cellStyle name="Normal 3 2 4 3 3 4 2" xfId="41238"/>
    <cellStyle name="Normal 3 2 4 3 3 4 2 2" xfId="56365"/>
    <cellStyle name="Normal 3 2 4 3 3 4 3" xfId="48556"/>
    <cellStyle name="Normal 3 2 4 3 3 5" xfId="38658"/>
    <cellStyle name="Normal 3 2 4 3 3 5 2" xfId="53811"/>
    <cellStyle name="Normal 3 2 4 3 3 6" xfId="46794"/>
    <cellStyle name="Normal 3 2 4 3 4" xfId="1051"/>
    <cellStyle name="Normal 3 2 4 3 4 2" xfId="5400"/>
    <cellStyle name="Normal 3 2 4 3 4 2 2" xfId="43900"/>
    <cellStyle name="Normal 3 2 4 3 4 2 2 2" xfId="59026"/>
    <cellStyle name="Normal 3 2 4 3 4 2 3" xfId="50085"/>
    <cellStyle name="Normal 3 2 4 3 4 3" xfId="11861"/>
    <cellStyle name="Normal 3 2 4 3 4 3 2" xfId="41664"/>
    <cellStyle name="Normal 3 2 4 3 4 3 2 2" xfId="56791"/>
    <cellStyle name="Normal 3 2 4 3 4 3 3" xfId="52115"/>
    <cellStyle name="Normal 3 2 4 3 4 4" xfId="4222"/>
    <cellStyle name="Normal 3 2 4 3 4 4 2" xfId="48912"/>
    <cellStyle name="Normal 3 2 4 3 4 5" xfId="39384"/>
    <cellStyle name="Normal 3 2 4 3 4 5 2" xfId="54512"/>
    <cellStyle name="Normal 3 2 4 3 4 6" xfId="46281"/>
    <cellStyle name="Normal 3 2 4 3 5" xfId="1957"/>
    <cellStyle name="Normal 3 2 4 3 5 2" xfId="12764"/>
    <cellStyle name="Normal 3 2 4 3 5 2 2" xfId="53017"/>
    <cellStyle name="Normal 3 2 4 3 5 3" xfId="6304"/>
    <cellStyle name="Normal 3 2 4 3 5 3 2" xfId="50987"/>
    <cellStyle name="Normal 3 2 4 3 5 4" xfId="42772"/>
    <cellStyle name="Normal 3 2 4 3 5 4 2" xfId="57899"/>
    <cellStyle name="Normal 3 2 4 3 5 5" xfId="47183"/>
    <cellStyle name="Normal 3 2 4 3 6" xfId="4648"/>
    <cellStyle name="Normal 3 2 4 3 6 2" xfId="40537"/>
    <cellStyle name="Normal 3 2 4 3 6 2 2" xfId="55664"/>
    <cellStyle name="Normal 3 2 4 3 6 3" xfId="49333"/>
    <cellStyle name="Normal 3 2 4 3 7" xfId="11109"/>
    <cellStyle name="Normal 3 2 4 3 7 2" xfId="51363"/>
    <cellStyle name="Normal 3 2 4 3 8" xfId="3286"/>
    <cellStyle name="Normal 3 2 4 3 8 2" xfId="47980"/>
    <cellStyle name="Normal 3 2 4 3 9" xfId="38173"/>
    <cellStyle name="Normal 3 2 4 3 9 2" xfId="53373"/>
    <cellStyle name="Normal 3 2 4 4" xfId="420"/>
    <cellStyle name="Normal 3 2 4 4 2" xfId="1685"/>
    <cellStyle name="Normal 3 2 4 4 2 2" xfId="6034"/>
    <cellStyle name="Normal 3 2 4 4 2 2 2" xfId="44765"/>
    <cellStyle name="Normal 3 2 4 4 2 2 2 2" xfId="59891"/>
    <cellStyle name="Normal 3 2 4 4 2 2 3" xfId="42529"/>
    <cellStyle name="Normal 3 2 4 4 2 2 3 2" xfId="57656"/>
    <cellStyle name="Normal 3 2 4 4 2 2 4" xfId="40249"/>
    <cellStyle name="Normal 3 2 4 4 2 2 4 2" xfId="55377"/>
    <cellStyle name="Normal 3 2 4 4 2 2 5" xfId="50719"/>
    <cellStyle name="Normal 3 2 4 4 2 3" xfId="12495"/>
    <cellStyle name="Normal 3 2 4 4 2 3 2" xfId="43199"/>
    <cellStyle name="Normal 3 2 4 4 2 3 2 2" xfId="58325"/>
    <cellStyle name="Normal 3 2 4 4 2 3 3" xfId="52749"/>
    <cellStyle name="Normal 3 2 4 4 2 4" xfId="3984"/>
    <cellStyle name="Normal 3 2 4 4 2 4 2" xfId="40963"/>
    <cellStyle name="Normal 3 2 4 4 2 4 2 2" xfId="56090"/>
    <cellStyle name="Normal 3 2 4 4 2 4 3" xfId="48677"/>
    <cellStyle name="Normal 3 2 4 4 2 5" xfId="39107"/>
    <cellStyle name="Normal 3 2 4 4 2 5 2" xfId="54238"/>
    <cellStyle name="Normal 3 2 4 4 2 6" xfId="46915"/>
    <cellStyle name="Normal 3 2 4 4 3" xfId="1172"/>
    <cellStyle name="Normal 3 2 4 4 3 2" xfId="5521"/>
    <cellStyle name="Normal 3 2 4 4 3 2 2" xfId="44414"/>
    <cellStyle name="Normal 3 2 4 4 3 2 2 2" xfId="59540"/>
    <cellStyle name="Normal 3 2 4 4 3 2 3" xfId="42178"/>
    <cellStyle name="Normal 3 2 4 4 3 2 3 2" xfId="57305"/>
    <cellStyle name="Normal 3 2 4 4 3 2 4" xfId="39898"/>
    <cellStyle name="Normal 3 2 4 4 3 2 4 2" xfId="55026"/>
    <cellStyle name="Normal 3 2 4 4 3 2 5" xfId="50206"/>
    <cellStyle name="Normal 3 2 4 4 3 3" xfId="11982"/>
    <cellStyle name="Normal 3 2 4 4 3 3 2" xfId="43550"/>
    <cellStyle name="Normal 3 2 4 4 3 3 2 2" xfId="58676"/>
    <cellStyle name="Normal 3 2 4 4 3 3 3" xfId="52236"/>
    <cellStyle name="Normal 3 2 4 4 3 4" xfId="4343"/>
    <cellStyle name="Normal 3 2 4 4 3 4 2" xfId="41314"/>
    <cellStyle name="Normal 3 2 4 4 3 4 2 2" xfId="56441"/>
    <cellStyle name="Normal 3 2 4 4 3 4 3" xfId="49033"/>
    <cellStyle name="Normal 3 2 4 4 3 5" xfId="38734"/>
    <cellStyle name="Normal 3 2 4 4 3 5 2" xfId="53887"/>
    <cellStyle name="Normal 3 2 4 4 3 6" xfId="46402"/>
    <cellStyle name="Normal 3 2 4 4 4" xfId="2034"/>
    <cellStyle name="Normal 3 2 4 4 4 2" xfId="12840"/>
    <cellStyle name="Normal 3 2 4 4 4 2 2" xfId="43976"/>
    <cellStyle name="Normal 3 2 4 4 4 2 2 2" xfId="59102"/>
    <cellStyle name="Normal 3 2 4 4 4 2 3" xfId="53093"/>
    <cellStyle name="Normal 3 2 4 4 4 3" xfId="6380"/>
    <cellStyle name="Normal 3 2 4 4 4 3 2" xfId="41740"/>
    <cellStyle name="Normal 3 2 4 4 4 3 2 2" xfId="56867"/>
    <cellStyle name="Normal 3 2 4 4 4 3 3" xfId="51063"/>
    <cellStyle name="Normal 3 2 4 4 4 4" xfId="39460"/>
    <cellStyle name="Normal 3 2 4 4 4 4 2" xfId="54588"/>
    <cellStyle name="Normal 3 2 4 4 4 5" xfId="47259"/>
    <cellStyle name="Normal 3 2 4 4 5" xfId="4769"/>
    <cellStyle name="Normal 3 2 4 4 5 2" xfId="42848"/>
    <cellStyle name="Normal 3 2 4 4 5 2 2" xfId="57975"/>
    <cellStyle name="Normal 3 2 4 4 5 3" xfId="49454"/>
    <cellStyle name="Normal 3 2 4 4 6" xfId="11230"/>
    <cellStyle name="Normal 3 2 4 4 6 2" xfId="40613"/>
    <cellStyle name="Normal 3 2 4 4 6 2 2" xfId="55740"/>
    <cellStyle name="Normal 3 2 4 4 6 3" xfId="51484"/>
    <cellStyle name="Normal 3 2 4 4 7" xfId="3407"/>
    <cellStyle name="Normal 3 2 4 4 7 2" xfId="48101"/>
    <cellStyle name="Normal 3 2 4 4 8" xfId="38249"/>
    <cellStyle name="Normal 3 2 4 4 8 2" xfId="53449"/>
    <cellStyle name="Normal 3 2 4 4 9" xfId="45650"/>
    <cellStyle name="Normal 3 2 4 5" xfId="874"/>
    <cellStyle name="Normal 3 2 4 5 2" xfId="5223"/>
    <cellStyle name="Normal 3 2 4 5 2 2" xfId="40021"/>
    <cellStyle name="Normal 3 2 4 5 2 2 2" xfId="44537"/>
    <cellStyle name="Normal 3 2 4 5 2 2 2 2" xfId="59663"/>
    <cellStyle name="Normal 3 2 4 5 2 2 3" xfId="42301"/>
    <cellStyle name="Normal 3 2 4 5 2 2 3 2" xfId="57428"/>
    <cellStyle name="Normal 3 2 4 5 2 2 4" xfId="55149"/>
    <cellStyle name="Normal 3 2 4 5 2 3" xfId="43667"/>
    <cellStyle name="Normal 3 2 4 5 2 3 2" xfId="58793"/>
    <cellStyle name="Normal 3 2 4 5 2 4" xfId="41431"/>
    <cellStyle name="Normal 3 2 4 5 2 4 2" xfId="56558"/>
    <cellStyle name="Normal 3 2 4 5 2 5" xfId="38878"/>
    <cellStyle name="Normal 3 2 4 5 2 5 2" xfId="54010"/>
    <cellStyle name="Normal 3 2 4 5 2 6" xfId="49908"/>
    <cellStyle name="Normal 3 2 4 5 3" xfId="11684"/>
    <cellStyle name="Normal 3 2 4 5 3 2" xfId="44060"/>
    <cellStyle name="Normal 3 2 4 5 3 2 2" xfId="59186"/>
    <cellStyle name="Normal 3 2 4 5 3 3" xfId="41824"/>
    <cellStyle name="Normal 3 2 4 5 3 3 2" xfId="56951"/>
    <cellStyle name="Normal 3 2 4 5 3 4" xfId="39544"/>
    <cellStyle name="Normal 3 2 4 5 3 4 2" xfId="54672"/>
    <cellStyle name="Normal 3 2 4 5 3 5" xfId="51938"/>
    <cellStyle name="Normal 3 2 4 5 4" xfId="3109"/>
    <cellStyle name="Normal 3 2 4 5 4 2" xfId="42971"/>
    <cellStyle name="Normal 3 2 4 5 4 2 2" xfId="58097"/>
    <cellStyle name="Normal 3 2 4 5 4 3" xfId="47803"/>
    <cellStyle name="Normal 3 2 4 5 5" xfId="40735"/>
    <cellStyle name="Normal 3 2 4 5 5 2" xfId="55862"/>
    <cellStyle name="Normal 3 2 4 5 6" xfId="38374"/>
    <cellStyle name="Normal 3 2 4 5 6 2" xfId="53533"/>
    <cellStyle name="Normal 3 2 4 5 7" xfId="46104"/>
    <cellStyle name="Normal 3 2 4 6" xfId="751"/>
    <cellStyle name="Normal 3 2 4 6 2" xfId="5100"/>
    <cellStyle name="Normal 3 2 4 6 2 2" xfId="44186"/>
    <cellStyle name="Normal 3 2 4 6 2 2 2" xfId="59312"/>
    <cellStyle name="Normal 3 2 4 6 2 3" xfId="41950"/>
    <cellStyle name="Normal 3 2 4 6 2 3 2" xfId="57077"/>
    <cellStyle name="Normal 3 2 4 6 2 4" xfId="39670"/>
    <cellStyle name="Normal 3 2 4 6 2 4 2" xfId="54798"/>
    <cellStyle name="Normal 3 2 4 6 2 5" xfId="49785"/>
    <cellStyle name="Normal 3 2 4 6 3" xfId="11561"/>
    <cellStyle name="Normal 3 2 4 6 3 2" xfId="43322"/>
    <cellStyle name="Normal 3 2 4 6 3 2 2" xfId="58448"/>
    <cellStyle name="Normal 3 2 4 6 3 3" xfId="51815"/>
    <cellStyle name="Normal 3 2 4 6 4" xfId="2986"/>
    <cellStyle name="Normal 3 2 4 6 4 2" xfId="41086"/>
    <cellStyle name="Normal 3 2 4 6 4 2 2" xfId="56213"/>
    <cellStyle name="Normal 3 2 4 6 4 3" xfId="47680"/>
    <cellStyle name="Normal 3 2 4 6 5" xfId="38504"/>
    <cellStyle name="Normal 3 2 4 6 5 2" xfId="53659"/>
    <cellStyle name="Normal 3 2 4 6 6" xfId="45981"/>
    <cellStyle name="Normal 3 2 4 7" xfId="541"/>
    <cellStyle name="Normal 3 2 4 7 2" xfId="4890"/>
    <cellStyle name="Normal 3 2 4 7 2 2" xfId="43748"/>
    <cellStyle name="Normal 3 2 4 7 2 2 2" xfId="58874"/>
    <cellStyle name="Normal 3 2 4 7 2 3" xfId="49575"/>
    <cellStyle name="Normal 3 2 4 7 3" xfId="11351"/>
    <cellStyle name="Normal 3 2 4 7 3 2" xfId="41512"/>
    <cellStyle name="Normal 3 2 4 7 3 2 2" xfId="56639"/>
    <cellStyle name="Normal 3 2 4 7 3 3" xfId="51605"/>
    <cellStyle name="Normal 3 2 4 7 4" xfId="3501"/>
    <cellStyle name="Normal 3 2 4 7 4 2" xfId="48195"/>
    <cellStyle name="Normal 3 2 4 7 5" xfId="39232"/>
    <cellStyle name="Normal 3 2 4 7 5 2" xfId="54360"/>
    <cellStyle name="Normal 3 2 4 7 6" xfId="45771"/>
    <cellStyle name="Normal 3 2 4 8" xfId="1802"/>
    <cellStyle name="Normal 3 2 4 8 2" xfId="12611"/>
    <cellStyle name="Normal 3 2 4 8 2 2" xfId="52865"/>
    <cellStyle name="Normal 3 2 4 8 3" xfId="6150"/>
    <cellStyle name="Normal 3 2 4 8 3 2" xfId="50835"/>
    <cellStyle name="Normal 3 2 4 8 4" xfId="42620"/>
    <cellStyle name="Normal 3 2 4 8 4 2" xfId="57747"/>
    <cellStyle name="Normal 3 2 4 8 5" xfId="47031"/>
    <cellStyle name="Normal 3 2 4 9" xfId="2616"/>
    <cellStyle name="Normal 3 2 4 9 2" xfId="4466"/>
    <cellStyle name="Normal 3 2 4 9 2 2" xfId="49156"/>
    <cellStyle name="Normal 3 2 4 9 3" xfId="40385"/>
    <cellStyle name="Normal 3 2 4 9 3 2" xfId="55512"/>
    <cellStyle name="Normal 3 2 4 9 4" xfId="47348"/>
    <cellStyle name="Normal 3 2 5" xfId="101"/>
    <cellStyle name="Normal 3 2 5 10" xfId="38014"/>
    <cellStyle name="Normal 3 2 5 10 2" xfId="53214"/>
    <cellStyle name="Normal 3 2 5 11" xfId="45345"/>
    <cellStyle name="Normal 3 2 5 2" xfId="413"/>
    <cellStyle name="Normal 3 2 5 2 2" xfId="1421"/>
    <cellStyle name="Normal 3 2 5 2 2 2" xfId="5770"/>
    <cellStyle name="Normal 3 2 5 2 2 2 2" xfId="44530"/>
    <cellStyle name="Normal 3 2 5 2 2 2 2 2" xfId="59656"/>
    <cellStyle name="Normal 3 2 5 2 2 2 3" xfId="50455"/>
    <cellStyle name="Normal 3 2 5 2 2 3" xfId="12231"/>
    <cellStyle name="Normal 3 2 5 2 2 3 2" xfId="42294"/>
    <cellStyle name="Normal 3 2 5 2 2 3 2 2" xfId="57421"/>
    <cellStyle name="Normal 3 2 5 2 2 3 3" xfId="52485"/>
    <cellStyle name="Normal 3 2 5 2 2 4" xfId="3704"/>
    <cellStyle name="Normal 3 2 5 2 2 4 2" xfId="48397"/>
    <cellStyle name="Normal 3 2 5 2 2 5" xfId="40014"/>
    <cellStyle name="Normal 3 2 5 2 2 5 2" xfId="55142"/>
    <cellStyle name="Normal 3 2 5 2 2 6" xfId="46651"/>
    <cellStyle name="Normal 3 2 5 2 3" xfId="1678"/>
    <cellStyle name="Normal 3 2 5 2 3 2" xfId="6027"/>
    <cellStyle name="Normal 3 2 5 2 3 2 2" xfId="50712"/>
    <cellStyle name="Normal 3 2 5 2 3 3" xfId="12488"/>
    <cellStyle name="Normal 3 2 5 2 3 3 2" xfId="52742"/>
    <cellStyle name="Normal 3 2 5 2 3 4" xfId="3977"/>
    <cellStyle name="Normal 3 2 5 2 3 4 2" xfId="48670"/>
    <cellStyle name="Normal 3 2 5 2 3 5" xfId="42964"/>
    <cellStyle name="Normal 3 2 5 2 3 5 2" xfId="58090"/>
    <cellStyle name="Normal 3 2 5 2 3 6" xfId="46908"/>
    <cellStyle name="Normal 3 2 5 2 4" xfId="1165"/>
    <cellStyle name="Normal 3 2 5 2 4 2" xfId="5514"/>
    <cellStyle name="Normal 3 2 5 2 4 2 2" xfId="50199"/>
    <cellStyle name="Normal 3 2 5 2 4 3" xfId="11975"/>
    <cellStyle name="Normal 3 2 5 2 4 3 2" xfId="52229"/>
    <cellStyle name="Normal 3 2 5 2 4 4" xfId="4336"/>
    <cellStyle name="Normal 3 2 5 2 4 4 2" xfId="49026"/>
    <cellStyle name="Normal 3 2 5 2 4 5" xfId="40728"/>
    <cellStyle name="Normal 3 2 5 2 4 5 2" xfId="55855"/>
    <cellStyle name="Normal 3 2 5 2 4 6" xfId="46395"/>
    <cellStyle name="Normal 3 2 5 2 5" xfId="4762"/>
    <cellStyle name="Normal 3 2 5 2 5 2" xfId="49447"/>
    <cellStyle name="Normal 3 2 5 2 6" xfId="11223"/>
    <cellStyle name="Normal 3 2 5 2 6 2" xfId="51477"/>
    <cellStyle name="Normal 3 2 5 2 7" xfId="3400"/>
    <cellStyle name="Normal 3 2 5 2 7 2" xfId="48094"/>
    <cellStyle name="Normal 3 2 5 2 8" xfId="38871"/>
    <cellStyle name="Normal 3 2 5 2 8 2" xfId="54003"/>
    <cellStyle name="Normal 3 2 5 2 9" xfId="45643"/>
    <cellStyle name="Normal 3 2 5 3" xfId="867"/>
    <cellStyle name="Normal 3 2 5 3 2" xfId="5216"/>
    <cellStyle name="Normal 3 2 5 3 2 2" xfId="44179"/>
    <cellStyle name="Normal 3 2 5 3 2 2 2" xfId="59305"/>
    <cellStyle name="Normal 3 2 5 3 2 3" xfId="41943"/>
    <cellStyle name="Normal 3 2 5 3 2 3 2" xfId="57070"/>
    <cellStyle name="Normal 3 2 5 3 2 4" xfId="39663"/>
    <cellStyle name="Normal 3 2 5 3 2 4 2" xfId="54791"/>
    <cellStyle name="Normal 3 2 5 3 2 5" xfId="49901"/>
    <cellStyle name="Normal 3 2 5 3 3" xfId="11677"/>
    <cellStyle name="Normal 3 2 5 3 3 2" xfId="43315"/>
    <cellStyle name="Normal 3 2 5 3 3 2 2" xfId="58441"/>
    <cellStyle name="Normal 3 2 5 3 3 3" xfId="51931"/>
    <cellStyle name="Normal 3 2 5 3 4" xfId="3102"/>
    <cellStyle name="Normal 3 2 5 3 4 2" xfId="41079"/>
    <cellStyle name="Normal 3 2 5 3 4 2 2" xfId="56206"/>
    <cellStyle name="Normal 3 2 5 3 4 3" xfId="47796"/>
    <cellStyle name="Normal 3 2 5 3 5" xfId="38497"/>
    <cellStyle name="Normal 3 2 5 3 5 2" xfId="53652"/>
    <cellStyle name="Normal 3 2 5 3 6" xfId="46097"/>
    <cellStyle name="Normal 3 2 5 4" xfId="744"/>
    <cellStyle name="Normal 3 2 5 4 2" xfId="5093"/>
    <cellStyle name="Normal 3 2 5 4 2 2" xfId="43741"/>
    <cellStyle name="Normal 3 2 5 4 2 2 2" xfId="58867"/>
    <cellStyle name="Normal 3 2 5 4 2 3" xfId="49778"/>
    <cellStyle name="Normal 3 2 5 4 3" xfId="11554"/>
    <cellStyle name="Normal 3 2 5 4 3 2" xfId="41505"/>
    <cellStyle name="Normal 3 2 5 4 3 2 2" xfId="56632"/>
    <cellStyle name="Normal 3 2 5 4 3 3" xfId="51808"/>
    <cellStyle name="Normal 3 2 5 4 4" xfId="2979"/>
    <cellStyle name="Normal 3 2 5 4 4 2" xfId="47673"/>
    <cellStyle name="Normal 3 2 5 4 5" xfId="39225"/>
    <cellStyle name="Normal 3 2 5 4 5 2" xfId="54353"/>
    <cellStyle name="Normal 3 2 5 4 6" xfId="45974"/>
    <cellStyle name="Normal 3 2 5 5" xfId="534"/>
    <cellStyle name="Normal 3 2 5 5 2" xfId="4883"/>
    <cellStyle name="Normal 3 2 5 5 2 2" xfId="49568"/>
    <cellStyle name="Normal 3 2 5 5 3" xfId="11344"/>
    <cellStyle name="Normal 3 2 5 5 3 2" xfId="51598"/>
    <cellStyle name="Normal 3 2 5 5 4" xfId="3495"/>
    <cellStyle name="Normal 3 2 5 5 4 2" xfId="48189"/>
    <cellStyle name="Normal 3 2 5 5 5" xfId="42613"/>
    <cellStyle name="Normal 3 2 5 5 5 2" xfId="57740"/>
    <cellStyle name="Normal 3 2 5 5 6" xfId="45764"/>
    <cellStyle name="Normal 3 2 5 6" xfId="1795"/>
    <cellStyle name="Normal 3 2 5 6 2" xfId="12604"/>
    <cellStyle name="Normal 3 2 5 6 2 2" xfId="52858"/>
    <cellStyle name="Normal 3 2 5 6 3" xfId="6143"/>
    <cellStyle name="Normal 3 2 5 6 3 2" xfId="50828"/>
    <cellStyle name="Normal 3 2 5 6 4" xfId="40378"/>
    <cellStyle name="Normal 3 2 5 6 4 2" xfId="55505"/>
    <cellStyle name="Normal 3 2 5 6 5" xfId="47024"/>
    <cellStyle name="Normal 3 2 5 7" xfId="4459"/>
    <cellStyle name="Normal 3 2 5 7 2" xfId="49149"/>
    <cellStyle name="Normal 3 2 5 8" xfId="10925"/>
    <cellStyle name="Normal 3 2 5 8 2" xfId="51179"/>
    <cellStyle name="Normal 3 2 5 9" xfId="2762"/>
    <cellStyle name="Normal 3 2 5 9 2" xfId="47462"/>
    <cellStyle name="Normal 3 2 6" xfId="201"/>
    <cellStyle name="Normal 3 2 6 10" xfId="38090"/>
    <cellStyle name="Normal 3 2 6 10 2" xfId="53290"/>
    <cellStyle name="Normal 3 2 6 11" xfId="45433"/>
    <cellStyle name="Normal 3 2 6 2" xfId="955"/>
    <cellStyle name="Normal 3 2 6 2 2" xfId="5304"/>
    <cellStyle name="Normal 3 2 6 2 2 2" xfId="44606"/>
    <cellStyle name="Normal 3 2 6 2 2 2 2" xfId="59732"/>
    <cellStyle name="Normal 3 2 6 2 2 3" xfId="42370"/>
    <cellStyle name="Normal 3 2 6 2 2 3 2" xfId="57497"/>
    <cellStyle name="Normal 3 2 6 2 2 4" xfId="40090"/>
    <cellStyle name="Normal 3 2 6 2 2 4 2" xfId="55218"/>
    <cellStyle name="Normal 3 2 6 2 2 5" xfId="49989"/>
    <cellStyle name="Normal 3 2 6 2 3" xfId="11765"/>
    <cellStyle name="Normal 3 2 6 2 3 2" xfId="43040"/>
    <cellStyle name="Normal 3 2 6 2 3 2 2" xfId="58166"/>
    <cellStyle name="Normal 3 2 6 2 3 3" xfId="52019"/>
    <cellStyle name="Normal 3 2 6 2 4" xfId="3190"/>
    <cellStyle name="Normal 3 2 6 2 4 2" xfId="40804"/>
    <cellStyle name="Normal 3 2 6 2 4 2 2" xfId="55931"/>
    <cellStyle name="Normal 3 2 6 2 4 3" xfId="47884"/>
    <cellStyle name="Normal 3 2 6 2 5" xfId="38948"/>
    <cellStyle name="Normal 3 2 6 2 5 2" xfId="54079"/>
    <cellStyle name="Normal 3 2 6 2 6" xfId="46185"/>
    <cellStyle name="Normal 3 2 6 3" xfId="1257"/>
    <cellStyle name="Normal 3 2 6 3 2" xfId="5606"/>
    <cellStyle name="Normal 3 2 6 3 2 2" xfId="44255"/>
    <cellStyle name="Normal 3 2 6 3 2 2 2" xfId="59381"/>
    <cellStyle name="Normal 3 2 6 3 2 3" xfId="42019"/>
    <cellStyle name="Normal 3 2 6 3 2 3 2" xfId="57146"/>
    <cellStyle name="Normal 3 2 6 3 2 4" xfId="39739"/>
    <cellStyle name="Normal 3 2 6 3 2 4 2" xfId="54867"/>
    <cellStyle name="Normal 3 2 6 3 2 5" xfId="50291"/>
    <cellStyle name="Normal 3 2 6 3 3" xfId="12067"/>
    <cellStyle name="Normal 3 2 6 3 3 2" xfId="43391"/>
    <cellStyle name="Normal 3 2 6 3 3 2 2" xfId="58517"/>
    <cellStyle name="Normal 3 2 6 3 3 3" xfId="52321"/>
    <cellStyle name="Normal 3 2 6 3 4" xfId="3540"/>
    <cellStyle name="Normal 3 2 6 3 4 2" xfId="41155"/>
    <cellStyle name="Normal 3 2 6 3 4 2 2" xfId="56282"/>
    <cellStyle name="Normal 3 2 6 3 4 3" xfId="48233"/>
    <cellStyle name="Normal 3 2 6 3 5" xfId="38575"/>
    <cellStyle name="Normal 3 2 6 3 5 2" xfId="53728"/>
    <cellStyle name="Normal 3 2 6 3 6" xfId="46487"/>
    <cellStyle name="Normal 3 2 6 4" xfId="1468"/>
    <cellStyle name="Normal 3 2 6 4 2" xfId="5817"/>
    <cellStyle name="Normal 3 2 6 4 2 2" xfId="43817"/>
    <cellStyle name="Normal 3 2 6 4 2 2 2" xfId="58943"/>
    <cellStyle name="Normal 3 2 6 4 2 3" xfId="50502"/>
    <cellStyle name="Normal 3 2 6 4 3" xfId="12278"/>
    <cellStyle name="Normal 3 2 6 4 3 2" xfId="41581"/>
    <cellStyle name="Normal 3 2 6 4 3 2 2" xfId="56708"/>
    <cellStyle name="Normal 3 2 6 4 3 3" xfId="52532"/>
    <cellStyle name="Normal 3 2 6 4 4" xfId="3767"/>
    <cellStyle name="Normal 3 2 6 4 4 2" xfId="48460"/>
    <cellStyle name="Normal 3 2 6 4 5" xfId="39301"/>
    <cellStyle name="Normal 3 2 6 4 5 2" xfId="54429"/>
    <cellStyle name="Normal 3 2 6 4 6" xfId="46698"/>
    <cellStyle name="Normal 3 2 6 5" xfId="623"/>
    <cellStyle name="Normal 3 2 6 5 2" xfId="4972"/>
    <cellStyle name="Normal 3 2 6 5 2 2" xfId="49657"/>
    <cellStyle name="Normal 3 2 6 5 3" xfId="11433"/>
    <cellStyle name="Normal 3 2 6 5 3 2" xfId="51687"/>
    <cellStyle name="Normal 3 2 6 5 4" xfId="4126"/>
    <cellStyle name="Normal 3 2 6 5 4 2" xfId="48816"/>
    <cellStyle name="Normal 3 2 6 5 5" xfId="42689"/>
    <cellStyle name="Normal 3 2 6 5 5 2" xfId="57816"/>
    <cellStyle name="Normal 3 2 6 5 6" xfId="45853"/>
    <cellStyle name="Normal 3 2 6 6" xfId="1874"/>
    <cellStyle name="Normal 3 2 6 6 2" xfId="12681"/>
    <cellStyle name="Normal 3 2 6 6 2 2" xfId="52934"/>
    <cellStyle name="Normal 3 2 6 6 3" xfId="6221"/>
    <cellStyle name="Normal 3 2 6 6 3 2" xfId="50904"/>
    <cellStyle name="Normal 3 2 6 6 4" xfId="40454"/>
    <cellStyle name="Normal 3 2 6 6 4 2" xfId="55581"/>
    <cellStyle name="Normal 3 2 6 6 5" xfId="47100"/>
    <cellStyle name="Normal 3 2 6 7" xfId="4550"/>
    <cellStyle name="Normal 3 2 6 7 2" xfId="49237"/>
    <cellStyle name="Normal 3 2 6 8" xfId="11013"/>
    <cellStyle name="Normal 3 2 6 8 2" xfId="51267"/>
    <cellStyle name="Normal 3 2 6 9" xfId="2857"/>
    <cellStyle name="Normal 3 2 6 9 2" xfId="47551"/>
    <cellStyle name="Normal 3 2 7" xfId="292"/>
    <cellStyle name="Normal 3 2 7 10" xfId="45522"/>
    <cellStyle name="Normal 3 2 7 2" xfId="1346"/>
    <cellStyle name="Normal 3 2 7 2 2" xfId="5695"/>
    <cellStyle name="Normal 3 2 7 2 2 2" xfId="44682"/>
    <cellStyle name="Normal 3 2 7 2 2 2 2" xfId="59808"/>
    <cellStyle name="Normal 3 2 7 2 2 3" xfId="42446"/>
    <cellStyle name="Normal 3 2 7 2 2 3 2" xfId="57573"/>
    <cellStyle name="Normal 3 2 7 2 2 4" xfId="40166"/>
    <cellStyle name="Normal 3 2 7 2 2 4 2" xfId="55294"/>
    <cellStyle name="Normal 3 2 7 2 2 5" xfId="50380"/>
    <cellStyle name="Normal 3 2 7 2 3" xfId="12156"/>
    <cellStyle name="Normal 3 2 7 2 3 2" xfId="43116"/>
    <cellStyle name="Normal 3 2 7 2 3 2 2" xfId="58242"/>
    <cellStyle name="Normal 3 2 7 2 3 3" xfId="52410"/>
    <cellStyle name="Normal 3 2 7 2 4" xfId="3629"/>
    <cellStyle name="Normal 3 2 7 2 4 2" xfId="40880"/>
    <cellStyle name="Normal 3 2 7 2 4 2 2" xfId="56007"/>
    <cellStyle name="Normal 3 2 7 2 4 3" xfId="48322"/>
    <cellStyle name="Normal 3 2 7 2 5" xfId="39024"/>
    <cellStyle name="Normal 3 2 7 2 5 2" xfId="54155"/>
    <cellStyle name="Normal 3 2 7 2 6" xfId="46576"/>
    <cellStyle name="Normal 3 2 7 3" xfId="1557"/>
    <cellStyle name="Normal 3 2 7 3 2" xfId="5906"/>
    <cellStyle name="Normal 3 2 7 3 2 2" xfId="44331"/>
    <cellStyle name="Normal 3 2 7 3 2 2 2" xfId="59457"/>
    <cellStyle name="Normal 3 2 7 3 2 3" xfId="42095"/>
    <cellStyle name="Normal 3 2 7 3 2 3 2" xfId="57222"/>
    <cellStyle name="Normal 3 2 7 3 2 4" xfId="39815"/>
    <cellStyle name="Normal 3 2 7 3 2 4 2" xfId="54943"/>
    <cellStyle name="Normal 3 2 7 3 2 5" xfId="50591"/>
    <cellStyle name="Normal 3 2 7 3 3" xfId="12367"/>
    <cellStyle name="Normal 3 2 7 3 3 2" xfId="43467"/>
    <cellStyle name="Normal 3 2 7 3 3 2 2" xfId="58593"/>
    <cellStyle name="Normal 3 2 7 3 3 3" xfId="52621"/>
    <cellStyle name="Normal 3 2 7 3 4" xfId="3856"/>
    <cellStyle name="Normal 3 2 7 3 4 2" xfId="41231"/>
    <cellStyle name="Normal 3 2 7 3 4 2 2" xfId="56358"/>
    <cellStyle name="Normal 3 2 7 3 4 3" xfId="48549"/>
    <cellStyle name="Normal 3 2 7 3 5" xfId="38651"/>
    <cellStyle name="Normal 3 2 7 3 5 2" xfId="53804"/>
    <cellStyle name="Normal 3 2 7 3 6" xfId="46787"/>
    <cellStyle name="Normal 3 2 7 4" xfId="1044"/>
    <cellStyle name="Normal 3 2 7 4 2" xfId="5393"/>
    <cellStyle name="Normal 3 2 7 4 2 2" xfId="43893"/>
    <cellStyle name="Normal 3 2 7 4 2 2 2" xfId="59019"/>
    <cellStyle name="Normal 3 2 7 4 2 3" xfId="50078"/>
    <cellStyle name="Normal 3 2 7 4 3" xfId="11854"/>
    <cellStyle name="Normal 3 2 7 4 3 2" xfId="41657"/>
    <cellStyle name="Normal 3 2 7 4 3 2 2" xfId="56784"/>
    <cellStyle name="Normal 3 2 7 4 3 3" xfId="52108"/>
    <cellStyle name="Normal 3 2 7 4 4" xfId="4215"/>
    <cellStyle name="Normal 3 2 7 4 4 2" xfId="48905"/>
    <cellStyle name="Normal 3 2 7 4 5" xfId="39377"/>
    <cellStyle name="Normal 3 2 7 4 5 2" xfId="54505"/>
    <cellStyle name="Normal 3 2 7 4 6" xfId="46274"/>
    <cellStyle name="Normal 3 2 7 5" xfId="1950"/>
    <cellStyle name="Normal 3 2 7 5 2" xfId="12757"/>
    <cellStyle name="Normal 3 2 7 5 2 2" xfId="53010"/>
    <cellStyle name="Normal 3 2 7 5 3" xfId="6297"/>
    <cellStyle name="Normal 3 2 7 5 3 2" xfId="50980"/>
    <cellStyle name="Normal 3 2 7 5 4" xfId="42765"/>
    <cellStyle name="Normal 3 2 7 5 4 2" xfId="57892"/>
    <cellStyle name="Normal 3 2 7 5 5" xfId="47176"/>
    <cellStyle name="Normal 3 2 7 6" xfId="4641"/>
    <cellStyle name="Normal 3 2 7 6 2" xfId="40530"/>
    <cellStyle name="Normal 3 2 7 6 2 2" xfId="55657"/>
    <cellStyle name="Normal 3 2 7 6 3" xfId="49326"/>
    <cellStyle name="Normal 3 2 7 7" xfId="11102"/>
    <cellStyle name="Normal 3 2 7 7 2" xfId="51356"/>
    <cellStyle name="Normal 3 2 7 8" xfId="3279"/>
    <cellStyle name="Normal 3 2 7 8 2" xfId="47973"/>
    <cellStyle name="Normal 3 2 7 9" xfId="38166"/>
    <cellStyle name="Normal 3 2 7 9 2" xfId="53366"/>
    <cellStyle name="Normal 3 2 8" xfId="372"/>
    <cellStyle name="Normal 3 2 8 2" xfId="1637"/>
    <cellStyle name="Normal 3 2 8 2 2" xfId="5986"/>
    <cellStyle name="Normal 3 2 8 2 2 2" xfId="44758"/>
    <cellStyle name="Normal 3 2 8 2 2 2 2" xfId="59884"/>
    <cellStyle name="Normal 3 2 8 2 2 3" xfId="42522"/>
    <cellStyle name="Normal 3 2 8 2 2 3 2" xfId="57649"/>
    <cellStyle name="Normal 3 2 8 2 2 4" xfId="40242"/>
    <cellStyle name="Normal 3 2 8 2 2 4 2" xfId="55370"/>
    <cellStyle name="Normal 3 2 8 2 2 5" xfId="50671"/>
    <cellStyle name="Normal 3 2 8 2 3" xfId="12447"/>
    <cellStyle name="Normal 3 2 8 2 3 2" xfId="43192"/>
    <cellStyle name="Normal 3 2 8 2 3 2 2" xfId="58318"/>
    <cellStyle name="Normal 3 2 8 2 3 3" xfId="52701"/>
    <cellStyle name="Normal 3 2 8 2 4" xfId="3936"/>
    <cellStyle name="Normal 3 2 8 2 4 2" xfId="40956"/>
    <cellStyle name="Normal 3 2 8 2 4 2 2" xfId="56083"/>
    <cellStyle name="Normal 3 2 8 2 4 3" xfId="48629"/>
    <cellStyle name="Normal 3 2 8 2 5" xfId="39100"/>
    <cellStyle name="Normal 3 2 8 2 5 2" xfId="54231"/>
    <cellStyle name="Normal 3 2 8 2 6" xfId="46867"/>
    <cellStyle name="Normal 3 2 8 3" xfId="1124"/>
    <cellStyle name="Normal 3 2 8 3 2" xfId="5473"/>
    <cellStyle name="Normal 3 2 8 3 2 2" xfId="44407"/>
    <cellStyle name="Normal 3 2 8 3 2 2 2" xfId="59533"/>
    <cellStyle name="Normal 3 2 8 3 2 3" xfId="42171"/>
    <cellStyle name="Normal 3 2 8 3 2 3 2" xfId="57298"/>
    <cellStyle name="Normal 3 2 8 3 2 4" xfId="39891"/>
    <cellStyle name="Normal 3 2 8 3 2 4 2" xfId="55019"/>
    <cellStyle name="Normal 3 2 8 3 2 5" xfId="50158"/>
    <cellStyle name="Normal 3 2 8 3 3" xfId="11934"/>
    <cellStyle name="Normal 3 2 8 3 3 2" xfId="43543"/>
    <cellStyle name="Normal 3 2 8 3 3 2 2" xfId="58669"/>
    <cellStyle name="Normal 3 2 8 3 3 3" xfId="52188"/>
    <cellStyle name="Normal 3 2 8 3 4" xfId="4295"/>
    <cellStyle name="Normal 3 2 8 3 4 2" xfId="41307"/>
    <cellStyle name="Normal 3 2 8 3 4 2 2" xfId="56434"/>
    <cellStyle name="Normal 3 2 8 3 4 3" xfId="48985"/>
    <cellStyle name="Normal 3 2 8 3 5" xfId="38727"/>
    <cellStyle name="Normal 3 2 8 3 5 2" xfId="53880"/>
    <cellStyle name="Normal 3 2 8 3 6" xfId="46354"/>
    <cellStyle name="Normal 3 2 8 4" xfId="2027"/>
    <cellStyle name="Normal 3 2 8 4 2" xfId="12833"/>
    <cellStyle name="Normal 3 2 8 4 2 2" xfId="43969"/>
    <cellStyle name="Normal 3 2 8 4 2 2 2" xfId="59095"/>
    <cellStyle name="Normal 3 2 8 4 2 3" xfId="53086"/>
    <cellStyle name="Normal 3 2 8 4 3" xfId="6373"/>
    <cellStyle name="Normal 3 2 8 4 3 2" xfId="41733"/>
    <cellStyle name="Normal 3 2 8 4 3 2 2" xfId="56860"/>
    <cellStyle name="Normal 3 2 8 4 3 3" xfId="51056"/>
    <cellStyle name="Normal 3 2 8 4 4" xfId="39453"/>
    <cellStyle name="Normal 3 2 8 4 4 2" xfId="54581"/>
    <cellStyle name="Normal 3 2 8 4 5" xfId="47252"/>
    <cellStyle name="Normal 3 2 8 5" xfId="4721"/>
    <cellStyle name="Normal 3 2 8 5 2" xfId="42841"/>
    <cellStyle name="Normal 3 2 8 5 2 2" xfId="57968"/>
    <cellStyle name="Normal 3 2 8 5 3" xfId="49406"/>
    <cellStyle name="Normal 3 2 8 6" xfId="11182"/>
    <cellStyle name="Normal 3 2 8 6 2" xfId="40606"/>
    <cellStyle name="Normal 3 2 8 6 2 2" xfId="55733"/>
    <cellStyle name="Normal 3 2 8 6 3" xfId="51436"/>
    <cellStyle name="Normal 3 2 8 7" xfId="3359"/>
    <cellStyle name="Normal 3 2 8 7 2" xfId="48053"/>
    <cellStyle name="Normal 3 2 8 8" xfId="38242"/>
    <cellStyle name="Normal 3 2 8 8 2" xfId="53442"/>
    <cellStyle name="Normal 3 2 8 9" xfId="45602"/>
    <cellStyle name="Normal 3 2 9" xfId="824"/>
    <cellStyle name="Normal 3 2 9 2" xfId="5173"/>
    <cellStyle name="Normal 3 2 9 2 2" xfId="40321"/>
    <cellStyle name="Normal 3 2 9 2 2 2" xfId="44837"/>
    <cellStyle name="Normal 3 2 9 2 2 2 2" xfId="59963"/>
    <cellStyle name="Normal 3 2 9 2 2 3" xfId="42601"/>
    <cellStyle name="Normal 3 2 9 2 2 3 2" xfId="57728"/>
    <cellStyle name="Normal 3 2 9 2 2 4" xfId="55449"/>
    <cellStyle name="Normal 3 2 9 2 3" xfId="43271"/>
    <cellStyle name="Normal 3 2 9 2 3 2" xfId="58397"/>
    <cellStyle name="Normal 3 2 9 2 4" xfId="41035"/>
    <cellStyle name="Normal 3 2 9 2 4 2" xfId="56162"/>
    <cellStyle name="Normal 3 2 9 2 5" xfId="39180"/>
    <cellStyle name="Normal 3 2 9 2 5 2" xfId="54310"/>
    <cellStyle name="Normal 3 2 9 2 6" xfId="49858"/>
    <cellStyle name="Normal 3 2 9 3" xfId="11634"/>
    <cellStyle name="Normal 3 2 9 3 2" xfId="39970"/>
    <cellStyle name="Normal 3 2 9 3 2 2" xfId="44486"/>
    <cellStyle name="Normal 3 2 9 3 2 2 2" xfId="59612"/>
    <cellStyle name="Normal 3 2 9 3 2 3" xfId="42250"/>
    <cellStyle name="Normal 3 2 9 3 2 3 2" xfId="57377"/>
    <cellStyle name="Normal 3 2 9 3 2 4" xfId="55098"/>
    <cellStyle name="Normal 3 2 9 3 3" xfId="43622"/>
    <cellStyle name="Normal 3 2 9 3 3 2" xfId="58748"/>
    <cellStyle name="Normal 3 2 9 3 4" xfId="41386"/>
    <cellStyle name="Normal 3 2 9 3 4 2" xfId="56513"/>
    <cellStyle name="Normal 3 2 9 3 5" xfId="38806"/>
    <cellStyle name="Normal 3 2 9 3 5 2" xfId="53959"/>
    <cellStyle name="Normal 3 2 9 3 6" xfId="51888"/>
    <cellStyle name="Normal 3 2 9 4" xfId="3059"/>
    <cellStyle name="Normal 3 2 9 4 2" xfId="44048"/>
    <cellStyle name="Normal 3 2 9 4 2 2" xfId="59174"/>
    <cellStyle name="Normal 3 2 9 4 3" xfId="41812"/>
    <cellStyle name="Normal 3 2 9 4 3 2" xfId="56939"/>
    <cellStyle name="Normal 3 2 9 4 4" xfId="39532"/>
    <cellStyle name="Normal 3 2 9 4 4 2" xfId="54660"/>
    <cellStyle name="Normal 3 2 9 4 5" xfId="47753"/>
    <cellStyle name="Normal 3 2 9 5" xfId="42920"/>
    <cellStyle name="Normal 3 2 9 5 2" xfId="58047"/>
    <cellStyle name="Normal 3 2 9 6" xfId="40685"/>
    <cellStyle name="Normal 3 2 9 6 2" xfId="55812"/>
    <cellStyle name="Normal 3 2 9 7" xfId="38362"/>
    <cellStyle name="Normal 3 2 9 7 2" xfId="53521"/>
    <cellStyle name="Normal 3 2 9 8" xfId="46054"/>
    <cellStyle name="Normal 3 3" xfId="23"/>
    <cellStyle name="Normal 3 3 10" xfId="495"/>
    <cellStyle name="Normal 3 3 10 2" xfId="4844"/>
    <cellStyle name="Normal 3 3 10 2 2" xfId="43709"/>
    <cellStyle name="Normal 3 3 10 2 2 2" xfId="58835"/>
    <cellStyle name="Normal 3 3 10 2 3" xfId="49529"/>
    <cellStyle name="Normal 3 3 10 3" xfId="11305"/>
    <cellStyle name="Normal 3 3 10 3 2" xfId="41473"/>
    <cellStyle name="Normal 3 3 10 3 2 2" xfId="56600"/>
    <cellStyle name="Normal 3 3 10 3 3" xfId="51559"/>
    <cellStyle name="Normal 3 3 10 4" xfId="3494"/>
    <cellStyle name="Normal 3 3 10 4 2" xfId="48188"/>
    <cellStyle name="Normal 3 3 10 5" xfId="39193"/>
    <cellStyle name="Normal 3 3 10 5 2" xfId="54321"/>
    <cellStyle name="Normal 3 3 10 6" xfId="45725"/>
    <cellStyle name="Normal 3 3 11" xfId="1762"/>
    <cellStyle name="Normal 3 3 11 2" xfId="12572"/>
    <cellStyle name="Normal 3 3 11 2 2" xfId="52826"/>
    <cellStyle name="Normal 3 3 11 3" xfId="6111"/>
    <cellStyle name="Normal 3 3 11 3 2" xfId="50796"/>
    <cellStyle name="Normal 3 3 11 4" xfId="40335"/>
    <cellStyle name="Normal 3 3 11 4 2" xfId="55463"/>
    <cellStyle name="Normal 3 3 11 5" xfId="46992"/>
    <cellStyle name="Normal 3 3 12" xfId="2617"/>
    <cellStyle name="Normal 3 3 12 2" xfId="4418"/>
    <cellStyle name="Normal 3 3 12 2 2" xfId="49108"/>
    <cellStyle name="Normal 3 3 12 3" xfId="47349"/>
    <cellStyle name="Normal 3 3 13" xfId="10883"/>
    <cellStyle name="Normal 3 3 13 2" xfId="51138"/>
    <cellStyle name="Normal 3 3 14" xfId="2699"/>
    <cellStyle name="Normal 3 3 14 2" xfId="47423"/>
    <cellStyle name="Normal 3 3 15" xfId="37981"/>
    <cellStyle name="Normal 3 3 15 2" xfId="53182"/>
    <cellStyle name="Normal 3 3 16" xfId="45316"/>
    <cellStyle name="Normal 3 3 17" xfId="60002"/>
    <cellStyle name="Normal 3 3 2" xfId="40"/>
    <cellStyle name="Normal 3 3 2 10" xfId="1780"/>
    <cellStyle name="Normal 3 3 2 10 2" xfId="12590"/>
    <cellStyle name="Normal 3 3 2 10 2 2" xfId="52844"/>
    <cellStyle name="Normal 3 3 2 10 3" xfId="6129"/>
    <cellStyle name="Normal 3 3 2 10 3 2" xfId="50814"/>
    <cellStyle name="Normal 3 3 2 10 4" xfId="40351"/>
    <cellStyle name="Normal 3 3 2 10 4 2" xfId="55479"/>
    <cellStyle name="Normal 3 3 2 10 5" xfId="47010"/>
    <cellStyle name="Normal 3 3 2 11" xfId="2618"/>
    <cellStyle name="Normal 3 3 2 11 2" xfId="4434"/>
    <cellStyle name="Normal 3 3 2 11 2 2" xfId="49124"/>
    <cellStyle name="Normal 3 3 2 11 3" xfId="47350"/>
    <cellStyle name="Normal 3 3 2 12" xfId="10899"/>
    <cellStyle name="Normal 3 3 2 12 2" xfId="51154"/>
    <cellStyle name="Normal 3 3 2 13" xfId="2715"/>
    <cellStyle name="Normal 3 3 2 13 2" xfId="47439"/>
    <cellStyle name="Normal 3 3 2 14" xfId="37999"/>
    <cellStyle name="Normal 3 3 2 14 2" xfId="53200"/>
    <cellStyle name="Normal 3 3 2 15" xfId="45332"/>
    <cellStyle name="Normal 3 3 2 2" xfId="111"/>
    <cellStyle name="Normal 3 3 2 2 10" xfId="10935"/>
    <cellStyle name="Normal 3 3 2 2 10 2" xfId="51189"/>
    <cellStyle name="Normal 3 3 2 2 11" xfId="2772"/>
    <cellStyle name="Normal 3 3 2 2 11 2" xfId="47472"/>
    <cellStyle name="Normal 3 3 2 2 12" xfId="38024"/>
    <cellStyle name="Normal 3 3 2 2 12 2" xfId="53224"/>
    <cellStyle name="Normal 3 3 2 2 13" xfId="45355"/>
    <cellStyle name="Normal 3 3 2 2 2" xfId="211"/>
    <cellStyle name="Normal 3 3 2 2 2 10" xfId="38100"/>
    <cellStyle name="Normal 3 3 2 2 2 10 2" xfId="53300"/>
    <cellStyle name="Normal 3 3 2 2 2 11" xfId="45443"/>
    <cellStyle name="Normal 3 3 2 2 2 2" xfId="965"/>
    <cellStyle name="Normal 3 3 2 2 2 2 2" xfId="5314"/>
    <cellStyle name="Normal 3 3 2 2 2 2 2 2" xfId="44616"/>
    <cellStyle name="Normal 3 3 2 2 2 2 2 2 2" xfId="59742"/>
    <cellStyle name="Normal 3 3 2 2 2 2 2 3" xfId="42380"/>
    <cellStyle name="Normal 3 3 2 2 2 2 2 3 2" xfId="57507"/>
    <cellStyle name="Normal 3 3 2 2 2 2 2 4" xfId="40100"/>
    <cellStyle name="Normal 3 3 2 2 2 2 2 4 2" xfId="55228"/>
    <cellStyle name="Normal 3 3 2 2 2 2 2 5" xfId="49999"/>
    <cellStyle name="Normal 3 3 2 2 2 2 3" xfId="11775"/>
    <cellStyle name="Normal 3 3 2 2 2 2 3 2" xfId="43050"/>
    <cellStyle name="Normal 3 3 2 2 2 2 3 2 2" xfId="58176"/>
    <cellStyle name="Normal 3 3 2 2 2 2 3 3" xfId="52029"/>
    <cellStyle name="Normal 3 3 2 2 2 2 4" xfId="3200"/>
    <cellStyle name="Normal 3 3 2 2 2 2 4 2" xfId="40814"/>
    <cellStyle name="Normal 3 3 2 2 2 2 4 2 2" xfId="55941"/>
    <cellStyle name="Normal 3 3 2 2 2 2 4 3" xfId="47894"/>
    <cellStyle name="Normal 3 3 2 2 2 2 5" xfId="38958"/>
    <cellStyle name="Normal 3 3 2 2 2 2 5 2" xfId="54089"/>
    <cellStyle name="Normal 3 3 2 2 2 2 6" xfId="46195"/>
    <cellStyle name="Normal 3 3 2 2 2 3" xfId="1267"/>
    <cellStyle name="Normal 3 3 2 2 2 3 2" xfId="5616"/>
    <cellStyle name="Normal 3 3 2 2 2 3 2 2" xfId="44265"/>
    <cellStyle name="Normal 3 3 2 2 2 3 2 2 2" xfId="59391"/>
    <cellStyle name="Normal 3 3 2 2 2 3 2 3" xfId="42029"/>
    <cellStyle name="Normal 3 3 2 2 2 3 2 3 2" xfId="57156"/>
    <cellStyle name="Normal 3 3 2 2 2 3 2 4" xfId="39749"/>
    <cellStyle name="Normal 3 3 2 2 2 3 2 4 2" xfId="54877"/>
    <cellStyle name="Normal 3 3 2 2 2 3 2 5" xfId="50301"/>
    <cellStyle name="Normal 3 3 2 2 2 3 3" xfId="12077"/>
    <cellStyle name="Normal 3 3 2 2 2 3 3 2" xfId="43401"/>
    <cellStyle name="Normal 3 3 2 2 2 3 3 2 2" xfId="58527"/>
    <cellStyle name="Normal 3 3 2 2 2 3 3 3" xfId="52331"/>
    <cellStyle name="Normal 3 3 2 2 2 3 4" xfId="3550"/>
    <cellStyle name="Normal 3 3 2 2 2 3 4 2" xfId="41165"/>
    <cellStyle name="Normal 3 3 2 2 2 3 4 2 2" xfId="56292"/>
    <cellStyle name="Normal 3 3 2 2 2 3 4 3" xfId="48243"/>
    <cellStyle name="Normal 3 3 2 2 2 3 5" xfId="38585"/>
    <cellStyle name="Normal 3 3 2 2 2 3 5 2" xfId="53738"/>
    <cellStyle name="Normal 3 3 2 2 2 3 6" xfId="46497"/>
    <cellStyle name="Normal 3 3 2 2 2 4" xfId="1478"/>
    <cellStyle name="Normal 3 3 2 2 2 4 2" xfId="5827"/>
    <cellStyle name="Normal 3 3 2 2 2 4 2 2" xfId="43827"/>
    <cellStyle name="Normal 3 3 2 2 2 4 2 2 2" xfId="58953"/>
    <cellStyle name="Normal 3 3 2 2 2 4 2 3" xfId="50512"/>
    <cellStyle name="Normal 3 3 2 2 2 4 3" xfId="12288"/>
    <cellStyle name="Normal 3 3 2 2 2 4 3 2" xfId="41591"/>
    <cellStyle name="Normal 3 3 2 2 2 4 3 2 2" xfId="56718"/>
    <cellStyle name="Normal 3 3 2 2 2 4 3 3" xfId="52542"/>
    <cellStyle name="Normal 3 3 2 2 2 4 4" xfId="3777"/>
    <cellStyle name="Normal 3 3 2 2 2 4 4 2" xfId="48470"/>
    <cellStyle name="Normal 3 3 2 2 2 4 5" xfId="39311"/>
    <cellStyle name="Normal 3 3 2 2 2 4 5 2" xfId="54439"/>
    <cellStyle name="Normal 3 3 2 2 2 4 6" xfId="46708"/>
    <cellStyle name="Normal 3 3 2 2 2 5" xfId="633"/>
    <cellStyle name="Normal 3 3 2 2 2 5 2" xfId="4982"/>
    <cellStyle name="Normal 3 3 2 2 2 5 2 2" xfId="49667"/>
    <cellStyle name="Normal 3 3 2 2 2 5 3" xfId="11443"/>
    <cellStyle name="Normal 3 3 2 2 2 5 3 2" xfId="51697"/>
    <cellStyle name="Normal 3 3 2 2 2 5 4" xfId="4136"/>
    <cellStyle name="Normal 3 3 2 2 2 5 4 2" xfId="48826"/>
    <cellStyle name="Normal 3 3 2 2 2 5 5" xfId="42699"/>
    <cellStyle name="Normal 3 3 2 2 2 5 5 2" xfId="57826"/>
    <cellStyle name="Normal 3 3 2 2 2 5 6" xfId="45863"/>
    <cellStyle name="Normal 3 3 2 2 2 6" xfId="1884"/>
    <cellStyle name="Normal 3 3 2 2 2 6 2" xfId="12691"/>
    <cellStyle name="Normal 3 3 2 2 2 6 2 2" xfId="52944"/>
    <cellStyle name="Normal 3 3 2 2 2 6 3" xfId="6231"/>
    <cellStyle name="Normal 3 3 2 2 2 6 3 2" xfId="50914"/>
    <cellStyle name="Normal 3 3 2 2 2 6 4" xfId="40464"/>
    <cellStyle name="Normal 3 3 2 2 2 6 4 2" xfId="55591"/>
    <cellStyle name="Normal 3 3 2 2 2 6 5" xfId="47110"/>
    <cellStyle name="Normal 3 3 2 2 2 7" xfId="4560"/>
    <cellStyle name="Normal 3 3 2 2 2 7 2" xfId="49247"/>
    <cellStyle name="Normal 3 3 2 2 2 8" xfId="11023"/>
    <cellStyle name="Normal 3 3 2 2 2 8 2" xfId="51277"/>
    <cellStyle name="Normal 3 3 2 2 2 9" xfId="2867"/>
    <cellStyle name="Normal 3 3 2 2 2 9 2" xfId="47561"/>
    <cellStyle name="Normal 3 3 2 2 3" xfId="302"/>
    <cellStyle name="Normal 3 3 2 2 3 10" xfId="45532"/>
    <cellStyle name="Normal 3 3 2 2 3 2" xfId="1356"/>
    <cellStyle name="Normal 3 3 2 2 3 2 2" xfId="5705"/>
    <cellStyle name="Normal 3 3 2 2 3 2 2 2" xfId="44692"/>
    <cellStyle name="Normal 3 3 2 2 3 2 2 2 2" xfId="59818"/>
    <cellStyle name="Normal 3 3 2 2 3 2 2 3" xfId="42456"/>
    <cellStyle name="Normal 3 3 2 2 3 2 2 3 2" xfId="57583"/>
    <cellStyle name="Normal 3 3 2 2 3 2 2 4" xfId="40176"/>
    <cellStyle name="Normal 3 3 2 2 3 2 2 4 2" xfId="55304"/>
    <cellStyle name="Normal 3 3 2 2 3 2 2 5" xfId="50390"/>
    <cellStyle name="Normal 3 3 2 2 3 2 3" xfId="12166"/>
    <cellStyle name="Normal 3 3 2 2 3 2 3 2" xfId="43126"/>
    <cellStyle name="Normal 3 3 2 2 3 2 3 2 2" xfId="58252"/>
    <cellStyle name="Normal 3 3 2 2 3 2 3 3" xfId="52420"/>
    <cellStyle name="Normal 3 3 2 2 3 2 4" xfId="3639"/>
    <cellStyle name="Normal 3 3 2 2 3 2 4 2" xfId="40890"/>
    <cellStyle name="Normal 3 3 2 2 3 2 4 2 2" xfId="56017"/>
    <cellStyle name="Normal 3 3 2 2 3 2 4 3" xfId="48332"/>
    <cellStyle name="Normal 3 3 2 2 3 2 5" xfId="39034"/>
    <cellStyle name="Normal 3 3 2 2 3 2 5 2" xfId="54165"/>
    <cellStyle name="Normal 3 3 2 2 3 2 6" xfId="46586"/>
    <cellStyle name="Normal 3 3 2 2 3 3" xfId="1567"/>
    <cellStyle name="Normal 3 3 2 2 3 3 2" xfId="5916"/>
    <cellStyle name="Normal 3 3 2 2 3 3 2 2" xfId="44341"/>
    <cellStyle name="Normal 3 3 2 2 3 3 2 2 2" xfId="59467"/>
    <cellStyle name="Normal 3 3 2 2 3 3 2 3" xfId="42105"/>
    <cellStyle name="Normal 3 3 2 2 3 3 2 3 2" xfId="57232"/>
    <cellStyle name="Normal 3 3 2 2 3 3 2 4" xfId="39825"/>
    <cellStyle name="Normal 3 3 2 2 3 3 2 4 2" xfId="54953"/>
    <cellStyle name="Normal 3 3 2 2 3 3 2 5" xfId="50601"/>
    <cellStyle name="Normal 3 3 2 2 3 3 3" xfId="12377"/>
    <cellStyle name="Normal 3 3 2 2 3 3 3 2" xfId="43477"/>
    <cellStyle name="Normal 3 3 2 2 3 3 3 2 2" xfId="58603"/>
    <cellStyle name="Normal 3 3 2 2 3 3 3 3" xfId="52631"/>
    <cellStyle name="Normal 3 3 2 2 3 3 4" xfId="3866"/>
    <cellStyle name="Normal 3 3 2 2 3 3 4 2" xfId="41241"/>
    <cellStyle name="Normal 3 3 2 2 3 3 4 2 2" xfId="56368"/>
    <cellStyle name="Normal 3 3 2 2 3 3 4 3" xfId="48559"/>
    <cellStyle name="Normal 3 3 2 2 3 3 5" xfId="38661"/>
    <cellStyle name="Normal 3 3 2 2 3 3 5 2" xfId="53814"/>
    <cellStyle name="Normal 3 3 2 2 3 3 6" xfId="46797"/>
    <cellStyle name="Normal 3 3 2 2 3 4" xfId="1054"/>
    <cellStyle name="Normal 3 3 2 2 3 4 2" xfId="5403"/>
    <cellStyle name="Normal 3 3 2 2 3 4 2 2" xfId="43903"/>
    <cellStyle name="Normal 3 3 2 2 3 4 2 2 2" xfId="59029"/>
    <cellStyle name="Normal 3 3 2 2 3 4 2 3" xfId="50088"/>
    <cellStyle name="Normal 3 3 2 2 3 4 3" xfId="11864"/>
    <cellStyle name="Normal 3 3 2 2 3 4 3 2" xfId="41667"/>
    <cellStyle name="Normal 3 3 2 2 3 4 3 2 2" xfId="56794"/>
    <cellStyle name="Normal 3 3 2 2 3 4 3 3" xfId="52118"/>
    <cellStyle name="Normal 3 3 2 2 3 4 4" xfId="4225"/>
    <cellStyle name="Normal 3 3 2 2 3 4 4 2" xfId="48915"/>
    <cellStyle name="Normal 3 3 2 2 3 4 5" xfId="39387"/>
    <cellStyle name="Normal 3 3 2 2 3 4 5 2" xfId="54515"/>
    <cellStyle name="Normal 3 3 2 2 3 4 6" xfId="46284"/>
    <cellStyle name="Normal 3 3 2 2 3 5" xfId="1960"/>
    <cellStyle name="Normal 3 3 2 2 3 5 2" xfId="12767"/>
    <cellStyle name="Normal 3 3 2 2 3 5 2 2" xfId="53020"/>
    <cellStyle name="Normal 3 3 2 2 3 5 3" xfId="6307"/>
    <cellStyle name="Normal 3 3 2 2 3 5 3 2" xfId="50990"/>
    <cellStyle name="Normal 3 3 2 2 3 5 4" xfId="42775"/>
    <cellStyle name="Normal 3 3 2 2 3 5 4 2" xfId="57902"/>
    <cellStyle name="Normal 3 3 2 2 3 5 5" xfId="47186"/>
    <cellStyle name="Normal 3 3 2 2 3 6" xfId="4651"/>
    <cellStyle name="Normal 3 3 2 2 3 6 2" xfId="40540"/>
    <cellStyle name="Normal 3 3 2 2 3 6 2 2" xfId="55667"/>
    <cellStyle name="Normal 3 3 2 2 3 6 3" xfId="49336"/>
    <cellStyle name="Normal 3 3 2 2 3 7" xfId="11112"/>
    <cellStyle name="Normal 3 3 2 2 3 7 2" xfId="51366"/>
    <cellStyle name="Normal 3 3 2 2 3 8" xfId="3289"/>
    <cellStyle name="Normal 3 3 2 2 3 8 2" xfId="47983"/>
    <cellStyle name="Normal 3 3 2 2 3 9" xfId="38176"/>
    <cellStyle name="Normal 3 3 2 2 3 9 2" xfId="53376"/>
    <cellStyle name="Normal 3 3 2 2 4" xfId="423"/>
    <cellStyle name="Normal 3 3 2 2 4 2" xfId="1688"/>
    <cellStyle name="Normal 3 3 2 2 4 2 2" xfId="6037"/>
    <cellStyle name="Normal 3 3 2 2 4 2 2 2" xfId="44768"/>
    <cellStyle name="Normal 3 3 2 2 4 2 2 2 2" xfId="59894"/>
    <cellStyle name="Normal 3 3 2 2 4 2 2 3" xfId="42532"/>
    <cellStyle name="Normal 3 3 2 2 4 2 2 3 2" xfId="57659"/>
    <cellStyle name="Normal 3 3 2 2 4 2 2 4" xfId="40252"/>
    <cellStyle name="Normal 3 3 2 2 4 2 2 4 2" xfId="55380"/>
    <cellStyle name="Normal 3 3 2 2 4 2 2 5" xfId="50722"/>
    <cellStyle name="Normal 3 3 2 2 4 2 3" xfId="12498"/>
    <cellStyle name="Normal 3 3 2 2 4 2 3 2" xfId="43202"/>
    <cellStyle name="Normal 3 3 2 2 4 2 3 2 2" xfId="58328"/>
    <cellStyle name="Normal 3 3 2 2 4 2 3 3" xfId="52752"/>
    <cellStyle name="Normal 3 3 2 2 4 2 4" xfId="3987"/>
    <cellStyle name="Normal 3 3 2 2 4 2 4 2" xfId="40966"/>
    <cellStyle name="Normal 3 3 2 2 4 2 4 2 2" xfId="56093"/>
    <cellStyle name="Normal 3 3 2 2 4 2 4 3" xfId="48680"/>
    <cellStyle name="Normal 3 3 2 2 4 2 5" xfId="39110"/>
    <cellStyle name="Normal 3 3 2 2 4 2 5 2" xfId="54241"/>
    <cellStyle name="Normal 3 3 2 2 4 2 6" xfId="46918"/>
    <cellStyle name="Normal 3 3 2 2 4 3" xfId="1175"/>
    <cellStyle name="Normal 3 3 2 2 4 3 2" xfId="5524"/>
    <cellStyle name="Normal 3 3 2 2 4 3 2 2" xfId="44417"/>
    <cellStyle name="Normal 3 3 2 2 4 3 2 2 2" xfId="59543"/>
    <cellStyle name="Normal 3 3 2 2 4 3 2 3" xfId="42181"/>
    <cellStyle name="Normal 3 3 2 2 4 3 2 3 2" xfId="57308"/>
    <cellStyle name="Normal 3 3 2 2 4 3 2 4" xfId="39901"/>
    <cellStyle name="Normal 3 3 2 2 4 3 2 4 2" xfId="55029"/>
    <cellStyle name="Normal 3 3 2 2 4 3 2 5" xfId="50209"/>
    <cellStyle name="Normal 3 3 2 2 4 3 3" xfId="11985"/>
    <cellStyle name="Normal 3 3 2 2 4 3 3 2" xfId="43553"/>
    <cellStyle name="Normal 3 3 2 2 4 3 3 2 2" xfId="58679"/>
    <cellStyle name="Normal 3 3 2 2 4 3 3 3" xfId="52239"/>
    <cellStyle name="Normal 3 3 2 2 4 3 4" xfId="4346"/>
    <cellStyle name="Normal 3 3 2 2 4 3 4 2" xfId="41317"/>
    <cellStyle name="Normal 3 3 2 2 4 3 4 2 2" xfId="56444"/>
    <cellStyle name="Normal 3 3 2 2 4 3 4 3" xfId="49036"/>
    <cellStyle name="Normal 3 3 2 2 4 3 5" xfId="38737"/>
    <cellStyle name="Normal 3 3 2 2 4 3 5 2" xfId="53890"/>
    <cellStyle name="Normal 3 3 2 2 4 3 6" xfId="46405"/>
    <cellStyle name="Normal 3 3 2 2 4 4" xfId="2037"/>
    <cellStyle name="Normal 3 3 2 2 4 4 2" xfId="12843"/>
    <cellStyle name="Normal 3 3 2 2 4 4 2 2" xfId="43979"/>
    <cellStyle name="Normal 3 3 2 2 4 4 2 2 2" xfId="59105"/>
    <cellStyle name="Normal 3 3 2 2 4 4 2 3" xfId="53096"/>
    <cellStyle name="Normal 3 3 2 2 4 4 3" xfId="6383"/>
    <cellStyle name="Normal 3 3 2 2 4 4 3 2" xfId="41743"/>
    <cellStyle name="Normal 3 3 2 2 4 4 3 2 2" xfId="56870"/>
    <cellStyle name="Normal 3 3 2 2 4 4 3 3" xfId="51066"/>
    <cellStyle name="Normal 3 3 2 2 4 4 4" xfId="39463"/>
    <cellStyle name="Normal 3 3 2 2 4 4 4 2" xfId="54591"/>
    <cellStyle name="Normal 3 3 2 2 4 4 5" xfId="47262"/>
    <cellStyle name="Normal 3 3 2 2 4 5" xfId="4772"/>
    <cellStyle name="Normal 3 3 2 2 4 5 2" xfId="42851"/>
    <cellStyle name="Normal 3 3 2 2 4 5 2 2" xfId="57978"/>
    <cellStyle name="Normal 3 3 2 2 4 5 3" xfId="49457"/>
    <cellStyle name="Normal 3 3 2 2 4 6" xfId="11233"/>
    <cellStyle name="Normal 3 3 2 2 4 6 2" xfId="40616"/>
    <cellStyle name="Normal 3 3 2 2 4 6 2 2" xfId="55743"/>
    <cellStyle name="Normal 3 3 2 2 4 6 3" xfId="51487"/>
    <cellStyle name="Normal 3 3 2 2 4 7" xfId="3410"/>
    <cellStyle name="Normal 3 3 2 2 4 7 2" xfId="48104"/>
    <cellStyle name="Normal 3 3 2 2 4 8" xfId="38252"/>
    <cellStyle name="Normal 3 3 2 2 4 8 2" xfId="53452"/>
    <cellStyle name="Normal 3 3 2 2 4 9" xfId="45653"/>
    <cellStyle name="Normal 3 3 2 2 5" xfId="877"/>
    <cellStyle name="Normal 3 3 2 2 5 2" xfId="5226"/>
    <cellStyle name="Normal 3 3 2 2 5 2 2" xfId="40024"/>
    <cellStyle name="Normal 3 3 2 2 5 2 2 2" xfId="44540"/>
    <cellStyle name="Normal 3 3 2 2 5 2 2 2 2" xfId="59666"/>
    <cellStyle name="Normal 3 3 2 2 5 2 2 3" xfId="42304"/>
    <cellStyle name="Normal 3 3 2 2 5 2 2 3 2" xfId="57431"/>
    <cellStyle name="Normal 3 3 2 2 5 2 2 4" xfId="55152"/>
    <cellStyle name="Normal 3 3 2 2 5 2 3" xfId="43668"/>
    <cellStyle name="Normal 3 3 2 2 5 2 3 2" xfId="58794"/>
    <cellStyle name="Normal 3 3 2 2 5 2 4" xfId="41432"/>
    <cellStyle name="Normal 3 3 2 2 5 2 4 2" xfId="56559"/>
    <cellStyle name="Normal 3 3 2 2 5 2 5" xfId="38881"/>
    <cellStyle name="Normal 3 3 2 2 5 2 5 2" xfId="54013"/>
    <cellStyle name="Normal 3 3 2 2 5 2 6" xfId="49911"/>
    <cellStyle name="Normal 3 3 2 2 5 3" xfId="11687"/>
    <cellStyle name="Normal 3 3 2 2 5 3 2" xfId="44063"/>
    <cellStyle name="Normal 3 3 2 2 5 3 2 2" xfId="59189"/>
    <cellStyle name="Normal 3 3 2 2 5 3 3" xfId="41827"/>
    <cellStyle name="Normal 3 3 2 2 5 3 3 2" xfId="56954"/>
    <cellStyle name="Normal 3 3 2 2 5 3 4" xfId="39547"/>
    <cellStyle name="Normal 3 3 2 2 5 3 4 2" xfId="54675"/>
    <cellStyle name="Normal 3 3 2 2 5 3 5" xfId="51941"/>
    <cellStyle name="Normal 3 3 2 2 5 4" xfId="3112"/>
    <cellStyle name="Normal 3 3 2 2 5 4 2" xfId="42974"/>
    <cellStyle name="Normal 3 3 2 2 5 4 2 2" xfId="58100"/>
    <cellStyle name="Normal 3 3 2 2 5 4 3" xfId="47806"/>
    <cellStyle name="Normal 3 3 2 2 5 5" xfId="40738"/>
    <cellStyle name="Normal 3 3 2 2 5 5 2" xfId="55865"/>
    <cellStyle name="Normal 3 3 2 2 5 6" xfId="38377"/>
    <cellStyle name="Normal 3 3 2 2 5 6 2" xfId="53536"/>
    <cellStyle name="Normal 3 3 2 2 5 7" xfId="46107"/>
    <cellStyle name="Normal 3 3 2 2 6" xfId="754"/>
    <cellStyle name="Normal 3 3 2 2 6 2" xfId="5103"/>
    <cellStyle name="Normal 3 3 2 2 6 2 2" xfId="44189"/>
    <cellStyle name="Normal 3 3 2 2 6 2 2 2" xfId="59315"/>
    <cellStyle name="Normal 3 3 2 2 6 2 3" xfId="41953"/>
    <cellStyle name="Normal 3 3 2 2 6 2 3 2" xfId="57080"/>
    <cellStyle name="Normal 3 3 2 2 6 2 4" xfId="39673"/>
    <cellStyle name="Normal 3 3 2 2 6 2 4 2" xfId="54801"/>
    <cellStyle name="Normal 3 3 2 2 6 2 5" xfId="49788"/>
    <cellStyle name="Normal 3 3 2 2 6 3" xfId="11564"/>
    <cellStyle name="Normal 3 3 2 2 6 3 2" xfId="43325"/>
    <cellStyle name="Normal 3 3 2 2 6 3 2 2" xfId="58451"/>
    <cellStyle name="Normal 3 3 2 2 6 3 3" xfId="51818"/>
    <cellStyle name="Normal 3 3 2 2 6 4" xfId="2989"/>
    <cellStyle name="Normal 3 3 2 2 6 4 2" xfId="41089"/>
    <cellStyle name="Normal 3 3 2 2 6 4 2 2" xfId="56216"/>
    <cellStyle name="Normal 3 3 2 2 6 4 3" xfId="47683"/>
    <cellStyle name="Normal 3 3 2 2 6 5" xfId="38507"/>
    <cellStyle name="Normal 3 3 2 2 6 5 2" xfId="53662"/>
    <cellStyle name="Normal 3 3 2 2 6 6" xfId="45984"/>
    <cellStyle name="Normal 3 3 2 2 7" xfId="544"/>
    <cellStyle name="Normal 3 3 2 2 7 2" xfId="4893"/>
    <cellStyle name="Normal 3 3 2 2 7 2 2" xfId="43751"/>
    <cellStyle name="Normal 3 3 2 2 7 2 2 2" xfId="58877"/>
    <cellStyle name="Normal 3 3 2 2 7 2 3" xfId="49578"/>
    <cellStyle name="Normal 3 3 2 2 7 3" xfId="11354"/>
    <cellStyle name="Normal 3 3 2 2 7 3 2" xfId="41515"/>
    <cellStyle name="Normal 3 3 2 2 7 3 2 2" xfId="56642"/>
    <cellStyle name="Normal 3 3 2 2 7 3 3" xfId="51608"/>
    <cellStyle name="Normal 3 3 2 2 7 4" xfId="3482"/>
    <cellStyle name="Normal 3 3 2 2 7 4 2" xfId="48176"/>
    <cellStyle name="Normal 3 3 2 2 7 5" xfId="39235"/>
    <cellStyle name="Normal 3 3 2 2 7 5 2" xfId="54363"/>
    <cellStyle name="Normal 3 3 2 2 7 6" xfId="45774"/>
    <cellStyle name="Normal 3 3 2 2 8" xfId="1805"/>
    <cellStyle name="Normal 3 3 2 2 8 2" xfId="12614"/>
    <cellStyle name="Normal 3 3 2 2 8 2 2" xfId="52868"/>
    <cellStyle name="Normal 3 3 2 2 8 3" xfId="6153"/>
    <cellStyle name="Normal 3 3 2 2 8 3 2" xfId="50838"/>
    <cellStyle name="Normal 3 3 2 2 8 4" xfId="42623"/>
    <cellStyle name="Normal 3 3 2 2 8 4 2" xfId="57750"/>
    <cellStyle name="Normal 3 3 2 2 8 5" xfId="47034"/>
    <cellStyle name="Normal 3 3 2 2 9" xfId="2619"/>
    <cellStyle name="Normal 3 3 2 2 9 2" xfId="4469"/>
    <cellStyle name="Normal 3 3 2 2 9 2 2" xfId="49159"/>
    <cellStyle name="Normal 3 3 2 2 9 3" xfId="40388"/>
    <cellStyle name="Normal 3 3 2 2 9 3 2" xfId="55515"/>
    <cellStyle name="Normal 3 3 2 2 9 4" xfId="47351"/>
    <cellStyle name="Normal 3 3 2 3" xfId="110"/>
    <cellStyle name="Normal 3 3 2 3 10" xfId="38023"/>
    <cellStyle name="Normal 3 3 2 3 10 2" xfId="53223"/>
    <cellStyle name="Normal 3 3 2 3 11" xfId="45354"/>
    <cellStyle name="Normal 3 3 2 3 2" xfId="422"/>
    <cellStyle name="Normal 3 3 2 3 2 2" xfId="1426"/>
    <cellStyle name="Normal 3 3 2 3 2 2 2" xfId="5775"/>
    <cellStyle name="Normal 3 3 2 3 2 2 2 2" xfId="44539"/>
    <cellStyle name="Normal 3 3 2 3 2 2 2 2 2" xfId="59665"/>
    <cellStyle name="Normal 3 3 2 3 2 2 2 3" xfId="50460"/>
    <cellStyle name="Normal 3 3 2 3 2 2 3" xfId="12236"/>
    <cellStyle name="Normal 3 3 2 3 2 2 3 2" xfId="42303"/>
    <cellStyle name="Normal 3 3 2 3 2 2 3 2 2" xfId="57430"/>
    <cellStyle name="Normal 3 3 2 3 2 2 3 3" xfId="52490"/>
    <cellStyle name="Normal 3 3 2 3 2 2 4" xfId="3709"/>
    <cellStyle name="Normal 3 3 2 3 2 2 4 2" xfId="48402"/>
    <cellStyle name="Normal 3 3 2 3 2 2 5" xfId="40023"/>
    <cellStyle name="Normal 3 3 2 3 2 2 5 2" xfId="55151"/>
    <cellStyle name="Normal 3 3 2 3 2 2 6" xfId="46656"/>
    <cellStyle name="Normal 3 3 2 3 2 3" xfId="1687"/>
    <cellStyle name="Normal 3 3 2 3 2 3 2" xfId="6036"/>
    <cellStyle name="Normal 3 3 2 3 2 3 2 2" xfId="50721"/>
    <cellStyle name="Normal 3 3 2 3 2 3 3" xfId="12497"/>
    <cellStyle name="Normal 3 3 2 3 2 3 3 2" xfId="52751"/>
    <cellStyle name="Normal 3 3 2 3 2 3 4" xfId="3986"/>
    <cellStyle name="Normal 3 3 2 3 2 3 4 2" xfId="48679"/>
    <cellStyle name="Normal 3 3 2 3 2 3 5" xfId="42973"/>
    <cellStyle name="Normal 3 3 2 3 2 3 5 2" xfId="58099"/>
    <cellStyle name="Normal 3 3 2 3 2 3 6" xfId="46917"/>
    <cellStyle name="Normal 3 3 2 3 2 4" xfId="1174"/>
    <cellStyle name="Normal 3 3 2 3 2 4 2" xfId="5523"/>
    <cellStyle name="Normal 3 3 2 3 2 4 2 2" xfId="50208"/>
    <cellStyle name="Normal 3 3 2 3 2 4 3" xfId="11984"/>
    <cellStyle name="Normal 3 3 2 3 2 4 3 2" xfId="52238"/>
    <cellStyle name="Normal 3 3 2 3 2 4 4" xfId="4345"/>
    <cellStyle name="Normal 3 3 2 3 2 4 4 2" xfId="49035"/>
    <cellStyle name="Normal 3 3 2 3 2 4 5" xfId="40737"/>
    <cellStyle name="Normal 3 3 2 3 2 4 5 2" xfId="55864"/>
    <cellStyle name="Normal 3 3 2 3 2 4 6" xfId="46404"/>
    <cellStyle name="Normal 3 3 2 3 2 5" xfId="4771"/>
    <cellStyle name="Normal 3 3 2 3 2 5 2" xfId="49456"/>
    <cellStyle name="Normal 3 3 2 3 2 6" xfId="11232"/>
    <cellStyle name="Normal 3 3 2 3 2 6 2" xfId="51486"/>
    <cellStyle name="Normal 3 3 2 3 2 7" xfId="3409"/>
    <cellStyle name="Normal 3 3 2 3 2 7 2" xfId="48103"/>
    <cellStyle name="Normal 3 3 2 3 2 8" xfId="38880"/>
    <cellStyle name="Normal 3 3 2 3 2 8 2" xfId="54012"/>
    <cellStyle name="Normal 3 3 2 3 2 9" xfId="45652"/>
    <cellStyle name="Normal 3 3 2 3 3" xfId="876"/>
    <cellStyle name="Normal 3 3 2 3 3 2" xfId="5225"/>
    <cellStyle name="Normal 3 3 2 3 3 2 2" xfId="44188"/>
    <cellStyle name="Normal 3 3 2 3 3 2 2 2" xfId="59314"/>
    <cellStyle name="Normal 3 3 2 3 3 2 3" xfId="41952"/>
    <cellStyle name="Normal 3 3 2 3 3 2 3 2" xfId="57079"/>
    <cellStyle name="Normal 3 3 2 3 3 2 4" xfId="39672"/>
    <cellStyle name="Normal 3 3 2 3 3 2 4 2" xfId="54800"/>
    <cellStyle name="Normal 3 3 2 3 3 2 5" xfId="49910"/>
    <cellStyle name="Normal 3 3 2 3 3 3" xfId="11686"/>
    <cellStyle name="Normal 3 3 2 3 3 3 2" xfId="43324"/>
    <cellStyle name="Normal 3 3 2 3 3 3 2 2" xfId="58450"/>
    <cellStyle name="Normal 3 3 2 3 3 3 3" xfId="51940"/>
    <cellStyle name="Normal 3 3 2 3 3 4" xfId="3111"/>
    <cellStyle name="Normal 3 3 2 3 3 4 2" xfId="41088"/>
    <cellStyle name="Normal 3 3 2 3 3 4 2 2" xfId="56215"/>
    <cellStyle name="Normal 3 3 2 3 3 4 3" xfId="47805"/>
    <cellStyle name="Normal 3 3 2 3 3 5" xfId="38506"/>
    <cellStyle name="Normal 3 3 2 3 3 5 2" xfId="53661"/>
    <cellStyle name="Normal 3 3 2 3 3 6" xfId="46106"/>
    <cellStyle name="Normal 3 3 2 3 4" xfId="753"/>
    <cellStyle name="Normal 3 3 2 3 4 2" xfId="5102"/>
    <cellStyle name="Normal 3 3 2 3 4 2 2" xfId="43750"/>
    <cellStyle name="Normal 3 3 2 3 4 2 2 2" xfId="58876"/>
    <cellStyle name="Normal 3 3 2 3 4 2 3" xfId="49787"/>
    <cellStyle name="Normal 3 3 2 3 4 3" xfId="11563"/>
    <cellStyle name="Normal 3 3 2 3 4 3 2" xfId="41514"/>
    <cellStyle name="Normal 3 3 2 3 4 3 2 2" xfId="56641"/>
    <cellStyle name="Normal 3 3 2 3 4 3 3" xfId="51817"/>
    <cellStyle name="Normal 3 3 2 3 4 4" xfId="2988"/>
    <cellStyle name="Normal 3 3 2 3 4 4 2" xfId="47682"/>
    <cellStyle name="Normal 3 3 2 3 4 5" xfId="39234"/>
    <cellStyle name="Normal 3 3 2 3 4 5 2" xfId="54362"/>
    <cellStyle name="Normal 3 3 2 3 4 6" xfId="45983"/>
    <cellStyle name="Normal 3 3 2 3 5" xfId="543"/>
    <cellStyle name="Normal 3 3 2 3 5 2" xfId="4892"/>
    <cellStyle name="Normal 3 3 2 3 5 2 2" xfId="49577"/>
    <cellStyle name="Normal 3 3 2 3 5 3" xfId="11353"/>
    <cellStyle name="Normal 3 3 2 3 5 3 2" xfId="51607"/>
    <cellStyle name="Normal 3 3 2 3 5 4" xfId="3478"/>
    <cellStyle name="Normal 3 3 2 3 5 4 2" xfId="48172"/>
    <cellStyle name="Normal 3 3 2 3 5 5" xfId="42622"/>
    <cellStyle name="Normal 3 3 2 3 5 5 2" xfId="57749"/>
    <cellStyle name="Normal 3 3 2 3 5 6" xfId="45773"/>
    <cellStyle name="Normal 3 3 2 3 6" xfId="1804"/>
    <cellStyle name="Normal 3 3 2 3 6 2" xfId="12613"/>
    <cellStyle name="Normal 3 3 2 3 6 2 2" xfId="52867"/>
    <cellStyle name="Normal 3 3 2 3 6 3" xfId="6152"/>
    <cellStyle name="Normal 3 3 2 3 6 3 2" xfId="50837"/>
    <cellStyle name="Normal 3 3 2 3 6 4" xfId="40387"/>
    <cellStyle name="Normal 3 3 2 3 6 4 2" xfId="55514"/>
    <cellStyle name="Normal 3 3 2 3 6 5" xfId="47033"/>
    <cellStyle name="Normal 3 3 2 3 7" xfId="4468"/>
    <cellStyle name="Normal 3 3 2 3 7 2" xfId="49158"/>
    <cellStyle name="Normal 3 3 2 3 8" xfId="10934"/>
    <cellStyle name="Normal 3 3 2 3 8 2" xfId="51188"/>
    <cellStyle name="Normal 3 3 2 3 9" xfId="2771"/>
    <cellStyle name="Normal 3 3 2 3 9 2" xfId="47471"/>
    <cellStyle name="Normal 3 3 2 4" xfId="210"/>
    <cellStyle name="Normal 3 3 2 4 10" xfId="38099"/>
    <cellStyle name="Normal 3 3 2 4 10 2" xfId="53299"/>
    <cellStyle name="Normal 3 3 2 4 11" xfId="45442"/>
    <cellStyle name="Normal 3 3 2 4 2" xfId="964"/>
    <cellStyle name="Normal 3 3 2 4 2 2" xfId="5313"/>
    <cellStyle name="Normal 3 3 2 4 2 2 2" xfId="44615"/>
    <cellStyle name="Normal 3 3 2 4 2 2 2 2" xfId="59741"/>
    <cellStyle name="Normal 3 3 2 4 2 2 3" xfId="42379"/>
    <cellStyle name="Normal 3 3 2 4 2 2 3 2" xfId="57506"/>
    <cellStyle name="Normal 3 3 2 4 2 2 4" xfId="40099"/>
    <cellStyle name="Normal 3 3 2 4 2 2 4 2" xfId="55227"/>
    <cellStyle name="Normal 3 3 2 4 2 2 5" xfId="49998"/>
    <cellStyle name="Normal 3 3 2 4 2 3" xfId="11774"/>
    <cellStyle name="Normal 3 3 2 4 2 3 2" xfId="43049"/>
    <cellStyle name="Normal 3 3 2 4 2 3 2 2" xfId="58175"/>
    <cellStyle name="Normal 3 3 2 4 2 3 3" xfId="52028"/>
    <cellStyle name="Normal 3 3 2 4 2 4" xfId="3199"/>
    <cellStyle name="Normal 3 3 2 4 2 4 2" xfId="40813"/>
    <cellStyle name="Normal 3 3 2 4 2 4 2 2" xfId="55940"/>
    <cellStyle name="Normal 3 3 2 4 2 4 3" xfId="47893"/>
    <cellStyle name="Normal 3 3 2 4 2 5" xfId="38957"/>
    <cellStyle name="Normal 3 3 2 4 2 5 2" xfId="54088"/>
    <cellStyle name="Normal 3 3 2 4 2 6" xfId="46194"/>
    <cellStyle name="Normal 3 3 2 4 3" xfId="1266"/>
    <cellStyle name="Normal 3 3 2 4 3 2" xfId="5615"/>
    <cellStyle name="Normal 3 3 2 4 3 2 2" xfId="44264"/>
    <cellStyle name="Normal 3 3 2 4 3 2 2 2" xfId="59390"/>
    <cellStyle name="Normal 3 3 2 4 3 2 3" xfId="42028"/>
    <cellStyle name="Normal 3 3 2 4 3 2 3 2" xfId="57155"/>
    <cellStyle name="Normal 3 3 2 4 3 2 4" xfId="39748"/>
    <cellStyle name="Normal 3 3 2 4 3 2 4 2" xfId="54876"/>
    <cellStyle name="Normal 3 3 2 4 3 2 5" xfId="50300"/>
    <cellStyle name="Normal 3 3 2 4 3 3" xfId="12076"/>
    <cellStyle name="Normal 3 3 2 4 3 3 2" xfId="43400"/>
    <cellStyle name="Normal 3 3 2 4 3 3 2 2" xfId="58526"/>
    <cellStyle name="Normal 3 3 2 4 3 3 3" xfId="52330"/>
    <cellStyle name="Normal 3 3 2 4 3 4" xfId="3549"/>
    <cellStyle name="Normal 3 3 2 4 3 4 2" xfId="41164"/>
    <cellStyle name="Normal 3 3 2 4 3 4 2 2" xfId="56291"/>
    <cellStyle name="Normal 3 3 2 4 3 4 3" xfId="48242"/>
    <cellStyle name="Normal 3 3 2 4 3 5" xfId="38584"/>
    <cellStyle name="Normal 3 3 2 4 3 5 2" xfId="53737"/>
    <cellStyle name="Normal 3 3 2 4 3 6" xfId="46496"/>
    <cellStyle name="Normal 3 3 2 4 4" xfId="1477"/>
    <cellStyle name="Normal 3 3 2 4 4 2" xfId="5826"/>
    <cellStyle name="Normal 3 3 2 4 4 2 2" xfId="43826"/>
    <cellStyle name="Normal 3 3 2 4 4 2 2 2" xfId="58952"/>
    <cellStyle name="Normal 3 3 2 4 4 2 3" xfId="50511"/>
    <cellStyle name="Normal 3 3 2 4 4 3" xfId="12287"/>
    <cellStyle name="Normal 3 3 2 4 4 3 2" xfId="41590"/>
    <cellStyle name="Normal 3 3 2 4 4 3 2 2" xfId="56717"/>
    <cellStyle name="Normal 3 3 2 4 4 3 3" xfId="52541"/>
    <cellStyle name="Normal 3 3 2 4 4 4" xfId="3776"/>
    <cellStyle name="Normal 3 3 2 4 4 4 2" xfId="48469"/>
    <cellStyle name="Normal 3 3 2 4 4 5" xfId="39310"/>
    <cellStyle name="Normal 3 3 2 4 4 5 2" xfId="54438"/>
    <cellStyle name="Normal 3 3 2 4 4 6" xfId="46707"/>
    <cellStyle name="Normal 3 3 2 4 5" xfId="632"/>
    <cellStyle name="Normal 3 3 2 4 5 2" xfId="4981"/>
    <cellStyle name="Normal 3 3 2 4 5 2 2" xfId="49666"/>
    <cellStyle name="Normal 3 3 2 4 5 3" xfId="11442"/>
    <cellStyle name="Normal 3 3 2 4 5 3 2" xfId="51696"/>
    <cellStyle name="Normal 3 3 2 4 5 4" xfId="4135"/>
    <cellStyle name="Normal 3 3 2 4 5 4 2" xfId="48825"/>
    <cellStyle name="Normal 3 3 2 4 5 5" xfId="42698"/>
    <cellStyle name="Normal 3 3 2 4 5 5 2" xfId="57825"/>
    <cellStyle name="Normal 3 3 2 4 5 6" xfId="45862"/>
    <cellStyle name="Normal 3 3 2 4 6" xfId="1883"/>
    <cellStyle name="Normal 3 3 2 4 6 2" xfId="12690"/>
    <cellStyle name="Normal 3 3 2 4 6 2 2" xfId="52943"/>
    <cellStyle name="Normal 3 3 2 4 6 3" xfId="6230"/>
    <cellStyle name="Normal 3 3 2 4 6 3 2" xfId="50913"/>
    <cellStyle name="Normal 3 3 2 4 6 4" xfId="40463"/>
    <cellStyle name="Normal 3 3 2 4 6 4 2" xfId="55590"/>
    <cellStyle name="Normal 3 3 2 4 6 5" xfId="47109"/>
    <cellStyle name="Normal 3 3 2 4 7" xfId="4559"/>
    <cellStyle name="Normal 3 3 2 4 7 2" xfId="49246"/>
    <cellStyle name="Normal 3 3 2 4 8" xfId="11022"/>
    <cellStyle name="Normal 3 3 2 4 8 2" xfId="51276"/>
    <cellStyle name="Normal 3 3 2 4 9" xfId="2866"/>
    <cellStyle name="Normal 3 3 2 4 9 2" xfId="47560"/>
    <cellStyle name="Normal 3 3 2 5" xfId="301"/>
    <cellStyle name="Normal 3 3 2 5 10" xfId="45531"/>
    <cellStyle name="Normal 3 3 2 5 2" xfId="1355"/>
    <cellStyle name="Normal 3 3 2 5 2 2" xfId="5704"/>
    <cellStyle name="Normal 3 3 2 5 2 2 2" xfId="44691"/>
    <cellStyle name="Normal 3 3 2 5 2 2 2 2" xfId="59817"/>
    <cellStyle name="Normal 3 3 2 5 2 2 3" xfId="42455"/>
    <cellStyle name="Normal 3 3 2 5 2 2 3 2" xfId="57582"/>
    <cellStyle name="Normal 3 3 2 5 2 2 4" xfId="40175"/>
    <cellStyle name="Normal 3 3 2 5 2 2 4 2" xfId="55303"/>
    <cellStyle name="Normal 3 3 2 5 2 2 5" xfId="50389"/>
    <cellStyle name="Normal 3 3 2 5 2 3" xfId="12165"/>
    <cellStyle name="Normal 3 3 2 5 2 3 2" xfId="43125"/>
    <cellStyle name="Normal 3 3 2 5 2 3 2 2" xfId="58251"/>
    <cellStyle name="Normal 3 3 2 5 2 3 3" xfId="52419"/>
    <cellStyle name="Normal 3 3 2 5 2 4" xfId="3638"/>
    <cellStyle name="Normal 3 3 2 5 2 4 2" xfId="40889"/>
    <cellStyle name="Normal 3 3 2 5 2 4 2 2" xfId="56016"/>
    <cellStyle name="Normal 3 3 2 5 2 4 3" xfId="48331"/>
    <cellStyle name="Normal 3 3 2 5 2 5" xfId="39033"/>
    <cellStyle name="Normal 3 3 2 5 2 5 2" xfId="54164"/>
    <cellStyle name="Normal 3 3 2 5 2 6" xfId="46585"/>
    <cellStyle name="Normal 3 3 2 5 3" xfId="1566"/>
    <cellStyle name="Normal 3 3 2 5 3 2" xfId="5915"/>
    <cellStyle name="Normal 3 3 2 5 3 2 2" xfId="44340"/>
    <cellStyle name="Normal 3 3 2 5 3 2 2 2" xfId="59466"/>
    <cellStyle name="Normal 3 3 2 5 3 2 3" xfId="42104"/>
    <cellStyle name="Normal 3 3 2 5 3 2 3 2" xfId="57231"/>
    <cellStyle name="Normal 3 3 2 5 3 2 4" xfId="39824"/>
    <cellStyle name="Normal 3 3 2 5 3 2 4 2" xfId="54952"/>
    <cellStyle name="Normal 3 3 2 5 3 2 5" xfId="50600"/>
    <cellStyle name="Normal 3 3 2 5 3 3" xfId="12376"/>
    <cellStyle name="Normal 3 3 2 5 3 3 2" xfId="43476"/>
    <cellStyle name="Normal 3 3 2 5 3 3 2 2" xfId="58602"/>
    <cellStyle name="Normal 3 3 2 5 3 3 3" xfId="52630"/>
    <cellStyle name="Normal 3 3 2 5 3 4" xfId="3865"/>
    <cellStyle name="Normal 3 3 2 5 3 4 2" xfId="41240"/>
    <cellStyle name="Normal 3 3 2 5 3 4 2 2" xfId="56367"/>
    <cellStyle name="Normal 3 3 2 5 3 4 3" xfId="48558"/>
    <cellStyle name="Normal 3 3 2 5 3 5" xfId="38660"/>
    <cellStyle name="Normal 3 3 2 5 3 5 2" xfId="53813"/>
    <cellStyle name="Normal 3 3 2 5 3 6" xfId="46796"/>
    <cellStyle name="Normal 3 3 2 5 4" xfId="1053"/>
    <cellStyle name="Normal 3 3 2 5 4 2" xfId="5402"/>
    <cellStyle name="Normal 3 3 2 5 4 2 2" xfId="43902"/>
    <cellStyle name="Normal 3 3 2 5 4 2 2 2" xfId="59028"/>
    <cellStyle name="Normal 3 3 2 5 4 2 3" xfId="50087"/>
    <cellStyle name="Normal 3 3 2 5 4 3" xfId="11863"/>
    <cellStyle name="Normal 3 3 2 5 4 3 2" xfId="41666"/>
    <cellStyle name="Normal 3 3 2 5 4 3 2 2" xfId="56793"/>
    <cellStyle name="Normal 3 3 2 5 4 3 3" xfId="52117"/>
    <cellStyle name="Normal 3 3 2 5 4 4" xfId="4224"/>
    <cellStyle name="Normal 3 3 2 5 4 4 2" xfId="48914"/>
    <cellStyle name="Normal 3 3 2 5 4 5" xfId="39386"/>
    <cellStyle name="Normal 3 3 2 5 4 5 2" xfId="54514"/>
    <cellStyle name="Normal 3 3 2 5 4 6" xfId="46283"/>
    <cellStyle name="Normal 3 3 2 5 5" xfId="1959"/>
    <cellStyle name="Normal 3 3 2 5 5 2" xfId="12766"/>
    <cellStyle name="Normal 3 3 2 5 5 2 2" xfId="53019"/>
    <cellStyle name="Normal 3 3 2 5 5 3" xfId="6306"/>
    <cellStyle name="Normal 3 3 2 5 5 3 2" xfId="50989"/>
    <cellStyle name="Normal 3 3 2 5 5 4" xfId="42774"/>
    <cellStyle name="Normal 3 3 2 5 5 4 2" xfId="57901"/>
    <cellStyle name="Normal 3 3 2 5 5 5" xfId="47185"/>
    <cellStyle name="Normal 3 3 2 5 6" xfId="4650"/>
    <cellStyle name="Normal 3 3 2 5 6 2" xfId="40539"/>
    <cellStyle name="Normal 3 3 2 5 6 2 2" xfId="55666"/>
    <cellStyle name="Normal 3 3 2 5 6 3" xfId="49335"/>
    <cellStyle name="Normal 3 3 2 5 7" xfId="11111"/>
    <cellStyle name="Normal 3 3 2 5 7 2" xfId="51365"/>
    <cellStyle name="Normal 3 3 2 5 8" xfId="3288"/>
    <cellStyle name="Normal 3 3 2 5 8 2" xfId="47982"/>
    <cellStyle name="Normal 3 3 2 5 9" xfId="38175"/>
    <cellStyle name="Normal 3 3 2 5 9 2" xfId="53375"/>
    <cellStyle name="Normal 3 3 2 6" xfId="390"/>
    <cellStyle name="Normal 3 3 2 6 2" xfId="1655"/>
    <cellStyle name="Normal 3 3 2 6 2 2" xfId="6004"/>
    <cellStyle name="Normal 3 3 2 6 2 2 2" xfId="44767"/>
    <cellStyle name="Normal 3 3 2 6 2 2 2 2" xfId="59893"/>
    <cellStyle name="Normal 3 3 2 6 2 2 3" xfId="42531"/>
    <cellStyle name="Normal 3 3 2 6 2 2 3 2" xfId="57658"/>
    <cellStyle name="Normal 3 3 2 6 2 2 4" xfId="40251"/>
    <cellStyle name="Normal 3 3 2 6 2 2 4 2" xfId="55379"/>
    <cellStyle name="Normal 3 3 2 6 2 2 5" xfId="50689"/>
    <cellStyle name="Normal 3 3 2 6 2 3" xfId="12465"/>
    <cellStyle name="Normal 3 3 2 6 2 3 2" xfId="43201"/>
    <cellStyle name="Normal 3 3 2 6 2 3 2 2" xfId="58327"/>
    <cellStyle name="Normal 3 3 2 6 2 3 3" xfId="52719"/>
    <cellStyle name="Normal 3 3 2 6 2 4" xfId="3954"/>
    <cellStyle name="Normal 3 3 2 6 2 4 2" xfId="40965"/>
    <cellStyle name="Normal 3 3 2 6 2 4 2 2" xfId="56092"/>
    <cellStyle name="Normal 3 3 2 6 2 4 3" xfId="48647"/>
    <cellStyle name="Normal 3 3 2 6 2 5" xfId="39109"/>
    <cellStyle name="Normal 3 3 2 6 2 5 2" xfId="54240"/>
    <cellStyle name="Normal 3 3 2 6 2 6" xfId="46885"/>
    <cellStyle name="Normal 3 3 2 6 3" xfId="1142"/>
    <cellStyle name="Normal 3 3 2 6 3 2" xfId="5491"/>
    <cellStyle name="Normal 3 3 2 6 3 2 2" xfId="44416"/>
    <cellStyle name="Normal 3 3 2 6 3 2 2 2" xfId="59542"/>
    <cellStyle name="Normal 3 3 2 6 3 2 3" xfId="42180"/>
    <cellStyle name="Normal 3 3 2 6 3 2 3 2" xfId="57307"/>
    <cellStyle name="Normal 3 3 2 6 3 2 4" xfId="39900"/>
    <cellStyle name="Normal 3 3 2 6 3 2 4 2" xfId="55028"/>
    <cellStyle name="Normal 3 3 2 6 3 2 5" xfId="50176"/>
    <cellStyle name="Normal 3 3 2 6 3 3" xfId="11952"/>
    <cellStyle name="Normal 3 3 2 6 3 3 2" xfId="43552"/>
    <cellStyle name="Normal 3 3 2 6 3 3 2 2" xfId="58678"/>
    <cellStyle name="Normal 3 3 2 6 3 3 3" xfId="52206"/>
    <cellStyle name="Normal 3 3 2 6 3 4" xfId="4313"/>
    <cellStyle name="Normal 3 3 2 6 3 4 2" xfId="41316"/>
    <cellStyle name="Normal 3 3 2 6 3 4 2 2" xfId="56443"/>
    <cellStyle name="Normal 3 3 2 6 3 4 3" xfId="49003"/>
    <cellStyle name="Normal 3 3 2 6 3 5" xfId="38736"/>
    <cellStyle name="Normal 3 3 2 6 3 5 2" xfId="53889"/>
    <cellStyle name="Normal 3 3 2 6 3 6" xfId="46372"/>
    <cellStyle name="Normal 3 3 2 6 4" xfId="2036"/>
    <cellStyle name="Normal 3 3 2 6 4 2" xfId="12842"/>
    <cellStyle name="Normal 3 3 2 6 4 2 2" xfId="43978"/>
    <cellStyle name="Normal 3 3 2 6 4 2 2 2" xfId="59104"/>
    <cellStyle name="Normal 3 3 2 6 4 2 3" xfId="53095"/>
    <cellStyle name="Normal 3 3 2 6 4 3" xfId="6382"/>
    <cellStyle name="Normal 3 3 2 6 4 3 2" xfId="41742"/>
    <cellStyle name="Normal 3 3 2 6 4 3 2 2" xfId="56869"/>
    <cellStyle name="Normal 3 3 2 6 4 3 3" xfId="51065"/>
    <cellStyle name="Normal 3 3 2 6 4 4" xfId="39462"/>
    <cellStyle name="Normal 3 3 2 6 4 4 2" xfId="54590"/>
    <cellStyle name="Normal 3 3 2 6 4 5" xfId="47261"/>
    <cellStyle name="Normal 3 3 2 6 5" xfId="4739"/>
    <cellStyle name="Normal 3 3 2 6 5 2" xfId="42850"/>
    <cellStyle name="Normal 3 3 2 6 5 2 2" xfId="57977"/>
    <cellStyle name="Normal 3 3 2 6 5 3" xfId="49424"/>
    <cellStyle name="Normal 3 3 2 6 6" xfId="11200"/>
    <cellStyle name="Normal 3 3 2 6 6 2" xfId="40615"/>
    <cellStyle name="Normal 3 3 2 6 6 2 2" xfId="55742"/>
    <cellStyle name="Normal 3 3 2 6 6 3" xfId="51454"/>
    <cellStyle name="Normal 3 3 2 6 7" xfId="3377"/>
    <cellStyle name="Normal 3 3 2 6 7 2" xfId="48071"/>
    <cellStyle name="Normal 3 3 2 6 8" xfId="38251"/>
    <cellStyle name="Normal 3 3 2 6 8 2" xfId="53451"/>
    <cellStyle name="Normal 3 3 2 6 9" xfId="45620"/>
    <cellStyle name="Normal 3 3 2 7" xfId="842"/>
    <cellStyle name="Normal 3 3 2 7 2" xfId="5191"/>
    <cellStyle name="Normal 3 3 2 7 2 2" xfId="40000"/>
    <cellStyle name="Normal 3 3 2 7 2 2 2" xfId="44516"/>
    <cellStyle name="Normal 3 3 2 7 2 2 2 2" xfId="59642"/>
    <cellStyle name="Normal 3 3 2 7 2 2 3" xfId="42280"/>
    <cellStyle name="Normal 3 3 2 7 2 2 3 2" xfId="57407"/>
    <cellStyle name="Normal 3 3 2 7 2 2 4" xfId="55128"/>
    <cellStyle name="Normal 3 3 2 7 2 3" xfId="43651"/>
    <cellStyle name="Normal 3 3 2 7 2 3 2" xfId="58777"/>
    <cellStyle name="Normal 3 3 2 7 2 4" xfId="41415"/>
    <cellStyle name="Normal 3 3 2 7 2 4 2" xfId="56542"/>
    <cellStyle name="Normal 3 3 2 7 2 5" xfId="38857"/>
    <cellStyle name="Normal 3 3 2 7 2 5 2" xfId="53989"/>
    <cellStyle name="Normal 3 3 2 7 2 6" xfId="49876"/>
    <cellStyle name="Normal 3 3 2 7 3" xfId="11652"/>
    <cellStyle name="Normal 3 3 2 7 3 2" xfId="44062"/>
    <cellStyle name="Normal 3 3 2 7 3 2 2" xfId="59188"/>
    <cellStyle name="Normal 3 3 2 7 3 3" xfId="41826"/>
    <cellStyle name="Normal 3 3 2 7 3 3 2" xfId="56953"/>
    <cellStyle name="Normal 3 3 2 7 3 4" xfId="39546"/>
    <cellStyle name="Normal 3 3 2 7 3 4 2" xfId="54674"/>
    <cellStyle name="Normal 3 3 2 7 3 5" xfId="51906"/>
    <cellStyle name="Normal 3 3 2 7 4" xfId="3077"/>
    <cellStyle name="Normal 3 3 2 7 4 2" xfId="42950"/>
    <cellStyle name="Normal 3 3 2 7 4 2 2" xfId="58076"/>
    <cellStyle name="Normal 3 3 2 7 4 3" xfId="47771"/>
    <cellStyle name="Normal 3 3 2 7 5" xfId="40714"/>
    <cellStyle name="Normal 3 3 2 7 5 2" xfId="55841"/>
    <cellStyle name="Normal 3 3 2 7 6" xfId="38376"/>
    <cellStyle name="Normal 3 3 2 7 6 2" xfId="53535"/>
    <cellStyle name="Normal 3 3 2 7 7" xfId="46072"/>
    <cellStyle name="Normal 3 3 2 8" xfId="721"/>
    <cellStyle name="Normal 3 3 2 8 2" xfId="5070"/>
    <cellStyle name="Normal 3 3 2 8 2 2" xfId="44165"/>
    <cellStyle name="Normal 3 3 2 8 2 2 2" xfId="59291"/>
    <cellStyle name="Normal 3 3 2 8 2 3" xfId="41929"/>
    <cellStyle name="Normal 3 3 2 8 2 3 2" xfId="57056"/>
    <cellStyle name="Normal 3 3 2 8 2 4" xfId="39649"/>
    <cellStyle name="Normal 3 3 2 8 2 4 2" xfId="54777"/>
    <cellStyle name="Normal 3 3 2 8 2 5" xfId="49755"/>
    <cellStyle name="Normal 3 3 2 8 3" xfId="11531"/>
    <cellStyle name="Normal 3 3 2 8 3 2" xfId="43301"/>
    <cellStyle name="Normal 3 3 2 8 3 2 2" xfId="58427"/>
    <cellStyle name="Normal 3 3 2 8 3 3" xfId="51785"/>
    <cellStyle name="Normal 3 3 2 8 4" xfId="2955"/>
    <cellStyle name="Normal 3 3 2 8 4 2" xfId="41065"/>
    <cellStyle name="Normal 3 3 2 8 4 2 2" xfId="56192"/>
    <cellStyle name="Normal 3 3 2 8 4 3" xfId="47649"/>
    <cellStyle name="Normal 3 3 2 8 5" xfId="38482"/>
    <cellStyle name="Normal 3 3 2 8 5 2" xfId="53638"/>
    <cellStyle name="Normal 3 3 2 8 6" xfId="45951"/>
    <cellStyle name="Normal 3 3 2 9" xfId="511"/>
    <cellStyle name="Normal 3 3 2 9 2" xfId="4860"/>
    <cellStyle name="Normal 3 3 2 9 2 2" xfId="43727"/>
    <cellStyle name="Normal 3 3 2 9 2 2 2" xfId="58853"/>
    <cellStyle name="Normal 3 3 2 9 2 3" xfId="49545"/>
    <cellStyle name="Normal 3 3 2 9 3" xfId="11321"/>
    <cellStyle name="Normal 3 3 2 9 3 2" xfId="41491"/>
    <cellStyle name="Normal 3 3 2 9 3 2 2" xfId="56618"/>
    <cellStyle name="Normal 3 3 2 9 3 3" xfId="51575"/>
    <cellStyle name="Normal 3 3 2 9 4" xfId="3480"/>
    <cellStyle name="Normal 3 3 2 9 4 2" xfId="48174"/>
    <cellStyle name="Normal 3 3 2 9 5" xfId="39211"/>
    <cellStyle name="Normal 3 3 2 9 5 2" xfId="54339"/>
    <cellStyle name="Normal 3 3 2 9 6" xfId="45741"/>
    <cellStyle name="Normal 3 3 3" xfId="112"/>
    <cellStyle name="Normal 3 3 3 10" xfId="10936"/>
    <cellStyle name="Normal 3 3 3 10 2" xfId="51190"/>
    <cellStyle name="Normal 3 3 3 11" xfId="2773"/>
    <cellStyle name="Normal 3 3 3 11 2" xfId="47473"/>
    <cellStyle name="Normal 3 3 3 12" xfId="38025"/>
    <cellStyle name="Normal 3 3 3 12 2" xfId="53225"/>
    <cellStyle name="Normal 3 3 3 13" xfId="45356"/>
    <cellStyle name="Normal 3 3 3 2" xfId="212"/>
    <cellStyle name="Normal 3 3 3 2 10" xfId="38101"/>
    <cellStyle name="Normal 3 3 3 2 10 2" xfId="53301"/>
    <cellStyle name="Normal 3 3 3 2 11" xfId="45444"/>
    <cellStyle name="Normal 3 3 3 2 2" xfId="966"/>
    <cellStyle name="Normal 3 3 3 2 2 2" xfId="5315"/>
    <cellStyle name="Normal 3 3 3 2 2 2 2" xfId="44617"/>
    <cellStyle name="Normal 3 3 3 2 2 2 2 2" xfId="59743"/>
    <cellStyle name="Normal 3 3 3 2 2 2 3" xfId="42381"/>
    <cellStyle name="Normal 3 3 3 2 2 2 3 2" xfId="57508"/>
    <cellStyle name="Normal 3 3 3 2 2 2 4" xfId="40101"/>
    <cellStyle name="Normal 3 3 3 2 2 2 4 2" xfId="55229"/>
    <cellStyle name="Normal 3 3 3 2 2 2 5" xfId="50000"/>
    <cellStyle name="Normal 3 3 3 2 2 3" xfId="11776"/>
    <cellStyle name="Normal 3 3 3 2 2 3 2" xfId="43051"/>
    <cellStyle name="Normal 3 3 3 2 2 3 2 2" xfId="58177"/>
    <cellStyle name="Normal 3 3 3 2 2 3 3" xfId="52030"/>
    <cellStyle name="Normal 3 3 3 2 2 4" xfId="3201"/>
    <cellStyle name="Normal 3 3 3 2 2 4 2" xfId="40815"/>
    <cellStyle name="Normal 3 3 3 2 2 4 2 2" xfId="55942"/>
    <cellStyle name="Normal 3 3 3 2 2 4 3" xfId="47895"/>
    <cellStyle name="Normal 3 3 3 2 2 5" xfId="38959"/>
    <cellStyle name="Normal 3 3 3 2 2 5 2" xfId="54090"/>
    <cellStyle name="Normal 3 3 3 2 2 6" xfId="46196"/>
    <cellStyle name="Normal 3 3 3 2 3" xfId="1268"/>
    <cellStyle name="Normal 3 3 3 2 3 2" xfId="5617"/>
    <cellStyle name="Normal 3 3 3 2 3 2 2" xfId="44266"/>
    <cellStyle name="Normal 3 3 3 2 3 2 2 2" xfId="59392"/>
    <cellStyle name="Normal 3 3 3 2 3 2 3" xfId="42030"/>
    <cellStyle name="Normal 3 3 3 2 3 2 3 2" xfId="57157"/>
    <cellStyle name="Normal 3 3 3 2 3 2 4" xfId="39750"/>
    <cellStyle name="Normal 3 3 3 2 3 2 4 2" xfId="54878"/>
    <cellStyle name="Normal 3 3 3 2 3 2 5" xfId="50302"/>
    <cellStyle name="Normal 3 3 3 2 3 3" xfId="12078"/>
    <cellStyle name="Normal 3 3 3 2 3 3 2" xfId="43402"/>
    <cellStyle name="Normal 3 3 3 2 3 3 2 2" xfId="58528"/>
    <cellStyle name="Normal 3 3 3 2 3 3 3" xfId="52332"/>
    <cellStyle name="Normal 3 3 3 2 3 4" xfId="3551"/>
    <cellStyle name="Normal 3 3 3 2 3 4 2" xfId="41166"/>
    <cellStyle name="Normal 3 3 3 2 3 4 2 2" xfId="56293"/>
    <cellStyle name="Normal 3 3 3 2 3 4 3" xfId="48244"/>
    <cellStyle name="Normal 3 3 3 2 3 5" xfId="38586"/>
    <cellStyle name="Normal 3 3 3 2 3 5 2" xfId="53739"/>
    <cellStyle name="Normal 3 3 3 2 3 6" xfId="46498"/>
    <cellStyle name="Normal 3 3 3 2 4" xfId="1479"/>
    <cellStyle name="Normal 3 3 3 2 4 2" xfId="5828"/>
    <cellStyle name="Normal 3 3 3 2 4 2 2" xfId="43828"/>
    <cellStyle name="Normal 3 3 3 2 4 2 2 2" xfId="58954"/>
    <cellStyle name="Normal 3 3 3 2 4 2 3" xfId="50513"/>
    <cellStyle name="Normal 3 3 3 2 4 3" xfId="12289"/>
    <cellStyle name="Normal 3 3 3 2 4 3 2" xfId="41592"/>
    <cellStyle name="Normal 3 3 3 2 4 3 2 2" xfId="56719"/>
    <cellStyle name="Normal 3 3 3 2 4 3 3" xfId="52543"/>
    <cellStyle name="Normal 3 3 3 2 4 4" xfId="3778"/>
    <cellStyle name="Normal 3 3 3 2 4 4 2" xfId="48471"/>
    <cellStyle name="Normal 3 3 3 2 4 5" xfId="39312"/>
    <cellStyle name="Normal 3 3 3 2 4 5 2" xfId="54440"/>
    <cellStyle name="Normal 3 3 3 2 4 6" xfId="46709"/>
    <cellStyle name="Normal 3 3 3 2 5" xfId="634"/>
    <cellStyle name="Normal 3 3 3 2 5 2" xfId="4983"/>
    <cellStyle name="Normal 3 3 3 2 5 2 2" xfId="49668"/>
    <cellStyle name="Normal 3 3 3 2 5 3" xfId="11444"/>
    <cellStyle name="Normal 3 3 3 2 5 3 2" xfId="51698"/>
    <cellStyle name="Normal 3 3 3 2 5 4" xfId="4137"/>
    <cellStyle name="Normal 3 3 3 2 5 4 2" xfId="48827"/>
    <cellStyle name="Normal 3 3 3 2 5 5" xfId="42700"/>
    <cellStyle name="Normal 3 3 3 2 5 5 2" xfId="57827"/>
    <cellStyle name="Normal 3 3 3 2 5 6" xfId="45864"/>
    <cellStyle name="Normal 3 3 3 2 6" xfId="1885"/>
    <cellStyle name="Normal 3 3 3 2 6 2" xfId="12692"/>
    <cellStyle name="Normal 3 3 3 2 6 2 2" xfId="52945"/>
    <cellStyle name="Normal 3 3 3 2 6 3" xfId="6232"/>
    <cellStyle name="Normal 3 3 3 2 6 3 2" xfId="50915"/>
    <cellStyle name="Normal 3 3 3 2 6 4" xfId="40465"/>
    <cellStyle name="Normal 3 3 3 2 6 4 2" xfId="55592"/>
    <cellStyle name="Normal 3 3 3 2 6 5" xfId="47111"/>
    <cellStyle name="Normal 3 3 3 2 7" xfId="4561"/>
    <cellStyle name="Normal 3 3 3 2 7 2" xfId="49248"/>
    <cellStyle name="Normal 3 3 3 2 8" xfId="11024"/>
    <cellStyle name="Normal 3 3 3 2 8 2" xfId="51278"/>
    <cellStyle name="Normal 3 3 3 2 9" xfId="2868"/>
    <cellStyle name="Normal 3 3 3 2 9 2" xfId="47562"/>
    <cellStyle name="Normal 3 3 3 3" xfId="303"/>
    <cellStyle name="Normal 3 3 3 3 10" xfId="45533"/>
    <cellStyle name="Normal 3 3 3 3 2" xfId="1357"/>
    <cellStyle name="Normal 3 3 3 3 2 2" xfId="5706"/>
    <cellStyle name="Normal 3 3 3 3 2 2 2" xfId="44693"/>
    <cellStyle name="Normal 3 3 3 3 2 2 2 2" xfId="59819"/>
    <cellStyle name="Normal 3 3 3 3 2 2 3" xfId="42457"/>
    <cellStyle name="Normal 3 3 3 3 2 2 3 2" xfId="57584"/>
    <cellStyle name="Normal 3 3 3 3 2 2 4" xfId="40177"/>
    <cellStyle name="Normal 3 3 3 3 2 2 4 2" xfId="55305"/>
    <cellStyle name="Normal 3 3 3 3 2 2 5" xfId="50391"/>
    <cellStyle name="Normal 3 3 3 3 2 3" xfId="12167"/>
    <cellStyle name="Normal 3 3 3 3 2 3 2" xfId="43127"/>
    <cellStyle name="Normal 3 3 3 3 2 3 2 2" xfId="58253"/>
    <cellStyle name="Normal 3 3 3 3 2 3 3" xfId="52421"/>
    <cellStyle name="Normal 3 3 3 3 2 4" xfId="3640"/>
    <cellStyle name="Normal 3 3 3 3 2 4 2" xfId="40891"/>
    <cellStyle name="Normal 3 3 3 3 2 4 2 2" xfId="56018"/>
    <cellStyle name="Normal 3 3 3 3 2 4 3" xfId="48333"/>
    <cellStyle name="Normal 3 3 3 3 2 5" xfId="39035"/>
    <cellStyle name="Normal 3 3 3 3 2 5 2" xfId="54166"/>
    <cellStyle name="Normal 3 3 3 3 2 6" xfId="46587"/>
    <cellStyle name="Normal 3 3 3 3 3" xfId="1568"/>
    <cellStyle name="Normal 3 3 3 3 3 2" xfId="5917"/>
    <cellStyle name="Normal 3 3 3 3 3 2 2" xfId="44342"/>
    <cellStyle name="Normal 3 3 3 3 3 2 2 2" xfId="59468"/>
    <cellStyle name="Normal 3 3 3 3 3 2 3" xfId="42106"/>
    <cellStyle name="Normal 3 3 3 3 3 2 3 2" xfId="57233"/>
    <cellStyle name="Normal 3 3 3 3 3 2 4" xfId="39826"/>
    <cellStyle name="Normal 3 3 3 3 3 2 4 2" xfId="54954"/>
    <cellStyle name="Normal 3 3 3 3 3 2 5" xfId="50602"/>
    <cellStyle name="Normal 3 3 3 3 3 3" xfId="12378"/>
    <cellStyle name="Normal 3 3 3 3 3 3 2" xfId="43478"/>
    <cellStyle name="Normal 3 3 3 3 3 3 2 2" xfId="58604"/>
    <cellStyle name="Normal 3 3 3 3 3 3 3" xfId="52632"/>
    <cellStyle name="Normal 3 3 3 3 3 4" xfId="3867"/>
    <cellStyle name="Normal 3 3 3 3 3 4 2" xfId="41242"/>
    <cellStyle name="Normal 3 3 3 3 3 4 2 2" xfId="56369"/>
    <cellStyle name="Normal 3 3 3 3 3 4 3" xfId="48560"/>
    <cellStyle name="Normal 3 3 3 3 3 5" xfId="38662"/>
    <cellStyle name="Normal 3 3 3 3 3 5 2" xfId="53815"/>
    <cellStyle name="Normal 3 3 3 3 3 6" xfId="46798"/>
    <cellStyle name="Normal 3 3 3 3 4" xfId="1055"/>
    <cellStyle name="Normal 3 3 3 3 4 2" xfId="5404"/>
    <cellStyle name="Normal 3 3 3 3 4 2 2" xfId="43904"/>
    <cellStyle name="Normal 3 3 3 3 4 2 2 2" xfId="59030"/>
    <cellStyle name="Normal 3 3 3 3 4 2 3" xfId="50089"/>
    <cellStyle name="Normal 3 3 3 3 4 3" xfId="11865"/>
    <cellStyle name="Normal 3 3 3 3 4 3 2" xfId="41668"/>
    <cellStyle name="Normal 3 3 3 3 4 3 2 2" xfId="56795"/>
    <cellStyle name="Normal 3 3 3 3 4 3 3" xfId="52119"/>
    <cellStyle name="Normal 3 3 3 3 4 4" xfId="4226"/>
    <cellStyle name="Normal 3 3 3 3 4 4 2" xfId="48916"/>
    <cellStyle name="Normal 3 3 3 3 4 5" xfId="39388"/>
    <cellStyle name="Normal 3 3 3 3 4 5 2" xfId="54516"/>
    <cellStyle name="Normal 3 3 3 3 4 6" xfId="46285"/>
    <cellStyle name="Normal 3 3 3 3 5" xfId="1961"/>
    <cellStyle name="Normal 3 3 3 3 5 2" xfId="12768"/>
    <cellStyle name="Normal 3 3 3 3 5 2 2" xfId="53021"/>
    <cellStyle name="Normal 3 3 3 3 5 3" xfId="6308"/>
    <cellStyle name="Normal 3 3 3 3 5 3 2" xfId="50991"/>
    <cellStyle name="Normal 3 3 3 3 5 4" xfId="42776"/>
    <cellStyle name="Normal 3 3 3 3 5 4 2" xfId="57903"/>
    <cellStyle name="Normal 3 3 3 3 5 5" xfId="47187"/>
    <cellStyle name="Normal 3 3 3 3 6" xfId="4652"/>
    <cellStyle name="Normal 3 3 3 3 6 2" xfId="40541"/>
    <cellStyle name="Normal 3 3 3 3 6 2 2" xfId="55668"/>
    <cellStyle name="Normal 3 3 3 3 6 3" xfId="49337"/>
    <cellStyle name="Normal 3 3 3 3 7" xfId="11113"/>
    <cellStyle name="Normal 3 3 3 3 7 2" xfId="51367"/>
    <cellStyle name="Normal 3 3 3 3 8" xfId="3290"/>
    <cellStyle name="Normal 3 3 3 3 8 2" xfId="47984"/>
    <cellStyle name="Normal 3 3 3 3 9" xfId="38177"/>
    <cellStyle name="Normal 3 3 3 3 9 2" xfId="53377"/>
    <cellStyle name="Normal 3 3 3 4" xfId="424"/>
    <cellStyle name="Normal 3 3 3 4 2" xfId="1689"/>
    <cellStyle name="Normal 3 3 3 4 2 2" xfId="6038"/>
    <cellStyle name="Normal 3 3 3 4 2 2 2" xfId="44769"/>
    <cellStyle name="Normal 3 3 3 4 2 2 2 2" xfId="59895"/>
    <cellStyle name="Normal 3 3 3 4 2 2 3" xfId="42533"/>
    <cellStyle name="Normal 3 3 3 4 2 2 3 2" xfId="57660"/>
    <cellStyle name="Normal 3 3 3 4 2 2 4" xfId="40253"/>
    <cellStyle name="Normal 3 3 3 4 2 2 4 2" xfId="55381"/>
    <cellStyle name="Normal 3 3 3 4 2 2 5" xfId="50723"/>
    <cellStyle name="Normal 3 3 3 4 2 3" xfId="12499"/>
    <cellStyle name="Normal 3 3 3 4 2 3 2" xfId="43203"/>
    <cellStyle name="Normal 3 3 3 4 2 3 2 2" xfId="58329"/>
    <cellStyle name="Normal 3 3 3 4 2 3 3" xfId="52753"/>
    <cellStyle name="Normal 3 3 3 4 2 4" xfId="3988"/>
    <cellStyle name="Normal 3 3 3 4 2 4 2" xfId="40967"/>
    <cellStyle name="Normal 3 3 3 4 2 4 2 2" xfId="56094"/>
    <cellStyle name="Normal 3 3 3 4 2 4 3" xfId="48681"/>
    <cellStyle name="Normal 3 3 3 4 2 5" xfId="39111"/>
    <cellStyle name="Normal 3 3 3 4 2 5 2" xfId="54242"/>
    <cellStyle name="Normal 3 3 3 4 2 6" xfId="46919"/>
    <cellStyle name="Normal 3 3 3 4 3" xfId="1176"/>
    <cellStyle name="Normal 3 3 3 4 3 2" xfId="5525"/>
    <cellStyle name="Normal 3 3 3 4 3 2 2" xfId="44418"/>
    <cellStyle name="Normal 3 3 3 4 3 2 2 2" xfId="59544"/>
    <cellStyle name="Normal 3 3 3 4 3 2 3" xfId="42182"/>
    <cellStyle name="Normal 3 3 3 4 3 2 3 2" xfId="57309"/>
    <cellStyle name="Normal 3 3 3 4 3 2 4" xfId="39902"/>
    <cellStyle name="Normal 3 3 3 4 3 2 4 2" xfId="55030"/>
    <cellStyle name="Normal 3 3 3 4 3 2 5" xfId="50210"/>
    <cellStyle name="Normal 3 3 3 4 3 3" xfId="11986"/>
    <cellStyle name="Normal 3 3 3 4 3 3 2" xfId="43554"/>
    <cellStyle name="Normal 3 3 3 4 3 3 2 2" xfId="58680"/>
    <cellStyle name="Normal 3 3 3 4 3 3 3" xfId="52240"/>
    <cellStyle name="Normal 3 3 3 4 3 4" xfId="4347"/>
    <cellStyle name="Normal 3 3 3 4 3 4 2" xfId="41318"/>
    <cellStyle name="Normal 3 3 3 4 3 4 2 2" xfId="56445"/>
    <cellStyle name="Normal 3 3 3 4 3 4 3" xfId="49037"/>
    <cellStyle name="Normal 3 3 3 4 3 5" xfId="38738"/>
    <cellStyle name="Normal 3 3 3 4 3 5 2" xfId="53891"/>
    <cellStyle name="Normal 3 3 3 4 3 6" xfId="46406"/>
    <cellStyle name="Normal 3 3 3 4 4" xfId="2038"/>
    <cellStyle name="Normal 3 3 3 4 4 2" xfId="12844"/>
    <cellStyle name="Normal 3 3 3 4 4 2 2" xfId="43980"/>
    <cellStyle name="Normal 3 3 3 4 4 2 2 2" xfId="59106"/>
    <cellStyle name="Normal 3 3 3 4 4 2 3" xfId="53097"/>
    <cellStyle name="Normal 3 3 3 4 4 3" xfId="6384"/>
    <cellStyle name="Normal 3 3 3 4 4 3 2" xfId="41744"/>
    <cellStyle name="Normal 3 3 3 4 4 3 2 2" xfId="56871"/>
    <cellStyle name="Normal 3 3 3 4 4 3 3" xfId="51067"/>
    <cellStyle name="Normal 3 3 3 4 4 4" xfId="39464"/>
    <cellStyle name="Normal 3 3 3 4 4 4 2" xfId="54592"/>
    <cellStyle name="Normal 3 3 3 4 4 5" xfId="47263"/>
    <cellStyle name="Normal 3 3 3 4 5" xfId="4773"/>
    <cellStyle name="Normal 3 3 3 4 5 2" xfId="42852"/>
    <cellStyle name="Normal 3 3 3 4 5 2 2" xfId="57979"/>
    <cellStyle name="Normal 3 3 3 4 5 3" xfId="49458"/>
    <cellStyle name="Normal 3 3 3 4 6" xfId="11234"/>
    <cellStyle name="Normal 3 3 3 4 6 2" xfId="40617"/>
    <cellStyle name="Normal 3 3 3 4 6 2 2" xfId="55744"/>
    <cellStyle name="Normal 3 3 3 4 6 3" xfId="51488"/>
    <cellStyle name="Normal 3 3 3 4 7" xfId="3411"/>
    <cellStyle name="Normal 3 3 3 4 7 2" xfId="48105"/>
    <cellStyle name="Normal 3 3 3 4 8" xfId="38253"/>
    <cellStyle name="Normal 3 3 3 4 8 2" xfId="53453"/>
    <cellStyle name="Normal 3 3 3 4 9" xfId="45654"/>
    <cellStyle name="Normal 3 3 3 5" xfId="878"/>
    <cellStyle name="Normal 3 3 3 5 2" xfId="5227"/>
    <cellStyle name="Normal 3 3 3 5 2 2" xfId="40025"/>
    <cellStyle name="Normal 3 3 3 5 2 2 2" xfId="44541"/>
    <cellStyle name="Normal 3 3 3 5 2 2 2 2" xfId="59667"/>
    <cellStyle name="Normal 3 3 3 5 2 2 3" xfId="42305"/>
    <cellStyle name="Normal 3 3 3 5 2 2 3 2" xfId="57432"/>
    <cellStyle name="Normal 3 3 3 5 2 2 4" xfId="55153"/>
    <cellStyle name="Normal 3 3 3 5 2 3" xfId="43669"/>
    <cellStyle name="Normal 3 3 3 5 2 3 2" xfId="58795"/>
    <cellStyle name="Normal 3 3 3 5 2 4" xfId="41433"/>
    <cellStyle name="Normal 3 3 3 5 2 4 2" xfId="56560"/>
    <cellStyle name="Normal 3 3 3 5 2 5" xfId="38882"/>
    <cellStyle name="Normal 3 3 3 5 2 5 2" xfId="54014"/>
    <cellStyle name="Normal 3 3 3 5 2 6" xfId="49912"/>
    <cellStyle name="Normal 3 3 3 5 3" xfId="11688"/>
    <cellStyle name="Normal 3 3 3 5 3 2" xfId="44064"/>
    <cellStyle name="Normal 3 3 3 5 3 2 2" xfId="59190"/>
    <cellStyle name="Normal 3 3 3 5 3 3" xfId="41828"/>
    <cellStyle name="Normal 3 3 3 5 3 3 2" xfId="56955"/>
    <cellStyle name="Normal 3 3 3 5 3 4" xfId="39548"/>
    <cellStyle name="Normal 3 3 3 5 3 4 2" xfId="54676"/>
    <cellStyle name="Normal 3 3 3 5 3 5" xfId="51942"/>
    <cellStyle name="Normal 3 3 3 5 4" xfId="3113"/>
    <cellStyle name="Normal 3 3 3 5 4 2" xfId="42975"/>
    <cellStyle name="Normal 3 3 3 5 4 2 2" xfId="58101"/>
    <cellStyle name="Normal 3 3 3 5 4 3" xfId="47807"/>
    <cellStyle name="Normal 3 3 3 5 5" xfId="40739"/>
    <cellStyle name="Normal 3 3 3 5 5 2" xfId="55866"/>
    <cellStyle name="Normal 3 3 3 5 6" xfId="38378"/>
    <cellStyle name="Normal 3 3 3 5 6 2" xfId="53537"/>
    <cellStyle name="Normal 3 3 3 5 7" xfId="46108"/>
    <cellStyle name="Normal 3 3 3 6" xfId="755"/>
    <cellStyle name="Normal 3 3 3 6 2" xfId="5104"/>
    <cellStyle name="Normal 3 3 3 6 2 2" xfId="44190"/>
    <cellStyle name="Normal 3 3 3 6 2 2 2" xfId="59316"/>
    <cellStyle name="Normal 3 3 3 6 2 3" xfId="41954"/>
    <cellStyle name="Normal 3 3 3 6 2 3 2" xfId="57081"/>
    <cellStyle name="Normal 3 3 3 6 2 4" xfId="39674"/>
    <cellStyle name="Normal 3 3 3 6 2 4 2" xfId="54802"/>
    <cellStyle name="Normal 3 3 3 6 2 5" xfId="49789"/>
    <cellStyle name="Normal 3 3 3 6 3" xfId="11565"/>
    <cellStyle name="Normal 3 3 3 6 3 2" xfId="43326"/>
    <cellStyle name="Normal 3 3 3 6 3 2 2" xfId="58452"/>
    <cellStyle name="Normal 3 3 3 6 3 3" xfId="51819"/>
    <cellStyle name="Normal 3 3 3 6 4" xfId="2990"/>
    <cellStyle name="Normal 3 3 3 6 4 2" xfId="41090"/>
    <cellStyle name="Normal 3 3 3 6 4 2 2" xfId="56217"/>
    <cellStyle name="Normal 3 3 3 6 4 3" xfId="47684"/>
    <cellStyle name="Normal 3 3 3 6 5" xfId="38508"/>
    <cellStyle name="Normal 3 3 3 6 5 2" xfId="53663"/>
    <cellStyle name="Normal 3 3 3 6 6" xfId="45985"/>
    <cellStyle name="Normal 3 3 3 7" xfId="545"/>
    <cellStyle name="Normal 3 3 3 7 2" xfId="4894"/>
    <cellStyle name="Normal 3 3 3 7 2 2" xfId="43752"/>
    <cellStyle name="Normal 3 3 3 7 2 2 2" xfId="58878"/>
    <cellStyle name="Normal 3 3 3 7 2 3" xfId="49579"/>
    <cellStyle name="Normal 3 3 3 7 3" xfId="11355"/>
    <cellStyle name="Normal 3 3 3 7 3 2" xfId="41516"/>
    <cellStyle name="Normal 3 3 3 7 3 2 2" xfId="56643"/>
    <cellStyle name="Normal 3 3 3 7 3 3" xfId="51609"/>
    <cellStyle name="Normal 3 3 3 7 4" xfId="3735"/>
    <cellStyle name="Normal 3 3 3 7 4 2" xfId="48428"/>
    <cellStyle name="Normal 3 3 3 7 5" xfId="39236"/>
    <cellStyle name="Normal 3 3 3 7 5 2" xfId="54364"/>
    <cellStyle name="Normal 3 3 3 7 6" xfId="45775"/>
    <cellStyle name="Normal 3 3 3 8" xfId="1806"/>
    <cellStyle name="Normal 3 3 3 8 2" xfId="12615"/>
    <cellStyle name="Normal 3 3 3 8 2 2" xfId="52869"/>
    <cellStyle name="Normal 3 3 3 8 3" xfId="6154"/>
    <cellStyle name="Normal 3 3 3 8 3 2" xfId="50839"/>
    <cellStyle name="Normal 3 3 3 8 4" xfId="42624"/>
    <cellStyle name="Normal 3 3 3 8 4 2" xfId="57751"/>
    <cellStyle name="Normal 3 3 3 8 5" xfId="47035"/>
    <cellStyle name="Normal 3 3 3 9" xfId="2620"/>
    <cellStyle name="Normal 3 3 3 9 2" xfId="4470"/>
    <cellStyle name="Normal 3 3 3 9 2 2" xfId="49160"/>
    <cellStyle name="Normal 3 3 3 9 3" xfId="40389"/>
    <cellStyle name="Normal 3 3 3 9 3 2" xfId="55516"/>
    <cellStyle name="Normal 3 3 3 9 4" xfId="47352"/>
    <cellStyle name="Normal 3 3 4" xfId="109"/>
    <cellStyle name="Normal 3 3 4 10" xfId="38022"/>
    <cellStyle name="Normal 3 3 4 10 2" xfId="53222"/>
    <cellStyle name="Normal 3 3 4 11" xfId="45353"/>
    <cellStyle name="Normal 3 3 4 2" xfId="421"/>
    <cellStyle name="Normal 3 3 4 2 2" xfId="1425"/>
    <cellStyle name="Normal 3 3 4 2 2 2" xfId="5774"/>
    <cellStyle name="Normal 3 3 4 2 2 2 2" xfId="44538"/>
    <cellStyle name="Normal 3 3 4 2 2 2 2 2" xfId="59664"/>
    <cellStyle name="Normal 3 3 4 2 2 2 3" xfId="50459"/>
    <cellStyle name="Normal 3 3 4 2 2 3" xfId="12235"/>
    <cellStyle name="Normal 3 3 4 2 2 3 2" xfId="42302"/>
    <cellStyle name="Normal 3 3 4 2 2 3 2 2" xfId="57429"/>
    <cellStyle name="Normal 3 3 4 2 2 3 3" xfId="52489"/>
    <cellStyle name="Normal 3 3 4 2 2 4" xfId="3708"/>
    <cellStyle name="Normal 3 3 4 2 2 4 2" xfId="48401"/>
    <cellStyle name="Normal 3 3 4 2 2 5" xfId="40022"/>
    <cellStyle name="Normal 3 3 4 2 2 5 2" xfId="55150"/>
    <cellStyle name="Normal 3 3 4 2 2 6" xfId="46655"/>
    <cellStyle name="Normal 3 3 4 2 3" xfId="1686"/>
    <cellStyle name="Normal 3 3 4 2 3 2" xfId="6035"/>
    <cellStyle name="Normal 3 3 4 2 3 2 2" xfId="50720"/>
    <cellStyle name="Normal 3 3 4 2 3 3" xfId="12496"/>
    <cellStyle name="Normal 3 3 4 2 3 3 2" xfId="52750"/>
    <cellStyle name="Normal 3 3 4 2 3 4" xfId="3985"/>
    <cellStyle name="Normal 3 3 4 2 3 4 2" xfId="48678"/>
    <cellStyle name="Normal 3 3 4 2 3 5" xfId="42972"/>
    <cellStyle name="Normal 3 3 4 2 3 5 2" xfId="58098"/>
    <cellStyle name="Normal 3 3 4 2 3 6" xfId="46916"/>
    <cellStyle name="Normal 3 3 4 2 4" xfId="1173"/>
    <cellStyle name="Normal 3 3 4 2 4 2" xfId="5522"/>
    <cellStyle name="Normal 3 3 4 2 4 2 2" xfId="50207"/>
    <cellStyle name="Normal 3 3 4 2 4 3" xfId="11983"/>
    <cellStyle name="Normal 3 3 4 2 4 3 2" xfId="52237"/>
    <cellStyle name="Normal 3 3 4 2 4 4" xfId="4344"/>
    <cellStyle name="Normal 3 3 4 2 4 4 2" xfId="49034"/>
    <cellStyle name="Normal 3 3 4 2 4 5" xfId="40736"/>
    <cellStyle name="Normal 3 3 4 2 4 5 2" xfId="55863"/>
    <cellStyle name="Normal 3 3 4 2 4 6" xfId="46403"/>
    <cellStyle name="Normal 3 3 4 2 5" xfId="4770"/>
    <cellStyle name="Normal 3 3 4 2 5 2" xfId="49455"/>
    <cellStyle name="Normal 3 3 4 2 6" xfId="11231"/>
    <cellStyle name="Normal 3 3 4 2 6 2" xfId="51485"/>
    <cellStyle name="Normal 3 3 4 2 7" xfId="3408"/>
    <cellStyle name="Normal 3 3 4 2 7 2" xfId="48102"/>
    <cellStyle name="Normal 3 3 4 2 8" xfId="38879"/>
    <cellStyle name="Normal 3 3 4 2 8 2" xfId="54011"/>
    <cellStyle name="Normal 3 3 4 2 9" xfId="45651"/>
    <cellStyle name="Normal 3 3 4 3" xfId="875"/>
    <cellStyle name="Normal 3 3 4 3 2" xfId="5224"/>
    <cellStyle name="Normal 3 3 4 3 2 2" xfId="44187"/>
    <cellStyle name="Normal 3 3 4 3 2 2 2" xfId="59313"/>
    <cellStyle name="Normal 3 3 4 3 2 3" xfId="41951"/>
    <cellStyle name="Normal 3 3 4 3 2 3 2" xfId="57078"/>
    <cellStyle name="Normal 3 3 4 3 2 4" xfId="39671"/>
    <cellStyle name="Normal 3 3 4 3 2 4 2" xfId="54799"/>
    <cellStyle name="Normal 3 3 4 3 2 5" xfId="49909"/>
    <cellStyle name="Normal 3 3 4 3 3" xfId="11685"/>
    <cellStyle name="Normal 3 3 4 3 3 2" xfId="43323"/>
    <cellStyle name="Normal 3 3 4 3 3 2 2" xfId="58449"/>
    <cellStyle name="Normal 3 3 4 3 3 3" xfId="51939"/>
    <cellStyle name="Normal 3 3 4 3 4" xfId="3110"/>
    <cellStyle name="Normal 3 3 4 3 4 2" xfId="41087"/>
    <cellStyle name="Normal 3 3 4 3 4 2 2" xfId="56214"/>
    <cellStyle name="Normal 3 3 4 3 4 3" xfId="47804"/>
    <cellStyle name="Normal 3 3 4 3 5" xfId="38505"/>
    <cellStyle name="Normal 3 3 4 3 5 2" xfId="53660"/>
    <cellStyle name="Normal 3 3 4 3 6" xfId="46105"/>
    <cellStyle name="Normal 3 3 4 4" xfId="752"/>
    <cellStyle name="Normal 3 3 4 4 2" xfId="5101"/>
    <cellStyle name="Normal 3 3 4 4 2 2" xfId="43749"/>
    <cellStyle name="Normal 3 3 4 4 2 2 2" xfId="58875"/>
    <cellStyle name="Normal 3 3 4 4 2 3" xfId="49786"/>
    <cellStyle name="Normal 3 3 4 4 3" xfId="11562"/>
    <cellStyle name="Normal 3 3 4 4 3 2" xfId="41513"/>
    <cellStyle name="Normal 3 3 4 4 3 2 2" xfId="56640"/>
    <cellStyle name="Normal 3 3 4 4 3 3" xfId="51816"/>
    <cellStyle name="Normal 3 3 4 4 4" xfId="2987"/>
    <cellStyle name="Normal 3 3 4 4 4 2" xfId="47681"/>
    <cellStyle name="Normal 3 3 4 4 5" xfId="39233"/>
    <cellStyle name="Normal 3 3 4 4 5 2" xfId="54361"/>
    <cellStyle name="Normal 3 3 4 4 6" xfId="45982"/>
    <cellStyle name="Normal 3 3 4 5" xfId="542"/>
    <cellStyle name="Normal 3 3 4 5 2" xfId="4891"/>
    <cellStyle name="Normal 3 3 4 5 2 2" xfId="49576"/>
    <cellStyle name="Normal 3 3 4 5 3" xfId="11352"/>
    <cellStyle name="Normal 3 3 4 5 3 2" xfId="51606"/>
    <cellStyle name="Normal 3 3 4 5 4" xfId="4062"/>
    <cellStyle name="Normal 3 3 4 5 4 2" xfId="48754"/>
    <cellStyle name="Normal 3 3 4 5 5" xfId="42621"/>
    <cellStyle name="Normal 3 3 4 5 5 2" xfId="57748"/>
    <cellStyle name="Normal 3 3 4 5 6" xfId="45772"/>
    <cellStyle name="Normal 3 3 4 6" xfId="1803"/>
    <cellStyle name="Normal 3 3 4 6 2" xfId="12612"/>
    <cellStyle name="Normal 3 3 4 6 2 2" xfId="52866"/>
    <cellStyle name="Normal 3 3 4 6 3" xfId="6151"/>
    <cellStyle name="Normal 3 3 4 6 3 2" xfId="50836"/>
    <cellStyle name="Normal 3 3 4 6 4" xfId="40386"/>
    <cellStyle name="Normal 3 3 4 6 4 2" xfId="55513"/>
    <cellStyle name="Normal 3 3 4 6 5" xfId="47032"/>
    <cellStyle name="Normal 3 3 4 7" xfId="4467"/>
    <cellStyle name="Normal 3 3 4 7 2" xfId="49157"/>
    <cellStyle name="Normal 3 3 4 8" xfId="10933"/>
    <cellStyle name="Normal 3 3 4 8 2" xfId="51187"/>
    <cellStyle name="Normal 3 3 4 9" xfId="2770"/>
    <cellStyle name="Normal 3 3 4 9 2" xfId="47470"/>
    <cellStyle name="Normal 3 3 5" xfId="209"/>
    <cellStyle name="Normal 3 3 5 10" xfId="38098"/>
    <cellStyle name="Normal 3 3 5 10 2" xfId="53298"/>
    <cellStyle name="Normal 3 3 5 11" xfId="45441"/>
    <cellStyle name="Normal 3 3 5 2" xfId="963"/>
    <cellStyle name="Normal 3 3 5 2 2" xfId="5312"/>
    <cellStyle name="Normal 3 3 5 2 2 2" xfId="44614"/>
    <cellStyle name="Normal 3 3 5 2 2 2 2" xfId="59740"/>
    <cellStyle name="Normal 3 3 5 2 2 3" xfId="42378"/>
    <cellStyle name="Normal 3 3 5 2 2 3 2" xfId="57505"/>
    <cellStyle name="Normal 3 3 5 2 2 4" xfId="40098"/>
    <cellStyle name="Normal 3 3 5 2 2 4 2" xfId="55226"/>
    <cellStyle name="Normal 3 3 5 2 2 5" xfId="49997"/>
    <cellStyle name="Normal 3 3 5 2 3" xfId="11773"/>
    <cellStyle name="Normal 3 3 5 2 3 2" xfId="43048"/>
    <cellStyle name="Normal 3 3 5 2 3 2 2" xfId="58174"/>
    <cellStyle name="Normal 3 3 5 2 3 3" xfId="52027"/>
    <cellStyle name="Normal 3 3 5 2 4" xfId="3198"/>
    <cellStyle name="Normal 3 3 5 2 4 2" xfId="40812"/>
    <cellStyle name="Normal 3 3 5 2 4 2 2" xfId="55939"/>
    <cellStyle name="Normal 3 3 5 2 4 3" xfId="47892"/>
    <cellStyle name="Normal 3 3 5 2 5" xfId="38956"/>
    <cellStyle name="Normal 3 3 5 2 5 2" xfId="54087"/>
    <cellStyle name="Normal 3 3 5 2 6" xfId="46193"/>
    <cellStyle name="Normal 3 3 5 3" xfId="1265"/>
    <cellStyle name="Normal 3 3 5 3 2" xfId="5614"/>
    <cellStyle name="Normal 3 3 5 3 2 2" xfId="44263"/>
    <cellStyle name="Normal 3 3 5 3 2 2 2" xfId="59389"/>
    <cellStyle name="Normal 3 3 5 3 2 3" xfId="42027"/>
    <cellStyle name="Normal 3 3 5 3 2 3 2" xfId="57154"/>
    <cellStyle name="Normal 3 3 5 3 2 4" xfId="39747"/>
    <cellStyle name="Normal 3 3 5 3 2 4 2" xfId="54875"/>
    <cellStyle name="Normal 3 3 5 3 2 5" xfId="50299"/>
    <cellStyle name="Normal 3 3 5 3 3" xfId="12075"/>
    <cellStyle name="Normal 3 3 5 3 3 2" xfId="43399"/>
    <cellStyle name="Normal 3 3 5 3 3 2 2" xfId="58525"/>
    <cellStyle name="Normal 3 3 5 3 3 3" xfId="52329"/>
    <cellStyle name="Normal 3 3 5 3 4" xfId="3548"/>
    <cellStyle name="Normal 3 3 5 3 4 2" xfId="41163"/>
    <cellStyle name="Normal 3 3 5 3 4 2 2" xfId="56290"/>
    <cellStyle name="Normal 3 3 5 3 4 3" xfId="48241"/>
    <cellStyle name="Normal 3 3 5 3 5" xfId="38583"/>
    <cellStyle name="Normal 3 3 5 3 5 2" xfId="53736"/>
    <cellStyle name="Normal 3 3 5 3 6" xfId="46495"/>
    <cellStyle name="Normal 3 3 5 4" xfId="1476"/>
    <cellStyle name="Normal 3 3 5 4 2" xfId="5825"/>
    <cellStyle name="Normal 3 3 5 4 2 2" xfId="43825"/>
    <cellStyle name="Normal 3 3 5 4 2 2 2" xfId="58951"/>
    <cellStyle name="Normal 3 3 5 4 2 3" xfId="50510"/>
    <cellStyle name="Normal 3 3 5 4 3" xfId="12286"/>
    <cellStyle name="Normal 3 3 5 4 3 2" xfId="41589"/>
    <cellStyle name="Normal 3 3 5 4 3 2 2" xfId="56716"/>
    <cellStyle name="Normal 3 3 5 4 3 3" xfId="52540"/>
    <cellStyle name="Normal 3 3 5 4 4" xfId="3775"/>
    <cellStyle name="Normal 3 3 5 4 4 2" xfId="48468"/>
    <cellStyle name="Normal 3 3 5 4 5" xfId="39309"/>
    <cellStyle name="Normal 3 3 5 4 5 2" xfId="54437"/>
    <cellStyle name="Normal 3 3 5 4 6" xfId="46706"/>
    <cellStyle name="Normal 3 3 5 5" xfId="631"/>
    <cellStyle name="Normal 3 3 5 5 2" xfId="4980"/>
    <cellStyle name="Normal 3 3 5 5 2 2" xfId="49665"/>
    <cellStyle name="Normal 3 3 5 5 3" xfId="11441"/>
    <cellStyle name="Normal 3 3 5 5 3 2" xfId="51695"/>
    <cellStyle name="Normal 3 3 5 5 4" xfId="4134"/>
    <cellStyle name="Normal 3 3 5 5 4 2" xfId="48824"/>
    <cellStyle name="Normal 3 3 5 5 5" xfId="42697"/>
    <cellStyle name="Normal 3 3 5 5 5 2" xfId="57824"/>
    <cellStyle name="Normal 3 3 5 5 6" xfId="45861"/>
    <cellStyle name="Normal 3 3 5 6" xfId="1882"/>
    <cellStyle name="Normal 3 3 5 6 2" xfId="12689"/>
    <cellStyle name="Normal 3 3 5 6 2 2" xfId="52942"/>
    <cellStyle name="Normal 3 3 5 6 3" xfId="6229"/>
    <cellStyle name="Normal 3 3 5 6 3 2" xfId="50912"/>
    <cellStyle name="Normal 3 3 5 6 4" xfId="40462"/>
    <cellStyle name="Normal 3 3 5 6 4 2" xfId="55589"/>
    <cellStyle name="Normal 3 3 5 6 5" xfId="47108"/>
    <cellStyle name="Normal 3 3 5 7" xfId="4558"/>
    <cellStyle name="Normal 3 3 5 7 2" xfId="49245"/>
    <cellStyle name="Normal 3 3 5 8" xfId="11021"/>
    <cellStyle name="Normal 3 3 5 8 2" xfId="51275"/>
    <cellStyle name="Normal 3 3 5 9" xfId="2865"/>
    <cellStyle name="Normal 3 3 5 9 2" xfId="47559"/>
    <cellStyle name="Normal 3 3 6" xfId="300"/>
    <cellStyle name="Normal 3 3 6 10" xfId="45530"/>
    <cellStyle name="Normal 3 3 6 2" xfId="1354"/>
    <cellStyle name="Normal 3 3 6 2 2" xfId="5703"/>
    <cellStyle name="Normal 3 3 6 2 2 2" xfId="44690"/>
    <cellStyle name="Normal 3 3 6 2 2 2 2" xfId="59816"/>
    <cellStyle name="Normal 3 3 6 2 2 3" xfId="42454"/>
    <cellStyle name="Normal 3 3 6 2 2 3 2" xfId="57581"/>
    <cellStyle name="Normal 3 3 6 2 2 4" xfId="40174"/>
    <cellStyle name="Normal 3 3 6 2 2 4 2" xfId="55302"/>
    <cellStyle name="Normal 3 3 6 2 2 5" xfId="50388"/>
    <cellStyle name="Normal 3 3 6 2 3" xfId="12164"/>
    <cellStyle name="Normal 3 3 6 2 3 2" xfId="43124"/>
    <cellStyle name="Normal 3 3 6 2 3 2 2" xfId="58250"/>
    <cellStyle name="Normal 3 3 6 2 3 3" xfId="52418"/>
    <cellStyle name="Normal 3 3 6 2 4" xfId="3637"/>
    <cellStyle name="Normal 3 3 6 2 4 2" xfId="40888"/>
    <cellStyle name="Normal 3 3 6 2 4 2 2" xfId="56015"/>
    <cellStyle name="Normal 3 3 6 2 4 3" xfId="48330"/>
    <cellStyle name="Normal 3 3 6 2 5" xfId="39032"/>
    <cellStyle name="Normal 3 3 6 2 5 2" xfId="54163"/>
    <cellStyle name="Normal 3 3 6 2 6" xfId="46584"/>
    <cellStyle name="Normal 3 3 6 3" xfId="1565"/>
    <cellStyle name="Normal 3 3 6 3 2" xfId="5914"/>
    <cellStyle name="Normal 3 3 6 3 2 2" xfId="44339"/>
    <cellStyle name="Normal 3 3 6 3 2 2 2" xfId="59465"/>
    <cellStyle name="Normal 3 3 6 3 2 3" xfId="42103"/>
    <cellStyle name="Normal 3 3 6 3 2 3 2" xfId="57230"/>
    <cellStyle name="Normal 3 3 6 3 2 4" xfId="39823"/>
    <cellStyle name="Normal 3 3 6 3 2 4 2" xfId="54951"/>
    <cellStyle name="Normal 3 3 6 3 2 5" xfId="50599"/>
    <cellStyle name="Normal 3 3 6 3 3" xfId="12375"/>
    <cellStyle name="Normal 3 3 6 3 3 2" xfId="43475"/>
    <cellStyle name="Normal 3 3 6 3 3 2 2" xfId="58601"/>
    <cellStyle name="Normal 3 3 6 3 3 3" xfId="52629"/>
    <cellStyle name="Normal 3 3 6 3 4" xfId="3864"/>
    <cellStyle name="Normal 3 3 6 3 4 2" xfId="41239"/>
    <cellStyle name="Normal 3 3 6 3 4 2 2" xfId="56366"/>
    <cellStyle name="Normal 3 3 6 3 4 3" xfId="48557"/>
    <cellStyle name="Normal 3 3 6 3 5" xfId="38659"/>
    <cellStyle name="Normal 3 3 6 3 5 2" xfId="53812"/>
    <cellStyle name="Normal 3 3 6 3 6" xfId="46795"/>
    <cellStyle name="Normal 3 3 6 4" xfId="1052"/>
    <cellStyle name="Normal 3 3 6 4 2" xfId="5401"/>
    <cellStyle name="Normal 3 3 6 4 2 2" xfId="43901"/>
    <cellStyle name="Normal 3 3 6 4 2 2 2" xfId="59027"/>
    <cellStyle name="Normal 3 3 6 4 2 3" xfId="50086"/>
    <cellStyle name="Normal 3 3 6 4 3" xfId="11862"/>
    <cellStyle name="Normal 3 3 6 4 3 2" xfId="41665"/>
    <cellStyle name="Normal 3 3 6 4 3 2 2" xfId="56792"/>
    <cellStyle name="Normal 3 3 6 4 3 3" xfId="52116"/>
    <cellStyle name="Normal 3 3 6 4 4" xfId="4223"/>
    <cellStyle name="Normal 3 3 6 4 4 2" xfId="48913"/>
    <cellStyle name="Normal 3 3 6 4 5" xfId="39385"/>
    <cellStyle name="Normal 3 3 6 4 5 2" xfId="54513"/>
    <cellStyle name="Normal 3 3 6 4 6" xfId="46282"/>
    <cellStyle name="Normal 3 3 6 5" xfId="1958"/>
    <cellStyle name="Normal 3 3 6 5 2" xfId="12765"/>
    <cellStyle name="Normal 3 3 6 5 2 2" xfId="53018"/>
    <cellStyle name="Normal 3 3 6 5 3" xfId="6305"/>
    <cellStyle name="Normal 3 3 6 5 3 2" xfId="50988"/>
    <cellStyle name="Normal 3 3 6 5 4" xfId="42773"/>
    <cellStyle name="Normal 3 3 6 5 4 2" xfId="57900"/>
    <cellStyle name="Normal 3 3 6 5 5" xfId="47184"/>
    <cellStyle name="Normal 3 3 6 6" xfId="4649"/>
    <cellStyle name="Normal 3 3 6 6 2" xfId="40538"/>
    <cellStyle name="Normal 3 3 6 6 2 2" xfId="55665"/>
    <cellStyle name="Normal 3 3 6 6 3" xfId="49334"/>
    <cellStyle name="Normal 3 3 6 7" xfId="11110"/>
    <cellStyle name="Normal 3 3 6 7 2" xfId="51364"/>
    <cellStyle name="Normal 3 3 6 8" xfId="3287"/>
    <cellStyle name="Normal 3 3 6 8 2" xfId="47981"/>
    <cellStyle name="Normal 3 3 6 9" xfId="38174"/>
    <cellStyle name="Normal 3 3 6 9 2" xfId="53374"/>
    <cellStyle name="Normal 3 3 7" xfId="374"/>
    <cellStyle name="Normal 3 3 7 2" xfId="1639"/>
    <cellStyle name="Normal 3 3 7 2 2" xfId="5988"/>
    <cellStyle name="Normal 3 3 7 2 2 2" xfId="44766"/>
    <cellStyle name="Normal 3 3 7 2 2 2 2" xfId="59892"/>
    <cellStyle name="Normal 3 3 7 2 2 3" xfId="42530"/>
    <cellStyle name="Normal 3 3 7 2 2 3 2" xfId="57657"/>
    <cellStyle name="Normal 3 3 7 2 2 4" xfId="40250"/>
    <cellStyle name="Normal 3 3 7 2 2 4 2" xfId="55378"/>
    <cellStyle name="Normal 3 3 7 2 2 5" xfId="50673"/>
    <cellStyle name="Normal 3 3 7 2 3" xfId="12449"/>
    <cellStyle name="Normal 3 3 7 2 3 2" xfId="43200"/>
    <cellStyle name="Normal 3 3 7 2 3 2 2" xfId="58326"/>
    <cellStyle name="Normal 3 3 7 2 3 3" xfId="52703"/>
    <cellStyle name="Normal 3 3 7 2 4" xfId="3938"/>
    <cellStyle name="Normal 3 3 7 2 4 2" xfId="40964"/>
    <cellStyle name="Normal 3 3 7 2 4 2 2" xfId="56091"/>
    <cellStyle name="Normal 3 3 7 2 4 3" xfId="48631"/>
    <cellStyle name="Normal 3 3 7 2 5" xfId="39108"/>
    <cellStyle name="Normal 3 3 7 2 5 2" xfId="54239"/>
    <cellStyle name="Normal 3 3 7 2 6" xfId="46869"/>
    <cellStyle name="Normal 3 3 7 3" xfId="1126"/>
    <cellStyle name="Normal 3 3 7 3 2" xfId="5475"/>
    <cellStyle name="Normal 3 3 7 3 2 2" xfId="44415"/>
    <cellStyle name="Normal 3 3 7 3 2 2 2" xfId="59541"/>
    <cellStyle name="Normal 3 3 7 3 2 3" xfId="42179"/>
    <cellStyle name="Normal 3 3 7 3 2 3 2" xfId="57306"/>
    <cellStyle name="Normal 3 3 7 3 2 4" xfId="39899"/>
    <cellStyle name="Normal 3 3 7 3 2 4 2" xfId="55027"/>
    <cellStyle name="Normal 3 3 7 3 2 5" xfId="50160"/>
    <cellStyle name="Normal 3 3 7 3 3" xfId="11936"/>
    <cellStyle name="Normal 3 3 7 3 3 2" xfId="43551"/>
    <cellStyle name="Normal 3 3 7 3 3 2 2" xfId="58677"/>
    <cellStyle name="Normal 3 3 7 3 3 3" xfId="52190"/>
    <cellStyle name="Normal 3 3 7 3 4" xfId="4297"/>
    <cellStyle name="Normal 3 3 7 3 4 2" xfId="41315"/>
    <cellStyle name="Normal 3 3 7 3 4 2 2" xfId="56442"/>
    <cellStyle name="Normal 3 3 7 3 4 3" xfId="48987"/>
    <cellStyle name="Normal 3 3 7 3 5" xfId="38735"/>
    <cellStyle name="Normal 3 3 7 3 5 2" xfId="53888"/>
    <cellStyle name="Normal 3 3 7 3 6" xfId="46356"/>
    <cellStyle name="Normal 3 3 7 4" xfId="2035"/>
    <cellStyle name="Normal 3 3 7 4 2" xfId="12841"/>
    <cellStyle name="Normal 3 3 7 4 2 2" xfId="43977"/>
    <cellStyle name="Normal 3 3 7 4 2 2 2" xfId="59103"/>
    <cellStyle name="Normal 3 3 7 4 2 3" xfId="53094"/>
    <cellStyle name="Normal 3 3 7 4 3" xfId="6381"/>
    <cellStyle name="Normal 3 3 7 4 3 2" xfId="41741"/>
    <cellStyle name="Normal 3 3 7 4 3 2 2" xfId="56868"/>
    <cellStyle name="Normal 3 3 7 4 3 3" xfId="51064"/>
    <cellStyle name="Normal 3 3 7 4 4" xfId="39461"/>
    <cellStyle name="Normal 3 3 7 4 4 2" xfId="54589"/>
    <cellStyle name="Normal 3 3 7 4 5" xfId="47260"/>
    <cellStyle name="Normal 3 3 7 5" xfId="4723"/>
    <cellStyle name="Normal 3 3 7 5 2" xfId="42849"/>
    <cellStyle name="Normal 3 3 7 5 2 2" xfId="57976"/>
    <cellStyle name="Normal 3 3 7 5 3" xfId="49408"/>
    <cellStyle name="Normal 3 3 7 6" xfId="11184"/>
    <cellStyle name="Normal 3 3 7 6 2" xfId="40614"/>
    <cellStyle name="Normal 3 3 7 6 2 2" xfId="55741"/>
    <cellStyle name="Normal 3 3 7 6 3" xfId="51438"/>
    <cellStyle name="Normal 3 3 7 7" xfId="3361"/>
    <cellStyle name="Normal 3 3 7 7 2" xfId="48055"/>
    <cellStyle name="Normal 3 3 7 8" xfId="38250"/>
    <cellStyle name="Normal 3 3 7 8 2" xfId="53450"/>
    <cellStyle name="Normal 3 3 7 9" xfId="45604"/>
    <cellStyle name="Normal 3 3 8" xfId="826"/>
    <cellStyle name="Normal 3 3 8 2" xfId="5175"/>
    <cellStyle name="Normal 3 3 8 2 2" xfId="39982"/>
    <cellStyle name="Normal 3 3 8 2 2 2" xfId="44498"/>
    <cellStyle name="Normal 3 3 8 2 2 2 2" xfId="59624"/>
    <cellStyle name="Normal 3 3 8 2 2 3" xfId="42262"/>
    <cellStyle name="Normal 3 3 8 2 2 3 2" xfId="57389"/>
    <cellStyle name="Normal 3 3 8 2 2 4" xfId="55110"/>
    <cellStyle name="Normal 3 3 8 2 3" xfId="43633"/>
    <cellStyle name="Normal 3 3 8 2 3 2" xfId="58759"/>
    <cellStyle name="Normal 3 3 8 2 4" xfId="41397"/>
    <cellStyle name="Normal 3 3 8 2 4 2" xfId="56524"/>
    <cellStyle name="Normal 3 3 8 2 5" xfId="38839"/>
    <cellStyle name="Normal 3 3 8 2 5 2" xfId="53971"/>
    <cellStyle name="Normal 3 3 8 2 6" xfId="49860"/>
    <cellStyle name="Normal 3 3 8 3" xfId="11636"/>
    <cellStyle name="Normal 3 3 8 3 2" xfId="44061"/>
    <cellStyle name="Normal 3 3 8 3 2 2" xfId="59187"/>
    <cellStyle name="Normal 3 3 8 3 3" xfId="41825"/>
    <cellStyle name="Normal 3 3 8 3 3 2" xfId="56952"/>
    <cellStyle name="Normal 3 3 8 3 4" xfId="39545"/>
    <cellStyle name="Normal 3 3 8 3 4 2" xfId="54673"/>
    <cellStyle name="Normal 3 3 8 3 5" xfId="51890"/>
    <cellStyle name="Normal 3 3 8 4" xfId="3061"/>
    <cellStyle name="Normal 3 3 8 4 2" xfId="42932"/>
    <cellStyle name="Normal 3 3 8 4 2 2" xfId="58058"/>
    <cellStyle name="Normal 3 3 8 4 3" xfId="47755"/>
    <cellStyle name="Normal 3 3 8 5" xfId="40696"/>
    <cellStyle name="Normal 3 3 8 5 2" xfId="55823"/>
    <cellStyle name="Normal 3 3 8 6" xfId="38375"/>
    <cellStyle name="Normal 3 3 8 6 2" xfId="53534"/>
    <cellStyle name="Normal 3 3 8 7" xfId="46056"/>
    <cellStyle name="Normal 3 3 9" xfId="705"/>
    <cellStyle name="Normal 3 3 9 2" xfId="5054"/>
    <cellStyle name="Normal 3 3 9 2 2" xfId="44147"/>
    <cellStyle name="Normal 3 3 9 2 2 2" xfId="59273"/>
    <cellStyle name="Normal 3 3 9 2 3" xfId="41911"/>
    <cellStyle name="Normal 3 3 9 2 3 2" xfId="57038"/>
    <cellStyle name="Normal 3 3 9 2 4" xfId="39631"/>
    <cellStyle name="Normal 3 3 9 2 4 2" xfId="54759"/>
    <cellStyle name="Normal 3 3 9 2 5" xfId="49739"/>
    <cellStyle name="Normal 3 3 9 3" xfId="11515"/>
    <cellStyle name="Normal 3 3 9 3 2" xfId="43283"/>
    <cellStyle name="Normal 3 3 9 3 2 2" xfId="58409"/>
    <cellStyle name="Normal 3 3 9 3 3" xfId="51769"/>
    <cellStyle name="Normal 3 3 9 4" xfId="2939"/>
    <cellStyle name="Normal 3 3 9 4 2" xfId="41047"/>
    <cellStyle name="Normal 3 3 9 4 2 2" xfId="56174"/>
    <cellStyle name="Normal 3 3 9 4 3" xfId="47633"/>
    <cellStyle name="Normal 3 3 9 5" xfId="38464"/>
    <cellStyle name="Normal 3 3 9 5 2" xfId="53620"/>
    <cellStyle name="Normal 3 3 9 6" xfId="45935"/>
    <cellStyle name="Normal 3 4" xfId="32"/>
    <cellStyle name="Normal 3 4 10" xfId="1772"/>
    <cellStyle name="Normal 3 4 10 2" xfId="12582"/>
    <cellStyle name="Normal 3 4 10 2 2" xfId="52836"/>
    <cellStyle name="Normal 3 4 10 3" xfId="6121"/>
    <cellStyle name="Normal 3 4 10 3 2" xfId="50806"/>
    <cellStyle name="Normal 3 4 10 4" xfId="40343"/>
    <cellStyle name="Normal 3 4 10 4 2" xfId="55471"/>
    <cellStyle name="Normal 3 4 10 5" xfId="47002"/>
    <cellStyle name="Normal 3 4 11" xfId="2621"/>
    <cellStyle name="Normal 3 4 11 2" xfId="4426"/>
    <cellStyle name="Normal 3 4 11 2 2" xfId="49116"/>
    <cellStyle name="Normal 3 4 11 3" xfId="47353"/>
    <cellStyle name="Normal 3 4 12" xfId="10891"/>
    <cellStyle name="Normal 3 4 12 2" xfId="51146"/>
    <cellStyle name="Normal 3 4 13" xfId="2707"/>
    <cellStyle name="Normal 3 4 13 2" xfId="47431"/>
    <cellStyle name="Normal 3 4 14" xfId="37991"/>
    <cellStyle name="Normal 3 4 14 2" xfId="53192"/>
    <cellStyle name="Normal 3 4 15" xfId="45324"/>
    <cellStyle name="Normal 3 4 2" xfId="114"/>
    <cellStyle name="Normal 3 4 2 10" xfId="10938"/>
    <cellStyle name="Normal 3 4 2 10 2" xfId="51192"/>
    <cellStyle name="Normal 3 4 2 11" xfId="2775"/>
    <cellStyle name="Normal 3 4 2 11 2" xfId="47475"/>
    <cellStyle name="Normal 3 4 2 12" xfId="38027"/>
    <cellStyle name="Normal 3 4 2 12 2" xfId="53227"/>
    <cellStyle name="Normal 3 4 2 13" xfId="45358"/>
    <cellStyle name="Normal 3 4 2 2" xfId="214"/>
    <cellStyle name="Normal 3 4 2 2 10" xfId="38103"/>
    <cellStyle name="Normal 3 4 2 2 10 2" xfId="53303"/>
    <cellStyle name="Normal 3 4 2 2 11" xfId="45446"/>
    <cellStyle name="Normal 3 4 2 2 2" xfId="968"/>
    <cellStyle name="Normal 3 4 2 2 2 2" xfId="5317"/>
    <cellStyle name="Normal 3 4 2 2 2 2 2" xfId="44619"/>
    <cellStyle name="Normal 3 4 2 2 2 2 2 2" xfId="59745"/>
    <cellStyle name="Normal 3 4 2 2 2 2 3" xfId="42383"/>
    <cellStyle name="Normal 3 4 2 2 2 2 3 2" xfId="57510"/>
    <cellStyle name="Normal 3 4 2 2 2 2 4" xfId="40103"/>
    <cellStyle name="Normal 3 4 2 2 2 2 4 2" xfId="55231"/>
    <cellStyle name="Normal 3 4 2 2 2 2 5" xfId="50002"/>
    <cellStyle name="Normal 3 4 2 2 2 3" xfId="11778"/>
    <cellStyle name="Normal 3 4 2 2 2 3 2" xfId="43053"/>
    <cellStyle name="Normal 3 4 2 2 2 3 2 2" xfId="58179"/>
    <cellStyle name="Normal 3 4 2 2 2 3 3" xfId="52032"/>
    <cellStyle name="Normal 3 4 2 2 2 4" xfId="3203"/>
    <cellStyle name="Normal 3 4 2 2 2 4 2" xfId="40817"/>
    <cellStyle name="Normal 3 4 2 2 2 4 2 2" xfId="55944"/>
    <cellStyle name="Normal 3 4 2 2 2 4 3" xfId="47897"/>
    <cellStyle name="Normal 3 4 2 2 2 5" xfId="38961"/>
    <cellStyle name="Normal 3 4 2 2 2 5 2" xfId="54092"/>
    <cellStyle name="Normal 3 4 2 2 2 6" xfId="46198"/>
    <cellStyle name="Normal 3 4 2 2 3" xfId="1270"/>
    <cellStyle name="Normal 3 4 2 2 3 2" xfId="5619"/>
    <cellStyle name="Normal 3 4 2 2 3 2 2" xfId="44268"/>
    <cellStyle name="Normal 3 4 2 2 3 2 2 2" xfId="59394"/>
    <cellStyle name="Normal 3 4 2 2 3 2 3" xfId="42032"/>
    <cellStyle name="Normal 3 4 2 2 3 2 3 2" xfId="57159"/>
    <cellStyle name="Normal 3 4 2 2 3 2 4" xfId="39752"/>
    <cellStyle name="Normal 3 4 2 2 3 2 4 2" xfId="54880"/>
    <cellStyle name="Normal 3 4 2 2 3 2 5" xfId="50304"/>
    <cellStyle name="Normal 3 4 2 2 3 3" xfId="12080"/>
    <cellStyle name="Normal 3 4 2 2 3 3 2" xfId="43404"/>
    <cellStyle name="Normal 3 4 2 2 3 3 2 2" xfId="58530"/>
    <cellStyle name="Normal 3 4 2 2 3 3 3" xfId="52334"/>
    <cellStyle name="Normal 3 4 2 2 3 4" xfId="3553"/>
    <cellStyle name="Normal 3 4 2 2 3 4 2" xfId="41168"/>
    <cellStyle name="Normal 3 4 2 2 3 4 2 2" xfId="56295"/>
    <cellStyle name="Normal 3 4 2 2 3 4 3" xfId="48246"/>
    <cellStyle name="Normal 3 4 2 2 3 5" xfId="38588"/>
    <cellStyle name="Normal 3 4 2 2 3 5 2" xfId="53741"/>
    <cellStyle name="Normal 3 4 2 2 3 6" xfId="46500"/>
    <cellStyle name="Normal 3 4 2 2 4" xfId="1481"/>
    <cellStyle name="Normal 3 4 2 2 4 2" xfId="5830"/>
    <cellStyle name="Normal 3 4 2 2 4 2 2" xfId="43830"/>
    <cellStyle name="Normal 3 4 2 2 4 2 2 2" xfId="58956"/>
    <cellStyle name="Normal 3 4 2 2 4 2 3" xfId="50515"/>
    <cellStyle name="Normal 3 4 2 2 4 3" xfId="12291"/>
    <cellStyle name="Normal 3 4 2 2 4 3 2" xfId="41594"/>
    <cellStyle name="Normal 3 4 2 2 4 3 2 2" xfId="56721"/>
    <cellStyle name="Normal 3 4 2 2 4 3 3" xfId="52545"/>
    <cellStyle name="Normal 3 4 2 2 4 4" xfId="3780"/>
    <cellStyle name="Normal 3 4 2 2 4 4 2" xfId="48473"/>
    <cellStyle name="Normal 3 4 2 2 4 5" xfId="39314"/>
    <cellStyle name="Normal 3 4 2 2 4 5 2" xfId="54442"/>
    <cellStyle name="Normal 3 4 2 2 4 6" xfId="46711"/>
    <cellStyle name="Normal 3 4 2 2 5" xfId="636"/>
    <cellStyle name="Normal 3 4 2 2 5 2" xfId="4985"/>
    <cellStyle name="Normal 3 4 2 2 5 2 2" xfId="49670"/>
    <cellStyle name="Normal 3 4 2 2 5 3" xfId="11446"/>
    <cellStyle name="Normal 3 4 2 2 5 3 2" xfId="51700"/>
    <cellStyle name="Normal 3 4 2 2 5 4" xfId="4139"/>
    <cellStyle name="Normal 3 4 2 2 5 4 2" xfId="48829"/>
    <cellStyle name="Normal 3 4 2 2 5 5" xfId="42702"/>
    <cellStyle name="Normal 3 4 2 2 5 5 2" xfId="57829"/>
    <cellStyle name="Normal 3 4 2 2 5 6" xfId="45866"/>
    <cellStyle name="Normal 3 4 2 2 6" xfId="1887"/>
    <cellStyle name="Normal 3 4 2 2 6 2" xfId="12694"/>
    <cellStyle name="Normal 3 4 2 2 6 2 2" xfId="52947"/>
    <cellStyle name="Normal 3 4 2 2 6 3" xfId="6234"/>
    <cellStyle name="Normal 3 4 2 2 6 3 2" xfId="50917"/>
    <cellStyle name="Normal 3 4 2 2 6 4" xfId="40467"/>
    <cellStyle name="Normal 3 4 2 2 6 4 2" xfId="55594"/>
    <cellStyle name="Normal 3 4 2 2 6 5" xfId="47113"/>
    <cellStyle name="Normal 3 4 2 2 7" xfId="4563"/>
    <cellStyle name="Normal 3 4 2 2 7 2" xfId="49250"/>
    <cellStyle name="Normal 3 4 2 2 8" xfId="11026"/>
    <cellStyle name="Normal 3 4 2 2 8 2" xfId="51280"/>
    <cellStyle name="Normal 3 4 2 2 9" xfId="2870"/>
    <cellStyle name="Normal 3 4 2 2 9 2" xfId="47564"/>
    <cellStyle name="Normal 3 4 2 3" xfId="305"/>
    <cellStyle name="Normal 3 4 2 3 10" xfId="45535"/>
    <cellStyle name="Normal 3 4 2 3 2" xfId="1359"/>
    <cellStyle name="Normal 3 4 2 3 2 2" xfId="5708"/>
    <cellStyle name="Normal 3 4 2 3 2 2 2" xfId="44695"/>
    <cellStyle name="Normal 3 4 2 3 2 2 2 2" xfId="59821"/>
    <cellStyle name="Normal 3 4 2 3 2 2 3" xfId="42459"/>
    <cellStyle name="Normal 3 4 2 3 2 2 3 2" xfId="57586"/>
    <cellStyle name="Normal 3 4 2 3 2 2 4" xfId="40179"/>
    <cellStyle name="Normal 3 4 2 3 2 2 4 2" xfId="55307"/>
    <cellStyle name="Normal 3 4 2 3 2 2 5" xfId="50393"/>
    <cellStyle name="Normal 3 4 2 3 2 3" xfId="12169"/>
    <cellStyle name="Normal 3 4 2 3 2 3 2" xfId="43129"/>
    <cellStyle name="Normal 3 4 2 3 2 3 2 2" xfId="58255"/>
    <cellStyle name="Normal 3 4 2 3 2 3 3" xfId="52423"/>
    <cellStyle name="Normal 3 4 2 3 2 4" xfId="3642"/>
    <cellStyle name="Normal 3 4 2 3 2 4 2" xfId="40893"/>
    <cellStyle name="Normal 3 4 2 3 2 4 2 2" xfId="56020"/>
    <cellStyle name="Normal 3 4 2 3 2 4 3" xfId="48335"/>
    <cellStyle name="Normal 3 4 2 3 2 5" xfId="39037"/>
    <cellStyle name="Normal 3 4 2 3 2 5 2" xfId="54168"/>
    <cellStyle name="Normal 3 4 2 3 2 6" xfId="46589"/>
    <cellStyle name="Normal 3 4 2 3 3" xfId="1570"/>
    <cellStyle name="Normal 3 4 2 3 3 2" xfId="5919"/>
    <cellStyle name="Normal 3 4 2 3 3 2 2" xfId="44344"/>
    <cellStyle name="Normal 3 4 2 3 3 2 2 2" xfId="59470"/>
    <cellStyle name="Normal 3 4 2 3 3 2 3" xfId="42108"/>
    <cellStyle name="Normal 3 4 2 3 3 2 3 2" xfId="57235"/>
    <cellStyle name="Normal 3 4 2 3 3 2 4" xfId="39828"/>
    <cellStyle name="Normal 3 4 2 3 3 2 4 2" xfId="54956"/>
    <cellStyle name="Normal 3 4 2 3 3 2 5" xfId="50604"/>
    <cellStyle name="Normal 3 4 2 3 3 3" xfId="12380"/>
    <cellStyle name="Normal 3 4 2 3 3 3 2" xfId="43480"/>
    <cellStyle name="Normal 3 4 2 3 3 3 2 2" xfId="58606"/>
    <cellStyle name="Normal 3 4 2 3 3 3 3" xfId="52634"/>
    <cellStyle name="Normal 3 4 2 3 3 4" xfId="3869"/>
    <cellStyle name="Normal 3 4 2 3 3 4 2" xfId="41244"/>
    <cellStyle name="Normal 3 4 2 3 3 4 2 2" xfId="56371"/>
    <cellStyle name="Normal 3 4 2 3 3 4 3" xfId="48562"/>
    <cellStyle name="Normal 3 4 2 3 3 5" xfId="38664"/>
    <cellStyle name="Normal 3 4 2 3 3 5 2" xfId="53817"/>
    <cellStyle name="Normal 3 4 2 3 3 6" xfId="46800"/>
    <cellStyle name="Normal 3 4 2 3 4" xfId="1057"/>
    <cellStyle name="Normal 3 4 2 3 4 2" xfId="5406"/>
    <cellStyle name="Normal 3 4 2 3 4 2 2" xfId="43906"/>
    <cellStyle name="Normal 3 4 2 3 4 2 2 2" xfId="59032"/>
    <cellStyle name="Normal 3 4 2 3 4 2 3" xfId="50091"/>
    <cellStyle name="Normal 3 4 2 3 4 3" xfId="11867"/>
    <cellStyle name="Normal 3 4 2 3 4 3 2" xfId="41670"/>
    <cellStyle name="Normal 3 4 2 3 4 3 2 2" xfId="56797"/>
    <cellStyle name="Normal 3 4 2 3 4 3 3" xfId="52121"/>
    <cellStyle name="Normal 3 4 2 3 4 4" xfId="4228"/>
    <cellStyle name="Normal 3 4 2 3 4 4 2" xfId="48918"/>
    <cellStyle name="Normal 3 4 2 3 4 5" xfId="39390"/>
    <cellStyle name="Normal 3 4 2 3 4 5 2" xfId="54518"/>
    <cellStyle name="Normal 3 4 2 3 4 6" xfId="46287"/>
    <cellStyle name="Normal 3 4 2 3 5" xfId="1963"/>
    <cellStyle name="Normal 3 4 2 3 5 2" xfId="12770"/>
    <cellStyle name="Normal 3 4 2 3 5 2 2" xfId="53023"/>
    <cellStyle name="Normal 3 4 2 3 5 3" xfId="6310"/>
    <cellStyle name="Normal 3 4 2 3 5 3 2" xfId="50993"/>
    <cellStyle name="Normal 3 4 2 3 5 4" xfId="42778"/>
    <cellStyle name="Normal 3 4 2 3 5 4 2" xfId="57905"/>
    <cellStyle name="Normal 3 4 2 3 5 5" xfId="47189"/>
    <cellStyle name="Normal 3 4 2 3 6" xfId="4654"/>
    <cellStyle name="Normal 3 4 2 3 6 2" xfId="40543"/>
    <cellStyle name="Normal 3 4 2 3 6 2 2" xfId="55670"/>
    <cellStyle name="Normal 3 4 2 3 6 3" xfId="49339"/>
    <cellStyle name="Normal 3 4 2 3 7" xfId="11115"/>
    <cellStyle name="Normal 3 4 2 3 7 2" xfId="51369"/>
    <cellStyle name="Normal 3 4 2 3 8" xfId="3292"/>
    <cellStyle name="Normal 3 4 2 3 8 2" xfId="47986"/>
    <cellStyle name="Normal 3 4 2 3 9" xfId="38179"/>
    <cellStyle name="Normal 3 4 2 3 9 2" xfId="53379"/>
    <cellStyle name="Normal 3 4 2 4" xfId="426"/>
    <cellStyle name="Normal 3 4 2 4 2" xfId="1691"/>
    <cellStyle name="Normal 3 4 2 4 2 2" xfId="6040"/>
    <cellStyle name="Normal 3 4 2 4 2 2 2" xfId="44771"/>
    <cellStyle name="Normal 3 4 2 4 2 2 2 2" xfId="59897"/>
    <cellStyle name="Normal 3 4 2 4 2 2 3" xfId="42535"/>
    <cellStyle name="Normal 3 4 2 4 2 2 3 2" xfId="57662"/>
    <cellStyle name="Normal 3 4 2 4 2 2 4" xfId="40255"/>
    <cellStyle name="Normal 3 4 2 4 2 2 4 2" xfId="55383"/>
    <cellStyle name="Normal 3 4 2 4 2 2 5" xfId="50725"/>
    <cellStyle name="Normal 3 4 2 4 2 3" xfId="12501"/>
    <cellStyle name="Normal 3 4 2 4 2 3 2" xfId="43205"/>
    <cellStyle name="Normal 3 4 2 4 2 3 2 2" xfId="58331"/>
    <cellStyle name="Normal 3 4 2 4 2 3 3" xfId="52755"/>
    <cellStyle name="Normal 3 4 2 4 2 4" xfId="3990"/>
    <cellStyle name="Normal 3 4 2 4 2 4 2" xfId="40969"/>
    <cellStyle name="Normal 3 4 2 4 2 4 2 2" xfId="56096"/>
    <cellStyle name="Normal 3 4 2 4 2 4 3" xfId="48683"/>
    <cellStyle name="Normal 3 4 2 4 2 5" xfId="39113"/>
    <cellStyle name="Normal 3 4 2 4 2 5 2" xfId="54244"/>
    <cellStyle name="Normal 3 4 2 4 2 6" xfId="46921"/>
    <cellStyle name="Normal 3 4 2 4 3" xfId="1178"/>
    <cellStyle name="Normal 3 4 2 4 3 2" xfId="5527"/>
    <cellStyle name="Normal 3 4 2 4 3 2 2" xfId="44420"/>
    <cellStyle name="Normal 3 4 2 4 3 2 2 2" xfId="59546"/>
    <cellStyle name="Normal 3 4 2 4 3 2 3" xfId="42184"/>
    <cellStyle name="Normal 3 4 2 4 3 2 3 2" xfId="57311"/>
    <cellStyle name="Normal 3 4 2 4 3 2 4" xfId="39904"/>
    <cellStyle name="Normal 3 4 2 4 3 2 4 2" xfId="55032"/>
    <cellStyle name="Normal 3 4 2 4 3 2 5" xfId="50212"/>
    <cellStyle name="Normal 3 4 2 4 3 3" xfId="11988"/>
    <cellStyle name="Normal 3 4 2 4 3 3 2" xfId="43556"/>
    <cellStyle name="Normal 3 4 2 4 3 3 2 2" xfId="58682"/>
    <cellStyle name="Normal 3 4 2 4 3 3 3" xfId="52242"/>
    <cellStyle name="Normal 3 4 2 4 3 4" xfId="4349"/>
    <cellStyle name="Normal 3 4 2 4 3 4 2" xfId="41320"/>
    <cellStyle name="Normal 3 4 2 4 3 4 2 2" xfId="56447"/>
    <cellStyle name="Normal 3 4 2 4 3 4 3" xfId="49039"/>
    <cellStyle name="Normal 3 4 2 4 3 5" xfId="38740"/>
    <cellStyle name="Normal 3 4 2 4 3 5 2" xfId="53893"/>
    <cellStyle name="Normal 3 4 2 4 3 6" xfId="46408"/>
    <cellStyle name="Normal 3 4 2 4 4" xfId="2040"/>
    <cellStyle name="Normal 3 4 2 4 4 2" xfId="12846"/>
    <cellStyle name="Normal 3 4 2 4 4 2 2" xfId="43982"/>
    <cellStyle name="Normal 3 4 2 4 4 2 2 2" xfId="59108"/>
    <cellStyle name="Normal 3 4 2 4 4 2 3" xfId="53099"/>
    <cellStyle name="Normal 3 4 2 4 4 3" xfId="6386"/>
    <cellStyle name="Normal 3 4 2 4 4 3 2" xfId="41746"/>
    <cellStyle name="Normal 3 4 2 4 4 3 2 2" xfId="56873"/>
    <cellStyle name="Normal 3 4 2 4 4 3 3" xfId="51069"/>
    <cellStyle name="Normal 3 4 2 4 4 4" xfId="39466"/>
    <cellStyle name="Normal 3 4 2 4 4 4 2" xfId="54594"/>
    <cellStyle name="Normal 3 4 2 4 4 5" xfId="47265"/>
    <cellStyle name="Normal 3 4 2 4 5" xfId="4775"/>
    <cellStyle name="Normal 3 4 2 4 5 2" xfId="42854"/>
    <cellStyle name="Normal 3 4 2 4 5 2 2" xfId="57981"/>
    <cellStyle name="Normal 3 4 2 4 5 3" xfId="49460"/>
    <cellStyle name="Normal 3 4 2 4 6" xfId="11236"/>
    <cellStyle name="Normal 3 4 2 4 6 2" xfId="40619"/>
    <cellStyle name="Normal 3 4 2 4 6 2 2" xfId="55746"/>
    <cellStyle name="Normal 3 4 2 4 6 3" xfId="51490"/>
    <cellStyle name="Normal 3 4 2 4 7" xfId="3413"/>
    <cellStyle name="Normal 3 4 2 4 7 2" xfId="48107"/>
    <cellStyle name="Normal 3 4 2 4 8" xfId="38255"/>
    <cellStyle name="Normal 3 4 2 4 8 2" xfId="53455"/>
    <cellStyle name="Normal 3 4 2 4 9" xfId="45656"/>
    <cellStyle name="Normal 3 4 2 5" xfId="880"/>
    <cellStyle name="Normal 3 4 2 5 2" xfId="5229"/>
    <cellStyle name="Normal 3 4 2 5 2 2" xfId="40027"/>
    <cellStyle name="Normal 3 4 2 5 2 2 2" xfId="44543"/>
    <cellStyle name="Normal 3 4 2 5 2 2 2 2" xfId="59669"/>
    <cellStyle name="Normal 3 4 2 5 2 2 3" xfId="42307"/>
    <cellStyle name="Normal 3 4 2 5 2 2 3 2" xfId="57434"/>
    <cellStyle name="Normal 3 4 2 5 2 2 4" xfId="55155"/>
    <cellStyle name="Normal 3 4 2 5 2 3" xfId="43670"/>
    <cellStyle name="Normal 3 4 2 5 2 3 2" xfId="58796"/>
    <cellStyle name="Normal 3 4 2 5 2 4" xfId="41434"/>
    <cellStyle name="Normal 3 4 2 5 2 4 2" xfId="56561"/>
    <cellStyle name="Normal 3 4 2 5 2 5" xfId="38884"/>
    <cellStyle name="Normal 3 4 2 5 2 5 2" xfId="54016"/>
    <cellStyle name="Normal 3 4 2 5 2 6" xfId="49914"/>
    <cellStyle name="Normal 3 4 2 5 3" xfId="11690"/>
    <cellStyle name="Normal 3 4 2 5 3 2" xfId="44066"/>
    <cellStyle name="Normal 3 4 2 5 3 2 2" xfId="59192"/>
    <cellStyle name="Normal 3 4 2 5 3 3" xfId="41830"/>
    <cellStyle name="Normal 3 4 2 5 3 3 2" xfId="56957"/>
    <cellStyle name="Normal 3 4 2 5 3 4" xfId="39550"/>
    <cellStyle name="Normal 3 4 2 5 3 4 2" xfId="54678"/>
    <cellStyle name="Normal 3 4 2 5 3 5" xfId="51944"/>
    <cellStyle name="Normal 3 4 2 5 4" xfId="3115"/>
    <cellStyle name="Normal 3 4 2 5 4 2" xfId="42977"/>
    <cellStyle name="Normal 3 4 2 5 4 2 2" xfId="58103"/>
    <cellStyle name="Normal 3 4 2 5 4 3" xfId="47809"/>
    <cellStyle name="Normal 3 4 2 5 5" xfId="40741"/>
    <cellStyle name="Normal 3 4 2 5 5 2" xfId="55868"/>
    <cellStyle name="Normal 3 4 2 5 6" xfId="38380"/>
    <cellStyle name="Normal 3 4 2 5 6 2" xfId="53539"/>
    <cellStyle name="Normal 3 4 2 5 7" xfId="46110"/>
    <cellStyle name="Normal 3 4 2 6" xfId="757"/>
    <cellStyle name="Normal 3 4 2 6 2" xfId="5106"/>
    <cellStyle name="Normal 3 4 2 6 2 2" xfId="44192"/>
    <cellStyle name="Normal 3 4 2 6 2 2 2" xfId="59318"/>
    <cellStyle name="Normal 3 4 2 6 2 3" xfId="41956"/>
    <cellStyle name="Normal 3 4 2 6 2 3 2" xfId="57083"/>
    <cellStyle name="Normal 3 4 2 6 2 4" xfId="39676"/>
    <cellStyle name="Normal 3 4 2 6 2 4 2" xfId="54804"/>
    <cellStyle name="Normal 3 4 2 6 2 5" xfId="49791"/>
    <cellStyle name="Normal 3 4 2 6 3" xfId="11567"/>
    <cellStyle name="Normal 3 4 2 6 3 2" xfId="43328"/>
    <cellStyle name="Normal 3 4 2 6 3 2 2" xfId="58454"/>
    <cellStyle name="Normal 3 4 2 6 3 3" xfId="51821"/>
    <cellStyle name="Normal 3 4 2 6 4" xfId="2992"/>
    <cellStyle name="Normal 3 4 2 6 4 2" xfId="41092"/>
    <cellStyle name="Normal 3 4 2 6 4 2 2" xfId="56219"/>
    <cellStyle name="Normal 3 4 2 6 4 3" xfId="47686"/>
    <cellStyle name="Normal 3 4 2 6 5" xfId="38510"/>
    <cellStyle name="Normal 3 4 2 6 5 2" xfId="53665"/>
    <cellStyle name="Normal 3 4 2 6 6" xfId="45987"/>
    <cellStyle name="Normal 3 4 2 7" xfId="547"/>
    <cellStyle name="Normal 3 4 2 7 2" xfId="4896"/>
    <cellStyle name="Normal 3 4 2 7 2 2" xfId="43754"/>
    <cellStyle name="Normal 3 4 2 7 2 2 2" xfId="58880"/>
    <cellStyle name="Normal 3 4 2 7 2 3" xfId="49581"/>
    <cellStyle name="Normal 3 4 2 7 3" xfId="11357"/>
    <cellStyle name="Normal 3 4 2 7 3 2" xfId="41518"/>
    <cellStyle name="Normal 3 4 2 7 3 2 2" xfId="56645"/>
    <cellStyle name="Normal 3 4 2 7 3 3" xfId="51611"/>
    <cellStyle name="Normal 3 4 2 7 4" xfId="3503"/>
    <cellStyle name="Normal 3 4 2 7 4 2" xfId="48197"/>
    <cellStyle name="Normal 3 4 2 7 5" xfId="39238"/>
    <cellStyle name="Normal 3 4 2 7 5 2" xfId="54366"/>
    <cellStyle name="Normal 3 4 2 7 6" xfId="45777"/>
    <cellStyle name="Normal 3 4 2 8" xfId="1808"/>
    <cellStyle name="Normal 3 4 2 8 2" xfId="12617"/>
    <cellStyle name="Normal 3 4 2 8 2 2" xfId="52871"/>
    <cellStyle name="Normal 3 4 2 8 3" xfId="6156"/>
    <cellStyle name="Normal 3 4 2 8 3 2" xfId="50841"/>
    <cellStyle name="Normal 3 4 2 8 4" xfId="42626"/>
    <cellStyle name="Normal 3 4 2 8 4 2" xfId="57753"/>
    <cellStyle name="Normal 3 4 2 8 5" xfId="47037"/>
    <cellStyle name="Normal 3 4 2 9" xfId="2622"/>
    <cellStyle name="Normal 3 4 2 9 2" xfId="4472"/>
    <cellStyle name="Normal 3 4 2 9 2 2" xfId="49162"/>
    <cellStyle name="Normal 3 4 2 9 3" xfId="40391"/>
    <cellStyle name="Normal 3 4 2 9 3 2" xfId="55518"/>
    <cellStyle name="Normal 3 4 2 9 4" xfId="47354"/>
    <cellStyle name="Normal 3 4 3" xfId="113"/>
    <cellStyle name="Normal 3 4 3 10" xfId="38026"/>
    <cellStyle name="Normal 3 4 3 10 2" xfId="53226"/>
    <cellStyle name="Normal 3 4 3 11" xfId="45357"/>
    <cellStyle name="Normal 3 4 3 2" xfId="425"/>
    <cellStyle name="Normal 3 4 3 2 2" xfId="1427"/>
    <cellStyle name="Normal 3 4 3 2 2 2" xfId="5776"/>
    <cellStyle name="Normal 3 4 3 2 2 2 2" xfId="44542"/>
    <cellStyle name="Normal 3 4 3 2 2 2 2 2" xfId="59668"/>
    <cellStyle name="Normal 3 4 3 2 2 2 3" xfId="50461"/>
    <cellStyle name="Normal 3 4 3 2 2 3" xfId="12237"/>
    <cellStyle name="Normal 3 4 3 2 2 3 2" xfId="42306"/>
    <cellStyle name="Normal 3 4 3 2 2 3 2 2" xfId="57433"/>
    <cellStyle name="Normal 3 4 3 2 2 3 3" xfId="52491"/>
    <cellStyle name="Normal 3 4 3 2 2 4" xfId="3710"/>
    <cellStyle name="Normal 3 4 3 2 2 4 2" xfId="48403"/>
    <cellStyle name="Normal 3 4 3 2 2 5" xfId="40026"/>
    <cellStyle name="Normal 3 4 3 2 2 5 2" xfId="55154"/>
    <cellStyle name="Normal 3 4 3 2 2 6" xfId="46657"/>
    <cellStyle name="Normal 3 4 3 2 3" xfId="1690"/>
    <cellStyle name="Normal 3 4 3 2 3 2" xfId="6039"/>
    <cellStyle name="Normal 3 4 3 2 3 2 2" xfId="50724"/>
    <cellStyle name="Normal 3 4 3 2 3 3" xfId="12500"/>
    <cellStyle name="Normal 3 4 3 2 3 3 2" xfId="52754"/>
    <cellStyle name="Normal 3 4 3 2 3 4" xfId="3989"/>
    <cellStyle name="Normal 3 4 3 2 3 4 2" xfId="48682"/>
    <cellStyle name="Normal 3 4 3 2 3 5" xfId="42976"/>
    <cellStyle name="Normal 3 4 3 2 3 5 2" xfId="58102"/>
    <cellStyle name="Normal 3 4 3 2 3 6" xfId="46920"/>
    <cellStyle name="Normal 3 4 3 2 4" xfId="1177"/>
    <cellStyle name="Normal 3 4 3 2 4 2" xfId="5526"/>
    <cellStyle name="Normal 3 4 3 2 4 2 2" xfId="50211"/>
    <cellStyle name="Normal 3 4 3 2 4 3" xfId="11987"/>
    <cellStyle name="Normal 3 4 3 2 4 3 2" xfId="52241"/>
    <cellStyle name="Normal 3 4 3 2 4 4" xfId="4348"/>
    <cellStyle name="Normal 3 4 3 2 4 4 2" xfId="49038"/>
    <cellStyle name="Normal 3 4 3 2 4 5" xfId="40740"/>
    <cellStyle name="Normal 3 4 3 2 4 5 2" xfId="55867"/>
    <cellStyle name="Normal 3 4 3 2 4 6" xfId="46407"/>
    <cellStyle name="Normal 3 4 3 2 5" xfId="4774"/>
    <cellStyle name="Normal 3 4 3 2 5 2" xfId="49459"/>
    <cellStyle name="Normal 3 4 3 2 6" xfId="11235"/>
    <cellStyle name="Normal 3 4 3 2 6 2" xfId="51489"/>
    <cellStyle name="Normal 3 4 3 2 7" xfId="3412"/>
    <cellStyle name="Normal 3 4 3 2 7 2" xfId="48106"/>
    <cellStyle name="Normal 3 4 3 2 8" xfId="38883"/>
    <cellStyle name="Normal 3 4 3 2 8 2" xfId="54015"/>
    <cellStyle name="Normal 3 4 3 2 9" xfId="45655"/>
    <cellStyle name="Normal 3 4 3 3" xfId="879"/>
    <cellStyle name="Normal 3 4 3 3 2" xfId="5228"/>
    <cellStyle name="Normal 3 4 3 3 2 2" xfId="44191"/>
    <cellStyle name="Normal 3 4 3 3 2 2 2" xfId="59317"/>
    <cellStyle name="Normal 3 4 3 3 2 3" xfId="41955"/>
    <cellStyle name="Normal 3 4 3 3 2 3 2" xfId="57082"/>
    <cellStyle name="Normal 3 4 3 3 2 4" xfId="39675"/>
    <cellStyle name="Normal 3 4 3 3 2 4 2" xfId="54803"/>
    <cellStyle name="Normal 3 4 3 3 2 5" xfId="49913"/>
    <cellStyle name="Normal 3 4 3 3 3" xfId="11689"/>
    <cellStyle name="Normal 3 4 3 3 3 2" xfId="43327"/>
    <cellStyle name="Normal 3 4 3 3 3 2 2" xfId="58453"/>
    <cellStyle name="Normal 3 4 3 3 3 3" xfId="51943"/>
    <cellStyle name="Normal 3 4 3 3 4" xfId="3114"/>
    <cellStyle name="Normal 3 4 3 3 4 2" xfId="41091"/>
    <cellStyle name="Normal 3 4 3 3 4 2 2" xfId="56218"/>
    <cellStyle name="Normal 3 4 3 3 4 3" xfId="47808"/>
    <cellStyle name="Normal 3 4 3 3 5" xfId="38509"/>
    <cellStyle name="Normal 3 4 3 3 5 2" xfId="53664"/>
    <cellStyle name="Normal 3 4 3 3 6" xfId="46109"/>
    <cellStyle name="Normal 3 4 3 4" xfId="756"/>
    <cellStyle name="Normal 3 4 3 4 2" xfId="5105"/>
    <cellStyle name="Normal 3 4 3 4 2 2" xfId="43753"/>
    <cellStyle name="Normal 3 4 3 4 2 2 2" xfId="58879"/>
    <cellStyle name="Normal 3 4 3 4 2 3" xfId="49790"/>
    <cellStyle name="Normal 3 4 3 4 3" xfId="11566"/>
    <cellStyle name="Normal 3 4 3 4 3 2" xfId="41517"/>
    <cellStyle name="Normal 3 4 3 4 3 2 2" xfId="56644"/>
    <cellStyle name="Normal 3 4 3 4 3 3" xfId="51820"/>
    <cellStyle name="Normal 3 4 3 4 4" xfId="2991"/>
    <cellStyle name="Normal 3 4 3 4 4 2" xfId="47685"/>
    <cellStyle name="Normal 3 4 3 4 5" xfId="39237"/>
    <cellStyle name="Normal 3 4 3 4 5 2" xfId="54365"/>
    <cellStyle name="Normal 3 4 3 4 6" xfId="45986"/>
    <cellStyle name="Normal 3 4 3 5" xfId="546"/>
    <cellStyle name="Normal 3 4 3 5 2" xfId="4895"/>
    <cellStyle name="Normal 3 4 3 5 2 2" xfId="49580"/>
    <cellStyle name="Normal 3 4 3 5 3" xfId="11356"/>
    <cellStyle name="Normal 3 4 3 5 3 2" xfId="51610"/>
    <cellStyle name="Normal 3 4 3 5 4" xfId="2975"/>
    <cellStyle name="Normal 3 4 3 5 4 2" xfId="47669"/>
    <cellStyle name="Normal 3 4 3 5 5" xfId="42625"/>
    <cellStyle name="Normal 3 4 3 5 5 2" xfId="57752"/>
    <cellStyle name="Normal 3 4 3 5 6" xfId="45776"/>
    <cellStyle name="Normal 3 4 3 6" xfId="1807"/>
    <cellStyle name="Normal 3 4 3 6 2" xfId="12616"/>
    <cellStyle name="Normal 3 4 3 6 2 2" xfId="52870"/>
    <cellStyle name="Normal 3 4 3 6 3" xfId="6155"/>
    <cellStyle name="Normal 3 4 3 6 3 2" xfId="50840"/>
    <cellStyle name="Normal 3 4 3 6 4" xfId="40390"/>
    <cellStyle name="Normal 3 4 3 6 4 2" xfId="55517"/>
    <cellStyle name="Normal 3 4 3 6 5" xfId="47036"/>
    <cellStyle name="Normal 3 4 3 7" xfId="4471"/>
    <cellStyle name="Normal 3 4 3 7 2" xfId="49161"/>
    <cellStyle name="Normal 3 4 3 8" xfId="10937"/>
    <cellStyle name="Normal 3 4 3 8 2" xfId="51191"/>
    <cellStyle name="Normal 3 4 3 9" xfId="2774"/>
    <cellStyle name="Normal 3 4 3 9 2" xfId="47474"/>
    <cellStyle name="Normal 3 4 4" xfId="213"/>
    <cellStyle name="Normal 3 4 4 10" xfId="38102"/>
    <cellStyle name="Normal 3 4 4 10 2" xfId="53302"/>
    <cellStyle name="Normal 3 4 4 11" xfId="45445"/>
    <cellStyle name="Normal 3 4 4 2" xfId="967"/>
    <cellStyle name="Normal 3 4 4 2 2" xfId="5316"/>
    <cellStyle name="Normal 3 4 4 2 2 2" xfId="44618"/>
    <cellStyle name="Normal 3 4 4 2 2 2 2" xfId="59744"/>
    <cellStyle name="Normal 3 4 4 2 2 3" xfId="42382"/>
    <cellStyle name="Normal 3 4 4 2 2 3 2" xfId="57509"/>
    <cellStyle name="Normal 3 4 4 2 2 4" xfId="40102"/>
    <cellStyle name="Normal 3 4 4 2 2 4 2" xfId="55230"/>
    <cellStyle name="Normal 3 4 4 2 2 5" xfId="50001"/>
    <cellStyle name="Normal 3 4 4 2 3" xfId="11777"/>
    <cellStyle name="Normal 3 4 4 2 3 2" xfId="43052"/>
    <cellStyle name="Normal 3 4 4 2 3 2 2" xfId="58178"/>
    <cellStyle name="Normal 3 4 4 2 3 3" xfId="52031"/>
    <cellStyle name="Normal 3 4 4 2 4" xfId="3202"/>
    <cellStyle name="Normal 3 4 4 2 4 2" xfId="40816"/>
    <cellStyle name="Normal 3 4 4 2 4 2 2" xfId="55943"/>
    <cellStyle name="Normal 3 4 4 2 4 3" xfId="47896"/>
    <cellStyle name="Normal 3 4 4 2 5" xfId="38960"/>
    <cellStyle name="Normal 3 4 4 2 5 2" xfId="54091"/>
    <cellStyle name="Normal 3 4 4 2 6" xfId="46197"/>
    <cellStyle name="Normal 3 4 4 3" xfId="1269"/>
    <cellStyle name="Normal 3 4 4 3 2" xfId="5618"/>
    <cellStyle name="Normal 3 4 4 3 2 2" xfId="44267"/>
    <cellStyle name="Normal 3 4 4 3 2 2 2" xfId="59393"/>
    <cellStyle name="Normal 3 4 4 3 2 3" xfId="42031"/>
    <cellStyle name="Normal 3 4 4 3 2 3 2" xfId="57158"/>
    <cellStyle name="Normal 3 4 4 3 2 4" xfId="39751"/>
    <cellStyle name="Normal 3 4 4 3 2 4 2" xfId="54879"/>
    <cellStyle name="Normal 3 4 4 3 2 5" xfId="50303"/>
    <cellStyle name="Normal 3 4 4 3 3" xfId="12079"/>
    <cellStyle name="Normal 3 4 4 3 3 2" xfId="43403"/>
    <cellStyle name="Normal 3 4 4 3 3 2 2" xfId="58529"/>
    <cellStyle name="Normal 3 4 4 3 3 3" xfId="52333"/>
    <cellStyle name="Normal 3 4 4 3 4" xfId="3552"/>
    <cellStyle name="Normal 3 4 4 3 4 2" xfId="41167"/>
    <cellStyle name="Normal 3 4 4 3 4 2 2" xfId="56294"/>
    <cellStyle name="Normal 3 4 4 3 4 3" xfId="48245"/>
    <cellStyle name="Normal 3 4 4 3 5" xfId="38587"/>
    <cellStyle name="Normal 3 4 4 3 5 2" xfId="53740"/>
    <cellStyle name="Normal 3 4 4 3 6" xfId="46499"/>
    <cellStyle name="Normal 3 4 4 4" xfId="1480"/>
    <cellStyle name="Normal 3 4 4 4 2" xfId="5829"/>
    <cellStyle name="Normal 3 4 4 4 2 2" xfId="43829"/>
    <cellStyle name="Normal 3 4 4 4 2 2 2" xfId="58955"/>
    <cellStyle name="Normal 3 4 4 4 2 3" xfId="50514"/>
    <cellStyle name="Normal 3 4 4 4 3" xfId="12290"/>
    <cellStyle name="Normal 3 4 4 4 3 2" xfId="41593"/>
    <cellStyle name="Normal 3 4 4 4 3 2 2" xfId="56720"/>
    <cellStyle name="Normal 3 4 4 4 3 3" xfId="52544"/>
    <cellStyle name="Normal 3 4 4 4 4" xfId="3779"/>
    <cellStyle name="Normal 3 4 4 4 4 2" xfId="48472"/>
    <cellStyle name="Normal 3 4 4 4 5" xfId="39313"/>
    <cellStyle name="Normal 3 4 4 4 5 2" xfId="54441"/>
    <cellStyle name="Normal 3 4 4 4 6" xfId="46710"/>
    <cellStyle name="Normal 3 4 4 5" xfId="635"/>
    <cellStyle name="Normal 3 4 4 5 2" xfId="4984"/>
    <cellStyle name="Normal 3 4 4 5 2 2" xfId="49669"/>
    <cellStyle name="Normal 3 4 4 5 3" xfId="11445"/>
    <cellStyle name="Normal 3 4 4 5 3 2" xfId="51699"/>
    <cellStyle name="Normal 3 4 4 5 4" xfId="4138"/>
    <cellStyle name="Normal 3 4 4 5 4 2" xfId="48828"/>
    <cellStyle name="Normal 3 4 4 5 5" xfId="42701"/>
    <cellStyle name="Normal 3 4 4 5 5 2" xfId="57828"/>
    <cellStyle name="Normal 3 4 4 5 6" xfId="45865"/>
    <cellStyle name="Normal 3 4 4 6" xfId="1886"/>
    <cellStyle name="Normal 3 4 4 6 2" xfId="12693"/>
    <cellStyle name="Normal 3 4 4 6 2 2" xfId="52946"/>
    <cellStyle name="Normal 3 4 4 6 3" xfId="6233"/>
    <cellStyle name="Normal 3 4 4 6 3 2" xfId="50916"/>
    <cellStyle name="Normal 3 4 4 6 4" xfId="40466"/>
    <cellStyle name="Normal 3 4 4 6 4 2" xfId="55593"/>
    <cellStyle name="Normal 3 4 4 6 5" xfId="47112"/>
    <cellStyle name="Normal 3 4 4 7" xfId="4562"/>
    <cellStyle name="Normal 3 4 4 7 2" xfId="49249"/>
    <cellStyle name="Normal 3 4 4 8" xfId="11025"/>
    <cellStyle name="Normal 3 4 4 8 2" xfId="51279"/>
    <cellStyle name="Normal 3 4 4 9" xfId="2869"/>
    <cellStyle name="Normal 3 4 4 9 2" xfId="47563"/>
    <cellStyle name="Normal 3 4 5" xfId="304"/>
    <cellStyle name="Normal 3 4 5 10" xfId="45534"/>
    <cellStyle name="Normal 3 4 5 2" xfId="1358"/>
    <cellStyle name="Normal 3 4 5 2 2" xfId="5707"/>
    <cellStyle name="Normal 3 4 5 2 2 2" xfId="44694"/>
    <cellStyle name="Normal 3 4 5 2 2 2 2" xfId="59820"/>
    <cellStyle name="Normal 3 4 5 2 2 3" xfId="42458"/>
    <cellStyle name="Normal 3 4 5 2 2 3 2" xfId="57585"/>
    <cellStyle name="Normal 3 4 5 2 2 4" xfId="40178"/>
    <cellStyle name="Normal 3 4 5 2 2 4 2" xfId="55306"/>
    <cellStyle name="Normal 3 4 5 2 2 5" xfId="50392"/>
    <cellStyle name="Normal 3 4 5 2 3" xfId="12168"/>
    <cellStyle name="Normal 3 4 5 2 3 2" xfId="43128"/>
    <cellStyle name="Normal 3 4 5 2 3 2 2" xfId="58254"/>
    <cellStyle name="Normal 3 4 5 2 3 3" xfId="52422"/>
    <cellStyle name="Normal 3 4 5 2 4" xfId="3641"/>
    <cellStyle name="Normal 3 4 5 2 4 2" xfId="40892"/>
    <cellStyle name="Normal 3 4 5 2 4 2 2" xfId="56019"/>
    <cellStyle name="Normal 3 4 5 2 4 3" xfId="48334"/>
    <cellStyle name="Normal 3 4 5 2 5" xfId="39036"/>
    <cellStyle name="Normal 3 4 5 2 5 2" xfId="54167"/>
    <cellStyle name="Normal 3 4 5 2 6" xfId="46588"/>
    <cellStyle name="Normal 3 4 5 3" xfId="1569"/>
    <cellStyle name="Normal 3 4 5 3 2" xfId="5918"/>
    <cellStyle name="Normal 3 4 5 3 2 2" xfId="44343"/>
    <cellStyle name="Normal 3 4 5 3 2 2 2" xfId="59469"/>
    <cellStyle name="Normal 3 4 5 3 2 3" xfId="42107"/>
    <cellStyle name="Normal 3 4 5 3 2 3 2" xfId="57234"/>
    <cellStyle name="Normal 3 4 5 3 2 4" xfId="39827"/>
    <cellStyle name="Normal 3 4 5 3 2 4 2" xfId="54955"/>
    <cellStyle name="Normal 3 4 5 3 2 5" xfId="50603"/>
    <cellStyle name="Normal 3 4 5 3 3" xfId="12379"/>
    <cellStyle name="Normal 3 4 5 3 3 2" xfId="43479"/>
    <cellStyle name="Normal 3 4 5 3 3 2 2" xfId="58605"/>
    <cellStyle name="Normal 3 4 5 3 3 3" xfId="52633"/>
    <cellStyle name="Normal 3 4 5 3 4" xfId="3868"/>
    <cellStyle name="Normal 3 4 5 3 4 2" xfId="41243"/>
    <cellStyle name="Normal 3 4 5 3 4 2 2" xfId="56370"/>
    <cellStyle name="Normal 3 4 5 3 4 3" xfId="48561"/>
    <cellStyle name="Normal 3 4 5 3 5" xfId="38663"/>
    <cellStyle name="Normal 3 4 5 3 5 2" xfId="53816"/>
    <cellStyle name="Normal 3 4 5 3 6" xfId="46799"/>
    <cellStyle name="Normal 3 4 5 4" xfId="1056"/>
    <cellStyle name="Normal 3 4 5 4 2" xfId="5405"/>
    <cellStyle name="Normal 3 4 5 4 2 2" xfId="43905"/>
    <cellStyle name="Normal 3 4 5 4 2 2 2" xfId="59031"/>
    <cellStyle name="Normal 3 4 5 4 2 3" xfId="50090"/>
    <cellStyle name="Normal 3 4 5 4 3" xfId="11866"/>
    <cellStyle name="Normal 3 4 5 4 3 2" xfId="41669"/>
    <cellStyle name="Normal 3 4 5 4 3 2 2" xfId="56796"/>
    <cellStyle name="Normal 3 4 5 4 3 3" xfId="52120"/>
    <cellStyle name="Normal 3 4 5 4 4" xfId="4227"/>
    <cellStyle name="Normal 3 4 5 4 4 2" xfId="48917"/>
    <cellStyle name="Normal 3 4 5 4 5" xfId="39389"/>
    <cellStyle name="Normal 3 4 5 4 5 2" xfId="54517"/>
    <cellStyle name="Normal 3 4 5 4 6" xfId="46286"/>
    <cellStyle name="Normal 3 4 5 5" xfId="1962"/>
    <cellStyle name="Normal 3 4 5 5 2" xfId="12769"/>
    <cellStyle name="Normal 3 4 5 5 2 2" xfId="53022"/>
    <cellStyle name="Normal 3 4 5 5 3" xfId="6309"/>
    <cellStyle name="Normal 3 4 5 5 3 2" xfId="50992"/>
    <cellStyle name="Normal 3 4 5 5 4" xfId="42777"/>
    <cellStyle name="Normal 3 4 5 5 4 2" xfId="57904"/>
    <cellStyle name="Normal 3 4 5 5 5" xfId="47188"/>
    <cellStyle name="Normal 3 4 5 6" xfId="4653"/>
    <cellStyle name="Normal 3 4 5 6 2" xfId="40542"/>
    <cellStyle name="Normal 3 4 5 6 2 2" xfId="55669"/>
    <cellStyle name="Normal 3 4 5 6 3" xfId="49338"/>
    <cellStyle name="Normal 3 4 5 7" xfId="11114"/>
    <cellStyle name="Normal 3 4 5 7 2" xfId="51368"/>
    <cellStyle name="Normal 3 4 5 8" xfId="3291"/>
    <cellStyle name="Normal 3 4 5 8 2" xfId="47985"/>
    <cellStyle name="Normal 3 4 5 9" xfId="38178"/>
    <cellStyle name="Normal 3 4 5 9 2" xfId="53378"/>
    <cellStyle name="Normal 3 4 6" xfId="382"/>
    <cellStyle name="Normal 3 4 6 2" xfId="1647"/>
    <cellStyle name="Normal 3 4 6 2 2" xfId="5996"/>
    <cellStyle name="Normal 3 4 6 2 2 2" xfId="44770"/>
    <cellStyle name="Normal 3 4 6 2 2 2 2" xfId="59896"/>
    <cellStyle name="Normal 3 4 6 2 2 3" xfId="42534"/>
    <cellStyle name="Normal 3 4 6 2 2 3 2" xfId="57661"/>
    <cellStyle name="Normal 3 4 6 2 2 4" xfId="40254"/>
    <cellStyle name="Normal 3 4 6 2 2 4 2" xfId="55382"/>
    <cellStyle name="Normal 3 4 6 2 2 5" xfId="50681"/>
    <cellStyle name="Normal 3 4 6 2 3" xfId="12457"/>
    <cellStyle name="Normal 3 4 6 2 3 2" xfId="43204"/>
    <cellStyle name="Normal 3 4 6 2 3 2 2" xfId="58330"/>
    <cellStyle name="Normal 3 4 6 2 3 3" xfId="52711"/>
    <cellStyle name="Normal 3 4 6 2 4" xfId="3946"/>
    <cellStyle name="Normal 3 4 6 2 4 2" xfId="40968"/>
    <cellStyle name="Normal 3 4 6 2 4 2 2" xfId="56095"/>
    <cellStyle name="Normal 3 4 6 2 4 3" xfId="48639"/>
    <cellStyle name="Normal 3 4 6 2 5" xfId="39112"/>
    <cellStyle name="Normal 3 4 6 2 5 2" xfId="54243"/>
    <cellStyle name="Normal 3 4 6 2 6" xfId="46877"/>
    <cellStyle name="Normal 3 4 6 3" xfId="1134"/>
    <cellStyle name="Normal 3 4 6 3 2" xfId="5483"/>
    <cellStyle name="Normal 3 4 6 3 2 2" xfId="44419"/>
    <cellStyle name="Normal 3 4 6 3 2 2 2" xfId="59545"/>
    <cellStyle name="Normal 3 4 6 3 2 3" xfId="42183"/>
    <cellStyle name="Normal 3 4 6 3 2 3 2" xfId="57310"/>
    <cellStyle name="Normal 3 4 6 3 2 4" xfId="39903"/>
    <cellStyle name="Normal 3 4 6 3 2 4 2" xfId="55031"/>
    <cellStyle name="Normal 3 4 6 3 2 5" xfId="50168"/>
    <cellStyle name="Normal 3 4 6 3 3" xfId="11944"/>
    <cellStyle name="Normal 3 4 6 3 3 2" xfId="43555"/>
    <cellStyle name="Normal 3 4 6 3 3 2 2" xfId="58681"/>
    <cellStyle name="Normal 3 4 6 3 3 3" xfId="52198"/>
    <cellStyle name="Normal 3 4 6 3 4" xfId="4305"/>
    <cellStyle name="Normal 3 4 6 3 4 2" xfId="41319"/>
    <cellStyle name="Normal 3 4 6 3 4 2 2" xfId="56446"/>
    <cellStyle name="Normal 3 4 6 3 4 3" xfId="48995"/>
    <cellStyle name="Normal 3 4 6 3 5" xfId="38739"/>
    <cellStyle name="Normal 3 4 6 3 5 2" xfId="53892"/>
    <cellStyle name="Normal 3 4 6 3 6" xfId="46364"/>
    <cellStyle name="Normal 3 4 6 4" xfId="2039"/>
    <cellStyle name="Normal 3 4 6 4 2" xfId="12845"/>
    <cellStyle name="Normal 3 4 6 4 2 2" xfId="43981"/>
    <cellStyle name="Normal 3 4 6 4 2 2 2" xfId="59107"/>
    <cellStyle name="Normal 3 4 6 4 2 3" xfId="53098"/>
    <cellStyle name="Normal 3 4 6 4 3" xfId="6385"/>
    <cellStyle name="Normal 3 4 6 4 3 2" xfId="41745"/>
    <cellStyle name="Normal 3 4 6 4 3 2 2" xfId="56872"/>
    <cellStyle name="Normal 3 4 6 4 3 3" xfId="51068"/>
    <cellStyle name="Normal 3 4 6 4 4" xfId="39465"/>
    <cellStyle name="Normal 3 4 6 4 4 2" xfId="54593"/>
    <cellStyle name="Normal 3 4 6 4 5" xfId="47264"/>
    <cellStyle name="Normal 3 4 6 5" xfId="4731"/>
    <cellStyle name="Normal 3 4 6 5 2" xfId="42853"/>
    <cellStyle name="Normal 3 4 6 5 2 2" xfId="57980"/>
    <cellStyle name="Normal 3 4 6 5 3" xfId="49416"/>
    <cellStyle name="Normal 3 4 6 6" xfId="11192"/>
    <cellStyle name="Normal 3 4 6 6 2" xfId="40618"/>
    <cellStyle name="Normal 3 4 6 6 2 2" xfId="55745"/>
    <cellStyle name="Normal 3 4 6 6 3" xfId="51446"/>
    <cellStyle name="Normal 3 4 6 7" xfId="3369"/>
    <cellStyle name="Normal 3 4 6 7 2" xfId="48063"/>
    <cellStyle name="Normal 3 4 6 8" xfId="38254"/>
    <cellStyle name="Normal 3 4 6 8 2" xfId="53454"/>
    <cellStyle name="Normal 3 4 6 9" xfId="45612"/>
    <cellStyle name="Normal 3 4 7" xfId="834"/>
    <cellStyle name="Normal 3 4 7 2" xfId="5183"/>
    <cellStyle name="Normal 3 4 7 2 2" xfId="39992"/>
    <cellStyle name="Normal 3 4 7 2 2 2" xfId="44508"/>
    <cellStyle name="Normal 3 4 7 2 2 2 2" xfId="59634"/>
    <cellStyle name="Normal 3 4 7 2 2 3" xfId="42272"/>
    <cellStyle name="Normal 3 4 7 2 2 3 2" xfId="57399"/>
    <cellStyle name="Normal 3 4 7 2 2 4" xfId="55120"/>
    <cellStyle name="Normal 3 4 7 2 3" xfId="43643"/>
    <cellStyle name="Normal 3 4 7 2 3 2" xfId="58769"/>
    <cellStyle name="Normal 3 4 7 2 4" xfId="41407"/>
    <cellStyle name="Normal 3 4 7 2 4 2" xfId="56534"/>
    <cellStyle name="Normal 3 4 7 2 5" xfId="38849"/>
    <cellStyle name="Normal 3 4 7 2 5 2" xfId="53981"/>
    <cellStyle name="Normal 3 4 7 2 6" xfId="49868"/>
    <cellStyle name="Normal 3 4 7 3" xfId="11644"/>
    <cellStyle name="Normal 3 4 7 3 2" xfId="44065"/>
    <cellStyle name="Normal 3 4 7 3 2 2" xfId="59191"/>
    <cellStyle name="Normal 3 4 7 3 3" xfId="41829"/>
    <cellStyle name="Normal 3 4 7 3 3 2" xfId="56956"/>
    <cellStyle name="Normal 3 4 7 3 4" xfId="39549"/>
    <cellStyle name="Normal 3 4 7 3 4 2" xfId="54677"/>
    <cellStyle name="Normal 3 4 7 3 5" xfId="51898"/>
    <cellStyle name="Normal 3 4 7 4" xfId="3069"/>
    <cellStyle name="Normal 3 4 7 4 2" xfId="42942"/>
    <cellStyle name="Normal 3 4 7 4 2 2" xfId="58068"/>
    <cellStyle name="Normal 3 4 7 4 3" xfId="47763"/>
    <cellStyle name="Normal 3 4 7 5" xfId="40706"/>
    <cellStyle name="Normal 3 4 7 5 2" xfId="55833"/>
    <cellStyle name="Normal 3 4 7 6" xfId="38379"/>
    <cellStyle name="Normal 3 4 7 6 2" xfId="53538"/>
    <cellStyle name="Normal 3 4 7 7" xfId="46064"/>
    <cellStyle name="Normal 3 4 8" xfId="713"/>
    <cellStyle name="Normal 3 4 8 2" xfId="5062"/>
    <cellStyle name="Normal 3 4 8 2 2" xfId="44157"/>
    <cellStyle name="Normal 3 4 8 2 2 2" xfId="59283"/>
    <cellStyle name="Normal 3 4 8 2 3" xfId="41921"/>
    <cellStyle name="Normal 3 4 8 2 3 2" xfId="57048"/>
    <cellStyle name="Normal 3 4 8 2 4" xfId="39641"/>
    <cellStyle name="Normal 3 4 8 2 4 2" xfId="54769"/>
    <cellStyle name="Normal 3 4 8 2 5" xfId="49747"/>
    <cellStyle name="Normal 3 4 8 3" xfId="11523"/>
    <cellStyle name="Normal 3 4 8 3 2" xfId="43293"/>
    <cellStyle name="Normal 3 4 8 3 2 2" xfId="58419"/>
    <cellStyle name="Normal 3 4 8 3 3" xfId="51777"/>
    <cellStyle name="Normal 3 4 8 4" xfId="2947"/>
    <cellStyle name="Normal 3 4 8 4 2" xfId="41057"/>
    <cellStyle name="Normal 3 4 8 4 2 2" xfId="56184"/>
    <cellStyle name="Normal 3 4 8 4 3" xfId="47641"/>
    <cellStyle name="Normal 3 4 8 5" xfId="38474"/>
    <cellStyle name="Normal 3 4 8 5 2" xfId="53630"/>
    <cellStyle name="Normal 3 4 8 6" xfId="45943"/>
    <cellStyle name="Normal 3 4 9" xfId="503"/>
    <cellStyle name="Normal 3 4 9 2" xfId="4852"/>
    <cellStyle name="Normal 3 4 9 2 2" xfId="43719"/>
    <cellStyle name="Normal 3 4 9 2 2 2" xfId="58845"/>
    <cellStyle name="Normal 3 4 9 2 3" xfId="49537"/>
    <cellStyle name="Normal 3 4 9 3" xfId="11313"/>
    <cellStyle name="Normal 3 4 9 3 2" xfId="41483"/>
    <cellStyle name="Normal 3 4 9 3 2 2" xfId="56610"/>
    <cellStyle name="Normal 3 4 9 3 3" xfId="51567"/>
    <cellStyle name="Normal 3 4 9 4" xfId="4070"/>
    <cellStyle name="Normal 3 4 9 4 2" xfId="48762"/>
    <cellStyle name="Normal 3 4 9 5" xfId="39203"/>
    <cellStyle name="Normal 3 4 9 5 2" xfId="54331"/>
    <cellStyle name="Normal 3 4 9 6" xfId="45733"/>
    <cellStyle name="Normal 3 5" xfId="115"/>
    <cellStyle name="Normal 3 5 10" xfId="10939"/>
    <cellStyle name="Normal 3 5 10 2" xfId="51193"/>
    <cellStyle name="Normal 3 5 11" xfId="2776"/>
    <cellStyle name="Normal 3 5 11 2" xfId="47476"/>
    <cellStyle name="Normal 3 5 12" xfId="38028"/>
    <cellStyle name="Normal 3 5 12 2" xfId="53228"/>
    <cellStyle name="Normal 3 5 13" xfId="45359"/>
    <cellStyle name="Normal 3 5 2" xfId="215"/>
    <cellStyle name="Normal 3 5 2 10" xfId="38104"/>
    <cellStyle name="Normal 3 5 2 10 2" xfId="53304"/>
    <cellStyle name="Normal 3 5 2 11" xfId="45447"/>
    <cellStyle name="Normal 3 5 2 2" xfId="969"/>
    <cellStyle name="Normal 3 5 2 2 2" xfId="5318"/>
    <cellStyle name="Normal 3 5 2 2 2 2" xfId="44620"/>
    <cellStyle name="Normal 3 5 2 2 2 2 2" xfId="59746"/>
    <cellStyle name="Normal 3 5 2 2 2 3" xfId="42384"/>
    <cellStyle name="Normal 3 5 2 2 2 3 2" xfId="57511"/>
    <cellStyle name="Normal 3 5 2 2 2 4" xfId="40104"/>
    <cellStyle name="Normal 3 5 2 2 2 4 2" xfId="55232"/>
    <cellStyle name="Normal 3 5 2 2 2 5" xfId="50003"/>
    <cellStyle name="Normal 3 5 2 2 3" xfId="11779"/>
    <cellStyle name="Normal 3 5 2 2 3 2" xfId="43054"/>
    <cellStyle name="Normal 3 5 2 2 3 2 2" xfId="58180"/>
    <cellStyle name="Normal 3 5 2 2 3 3" xfId="52033"/>
    <cellStyle name="Normal 3 5 2 2 4" xfId="3204"/>
    <cellStyle name="Normal 3 5 2 2 4 2" xfId="40818"/>
    <cellStyle name="Normal 3 5 2 2 4 2 2" xfId="55945"/>
    <cellStyle name="Normal 3 5 2 2 4 3" xfId="47898"/>
    <cellStyle name="Normal 3 5 2 2 5" xfId="38962"/>
    <cellStyle name="Normal 3 5 2 2 5 2" xfId="54093"/>
    <cellStyle name="Normal 3 5 2 2 6" xfId="46199"/>
    <cellStyle name="Normal 3 5 2 3" xfId="1271"/>
    <cellStyle name="Normal 3 5 2 3 2" xfId="5620"/>
    <cellStyle name="Normal 3 5 2 3 2 2" xfId="44269"/>
    <cellStyle name="Normal 3 5 2 3 2 2 2" xfId="59395"/>
    <cellStyle name="Normal 3 5 2 3 2 3" xfId="42033"/>
    <cellStyle name="Normal 3 5 2 3 2 3 2" xfId="57160"/>
    <cellStyle name="Normal 3 5 2 3 2 4" xfId="39753"/>
    <cellStyle name="Normal 3 5 2 3 2 4 2" xfId="54881"/>
    <cellStyle name="Normal 3 5 2 3 2 5" xfId="50305"/>
    <cellStyle name="Normal 3 5 2 3 3" xfId="12081"/>
    <cellStyle name="Normal 3 5 2 3 3 2" xfId="43405"/>
    <cellStyle name="Normal 3 5 2 3 3 2 2" xfId="58531"/>
    <cellStyle name="Normal 3 5 2 3 3 3" xfId="52335"/>
    <cellStyle name="Normal 3 5 2 3 4" xfId="3554"/>
    <cellStyle name="Normal 3 5 2 3 4 2" xfId="41169"/>
    <cellStyle name="Normal 3 5 2 3 4 2 2" xfId="56296"/>
    <cellStyle name="Normal 3 5 2 3 4 3" xfId="48247"/>
    <cellStyle name="Normal 3 5 2 3 5" xfId="38589"/>
    <cellStyle name="Normal 3 5 2 3 5 2" xfId="53742"/>
    <cellStyle name="Normal 3 5 2 3 6" xfId="46501"/>
    <cellStyle name="Normal 3 5 2 4" xfId="1482"/>
    <cellStyle name="Normal 3 5 2 4 2" xfId="5831"/>
    <cellStyle name="Normal 3 5 2 4 2 2" xfId="43831"/>
    <cellStyle name="Normal 3 5 2 4 2 2 2" xfId="58957"/>
    <cellStyle name="Normal 3 5 2 4 2 3" xfId="50516"/>
    <cellStyle name="Normal 3 5 2 4 3" xfId="12292"/>
    <cellStyle name="Normal 3 5 2 4 3 2" xfId="41595"/>
    <cellStyle name="Normal 3 5 2 4 3 2 2" xfId="56722"/>
    <cellStyle name="Normal 3 5 2 4 3 3" xfId="52546"/>
    <cellStyle name="Normal 3 5 2 4 4" xfId="3781"/>
    <cellStyle name="Normal 3 5 2 4 4 2" xfId="48474"/>
    <cellStyle name="Normal 3 5 2 4 5" xfId="39315"/>
    <cellStyle name="Normal 3 5 2 4 5 2" xfId="54443"/>
    <cellStyle name="Normal 3 5 2 4 6" xfId="46712"/>
    <cellStyle name="Normal 3 5 2 5" xfId="637"/>
    <cellStyle name="Normal 3 5 2 5 2" xfId="4986"/>
    <cellStyle name="Normal 3 5 2 5 2 2" xfId="49671"/>
    <cellStyle name="Normal 3 5 2 5 3" xfId="11447"/>
    <cellStyle name="Normal 3 5 2 5 3 2" xfId="51701"/>
    <cellStyle name="Normal 3 5 2 5 4" xfId="4140"/>
    <cellStyle name="Normal 3 5 2 5 4 2" xfId="48830"/>
    <cellStyle name="Normal 3 5 2 5 5" xfId="42703"/>
    <cellStyle name="Normal 3 5 2 5 5 2" xfId="57830"/>
    <cellStyle name="Normal 3 5 2 5 6" xfId="45867"/>
    <cellStyle name="Normal 3 5 2 6" xfId="1888"/>
    <cellStyle name="Normal 3 5 2 6 2" xfId="12695"/>
    <cellStyle name="Normal 3 5 2 6 2 2" xfId="52948"/>
    <cellStyle name="Normal 3 5 2 6 3" xfId="6235"/>
    <cellStyle name="Normal 3 5 2 6 3 2" xfId="50918"/>
    <cellStyle name="Normal 3 5 2 6 4" xfId="40468"/>
    <cellStyle name="Normal 3 5 2 6 4 2" xfId="55595"/>
    <cellStyle name="Normal 3 5 2 6 5" xfId="47114"/>
    <cellStyle name="Normal 3 5 2 7" xfId="4564"/>
    <cellStyle name="Normal 3 5 2 7 2" xfId="49251"/>
    <cellStyle name="Normal 3 5 2 8" xfId="11027"/>
    <cellStyle name="Normal 3 5 2 8 2" xfId="51281"/>
    <cellStyle name="Normal 3 5 2 9" xfId="2871"/>
    <cellStyle name="Normal 3 5 2 9 2" xfId="47565"/>
    <cellStyle name="Normal 3 5 3" xfId="306"/>
    <cellStyle name="Normal 3 5 3 10" xfId="45536"/>
    <cellStyle name="Normal 3 5 3 2" xfId="1360"/>
    <cellStyle name="Normal 3 5 3 2 2" xfId="5709"/>
    <cellStyle name="Normal 3 5 3 2 2 2" xfId="44696"/>
    <cellStyle name="Normal 3 5 3 2 2 2 2" xfId="59822"/>
    <cellStyle name="Normal 3 5 3 2 2 3" xfId="42460"/>
    <cellStyle name="Normal 3 5 3 2 2 3 2" xfId="57587"/>
    <cellStyle name="Normal 3 5 3 2 2 4" xfId="40180"/>
    <cellStyle name="Normal 3 5 3 2 2 4 2" xfId="55308"/>
    <cellStyle name="Normal 3 5 3 2 2 5" xfId="50394"/>
    <cellStyle name="Normal 3 5 3 2 3" xfId="12170"/>
    <cellStyle name="Normal 3 5 3 2 3 2" xfId="43130"/>
    <cellStyle name="Normal 3 5 3 2 3 2 2" xfId="58256"/>
    <cellStyle name="Normal 3 5 3 2 3 3" xfId="52424"/>
    <cellStyle name="Normal 3 5 3 2 4" xfId="3643"/>
    <cellStyle name="Normal 3 5 3 2 4 2" xfId="40894"/>
    <cellStyle name="Normal 3 5 3 2 4 2 2" xfId="56021"/>
    <cellStyle name="Normal 3 5 3 2 4 3" xfId="48336"/>
    <cellStyle name="Normal 3 5 3 2 5" xfId="39038"/>
    <cellStyle name="Normal 3 5 3 2 5 2" xfId="54169"/>
    <cellStyle name="Normal 3 5 3 2 6" xfId="46590"/>
    <cellStyle name="Normal 3 5 3 3" xfId="1571"/>
    <cellStyle name="Normal 3 5 3 3 2" xfId="5920"/>
    <cellStyle name="Normal 3 5 3 3 2 2" xfId="44345"/>
    <cellStyle name="Normal 3 5 3 3 2 2 2" xfId="59471"/>
    <cellStyle name="Normal 3 5 3 3 2 3" xfId="42109"/>
    <cellStyle name="Normal 3 5 3 3 2 3 2" xfId="57236"/>
    <cellStyle name="Normal 3 5 3 3 2 4" xfId="39829"/>
    <cellStyle name="Normal 3 5 3 3 2 4 2" xfId="54957"/>
    <cellStyle name="Normal 3 5 3 3 2 5" xfId="50605"/>
    <cellStyle name="Normal 3 5 3 3 3" xfId="12381"/>
    <cellStyle name="Normal 3 5 3 3 3 2" xfId="43481"/>
    <cellStyle name="Normal 3 5 3 3 3 2 2" xfId="58607"/>
    <cellStyle name="Normal 3 5 3 3 3 3" xfId="52635"/>
    <cellStyle name="Normal 3 5 3 3 4" xfId="3870"/>
    <cellStyle name="Normal 3 5 3 3 4 2" xfId="41245"/>
    <cellStyle name="Normal 3 5 3 3 4 2 2" xfId="56372"/>
    <cellStyle name="Normal 3 5 3 3 4 3" xfId="48563"/>
    <cellStyle name="Normal 3 5 3 3 5" xfId="38665"/>
    <cellStyle name="Normal 3 5 3 3 5 2" xfId="53818"/>
    <cellStyle name="Normal 3 5 3 3 6" xfId="46801"/>
    <cellStyle name="Normal 3 5 3 4" xfId="1058"/>
    <cellStyle name="Normal 3 5 3 4 2" xfId="5407"/>
    <cellStyle name="Normal 3 5 3 4 2 2" xfId="43907"/>
    <cellStyle name="Normal 3 5 3 4 2 2 2" xfId="59033"/>
    <cellStyle name="Normal 3 5 3 4 2 3" xfId="50092"/>
    <cellStyle name="Normal 3 5 3 4 3" xfId="11868"/>
    <cellStyle name="Normal 3 5 3 4 3 2" xfId="41671"/>
    <cellStyle name="Normal 3 5 3 4 3 2 2" xfId="56798"/>
    <cellStyle name="Normal 3 5 3 4 3 3" xfId="52122"/>
    <cellStyle name="Normal 3 5 3 4 4" xfId="4229"/>
    <cellStyle name="Normal 3 5 3 4 4 2" xfId="48919"/>
    <cellStyle name="Normal 3 5 3 4 5" xfId="39391"/>
    <cellStyle name="Normal 3 5 3 4 5 2" xfId="54519"/>
    <cellStyle name="Normal 3 5 3 4 6" xfId="46288"/>
    <cellStyle name="Normal 3 5 3 5" xfId="1964"/>
    <cellStyle name="Normal 3 5 3 5 2" xfId="12771"/>
    <cellStyle name="Normal 3 5 3 5 2 2" xfId="53024"/>
    <cellStyle name="Normal 3 5 3 5 3" xfId="6311"/>
    <cellStyle name="Normal 3 5 3 5 3 2" xfId="50994"/>
    <cellStyle name="Normal 3 5 3 5 4" xfId="42779"/>
    <cellStyle name="Normal 3 5 3 5 4 2" xfId="57906"/>
    <cellStyle name="Normal 3 5 3 5 5" xfId="47190"/>
    <cellStyle name="Normal 3 5 3 6" xfId="4655"/>
    <cellStyle name="Normal 3 5 3 6 2" xfId="40544"/>
    <cellStyle name="Normal 3 5 3 6 2 2" xfId="55671"/>
    <cellStyle name="Normal 3 5 3 6 3" xfId="49340"/>
    <cellStyle name="Normal 3 5 3 7" xfId="11116"/>
    <cellStyle name="Normal 3 5 3 7 2" xfId="51370"/>
    <cellStyle name="Normal 3 5 3 8" xfId="3293"/>
    <cellStyle name="Normal 3 5 3 8 2" xfId="47987"/>
    <cellStyle name="Normal 3 5 3 9" xfId="38180"/>
    <cellStyle name="Normal 3 5 3 9 2" xfId="53380"/>
    <cellStyle name="Normal 3 5 4" xfId="427"/>
    <cellStyle name="Normal 3 5 4 2" xfId="1692"/>
    <cellStyle name="Normal 3 5 4 2 2" xfId="6041"/>
    <cellStyle name="Normal 3 5 4 2 2 2" xfId="44772"/>
    <cellStyle name="Normal 3 5 4 2 2 2 2" xfId="59898"/>
    <cellStyle name="Normal 3 5 4 2 2 3" xfId="42536"/>
    <cellStyle name="Normal 3 5 4 2 2 3 2" xfId="57663"/>
    <cellStyle name="Normal 3 5 4 2 2 4" xfId="40256"/>
    <cellStyle name="Normal 3 5 4 2 2 4 2" xfId="55384"/>
    <cellStyle name="Normal 3 5 4 2 2 5" xfId="50726"/>
    <cellStyle name="Normal 3 5 4 2 3" xfId="12502"/>
    <cellStyle name="Normal 3 5 4 2 3 2" xfId="43206"/>
    <cellStyle name="Normal 3 5 4 2 3 2 2" xfId="58332"/>
    <cellStyle name="Normal 3 5 4 2 3 3" xfId="52756"/>
    <cellStyle name="Normal 3 5 4 2 4" xfId="3991"/>
    <cellStyle name="Normal 3 5 4 2 4 2" xfId="40970"/>
    <cellStyle name="Normal 3 5 4 2 4 2 2" xfId="56097"/>
    <cellStyle name="Normal 3 5 4 2 4 3" xfId="48684"/>
    <cellStyle name="Normal 3 5 4 2 5" xfId="39114"/>
    <cellStyle name="Normal 3 5 4 2 5 2" xfId="54245"/>
    <cellStyle name="Normal 3 5 4 2 6" xfId="46922"/>
    <cellStyle name="Normal 3 5 4 3" xfId="1179"/>
    <cellStyle name="Normal 3 5 4 3 2" xfId="5528"/>
    <cellStyle name="Normal 3 5 4 3 2 2" xfId="44421"/>
    <cellStyle name="Normal 3 5 4 3 2 2 2" xfId="59547"/>
    <cellStyle name="Normal 3 5 4 3 2 3" xfId="42185"/>
    <cellStyle name="Normal 3 5 4 3 2 3 2" xfId="57312"/>
    <cellStyle name="Normal 3 5 4 3 2 4" xfId="39905"/>
    <cellStyle name="Normal 3 5 4 3 2 4 2" xfId="55033"/>
    <cellStyle name="Normal 3 5 4 3 2 5" xfId="50213"/>
    <cellStyle name="Normal 3 5 4 3 3" xfId="11989"/>
    <cellStyle name="Normal 3 5 4 3 3 2" xfId="43557"/>
    <cellStyle name="Normal 3 5 4 3 3 2 2" xfId="58683"/>
    <cellStyle name="Normal 3 5 4 3 3 3" xfId="52243"/>
    <cellStyle name="Normal 3 5 4 3 4" xfId="4350"/>
    <cellStyle name="Normal 3 5 4 3 4 2" xfId="41321"/>
    <cellStyle name="Normal 3 5 4 3 4 2 2" xfId="56448"/>
    <cellStyle name="Normal 3 5 4 3 4 3" xfId="49040"/>
    <cellStyle name="Normal 3 5 4 3 5" xfId="38741"/>
    <cellStyle name="Normal 3 5 4 3 5 2" xfId="53894"/>
    <cellStyle name="Normal 3 5 4 3 6" xfId="46409"/>
    <cellStyle name="Normal 3 5 4 4" xfId="2041"/>
    <cellStyle name="Normal 3 5 4 4 2" xfId="12847"/>
    <cellStyle name="Normal 3 5 4 4 2 2" xfId="43983"/>
    <cellStyle name="Normal 3 5 4 4 2 2 2" xfId="59109"/>
    <cellStyle name="Normal 3 5 4 4 2 3" xfId="53100"/>
    <cellStyle name="Normal 3 5 4 4 3" xfId="6387"/>
    <cellStyle name="Normal 3 5 4 4 3 2" xfId="41747"/>
    <cellStyle name="Normal 3 5 4 4 3 2 2" xfId="56874"/>
    <cellStyle name="Normal 3 5 4 4 3 3" xfId="51070"/>
    <cellStyle name="Normal 3 5 4 4 4" xfId="39467"/>
    <cellStyle name="Normal 3 5 4 4 4 2" xfId="54595"/>
    <cellStyle name="Normal 3 5 4 4 5" xfId="47266"/>
    <cellStyle name="Normal 3 5 4 5" xfId="4776"/>
    <cellStyle name="Normal 3 5 4 5 2" xfId="42855"/>
    <cellStyle name="Normal 3 5 4 5 2 2" xfId="57982"/>
    <cellStyle name="Normal 3 5 4 5 3" xfId="49461"/>
    <cellStyle name="Normal 3 5 4 6" xfId="11237"/>
    <cellStyle name="Normal 3 5 4 6 2" xfId="40620"/>
    <cellStyle name="Normal 3 5 4 6 2 2" xfId="55747"/>
    <cellStyle name="Normal 3 5 4 6 3" xfId="51491"/>
    <cellStyle name="Normal 3 5 4 7" xfId="3414"/>
    <cellStyle name="Normal 3 5 4 7 2" xfId="48108"/>
    <cellStyle name="Normal 3 5 4 8" xfId="38256"/>
    <cellStyle name="Normal 3 5 4 8 2" xfId="53456"/>
    <cellStyle name="Normal 3 5 4 9" xfId="45657"/>
    <cellStyle name="Normal 3 5 5" xfId="881"/>
    <cellStyle name="Normal 3 5 5 2" xfId="5230"/>
    <cellStyle name="Normal 3 5 5 2 2" xfId="40028"/>
    <cellStyle name="Normal 3 5 5 2 2 2" xfId="44544"/>
    <cellStyle name="Normal 3 5 5 2 2 2 2" xfId="59670"/>
    <cellStyle name="Normal 3 5 5 2 2 3" xfId="42308"/>
    <cellStyle name="Normal 3 5 5 2 2 3 2" xfId="57435"/>
    <cellStyle name="Normal 3 5 5 2 2 4" xfId="55156"/>
    <cellStyle name="Normal 3 5 5 2 3" xfId="43671"/>
    <cellStyle name="Normal 3 5 5 2 3 2" xfId="58797"/>
    <cellStyle name="Normal 3 5 5 2 4" xfId="41435"/>
    <cellStyle name="Normal 3 5 5 2 4 2" xfId="56562"/>
    <cellStyle name="Normal 3 5 5 2 5" xfId="38885"/>
    <cellStyle name="Normal 3 5 5 2 5 2" xfId="54017"/>
    <cellStyle name="Normal 3 5 5 2 6" xfId="49915"/>
    <cellStyle name="Normal 3 5 5 3" xfId="11691"/>
    <cellStyle name="Normal 3 5 5 3 2" xfId="44067"/>
    <cellStyle name="Normal 3 5 5 3 2 2" xfId="59193"/>
    <cellStyle name="Normal 3 5 5 3 3" xfId="41831"/>
    <cellStyle name="Normal 3 5 5 3 3 2" xfId="56958"/>
    <cellStyle name="Normal 3 5 5 3 4" xfId="39551"/>
    <cellStyle name="Normal 3 5 5 3 4 2" xfId="54679"/>
    <cellStyle name="Normal 3 5 5 3 5" xfId="51945"/>
    <cellStyle name="Normal 3 5 5 4" xfId="3116"/>
    <cellStyle name="Normal 3 5 5 4 2" xfId="42978"/>
    <cellStyle name="Normal 3 5 5 4 2 2" xfId="58104"/>
    <cellStyle name="Normal 3 5 5 4 3" xfId="47810"/>
    <cellStyle name="Normal 3 5 5 5" xfId="40742"/>
    <cellStyle name="Normal 3 5 5 5 2" xfId="55869"/>
    <cellStyle name="Normal 3 5 5 6" xfId="38381"/>
    <cellStyle name="Normal 3 5 5 6 2" xfId="53540"/>
    <cellStyle name="Normal 3 5 5 7" xfId="46111"/>
    <cellStyle name="Normal 3 5 6" xfId="758"/>
    <cellStyle name="Normal 3 5 6 2" xfId="5107"/>
    <cellStyle name="Normal 3 5 6 2 2" xfId="44193"/>
    <cellStyle name="Normal 3 5 6 2 2 2" xfId="59319"/>
    <cellStyle name="Normal 3 5 6 2 3" xfId="41957"/>
    <cellStyle name="Normal 3 5 6 2 3 2" xfId="57084"/>
    <cellStyle name="Normal 3 5 6 2 4" xfId="39677"/>
    <cellStyle name="Normal 3 5 6 2 4 2" xfId="54805"/>
    <cellStyle name="Normal 3 5 6 2 5" xfId="49792"/>
    <cellStyle name="Normal 3 5 6 3" xfId="11568"/>
    <cellStyle name="Normal 3 5 6 3 2" xfId="43329"/>
    <cellStyle name="Normal 3 5 6 3 2 2" xfId="58455"/>
    <cellStyle name="Normal 3 5 6 3 3" xfId="51822"/>
    <cellStyle name="Normal 3 5 6 4" xfId="2993"/>
    <cellStyle name="Normal 3 5 6 4 2" xfId="41093"/>
    <cellStyle name="Normal 3 5 6 4 2 2" xfId="56220"/>
    <cellStyle name="Normal 3 5 6 4 3" xfId="47687"/>
    <cellStyle name="Normal 3 5 6 5" xfId="38511"/>
    <cellStyle name="Normal 3 5 6 5 2" xfId="53666"/>
    <cellStyle name="Normal 3 5 6 6" xfId="45988"/>
    <cellStyle name="Normal 3 5 7" xfId="548"/>
    <cellStyle name="Normal 3 5 7 2" xfId="4897"/>
    <cellStyle name="Normal 3 5 7 2 2" xfId="43755"/>
    <cellStyle name="Normal 3 5 7 2 2 2" xfId="58881"/>
    <cellStyle name="Normal 3 5 7 2 3" xfId="49582"/>
    <cellStyle name="Normal 3 5 7 3" xfId="11358"/>
    <cellStyle name="Normal 3 5 7 3 2" xfId="41519"/>
    <cellStyle name="Normal 3 5 7 3 2 2" xfId="56646"/>
    <cellStyle name="Normal 3 5 7 3 3" xfId="51612"/>
    <cellStyle name="Normal 3 5 7 4" xfId="4071"/>
    <cellStyle name="Normal 3 5 7 4 2" xfId="48763"/>
    <cellStyle name="Normal 3 5 7 5" xfId="39239"/>
    <cellStyle name="Normal 3 5 7 5 2" xfId="54367"/>
    <cellStyle name="Normal 3 5 7 6" xfId="45778"/>
    <cellStyle name="Normal 3 5 8" xfId="1809"/>
    <cellStyle name="Normal 3 5 8 2" xfId="12618"/>
    <cellStyle name="Normal 3 5 8 2 2" xfId="52872"/>
    <cellStyle name="Normal 3 5 8 3" xfId="6157"/>
    <cellStyle name="Normal 3 5 8 3 2" xfId="50842"/>
    <cellStyle name="Normal 3 5 8 4" xfId="42627"/>
    <cellStyle name="Normal 3 5 8 4 2" xfId="57754"/>
    <cellStyle name="Normal 3 5 8 5" xfId="47038"/>
    <cellStyle name="Normal 3 5 9" xfId="2623"/>
    <cellStyle name="Normal 3 5 9 2" xfId="4473"/>
    <cellStyle name="Normal 3 5 9 2 2" xfId="49163"/>
    <cellStyle name="Normal 3 5 9 3" xfId="40392"/>
    <cellStyle name="Normal 3 5 9 3 2" xfId="55519"/>
    <cellStyle name="Normal 3 5 9 4" xfId="47355"/>
    <cellStyle name="Normal 3 6" xfId="100"/>
    <cellStyle name="Normal 3 6 10" xfId="38013"/>
    <cellStyle name="Normal 3 6 10 2" xfId="53213"/>
    <cellStyle name="Normal 3 6 11" xfId="45344"/>
    <cellStyle name="Normal 3 6 2" xfId="412"/>
    <cellStyle name="Normal 3 6 2 2" xfId="1420"/>
    <cellStyle name="Normal 3 6 2 2 2" xfId="5769"/>
    <cellStyle name="Normal 3 6 2 2 2 2" xfId="44529"/>
    <cellStyle name="Normal 3 6 2 2 2 2 2" xfId="59655"/>
    <cellStyle name="Normal 3 6 2 2 2 3" xfId="50454"/>
    <cellStyle name="Normal 3 6 2 2 3" xfId="12230"/>
    <cellStyle name="Normal 3 6 2 2 3 2" xfId="42293"/>
    <cellStyle name="Normal 3 6 2 2 3 2 2" xfId="57420"/>
    <cellStyle name="Normal 3 6 2 2 3 3" xfId="52484"/>
    <cellStyle name="Normal 3 6 2 2 4" xfId="3703"/>
    <cellStyle name="Normal 3 6 2 2 4 2" xfId="48396"/>
    <cellStyle name="Normal 3 6 2 2 5" xfId="40013"/>
    <cellStyle name="Normal 3 6 2 2 5 2" xfId="55141"/>
    <cellStyle name="Normal 3 6 2 2 6" xfId="46650"/>
    <cellStyle name="Normal 3 6 2 3" xfId="1677"/>
    <cellStyle name="Normal 3 6 2 3 2" xfId="6026"/>
    <cellStyle name="Normal 3 6 2 3 2 2" xfId="50711"/>
    <cellStyle name="Normal 3 6 2 3 3" xfId="12487"/>
    <cellStyle name="Normal 3 6 2 3 3 2" xfId="52741"/>
    <cellStyle name="Normal 3 6 2 3 4" xfId="3976"/>
    <cellStyle name="Normal 3 6 2 3 4 2" xfId="48669"/>
    <cellStyle name="Normal 3 6 2 3 5" xfId="42963"/>
    <cellStyle name="Normal 3 6 2 3 5 2" xfId="58089"/>
    <cellStyle name="Normal 3 6 2 3 6" xfId="46907"/>
    <cellStyle name="Normal 3 6 2 4" xfId="1164"/>
    <cellStyle name="Normal 3 6 2 4 2" xfId="5513"/>
    <cellStyle name="Normal 3 6 2 4 2 2" xfId="50198"/>
    <cellStyle name="Normal 3 6 2 4 3" xfId="11974"/>
    <cellStyle name="Normal 3 6 2 4 3 2" xfId="52228"/>
    <cellStyle name="Normal 3 6 2 4 4" xfId="4335"/>
    <cellStyle name="Normal 3 6 2 4 4 2" xfId="49025"/>
    <cellStyle name="Normal 3 6 2 4 5" xfId="40727"/>
    <cellStyle name="Normal 3 6 2 4 5 2" xfId="55854"/>
    <cellStyle name="Normal 3 6 2 4 6" xfId="46394"/>
    <cellStyle name="Normal 3 6 2 5" xfId="4761"/>
    <cellStyle name="Normal 3 6 2 5 2" xfId="49446"/>
    <cellStyle name="Normal 3 6 2 6" xfId="11222"/>
    <cellStyle name="Normal 3 6 2 6 2" xfId="51476"/>
    <cellStyle name="Normal 3 6 2 7" xfId="3399"/>
    <cellStyle name="Normal 3 6 2 7 2" xfId="48093"/>
    <cellStyle name="Normal 3 6 2 8" xfId="38870"/>
    <cellStyle name="Normal 3 6 2 8 2" xfId="54002"/>
    <cellStyle name="Normal 3 6 2 9" xfId="45642"/>
    <cellStyle name="Normal 3 6 3" xfId="866"/>
    <cellStyle name="Normal 3 6 3 2" xfId="5215"/>
    <cellStyle name="Normal 3 6 3 2 2" xfId="44178"/>
    <cellStyle name="Normal 3 6 3 2 2 2" xfId="59304"/>
    <cellStyle name="Normal 3 6 3 2 3" xfId="41942"/>
    <cellStyle name="Normal 3 6 3 2 3 2" xfId="57069"/>
    <cellStyle name="Normal 3 6 3 2 4" xfId="39662"/>
    <cellStyle name="Normal 3 6 3 2 4 2" xfId="54790"/>
    <cellStyle name="Normal 3 6 3 2 5" xfId="49900"/>
    <cellStyle name="Normal 3 6 3 3" xfId="11676"/>
    <cellStyle name="Normal 3 6 3 3 2" xfId="43314"/>
    <cellStyle name="Normal 3 6 3 3 2 2" xfId="58440"/>
    <cellStyle name="Normal 3 6 3 3 3" xfId="51930"/>
    <cellStyle name="Normal 3 6 3 4" xfId="3101"/>
    <cellStyle name="Normal 3 6 3 4 2" xfId="41078"/>
    <cellStyle name="Normal 3 6 3 4 2 2" xfId="56205"/>
    <cellStyle name="Normal 3 6 3 4 3" xfId="47795"/>
    <cellStyle name="Normal 3 6 3 5" xfId="38496"/>
    <cellStyle name="Normal 3 6 3 5 2" xfId="53651"/>
    <cellStyle name="Normal 3 6 3 6" xfId="46096"/>
    <cellStyle name="Normal 3 6 4" xfId="743"/>
    <cellStyle name="Normal 3 6 4 2" xfId="5092"/>
    <cellStyle name="Normal 3 6 4 2 2" xfId="43740"/>
    <cellStyle name="Normal 3 6 4 2 2 2" xfId="58866"/>
    <cellStyle name="Normal 3 6 4 2 3" xfId="49777"/>
    <cellStyle name="Normal 3 6 4 3" xfId="11553"/>
    <cellStyle name="Normal 3 6 4 3 2" xfId="41504"/>
    <cellStyle name="Normal 3 6 4 3 2 2" xfId="56631"/>
    <cellStyle name="Normal 3 6 4 3 3" xfId="51807"/>
    <cellStyle name="Normal 3 6 4 4" xfId="2978"/>
    <cellStyle name="Normal 3 6 4 4 2" xfId="47672"/>
    <cellStyle name="Normal 3 6 4 5" xfId="39224"/>
    <cellStyle name="Normal 3 6 4 5 2" xfId="54352"/>
    <cellStyle name="Normal 3 6 4 6" xfId="45973"/>
    <cellStyle name="Normal 3 6 5" xfId="533"/>
    <cellStyle name="Normal 3 6 5 2" xfId="4882"/>
    <cellStyle name="Normal 3 6 5 2 2" xfId="49567"/>
    <cellStyle name="Normal 3 6 5 3" xfId="11343"/>
    <cellStyle name="Normal 3 6 5 3 2" xfId="51597"/>
    <cellStyle name="Normal 3 6 5 4" xfId="4087"/>
    <cellStyle name="Normal 3 6 5 4 2" xfId="48779"/>
    <cellStyle name="Normal 3 6 5 5" xfId="42612"/>
    <cellStyle name="Normal 3 6 5 5 2" xfId="57739"/>
    <cellStyle name="Normal 3 6 5 6" xfId="45763"/>
    <cellStyle name="Normal 3 6 6" xfId="1794"/>
    <cellStyle name="Normal 3 6 6 2" xfId="12603"/>
    <cellStyle name="Normal 3 6 6 2 2" xfId="52857"/>
    <cellStyle name="Normal 3 6 6 3" xfId="6142"/>
    <cellStyle name="Normal 3 6 6 3 2" xfId="50827"/>
    <cellStyle name="Normal 3 6 6 4" xfId="40377"/>
    <cellStyle name="Normal 3 6 6 4 2" xfId="55504"/>
    <cellStyle name="Normal 3 6 6 5" xfId="47023"/>
    <cellStyle name="Normal 3 6 7" xfId="4458"/>
    <cellStyle name="Normal 3 6 7 2" xfId="49148"/>
    <cellStyle name="Normal 3 6 8" xfId="10924"/>
    <cellStyle name="Normal 3 6 8 2" xfId="51178"/>
    <cellStyle name="Normal 3 6 9" xfId="2761"/>
    <cellStyle name="Normal 3 6 9 2" xfId="47461"/>
    <cellStyle name="Normal 3 7" xfId="200"/>
    <cellStyle name="Normal 3 7 10" xfId="38089"/>
    <cellStyle name="Normal 3 7 10 2" xfId="53289"/>
    <cellStyle name="Normal 3 7 11" xfId="45432"/>
    <cellStyle name="Normal 3 7 2" xfId="954"/>
    <cellStyle name="Normal 3 7 2 2" xfId="5303"/>
    <cellStyle name="Normal 3 7 2 2 2" xfId="44605"/>
    <cellStyle name="Normal 3 7 2 2 2 2" xfId="59731"/>
    <cellStyle name="Normal 3 7 2 2 3" xfId="42369"/>
    <cellStyle name="Normal 3 7 2 2 3 2" xfId="57496"/>
    <cellStyle name="Normal 3 7 2 2 4" xfId="40089"/>
    <cellStyle name="Normal 3 7 2 2 4 2" xfId="55217"/>
    <cellStyle name="Normal 3 7 2 2 5" xfId="49988"/>
    <cellStyle name="Normal 3 7 2 3" xfId="11764"/>
    <cellStyle name="Normal 3 7 2 3 2" xfId="43039"/>
    <cellStyle name="Normal 3 7 2 3 2 2" xfId="58165"/>
    <cellStyle name="Normal 3 7 2 3 3" xfId="52018"/>
    <cellStyle name="Normal 3 7 2 4" xfId="3189"/>
    <cellStyle name="Normal 3 7 2 4 2" xfId="40803"/>
    <cellStyle name="Normal 3 7 2 4 2 2" xfId="55930"/>
    <cellStyle name="Normal 3 7 2 4 3" xfId="47883"/>
    <cellStyle name="Normal 3 7 2 5" xfId="38947"/>
    <cellStyle name="Normal 3 7 2 5 2" xfId="54078"/>
    <cellStyle name="Normal 3 7 2 6" xfId="46184"/>
    <cellStyle name="Normal 3 7 3" xfId="1256"/>
    <cellStyle name="Normal 3 7 3 2" xfId="5605"/>
    <cellStyle name="Normal 3 7 3 2 2" xfId="44254"/>
    <cellStyle name="Normal 3 7 3 2 2 2" xfId="59380"/>
    <cellStyle name="Normal 3 7 3 2 3" xfId="42018"/>
    <cellStyle name="Normal 3 7 3 2 3 2" xfId="57145"/>
    <cellStyle name="Normal 3 7 3 2 4" xfId="39738"/>
    <cellStyle name="Normal 3 7 3 2 4 2" xfId="54866"/>
    <cellStyle name="Normal 3 7 3 2 5" xfId="50290"/>
    <cellStyle name="Normal 3 7 3 3" xfId="12066"/>
    <cellStyle name="Normal 3 7 3 3 2" xfId="43390"/>
    <cellStyle name="Normal 3 7 3 3 2 2" xfId="58516"/>
    <cellStyle name="Normal 3 7 3 3 3" xfId="52320"/>
    <cellStyle name="Normal 3 7 3 4" xfId="3539"/>
    <cellStyle name="Normal 3 7 3 4 2" xfId="41154"/>
    <cellStyle name="Normal 3 7 3 4 2 2" xfId="56281"/>
    <cellStyle name="Normal 3 7 3 4 3" xfId="48232"/>
    <cellStyle name="Normal 3 7 3 5" xfId="38574"/>
    <cellStyle name="Normal 3 7 3 5 2" xfId="53727"/>
    <cellStyle name="Normal 3 7 3 6" xfId="46486"/>
    <cellStyle name="Normal 3 7 4" xfId="1467"/>
    <cellStyle name="Normal 3 7 4 2" xfId="5816"/>
    <cellStyle name="Normal 3 7 4 2 2" xfId="43816"/>
    <cellStyle name="Normal 3 7 4 2 2 2" xfId="58942"/>
    <cellStyle name="Normal 3 7 4 2 3" xfId="50501"/>
    <cellStyle name="Normal 3 7 4 3" xfId="12277"/>
    <cellStyle name="Normal 3 7 4 3 2" xfId="41580"/>
    <cellStyle name="Normal 3 7 4 3 2 2" xfId="56707"/>
    <cellStyle name="Normal 3 7 4 3 3" xfId="52531"/>
    <cellStyle name="Normal 3 7 4 4" xfId="3766"/>
    <cellStyle name="Normal 3 7 4 4 2" xfId="48459"/>
    <cellStyle name="Normal 3 7 4 5" xfId="39300"/>
    <cellStyle name="Normal 3 7 4 5 2" xfId="54428"/>
    <cellStyle name="Normal 3 7 4 6" xfId="46697"/>
    <cellStyle name="Normal 3 7 5" xfId="622"/>
    <cellStyle name="Normal 3 7 5 2" xfId="4971"/>
    <cellStyle name="Normal 3 7 5 2 2" xfId="49656"/>
    <cellStyle name="Normal 3 7 5 3" xfId="11432"/>
    <cellStyle name="Normal 3 7 5 3 2" xfId="51686"/>
    <cellStyle name="Normal 3 7 5 4" xfId="4125"/>
    <cellStyle name="Normal 3 7 5 4 2" xfId="48815"/>
    <cellStyle name="Normal 3 7 5 5" xfId="42688"/>
    <cellStyle name="Normal 3 7 5 5 2" xfId="57815"/>
    <cellStyle name="Normal 3 7 5 6" xfId="45852"/>
    <cellStyle name="Normal 3 7 6" xfId="1873"/>
    <cellStyle name="Normal 3 7 6 2" xfId="12680"/>
    <cellStyle name="Normal 3 7 6 2 2" xfId="52933"/>
    <cellStyle name="Normal 3 7 6 3" xfId="6220"/>
    <cellStyle name="Normal 3 7 6 3 2" xfId="50903"/>
    <cellStyle name="Normal 3 7 6 4" xfId="40453"/>
    <cellStyle name="Normal 3 7 6 4 2" xfId="55580"/>
    <cellStyle name="Normal 3 7 6 5" xfId="47099"/>
    <cellStyle name="Normal 3 7 7" xfId="4549"/>
    <cellStyle name="Normal 3 7 7 2" xfId="49236"/>
    <cellStyle name="Normal 3 7 8" xfId="11012"/>
    <cellStyle name="Normal 3 7 8 2" xfId="51266"/>
    <cellStyle name="Normal 3 7 9" xfId="2856"/>
    <cellStyle name="Normal 3 7 9 2" xfId="47550"/>
    <cellStyle name="Normal 3 8" xfId="291"/>
    <cellStyle name="Normal 3 8 10" xfId="45521"/>
    <cellStyle name="Normal 3 8 2" xfId="1345"/>
    <cellStyle name="Normal 3 8 2 2" xfId="5694"/>
    <cellStyle name="Normal 3 8 2 2 2" xfId="44681"/>
    <cellStyle name="Normal 3 8 2 2 2 2" xfId="59807"/>
    <cellStyle name="Normal 3 8 2 2 3" xfId="42445"/>
    <cellStyle name="Normal 3 8 2 2 3 2" xfId="57572"/>
    <cellStyle name="Normal 3 8 2 2 4" xfId="40165"/>
    <cellStyle name="Normal 3 8 2 2 4 2" xfId="55293"/>
    <cellStyle name="Normal 3 8 2 2 5" xfId="50379"/>
    <cellStyle name="Normal 3 8 2 3" xfId="12155"/>
    <cellStyle name="Normal 3 8 2 3 2" xfId="43115"/>
    <cellStyle name="Normal 3 8 2 3 2 2" xfId="58241"/>
    <cellStyle name="Normal 3 8 2 3 3" xfId="52409"/>
    <cellStyle name="Normal 3 8 2 4" xfId="3628"/>
    <cellStyle name="Normal 3 8 2 4 2" xfId="40879"/>
    <cellStyle name="Normal 3 8 2 4 2 2" xfId="56006"/>
    <cellStyle name="Normal 3 8 2 4 3" xfId="48321"/>
    <cellStyle name="Normal 3 8 2 5" xfId="39023"/>
    <cellStyle name="Normal 3 8 2 5 2" xfId="54154"/>
    <cellStyle name="Normal 3 8 2 6" xfId="46575"/>
    <cellStyle name="Normal 3 8 3" xfId="1556"/>
    <cellStyle name="Normal 3 8 3 2" xfId="5905"/>
    <cellStyle name="Normal 3 8 3 2 2" xfId="44330"/>
    <cellStyle name="Normal 3 8 3 2 2 2" xfId="59456"/>
    <cellStyle name="Normal 3 8 3 2 3" xfId="42094"/>
    <cellStyle name="Normal 3 8 3 2 3 2" xfId="57221"/>
    <cellStyle name="Normal 3 8 3 2 4" xfId="39814"/>
    <cellStyle name="Normal 3 8 3 2 4 2" xfId="54942"/>
    <cellStyle name="Normal 3 8 3 2 5" xfId="50590"/>
    <cellStyle name="Normal 3 8 3 3" xfId="12366"/>
    <cellStyle name="Normal 3 8 3 3 2" xfId="43466"/>
    <cellStyle name="Normal 3 8 3 3 2 2" xfId="58592"/>
    <cellStyle name="Normal 3 8 3 3 3" xfId="52620"/>
    <cellStyle name="Normal 3 8 3 4" xfId="3855"/>
    <cellStyle name="Normal 3 8 3 4 2" xfId="41230"/>
    <cellStyle name="Normal 3 8 3 4 2 2" xfId="56357"/>
    <cellStyle name="Normal 3 8 3 4 3" xfId="48548"/>
    <cellStyle name="Normal 3 8 3 5" xfId="38650"/>
    <cellStyle name="Normal 3 8 3 5 2" xfId="53803"/>
    <cellStyle name="Normal 3 8 3 6" xfId="46786"/>
    <cellStyle name="Normal 3 8 4" xfId="1043"/>
    <cellStyle name="Normal 3 8 4 2" xfId="5392"/>
    <cellStyle name="Normal 3 8 4 2 2" xfId="43892"/>
    <cellStyle name="Normal 3 8 4 2 2 2" xfId="59018"/>
    <cellStyle name="Normal 3 8 4 2 3" xfId="50077"/>
    <cellStyle name="Normal 3 8 4 3" xfId="11853"/>
    <cellStyle name="Normal 3 8 4 3 2" xfId="41656"/>
    <cellStyle name="Normal 3 8 4 3 2 2" xfId="56783"/>
    <cellStyle name="Normal 3 8 4 3 3" xfId="52107"/>
    <cellStyle name="Normal 3 8 4 4" xfId="4214"/>
    <cellStyle name="Normal 3 8 4 4 2" xfId="48904"/>
    <cellStyle name="Normal 3 8 4 5" xfId="39376"/>
    <cellStyle name="Normal 3 8 4 5 2" xfId="54504"/>
    <cellStyle name="Normal 3 8 4 6" xfId="46273"/>
    <cellStyle name="Normal 3 8 5" xfId="1949"/>
    <cellStyle name="Normal 3 8 5 2" xfId="12756"/>
    <cellStyle name="Normal 3 8 5 2 2" xfId="53009"/>
    <cellStyle name="Normal 3 8 5 3" xfId="6296"/>
    <cellStyle name="Normal 3 8 5 3 2" xfId="50979"/>
    <cellStyle name="Normal 3 8 5 4" xfId="42764"/>
    <cellStyle name="Normal 3 8 5 4 2" xfId="57891"/>
    <cellStyle name="Normal 3 8 5 5" xfId="47175"/>
    <cellStyle name="Normal 3 8 6" xfId="4640"/>
    <cellStyle name="Normal 3 8 6 2" xfId="40529"/>
    <cellStyle name="Normal 3 8 6 2 2" xfId="55656"/>
    <cellStyle name="Normal 3 8 6 3" xfId="49325"/>
    <cellStyle name="Normal 3 8 7" xfId="11101"/>
    <cellStyle name="Normal 3 8 7 2" xfId="51355"/>
    <cellStyle name="Normal 3 8 8" xfId="3278"/>
    <cellStyle name="Normal 3 8 8 2" xfId="47972"/>
    <cellStyle name="Normal 3 8 9" xfId="38165"/>
    <cellStyle name="Normal 3 8 9 2" xfId="53365"/>
    <cellStyle name="Normal 3 9" xfId="366"/>
    <cellStyle name="Normal 3 9 2" xfId="1631"/>
    <cellStyle name="Normal 3 9 2 2" xfId="5980"/>
    <cellStyle name="Normal 3 9 2 2 2" xfId="44757"/>
    <cellStyle name="Normal 3 9 2 2 2 2" xfId="59883"/>
    <cellStyle name="Normal 3 9 2 2 3" xfId="42521"/>
    <cellStyle name="Normal 3 9 2 2 3 2" xfId="57648"/>
    <cellStyle name="Normal 3 9 2 2 4" xfId="40241"/>
    <cellStyle name="Normal 3 9 2 2 4 2" xfId="55369"/>
    <cellStyle name="Normal 3 9 2 2 5" xfId="50665"/>
    <cellStyle name="Normal 3 9 2 3" xfId="12441"/>
    <cellStyle name="Normal 3 9 2 3 2" xfId="43191"/>
    <cellStyle name="Normal 3 9 2 3 2 2" xfId="58317"/>
    <cellStyle name="Normal 3 9 2 3 3" xfId="52695"/>
    <cellStyle name="Normal 3 9 2 4" xfId="3930"/>
    <cellStyle name="Normal 3 9 2 4 2" xfId="40955"/>
    <cellStyle name="Normal 3 9 2 4 2 2" xfId="56082"/>
    <cellStyle name="Normal 3 9 2 4 3" xfId="48623"/>
    <cellStyle name="Normal 3 9 2 5" xfId="39099"/>
    <cellStyle name="Normal 3 9 2 5 2" xfId="54230"/>
    <cellStyle name="Normal 3 9 2 6" xfId="46861"/>
    <cellStyle name="Normal 3 9 3" xfId="1118"/>
    <cellStyle name="Normal 3 9 3 2" xfId="5467"/>
    <cellStyle name="Normal 3 9 3 2 2" xfId="44406"/>
    <cellStyle name="Normal 3 9 3 2 2 2" xfId="59532"/>
    <cellStyle name="Normal 3 9 3 2 3" xfId="42170"/>
    <cellStyle name="Normal 3 9 3 2 3 2" xfId="57297"/>
    <cellStyle name="Normal 3 9 3 2 4" xfId="39890"/>
    <cellStyle name="Normal 3 9 3 2 4 2" xfId="55018"/>
    <cellStyle name="Normal 3 9 3 2 5" xfId="50152"/>
    <cellStyle name="Normal 3 9 3 3" xfId="11928"/>
    <cellStyle name="Normal 3 9 3 3 2" xfId="43542"/>
    <cellStyle name="Normal 3 9 3 3 2 2" xfId="58668"/>
    <cellStyle name="Normal 3 9 3 3 3" xfId="52182"/>
    <cellStyle name="Normal 3 9 3 4" xfId="4289"/>
    <cellStyle name="Normal 3 9 3 4 2" xfId="41306"/>
    <cellStyle name="Normal 3 9 3 4 2 2" xfId="56433"/>
    <cellStyle name="Normal 3 9 3 4 3" xfId="48979"/>
    <cellStyle name="Normal 3 9 3 5" xfId="38726"/>
    <cellStyle name="Normal 3 9 3 5 2" xfId="53879"/>
    <cellStyle name="Normal 3 9 3 6" xfId="46348"/>
    <cellStyle name="Normal 3 9 4" xfId="2026"/>
    <cellStyle name="Normal 3 9 4 2" xfId="12832"/>
    <cellStyle name="Normal 3 9 4 2 2" xfId="43968"/>
    <cellStyle name="Normal 3 9 4 2 2 2" xfId="59094"/>
    <cellStyle name="Normal 3 9 4 2 3" xfId="53085"/>
    <cellStyle name="Normal 3 9 4 3" xfId="6372"/>
    <cellStyle name="Normal 3 9 4 3 2" xfId="41732"/>
    <cellStyle name="Normal 3 9 4 3 2 2" xfId="56859"/>
    <cellStyle name="Normal 3 9 4 3 3" xfId="51055"/>
    <cellStyle name="Normal 3 9 4 4" xfId="39452"/>
    <cellStyle name="Normal 3 9 4 4 2" xfId="54580"/>
    <cellStyle name="Normal 3 9 4 5" xfId="47251"/>
    <cellStyle name="Normal 3 9 5" xfId="4715"/>
    <cellStyle name="Normal 3 9 5 2" xfId="42840"/>
    <cellStyle name="Normal 3 9 5 2 2" xfId="57967"/>
    <cellStyle name="Normal 3 9 5 3" xfId="49400"/>
    <cellStyle name="Normal 3 9 6" xfId="11176"/>
    <cellStyle name="Normal 3 9 6 2" xfId="40605"/>
    <cellStyle name="Normal 3 9 6 2 2" xfId="55732"/>
    <cellStyle name="Normal 3 9 6 3" xfId="51430"/>
    <cellStyle name="Normal 3 9 7" xfId="3353"/>
    <cellStyle name="Normal 3 9 7 2" xfId="48047"/>
    <cellStyle name="Normal 3 9 8" xfId="38241"/>
    <cellStyle name="Normal 3 9 8 2" xfId="53441"/>
    <cellStyle name="Normal 3 9 9" xfId="45596"/>
    <cellStyle name="Normal 4" xfId="7"/>
    <cellStyle name="Normal 4 10" xfId="699"/>
    <cellStyle name="Normal 4 10 2" xfId="5048"/>
    <cellStyle name="Normal 4 10 2 2" xfId="39976"/>
    <cellStyle name="Normal 4 10 2 2 2" xfId="44492"/>
    <cellStyle name="Normal 4 10 2 2 2 2" xfId="59618"/>
    <cellStyle name="Normal 4 10 2 2 3" xfId="42256"/>
    <cellStyle name="Normal 4 10 2 2 3 2" xfId="57383"/>
    <cellStyle name="Normal 4 10 2 2 4" xfId="55104"/>
    <cellStyle name="Normal 4 10 2 3" xfId="43627"/>
    <cellStyle name="Normal 4 10 2 3 2" xfId="58753"/>
    <cellStyle name="Normal 4 10 2 4" xfId="41391"/>
    <cellStyle name="Normal 4 10 2 4 2" xfId="56518"/>
    <cellStyle name="Normal 4 10 2 5" xfId="38833"/>
    <cellStyle name="Normal 4 10 2 5 2" xfId="53965"/>
    <cellStyle name="Normal 4 10 2 6" xfId="49733"/>
    <cellStyle name="Normal 4 10 3" xfId="11509"/>
    <cellStyle name="Normal 4 10 3 2" xfId="44068"/>
    <cellStyle name="Normal 4 10 3 2 2" xfId="59194"/>
    <cellStyle name="Normal 4 10 3 3" xfId="41832"/>
    <cellStyle name="Normal 4 10 3 3 2" xfId="56959"/>
    <cellStyle name="Normal 4 10 3 4" xfId="39552"/>
    <cellStyle name="Normal 4 10 3 4 2" xfId="54680"/>
    <cellStyle name="Normal 4 10 3 5" xfId="51763"/>
    <cellStyle name="Normal 4 10 4" xfId="2933"/>
    <cellStyle name="Normal 4 10 4 2" xfId="42926"/>
    <cellStyle name="Normal 4 10 4 2 2" xfId="58052"/>
    <cellStyle name="Normal 4 10 4 3" xfId="47627"/>
    <cellStyle name="Normal 4 10 5" xfId="40690"/>
    <cellStyle name="Normal 4 10 5 2" xfId="55817"/>
    <cellStyle name="Normal 4 10 6" xfId="38382"/>
    <cellStyle name="Normal 4 10 6 2" xfId="53541"/>
    <cellStyle name="Normal 4 10 7" xfId="45929"/>
    <cellStyle name="Normal 4 11" xfId="489"/>
    <cellStyle name="Normal 4 11 2" xfId="4838"/>
    <cellStyle name="Normal 4 11 2 2" xfId="44141"/>
    <cellStyle name="Normal 4 11 2 2 2" xfId="59267"/>
    <cellStyle name="Normal 4 11 2 3" xfId="41905"/>
    <cellStyle name="Normal 4 11 2 3 2" xfId="57032"/>
    <cellStyle name="Normal 4 11 2 4" xfId="39625"/>
    <cellStyle name="Normal 4 11 2 4 2" xfId="54753"/>
    <cellStyle name="Normal 4 11 2 5" xfId="49523"/>
    <cellStyle name="Normal 4 11 3" xfId="11299"/>
    <cellStyle name="Normal 4 11 3 2" xfId="43277"/>
    <cellStyle name="Normal 4 11 3 2 2" xfId="58403"/>
    <cellStyle name="Normal 4 11 3 3" xfId="51553"/>
    <cellStyle name="Normal 4 11 4" xfId="4078"/>
    <cellStyle name="Normal 4 11 4 2" xfId="41041"/>
    <cellStyle name="Normal 4 11 4 2 2" xfId="56168"/>
    <cellStyle name="Normal 4 11 4 3" xfId="48770"/>
    <cellStyle name="Normal 4 11 5" xfId="38458"/>
    <cellStyle name="Normal 4 11 5 2" xfId="53614"/>
    <cellStyle name="Normal 4 11 6" xfId="45719"/>
    <cellStyle name="Normal 4 12" xfId="1756"/>
    <cellStyle name="Normal 4 12 2" xfId="12566"/>
    <cellStyle name="Normal 4 12 2 2" xfId="43703"/>
    <cellStyle name="Normal 4 12 2 2 2" xfId="58829"/>
    <cellStyle name="Normal 4 12 2 3" xfId="52820"/>
    <cellStyle name="Normal 4 12 3" xfId="6105"/>
    <cellStyle name="Normal 4 12 3 2" xfId="41467"/>
    <cellStyle name="Normal 4 12 3 2 2" xfId="56594"/>
    <cellStyle name="Normal 4 12 3 3" xfId="50790"/>
    <cellStyle name="Normal 4 12 4" xfId="39187"/>
    <cellStyle name="Normal 4 12 4 2" xfId="54315"/>
    <cellStyle name="Normal 4 12 5" xfId="46986"/>
    <cellStyle name="Normal 4 13" xfId="2624"/>
    <cellStyle name="Normal 4 13 2" xfId="4412"/>
    <cellStyle name="Normal 4 13 2 2" xfId="49102"/>
    <cellStyle name="Normal 4 13 3" xfId="40327"/>
    <cellStyle name="Normal 4 13 3 2" xfId="55455"/>
    <cellStyle name="Normal 4 13 4" xfId="47356"/>
    <cellStyle name="Normal 4 14" xfId="10877"/>
    <cellStyle name="Normal 4 14 2" xfId="51132"/>
    <cellStyle name="Normal 4 15" xfId="2688"/>
    <cellStyle name="Normal 4 15 2" xfId="47417"/>
    <cellStyle name="Normal 4 16" xfId="37975"/>
    <cellStyle name="Normal 4 16 2" xfId="53176"/>
    <cellStyle name="Normal 4 17" xfId="45309"/>
    <cellStyle name="Normal 4 18" xfId="60003"/>
    <cellStyle name="Normal 4 2" xfId="25"/>
    <cellStyle name="Normal 4 2 10" xfId="497"/>
    <cellStyle name="Normal 4 2 10 2" xfId="4846"/>
    <cellStyle name="Normal 4 2 10 2 2" xfId="43711"/>
    <cellStyle name="Normal 4 2 10 2 2 2" xfId="58837"/>
    <cellStyle name="Normal 4 2 10 2 3" xfId="49531"/>
    <cellStyle name="Normal 4 2 10 3" xfId="11307"/>
    <cellStyle name="Normal 4 2 10 3 2" xfId="41475"/>
    <cellStyle name="Normal 4 2 10 3 2 2" xfId="56602"/>
    <cellStyle name="Normal 4 2 10 3 3" xfId="51561"/>
    <cellStyle name="Normal 4 2 10 4" xfId="3515"/>
    <cellStyle name="Normal 4 2 10 4 2" xfId="48208"/>
    <cellStyle name="Normal 4 2 10 5" xfId="39195"/>
    <cellStyle name="Normal 4 2 10 5 2" xfId="54323"/>
    <cellStyle name="Normal 4 2 10 6" xfId="45727"/>
    <cellStyle name="Normal 4 2 11" xfId="1764"/>
    <cellStyle name="Normal 4 2 11 2" xfId="12574"/>
    <cellStyle name="Normal 4 2 11 2 2" xfId="52828"/>
    <cellStyle name="Normal 4 2 11 3" xfId="6113"/>
    <cellStyle name="Normal 4 2 11 3 2" xfId="50798"/>
    <cellStyle name="Normal 4 2 11 4" xfId="40337"/>
    <cellStyle name="Normal 4 2 11 4 2" xfId="55465"/>
    <cellStyle name="Normal 4 2 11 5" xfId="46994"/>
    <cellStyle name="Normal 4 2 12" xfId="2625"/>
    <cellStyle name="Normal 4 2 12 2" xfId="4420"/>
    <cellStyle name="Normal 4 2 12 2 2" xfId="49110"/>
    <cellStyle name="Normal 4 2 12 3" xfId="47357"/>
    <cellStyle name="Normal 4 2 13" xfId="10885"/>
    <cellStyle name="Normal 4 2 13 2" xfId="51140"/>
    <cellStyle name="Normal 4 2 14" xfId="2701"/>
    <cellStyle name="Normal 4 2 14 2" xfId="47425"/>
    <cellStyle name="Normal 4 2 15" xfId="37983"/>
    <cellStyle name="Normal 4 2 15 2" xfId="53184"/>
    <cellStyle name="Normal 4 2 16" xfId="45318"/>
    <cellStyle name="Normal 4 2 2" xfId="42"/>
    <cellStyle name="Normal 4 2 2 10" xfId="1782"/>
    <cellStyle name="Normal 4 2 2 10 2" xfId="12592"/>
    <cellStyle name="Normal 4 2 2 10 2 2" xfId="52846"/>
    <cellStyle name="Normal 4 2 2 10 3" xfId="6131"/>
    <cellStyle name="Normal 4 2 2 10 3 2" xfId="50816"/>
    <cellStyle name="Normal 4 2 2 10 4" xfId="40353"/>
    <cellStyle name="Normal 4 2 2 10 4 2" xfId="55481"/>
    <cellStyle name="Normal 4 2 2 10 5" xfId="47012"/>
    <cellStyle name="Normal 4 2 2 11" xfId="2626"/>
    <cellStyle name="Normal 4 2 2 11 2" xfId="4436"/>
    <cellStyle name="Normal 4 2 2 11 2 2" xfId="49126"/>
    <cellStyle name="Normal 4 2 2 11 3" xfId="47358"/>
    <cellStyle name="Normal 4 2 2 12" xfId="10901"/>
    <cellStyle name="Normal 4 2 2 12 2" xfId="51156"/>
    <cellStyle name="Normal 4 2 2 13" xfId="2717"/>
    <cellStyle name="Normal 4 2 2 13 2" xfId="47441"/>
    <cellStyle name="Normal 4 2 2 14" xfId="38001"/>
    <cellStyle name="Normal 4 2 2 14 2" xfId="53202"/>
    <cellStyle name="Normal 4 2 2 15" xfId="45334"/>
    <cellStyle name="Normal 4 2 2 2" xfId="119"/>
    <cellStyle name="Normal 4 2 2 2 10" xfId="10943"/>
    <cellStyle name="Normal 4 2 2 2 10 2" xfId="51197"/>
    <cellStyle name="Normal 4 2 2 2 11" xfId="2780"/>
    <cellStyle name="Normal 4 2 2 2 11 2" xfId="47480"/>
    <cellStyle name="Normal 4 2 2 2 12" xfId="38032"/>
    <cellStyle name="Normal 4 2 2 2 12 2" xfId="53232"/>
    <cellStyle name="Normal 4 2 2 2 13" xfId="45363"/>
    <cellStyle name="Normal 4 2 2 2 2" xfId="219"/>
    <cellStyle name="Normal 4 2 2 2 2 10" xfId="38108"/>
    <cellStyle name="Normal 4 2 2 2 2 10 2" xfId="53308"/>
    <cellStyle name="Normal 4 2 2 2 2 11" xfId="45451"/>
    <cellStyle name="Normal 4 2 2 2 2 2" xfId="973"/>
    <cellStyle name="Normal 4 2 2 2 2 2 2" xfId="5322"/>
    <cellStyle name="Normal 4 2 2 2 2 2 2 2" xfId="44624"/>
    <cellStyle name="Normal 4 2 2 2 2 2 2 2 2" xfId="59750"/>
    <cellStyle name="Normal 4 2 2 2 2 2 2 3" xfId="42388"/>
    <cellStyle name="Normal 4 2 2 2 2 2 2 3 2" xfId="57515"/>
    <cellStyle name="Normal 4 2 2 2 2 2 2 4" xfId="40108"/>
    <cellStyle name="Normal 4 2 2 2 2 2 2 4 2" xfId="55236"/>
    <cellStyle name="Normal 4 2 2 2 2 2 2 5" xfId="50007"/>
    <cellStyle name="Normal 4 2 2 2 2 2 3" xfId="11783"/>
    <cellStyle name="Normal 4 2 2 2 2 2 3 2" xfId="43058"/>
    <cellStyle name="Normal 4 2 2 2 2 2 3 2 2" xfId="58184"/>
    <cellStyle name="Normal 4 2 2 2 2 2 3 3" xfId="52037"/>
    <cellStyle name="Normal 4 2 2 2 2 2 4" xfId="3208"/>
    <cellStyle name="Normal 4 2 2 2 2 2 4 2" xfId="40822"/>
    <cellStyle name="Normal 4 2 2 2 2 2 4 2 2" xfId="55949"/>
    <cellStyle name="Normal 4 2 2 2 2 2 4 3" xfId="47902"/>
    <cellStyle name="Normal 4 2 2 2 2 2 5" xfId="38966"/>
    <cellStyle name="Normal 4 2 2 2 2 2 5 2" xfId="54097"/>
    <cellStyle name="Normal 4 2 2 2 2 2 6" xfId="46203"/>
    <cellStyle name="Normal 4 2 2 2 2 3" xfId="1275"/>
    <cellStyle name="Normal 4 2 2 2 2 3 2" xfId="5624"/>
    <cellStyle name="Normal 4 2 2 2 2 3 2 2" xfId="44273"/>
    <cellStyle name="Normal 4 2 2 2 2 3 2 2 2" xfId="59399"/>
    <cellStyle name="Normal 4 2 2 2 2 3 2 3" xfId="42037"/>
    <cellStyle name="Normal 4 2 2 2 2 3 2 3 2" xfId="57164"/>
    <cellStyle name="Normal 4 2 2 2 2 3 2 4" xfId="39757"/>
    <cellStyle name="Normal 4 2 2 2 2 3 2 4 2" xfId="54885"/>
    <cellStyle name="Normal 4 2 2 2 2 3 2 5" xfId="50309"/>
    <cellStyle name="Normal 4 2 2 2 2 3 3" xfId="12085"/>
    <cellStyle name="Normal 4 2 2 2 2 3 3 2" xfId="43409"/>
    <cellStyle name="Normal 4 2 2 2 2 3 3 2 2" xfId="58535"/>
    <cellStyle name="Normal 4 2 2 2 2 3 3 3" xfId="52339"/>
    <cellStyle name="Normal 4 2 2 2 2 3 4" xfId="3558"/>
    <cellStyle name="Normal 4 2 2 2 2 3 4 2" xfId="41173"/>
    <cellStyle name="Normal 4 2 2 2 2 3 4 2 2" xfId="56300"/>
    <cellStyle name="Normal 4 2 2 2 2 3 4 3" xfId="48251"/>
    <cellStyle name="Normal 4 2 2 2 2 3 5" xfId="38593"/>
    <cellStyle name="Normal 4 2 2 2 2 3 5 2" xfId="53746"/>
    <cellStyle name="Normal 4 2 2 2 2 3 6" xfId="46505"/>
    <cellStyle name="Normal 4 2 2 2 2 4" xfId="1486"/>
    <cellStyle name="Normal 4 2 2 2 2 4 2" xfId="5835"/>
    <cellStyle name="Normal 4 2 2 2 2 4 2 2" xfId="43835"/>
    <cellStyle name="Normal 4 2 2 2 2 4 2 2 2" xfId="58961"/>
    <cellStyle name="Normal 4 2 2 2 2 4 2 3" xfId="50520"/>
    <cellStyle name="Normal 4 2 2 2 2 4 3" xfId="12296"/>
    <cellStyle name="Normal 4 2 2 2 2 4 3 2" xfId="41599"/>
    <cellStyle name="Normal 4 2 2 2 2 4 3 2 2" xfId="56726"/>
    <cellStyle name="Normal 4 2 2 2 2 4 3 3" xfId="52550"/>
    <cellStyle name="Normal 4 2 2 2 2 4 4" xfId="3785"/>
    <cellStyle name="Normal 4 2 2 2 2 4 4 2" xfId="48478"/>
    <cellStyle name="Normal 4 2 2 2 2 4 5" xfId="39319"/>
    <cellStyle name="Normal 4 2 2 2 2 4 5 2" xfId="54447"/>
    <cellStyle name="Normal 4 2 2 2 2 4 6" xfId="46716"/>
    <cellStyle name="Normal 4 2 2 2 2 5" xfId="641"/>
    <cellStyle name="Normal 4 2 2 2 2 5 2" xfId="4990"/>
    <cellStyle name="Normal 4 2 2 2 2 5 2 2" xfId="49675"/>
    <cellStyle name="Normal 4 2 2 2 2 5 3" xfId="11451"/>
    <cellStyle name="Normal 4 2 2 2 2 5 3 2" xfId="51705"/>
    <cellStyle name="Normal 4 2 2 2 2 5 4" xfId="4144"/>
    <cellStyle name="Normal 4 2 2 2 2 5 4 2" xfId="48834"/>
    <cellStyle name="Normal 4 2 2 2 2 5 5" xfId="42707"/>
    <cellStyle name="Normal 4 2 2 2 2 5 5 2" xfId="57834"/>
    <cellStyle name="Normal 4 2 2 2 2 5 6" xfId="45871"/>
    <cellStyle name="Normal 4 2 2 2 2 6" xfId="1892"/>
    <cellStyle name="Normal 4 2 2 2 2 6 2" xfId="12699"/>
    <cellStyle name="Normal 4 2 2 2 2 6 2 2" xfId="52952"/>
    <cellStyle name="Normal 4 2 2 2 2 6 3" xfId="6239"/>
    <cellStyle name="Normal 4 2 2 2 2 6 3 2" xfId="50922"/>
    <cellStyle name="Normal 4 2 2 2 2 6 4" xfId="40472"/>
    <cellStyle name="Normal 4 2 2 2 2 6 4 2" xfId="55599"/>
    <cellStyle name="Normal 4 2 2 2 2 6 5" xfId="47118"/>
    <cellStyle name="Normal 4 2 2 2 2 7" xfId="4568"/>
    <cellStyle name="Normal 4 2 2 2 2 7 2" xfId="49255"/>
    <cellStyle name="Normal 4 2 2 2 2 8" xfId="11031"/>
    <cellStyle name="Normal 4 2 2 2 2 8 2" xfId="51285"/>
    <cellStyle name="Normal 4 2 2 2 2 9" xfId="2875"/>
    <cellStyle name="Normal 4 2 2 2 2 9 2" xfId="47569"/>
    <cellStyle name="Normal 4 2 2 2 3" xfId="310"/>
    <cellStyle name="Normal 4 2 2 2 3 10" xfId="45540"/>
    <cellStyle name="Normal 4 2 2 2 3 2" xfId="1364"/>
    <cellStyle name="Normal 4 2 2 2 3 2 2" xfId="5713"/>
    <cellStyle name="Normal 4 2 2 2 3 2 2 2" xfId="44700"/>
    <cellStyle name="Normal 4 2 2 2 3 2 2 2 2" xfId="59826"/>
    <cellStyle name="Normal 4 2 2 2 3 2 2 3" xfId="42464"/>
    <cellStyle name="Normal 4 2 2 2 3 2 2 3 2" xfId="57591"/>
    <cellStyle name="Normal 4 2 2 2 3 2 2 4" xfId="40184"/>
    <cellStyle name="Normal 4 2 2 2 3 2 2 4 2" xfId="55312"/>
    <cellStyle name="Normal 4 2 2 2 3 2 2 5" xfId="50398"/>
    <cellStyle name="Normal 4 2 2 2 3 2 3" xfId="12174"/>
    <cellStyle name="Normal 4 2 2 2 3 2 3 2" xfId="43134"/>
    <cellStyle name="Normal 4 2 2 2 3 2 3 2 2" xfId="58260"/>
    <cellStyle name="Normal 4 2 2 2 3 2 3 3" xfId="52428"/>
    <cellStyle name="Normal 4 2 2 2 3 2 4" xfId="3647"/>
    <cellStyle name="Normal 4 2 2 2 3 2 4 2" xfId="40898"/>
    <cellStyle name="Normal 4 2 2 2 3 2 4 2 2" xfId="56025"/>
    <cellStyle name="Normal 4 2 2 2 3 2 4 3" xfId="48340"/>
    <cellStyle name="Normal 4 2 2 2 3 2 5" xfId="39042"/>
    <cellStyle name="Normal 4 2 2 2 3 2 5 2" xfId="54173"/>
    <cellStyle name="Normal 4 2 2 2 3 2 6" xfId="46594"/>
    <cellStyle name="Normal 4 2 2 2 3 3" xfId="1575"/>
    <cellStyle name="Normal 4 2 2 2 3 3 2" xfId="5924"/>
    <cellStyle name="Normal 4 2 2 2 3 3 2 2" xfId="44349"/>
    <cellStyle name="Normal 4 2 2 2 3 3 2 2 2" xfId="59475"/>
    <cellStyle name="Normal 4 2 2 2 3 3 2 3" xfId="42113"/>
    <cellStyle name="Normal 4 2 2 2 3 3 2 3 2" xfId="57240"/>
    <cellStyle name="Normal 4 2 2 2 3 3 2 4" xfId="39833"/>
    <cellStyle name="Normal 4 2 2 2 3 3 2 4 2" xfId="54961"/>
    <cellStyle name="Normal 4 2 2 2 3 3 2 5" xfId="50609"/>
    <cellStyle name="Normal 4 2 2 2 3 3 3" xfId="12385"/>
    <cellStyle name="Normal 4 2 2 2 3 3 3 2" xfId="43485"/>
    <cellStyle name="Normal 4 2 2 2 3 3 3 2 2" xfId="58611"/>
    <cellStyle name="Normal 4 2 2 2 3 3 3 3" xfId="52639"/>
    <cellStyle name="Normal 4 2 2 2 3 3 4" xfId="3874"/>
    <cellStyle name="Normal 4 2 2 2 3 3 4 2" xfId="41249"/>
    <cellStyle name="Normal 4 2 2 2 3 3 4 2 2" xfId="56376"/>
    <cellStyle name="Normal 4 2 2 2 3 3 4 3" xfId="48567"/>
    <cellStyle name="Normal 4 2 2 2 3 3 5" xfId="38669"/>
    <cellStyle name="Normal 4 2 2 2 3 3 5 2" xfId="53822"/>
    <cellStyle name="Normal 4 2 2 2 3 3 6" xfId="46805"/>
    <cellStyle name="Normal 4 2 2 2 3 4" xfId="1062"/>
    <cellStyle name="Normal 4 2 2 2 3 4 2" xfId="5411"/>
    <cellStyle name="Normal 4 2 2 2 3 4 2 2" xfId="43911"/>
    <cellStyle name="Normal 4 2 2 2 3 4 2 2 2" xfId="59037"/>
    <cellStyle name="Normal 4 2 2 2 3 4 2 3" xfId="50096"/>
    <cellStyle name="Normal 4 2 2 2 3 4 3" xfId="11872"/>
    <cellStyle name="Normal 4 2 2 2 3 4 3 2" xfId="41675"/>
    <cellStyle name="Normal 4 2 2 2 3 4 3 2 2" xfId="56802"/>
    <cellStyle name="Normal 4 2 2 2 3 4 3 3" xfId="52126"/>
    <cellStyle name="Normal 4 2 2 2 3 4 4" xfId="4233"/>
    <cellStyle name="Normal 4 2 2 2 3 4 4 2" xfId="48923"/>
    <cellStyle name="Normal 4 2 2 2 3 4 5" xfId="39395"/>
    <cellStyle name="Normal 4 2 2 2 3 4 5 2" xfId="54523"/>
    <cellStyle name="Normal 4 2 2 2 3 4 6" xfId="46292"/>
    <cellStyle name="Normal 4 2 2 2 3 5" xfId="1968"/>
    <cellStyle name="Normal 4 2 2 2 3 5 2" xfId="12775"/>
    <cellStyle name="Normal 4 2 2 2 3 5 2 2" xfId="53028"/>
    <cellStyle name="Normal 4 2 2 2 3 5 3" xfId="6315"/>
    <cellStyle name="Normal 4 2 2 2 3 5 3 2" xfId="50998"/>
    <cellStyle name="Normal 4 2 2 2 3 5 4" xfId="42783"/>
    <cellStyle name="Normal 4 2 2 2 3 5 4 2" xfId="57910"/>
    <cellStyle name="Normal 4 2 2 2 3 5 5" xfId="47194"/>
    <cellStyle name="Normal 4 2 2 2 3 6" xfId="4659"/>
    <cellStyle name="Normal 4 2 2 2 3 6 2" xfId="40548"/>
    <cellStyle name="Normal 4 2 2 2 3 6 2 2" xfId="55675"/>
    <cellStyle name="Normal 4 2 2 2 3 6 3" xfId="49344"/>
    <cellStyle name="Normal 4 2 2 2 3 7" xfId="11120"/>
    <cellStyle name="Normal 4 2 2 2 3 7 2" xfId="51374"/>
    <cellStyle name="Normal 4 2 2 2 3 8" xfId="3297"/>
    <cellStyle name="Normal 4 2 2 2 3 8 2" xfId="47991"/>
    <cellStyle name="Normal 4 2 2 2 3 9" xfId="38184"/>
    <cellStyle name="Normal 4 2 2 2 3 9 2" xfId="53384"/>
    <cellStyle name="Normal 4 2 2 2 4" xfId="431"/>
    <cellStyle name="Normal 4 2 2 2 4 2" xfId="1696"/>
    <cellStyle name="Normal 4 2 2 2 4 2 2" xfId="6045"/>
    <cellStyle name="Normal 4 2 2 2 4 2 2 2" xfId="44776"/>
    <cellStyle name="Normal 4 2 2 2 4 2 2 2 2" xfId="59902"/>
    <cellStyle name="Normal 4 2 2 2 4 2 2 3" xfId="42540"/>
    <cellStyle name="Normal 4 2 2 2 4 2 2 3 2" xfId="57667"/>
    <cellStyle name="Normal 4 2 2 2 4 2 2 4" xfId="40260"/>
    <cellStyle name="Normal 4 2 2 2 4 2 2 4 2" xfId="55388"/>
    <cellStyle name="Normal 4 2 2 2 4 2 2 5" xfId="50730"/>
    <cellStyle name="Normal 4 2 2 2 4 2 3" xfId="12506"/>
    <cellStyle name="Normal 4 2 2 2 4 2 3 2" xfId="43210"/>
    <cellStyle name="Normal 4 2 2 2 4 2 3 2 2" xfId="58336"/>
    <cellStyle name="Normal 4 2 2 2 4 2 3 3" xfId="52760"/>
    <cellStyle name="Normal 4 2 2 2 4 2 4" xfId="3995"/>
    <cellStyle name="Normal 4 2 2 2 4 2 4 2" xfId="40974"/>
    <cellStyle name="Normal 4 2 2 2 4 2 4 2 2" xfId="56101"/>
    <cellStyle name="Normal 4 2 2 2 4 2 4 3" xfId="48688"/>
    <cellStyle name="Normal 4 2 2 2 4 2 5" xfId="39118"/>
    <cellStyle name="Normal 4 2 2 2 4 2 5 2" xfId="54249"/>
    <cellStyle name="Normal 4 2 2 2 4 2 6" xfId="46926"/>
    <cellStyle name="Normal 4 2 2 2 4 3" xfId="1183"/>
    <cellStyle name="Normal 4 2 2 2 4 3 2" xfId="5532"/>
    <cellStyle name="Normal 4 2 2 2 4 3 2 2" xfId="44425"/>
    <cellStyle name="Normal 4 2 2 2 4 3 2 2 2" xfId="59551"/>
    <cellStyle name="Normal 4 2 2 2 4 3 2 3" xfId="42189"/>
    <cellStyle name="Normal 4 2 2 2 4 3 2 3 2" xfId="57316"/>
    <cellStyle name="Normal 4 2 2 2 4 3 2 4" xfId="39909"/>
    <cellStyle name="Normal 4 2 2 2 4 3 2 4 2" xfId="55037"/>
    <cellStyle name="Normal 4 2 2 2 4 3 2 5" xfId="50217"/>
    <cellStyle name="Normal 4 2 2 2 4 3 3" xfId="11993"/>
    <cellStyle name="Normal 4 2 2 2 4 3 3 2" xfId="43561"/>
    <cellStyle name="Normal 4 2 2 2 4 3 3 2 2" xfId="58687"/>
    <cellStyle name="Normal 4 2 2 2 4 3 3 3" xfId="52247"/>
    <cellStyle name="Normal 4 2 2 2 4 3 4" xfId="4354"/>
    <cellStyle name="Normal 4 2 2 2 4 3 4 2" xfId="41325"/>
    <cellStyle name="Normal 4 2 2 2 4 3 4 2 2" xfId="56452"/>
    <cellStyle name="Normal 4 2 2 2 4 3 4 3" xfId="49044"/>
    <cellStyle name="Normal 4 2 2 2 4 3 5" xfId="38745"/>
    <cellStyle name="Normal 4 2 2 2 4 3 5 2" xfId="53898"/>
    <cellStyle name="Normal 4 2 2 2 4 3 6" xfId="46413"/>
    <cellStyle name="Normal 4 2 2 2 4 4" xfId="2045"/>
    <cellStyle name="Normal 4 2 2 2 4 4 2" xfId="12851"/>
    <cellStyle name="Normal 4 2 2 2 4 4 2 2" xfId="43987"/>
    <cellStyle name="Normal 4 2 2 2 4 4 2 2 2" xfId="59113"/>
    <cellStyle name="Normal 4 2 2 2 4 4 2 3" xfId="53104"/>
    <cellStyle name="Normal 4 2 2 2 4 4 3" xfId="6391"/>
    <cellStyle name="Normal 4 2 2 2 4 4 3 2" xfId="41751"/>
    <cellStyle name="Normal 4 2 2 2 4 4 3 2 2" xfId="56878"/>
    <cellStyle name="Normal 4 2 2 2 4 4 3 3" xfId="51074"/>
    <cellStyle name="Normal 4 2 2 2 4 4 4" xfId="39471"/>
    <cellStyle name="Normal 4 2 2 2 4 4 4 2" xfId="54599"/>
    <cellStyle name="Normal 4 2 2 2 4 4 5" xfId="47270"/>
    <cellStyle name="Normal 4 2 2 2 4 5" xfId="4780"/>
    <cellStyle name="Normal 4 2 2 2 4 5 2" xfId="42859"/>
    <cellStyle name="Normal 4 2 2 2 4 5 2 2" xfId="57986"/>
    <cellStyle name="Normal 4 2 2 2 4 5 3" xfId="49465"/>
    <cellStyle name="Normal 4 2 2 2 4 6" xfId="11241"/>
    <cellStyle name="Normal 4 2 2 2 4 6 2" xfId="40624"/>
    <cellStyle name="Normal 4 2 2 2 4 6 2 2" xfId="55751"/>
    <cellStyle name="Normal 4 2 2 2 4 6 3" xfId="51495"/>
    <cellStyle name="Normal 4 2 2 2 4 7" xfId="3418"/>
    <cellStyle name="Normal 4 2 2 2 4 7 2" xfId="48112"/>
    <cellStyle name="Normal 4 2 2 2 4 8" xfId="38260"/>
    <cellStyle name="Normal 4 2 2 2 4 8 2" xfId="53460"/>
    <cellStyle name="Normal 4 2 2 2 4 9" xfId="45661"/>
    <cellStyle name="Normal 4 2 2 2 5" xfId="885"/>
    <cellStyle name="Normal 4 2 2 2 5 2" xfId="5234"/>
    <cellStyle name="Normal 4 2 2 2 5 2 2" xfId="40032"/>
    <cellStyle name="Normal 4 2 2 2 5 2 2 2" xfId="44548"/>
    <cellStyle name="Normal 4 2 2 2 5 2 2 2 2" xfId="59674"/>
    <cellStyle name="Normal 4 2 2 2 5 2 2 3" xfId="42312"/>
    <cellStyle name="Normal 4 2 2 2 5 2 2 3 2" xfId="57439"/>
    <cellStyle name="Normal 4 2 2 2 5 2 2 4" xfId="55160"/>
    <cellStyle name="Normal 4 2 2 2 5 2 3" xfId="43672"/>
    <cellStyle name="Normal 4 2 2 2 5 2 3 2" xfId="58798"/>
    <cellStyle name="Normal 4 2 2 2 5 2 4" xfId="41436"/>
    <cellStyle name="Normal 4 2 2 2 5 2 4 2" xfId="56563"/>
    <cellStyle name="Normal 4 2 2 2 5 2 5" xfId="38889"/>
    <cellStyle name="Normal 4 2 2 2 5 2 5 2" xfId="54021"/>
    <cellStyle name="Normal 4 2 2 2 5 2 6" xfId="49919"/>
    <cellStyle name="Normal 4 2 2 2 5 3" xfId="11695"/>
    <cellStyle name="Normal 4 2 2 2 5 3 2" xfId="44071"/>
    <cellStyle name="Normal 4 2 2 2 5 3 2 2" xfId="59197"/>
    <cellStyle name="Normal 4 2 2 2 5 3 3" xfId="41835"/>
    <cellStyle name="Normal 4 2 2 2 5 3 3 2" xfId="56962"/>
    <cellStyle name="Normal 4 2 2 2 5 3 4" xfId="39555"/>
    <cellStyle name="Normal 4 2 2 2 5 3 4 2" xfId="54683"/>
    <cellStyle name="Normal 4 2 2 2 5 3 5" xfId="51949"/>
    <cellStyle name="Normal 4 2 2 2 5 4" xfId="3120"/>
    <cellStyle name="Normal 4 2 2 2 5 4 2" xfId="42982"/>
    <cellStyle name="Normal 4 2 2 2 5 4 2 2" xfId="58108"/>
    <cellStyle name="Normal 4 2 2 2 5 4 3" xfId="47814"/>
    <cellStyle name="Normal 4 2 2 2 5 5" xfId="40746"/>
    <cellStyle name="Normal 4 2 2 2 5 5 2" xfId="55873"/>
    <cellStyle name="Normal 4 2 2 2 5 6" xfId="38385"/>
    <cellStyle name="Normal 4 2 2 2 5 6 2" xfId="53544"/>
    <cellStyle name="Normal 4 2 2 2 5 7" xfId="46115"/>
    <cellStyle name="Normal 4 2 2 2 6" xfId="762"/>
    <cellStyle name="Normal 4 2 2 2 6 2" xfId="5111"/>
    <cellStyle name="Normal 4 2 2 2 6 2 2" xfId="44197"/>
    <cellStyle name="Normal 4 2 2 2 6 2 2 2" xfId="59323"/>
    <cellStyle name="Normal 4 2 2 2 6 2 3" xfId="41961"/>
    <cellStyle name="Normal 4 2 2 2 6 2 3 2" xfId="57088"/>
    <cellStyle name="Normal 4 2 2 2 6 2 4" xfId="39681"/>
    <cellStyle name="Normal 4 2 2 2 6 2 4 2" xfId="54809"/>
    <cellStyle name="Normal 4 2 2 2 6 2 5" xfId="49796"/>
    <cellStyle name="Normal 4 2 2 2 6 3" xfId="11572"/>
    <cellStyle name="Normal 4 2 2 2 6 3 2" xfId="43333"/>
    <cellStyle name="Normal 4 2 2 2 6 3 2 2" xfId="58459"/>
    <cellStyle name="Normal 4 2 2 2 6 3 3" xfId="51826"/>
    <cellStyle name="Normal 4 2 2 2 6 4" xfId="2997"/>
    <cellStyle name="Normal 4 2 2 2 6 4 2" xfId="41097"/>
    <cellStyle name="Normal 4 2 2 2 6 4 2 2" xfId="56224"/>
    <cellStyle name="Normal 4 2 2 2 6 4 3" xfId="47691"/>
    <cellStyle name="Normal 4 2 2 2 6 5" xfId="38515"/>
    <cellStyle name="Normal 4 2 2 2 6 5 2" xfId="53670"/>
    <cellStyle name="Normal 4 2 2 2 6 6" xfId="45992"/>
    <cellStyle name="Normal 4 2 2 2 7" xfId="552"/>
    <cellStyle name="Normal 4 2 2 2 7 2" xfId="4901"/>
    <cellStyle name="Normal 4 2 2 2 7 2 2" xfId="43759"/>
    <cellStyle name="Normal 4 2 2 2 7 2 2 2" xfId="58885"/>
    <cellStyle name="Normal 4 2 2 2 7 2 3" xfId="49586"/>
    <cellStyle name="Normal 4 2 2 2 7 3" xfId="11362"/>
    <cellStyle name="Normal 4 2 2 2 7 3 2" xfId="41523"/>
    <cellStyle name="Normal 4 2 2 2 7 3 2 2" xfId="56650"/>
    <cellStyle name="Normal 4 2 2 2 7 3 3" xfId="51616"/>
    <cellStyle name="Normal 4 2 2 2 7 4" xfId="3738"/>
    <cellStyle name="Normal 4 2 2 2 7 4 2" xfId="48431"/>
    <cellStyle name="Normal 4 2 2 2 7 5" xfId="39243"/>
    <cellStyle name="Normal 4 2 2 2 7 5 2" xfId="54371"/>
    <cellStyle name="Normal 4 2 2 2 7 6" xfId="45782"/>
    <cellStyle name="Normal 4 2 2 2 8" xfId="1813"/>
    <cellStyle name="Normal 4 2 2 2 8 2" xfId="12622"/>
    <cellStyle name="Normal 4 2 2 2 8 2 2" xfId="52876"/>
    <cellStyle name="Normal 4 2 2 2 8 3" xfId="6161"/>
    <cellStyle name="Normal 4 2 2 2 8 3 2" xfId="50846"/>
    <cellStyle name="Normal 4 2 2 2 8 4" xfId="42631"/>
    <cellStyle name="Normal 4 2 2 2 8 4 2" xfId="57758"/>
    <cellStyle name="Normal 4 2 2 2 8 5" xfId="47042"/>
    <cellStyle name="Normal 4 2 2 2 9" xfId="2627"/>
    <cellStyle name="Normal 4 2 2 2 9 2" xfId="4477"/>
    <cellStyle name="Normal 4 2 2 2 9 2 2" xfId="49167"/>
    <cellStyle name="Normal 4 2 2 2 9 3" xfId="40396"/>
    <cellStyle name="Normal 4 2 2 2 9 3 2" xfId="55523"/>
    <cellStyle name="Normal 4 2 2 2 9 4" xfId="47359"/>
    <cellStyle name="Normal 4 2 2 3" xfId="118"/>
    <cellStyle name="Normal 4 2 2 3 10" xfId="38031"/>
    <cellStyle name="Normal 4 2 2 3 10 2" xfId="53231"/>
    <cellStyle name="Normal 4 2 2 3 11" xfId="45362"/>
    <cellStyle name="Normal 4 2 2 3 2" xfId="430"/>
    <cellStyle name="Normal 4 2 2 3 2 2" xfId="1430"/>
    <cellStyle name="Normal 4 2 2 3 2 2 2" xfId="5779"/>
    <cellStyle name="Normal 4 2 2 3 2 2 2 2" xfId="44547"/>
    <cellStyle name="Normal 4 2 2 3 2 2 2 2 2" xfId="59673"/>
    <cellStyle name="Normal 4 2 2 3 2 2 2 3" xfId="50464"/>
    <cellStyle name="Normal 4 2 2 3 2 2 3" xfId="12240"/>
    <cellStyle name="Normal 4 2 2 3 2 2 3 2" xfId="42311"/>
    <cellStyle name="Normal 4 2 2 3 2 2 3 2 2" xfId="57438"/>
    <cellStyle name="Normal 4 2 2 3 2 2 3 3" xfId="52494"/>
    <cellStyle name="Normal 4 2 2 3 2 2 4" xfId="3713"/>
    <cellStyle name="Normal 4 2 2 3 2 2 4 2" xfId="48406"/>
    <cellStyle name="Normal 4 2 2 3 2 2 5" xfId="40031"/>
    <cellStyle name="Normal 4 2 2 3 2 2 5 2" xfId="55159"/>
    <cellStyle name="Normal 4 2 2 3 2 2 6" xfId="46660"/>
    <cellStyle name="Normal 4 2 2 3 2 3" xfId="1695"/>
    <cellStyle name="Normal 4 2 2 3 2 3 2" xfId="6044"/>
    <cellStyle name="Normal 4 2 2 3 2 3 2 2" xfId="50729"/>
    <cellStyle name="Normal 4 2 2 3 2 3 3" xfId="12505"/>
    <cellStyle name="Normal 4 2 2 3 2 3 3 2" xfId="52759"/>
    <cellStyle name="Normal 4 2 2 3 2 3 4" xfId="3994"/>
    <cellStyle name="Normal 4 2 2 3 2 3 4 2" xfId="48687"/>
    <cellStyle name="Normal 4 2 2 3 2 3 5" xfId="42981"/>
    <cellStyle name="Normal 4 2 2 3 2 3 5 2" xfId="58107"/>
    <cellStyle name="Normal 4 2 2 3 2 3 6" xfId="46925"/>
    <cellStyle name="Normal 4 2 2 3 2 4" xfId="1182"/>
    <cellStyle name="Normal 4 2 2 3 2 4 2" xfId="5531"/>
    <cellStyle name="Normal 4 2 2 3 2 4 2 2" xfId="50216"/>
    <cellStyle name="Normal 4 2 2 3 2 4 3" xfId="11992"/>
    <cellStyle name="Normal 4 2 2 3 2 4 3 2" xfId="52246"/>
    <cellStyle name="Normal 4 2 2 3 2 4 4" xfId="4353"/>
    <cellStyle name="Normal 4 2 2 3 2 4 4 2" xfId="49043"/>
    <cellStyle name="Normal 4 2 2 3 2 4 5" xfId="40745"/>
    <cellStyle name="Normal 4 2 2 3 2 4 5 2" xfId="55872"/>
    <cellStyle name="Normal 4 2 2 3 2 4 6" xfId="46412"/>
    <cellStyle name="Normal 4 2 2 3 2 5" xfId="4779"/>
    <cellStyle name="Normal 4 2 2 3 2 5 2" xfId="49464"/>
    <cellStyle name="Normal 4 2 2 3 2 6" xfId="11240"/>
    <cellStyle name="Normal 4 2 2 3 2 6 2" xfId="51494"/>
    <cellStyle name="Normal 4 2 2 3 2 7" xfId="3417"/>
    <cellStyle name="Normal 4 2 2 3 2 7 2" xfId="48111"/>
    <cellStyle name="Normal 4 2 2 3 2 8" xfId="38888"/>
    <cellStyle name="Normal 4 2 2 3 2 8 2" xfId="54020"/>
    <cellStyle name="Normal 4 2 2 3 2 9" xfId="45660"/>
    <cellStyle name="Normal 4 2 2 3 3" xfId="884"/>
    <cellStyle name="Normal 4 2 2 3 3 2" xfId="5233"/>
    <cellStyle name="Normal 4 2 2 3 3 2 2" xfId="44196"/>
    <cellStyle name="Normal 4 2 2 3 3 2 2 2" xfId="59322"/>
    <cellStyle name="Normal 4 2 2 3 3 2 3" xfId="41960"/>
    <cellStyle name="Normal 4 2 2 3 3 2 3 2" xfId="57087"/>
    <cellStyle name="Normal 4 2 2 3 3 2 4" xfId="39680"/>
    <cellStyle name="Normal 4 2 2 3 3 2 4 2" xfId="54808"/>
    <cellStyle name="Normal 4 2 2 3 3 2 5" xfId="49918"/>
    <cellStyle name="Normal 4 2 2 3 3 3" xfId="11694"/>
    <cellStyle name="Normal 4 2 2 3 3 3 2" xfId="43332"/>
    <cellStyle name="Normal 4 2 2 3 3 3 2 2" xfId="58458"/>
    <cellStyle name="Normal 4 2 2 3 3 3 3" xfId="51948"/>
    <cellStyle name="Normal 4 2 2 3 3 4" xfId="3119"/>
    <cellStyle name="Normal 4 2 2 3 3 4 2" xfId="41096"/>
    <cellStyle name="Normal 4 2 2 3 3 4 2 2" xfId="56223"/>
    <cellStyle name="Normal 4 2 2 3 3 4 3" xfId="47813"/>
    <cellStyle name="Normal 4 2 2 3 3 5" xfId="38514"/>
    <cellStyle name="Normal 4 2 2 3 3 5 2" xfId="53669"/>
    <cellStyle name="Normal 4 2 2 3 3 6" xfId="46114"/>
    <cellStyle name="Normal 4 2 2 3 4" xfId="761"/>
    <cellStyle name="Normal 4 2 2 3 4 2" xfId="5110"/>
    <cellStyle name="Normal 4 2 2 3 4 2 2" xfId="43758"/>
    <cellStyle name="Normal 4 2 2 3 4 2 2 2" xfId="58884"/>
    <cellStyle name="Normal 4 2 2 3 4 2 3" xfId="49795"/>
    <cellStyle name="Normal 4 2 2 3 4 3" xfId="11571"/>
    <cellStyle name="Normal 4 2 2 3 4 3 2" xfId="41522"/>
    <cellStyle name="Normal 4 2 2 3 4 3 2 2" xfId="56649"/>
    <cellStyle name="Normal 4 2 2 3 4 3 3" xfId="51825"/>
    <cellStyle name="Normal 4 2 2 3 4 4" xfId="2996"/>
    <cellStyle name="Normal 4 2 2 3 4 4 2" xfId="47690"/>
    <cellStyle name="Normal 4 2 2 3 4 5" xfId="39242"/>
    <cellStyle name="Normal 4 2 2 3 4 5 2" xfId="54370"/>
    <cellStyle name="Normal 4 2 2 3 4 6" xfId="45991"/>
    <cellStyle name="Normal 4 2 2 3 5" xfId="551"/>
    <cellStyle name="Normal 4 2 2 3 5 2" xfId="4900"/>
    <cellStyle name="Normal 4 2 2 3 5 2 2" xfId="49585"/>
    <cellStyle name="Normal 4 2 2 3 5 3" xfId="11361"/>
    <cellStyle name="Normal 4 2 2 3 5 3 2" xfId="51615"/>
    <cellStyle name="Normal 4 2 2 3 5 4" xfId="3524"/>
    <cellStyle name="Normal 4 2 2 3 5 4 2" xfId="48217"/>
    <cellStyle name="Normal 4 2 2 3 5 5" xfId="42630"/>
    <cellStyle name="Normal 4 2 2 3 5 5 2" xfId="57757"/>
    <cellStyle name="Normal 4 2 2 3 5 6" xfId="45781"/>
    <cellStyle name="Normal 4 2 2 3 6" xfId="1812"/>
    <cellStyle name="Normal 4 2 2 3 6 2" xfId="12621"/>
    <cellStyle name="Normal 4 2 2 3 6 2 2" xfId="52875"/>
    <cellStyle name="Normal 4 2 2 3 6 3" xfId="6160"/>
    <cellStyle name="Normal 4 2 2 3 6 3 2" xfId="50845"/>
    <cellStyle name="Normal 4 2 2 3 6 4" xfId="40395"/>
    <cellStyle name="Normal 4 2 2 3 6 4 2" xfId="55522"/>
    <cellStyle name="Normal 4 2 2 3 6 5" xfId="47041"/>
    <cellStyle name="Normal 4 2 2 3 7" xfId="4476"/>
    <cellStyle name="Normal 4 2 2 3 7 2" xfId="49166"/>
    <cellStyle name="Normal 4 2 2 3 8" xfId="10942"/>
    <cellStyle name="Normal 4 2 2 3 8 2" xfId="51196"/>
    <cellStyle name="Normal 4 2 2 3 9" xfId="2779"/>
    <cellStyle name="Normal 4 2 2 3 9 2" xfId="47479"/>
    <cellStyle name="Normal 4 2 2 4" xfId="218"/>
    <cellStyle name="Normal 4 2 2 4 10" xfId="38107"/>
    <cellStyle name="Normal 4 2 2 4 10 2" xfId="53307"/>
    <cellStyle name="Normal 4 2 2 4 11" xfId="45450"/>
    <cellStyle name="Normal 4 2 2 4 2" xfId="972"/>
    <cellStyle name="Normal 4 2 2 4 2 2" xfId="5321"/>
    <cellStyle name="Normal 4 2 2 4 2 2 2" xfId="44623"/>
    <cellStyle name="Normal 4 2 2 4 2 2 2 2" xfId="59749"/>
    <cellStyle name="Normal 4 2 2 4 2 2 3" xfId="42387"/>
    <cellStyle name="Normal 4 2 2 4 2 2 3 2" xfId="57514"/>
    <cellStyle name="Normal 4 2 2 4 2 2 4" xfId="40107"/>
    <cellStyle name="Normal 4 2 2 4 2 2 4 2" xfId="55235"/>
    <cellStyle name="Normal 4 2 2 4 2 2 5" xfId="50006"/>
    <cellStyle name="Normal 4 2 2 4 2 3" xfId="11782"/>
    <cellStyle name="Normal 4 2 2 4 2 3 2" xfId="43057"/>
    <cellStyle name="Normal 4 2 2 4 2 3 2 2" xfId="58183"/>
    <cellStyle name="Normal 4 2 2 4 2 3 3" xfId="52036"/>
    <cellStyle name="Normal 4 2 2 4 2 4" xfId="3207"/>
    <cellStyle name="Normal 4 2 2 4 2 4 2" xfId="40821"/>
    <cellStyle name="Normal 4 2 2 4 2 4 2 2" xfId="55948"/>
    <cellStyle name="Normal 4 2 2 4 2 4 3" xfId="47901"/>
    <cellStyle name="Normal 4 2 2 4 2 5" xfId="38965"/>
    <cellStyle name="Normal 4 2 2 4 2 5 2" xfId="54096"/>
    <cellStyle name="Normal 4 2 2 4 2 6" xfId="46202"/>
    <cellStyle name="Normal 4 2 2 4 3" xfId="1274"/>
    <cellStyle name="Normal 4 2 2 4 3 2" xfId="5623"/>
    <cellStyle name="Normal 4 2 2 4 3 2 2" xfId="44272"/>
    <cellStyle name="Normal 4 2 2 4 3 2 2 2" xfId="59398"/>
    <cellStyle name="Normal 4 2 2 4 3 2 3" xfId="42036"/>
    <cellStyle name="Normal 4 2 2 4 3 2 3 2" xfId="57163"/>
    <cellStyle name="Normal 4 2 2 4 3 2 4" xfId="39756"/>
    <cellStyle name="Normal 4 2 2 4 3 2 4 2" xfId="54884"/>
    <cellStyle name="Normal 4 2 2 4 3 2 5" xfId="50308"/>
    <cellStyle name="Normal 4 2 2 4 3 3" xfId="12084"/>
    <cellStyle name="Normal 4 2 2 4 3 3 2" xfId="43408"/>
    <cellStyle name="Normal 4 2 2 4 3 3 2 2" xfId="58534"/>
    <cellStyle name="Normal 4 2 2 4 3 3 3" xfId="52338"/>
    <cellStyle name="Normal 4 2 2 4 3 4" xfId="3557"/>
    <cellStyle name="Normal 4 2 2 4 3 4 2" xfId="41172"/>
    <cellStyle name="Normal 4 2 2 4 3 4 2 2" xfId="56299"/>
    <cellStyle name="Normal 4 2 2 4 3 4 3" xfId="48250"/>
    <cellStyle name="Normal 4 2 2 4 3 5" xfId="38592"/>
    <cellStyle name="Normal 4 2 2 4 3 5 2" xfId="53745"/>
    <cellStyle name="Normal 4 2 2 4 3 6" xfId="46504"/>
    <cellStyle name="Normal 4 2 2 4 4" xfId="1485"/>
    <cellStyle name="Normal 4 2 2 4 4 2" xfId="5834"/>
    <cellStyle name="Normal 4 2 2 4 4 2 2" xfId="43834"/>
    <cellStyle name="Normal 4 2 2 4 4 2 2 2" xfId="58960"/>
    <cellStyle name="Normal 4 2 2 4 4 2 3" xfId="50519"/>
    <cellStyle name="Normal 4 2 2 4 4 3" xfId="12295"/>
    <cellStyle name="Normal 4 2 2 4 4 3 2" xfId="41598"/>
    <cellStyle name="Normal 4 2 2 4 4 3 2 2" xfId="56725"/>
    <cellStyle name="Normal 4 2 2 4 4 3 3" xfId="52549"/>
    <cellStyle name="Normal 4 2 2 4 4 4" xfId="3784"/>
    <cellStyle name="Normal 4 2 2 4 4 4 2" xfId="48477"/>
    <cellStyle name="Normal 4 2 2 4 4 5" xfId="39318"/>
    <cellStyle name="Normal 4 2 2 4 4 5 2" xfId="54446"/>
    <cellStyle name="Normal 4 2 2 4 4 6" xfId="46715"/>
    <cellStyle name="Normal 4 2 2 4 5" xfId="640"/>
    <cellStyle name="Normal 4 2 2 4 5 2" xfId="4989"/>
    <cellStyle name="Normal 4 2 2 4 5 2 2" xfId="49674"/>
    <cellStyle name="Normal 4 2 2 4 5 3" xfId="11450"/>
    <cellStyle name="Normal 4 2 2 4 5 3 2" xfId="51704"/>
    <cellStyle name="Normal 4 2 2 4 5 4" xfId="4143"/>
    <cellStyle name="Normal 4 2 2 4 5 4 2" xfId="48833"/>
    <cellStyle name="Normal 4 2 2 4 5 5" xfId="42706"/>
    <cellStyle name="Normal 4 2 2 4 5 5 2" xfId="57833"/>
    <cellStyle name="Normal 4 2 2 4 5 6" xfId="45870"/>
    <cellStyle name="Normal 4 2 2 4 6" xfId="1891"/>
    <cellStyle name="Normal 4 2 2 4 6 2" xfId="12698"/>
    <cellStyle name="Normal 4 2 2 4 6 2 2" xfId="52951"/>
    <cellStyle name="Normal 4 2 2 4 6 3" xfId="6238"/>
    <cellStyle name="Normal 4 2 2 4 6 3 2" xfId="50921"/>
    <cellStyle name="Normal 4 2 2 4 6 4" xfId="40471"/>
    <cellStyle name="Normal 4 2 2 4 6 4 2" xfId="55598"/>
    <cellStyle name="Normal 4 2 2 4 6 5" xfId="47117"/>
    <cellStyle name="Normal 4 2 2 4 7" xfId="4567"/>
    <cellStyle name="Normal 4 2 2 4 7 2" xfId="49254"/>
    <cellStyle name="Normal 4 2 2 4 8" xfId="11030"/>
    <cellStyle name="Normal 4 2 2 4 8 2" xfId="51284"/>
    <cellStyle name="Normal 4 2 2 4 9" xfId="2874"/>
    <cellStyle name="Normal 4 2 2 4 9 2" xfId="47568"/>
    <cellStyle name="Normal 4 2 2 5" xfId="309"/>
    <cellStyle name="Normal 4 2 2 5 10" xfId="45539"/>
    <cellStyle name="Normal 4 2 2 5 2" xfId="1363"/>
    <cellStyle name="Normal 4 2 2 5 2 2" xfId="5712"/>
    <cellStyle name="Normal 4 2 2 5 2 2 2" xfId="44699"/>
    <cellStyle name="Normal 4 2 2 5 2 2 2 2" xfId="59825"/>
    <cellStyle name="Normal 4 2 2 5 2 2 3" xfId="42463"/>
    <cellStyle name="Normal 4 2 2 5 2 2 3 2" xfId="57590"/>
    <cellStyle name="Normal 4 2 2 5 2 2 4" xfId="40183"/>
    <cellStyle name="Normal 4 2 2 5 2 2 4 2" xfId="55311"/>
    <cellStyle name="Normal 4 2 2 5 2 2 5" xfId="50397"/>
    <cellStyle name="Normal 4 2 2 5 2 3" xfId="12173"/>
    <cellStyle name="Normal 4 2 2 5 2 3 2" xfId="43133"/>
    <cellStyle name="Normal 4 2 2 5 2 3 2 2" xfId="58259"/>
    <cellStyle name="Normal 4 2 2 5 2 3 3" xfId="52427"/>
    <cellStyle name="Normal 4 2 2 5 2 4" xfId="3646"/>
    <cellStyle name="Normal 4 2 2 5 2 4 2" xfId="40897"/>
    <cellStyle name="Normal 4 2 2 5 2 4 2 2" xfId="56024"/>
    <cellStyle name="Normal 4 2 2 5 2 4 3" xfId="48339"/>
    <cellStyle name="Normal 4 2 2 5 2 5" xfId="39041"/>
    <cellStyle name="Normal 4 2 2 5 2 5 2" xfId="54172"/>
    <cellStyle name="Normal 4 2 2 5 2 6" xfId="46593"/>
    <cellStyle name="Normal 4 2 2 5 3" xfId="1574"/>
    <cellStyle name="Normal 4 2 2 5 3 2" xfId="5923"/>
    <cellStyle name="Normal 4 2 2 5 3 2 2" xfId="44348"/>
    <cellStyle name="Normal 4 2 2 5 3 2 2 2" xfId="59474"/>
    <cellStyle name="Normal 4 2 2 5 3 2 3" xfId="42112"/>
    <cellStyle name="Normal 4 2 2 5 3 2 3 2" xfId="57239"/>
    <cellStyle name="Normal 4 2 2 5 3 2 4" xfId="39832"/>
    <cellStyle name="Normal 4 2 2 5 3 2 4 2" xfId="54960"/>
    <cellStyle name="Normal 4 2 2 5 3 2 5" xfId="50608"/>
    <cellStyle name="Normal 4 2 2 5 3 3" xfId="12384"/>
    <cellStyle name="Normal 4 2 2 5 3 3 2" xfId="43484"/>
    <cellStyle name="Normal 4 2 2 5 3 3 2 2" xfId="58610"/>
    <cellStyle name="Normal 4 2 2 5 3 3 3" xfId="52638"/>
    <cellStyle name="Normal 4 2 2 5 3 4" xfId="3873"/>
    <cellStyle name="Normal 4 2 2 5 3 4 2" xfId="41248"/>
    <cellStyle name="Normal 4 2 2 5 3 4 2 2" xfId="56375"/>
    <cellStyle name="Normal 4 2 2 5 3 4 3" xfId="48566"/>
    <cellStyle name="Normal 4 2 2 5 3 5" xfId="38668"/>
    <cellStyle name="Normal 4 2 2 5 3 5 2" xfId="53821"/>
    <cellStyle name="Normal 4 2 2 5 3 6" xfId="46804"/>
    <cellStyle name="Normal 4 2 2 5 4" xfId="1061"/>
    <cellStyle name="Normal 4 2 2 5 4 2" xfId="5410"/>
    <cellStyle name="Normal 4 2 2 5 4 2 2" xfId="43910"/>
    <cellStyle name="Normal 4 2 2 5 4 2 2 2" xfId="59036"/>
    <cellStyle name="Normal 4 2 2 5 4 2 3" xfId="50095"/>
    <cellStyle name="Normal 4 2 2 5 4 3" xfId="11871"/>
    <cellStyle name="Normal 4 2 2 5 4 3 2" xfId="41674"/>
    <cellStyle name="Normal 4 2 2 5 4 3 2 2" xfId="56801"/>
    <cellStyle name="Normal 4 2 2 5 4 3 3" xfId="52125"/>
    <cellStyle name="Normal 4 2 2 5 4 4" xfId="4232"/>
    <cellStyle name="Normal 4 2 2 5 4 4 2" xfId="48922"/>
    <cellStyle name="Normal 4 2 2 5 4 5" xfId="39394"/>
    <cellStyle name="Normal 4 2 2 5 4 5 2" xfId="54522"/>
    <cellStyle name="Normal 4 2 2 5 4 6" xfId="46291"/>
    <cellStyle name="Normal 4 2 2 5 5" xfId="1967"/>
    <cellStyle name="Normal 4 2 2 5 5 2" xfId="12774"/>
    <cellStyle name="Normal 4 2 2 5 5 2 2" xfId="53027"/>
    <cellStyle name="Normal 4 2 2 5 5 3" xfId="6314"/>
    <cellStyle name="Normal 4 2 2 5 5 3 2" xfId="50997"/>
    <cellStyle name="Normal 4 2 2 5 5 4" xfId="42782"/>
    <cellStyle name="Normal 4 2 2 5 5 4 2" xfId="57909"/>
    <cellStyle name="Normal 4 2 2 5 5 5" xfId="47193"/>
    <cellStyle name="Normal 4 2 2 5 6" xfId="4658"/>
    <cellStyle name="Normal 4 2 2 5 6 2" xfId="40547"/>
    <cellStyle name="Normal 4 2 2 5 6 2 2" xfId="55674"/>
    <cellStyle name="Normal 4 2 2 5 6 3" xfId="49343"/>
    <cellStyle name="Normal 4 2 2 5 7" xfId="11119"/>
    <cellStyle name="Normal 4 2 2 5 7 2" xfId="51373"/>
    <cellStyle name="Normal 4 2 2 5 8" xfId="3296"/>
    <cellStyle name="Normal 4 2 2 5 8 2" xfId="47990"/>
    <cellStyle name="Normal 4 2 2 5 9" xfId="38183"/>
    <cellStyle name="Normal 4 2 2 5 9 2" xfId="53383"/>
    <cellStyle name="Normal 4 2 2 6" xfId="392"/>
    <cellStyle name="Normal 4 2 2 6 2" xfId="1657"/>
    <cellStyle name="Normal 4 2 2 6 2 2" xfId="6006"/>
    <cellStyle name="Normal 4 2 2 6 2 2 2" xfId="44775"/>
    <cellStyle name="Normal 4 2 2 6 2 2 2 2" xfId="59901"/>
    <cellStyle name="Normal 4 2 2 6 2 2 3" xfId="42539"/>
    <cellStyle name="Normal 4 2 2 6 2 2 3 2" xfId="57666"/>
    <cellStyle name="Normal 4 2 2 6 2 2 4" xfId="40259"/>
    <cellStyle name="Normal 4 2 2 6 2 2 4 2" xfId="55387"/>
    <cellStyle name="Normal 4 2 2 6 2 2 5" xfId="50691"/>
    <cellStyle name="Normal 4 2 2 6 2 3" xfId="12467"/>
    <cellStyle name="Normal 4 2 2 6 2 3 2" xfId="43209"/>
    <cellStyle name="Normal 4 2 2 6 2 3 2 2" xfId="58335"/>
    <cellStyle name="Normal 4 2 2 6 2 3 3" xfId="52721"/>
    <cellStyle name="Normal 4 2 2 6 2 4" xfId="3956"/>
    <cellStyle name="Normal 4 2 2 6 2 4 2" xfId="40973"/>
    <cellStyle name="Normal 4 2 2 6 2 4 2 2" xfId="56100"/>
    <cellStyle name="Normal 4 2 2 6 2 4 3" xfId="48649"/>
    <cellStyle name="Normal 4 2 2 6 2 5" xfId="39117"/>
    <cellStyle name="Normal 4 2 2 6 2 5 2" xfId="54248"/>
    <cellStyle name="Normal 4 2 2 6 2 6" xfId="46887"/>
    <cellStyle name="Normal 4 2 2 6 3" xfId="1144"/>
    <cellStyle name="Normal 4 2 2 6 3 2" xfId="5493"/>
    <cellStyle name="Normal 4 2 2 6 3 2 2" xfId="44424"/>
    <cellStyle name="Normal 4 2 2 6 3 2 2 2" xfId="59550"/>
    <cellStyle name="Normal 4 2 2 6 3 2 3" xfId="42188"/>
    <cellStyle name="Normal 4 2 2 6 3 2 3 2" xfId="57315"/>
    <cellStyle name="Normal 4 2 2 6 3 2 4" xfId="39908"/>
    <cellStyle name="Normal 4 2 2 6 3 2 4 2" xfId="55036"/>
    <cellStyle name="Normal 4 2 2 6 3 2 5" xfId="50178"/>
    <cellStyle name="Normal 4 2 2 6 3 3" xfId="11954"/>
    <cellStyle name="Normal 4 2 2 6 3 3 2" xfId="43560"/>
    <cellStyle name="Normal 4 2 2 6 3 3 2 2" xfId="58686"/>
    <cellStyle name="Normal 4 2 2 6 3 3 3" xfId="52208"/>
    <cellStyle name="Normal 4 2 2 6 3 4" xfId="4315"/>
    <cellStyle name="Normal 4 2 2 6 3 4 2" xfId="41324"/>
    <cellStyle name="Normal 4 2 2 6 3 4 2 2" xfId="56451"/>
    <cellStyle name="Normal 4 2 2 6 3 4 3" xfId="49005"/>
    <cellStyle name="Normal 4 2 2 6 3 5" xfId="38744"/>
    <cellStyle name="Normal 4 2 2 6 3 5 2" xfId="53897"/>
    <cellStyle name="Normal 4 2 2 6 3 6" xfId="46374"/>
    <cellStyle name="Normal 4 2 2 6 4" xfId="2044"/>
    <cellStyle name="Normal 4 2 2 6 4 2" xfId="12850"/>
    <cellStyle name="Normal 4 2 2 6 4 2 2" xfId="43986"/>
    <cellStyle name="Normal 4 2 2 6 4 2 2 2" xfId="59112"/>
    <cellStyle name="Normal 4 2 2 6 4 2 3" xfId="53103"/>
    <cellStyle name="Normal 4 2 2 6 4 3" xfId="6390"/>
    <cellStyle name="Normal 4 2 2 6 4 3 2" xfId="41750"/>
    <cellStyle name="Normal 4 2 2 6 4 3 2 2" xfId="56877"/>
    <cellStyle name="Normal 4 2 2 6 4 3 3" xfId="51073"/>
    <cellStyle name="Normal 4 2 2 6 4 4" xfId="39470"/>
    <cellStyle name="Normal 4 2 2 6 4 4 2" xfId="54598"/>
    <cellStyle name="Normal 4 2 2 6 4 5" xfId="47269"/>
    <cellStyle name="Normal 4 2 2 6 5" xfId="4741"/>
    <cellStyle name="Normal 4 2 2 6 5 2" xfId="42858"/>
    <cellStyle name="Normal 4 2 2 6 5 2 2" xfId="57985"/>
    <cellStyle name="Normal 4 2 2 6 5 3" xfId="49426"/>
    <cellStyle name="Normal 4 2 2 6 6" xfId="11202"/>
    <cellStyle name="Normal 4 2 2 6 6 2" xfId="40623"/>
    <cellStyle name="Normal 4 2 2 6 6 2 2" xfId="55750"/>
    <cellStyle name="Normal 4 2 2 6 6 3" xfId="51456"/>
    <cellStyle name="Normal 4 2 2 6 7" xfId="3379"/>
    <cellStyle name="Normal 4 2 2 6 7 2" xfId="48073"/>
    <cellStyle name="Normal 4 2 2 6 8" xfId="38259"/>
    <cellStyle name="Normal 4 2 2 6 8 2" xfId="53459"/>
    <cellStyle name="Normal 4 2 2 6 9" xfId="45622"/>
    <cellStyle name="Normal 4 2 2 7" xfId="844"/>
    <cellStyle name="Normal 4 2 2 7 2" xfId="5193"/>
    <cellStyle name="Normal 4 2 2 7 2 2" xfId="40002"/>
    <cellStyle name="Normal 4 2 2 7 2 2 2" xfId="44518"/>
    <cellStyle name="Normal 4 2 2 7 2 2 2 2" xfId="59644"/>
    <cellStyle name="Normal 4 2 2 7 2 2 3" xfId="42282"/>
    <cellStyle name="Normal 4 2 2 7 2 2 3 2" xfId="57409"/>
    <cellStyle name="Normal 4 2 2 7 2 2 4" xfId="55130"/>
    <cellStyle name="Normal 4 2 2 7 2 3" xfId="43653"/>
    <cellStyle name="Normal 4 2 2 7 2 3 2" xfId="58779"/>
    <cellStyle name="Normal 4 2 2 7 2 4" xfId="41417"/>
    <cellStyle name="Normal 4 2 2 7 2 4 2" xfId="56544"/>
    <cellStyle name="Normal 4 2 2 7 2 5" xfId="38859"/>
    <cellStyle name="Normal 4 2 2 7 2 5 2" xfId="53991"/>
    <cellStyle name="Normal 4 2 2 7 2 6" xfId="49878"/>
    <cellStyle name="Normal 4 2 2 7 3" xfId="11654"/>
    <cellStyle name="Normal 4 2 2 7 3 2" xfId="44070"/>
    <cellStyle name="Normal 4 2 2 7 3 2 2" xfId="59196"/>
    <cellStyle name="Normal 4 2 2 7 3 3" xfId="41834"/>
    <cellStyle name="Normal 4 2 2 7 3 3 2" xfId="56961"/>
    <cellStyle name="Normal 4 2 2 7 3 4" xfId="39554"/>
    <cellStyle name="Normal 4 2 2 7 3 4 2" xfId="54682"/>
    <cellStyle name="Normal 4 2 2 7 3 5" xfId="51908"/>
    <cellStyle name="Normal 4 2 2 7 4" xfId="3079"/>
    <cellStyle name="Normal 4 2 2 7 4 2" xfId="42952"/>
    <cellStyle name="Normal 4 2 2 7 4 2 2" xfId="58078"/>
    <cellStyle name="Normal 4 2 2 7 4 3" xfId="47773"/>
    <cellStyle name="Normal 4 2 2 7 5" xfId="40716"/>
    <cellStyle name="Normal 4 2 2 7 5 2" xfId="55843"/>
    <cellStyle name="Normal 4 2 2 7 6" xfId="38384"/>
    <cellStyle name="Normal 4 2 2 7 6 2" xfId="53543"/>
    <cellStyle name="Normal 4 2 2 7 7" xfId="46074"/>
    <cellStyle name="Normal 4 2 2 8" xfId="723"/>
    <cellStyle name="Normal 4 2 2 8 2" xfId="5072"/>
    <cellStyle name="Normal 4 2 2 8 2 2" xfId="44167"/>
    <cellStyle name="Normal 4 2 2 8 2 2 2" xfId="59293"/>
    <cellStyle name="Normal 4 2 2 8 2 3" xfId="41931"/>
    <cellStyle name="Normal 4 2 2 8 2 3 2" xfId="57058"/>
    <cellStyle name="Normal 4 2 2 8 2 4" xfId="39651"/>
    <cellStyle name="Normal 4 2 2 8 2 4 2" xfId="54779"/>
    <cellStyle name="Normal 4 2 2 8 2 5" xfId="49757"/>
    <cellStyle name="Normal 4 2 2 8 3" xfId="11533"/>
    <cellStyle name="Normal 4 2 2 8 3 2" xfId="43303"/>
    <cellStyle name="Normal 4 2 2 8 3 2 2" xfId="58429"/>
    <cellStyle name="Normal 4 2 2 8 3 3" xfId="51787"/>
    <cellStyle name="Normal 4 2 2 8 4" xfId="2957"/>
    <cellStyle name="Normal 4 2 2 8 4 2" xfId="41067"/>
    <cellStyle name="Normal 4 2 2 8 4 2 2" xfId="56194"/>
    <cellStyle name="Normal 4 2 2 8 4 3" xfId="47651"/>
    <cellStyle name="Normal 4 2 2 8 5" xfId="38484"/>
    <cellStyle name="Normal 4 2 2 8 5 2" xfId="53640"/>
    <cellStyle name="Normal 4 2 2 8 6" xfId="45953"/>
    <cellStyle name="Normal 4 2 2 9" xfId="513"/>
    <cellStyle name="Normal 4 2 2 9 2" xfId="4862"/>
    <cellStyle name="Normal 4 2 2 9 2 2" xfId="43729"/>
    <cellStyle name="Normal 4 2 2 9 2 2 2" xfId="58855"/>
    <cellStyle name="Normal 4 2 2 9 2 3" xfId="49547"/>
    <cellStyle name="Normal 4 2 2 9 3" xfId="11323"/>
    <cellStyle name="Normal 4 2 2 9 3 2" xfId="41493"/>
    <cellStyle name="Normal 4 2 2 9 3 2 2" xfId="56620"/>
    <cellStyle name="Normal 4 2 2 9 3 3" xfId="51577"/>
    <cellStyle name="Normal 4 2 2 9 4" xfId="3504"/>
    <cellStyle name="Normal 4 2 2 9 4 2" xfId="48198"/>
    <cellStyle name="Normal 4 2 2 9 5" xfId="39213"/>
    <cellStyle name="Normal 4 2 2 9 5 2" xfId="54341"/>
    <cellStyle name="Normal 4 2 2 9 6" xfId="45743"/>
    <cellStyle name="Normal 4 2 3" xfId="120"/>
    <cellStyle name="Normal 4 2 3 10" xfId="10944"/>
    <cellStyle name="Normal 4 2 3 10 2" xfId="51198"/>
    <cellStyle name="Normal 4 2 3 11" xfId="2781"/>
    <cellStyle name="Normal 4 2 3 11 2" xfId="47481"/>
    <cellStyle name="Normal 4 2 3 12" xfId="38033"/>
    <cellStyle name="Normal 4 2 3 12 2" xfId="53233"/>
    <cellStyle name="Normal 4 2 3 13" xfId="45364"/>
    <cellStyle name="Normal 4 2 3 2" xfId="220"/>
    <cellStyle name="Normal 4 2 3 2 10" xfId="38109"/>
    <cellStyle name="Normal 4 2 3 2 10 2" xfId="53309"/>
    <cellStyle name="Normal 4 2 3 2 11" xfId="45452"/>
    <cellStyle name="Normal 4 2 3 2 2" xfId="974"/>
    <cellStyle name="Normal 4 2 3 2 2 2" xfId="5323"/>
    <cellStyle name="Normal 4 2 3 2 2 2 2" xfId="44625"/>
    <cellStyle name="Normal 4 2 3 2 2 2 2 2" xfId="59751"/>
    <cellStyle name="Normal 4 2 3 2 2 2 3" xfId="42389"/>
    <cellStyle name="Normal 4 2 3 2 2 2 3 2" xfId="57516"/>
    <cellStyle name="Normal 4 2 3 2 2 2 4" xfId="40109"/>
    <cellStyle name="Normal 4 2 3 2 2 2 4 2" xfId="55237"/>
    <cellStyle name="Normal 4 2 3 2 2 2 5" xfId="50008"/>
    <cellStyle name="Normal 4 2 3 2 2 3" xfId="11784"/>
    <cellStyle name="Normal 4 2 3 2 2 3 2" xfId="43059"/>
    <cellStyle name="Normal 4 2 3 2 2 3 2 2" xfId="58185"/>
    <cellStyle name="Normal 4 2 3 2 2 3 3" xfId="52038"/>
    <cellStyle name="Normal 4 2 3 2 2 4" xfId="3209"/>
    <cellStyle name="Normal 4 2 3 2 2 4 2" xfId="40823"/>
    <cellStyle name="Normal 4 2 3 2 2 4 2 2" xfId="55950"/>
    <cellStyle name="Normal 4 2 3 2 2 4 3" xfId="47903"/>
    <cellStyle name="Normal 4 2 3 2 2 5" xfId="38967"/>
    <cellStyle name="Normal 4 2 3 2 2 5 2" xfId="54098"/>
    <cellStyle name="Normal 4 2 3 2 2 6" xfId="46204"/>
    <cellStyle name="Normal 4 2 3 2 3" xfId="1276"/>
    <cellStyle name="Normal 4 2 3 2 3 2" xfId="5625"/>
    <cellStyle name="Normal 4 2 3 2 3 2 2" xfId="44274"/>
    <cellStyle name="Normal 4 2 3 2 3 2 2 2" xfId="59400"/>
    <cellStyle name="Normal 4 2 3 2 3 2 3" xfId="42038"/>
    <cellStyle name="Normal 4 2 3 2 3 2 3 2" xfId="57165"/>
    <cellStyle name="Normal 4 2 3 2 3 2 4" xfId="39758"/>
    <cellStyle name="Normal 4 2 3 2 3 2 4 2" xfId="54886"/>
    <cellStyle name="Normal 4 2 3 2 3 2 5" xfId="50310"/>
    <cellStyle name="Normal 4 2 3 2 3 3" xfId="12086"/>
    <cellStyle name="Normal 4 2 3 2 3 3 2" xfId="43410"/>
    <cellStyle name="Normal 4 2 3 2 3 3 2 2" xfId="58536"/>
    <cellStyle name="Normal 4 2 3 2 3 3 3" xfId="52340"/>
    <cellStyle name="Normal 4 2 3 2 3 4" xfId="3559"/>
    <cellStyle name="Normal 4 2 3 2 3 4 2" xfId="41174"/>
    <cellStyle name="Normal 4 2 3 2 3 4 2 2" xfId="56301"/>
    <cellStyle name="Normal 4 2 3 2 3 4 3" xfId="48252"/>
    <cellStyle name="Normal 4 2 3 2 3 5" xfId="38594"/>
    <cellStyle name="Normal 4 2 3 2 3 5 2" xfId="53747"/>
    <cellStyle name="Normal 4 2 3 2 3 6" xfId="46506"/>
    <cellStyle name="Normal 4 2 3 2 4" xfId="1487"/>
    <cellStyle name="Normal 4 2 3 2 4 2" xfId="5836"/>
    <cellStyle name="Normal 4 2 3 2 4 2 2" xfId="43836"/>
    <cellStyle name="Normal 4 2 3 2 4 2 2 2" xfId="58962"/>
    <cellStyle name="Normal 4 2 3 2 4 2 3" xfId="50521"/>
    <cellStyle name="Normal 4 2 3 2 4 3" xfId="12297"/>
    <cellStyle name="Normal 4 2 3 2 4 3 2" xfId="41600"/>
    <cellStyle name="Normal 4 2 3 2 4 3 2 2" xfId="56727"/>
    <cellStyle name="Normal 4 2 3 2 4 3 3" xfId="52551"/>
    <cellStyle name="Normal 4 2 3 2 4 4" xfId="3786"/>
    <cellStyle name="Normal 4 2 3 2 4 4 2" xfId="48479"/>
    <cellStyle name="Normal 4 2 3 2 4 5" xfId="39320"/>
    <cellStyle name="Normal 4 2 3 2 4 5 2" xfId="54448"/>
    <cellStyle name="Normal 4 2 3 2 4 6" xfId="46717"/>
    <cellStyle name="Normal 4 2 3 2 5" xfId="642"/>
    <cellStyle name="Normal 4 2 3 2 5 2" xfId="4991"/>
    <cellStyle name="Normal 4 2 3 2 5 2 2" xfId="49676"/>
    <cellStyle name="Normal 4 2 3 2 5 3" xfId="11452"/>
    <cellStyle name="Normal 4 2 3 2 5 3 2" xfId="51706"/>
    <cellStyle name="Normal 4 2 3 2 5 4" xfId="4145"/>
    <cellStyle name="Normal 4 2 3 2 5 4 2" xfId="48835"/>
    <cellStyle name="Normal 4 2 3 2 5 5" xfId="42708"/>
    <cellStyle name="Normal 4 2 3 2 5 5 2" xfId="57835"/>
    <cellStyle name="Normal 4 2 3 2 5 6" xfId="45872"/>
    <cellStyle name="Normal 4 2 3 2 6" xfId="1893"/>
    <cellStyle name="Normal 4 2 3 2 6 2" xfId="12700"/>
    <cellStyle name="Normal 4 2 3 2 6 2 2" xfId="52953"/>
    <cellStyle name="Normal 4 2 3 2 6 3" xfId="6240"/>
    <cellStyle name="Normal 4 2 3 2 6 3 2" xfId="50923"/>
    <cellStyle name="Normal 4 2 3 2 6 4" xfId="40473"/>
    <cellStyle name="Normal 4 2 3 2 6 4 2" xfId="55600"/>
    <cellStyle name="Normal 4 2 3 2 6 5" xfId="47119"/>
    <cellStyle name="Normal 4 2 3 2 7" xfId="4569"/>
    <cellStyle name="Normal 4 2 3 2 7 2" xfId="49256"/>
    <cellStyle name="Normal 4 2 3 2 8" xfId="11032"/>
    <cellStyle name="Normal 4 2 3 2 8 2" xfId="51286"/>
    <cellStyle name="Normal 4 2 3 2 9" xfId="2876"/>
    <cellStyle name="Normal 4 2 3 2 9 2" xfId="47570"/>
    <cellStyle name="Normal 4 2 3 3" xfId="311"/>
    <cellStyle name="Normal 4 2 3 3 10" xfId="45541"/>
    <cellStyle name="Normal 4 2 3 3 2" xfId="1365"/>
    <cellStyle name="Normal 4 2 3 3 2 2" xfId="5714"/>
    <cellStyle name="Normal 4 2 3 3 2 2 2" xfId="44701"/>
    <cellStyle name="Normal 4 2 3 3 2 2 2 2" xfId="59827"/>
    <cellStyle name="Normal 4 2 3 3 2 2 3" xfId="42465"/>
    <cellStyle name="Normal 4 2 3 3 2 2 3 2" xfId="57592"/>
    <cellStyle name="Normal 4 2 3 3 2 2 4" xfId="40185"/>
    <cellStyle name="Normal 4 2 3 3 2 2 4 2" xfId="55313"/>
    <cellStyle name="Normal 4 2 3 3 2 2 5" xfId="50399"/>
    <cellStyle name="Normal 4 2 3 3 2 3" xfId="12175"/>
    <cellStyle name="Normal 4 2 3 3 2 3 2" xfId="43135"/>
    <cellStyle name="Normal 4 2 3 3 2 3 2 2" xfId="58261"/>
    <cellStyle name="Normal 4 2 3 3 2 3 3" xfId="52429"/>
    <cellStyle name="Normal 4 2 3 3 2 4" xfId="3648"/>
    <cellStyle name="Normal 4 2 3 3 2 4 2" xfId="40899"/>
    <cellStyle name="Normal 4 2 3 3 2 4 2 2" xfId="56026"/>
    <cellStyle name="Normal 4 2 3 3 2 4 3" xfId="48341"/>
    <cellStyle name="Normal 4 2 3 3 2 5" xfId="39043"/>
    <cellStyle name="Normal 4 2 3 3 2 5 2" xfId="54174"/>
    <cellStyle name="Normal 4 2 3 3 2 6" xfId="46595"/>
    <cellStyle name="Normal 4 2 3 3 3" xfId="1576"/>
    <cellStyle name="Normal 4 2 3 3 3 2" xfId="5925"/>
    <cellStyle name="Normal 4 2 3 3 3 2 2" xfId="44350"/>
    <cellStyle name="Normal 4 2 3 3 3 2 2 2" xfId="59476"/>
    <cellStyle name="Normal 4 2 3 3 3 2 3" xfId="42114"/>
    <cellStyle name="Normal 4 2 3 3 3 2 3 2" xfId="57241"/>
    <cellStyle name="Normal 4 2 3 3 3 2 4" xfId="39834"/>
    <cellStyle name="Normal 4 2 3 3 3 2 4 2" xfId="54962"/>
    <cellStyle name="Normal 4 2 3 3 3 2 5" xfId="50610"/>
    <cellStyle name="Normal 4 2 3 3 3 3" xfId="12386"/>
    <cellStyle name="Normal 4 2 3 3 3 3 2" xfId="43486"/>
    <cellStyle name="Normal 4 2 3 3 3 3 2 2" xfId="58612"/>
    <cellStyle name="Normal 4 2 3 3 3 3 3" xfId="52640"/>
    <cellStyle name="Normal 4 2 3 3 3 4" xfId="3875"/>
    <cellStyle name="Normal 4 2 3 3 3 4 2" xfId="41250"/>
    <cellStyle name="Normal 4 2 3 3 3 4 2 2" xfId="56377"/>
    <cellStyle name="Normal 4 2 3 3 3 4 3" xfId="48568"/>
    <cellStyle name="Normal 4 2 3 3 3 5" xfId="38670"/>
    <cellStyle name="Normal 4 2 3 3 3 5 2" xfId="53823"/>
    <cellStyle name="Normal 4 2 3 3 3 6" xfId="46806"/>
    <cellStyle name="Normal 4 2 3 3 4" xfId="1063"/>
    <cellStyle name="Normal 4 2 3 3 4 2" xfId="5412"/>
    <cellStyle name="Normal 4 2 3 3 4 2 2" xfId="43912"/>
    <cellStyle name="Normal 4 2 3 3 4 2 2 2" xfId="59038"/>
    <cellStyle name="Normal 4 2 3 3 4 2 3" xfId="50097"/>
    <cellStyle name="Normal 4 2 3 3 4 3" xfId="11873"/>
    <cellStyle name="Normal 4 2 3 3 4 3 2" xfId="41676"/>
    <cellStyle name="Normal 4 2 3 3 4 3 2 2" xfId="56803"/>
    <cellStyle name="Normal 4 2 3 3 4 3 3" xfId="52127"/>
    <cellStyle name="Normal 4 2 3 3 4 4" xfId="4234"/>
    <cellStyle name="Normal 4 2 3 3 4 4 2" xfId="48924"/>
    <cellStyle name="Normal 4 2 3 3 4 5" xfId="39396"/>
    <cellStyle name="Normal 4 2 3 3 4 5 2" xfId="54524"/>
    <cellStyle name="Normal 4 2 3 3 4 6" xfId="46293"/>
    <cellStyle name="Normal 4 2 3 3 5" xfId="1969"/>
    <cellStyle name="Normal 4 2 3 3 5 2" xfId="12776"/>
    <cellStyle name="Normal 4 2 3 3 5 2 2" xfId="53029"/>
    <cellStyle name="Normal 4 2 3 3 5 3" xfId="6316"/>
    <cellStyle name="Normal 4 2 3 3 5 3 2" xfId="50999"/>
    <cellStyle name="Normal 4 2 3 3 5 4" xfId="42784"/>
    <cellStyle name="Normal 4 2 3 3 5 4 2" xfId="57911"/>
    <cellStyle name="Normal 4 2 3 3 5 5" xfId="47195"/>
    <cellStyle name="Normal 4 2 3 3 6" xfId="4660"/>
    <cellStyle name="Normal 4 2 3 3 6 2" xfId="40549"/>
    <cellStyle name="Normal 4 2 3 3 6 2 2" xfId="55676"/>
    <cellStyle name="Normal 4 2 3 3 6 3" xfId="49345"/>
    <cellStyle name="Normal 4 2 3 3 7" xfId="11121"/>
    <cellStyle name="Normal 4 2 3 3 7 2" xfId="51375"/>
    <cellStyle name="Normal 4 2 3 3 8" xfId="3298"/>
    <cellStyle name="Normal 4 2 3 3 8 2" xfId="47992"/>
    <cellStyle name="Normal 4 2 3 3 9" xfId="38185"/>
    <cellStyle name="Normal 4 2 3 3 9 2" xfId="53385"/>
    <cellStyle name="Normal 4 2 3 4" xfId="432"/>
    <cellStyle name="Normal 4 2 3 4 2" xfId="1697"/>
    <cellStyle name="Normal 4 2 3 4 2 2" xfId="6046"/>
    <cellStyle name="Normal 4 2 3 4 2 2 2" xfId="44777"/>
    <cellStyle name="Normal 4 2 3 4 2 2 2 2" xfId="59903"/>
    <cellStyle name="Normal 4 2 3 4 2 2 3" xfId="42541"/>
    <cellStyle name="Normal 4 2 3 4 2 2 3 2" xfId="57668"/>
    <cellStyle name="Normal 4 2 3 4 2 2 4" xfId="40261"/>
    <cellStyle name="Normal 4 2 3 4 2 2 4 2" xfId="55389"/>
    <cellStyle name="Normal 4 2 3 4 2 2 5" xfId="50731"/>
    <cellStyle name="Normal 4 2 3 4 2 3" xfId="12507"/>
    <cellStyle name="Normal 4 2 3 4 2 3 2" xfId="43211"/>
    <cellStyle name="Normal 4 2 3 4 2 3 2 2" xfId="58337"/>
    <cellStyle name="Normal 4 2 3 4 2 3 3" xfId="52761"/>
    <cellStyle name="Normal 4 2 3 4 2 4" xfId="3996"/>
    <cellStyle name="Normal 4 2 3 4 2 4 2" xfId="40975"/>
    <cellStyle name="Normal 4 2 3 4 2 4 2 2" xfId="56102"/>
    <cellStyle name="Normal 4 2 3 4 2 4 3" xfId="48689"/>
    <cellStyle name="Normal 4 2 3 4 2 5" xfId="39119"/>
    <cellStyle name="Normal 4 2 3 4 2 5 2" xfId="54250"/>
    <cellStyle name="Normal 4 2 3 4 2 6" xfId="46927"/>
    <cellStyle name="Normal 4 2 3 4 3" xfId="1184"/>
    <cellStyle name="Normal 4 2 3 4 3 2" xfId="5533"/>
    <cellStyle name="Normal 4 2 3 4 3 2 2" xfId="44426"/>
    <cellStyle name="Normal 4 2 3 4 3 2 2 2" xfId="59552"/>
    <cellStyle name="Normal 4 2 3 4 3 2 3" xfId="42190"/>
    <cellStyle name="Normal 4 2 3 4 3 2 3 2" xfId="57317"/>
    <cellStyle name="Normal 4 2 3 4 3 2 4" xfId="39910"/>
    <cellStyle name="Normal 4 2 3 4 3 2 4 2" xfId="55038"/>
    <cellStyle name="Normal 4 2 3 4 3 2 5" xfId="50218"/>
    <cellStyle name="Normal 4 2 3 4 3 3" xfId="11994"/>
    <cellStyle name="Normal 4 2 3 4 3 3 2" xfId="43562"/>
    <cellStyle name="Normal 4 2 3 4 3 3 2 2" xfId="58688"/>
    <cellStyle name="Normal 4 2 3 4 3 3 3" xfId="52248"/>
    <cellStyle name="Normal 4 2 3 4 3 4" xfId="4355"/>
    <cellStyle name="Normal 4 2 3 4 3 4 2" xfId="41326"/>
    <cellStyle name="Normal 4 2 3 4 3 4 2 2" xfId="56453"/>
    <cellStyle name="Normal 4 2 3 4 3 4 3" xfId="49045"/>
    <cellStyle name="Normal 4 2 3 4 3 5" xfId="38746"/>
    <cellStyle name="Normal 4 2 3 4 3 5 2" xfId="53899"/>
    <cellStyle name="Normal 4 2 3 4 3 6" xfId="46414"/>
    <cellStyle name="Normal 4 2 3 4 4" xfId="2046"/>
    <cellStyle name="Normal 4 2 3 4 4 2" xfId="12852"/>
    <cellStyle name="Normal 4 2 3 4 4 2 2" xfId="43988"/>
    <cellStyle name="Normal 4 2 3 4 4 2 2 2" xfId="59114"/>
    <cellStyle name="Normal 4 2 3 4 4 2 3" xfId="53105"/>
    <cellStyle name="Normal 4 2 3 4 4 3" xfId="6392"/>
    <cellStyle name="Normal 4 2 3 4 4 3 2" xfId="41752"/>
    <cellStyle name="Normal 4 2 3 4 4 3 2 2" xfId="56879"/>
    <cellStyle name="Normal 4 2 3 4 4 3 3" xfId="51075"/>
    <cellStyle name="Normal 4 2 3 4 4 4" xfId="39472"/>
    <cellStyle name="Normal 4 2 3 4 4 4 2" xfId="54600"/>
    <cellStyle name="Normal 4 2 3 4 4 5" xfId="47271"/>
    <cellStyle name="Normal 4 2 3 4 5" xfId="4781"/>
    <cellStyle name="Normal 4 2 3 4 5 2" xfId="42860"/>
    <cellStyle name="Normal 4 2 3 4 5 2 2" xfId="57987"/>
    <cellStyle name="Normal 4 2 3 4 5 3" xfId="49466"/>
    <cellStyle name="Normal 4 2 3 4 6" xfId="11242"/>
    <cellStyle name="Normal 4 2 3 4 6 2" xfId="40625"/>
    <cellStyle name="Normal 4 2 3 4 6 2 2" xfId="55752"/>
    <cellStyle name="Normal 4 2 3 4 6 3" xfId="51496"/>
    <cellStyle name="Normal 4 2 3 4 7" xfId="3419"/>
    <cellStyle name="Normal 4 2 3 4 7 2" xfId="48113"/>
    <cellStyle name="Normal 4 2 3 4 8" xfId="38261"/>
    <cellStyle name="Normal 4 2 3 4 8 2" xfId="53461"/>
    <cellStyle name="Normal 4 2 3 4 9" xfId="45662"/>
    <cellStyle name="Normal 4 2 3 5" xfId="886"/>
    <cellStyle name="Normal 4 2 3 5 2" xfId="5235"/>
    <cellStyle name="Normal 4 2 3 5 2 2" xfId="40033"/>
    <cellStyle name="Normal 4 2 3 5 2 2 2" xfId="44549"/>
    <cellStyle name="Normal 4 2 3 5 2 2 2 2" xfId="59675"/>
    <cellStyle name="Normal 4 2 3 5 2 2 3" xfId="42313"/>
    <cellStyle name="Normal 4 2 3 5 2 2 3 2" xfId="57440"/>
    <cellStyle name="Normal 4 2 3 5 2 2 4" xfId="55161"/>
    <cellStyle name="Normal 4 2 3 5 2 3" xfId="43673"/>
    <cellStyle name="Normal 4 2 3 5 2 3 2" xfId="58799"/>
    <cellStyle name="Normal 4 2 3 5 2 4" xfId="41437"/>
    <cellStyle name="Normal 4 2 3 5 2 4 2" xfId="56564"/>
    <cellStyle name="Normal 4 2 3 5 2 5" xfId="38890"/>
    <cellStyle name="Normal 4 2 3 5 2 5 2" xfId="54022"/>
    <cellStyle name="Normal 4 2 3 5 2 6" xfId="49920"/>
    <cellStyle name="Normal 4 2 3 5 3" xfId="11696"/>
    <cellStyle name="Normal 4 2 3 5 3 2" xfId="44072"/>
    <cellStyle name="Normal 4 2 3 5 3 2 2" xfId="59198"/>
    <cellStyle name="Normal 4 2 3 5 3 3" xfId="41836"/>
    <cellStyle name="Normal 4 2 3 5 3 3 2" xfId="56963"/>
    <cellStyle name="Normal 4 2 3 5 3 4" xfId="39556"/>
    <cellStyle name="Normal 4 2 3 5 3 4 2" xfId="54684"/>
    <cellStyle name="Normal 4 2 3 5 3 5" xfId="51950"/>
    <cellStyle name="Normal 4 2 3 5 4" xfId="3121"/>
    <cellStyle name="Normal 4 2 3 5 4 2" xfId="42983"/>
    <cellStyle name="Normal 4 2 3 5 4 2 2" xfId="58109"/>
    <cellStyle name="Normal 4 2 3 5 4 3" xfId="47815"/>
    <cellStyle name="Normal 4 2 3 5 5" xfId="40747"/>
    <cellStyle name="Normal 4 2 3 5 5 2" xfId="55874"/>
    <cellStyle name="Normal 4 2 3 5 6" xfId="38386"/>
    <cellStyle name="Normal 4 2 3 5 6 2" xfId="53545"/>
    <cellStyle name="Normal 4 2 3 5 7" xfId="46116"/>
    <cellStyle name="Normal 4 2 3 6" xfId="763"/>
    <cellStyle name="Normal 4 2 3 6 2" xfId="5112"/>
    <cellStyle name="Normal 4 2 3 6 2 2" xfId="44198"/>
    <cellStyle name="Normal 4 2 3 6 2 2 2" xfId="59324"/>
    <cellStyle name="Normal 4 2 3 6 2 3" xfId="41962"/>
    <cellStyle name="Normal 4 2 3 6 2 3 2" xfId="57089"/>
    <cellStyle name="Normal 4 2 3 6 2 4" xfId="39682"/>
    <cellStyle name="Normal 4 2 3 6 2 4 2" xfId="54810"/>
    <cellStyle name="Normal 4 2 3 6 2 5" xfId="49797"/>
    <cellStyle name="Normal 4 2 3 6 3" xfId="11573"/>
    <cellStyle name="Normal 4 2 3 6 3 2" xfId="43334"/>
    <cellStyle name="Normal 4 2 3 6 3 2 2" xfId="58460"/>
    <cellStyle name="Normal 4 2 3 6 3 3" xfId="51827"/>
    <cellStyle name="Normal 4 2 3 6 4" xfId="2998"/>
    <cellStyle name="Normal 4 2 3 6 4 2" xfId="41098"/>
    <cellStyle name="Normal 4 2 3 6 4 2 2" xfId="56225"/>
    <cellStyle name="Normal 4 2 3 6 4 3" xfId="47692"/>
    <cellStyle name="Normal 4 2 3 6 5" xfId="38516"/>
    <cellStyle name="Normal 4 2 3 6 5 2" xfId="53671"/>
    <cellStyle name="Normal 4 2 3 6 6" xfId="45993"/>
    <cellStyle name="Normal 4 2 3 7" xfId="553"/>
    <cellStyle name="Normal 4 2 3 7 2" xfId="4902"/>
    <cellStyle name="Normal 4 2 3 7 2 2" xfId="43760"/>
    <cellStyle name="Normal 4 2 3 7 2 2 2" xfId="58886"/>
    <cellStyle name="Normal 4 2 3 7 2 3" xfId="49587"/>
    <cellStyle name="Normal 4 2 3 7 3" xfId="11363"/>
    <cellStyle name="Normal 4 2 3 7 3 2" xfId="41524"/>
    <cellStyle name="Normal 4 2 3 7 3 2 2" xfId="56651"/>
    <cellStyle name="Normal 4 2 3 7 3 3" xfId="51617"/>
    <cellStyle name="Normal 4 2 3 7 4" xfId="3497"/>
    <cellStyle name="Normal 4 2 3 7 4 2" xfId="48191"/>
    <cellStyle name="Normal 4 2 3 7 5" xfId="39244"/>
    <cellStyle name="Normal 4 2 3 7 5 2" xfId="54372"/>
    <cellStyle name="Normal 4 2 3 7 6" xfId="45783"/>
    <cellStyle name="Normal 4 2 3 8" xfId="1814"/>
    <cellStyle name="Normal 4 2 3 8 2" xfId="12623"/>
    <cellStyle name="Normal 4 2 3 8 2 2" xfId="52877"/>
    <cellStyle name="Normal 4 2 3 8 3" xfId="6162"/>
    <cellStyle name="Normal 4 2 3 8 3 2" xfId="50847"/>
    <cellStyle name="Normal 4 2 3 8 4" xfId="42632"/>
    <cellStyle name="Normal 4 2 3 8 4 2" xfId="57759"/>
    <cellStyle name="Normal 4 2 3 8 5" xfId="47043"/>
    <cellStyle name="Normal 4 2 3 9" xfId="2628"/>
    <cellStyle name="Normal 4 2 3 9 2" xfId="4478"/>
    <cellStyle name="Normal 4 2 3 9 2 2" xfId="49168"/>
    <cellStyle name="Normal 4 2 3 9 3" xfId="40397"/>
    <cellStyle name="Normal 4 2 3 9 3 2" xfId="55524"/>
    <cellStyle name="Normal 4 2 3 9 4" xfId="47360"/>
    <cellStyle name="Normal 4 2 4" xfId="117"/>
    <cellStyle name="Normal 4 2 4 10" xfId="38030"/>
    <cellStyle name="Normal 4 2 4 10 2" xfId="53230"/>
    <cellStyle name="Normal 4 2 4 11" xfId="45361"/>
    <cellStyle name="Normal 4 2 4 2" xfId="429"/>
    <cellStyle name="Normal 4 2 4 2 2" xfId="1429"/>
    <cellStyle name="Normal 4 2 4 2 2 2" xfId="5778"/>
    <cellStyle name="Normal 4 2 4 2 2 2 2" xfId="44546"/>
    <cellStyle name="Normal 4 2 4 2 2 2 2 2" xfId="59672"/>
    <cellStyle name="Normal 4 2 4 2 2 2 3" xfId="50463"/>
    <cellStyle name="Normal 4 2 4 2 2 3" xfId="12239"/>
    <cellStyle name="Normal 4 2 4 2 2 3 2" xfId="42310"/>
    <cellStyle name="Normal 4 2 4 2 2 3 2 2" xfId="57437"/>
    <cellStyle name="Normal 4 2 4 2 2 3 3" xfId="52493"/>
    <cellStyle name="Normal 4 2 4 2 2 4" xfId="3712"/>
    <cellStyle name="Normal 4 2 4 2 2 4 2" xfId="48405"/>
    <cellStyle name="Normal 4 2 4 2 2 5" xfId="40030"/>
    <cellStyle name="Normal 4 2 4 2 2 5 2" xfId="55158"/>
    <cellStyle name="Normal 4 2 4 2 2 6" xfId="46659"/>
    <cellStyle name="Normal 4 2 4 2 3" xfId="1694"/>
    <cellStyle name="Normal 4 2 4 2 3 2" xfId="6043"/>
    <cellStyle name="Normal 4 2 4 2 3 2 2" xfId="50728"/>
    <cellStyle name="Normal 4 2 4 2 3 3" xfId="12504"/>
    <cellStyle name="Normal 4 2 4 2 3 3 2" xfId="52758"/>
    <cellStyle name="Normal 4 2 4 2 3 4" xfId="3993"/>
    <cellStyle name="Normal 4 2 4 2 3 4 2" xfId="48686"/>
    <cellStyle name="Normal 4 2 4 2 3 5" xfId="42980"/>
    <cellStyle name="Normal 4 2 4 2 3 5 2" xfId="58106"/>
    <cellStyle name="Normal 4 2 4 2 3 6" xfId="46924"/>
    <cellStyle name="Normal 4 2 4 2 4" xfId="1181"/>
    <cellStyle name="Normal 4 2 4 2 4 2" xfId="5530"/>
    <cellStyle name="Normal 4 2 4 2 4 2 2" xfId="50215"/>
    <cellStyle name="Normal 4 2 4 2 4 3" xfId="11991"/>
    <cellStyle name="Normal 4 2 4 2 4 3 2" xfId="52245"/>
    <cellStyle name="Normal 4 2 4 2 4 4" xfId="4352"/>
    <cellStyle name="Normal 4 2 4 2 4 4 2" xfId="49042"/>
    <cellStyle name="Normal 4 2 4 2 4 5" xfId="40744"/>
    <cellStyle name="Normal 4 2 4 2 4 5 2" xfId="55871"/>
    <cellStyle name="Normal 4 2 4 2 4 6" xfId="46411"/>
    <cellStyle name="Normal 4 2 4 2 5" xfId="4778"/>
    <cellStyle name="Normal 4 2 4 2 5 2" xfId="49463"/>
    <cellStyle name="Normal 4 2 4 2 6" xfId="11239"/>
    <cellStyle name="Normal 4 2 4 2 6 2" xfId="51493"/>
    <cellStyle name="Normal 4 2 4 2 7" xfId="3416"/>
    <cellStyle name="Normal 4 2 4 2 7 2" xfId="48110"/>
    <cellStyle name="Normal 4 2 4 2 8" xfId="38887"/>
    <cellStyle name="Normal 4 2 4 2 8 2" xfId="54019"/>
    <cellStyle name="Normal 4 2 4 2 9" xfId="45659"/>
    <cellStyle name="Normal 4 2 4 3" xfId="883"/>
    <cellStyle name="Normal 4 2 4 3 2" xfId="5232"/>
    <cellStyle name="Normal 4 2 4 3 2 2" xfId="44195"/>
    <cellStyle name="Normal 4 2 4 3 2 2 2" xfId="59321"/>
    <cellStyle name="Normal 4 2 4 3 2 3" xfId="41959"/>
    <cellStyle name="Normal 4 2 4 3 2 3 2" xfId="57086"/>
    <cellStyle name="Normal 4 2 4 3 2 4" xfId="39679"/>
    <cellStyle name="Normal 4 2 4 3 2 4 2" xfId="54807"/>
    <cellStyle name="Normal 4 2 4 3 2 5" xfId="49917"/>
    <cellStyle name="Normal 4 2 4 3 3" xfId="11693"/>
    <cellStyle name="Normal 4 2 4 3 3 2" xfId="43331"/>
    <cellStyle name="Normal 4 2 4 3 3 2 2" xfId="58457"/>
    <cellStyle name="Normal 4 2 4 3 3 3" xfId="51947"/>
    <cellStyle name="Normal 4 2 4 3 4" xfId="3118"/>
    <cellStyle name="Normal 4 2 4 3 4 2" xfId="41095"/>
    <cellStyle name="Normal 4 2 4 3 4 2 2" xfId="56222"/>
    <cellStyle name="Normal 4 2 4 3 4 3" xfId="47812"/>
    <cellStyle name="Normal 4 2 4 3 5" xfId="38513"/>
    <cellStyle name="Normal 4 2 4 3 5 2" xfId="53668"/>
    <cellStyle name="Normal 4 2 4 3 6" xfId="46113"/>
    <cellStyle name="Normal 4 2 4 4" xfId="760"/>
    <cellStyle name="Normal 4 2 4 4 2" xfId="5109"/>
    <cellStyle name="Normal 4 2 4 4 2 2" xfId="43757"/>
    <cellStyle name="Normal 4 2 4 4 2 2 2" xfId="58883"/>
    <cellStyle name="Normal 4 2 4 4 2 3" xfId="49794"/>
    <cellStyle name="Normal 4 2 4 4 3" xfId="11570"/>
    <cellStyle name="Normal 4 2 4 4 3 2" xfId="41521"/>
    <cellStyle name="Normal 4 2 4 4 3 2 2" xfId="56648"/>
    <cellStyle name="Normal 4 2 4 4 3 3" xfId="51824"/>
    <cellStyle name="Normal 4 2 4 4 4" xfId="2995"/>
    <cellStyle name="Normal 4 2 4 4 4 2" xfId="47689"/>
    <cellStyle name="Normal 4 2 4 4 5" xfId="39241"/>
    <cellStyle name="Normal 4 2 4 4 5 2" xfId="54369"/>
    <cellStyle name="Normal 4 2 4 4 6" xfId="45990"/>
    <cellStyle name="Normal 4 2 4 5" xfId="550"/>
    <cellStyle name="Normal 4 2 4 5 2" xfId="4899"/>
    <cellStyle name="Normal 4 2 4 5 2 2" xfId="49584"/>
    <cellStyle name="Normal 4 2 4 5 3" xfId="11360"/>
    <cellStyle name="Normal 4 2 4 5 3 2" xfId="51614"/>
    <cellStyle name="Normal 4 2 4 5 4" xfId="3484"/>
    <cellStyle name="Normal 4 2 4 5 4 2" xfId="48178"/>
    <cellStyle name="Normal 4 2 4 5 5" xfId="42629"/>
    <cellStyle name="Normal 4 2 4 5 5 2" xfId="57756"/>
    <cellStyle name="Normal 4 2 4 5 6" xfId="45780"/>
    <cellStyle name="Normal 4 2 4 6" xfId="1811"/>
    <cellStyle name="Normal 4 2 4 6 2" xfId="12620"/>
    <cellStyle name="Normal 4 2 4 6 2 2" xfId="52874"/>
    <cellStyle name="Normal 4 2 4 6 3" xfId="6159"/>
    <cellStyle name="Normal 4 2 4 6 3 2" xfId="50844"/>
    <cellStyle name="Normal 4 2 4 6 4" xfId="40394"/>
    <cellStyle name="Normal 4 2 4 6 4 2" xfId="55521"/>
    <cellStyle name="Normal 4 2 4 6 5" xfId="47040"/>
    <cellStyle name="Normal 4 2 4 7" xfId="4475"/>
    <cellStyle name="Normal 4 2 4 7 2" xfId="49165"/>
    <cellStyle name="Normal 4 2 4 8" xfId="10941"/>
    <cellStyle name="Normal 4 2 4 8 2" xfId="51195"/>
    <cellStyle name="Normal 4 2 4 9" xfId="2778"/>
    <cellStyle name="Normal 4 2 4 9 2" xfId="47478"/>
    <cellStyle name="Normal 4 2 5" xfId="217"/>
    <cellStyle name="Normal 4 2 5 10" xfId="38106"/>
    <cellStyle name="Normal 4 2 5 10 2" xfId="53306"/>
    <cellStyle name="Normal 4 2 5 11" xfId="45449"/>
    <cellStyle name="Normal 4 2 5 2" xfId="971"/>
    <cellStyle name="Normal 4 2 5 2 2" xfId="5320"/>
    <cellStyle name="Normal 4 2 5 2 2 2" xfId="44622"/>
    <cellStyle name="Normal 4 2 5 2 2 2 2" xfId="59748"/>
    <cellStyle name="Normal 4 2 5 2 2 3" xfId="42386"/>
    <cellStyle name="Normal 4 2 5 2 2 3 2" xfId="57513"/>
    <cellStyle name="Normal 4 2 5 2 2 4" xfId="40106"/>
    <cellStyle name="Normal 4 2 5 2 2 4 2" xfId="55234"/>
    <cellStyle name="Normal 4 2 5 2 2 5" xfId="50005"/>
    <cellStyle name="Normal 4 2 5 2 3" xfId="11781"/>
    <cellStyle name="Normal 4 2 5 2 3 2" xfId="43056"/>
    <cellStyle name="Normal 4 2 5 2 3 2 2" xfId="58182"/>
    <cellStyle name="Normal 4 2 5 2 3 3" xfId="52035"/>
    <cellStyle name="Normal 4 2 5 2 4" xfId="3206"/>
    <cellStyle name="Normal 4 2 5 2 4 2" xfId="40820"/>
    <cellStyle name="Normal 4 2 5 2 4 2 2" xfId="55947"/>
    <cellStyle name="Normal 4 2 5 2 4 3" xfId="47900"/>
    <cellStyle name="Normal 4 2 5 2 5" xfId="38964"/>
    <cellStyle name="Normal 4 2 5 2 5 2" xfId="54095"/>
    <cellStyle name="Normal 4 2 5 2 6" xfId="46201"/>
    <cellStyle name="Normal 4 2 5 3" xfId="1273"/>
    <cellStyle name="Normal 4 2 5 3 2" xfId="5622"/>
    <cellStyle name="Normal 4 2 5 3 2 2" xfId="44271"/>
    <cellStyle name="Normal 4 2 5 3 2 2 2" xfId="59397"/>
    <cellStyle name="Normal 4 2 5 3 2 3" xfId="42035"/>
    <cellStyle name="Normal 4 2 5 3 2 3 2" xfId="57162"/>
    <cellStyle name="Normal 4 2 5 3 2 4" xfId="39755"/>
    <cellStyle name="Normal 4 2 5 3 2 4 2" xfId="54883"/>
    <cellStyle name="Normal 4 2 5 3 2 5" xfId="50307"/>
    <cellStyle name="Normal 4 2 5 3 3" xfId="12083"/>
    <cellStyle name="Normal 4 2 5 3 3 2" xfId="43407"/>
    <cellStyle name="Normal 4 2 5 3 3 2 2" xfId="58533"/>
    <cellStyle name="Normal 4 2 5 3 3 3" xfId="52337"/>
    <cellStyle name="Normal 4 2 5 3 4" xfId="3556"/>
    <cellStyle name="Normal 4 2 5 3 4 2" xfId="41171"/>
    <cellStyle name="Normal 4 2 5 3 4 2 2" xfId="56298"/>
    <cellStyle name="Normal 4 2 5 3 4 3" xfId="48249"/>
    <cellStyle name="Normal 4 2 5 3 5" xfId="38591"/>
    <cellStyle name="Normal 4 2 5 3 5 2" xfId="53744"/>
    <cellStyle name="Normal 4 2 5 3 6" xfId="46503"/>
    <cellStyle name="Normal 4 2 5 4" xfId="1484"/>
    <cellStyle name="Normal 4 2 5 4 2" xfId="5833"/>
    <cellStyle name="Normal 4 2 5 4 2 2" xfId="43833"/>
    <cellStyle name="Normal 4 2 5 4 2 2 2" xfId="58959"/>
    <cellStyle name="Normal 4 2 5 4 2 3" xfId="50518"/>
    <cellStyle name="Normal 4 2 5 4 3" xfId="12294"/>
    <cellStyle name="Normal 4 2 5 4 3 2" xfId="41597"/>
    <cellStyle name="Normal 4 2 5 4 3 2 2" xfId="56724"/>
    <cellStyle name="Normal 4 2 5 4 3 3" xfId="52548"/>
    <cellStyle name="Normal 4 2 5 4 4" xfId="3783"/>
    <cellStyle name="Normal 4 2 5 4 4 2" xfId="48476"/>
    <cellStyle name="Normal 4 2 5 4 5" xfId="39317"/>
    <cellStyle name="Normal 4 2 5 4 5 2" xfId="54445"/>
    <cellStyle name="Normal 4 2 5 4 6" xfId="46714"/>
    <cellStyle name="Normal 4 2 5 5" xfId="639"/>
    <cellStyle name="Normal 4 2 5 5 2" xfId="4988"/>
    <cellStyle name="Normal 4 2 5 5 2 2" xfId="49673"/>
    <cellStyle name="Normal 4 2 5 5 3" xfId="11449"/>
    <cellStyle name="Normal 4 2 5 5 3 2" xfId="51703"/>
    <cellStyle name="Normal 4 2 5 5 4" xfId="4142"/>
    <cellStyle name="Normal 4 2 5 5 4 2" xfId="48832"/>
    <cellStyle name="Normal 4 2 5 5 5" xfId="42705"/>
    <cellStyle name="Normal 4 2 5 5 5 2" xfId="57832"/>
    <cellStyle name="Normal 4 2 5 5 6" xfId="45869"/>
    <cellStyle name="Normal 4 2 5 6" xfId="1890"/>
    <cellStyle name="Normal 4 2 5 6 2" xfId="12697"/>
    <cellStyle name="Normal 4 2 5 6 2 2" xfId="52950"/>
    <cellStyle name="Normal 4 2 5 6 3" xfId="6237"/>
    <cellStyle name="Normal 4 2 5 6 3 2" xfId="50920"/>
    <cellStyle name="Normal 4 2 5 6 4" xfId="40470"/>
    <cellStyle name="Normal 4 2 5 6 4 2" xfId="55597"/>
    <cellStyle name="Normal 4 2 5 6 5" xfId="47116"/>
    <cellStyle name="Normal 4 2 5 7" xfId="4566"/>
    <cellStyle name="Normal 4 2 5 7 2" xfId="49253"/>
    <cellStyle name="Normal 4 2 5 8" xfId="11029"/>
    <cellStyle name="Normal 4 2 5 8 2" xfId="51283"/>
    <cellStyle name="Normal 4 2 5 9" xfId="2873"/>
    <cellStyle name="Normal 4 2 5 9 2" xfId="47567"/>
    <cellStyle name="Normal 4 2 6" xfId="308"/>
    <cellStyle name="Normal 4 2 6 10" xfId="45538"/>
    <cellStyle name="Normal 4 2 6 2" xfId="1362"/>
    <cellStyle name="Normal 4 2 6 2 2" xfId="5711"/>
    <cellStyle name="Normal 4 2 6 2 2 2" xfId="44698"/>
    <cellStyle name="Normal 4 2 6 2 2 2 2" xfId="59824"/>
    <cellStyle name="Normal 4 2 6 2 2 3" xfId="42462"/>
    <cellStyle name="Normal 4 2 6 2 2 3 2" xfId="57589"/>
    <cellStyle name="Normal 4 2 6 2 2 4" xfId="40182"/>
    <cellStyle name="Normal 4 2 6 2 2 4 2" xfId="55310"/>
    <cellStyle name="Normal 4 2 6 2 2 5" xfId="50396"/>
    <cellStyle name="Normal 4 2 6 2 3" xfId="12172"/>
    <cellStyle name="Normal 4 2 6 2 3 2" xfId="43132"/>
    <cellStyle name="Normal 4 2 6 2 3 2 2" xfId="58258"/>
    <cellStyle name="Normal 4 2 6 2 3 3" xfId="52426"/>
    <cellStyle name="Normal 4 2 6 2 4" xfId="3645"/>
    <cellStyle name="Normal 4 2 6 2 4 2" xfId="40896"/>
    <cellStyle name="Normal 4 2 6 2 4 2 2" xfId="56023"/>
    <cellStyle name="Normal 4 2 6 2 4 3" xfId="48338"/>
    <cellStyle name="Normal 4 2 6 2 5" xfId="39040"/>
    <cellStyle name="Normal 4 2 6 2 5 2" xfId="54171"/>
    <cellStyle name="Normal 4 2 6 2 6" xfId="46592"/>
    <cellStyle name="Normal 4 2 6 3" xfId="1573"/>
    <cellStyle name="Normal 4 2 6 3 2" xfId="5922"/>
    <cellStyle name="Normal 4 2 6 3 2 2" xfId="44347"/>
    <cellStyle name="Normal 4 2 6 3 2 2 2" xfId="59473"/>
    <cellStyle name="Normal 4 2 6 3 2 3" xfId="42111"/>
    <cellStyle name="Normal 4 2 6 3 2 3 2" xfId="57238"/>
    <cellStyle name="Normal 4 2 6 3 2 4" xfId="39831"/>
    <cellStyle name="Normal 4 2 6 3 2 4 2" xfId="54959"/>
    <cellStyle name="Normal 4 2 6 3 2 5" xfId="50607"/>
    <cellStyle name="Normal 4 2 6 3 3" xfId="12383"/>
    <cellStyle name="Normal 4 2 6 3 3 2" xfId="43483"/>
    <cellStyle name="Normal 4 2 6 3 3 2 2" xfId="58609"/>
    <cellStyle name="Normal 4 2 6 3 3 3" xfId="52637"/>
    <cellStyle name="Normal 4 2 6 3 4" xfId="3872"/>
    <cellStyle name="Normal 4 2 6 3 4 2" xfId="41247"/>
    <cellStyle name="Normal 4 2 6 3 4 2 2" xfId="56374"/>
    <cellStyle name="Normal 4 2 6 3 4 3" xfId="48565"/>
    <cellStyle name="Normal 4 2 6 3 5" xfId="38667"/>
    <cellStyle name="Normal 4 2 6 3 5 2" xfId="53820"/>
    <cellStyle name="Normal 4 2 6 3 6" xfId="46803"/>
    <cellStyle name="Normal 4 2 6 4" xfId="1060"/>
    <cellStyle name="Normal 4 2 6 4 2" xfId="5409"/>
    <cellStyle name="Normal 4 2 6 4 2 2" xfId="43909"/>
    <cellStyle name="Normal 4 2 6 4 2 2 2" xfId="59035"/>
    <cellStyle name="Normal 4 2 6 4 2 3" xfId="50094"/>
    <cellStyle name="Normal 4 2 6 4 3" xfId="11870"/>
    <cellStyle name="Normal 4 2 6 4 3 2" xfId="41673"/>
    <cellStyle name="Normal 4 2 6 4 3 2 2" xfId="56800"/>
    <cellStyle name="Normal 4 2 6 4 3 3" xfId="52124"/>
    <cellStyle name="Normal 4 2 6 4 4" xfId="4231"/>
    <cellStyle name="Normal 4 2 6 4 4 2" xfId="48921"/>
    <cellStyle name="Normal 4 2 6 4 5" xfId="39393"/>
    <cellStyle name="Normal 4 2 6 4 5 2" xfId="54521"/>
    <cellStyle name="Normal 4 2 6 4 6" xfId="46290"/>
    <cellStyle name="Normal 4 2 6 5" xfId="1966"/>
    <cellStyle name="Normal 4 2 6 5 2" xfId="12773"/>
    <cellStyle name="Normal 4 2 6 5 2 2" xfId="53026"/>
    <cellStyle name="Normal 4 2 6 5 3" xfId="6313"/>
    <cellStyle name="Normal 4 2 6 5 3 2" xfId="50996"/>
    <cellStyle name="Normal 4 2 6 5 4" xfId="42781"/>
    <cellStyle name="Normal 4 2 6 5 4 2" xfId="57908"/>
    <cellStyle name="Normal 4 2 6 5 5" xfId="47192"/>
    <cellStyle name="Normal 4 2 6 6" xfId="4657"/>
    <cellStyle name="Normal 4 2 6 6 2" xfId="40546"/>
    <cellStyle name="Normal 4 2 6 6 2 2" xfId="55673"/>
    <cellStyle name="Normal 4 2 6 6 3" xfId="49342"/>
    <cellStyle name="Normal 4 2 6 7" xfId="11118"/>
    <cellStyle name="Normal 4 2 6 7 2" xfId="51372"/>
    <cellStyle name="Normal 4 2 6 8" xfId="3295"/>
    <cellStyle name="Normal 4 2 6 8 2" xfId="47989"/>
    <cellStyle name="Normal 4 2 6 9" xfId="38182"/>
    <cellStyle name="Normal 4 2 6 9 2" xfId="53382"/>
    <cellStyle name="Normal 4 2 7" xfId="376"/>
    <cellStyle name="Normal 4 2 7 2" xfId="1641"/>
    <cellStyle name="Normal 4 2 7 2 2" xfId="5990"/>
    <cellStyle name="Normal 4 2 7 2 2 2" xfId="44774"/>
    <cellStyle name="Normal 4 2 7 2 2 2 2" xfId="59900"/>
    <cellStyle name="Normal 4 2 7 2 2 3" xfId="42538"/>
    <cellStyle name="Normal 4 2 7 2 2 3 2" xfId="57665"/>
    <cellStyle name="Normal 4 2 7 2 2 4" xfId="40258"/>
    <cellStyle name="Normal 4 2 7 2 2 4 2" xfId="55386"/>
    <cellStyle name="Normal 4 2 7 2 2 5" xfId="50675"/>
    <cellStyle name="Normal 4 2 7 2 3" xfId="12451"/>
    <cellStyle name="Normal 4 2 7 2 3 2" xfId="43208"/>
    <cellStyle name="Normal 4 2 7 2 3 2 2" xfId="58334"/>
    <cellStyle name="Normal 4 2 7 2 3 3" xfId="52705"/>
    <cellStyle name="Normal 4 2 7 2 4" xfId="3940"/>
    <cellStyle name="Normal 4 2 7 2 4 2" xfId="40972"/>
    <cellStyle name="Normal 4 2 7 2 4 2 2" xfId="56099"/>
    <cellStyle name="Normal 4 2 7 2 4 3" xfId="48633"/>
    <cellStyle name="Normal 4 2 7 2 5" xfId="39116"/>
    <cellStyle name="Normal 4 2 7 2 5 2" xfId="54247"/>
    <cellStyle name="Normal 4 2 7 2 6" xfId="46871"/>
    <cellStyle name="Normal 4 2 7 3" xfId="1128"/>
    <cellStyle name="Normal 4 2 7 3 2" xfId="5477"/>
    <cellStyle name="Normal 4 2 7 3 2 2" xfId="44423"/>
    <cellStyle name="Normal 4 2 7 3 2 2 2" xfId="59549"/>
    <cellStyle name="Normal 4 2 7 3 2 3" xfId="42187"/>
    <cellStyle name="Normal 4 2 7 3 2 3 2" xfId="57314"/>
    <cellStyle name="Normal 4 2 7 3 2 4" xfId="39907"/>
    <cellStyle name="Normal 4 2 7 3 2 4 2" xfId="55035"/>
    <cellStyle name="Normal 4 2 7 3 2 5" xfId="50162"/>
    <cellStyle name="Normal 4 2 7 3 3" xfId="11938"/>
    <cellStyle name="Normal 4 2 7 3 3 2" xfId="43559"/>
    <cellStyle name="Normal 4 2 7 3 3 2 2" xfId="58685"/>
    <cellStyle name="Normal 4 2 7 3 3 3" xfId="52192"/>
    <cellStyle name="Normal 4 2 7 3 4" xfId="4299"/>
    <cellStyle name="Normal 4 2 7 3 4 2" xfId="41323"/>
    <cellStyle name="Normal 4 2 7 3 4 2 2" xfId="56450"/>
    <cellStyle name="Normal 4 2 7 3 4 3" xfId="48989"/>
    <cellStyle name="Normal 4 2 7 3 5" xfId="38743"/>
    <cellStyle name="Normal 4 2 7 3 5 2" xfId="53896"/>
    <cellStyle name="Normal 4 2 7 3 6" xfId="46358"/>
    <cellStyle name="Normal 4 2 7 4" xfId="2043"/>
    <cellStyle name="Normal 4 2 7 4 2" xfId="12849"/>
    <cellStyle name="Normal 4 2 7 4 2 2" xfId="43985"/>
    <cellStyle name="Normal 4 2 7 4 2 2 2" xfId="59111"/>
    <cellStyle name="Normal 4 2 7 4 2 3" xfId="53102"/>
    <cellStyle name="Normal 4 2 7 4 3" xfId="6389"/>
    <cellStyle name="Normal 4 2 7 4 3 2" xfId="41749"/>
    <cellStyle name="Normal 4 2 7 4 3 2 2" xfId="56876"/>
    <cellStyle name="Normal 4 2 7 4 3 3" xfId="51072"/>
    <cellStyle name="Normal 4 2 7 4 4" xfId="39469"/>
    <cellStyle name="Normal 4 2 7 4 4 2" xfId="54597"/>
    <cellStyle name="Normal 4 2 7 4 5" xfId="47268"/>
    <cellStyle name="Normal 4 2 7 5" xfId="4725"/>
    <cellStyle name="Normal 4 2 7 5 2" xfId="42857"/>
    <cellStyle name="Normal 4 2 7 5 2 2" xfId="57984"/>
    <cellStyle name="Normal 4 2 7 5 3" xfId="49410"/>
    <cellStyle name="Normal 4 2 7 6" xfId="11186"/>
    <cellStyle name="Normal 4 2 7 6 2" xfId="40622"/>
    <cellStyle name="Normal 4 2 7 6 2 2" xfId="55749"/>
    <cellStyle name="Normal 4 2 7 6 3" xfId="51440"/>
    <cellStyle name="Normal 4 2 7 7" xfId="3363"/>
    <cellStyle name="Normal 4 2 7 7 2" xfId="48057"/>
    <cellStyle name="Normal 4 2 7 8" xfId="38258"/>
    <cellStyle name="Normal 4 2 7 8 2" xfId="53458"/>
    <cellStyle name="Normal 4 2 7 9" xfId="45606"/>
    <cellStyle name="Normal 4 2 8" xfId="828"/>
    <cellStyle name="Normal 4 2 8 2" xfId="5177"/>
    <cellStyle name="Normal 4 2 8 2 2" xfId="39984"/>
    <cellStyle name="Normal 4 2 8 2 2 2" xfId="44500"/>
    <cellStyle name="Normal 4 2 8 2 2 2 2" xfId="59626"/>
    <cellStyle name="Normal 4 2 8 2 2 3" xfId="42264"/>
    <cellStyle name="Normal 4 2 8 2 2 3 2" xfId="57391"/>
    <cellStyle name="Normal 4 2 8 2 2 4" xfId="55112"/>
    <cellStyle name="Normal 4 2 8 2 3" xfId="43635"/>
    <cellStyle name="Normal 4 2 8 2 3 2" xfId="58761"/>
    <cellStyle name="Normal 4 2 8 2 4" xfId="41399"/>
    <cellStyle name="Normal 4 2 8 2 4 2" xfId="56526"/>
    <cellStyle name="Normal 4 2 8 2 5" xfId="38841"/>
    <cellStyle name="Normal 4 2 8 2 5 2" xfId="53973"/>
    <cellStyle name="Normal 4 2 8 2 6" xfId="49862"/>
    <cellStyle name="Normal 4 2 8 3" xfId="11638"/>
    <cellStyle name="Normal 4 2 8 3 2" xfId="44069"/>
    <cellStyle name="Normal 4 2 8 3 2 2" xfId="59195"/>
    <cellStyle name="Normal 4 2 8 3 3" xfId="41833"/>
    <cellStyle name="Normal 4 2 8 3 3 2" xfId="56960"/>
    <cellStyle name="Normal 4 2 8 3 4" xfId="39553"/>
    <cellStyle name="Normal 4 2 8 3 4 2" xfId="54681"/>
    <cellStyle name="Normal 4 2 8 3 5" xfId="51892"/>
    <cellStyle name="Normal 4 2 8 4" xfId="3063"/>
    <cellStyle name="Normal 4 2 8 4 2" xfId="42934"/>
    <cellStyle name="Normal 4 2 8 4 2 2" xfId="58060"/>
    <cellStyle name="Normal 4 2 8 4 3" xfId="47757"/>
    <cellStyle name="Normal 4 2 8 5" xfId="40698"/>
    <cellStyle name="Normal 4 2 8 5 2" xfId="55825"/>
    <cellStyle name="Normal 4 2 8 6" xfId="38383"/>
    <cellStyle name="Normal 4 2 8 6 2" xfId="53542"/>
    <cellStyle name="Normal 4 2 8 7" xfId="46058"/>
    <cellStyle name="Normal 4 2 9" xfId="707"/>
    <cellStyle name="Normal 4 2 9 2" xfId="5056"/>
    <cellStyle name="Normal 4 2 9 2 2" xfId="44149"/>
    <cellStyle name="Normal 4 2 9 2 2 2" xfId="59275"/>
    <cellStyle name="Normal 4 2 9 2 3" xfId="41913"/>
    <cellStyle name="Normal 4 2 9 2 3 2" xfId="57040"/>
    <cellStyle name="Normal 4 2 9 2 4" xfId="39633"/>
    <cellStyle name="Normal 4 2 9 2 4 2" xfId="54761"/>
    <cellStyle name="Normal 4 2 9 2 5" xfId="49741"/>
    <cellStyle name="Normal 4 2 9 3" xfId="11517"/>
    <cellStyle name="Normal 4 2 9 3 2" xfId="43285"/>
    <cellStyle name="Normal 4 2 9 3 2 2" xfId="58411"/>
    <cellStyle name="Normal 4 2 9 3 3" xfId="51771"/>
    <cellStyle name="Normal 4 2 9 4" xfId="2941"/>
    <cellStyle name="Normal 4 2 9 4 2" xfId="41049"/>
    <cellStyle name="Normal 4 2 9 4 2 2" xfId="56176"/>
    <cellStyle name="Normal 4 2 9 4 3" xfId="47635"/>
    <cellStyle name="Normal 4 2 9 5" xfId="38466"/>
    <cellStyle name="Normal 4 2 9 5 2" xfId="53622"/>
    <cellStyle name="Normal 4 2 9 6" xfId="45937"/>
    <cellStyle name="Normal 4 3" xfId="34"/>
    <cellStyle name="Normal 4 3 10" xfId="1774"/>
    <cellStyle name="Normal 4 3 10 2" xfId="12584"/>
    <cellStyle name="Normal 4 3 10 2 2" xfId="52838"/>
    <cellStyle name="Normal 4 3 10 3" xfId="6123"/>
    <cellStyle name="Normal 4 3 10 3 2" xfId="50808"/>
    <cellStyle name="Normal 4 3 10 4" xfId="40345"/>
    <cellStyle name="Normal 4 3 10 4 2" xfId="55473"/>
    <cellStyle name="Normal 4 3 10 5" xfId="47004"/>
    <cellStyle name="Normal 4 3 11" xfId="2629"/>
    <cellStyle name="Normal 4 3 11 2" xfId="4428"/>
    <cellStyle name="Normal 4 3 11 2 2" xfId="49118"/>
    <cellStyle name="Normal 4 3 11 3" xfId="47361"/>
    <cellStyle name="Normal 4 3 12" xfId="10893"/>
    <cellStyle name="Normal 4 3 12 2" xfId="51148"/>
    <cellStyle name="Normal 4 3 13" xfId="2709"/>
    <cellStyle name="Normal 4 3 13 2" xfId="47433"/>
    <cellStyle name="Normal 4 3 14" xfId="37993"/>
    <cellStyle name="Normal 4 3 14 2" xfId="53194"/>
    <cellStyle name="Normal 4 3 15" xfId="45326"/>
    <cellStyle name="Normal 4 3 2" xfId="122"/>
    <cellStyle name="Normal 4 3 2 10" xfId="10946"/>
    <cellStyle name="Normal 4 3 2 10 2" xfId="51200"/>
    <cellStyle name="Normal 4 3 2 11" xfId="2783"/>
    <cellStyle name="Normal 4 3 2 11 2" xfId="47483"/>
    <cellStyle name="Normal 4 3 2 12" xfId="38035"/>
    <cellStyle name="Normal 4 3 2 12 2" xfId="53235"/>
    <cellStyle name="Normal 4 3 2 13" xfId="45366"/>
    <cellStyle name="Normal 4 3 2 2" xfId="222"/>
    <cellStyle name="Normal 4 3 2 2 10" xfId="38111"/>
    <cellStyle name="Normal 4 3 2 2 10 2" xfId="53311"/>
    <cellStyle name="Normal 4 3 2 2 11" xfId="45454"/>
    <cellStyle name="Normal 4 3 2 2 2" xfId="976"/>
    <cellStyle name="Normal 4 3 2 2 2 2" xfId="5325"/>
    <cellStyle name="Normal 4 3 2 2 2 2 2" xfId="44627"/>
    <cellStyle name="Normal 4 3 2 2 2 2 2 2" xfId="59753"/>
    <cellStyle name="Normal 4 3 2 2 2 2 3" xfId="42391"/>
    <cellStyle name="Normal 4 3 2 2 2 2 3 2" xfId="57518"/>
    <cellStyle name="Normal 4 3 2 2 2 2 4" xfId="40111"/>
    <cellStyle name="Normal 4 3 2 2 2 2 4 2" xfId="55239"/>
    <cellStyle name="Normal 4 3 2 2 2 2 5" xfId="50010"/>
    <cellStyle name="Normal 4 3 2 2 2 3" xfId="11786"/>
    <cellStyle name="Normal 4 3 2 2 2 3 2" xfId="43061"/>
    <cellStyle name="Normal 4 3 2 2 2 3 2 2" xfId="58187"/>
    <cellStyle name="Normal 4 3 2 2 2 3 3" xfId="52040"/>
    <cellStyle name="Normal 4 3 2 2 2 4" xfId="3211"/>
    <cellStyle name="Normal 4 3 2 2 2 4 2" xfId="40825"/>
    <cellStyle name="Normal 4 3 2 2 2 4 2 2" xfId="55952"/>
    <cellStyle name="Normal 4 3 2 2 2 4 3" xfId="47905"/>
    <cellStyle name="Normal 4 3 2 2 2 5" xfId="38969"/>
    <cellStyle name="Normal 4 3 2 2 2 5 2" xfId="54100"/>
    <cellStyle name="Normal 4 3 2 2 2 6" xfId="46206"/>
    <cellStyle name="Normal 4 3 2 2 3" xfId="1278"/>
    <cellStyle name="Normal 4 3 2 2 3 2" xfId="5627"/>
    <cellStyle name="Normal 4 3 2 2 3 2 2" xfId="44276"/>
    <cellStyle name="Normal 4 3 2 2 3 2 2 2" xfId="59402"/>
    <cellStyle name="Normal 4 3 2 2 3 2 3" xfId="42040"/>
    <cellStyle name="Normal 4 3 2 2 3 2 3 2" xfId="57167"/>
    <cellStyle name="Normal 4 3 2 2 3 2 4" xfId="39760"/>
    <cellStyle name="Normal 4 3 2 2 3 2 4 2" xfId="54888"/>
    <cellStyle name="Normal 4 3 2 2 3 2 5" xfId="50312"/>
    <cellStyle name="Normal 4 3 2 2 3 3" xfId="12088"/>
    <cellStyle name="Normal 4 3 2 2 3 3 2" xfId="43412"/>
    <cellStyle name="Normal 4 3 2 2 3 3 2 2" xfId="58538"/>
    <cellStyle name="Normal 4 3 2 2 3 3 3" xfId="52342"/>
    <cellStyle name="Normal 4 3 2 2 3 4" xfId="3561"/>
    <cellStyle name="Normal 4 3 2 2 3 4 2" xfId="41176"/>
    <cellStyle name="Normal 4 3 2 2 3 4 2 2" xfId="56303"/>
    <cellStyle name="Normal 4 3 2 2 3 4 3" xfId="48254"/>
    <cellStyle name="Normal 4 3 2 2 3 5" xfId="38596"/>
    <cellStyle name="Normal 4 3 2 2 3 5 2" xfId="53749"/>
    <cellStyle name="Normal 4 3 2 2 3 6" xfId="46508"/>
    <cellStyle name="Normal 4 3 2 2 4" xfId="1489"/>
    <cellStyle name="Normal 4 3 2 2 4 2" xfId="5838"/>
    <cellStyle name="Normal 4 3 2 2 4 2 2" xfId="43838"/>
    <cellStyle name="Normal 4 3 2 2 4 2 2 2" xfId="58964"/>
    <cellStyle name="Normal 4 3 2 2 4 2 3" xfId="50523"/>
    <cellStyle name="Normal 4 3 2 2 4 3" xfId="12299"/>
    <cellStyle name="Normal 4 3 2 2 4 3 2" xfId="41602"/>
    <cellStyle name="Normal 4 3 2 2 4 3 2 2" xfId="56729"/>
    <cellStyle name="Normal 4 3 2 2 4 3 3" xfId="52553"/>
    <cellStyle name="Normal 4 3 2 2 4 4" xfId="3788"/>
    <cellStyle name="Normal 4 3 2 2 4 4 2" xfId="48481"/>
    <cellStyle name="Normal 4 3 2 2 4 5" xfId="39322"/>
    <cellStyle name="Normal 4 3 2 2 4 5 2" xfId="54450"/>
    <cellStyle name="Normal 4 3 2 2 4 6" xfId="46719"/>
    <cellStyle name="Normal 4 3 2 2 5" xfId="644"/>
    <cellStyle name="Normal 4 3 2 2 5 2" xfId="4993"/>
    <cellStyle name="Normal 4 3 2 2 5 2 2" xfId="49678"/>
    <cellStyle name="Normal 4 3 2 2 5 3" xfId="11454"/>
    <cellStyle name="Normal 4 3 2 2 5 3 2" xfId="51708"/>
    <cellStyle name="Normal 4 3 2 2 5 4" xfId="4147"/>
    <cellStyle name="Normal 4 3 2 2 5 4 2" xfId="48837"/>
    <cellStyle name="Normal 4 3 2 2 5 5" xfId="42710"/>
    <cellStyle name="Normal 4 3 2 2 5 5 2" xfId="57837"/>
    <cellStyle name="Normal 4 3 2 2 5 6" xfId="45874"/>
    <cellStyle name="Normal 4 3 2 2 6" xfId="1895"/>
    <cellStyle name="Normal 4 3 2 2 6 2" xfId="12702"/>
    <cellStyle name="Normal 4 3 2 2 6 2 2" xfId="52955"/>
    <cellStyle name="Normal 4 3 2 2 6 3" xfId="6242"/>
    <cellStyle name="Normal 4 3 2 2 6 3 2" xfId="50925"/>
    <cellStyle name="Normal 4 3 2 2 6 4" xfId="40475"/>
    <cellStyle name="Normal 4 3 2 2 6 4 2" xfId="55602"/>
    <cellStyle name="Normal 4 3 2 2 6 5" xfId="47121"/>
    <cellStyle name="Normal 4 3 2 2 7" xfId="4571"/>
    <cellStyle name="Normal 4 3 2 2 7 2" xfId="49258"/>
    <cellStyle name="Normal 4 3 2 2 8" xfId="11034"/>
    <cellStyle name="Normal 4 3 2 2 8 2" xfId="51288"/>
    <cellStyle name="Normal 4 3 2 2 9" xfId="2878"/>
    <cellStyle name="Normal 4 3 2 2 9 2" xfId="47572"/>
    <cellStyle name="Normal 4 3 2 3" xfId="313"/>
    <cellStyle name="Normal 4 3 2 3 10" xfId="45543"/>
    <cellStyle name="Normal 4 3 2 3 2" xfId="1367"/>
    <cellStyle name="Normal 4 3 2 3 2 2" xfId="5716"/>
    <cellStyle name="Normal 4 3 2 3 2 2 2" xfId="44703"/>
    <cellStyle name="Normal 4 3 2 3 2 2 2 2" xfId="59829"/>
    <cellStyle name="Normal 4 3 2 3 2 2 3" xfId="42467"/>
    <cellStyle name="Normal 4 3 2 3 2 2 3 2" xfId="57594"/>
    <cellStyle name="Normal 4 3 2 3 2 2 4" xfId="40187"/>
    <cellStyle name="Normal 4 3 2 3 2 2 4 2" xfId="55315"/>
    <cellStyle name="Normal 4 3 2 3 2 2 5" xfId="50401"/>
    <cellStyle name="Normal 4 3 2 3 2 3" xfId="12177"/>
    <cellStyle name="Normal 4 3 2 3 2 3 2" xfId="43137"/>
    <cellStyle name="Normal 4 3 2 3 2 3 2 2" xfId="58263"/>
    <cellStyle name="Normal 4 3 2 3 2 3 3" xfId="52431"/>
    <cellStyle name="Normal 4 3 2 3 2 4" xfId="3650"/>
    <cellStyle name="Normal 4 3 2 3 2 4 2" xfId="40901"/>
    <cellStyle name="Normal 4 3 2 3 2 4 2 2" xfId="56028"/>
    <cellStyle name="Normal 4 3 2 3 2 4 3" xfId="48343"/>
    <cellStyle name="Normal 4 3 2 3 2 5" xfId="39045"/>
    <cellStyle name="Normal 4 3 2 3 2 5 2" xfId="54176"/>
    <cellStyle name="Normal 4 3 2 3 2 6" xfId="46597"/>
    <cellStyle name="Normal 4 3 2 3 3" xfId="1578"/>
    <cellStyle name="Normal 4 3 2 3 3 2" xfId="5927"/>
    <cellStyle name="Normal 4 3 2 3 3 2 2" xfId="44352"/>
    <cellStyle name="Normal 4 3 2 3 3 2 2 2" xfId="59478"/>
    <cellStyle name="Normal 4 3 2 3 3 2 3" xfId="42116"/>
    <cellStyle name="Normal 4 3 2 3 3 2 3 2" xfId="57243"/>
    <cellStyle name="Normal 4 3 2 3 3 2 4" xfId="39836"/>
    <cellStyle name="Normal 4 3 2 3 3 2 4 2" xfId="54964"/>
    <cellStyle name="Normal 4 3 2 3 3 2 5" xfId="50612"/>
    <cellStyle name="Normal 4 3 2 3 3 3" xfId="12388"/>
    <cellStyle name="Normal 4 3 2 3 3 3 2" xfId="43488"/>
    <cellStyle name="Normal 4 3 2 3 3 3 2 2" xfId="58614"/>
    <cellStyle name="Normal 4 3 2 3 3 3 3" xfId="52642"/>
    <cellStyle name="Normal 4 3 2 3 3 4" xfId="3877"/>
    <cellStyle name="Normal 4 3 2 3 3 4 2" xfId="41252"/>
    <cellStyle name="Normal 4 3 2 3 3 4 2 2" xfId="56379"/>
    <cellStyle name="Normal 4 3 2 3 3 4 3" xfId="48570"/>
    <cellStyle name="Normal 4 3 2 3 3 5" xfId="38672"/>
    <cellStyle name="Normal 4 3 2 3 3 5 2" xfId="53825"/>
    <cellStyle name="Normal 4 3 2 3 3 6" xfId="46808"/>
    <cellStyle name="Normal 4 3 2 3 4" xfId="1065"/>
    <cellStyle name="Normal 4 3 2 3 4 2" xfId="5414"/>
    <cellStyle name="Normal 4 3 2 3 4 2 2" xfId="43914"/>
    <cellStyle name="Normal 4 3 2 3 4 2 2 2" xfId="59040"/>
    <cellStyle name="Normal 4 3 2 3 4 2 3" xfId="50099"/>
    <cellStyle name="Normal 4 3 2 3 4 3" xfId="11875"/>
    <cellStyle name="Normal 4 3 2 3 4 3 2" xfId="41678"/>
    <cellStyle name="Normal 4 3 2 3 4 3 2 2" xfId="56805"/>
    <cellStyle name="Normal 4 3 2 3 4 3 3" xfId="52129"/>
    <cellStyle name="Normal 4 3 2 3 4 4" xfId="4236"/>
    <cellStyle name="Normal 4 3 2 3 4 4 2" xfId="48926"/>
    <cellStyle name="Normal 4 3 2 3 4 5" xfId="39398"/>
    <cellStyle name="Normal 4 3 2 3 4 5 2" xfId="54526"/>
    <cellStyle name="Normal 4 3 2 3 4 6" xfId="46295"/>
    <cellStyle name="Normal 4 3 2 3 5" xfId="1971"/>
    <cellStyle name="Normal 4 3 2 3 5 2" xfId="12778"/>
    <cellStyle name="Normal 4 3 2 3 5 2 2" xfId="53031"/>
    <cellStyle name="Normal 4 3 2 3 5 3" xfId="6318"/>
    <cellStyle name="Normal 4 3 2 3 5 3 2" xfId="51001"/>
    <cellStyle name="Normal 4 3 2 3 5 4" xfId="42786"/>
    <cellStyle name="Normal 4 3 2 3 5 4 2" xfId="57913"/>
    <cellStyle name="Normal 4 3 2 3 5 5" xfId="47197"/>
    <cellStyle name="Normal 4 3 2 3 6" xfId="4662"/>
    <cellStyle name="Normal 4 3 2 3 6 2" xfId="40551"/>
    <cellStyle name="Normal 4 3 2 3 6 2 2" xfId="55678"/>
    <cellStyle name="Normal 4 3 2 3 6 3" xfId="49347"/>
    <cellStyle name="Normal 4 3 2 3 7" xfId="11123"/>
    <cellStyle name="Normal 4 3 2 3 7 2" xfId="51377"/>
    <cellStyle name="Normal 4 3 2 3 8" xfId="3300"/>
    <cellStyle name="Normal 4 3 2 3 8 2" xfId="47994"/>
    <cellStyle name="Normal 4 3 2 3 9" xfId="38187"/>
    <cellStyle name="Normal 4 3 2 3 9 2" xfId="53387"/>
    <cellStyle name="Normal 4 3 2 4" xfId="434"/>
    <cellStyle name="Normal 4 3 2 4 2" xfId="1699"/>
    <cellStyle name="Normal 4 3 2 4 2 2" xfId="6048"/>
    <cellStyle name="Normal 4 3 2 4 2 2 2" xfId="44779"/>
    <cellStyle name="Normal 4 3 2 4 2 2 2 2" xfId="59905"/>
    <cellStyle name="Normal 4 3 2 4 2 2 3" xfId="42543"/>
    <cellStyle name="Normal 4 3 2 4 2 2 3 2" xfId="57670"/>
    <cellStyle name="Normal 4 3 2 4 2 2 4" xfId="40263"/>
    <cellStyle name="Normal 4 3 2 4 2 2 4 2" xfId="55391"/>
    <cellStyle name="Normal 4 3 2 4 2 2 5" xfId="50733"/>
    <cellStyle name="Normal 4 3 2 4 2 3" xfId="12509"/>
    <cellStyle name="Normal 4 3 2 4 2 3 2" xfId="43213"/>
    <cellStyle name="Normal 4 3 2 4 2 3 2 2" xfId="58339"/>
    <cellStyle name="Normal 4 3 2 4 2 3 3" xfId="52763"/>
    <cellStyle name="Normal 4 3 2 4 2 4" xfId="3998"/>
    <cellStyle name="Normal 4 3 2 4 2 4 2" xfId="40977"/>
    <cellStyle name="Normal 4 3 2 4 2 4 2 2" xfId="56104"/>
    <cellStyle name="Normal 4 3 2 4 2 4 3" xfId="48691"/>
    <cellStyle name="Normal 4 3 2 4 2 5" xfId="39121"/>
    <cellStyle name="Normal 4 3 2 4 2 5 2" xfId="54252"/>
    <cellStyle name="Normal 4 3 2 4 2 6" xfId="46929"/>
    <cellStyle name="Normal 4 3 2 4 3" xfId="1186"/>
    <cellStyle name="Normal 4 3 2 4 3 2" xfId="5535"/>
    <cellStyle name="Normal 4 3 2 4 3 2 2" xfId="44428"/>
    <cellStyle name="Normal 4 3 2 4 3 2 2 2" xfId="59554"/>
    <cellStyle name="Normal 4 3 2 4 3 2 3" xfId="42192"/>
    <cellStyle name="Normal 4 3 2 4 3 2 3 2" xfId="57319"/>
    <cellStyle name="Normal 4 3 2 4 3 2 4" xfId="39912"/>
    <cellStyle name="Normal 4 3 2 4 3 2 4 2" xfId="55040"/>
    <cellStyle name="Normal 4 3 2 4 3 2 5" xfId="50220"/>
    <cellStyle name="Normal 4 3 2 4 3 3" xfId="11996"/>
    <cellStyle name="Normal 4 3 2 4 3 3 2" xfId="43564"/>
    <cellStyle name="Normal 4 3 2 4 3 3 2 2" xfId="58690"/>
    <cellStyle name="Normal 4 3 2 4 3 3 3" xfId="52250"/>
    <cellStyle name="Normal 4 3 2 4 3 4" xfId="4357"/>
    <cellStyle name="Normal 4 3 2 4 3 4 2" xfId="41328"/>
    <cellStyle name="Normal 4 3 2 4 3 4 2 2" xfId="56455"/>
    <cellStyle name="Normal 4 3 2 4 3 4 3" xfId="49047"/>
    <cellStyle name="Normal 4 3 2 4 3 5" xfId="38748"/>
    <cellStyle name="Normal 4 3 2 4 3 5 2" xfId="53901"/>
    <cellStyle name="Normal 4 3 2 4 3 6" xfId="46416"/>
    <cellStyle name="Normal 4 3 2 4 4" xfId="2048"/>
    <cellStyle name="Normal 4 3 2 4 4 2" xfId="12854"/>
    <cellStyle name="Normal 4 3 2 4 4 2 2" xfId="43990"/>
    <cellStyle name="Normal 4 3 2 4 4 2 2 2" xfId="59116"/>
    <cellStyle name="Normal 4 3 2 4 4 2 3" xfId="53107"/>
    <cellStyle name="Normal 4 3 2 4 4 3" xfId="6394"/>
    <cellStyle name="Normal 4 3 2 4 4 3 2" xfId="41754"/>
    <cellStyle name="Normal 4 3 2 4 4 3 2 2" xfId="56881"/>
    <cellStyle name="Normal 4 3 2 4 4 3 3" xfId="51077"/>
    <cellStyle name="Normal 4 3 2 4 4 4" xfId="39474"/>
    <cellStyle name="Normal 4 3 2 4 4 4 2" xfId="54602"/>
    <cellStyle name="Normal 4 3 2 4 4 5" xfId="47273"/>
    <cellStyle name="Normal 4 3 2 4 5" xfId="4783"/>
    <cellStyle name="Normal 4 3 2 4 5 2" xfId="42862"/>
    <cellStyle name="Normal 4 3 2 4 5 2 2" xfId="57989"/>
    <cellStyle name="Normal 4 3 2 4 5 3" xfId="49468"/>
    <cellStyle name="Normal 4 3 2 4 6" xfId="11244"/>
    <cellStyle name="Normal 4 3 2 4 6 2" xfId="40627"/>
    <cellStyle name="Normal 4 3 2 4 6 2 2" xfId="55754"/>
    <cellStyle name="Normal 4 3 2 4 6 3" xfId="51498"/>
    <cellStyle name="Normal 4 3 2 4 7" xfId="3421"/>
    <cellStyle name="Normal 4 3 2 4 7 2" xfId="48115"/>
    <cellStyle name="Normal 4 3 2 4 8" xfId="38263"/>
    <cellStyle name="Normal 4 3 2 4 8 2" xfId="53463"/>
    <cellStyle name="Normal 4 3 2 4 9" xfId="45664"/>
    <cellStyle name="Normal 4 3 2 5" xfId="888"/>
    <cellStyle name="Normal 4 3 2 5 2" xfId="5237"/>
    <cellStyle name="Normal 4 3 2 5 2 2" xfId="40035"/>
    <cellStyle name="Normal 4 3 2 5 2 2 2" xfId="44551"/>
    <cellStyle name="Normal 4 3 2 5 2 2 2 2" xfId="59677"/>
    <cellStyle name="Normal 4 3 2 5 2 2 3" xfId="42315"/>
    <cellStyle name="Normal 4 3 2 5 2 2 3 2" xfId="57442"/>
    <cellStyle name="Normal 4 3 2 5 2 2 4" xfId="55163"/>
    <cellStyle name="Normal 4 3 2 5 2 3" xfId="43674"/>
    <cellStyle name="Normal 4 3 2 5 2 3 2" xfId="58800"/>
    <cellStyle name="Normal 4 3 2 5 2 4" xfId="41438"/>
    <cellStyle name="Normal 4 3 2 5 2 4 2" xfId="56565"/>
    <cellStyle name="Normal 4 3 2 5 2 5" xfId="38892"/>
    <cellStyle name="Normal 4 3 2 5 2 5 2" xfId="54024"/>
    <cellStyle name="Normal 4 3 2 5 2 6" xfId="49922"/>
    <cellStyle name="Normal 4 3 2 5 3" xfId="11698"/>
    <cellStyle name="Normal 4 3 2 5 3 2" xfId="44074"/>
    <cellStyle name="Normal 4 3 2 5 3 2 2" xfId="59200"/>
    <cellStyle name="Normal 4 3 2 5 3 3" xfId="41838"/>
    <cellStyle name="Normal 4 3 2 5 3 3 2" xfId="56965"/>
    <cellStyle name="Normal 4 3 2 5 3 4" xfId="39558"/>
    <cellStyle name="Normal 4 3 2 5 3 4 2" xfId="54686"/>
    <cellStyle name="Normal 4 3 2 5 3 5" xfId="51952"/>
    <cellStyle name="Normal 4 3 2 5 4" xfId="3123"/>
    <cellStyle name="Normal 4 3 2 5 4 2" xfId="42985"/>
    <cellStyle name="Normal 4 3 2 5 4 2 2" xfId="58111"/>
    <cellStyle name="Normal 4 3 2 5 4 3" xfId="47817"/>
    <cellStyle name="Normal 4 3 2 5 5" xfId="40749"/>
    <cellStyle name="Normal 4 3 2 5 5 2" xfId="55876"/>
    <cellStyle name="Normal 4 3 2 5 6" xfId="38388"/>
    <cellStyle name="Normal 4 3 2 5 6 2" xfId="53547"/>
    <cellStyle name="Normal 4 3 2 5 7" xfId="46118"/>
    <cellStyle name="Normal 4 3 2 6" xfId="765"/>
    <cellStyle name="Normal 4 3 2 6 2" xfId="5114"/>
    <cellStyle name="Normal 4 3 2 6 2 2" xfId="44200"/>
    <cellStyle name="Normal 4 3 2 6 2 2 2" xfId="59326"/>
    <cellStyle name="Normal 4 3 2 6 2 3" xfId="41964"/>
    <cellStyle name="Normal 4 3 2 6 2 3 2" xfId="57091"/>
    <cellStyle name="Normal 4 3 2 6 2 4" xfId="39684"/>
    <cellStyle name="Normal 4 3 2 6 2 4 2" xfId="54812"/>
    <cellStyle name="Normal 4 3 2 6 2 5" xfId="49799"/>
    <cellStyle name="Normal 4 3 2 6 3" xfId="11575"/>
    <cellStyle name="Normal 4 3 2 6 3 2" xfId="43336"/>
    <cellStyle name="Normal 4 3 2 6 3 2 2" xfId="58462"/>
    <cellStyle name="Normal 4 3 2 6 3 3" xfId="51829"/>
    <cellStyle name="Normal 4 3 2 6 4" xfId="3000"/>
    <cellStyle name="Normal 4 3 2 6 4 2" xfId="41100"/>
    <cellStyle name="Normal 4 3 2 6 4 2 2" xfId="56227"/>
    <cellStyle name="Normal 4 3 2 6 4 3" xfId="47694"/>
    <cellStyle name="Normal 4 3 2 6 5" xfId="38518"/>
    <cellStyle name="Normal 4 3 2 6 5 2" xfId="53673"/>
    <cellStyle name="Normal 4 3 2 6 6" xfId="45995"/>
    <cellStyle name="Normal 4 3 2 7" xfId="555"/>
    <cellStyle name="Normal 4 3 2 7 2" xfId="4904"/>
    <cellStyle name="Normal 4 3 2 7 2 2" xfId="43762"/>
    <cellStyle name="Normal 4 3 2 7 2 2 2" xfId="58888"/>
    <cellStyle name="Normal 4 3 2 7 2 3" xfId="49589"/>
    <cellStyle name="Normal 4 3 2 7 3" xfId="11365"/>
    <cellStyle name="Normal 4 3 2 7 3 2" xfId="41526"/>
    <cellStyle name="Normal 4 3 2 7 3 2 2" xfId="56653"/>
    <cellStyle name="Normal 4 3 2 7 3 3" xfId="51619"/>
    <cellStyle name="Normal 4 3 2 7 4" xfId="4063"/>
    <cellStyle name="Normal 4 3 2 7 4 2" xfId="48755"/>
    <cellStyle name="Normal 4 3 2 7 5" xfId="39246"/>
    <cellStyle name="Normal 4 3 2 7 5 2" xfId="54374"/>
    <cellStyle name="Normal 4 3 2 7 6" xfId="45785"/>
    <cellStyle name="Normal 4 3 2 8" xfId="1816"/>
    <cellStyle name="Normal 4 3 2 8 2" xfId="12625"/>
    <cellStyle name="Normal 4 3 2 8 2 2" xfId="52879"/>
    <cellStyle name="Normal 4 3 2 8 3" xfId="6164"/>
    <cellStyle name="Normal 4 3 2 8 3 2" xfId="50849"/>
    <cellStyle name="Normal 4 3 2 8 4" xfId="42634"/>
    <cellStyle name="Normal 4 3 2 8 4 2" xfId="57761"/>
    <cellStyle name="Normal 4 3 2 8 5" xfId="47045"/>
    <cellStyle name="Normal 4 3 2 9" xfId="2630"/>
    <cellStyle name="Normal 4 3 2 9 2" xfId="4480"/>
    <cellStyle name="Normal 4 3 2 9 2 2" xfId="49170"/>
    <cellStyle name="Normal 4 3 2 9 3" xfId="40399"/>
    <cellStyle name="Normal 4 3 2 9 3 2" xfId="55526"/>
    <cellStyle name="Normal 4 3 2 9 4" xfId="47362"/>
    <cellStyle name="Normal 4 3 3" xfId="121"/>
    <cellStyle name="Normal 4 3 3 10" xfId="38034"/>
    <cellStyle name="Normal 4 3 3 10 2" xfId="53234"/>
    <cellStyle name="Normal 4 3 3 11" xfId="45365"/>
    <cellStyle name="Normal 4 3 3 2" xfId="433"/>
    <cellStyle name="Normal 4 3 3 2 2" xfId="1431"/>
    <cellStyle name="Normal 4 3 3 2 2 2" xfId="5780"/>
    <cellStyle name="Normal 4 3 3 2 2 2 2" xfId="44550"/>
    <cellStyle name="Normal 4 3 3 2 2 2 2 2" xfId="59676"/>
    <cellStyle name="Normal 4 3 3 2 2 2 3" xfId="50465"/>
    <cellStyle name="Normal 4 3 3 2 2 3" xfId="12241"/>
    <cellStyle name="Normal 4 3 3 2 2 3 2" xfId="42314"/>
    <cellStyle name="Normal 4 3 3 2 2 3 2 2" xfId="57441"/>
    <cellStyle name="Normal 4 3 3 2 2 3 3" xfId="52495"/>
    <cellStyle name="Normal 4 3 3 2 2 4" xfId="3714"/>
    <cellStyle name="Normal 4 3 3 2 2 4 2" xfId="48407"/>
    <cellStyle name="Normal 4 3 3 2 2 5" xfId="40034"/>
    <cellStyle name="Normal 4 3 3 2 2 5 2" xfId="55162"/>
    <cellStyle name="Normal 4 3 3 2 2 6" xfId="46661"/>
    <cellStyle name="Normal 4 3 3 2 3" xfId="1698"/>
    <cellStyle name="Normal 4 3 3 2 3 2" xfId="6047"/>
    <cellStyle name="Normal 4 3 3 2 3 2 2" xfId="50732"/>
    <cellStyle name="Normal 4 3 3 2 3 3" xfId="12508"/>
    <cellStyle name="Normal 4 3 3 2 3 3 2" xfId="52762"/>
    <cellStyle name="Normal 4 3 3 2 3 4" xfId="3997"/>
    <cellStyle name="Normal 4 3 3 2 3 4 2" xfId="48690"/>
    <cellStyle name="Normal 4 3 3 2 3 5" xfId="42984"/>
    <cellStyle name="Normal 4 3 3 2 3 5 2" xfId="58110"/>
    <cellStyle name="Normal 4 3 3 2 3 6" xfId="46928"/>
    <cellStyle name="Normal 4 3 3 2 4" xfId="1185"/>
    <cellStyle name="Normal 4 3 3 2 4 2" xfId="5534"/>
    <cellStyle name="Normal 4 3 3 2 4 2 2" xfId="50219"/>
    <cellStyle name="Normal 4 3 3 2 4 3" xfId="11995"/>
    <cellStyle name="Normal 4 3 3 2 4 3 2" xfId="52249"/>
    <cellStyle name="Normal 4 3 3 2 4 4" xfId="4356"/>
    <cellStyle name="Normal 4 3 3 2 4 4 2" xfId="49046"/>
    <cellStyle name="Normal 4 3 3 2 4 5" xfId="40748"/>
    <cellStyle name="Normal 4 3 3 2 4 5 2" xfId="55875"/>
    <cellStyle name="Normal 4 3 3 2 4 6" xfId="46415"/>
    <cellStyle name="Normal 4 3 3 2 5" xfId="4782"/>
    <cellStyle name="Normal 4 3 3 2 5 2" xfId="49467"/>
    <cellStyle name="Normal 4 3 3 2 6" xfId="11243"/>
    <cellStyle name="Normal 4 3 3 2 6 2" xfId="51497"/>
    <cellStyle name="Normal 4 3 3 2 7" xfId="3420"/>
    <cellStyle name="Normal 4 3 3 2 7 2" xfId="48114"/>
    <cellStyle name="Normal 4 3 3 2 8" xfId="38891"/>
    <cellStyle name="Normal 4 3 3 2 8 2" xfId="54023"/>
    <cellStyle name="Normal 4 3 3 2 9" xfId="45663"/>
    <cellStyle name="Normal 4 3 3 3" xfId="887"/>
    <cellStyle name="Normal 4 3 3 3 2" xfId="5236"/>
    <cellStyle name="Normal 4 3 3 3 2 2" xfId="44199"/>
    <cellStyle name="Normal 4 3 3 3 2 2 2" xfId="59325"/>
    <cellStyle name="Normal 4 3 3 3 2 3" xfId="41963"/>
    <cellStyle name="Normal 4 3 3 3 2 3 2" xfId="57090"/>
    <cellStyle name="Normal 4 3 3 3 2 4" xfId="39683"/>
    <cellStyle name="Normal 4 3 3 3 2 4 2" xfId="54811"/>
    <cellStyle name="Normal 4 3 3 3 2 5" xfId="49921"/>
    <cellStyle name="Normal 4 3 3 3 3" xfId="11697"/>
    <cellStyle name="Normal 4 3 3 3 3 2" xfId="43335"/>
    <cellStyle name="Normal 4 3 3 3 3 2 2" xfId="58461"/>
    <cellStyle name="Normal 4 3 3 3 3 3" xfId="51951"/>
    <cellStyle name="Normal 4 3 3 3 4" xfId="3122"/>
    <cellStyle name="Normal 4 3 3 3 4 2" xfId="41099"/>
    <cellStyle name="Normal 4 3 3 3 4 2 2" xfId="56226"/>
    <cellStyle name="Normal 4 3 3 3 4 3" xfId="47816"/>
    <cellStyle name="Normal 4 3 3 3 5" xfId="38517"/>
    <cellStyle name="Normal 4 3 3 3 5 2" xfId="53672"/>
    <cellStyle name="Normal 4 3 3 3 6" xfId="46117"/>
    <cellStyle name="Normal 4 3 3 4" xfId="764"/>
    <cellStyle name="Normal 4 3 3 4 2" xfId="5113"/>
    <cellStyle name="Normal 4 3 3 4 2 2" xfId="43761"/>
    <cellStyle name="Normal 4 3 3 4 2 2 2" xfId="58887"/>
    <cellStyle name="Normal 4 3 3 4 2 3" xfId="49798"/>
    <cellStyle name="Normal 4 3 3 4 3" xfId="11574"/>
    <cellStyle name="Normal 4 3 3 4 3 2" xfId="41525"/>
    <cellStyle name="Normal 4 3 3 4 3 2 2" xfId="56652"/>
    <cellStyle name="Normal 4 3 3 4 3 3" xfId="51828"/>
    <cellStyle name="Normal 4 3 3 4 4" xfId="2999"/>
    <cellStyle name="Normal 4 3 3 4 4 2" xfId="47693"/>
    <cellStyle name="Normal 4 3 3 4 5" xfId="39245"/>
    <cellStyle name="Normal 4 3 3 4 5 2" xfId="54373"/>
    <cellStyle name="Normal 4 3 3 4 6" xfId="45994"/>
    <cellStyle name="Normal 4 3 3 5" xfId="554"/>
    <cellStyle name="Normal 4 3 3 5 2" xfId="4903"/>
    <cellStyle name="Normal 4 3 3 5 2 2" xfId="49588"/>
    <cellStyle name="Normal 4 3 3 5 3" xfId="11364"/>
    <cellStyle name="Normal 4 3 3 5 3 2" xfId="51618"/>
    <cellStyle name="Normal 4 3 3 5 4" xfId="3483"/>
    <cellStyle name="Normal 4 3 3 5 4 2" xfId="48177"/>
    <cellStyle name="Normal 4 3 3 5 5" xfId="42633"/>
    <cellStyle name="Normal 4 3 3 5 5 2" xfId="57760"/>
    <cellStyle name="Normal 4 3 3 5 6" xfId="45784"/>
    <cellStyle name="Normal 4 3 3 6" xfId="1815"/>
    <cellStyle name="Normal 4 3 3 6 2" xfId="12624"/>
    <cellStyle name="Normal 4 3 3 6 2 2" xfId="52878"/>
    <cellStyle name="Normal 4 3 3 6 3" xfId="6163"/>
    <cellStyle name="Normal 4 3 3 6 3 2" xfId="50848"/>
    <cellStyle name="Normal 4 3 3 6 4" xfId="40398"/>
    <cellStyle name="Normal 4 3 3 6 4 2" xfId="55525"/>
    <cellStyle name="Normal 4 3 3 6 5" xfId="47044"/>
    <cellStyle name="Normal 4 3 3 7" xfId="4479"/>
    <cellStyle name="Normal 4 3 3 7 2" xfId="49169"/>
    <cellStyle name="Normal 4 3 3 8" xfId="10945"/>
    <cellStyle name="Normal 4 3 3 8 2" xfId="51199"/>
    <cellStyle name="Normal 4 3 3 9" xfId="2782"/>
    <cellStyle name="Normal 4 3 3 9 2" xfId="47482"/>
    <cellStyle name="Normal 4 3 4" xfId="221"/>
    <cellStyle name="Normal 4 3 4 10" xfId="38110"/>
    <cellStyle name="Normal 4 3 4 10 2" xfId="53310"/>
    <cellStyle name="Normal 4 3 4 11" xfId="45453"/>
    <cellStyle name="Normal 4 3 4 2" xfId="975"/>
    <cellStyle name="Normal 4 3 4 2 2" xfId="5324"/>
    <cellStyle name="Normal 4 3 4 2 2 2" xfId="44626"/>
    <cellStyle name="Normal 4 3 4 2 2 2 2" xfId="59752"/>
    <cellStyle name="Normal 4 3 4 2 2 3" xfId="42390"/>
    <cellStyle name="Normal 4 3 4 2 2 3 2" xfId="57517"/>
    <cellStyle name="Normal 4 3 4 2 2 4" xfId="40110"/>
    <cellStyle name="Normal 4 3 4 2 2 4 2" xfId="55238"/>
    <cellStyle name="Normal 4 3 4 2 2 5" xfId="50009"/>
    <cellStyle name="Normal 4 3 4 2 3" xfId="11785"/>
    <cellStyle name="Normal 4 3 4 2 3 2" xfId="43060"/>
    <cellStyle name="Normal 4 3 4 2 3 2 2" xfId="58186"/>
    <cellStyle name="Normal 4 3 4 2 3 3" xfId="52039"/>
    <cellStyle name="Normal 4 3 4 2 4" xfId="3210"/>
    <cellStyle name="Normal 4 3 4 2 4 2" xfId="40824"/>
    <cellStyle name="Normal 4 3 4 2 4 2 2" xfId="55951"/>
    <cellStyle name="Normal 4 3 4 2 4 3" xfId="47904"/>
    <cellStyle name="Normal 4 3 4 2 5" xfId="38968"/>
    <cellStyle name="Normal 4 3 4 2 5 2" xfId="54099"/>
    <cellStyle name="Normal 4 3 4 2 6" xfId="46205"/>
    <cellStyle name="Normal 4 3 4 3" xfId="1277"/>
    <cellStyle name="Normal 4 3 4 3 2" xfId="5626"/>
    <cellStyle name="Normal 4 3 4 3 2 2" xfId="44275"/>
    <cellStyle name="Normal 4 3 4 3 2 2 2" xfId="59401"/>
    <cellStyle name="Normal 4 3 4 3 2 3" xfId="42039"/>
    <cellStyle name="Normal 4 3 4 3 2 3 2" xfId="57166"/>
    <cellStyle name="Normal 4 3 4 3 2 4" xfId="39759"/>
    <cellStyle name="Normal 4 3 4 3 2 4 2" xfId="54887"/>
    <cellStyle name="Normal 4 3 4 3 2 5" xfId="50311"/>
    <cellStyle name="Normal 4 3 4 3 3" xfId="12087"/>
    <cellStyle name="Normal 4 3 4 3 3 2" xfId="43411"/>
    <cellStyle name="Normal 4 3 4 3 3 2 2" xfId="58537"/>
    <cellStyle name="Normal 4 3 4 3 3 3" xfId="52341"/>
    <cellStyle name="Normal 4 3 4 3 4" xfId="3560"/>
    <cellStyle name="Normal 4 3 4 3 4 2" xfId="41175"/>
    <cellStyle name="Normal 4 3 4 3 4 2 2" xfId="56302"/>
    <cellStyle name="Normal 4 3 4 3 4 3" xfId="48253"/>
    <cellStyle name="Normal 4 3 4 3 5" xfId="38595"/>
    <cellStyle name="Normal 4 3 4 3 5 2" xfId="53748"/>
    <cellStyle name="Normal 4 3 4 3 6" xfId="46507"/>
    <cellStyle name="Normal 4 3 4 4" xfId="1488"/>
    <cellStyle name="Normal 4 3 4 4 2" xfId="5837"/>
    <cellStyle name="Normal 4 3 4 4 2 2" xfId="43837"/>
    <cellStyle name="Normal 4 3 4 4 2 2 2" xfId="58963"/>
    <cellStyle name="Normal 4 3 4 4 2 3" xfId="50522"/>
    <cellStyle name="Normal 4 3 4 4 3" xfId="12298"/>
    <cellStyle name="Normal 4 3 4 4 3 2" xfId="41601"/>
    <cellStyle name="Normal 4 3 4 4 3 2 2" xfId="56728"/>
    <cellStyle name="Normal 4 3 4 4 3 3" xfId="52552"/>
    <cellStyle name="Normal 4 3 4 4 4" xfId="3787"/>
    <cellStyle name="Normal 4 3 4 4 4 2" xfId="48480"/>
    <cellStyle name="Normal 4 3 4 4 5" xfId="39321"/>
    <cellStyle name="Normal 4 3 4 4 5 2" xfId="54449"/>
    <cellStyle name="Normal 4 3 4 4 6" xfId="46718"/>
    <cellStyle name="Normal 4 3 4 5" xfId="643"/>
    <cellStyle name="Normal 4 3 4 5 2" xfId="4992"/>
    <cellStyle name="Normal 4 3 4 5 2 2" xfId="49677"/>
    <cellStyle name="Normal 4 3 4 5 3" xfId="11453"/>
    <cellStyle name="Normal 4 3 4 5 3 2" xfId="51707"/>
    <cellStyle name="Normal 4 3 4 5 4" xfId="4146"/>
    <cellStyle name="Normal 4 3 4 5 4 2" xfId="48836"/>
    <cellStyle name="Normal 4 3 4 5 5" xfId="42709"/>
    <cellStyle name="Normal 4 3 4 5 5 2" xfId="57836"/>
    <cellStyle name="Normal 4 3 4 5 6" xfId="45873"/>
    <cellStyle name="Normal 4 3 4 6" xfId="1894"/>
    <cellStyle name="Normal 4 3 4 6 2" xfId="12701"/>
    <cellStyle name="Normal 4 3 4 6 2 2" xfId="52954"/>
    <cellStyle name="Normal 4 3 4 6 3" xfId="6241"/>
    <cellStyle name="Normal 4 3 4 6 3 2" xfId="50924"/>
    <cellStyle name="Normal 4 3 4 6 4" xfId="40474"/>
    <cellStyle name="Normal 4 3 4 6 4 2" xfId="55601"/>
    <cellStyle name="Normal 4 3 4 6 5" xfId="47120"/>
    <cellStyle name="Normal 4 3 4 7" xfId="4570"/>
    <cellStyle name="Normal 4 3 4 7 2" xfId="49257"/>
    <cellStyle name="Normal 4 3 4 8" xfId="11033"/>
    <cellStyle name="Normal 4 3 4 8 2" xfId="51287"/>
    <cellStyle name="Normal 4 3 4 9" xfId="2877"/>
    <cellStyle name="Normal 4 3 4 9 2" xfId="47571"/>
    <cellStyle name="Normal 4 3 5" xfId="312"/>
    <cellStyle name="Normal 4 3 5 10" xfId="45542"/>
    <cellStyle name="Normal 4 3 5 2" xfId="1366"/>
    <cellStyle name="Normal 4 3 5 2 2" xfId="5715"/>
    <cellStyle name="Normal 4 3 5 2 2 2" xfId="44702"/>
    <cellStyle name="Normal 4 3 5 2 2 2 2" xfId="59828"/>
    <cellStyle name="Normal 4 3 5 2 2 3" xfId="42466"/>
    <cellStyle name="Normal 4 3 5 2 2 3 2" xfId="57593"/>
    <cellStyle name="Normal 4 3 5 2 2 4" xfId="40186"/>
    <cellStyle name="Normal 4 3 5 2 2 4 2" xfId="55314"/>
    <cellStyle name="Normal 4 3 5 2 2 5" xfId="50400"/>
    <cellStyle name="Normal 4 3 5 2 3" xfId="12176"/>
    <cellStyle name="Normal 4 3 5 2 3 2" xfId="43136"/>
    <cellStyle name="Normal 4 3 5 2 3 2 2" xfId="58262"/>
    <cellStyle name="Normal 4 3 5 2 3 3" xfId="52430"/>
    <cellStyle name="Normal 4 3 5 2 4" xfId="3649"/>
    <cellStyle name="Normal 4 3 5 2 4 2" xfId="40900"/>
    <cellStyle name="Normal 4 3 5 2 4 2 2" xfId="56027"/>
    <cellStyle name="Normal 4 3 5 2 4 3" xfId="48342"/>
    <cellStyle name="Normal 4 3 5 2 5" xfId="39044"/>
    <cellStyle name="Normal 4 3 5 2 5 2" xfId="54175"/>
    <cellStyle name="Normal 4 3 5 2 6" xfId="46596"/>
    <cellStyle name="Normal 4 3 5 3" xfId="1577"/>
    <cellStyle name="Normal 4 3 5 3 2" xfId="5926"/>
    <cellStyle name="Normal 4 3 5 3 2 2" xfId="44351"/>
    <cellStyle name="Normal 4 3 5 3 2 2 2" xfId="59477"/>
    <cellStyle name="Normal 4 3 5 3 2 3" xfId="42115"/>
    <cellStyle name="Normal 4 3 5 3 2 3 2" xfId="57242"/>
    <cellStyle name="Normal 4 3 5 3 2 4" xfId="39835"/>
    <cellStyle name="Normal 4 3 5 3 2 4 2" xfId="54963"/>
    <cellStyle name="Normal 4 3 5 3 2 5" xfId="50611"/>
    <cellStyle name="Normal 4 3 5 3 3" xfId="12387"/>
    <cellStyle name="Normal 4 3 5 3 3 2" xfId="43487"/>
    <cellStyle name="Normal 4 3 5 3 3 2 2" xfId="58613"/>
    <cellStyle name="Normal 4 3 5 3 3 3" xfId="52641"/>
    <cellStyle name="Normal 4 3 5 3 4" xfId="3876"/>
    <cellStyle name="Normal 4 3 5 3 4 2" xfId="41251"/>
    <cellStyle name="Normal 4 3 5 3 4 2 2" xfId="56378"/>
    <cellStyle name="Normal 4 3 5 3 4 3" xfId="48569"/>
    <cellStyle name="Normal 4 3 5 3 5" xfId="38671"/>
    <cellStyle name="Normal 4 3 5 3 5 2" xfId="53824"/>
    <cellStyle name="Normal 4 3 5 3 6" xfId="46807"/>
    <cellStyle name="Normal 4 3 5 4" xfId="1064"/>
    <cellStyle name="Normal 4 3 5 4 2" xfId="5413"/>
    <cellStyle name="Normal 4 3 5 4 2 2" xfId="43913"/>
    <cellStyle name="Normal 4 3 5 4 2 2 2" xfId="59039"/>
    <cellStyle name="Normal 4 3 5 4 2 3" xfId="50098"/>
    <cellStyle name="Normal 4 3 5 4 3" xfId="11874"/>
    <cellStyle name="Normal 4 3 5 4 3 2" xfId="41677"/>
    <cellStyle name="Normal 4 3 5 4 3 2 2" xfId="56804"/>
    <cellStyle name="Normal 4 3 5 4 3 3" xfId="52128"/>
    <cellStyle name="Normal 4 3 5 4 4" xfId="4235"/>
    <cellStyle name="Normal 4 3 5 4 4 2" xfId="48925"/>
    <cellStyle name="Normal 4 3 5 4 5" xfId="39397"/>
    <cellStyle name="Normal 4 3 5 4 5 2" xfId="54525"/>
    <cellStyle name="Normal 4 3 5 4 6" xfId="46294"/>
    <cellStyle name="Normal 4 3 5 5" xfId="1970"/>
    <cellStyle name="Normal 4 3 5 5 2" xfId="12777"/>
    <cellStyle name="Normal 4 3 5 5 2 2" xfId="53030"/>
    <cellStyle name="Normal 4 3 5 5 3" xfId="6317"/>
    <cellStyle name="Normal 4 3 5 5 3 2" xfId="51000"/>
    <cellStyle name="Normal 4 3 5 5 4" xfId="42785"/>
    <cellStyle name="Normal 4 3 5 5 4 2" xfId="57912"/>
    <cellStyle name="Normal 4 3 5 5 5" xfId="47196"/>
    <cellStyle name="Normal 4 3 5 6" xfId="4661"/>
    <cellStyle name="Normal 4 3 5 6 2" xfId="40550"/>
    <cellStyle name="Normal 4 3 5 6 2 2" xfId="55677"/>
    <cellStyle name="Normal 4 3 5 6 3" xfId="49346"/>
    <cellStyle name="Normal 4 3 5 7" xfId="11122"/>
    <cellStyle name="Normal 4 3 5 7 2" xfId="51376"/>
    <cellStyle name="Normal 4 3 5 8" xfId="3299"/>
    <cellStyle name="Normal 4 3 5 8 2" xfId="47993"/>
    <cellStyle name="Normal 4 3 5 9" xfId="38186"/>
    <cellStyle name="Normal 4 3 5 9 2" xfId="53386"/>
    <cellStyle name="Normal 4 3 6" xfId="384"/>
    <cellStyle name="Normal 4 3 6 2" xfId="1649"/>
    <cellStyle name="Normal 4 3 6 2 2" xfId="5998"/>
    <cellStyle name="Normal 4 3 6 2 2 2" xfId="44778"/>
    <cellStyle name="Normal 4 3 6 2 2 2 2" xfId="59904"/>
    <cellStyle name="Normal 4 3 6 2 2 3" xfId="42542"/>
    <cellStyle name="Normal 4 3 6 2 2 3 2" xfId="57669"/>
    <cellStyle name="Normal 4 3 6 2 2 4" xfId="40262"/>
    <cellStyle name="Normal 4 3 6 2 2 4 2" xfId="55390"/>
    <cellStyle name="Normal 4 3 6 2 2 5" xfId="50683"/>
    <cellStyle name="Normal 4 3 6 2 3" xfId="12459"/>
    <cellStyle name="Normal 4 3 6 2 3 2" xfId="43212"/>
    <cellStyle name="Normal 4 3 6 2 3 2 2" xfId="58338"/>
    <cellStyle name="Normal 4 3 6 2 3 3" xfId="52713"/>
    <cellStyle name="Normal 4 3 6 2 4" xfId="3948"/>
    <cellStyle name="Normal 4 3 6 2 4 2" xfId="40976"/>
    <cellStyle name="Normal 4 3 6 2 4 2 2" xfId="56103"/>
    <cellStyle name="Normal 4 3 6 2 4 3" xfId="48641"/>
    <cellStyle name="Normal 4 3 6 2 5" xfId="39120"/>
    <cellStyle name="Normal 4 3 6 2 5 2" xfId="54251"/>
    <cellStyle name="Normal 4 3 6 2 6" xfId="46879"/>
    <cellStyle name="Normal 4 3 6 3" xfId="1136"/>
    <cellStyle name="Normal 4 3 6 3 2" xfId="5485"/>
    <cellStyle name="Normal 4 3 6 3 2 2" xfId="44427"/>
    <cellStyle name="Normal 4 3 6 3 2 2 2" xfId="59553"/>
    <cellStyle name="Normal 4 3 6 3 2 3" xfId="42191"/>
    <cellStyle name="Normal 4 3 6 3 2 3 2" xfId="57318"/>
    <cellStyle name="Normal 4 3 6 3 2 4" xfId="39911"/>
    <cellStyle name="Normal 4 3 6 3 2 4 2" xfId="55039"/>
    <cellStyle name="Normal 4 3 6 3 2 5" xfId="50170"/>
    <cellStyle name="Normal 4 3 6 3 3" xfId="11946"/>
    <cellStyle name="Normal 4 3 6 3 3 2" xfId="43563"/>
    <cellStyle name="Normal 4 3 6 3 3 2 2" xfId="58689"/>
    <cellStyle name="Normal 4 3 6 3 3 3" xfId="52200"/>
    <cellStyle name="Normal 4 3 6 3 4" xfId="4307"/>
    <cellStyle name="Normal 4 3 6 3 4 2" xfId="41327"/>
    <cellStyle name="Normal 4 3 6 3 4 2 2" xfId="56454"/>
    <cellStyle name="Normal 4 3 6 3 4 3" xfId="48997"/>
    <cellStyle name="Normal 4 3 6 3 5" xfId="38747"/>
    <cellStyle name="Normal 4 3 6 3 5 2" xfId="53900"/>
    <cellStyle name="Normal 4 3 6 3 6" xfId="46366"/>
    <cellStyle name="Normal 4 3 6 4" xfId="2047"/>
    <cellStyle name="Normal 4 3 6 4 2" xfId="12853"/>
    <cellStyle name="Normal 4 3 6 4 2 2" xfId="43989"/>
    <cellStyle name="Normal 4 3 6 4 2 2 2" xfId="59115"/>
    <cellStyle name="Normal 4 3 6 4 2 3" xfId="53106"/>
    <cellStyle name="Normal 4 3 6 4 3" xfId="6393"/>
    <cellStyle name="Normal 4 3 6 4 3 2" xfId="41753"/>
    <cellStyle name="Normal 4 3 6 4 3 2 2" xfId="56880"/>
    <cellStyle name="Normal 4 3 6 4 3 3" xfId="51076"/>
    <cellStyle name="Normal 4 3 6 4 4" xfId="39473"/>
    <cellStyle name="Normal 4 3 6 4 4 2" xfId="54601"/>
    <cellStyle name="Normal 4 3 6 4 5" xfId="47272"/>
    <cellStyle name="Normal 4 3 6 5" xfId="4733"/>
    <cellStyle name="Normal 4 3 6 5 2" xfId="42861"/>
    <cellStyle name="Normal 4 3 6 5 2 2" xfId="57988"/>
    <cellStyle name="Normal 4 3 6 5 3" xfId="49418"/>
    <cellStyle name="Normal 4 3 6 6" xfId="11194"/>
    <cellStyle name="Normal 4 3 6 6 2" xfId="40626"/>
    <cellStyle name="Normal 4 3 6 6 2 2" xfId="55753"/>
    <cellStyle name="Normal 4 3 6 6 3" xfId="51448"/>
    <cellStyle name="Normal 4 3 6 7" xfId="3371"/>
    <cellStyle name="Normal 4 3 6 7 2" xfId="48065"/>
    <cellStyle name="Normal 4 3 6 8" xfId="38262"/>
    <cellStyle name="Normal 4 3 6 8 2" xfId="53462"/>
    <cellStyle name="Normal 4 3 6 9" xfId="45614"/>
    <cellStyle name="Normal 4 3 7" xfId="836"/>
    <cellStyle name="Normal 4 3 7 2" xfId="5185"/>
    <cellStyle name="Normal 4 3 7 2 2" xfId="39994"/>
    <cellStyle name="Normal 4 3 7 2 2 2" xfId="44510"/>
    <cellStyle name="Normal 4 3 7 2 2 2 2" xfId="59636"/>
    <cellStyle name="Normal 4 3 7 2 2 3" xfId="42274"/>
    <cellStyle name="Normal 4 3 7 2 2 3 2" xfId="57401"/>
    <cellStyle name="Normal 4 3 7 2 2 4" xfId="55122"/>
    <cellStyle name="Normal 4 3 7 2 3" xfId="43645"/>
    <cellStyle name="Normal 4 3 7 2 3 2" xfId="58771"/>
    <cellStyle name="Normal 4 3 7 2 4" xfId="41409"/>
    <cellStyle name="Normal 4 3 7 2 4 2" xfId="56536"/>
    <cellStyle name="Normal 4 3 7 2 5" xfId="38851"/>
    <cellStyle name="Normal 4 3 7 2 5 2" xfId="53983"/>
    <cellStyle name="Normal 4 3 7 2 6" xfId="49870"/>
    <cellStyle name="Normal 4 3 7 3" xfId="11646"/>
    <cellStyle name="Normal 4 3 7 3 2" xfId="44073"/>
    <cellStyle name="Normal 4 3 7 3 2 2" xfId="59199"/>
    <cellStyle name="Normal 4 3 7 3 3" xfId="41837"/>
    <cellStyle name="Normal 4 3 7 3 3 2" xfId="56964"/>
    <cellStyle name="Normal 4 3 7 3 4" xfId="39557"/>
    <cellStyle name="Normal 4 3 7 3 4 2" xfId="54685"/>
    <cellStyle name="Normal 4 3 7 3 5" xfId="51900"/>
    <cellStyle name="Normal 4 3 7 4" xfId="3071"/>
    <cellStyle name="Normal 4 3 7 4 2" xfId="42944"/>
    <cellStyle name="Normal 4 3 7 4 2 2" xfId="58070"/>
    <cellStyle name="Normal 4 3 7 4 3" xfId="47765"/>
    <cellStyle name="Normal 4 3 7 5" xfId="40708"/>
    <cellStyle name="Normal 4 3 7 5 2" xfId="55835"/>
    <cellStyle name="Normal 4 3 7 6" xfId="38387"/>
    <cellStyle name="Normal 4 3 7 6 2" xfId="53546"/>
    <cellStyle name="Normal 4 3 7 7" xfId="46066"/>
    <cellStyle name="Normal 4 3 8" xfId="715"/>
    <cellStyle name="Normal 4 3 8 2" xfId="5064"/>
    <cellStyle name="Normal 4 3 8 2 2" xfId="44159"/>
    <cellStyle name="Normal 4 3 8 2 2 2" xfId="59285"/>
    <cellStyle name="Normal 4 3 8 2 3" xfId="41923"/>
    <cellStyle name="Normal 4 3 8 2 3 2" xfId="57050"/>
    <cellStyle name="Normal 4 3 8 2 4" xfId="39643"/>
    <cellStyle name="Normal 4 3 8 2 4 2" xfId="54771"/>
    <cellStyle name="Normal 4 3 8 2 5" xfId="49749"/>
    <cellStyle name="Normal 4 3 8 3" xfId="11525"/>
    <cellStyle name="Normal 4 3 8 3 2" xfId="43295"/>
    <cellStyle name="Normal 4 3 8 3 2 2" xfId="58421"/>
    <cellStyle name="Normal 4 3 8 3 3" xfId="51779"/>
    <cellStyle name="Normal 4 3 8 4" xfId="2949"/>
    <cellStyle name="Normal 4 3 8 4 2" xfId="41059"/>
    <cellStyle name="Normal 4 3 8 4 2 2" xfId="56186"/>
    <cellStyle name="Normal 4 3 8 4 3" xfId="47643"/>
    <cellStyle name="Normal 4 3 8 5" xfId="38476"/>
    <cellStyle name="Normal 4 3 8 5 2" xfId="53632"/>
    <cellStyle name="Normal 4 3 8 6" xfId="45945"/>
    <cellStyle name="Normal 4 3 9" xfId="505"/>
    <cellStyle name="Normal 4 3 9 2" xfId="4854"/>
    <cellStyle name="Normal 4 3 9 2 2" xfId="43721"/>
    <cellStyle name="Normal 4 3 9 2 2 2" xfId="58847"/>
    <cellStyle name="Normal 4 3 9 2 3" xfId="49539"/>
    <cellStyle name="Normal 4 3 9 3" xfId="11315"/>
    <cellStyle name="Normal 4 3 9 3 2" xfId="41485"/>
    <cellStyle name="Normal 4 3 9 3 2 2" xfId="56612"/>
    <cellStyle name="Normal 4 3 9 3 3" xfId="51569"/>
    <cellStyle name="Normal 4 3 9 4" xfId="3748"/>
    <cellStyle name="Normal 4 3 9 4 2" xfId="48441"/>
    <cellStyle name="Normal 4 3 9 5" xfId="39205"/>
    <cellStyle name="Normal 4 3 9 5 2" xfId="54333"/>
    <cellStyle name="Normal 4 3 9 6" xfId="45735"/>
    <cellStyle name="Normal 4 4" xfId="123"/>
    <cellStyle name="Normal 4 4 10" xfId="10947"/>
    <cellStyle name="Normal 4 4 10 2" xfId="51201"/>
    <cellStyle name="Normal 4 4 11" xfId="2784"/>
    <cellStyle name="Normal 4 4 11 2" xfId="47484"/>
    <cellStyle name="Normal 4 4 12" xfId="38036"/>
    <cellStyle name="Normal 4 4 12 2" xfId="53236"/>
    <cellStyle name="Normal 4 4 13" xfId="45367"/>
    <cellStyle name="Normal 4 4 2" xfId="223"/>
    <cellStyle name="Normal 4 4 2 10" xfId="38112"/>
    <cellStyle name="Normal 4 4 2 10 2" xfId="53312"/>
    <cellStyle name="Normal 4 4 2 11" xfId="45455"/>
    <cellStyle name="Normal 4 4 2 2" xfId="977"/>
    <cellStyle name="Normal 4 4 2 2 2" xfId="5326"/>
    <cellStyle name="Normal 4 4 2 2 2 2" xfId="44628"/>
    <cellStyle name="Normal 4 4 2 2 2 2 2" xfId="59754"/>
    <cellStyle name="Normal 4 4 2 2 2 3" xfId="42392"/>
    <cellStyle name="Normal 4 4 2 2 2 3 2" xfId="57519"/>
    <cellStyle name="Normal 4 4 2 2 2 4" xfId="40112"/>
    <cellStyle name="Normal 4 4 2 2 2 4 2" xfId="55240"/>
    <cellStyle name="Normal 4 4 2 2 2 5" xfId="50011"/>
    <cellStyle name="Normal 4 4 2 2 3" xfId="11787"/>
    <cellStyle name="Normal 4 4 2 2 3 2" xfId="43062"/>
    <cellStyle name="Normal 4 4 2 2 3 2 2" xfId="58188"/>
    <cellStyle name="Normal 4 4 2 2 3 3" xfId="52041"/>
    <cellStyle name="Normal 4 4 2 2 4" xfId="3212"/>
    <cellStyle name="Normal 4 4 2 2 4 2" xfId="40826"/>
    <cellStyle name="Normal 4 4 2 2 4 2 2" xfId="55953"/>
    <cellStyle name="Normal 4 4 2 2 4 3" xfId="47906"/>
    <cellStyle name="Normal 4 4 2 2 5" xfId="38970"/>
    <cellStyle name="Normal 4 4 2 2 5 2" xfId="54101"/>
    <cellStyle name="Normal 4 4 2 2 6" xfId="46207"/>
    <cellStyle name="Normal 4 4 2 3" xfId="1279"/>
    <cellStyle name="Normal 4 4 2 3 2" xfId="5628"/>
    <cellStyle name="Normal 4 4 2 3 2 2" xfId="44277"/>
    <cellStyle name="Normal 4 4 2 3 2 2 2" xfId="59403"/>
    <cellStyle name="Normal 4 4 2 3 2 3" xfId="42041"/>
    <cellStyle name="Normal 4 4 2 3 2 3 2" xfId="57168"/>
    <cellStyle name="Normal 4 4 2 3 2 4" xfId="39761"/>
    <cellStyle name="Normal 4 4 2 3 2 4 2" xfId="54889"/>
    <cellStyle name="Normal 4 4 2 3 2 5" xfId="50313"/>
    <cellStyle name="Normal 4 4 2 3 3" xfId="12089"/>
    <cellStyle name="Normal 4 4 2 3 3 2" xfId="43413"/>
    <cellStyle name="Normal 4 4 2 3 3 2 2" xfId="58539"/>
    <cellStyle name="Normal 4 4 2 3 3 3" xfId="52343"/>
    <cellStyle name="Normal 4 4 2 3 4" xfId="3562"/>
    <cellStyle name="Normal 4 4 2 3 4 2" xfId="41177"/>
    <cellStyle name="Normal 4 4 2 3 4 2 2" xfId="56304"/>
    <cellStyle name="Normal 4 4 2 3 4 3" xfId="48255"/>
    <cellStyle name="Normal 4 4 2 3 5" xfId="38597"/>
    <cellStyle name="Normal 4 4 2 3 5 2" xfId="53750"/>
    <cellStyle name="Normal 4 4 2 3 6" xfId="46509"/>
    <cellStyle name="Normal 4 4 2 4" xfId="1490"/>
    <cellStyle name="Normal 4 4 2 4 2" xfId="5839"/>
    <cellStyle name="Normal 4 4 2 4 2 2" xfId="43839"/>
    <cellStyle name="Normal 4 4 2 4 2 2 2" xfId="58965"/>
    <cellStyle name="Normal 4 4 2 4 2 3" xfId="50524"/>
    <cellStyle name="Normal 4 4 2 4 3" xfId="12300"/>
    <cellStyle name="Normal 4 4 2 4 3 2" xfId="41603"/>
    <cellStyle name="Normal 4 4 2 4 3 2 2" xfId="56730"/>
    <cellStyle name="Normal 4 4 2 4 3 3" xfId="52554"/>
    <cellStyle name="Normal 4 4 2 4 4" xfId="3789"/>
    <cellStyle name="Normal 4 4 2 4 4 2" xfId="48482"/>
    <cellStyle name="Normal 4 4 2 4 5" xfId="39323"/>
    <cellStyle name="Normal 4 4 2 4 5 2" xfId="54451"/>
    <cellStyle name="Normal 4 4 2 4 6" xfId="46720"/>
    <cellStyle name="Normal 4 4 2 5" xfId="645"/>
    <cellStyle name="Normal 4 4 2 5 2" xfId="4994"/>
    <cellStyle name="Normal 4 4 2 5 2 2" xfId="49679"/>
    <cellStyle name="Normal 4 4 2 5 3" xfId="11455"/>
    <cellStyle name="Normal 4 4 2 5 3 2" xfId="51709"/>
    <cellStyle name="Normal 4 4 2 5 4" xfId="4148"/>
    <cellStyle name="Normal 4 4 2 5 4 2" xfId="48838"/>
    <cellStyle name="Normal 4 4 2 5 5" xfId="42711"/>
    <cellStyle name="Normal 4 4 2 5 5 2" xfId="57838"/>
    <cellStyle name="Normal 4 4 2 5 6" xfId="45875"/>
    <cellStyle name="Normal 4 4 2 6" xfId="1896"/>
    <cellStyle name="Normal 4 4 2 6 2" xfId="12703"/>
    <cellStyle name="Normal 4 4 2 6 2 2" xfId="52956"/>
    <cellStyle name="Normal 4 4 2 6 3" xfId="6243"/>
    <cellStyle name="Normal 4 4 2 6 3 2" xfId="50926"/>
    <cellStyle name="Normal 4 4 2 6 4" xfId="40476"/>
    <cellStyle name="Normal 4 4 2 6 4 2" xfId="55603"/>
    <cellStyle name="Normal 4 4 2 6 5" xfId="47122"/>
    <cellStyle name="Normal 4 4 2 7" xfId="4572"/>
    <cellStyle name="Normal 4 4 2 7 2" xfId="49259"/>
    <cellStyle name="Normal 4 4 2 8" xfId="11035"/>
    <cellStyle name="Normal 4 4 2 8 2" xfId="51289"/>
    <cellStyle name="Normal 4 4 2 9" xfId="2879"/>
    <cellStyle name="Normal 4 4 2 9 2" xfId="47573"/>
    <cellStyle name="Normal 4 4 3" xfId="314"/>
    <cellStyle name="Normal 4 4 3 10" xfId="45544"/>
    <cellStyle name="Normal 4 4 3 2" xfId="1368"/>
    <cellStyle name="Normal 4 4 3 2 2" xfId="5717"/>
    <cellStyle name="Normal 4 4 3 2 2 2" xfId="44704"/>
    <cellStyle name="Normal 4 4 3 2 2 2 2" xfId="59830"/>
    <cellStyle name="Normal 4 4 3 2 2 3" xfId="42468"/>
    <cellStyle name="Normal 4 4 3 2 2 3 2" xfId="57595"/>
    <cellStyle name="Normal 4 4 3 2 2 4" xfId="40188"/>
    <cellStyle name="Normal 4 4 3 2 2 4 2" xfId="55316"/>
    <cellStyle name="Normal 4 4 3 2 2 5" xfId="50402"/>
    <cellStyle name="Normal 4 4 3 2 3" xfId="12178"/>
    <cellStyle name="Normal 4 4 3 2 3 2" xfId="43138"/>
    <cellStyle name="Normal 4 4 3 2 3 2 2" xfId="58264"/>
    <cellStyle name="Normal 4 4 3 2 3 3" xfId="52432"/>
    <cellStyle name="Normal 4 4 3 2 4" xfId="3651"/>
    <cellStyle name="Normal 4 4 3 2 4 2" xfId="40902"/>
    <cellStyle name="Normal 4 4 3 2 4 2 2" xfId="56029"/>
    <cellStyle name="Normal 4 4 3 2 4 3" xfId="48344"/>
    <cellStyle name="Normal 4 4 3 2 5" xfId="39046"/>
    <cellStyle name="Normal 4 4 3 2 5 2" xfId="54177"/>
    <cellStyle name="Normal 4 4 3 2 6" xfId="46598"/>
    <cellStyle name="Normal 4 4 3 3" xfId="1579"/>
    <cellStyle name="Normal 4 4 3 3 2" xfId="5928"/>
    <cellStyle name="Normal 4 4 3 3 2 2" xfId="44353"/>
    <cellStyle name="Normal 4 4 3 3 2 2 2" xfId="59479"/>
    <cellStyle name="Normal 4 4 3 3 2 3" xfId="42117"/>
    <cellStyle name="Normal 4 4 3 3 2 3 2" xfId="57244"/>
    <cellStyle name="Normal 4 4 3 3 2 4" xfId="39837"/>
    <cellStyle name="Normal 4 4 3 3 2 4 2" xfId="54965"/>
    <cellStyle name="Normal 4 4 3 3 2 5" xfId="50613"/>
    <cellStyle name="Normal 4 4 3 3 3" xfId="12389"/>
    <cellStyle name="Normal 4 4 3 3 3 2" xfId="43489"/>
    <cellStyle name="Normal 4 4 3 3 3 2 2" xfId="58615"/>
    <cellStyle name="Normal 4 4 3 3 3 3" xfId="52643"/>
    <cellStyle name="Normal 4 4 3 3 4" xfId="3878"/>
    <cellStyle name="Normal 4 4 3 3 4 2" xfId="41253"/>
    <cellStyle name="Normal 4 4 3 3 4 2 2" xfId="56380"/>
    <cellStyle name="Normal 4 4 3 3 4 3" xfId="48571"/>
    <cellStyle name="Normal 4 4 3 3 5" xfId="38673"/>
    <cellStyle name="Normal 4 4 3 3 5 2" xfId="53826"/>
    <cellStyle name="Normal 4 4 3 3 6" xfId="46809"/>
    <cellStyle name="Normal 4 4 3 4" xfId="1066"/>
    <cellStyle name="Normal 4 4 3 4 2" xfId="5415"/>
    <cellStyle name="Normal 4 4 3 4 2 2" xfId="43915"/>
    <cellStyle name="Normal 4 4 3 4 2 2 2" xfId="59041"/>
    <cellStyle name="Normal 4 4 3 4 2 3" xfId="50100"/>
    <cellStyle name="Normal 4 4 3 4 3" xfId="11876"/>
    <cellStyle name="Normal 4 4 3 4 3 2" xfId="41679"/>
    <cellStyle name="Normal 4 4 3 4 3 2 2" xfId="56806"/>
    <cellStyle name="Normal 4 4 3 4 3 3" xfId="52130"/>
    <cellStyle name="Normal 4 4 3 4 4" xfId="4237"/>
    <cellStyle name="Normal 4 4 3 4 4 2" xfId="48927"/>
    <cellStyle name="Normal 4 4 3 4 5" xfId="39399"/>
    <cellStyle name="Normal 4 4 3 4 5 2" xfId="54527"/>
    <cellStyle name="Normal 4 4 3 4 6" xfId="46296"/>
    <cellStyle name="Normal 4 4 3 5" xfId="1972"/>
    <cellStyle name="Normal 4 4 3 5 2" xfId="12779"/>
    <cellStyle name="Normal 4 4 3 5 2 2" xfId="53032"/>
    <cellStyle name="Normal 4 4 3 5 3" xfId="6319"/>
    <cellStyle name="Normal 4 4 3 5 3 2" xfId="51002"/>
    <cellStyle name="Normal 4 4 3 5 4" xfId="42787"/>
    <cellStyle name="Normal 4 4 3 5 4 2" xfId="57914"/>
    <cellStyle name="Normal 4 4 3 5 5" xfId="47198"/>
    <cellStyle name="Normal 4 4 3 6" xfId="4663"/>
    <cellStyle name="Normal 4 4 3 6 2" xfId="40552"/>
    <cellStyle name="Normal 4 4 3 6 2 2" xfId="55679"/>
    <cellStyle name="Normal 4 4 3 6 3" xfId="49348"/>
    <cellStyle name="Normal 4 4 3 7" xfId="11124"/>
    <cellStyle name="Normal 4 4 3 7 2" xfId="51378"/>
    <cellStyle name="Normal 4 4 3 8" xfId="3301"/>
    <cellStyle name="Normal 4 4 3 8 2" xfId="47995"/>
    <cellStyle name="Normal 4 4 3 9" xfId="38188"/>
    <cellStyle name="Normal 4 4 3 9 2" xfId="53388"/>
    <cellStyle name="Normal 4 4 4" xfId="435"/>
    <cellStyle name="Normal 4 4 4 2" xfId="1700"/>
    <cellStyle name="Normal 4 4 4 2 2" xfId="6049"/>
    <cellStyle name="Normal 4 4 4 2 2 2" xfId="44780"/>
    <cellStyle name="Normal 4 4 4 2 2 2 2" xfId="59906"/>
    <cellStyle name="Normal 4 4 4 2 2 3" xfId="42544"/>
    <cellStyle name="Normal 4 4 4 2 2 3 2" xfId="57671"/>
    <cellStyle name="Normal 4 4 4 2 2 4" xfId="40264"/>
    <cellStyle name="Normal 4 4 4 2 2 4 2" xfId="55392"/>
    <cellStyle name="Normal 4 4 4 2 2 5" xfId="50734"/>
    <cellStyle name="Normal 4 4 4 2 3" xfId="12510"/>
    <cellStyle name="Normal 4 4 4 2 3 2" xfId="43214"/>
    <cellStyle name="Normal 4 4 4 2 3 2 2" xfId="58340"/>
    <cellStyle name="Normal 4 4 4 2 3 3" xfId="52764"/>
    <cellStyle name="Normal 4 4 4 2 4" xfId="3999"/>
    <cellStyle name="Normal 4 4 4 2 4 2" xfId="40978"/>
    <cellStyle name="Normal 4 4 4 2 4 2 2" xfId="56105"/>
    <cellStyle name="Normal 4 4 4 2 4 3" xfId="48692"/>
    <cellStyle name="Normal 4 4 4 2 5" xfId="39122"/>
    <cellStyle name="Normal 4 4 4 2 5 2" xfId="54253"/>
    <cellStyle name="Normal 4 4 4 2 6" xfId="46930"/>
    <cellStyle name="Normal 4 4 4 3" xfId="1187"/>
    <cellStyle name="Normal 4 4 4 3 2" xfId="5536"/>
    <cellStyle name="Normal 4 4 4 3 2 2" xfId="44429"/>
    <cellStyle name="Normal 4 4 4 3 2 2 2" xfId="59555"/>
    <cellStyle name="Normal 4 4 4 3 2 3" xfId="42193"/>
    <cellStyle name="Normal 4 4 4 3 2 3 2" xfId="57320"/>
    <cellStyle name="Normal 4 4 4 3 2 4" xfId="39913"/>
    <cellStyle name="Normal 4 4 4 3 2 4 2" xfId="55041"/>
    <cellStyle name="Normal 4 4 4 3 2 5" xfId="50221"/>
    <cellStyle name="Normal 4 4 4 3 3" xfId="11997"/>
    <cellStyle name="Normal 4 4 4 3 3 2" xfId="43565"/>
    <cellStyle name="Normal 4 4 4 3 3 2 2" xfId="58691"/>
    <cellStyle name="Normal 4 4 4 3 3 3" xfId="52251"/>
    <cellStyle name="Normal 4 4 4 3 4" xfId="4358"/>
    <cellStyle name="Normal 4 4 4 3 4 2" xfId="41329"/>
    <cellStyle name="Normal 4 4 4 3 4 2 2" xfId="56456"/>
    <cellStyle name="Normal 4 4 4 3 4 3" xfId="49048"/>
    <cellStyle name="Normal 4 4 4 3 5" xfId="38749"/>
    <cellStyle name="Normal 4 4 4 3 5 2" xfId="53902"/>
    <cellStyle name="Normal 4 4 4 3 6" xfId="46417"/>
    <cellStyle name="Normal 4 4 4 4" xfId="2049"/>
    <cellStyle name="Normal 4 4 4 4 2" xfId="12855"/>
    <cellStyle name="Normal 4 4 4 4 2 2" xfId="43991"/>
    <cellStyle name="Normal 4 4 4 4 2 2 2" xfId="59117"/>
    <cellStyle name="Normal 4 4 4 4 2 3" xfId="53108"/>
    <cellStyle name="Normal 4 4 4 4 3" xfId="6395"/>
    <cellStyle name="Normal 4 4 4 4 3 2" xfId="41755"/>
    <cellStyle name="Normal 4 4 4 4 3 2 2" xfId="56882"/>
    <cellStyle name="Normal 4 4 4 4 3 3" xfId="51078"/>
    <cellStyle name="Normal 4 4 4 4 4" xfId="39475"/>
    <cellStyle name="Normal 4 4 4 4 4 2" xfId="54603"/>
    <cellStyle name="Normal 4 4 4 4 5" xfId="47274"/>
    <cellStyle name="Normal 4 4 4 5" xfId="4784"/>
    <cellStyle name="Normal 4 4 4 5 2" xfId="42863"/>
    <cellStyle name="Normal 4 4 4 5 2 2" xfId="57990"/>
    <cellStyle name="Normal 4 4 4 5 3" xfId="49469"/>
    <cellStyle name="Normal 4 4 4 6" xfId="11245"/>
    <cellStyle name="Normal 4 4 4 6 2" xfId="40628"/>
    <cellStyle name="Normal 4 4 4 6 2 2" xfId="55755"/>
    <cellStyle name="Normal 4 4 4 6 3" xfId="51499"/>
    <cellStyle name="Normal 4 4 4 7" xfId="3422"/>
    <cellStyle name="Normal 4 4 4 7 2" xfId="48116"/>
    <cellStyle name="Normal 4 4 4 8" xfId="38264"/>
    <cellStyle name="Normal 4 4 4 8 2" xfId="53464"/>
    <cellStyle name="Normal 4 4 4 9" xfId="45665"/>
    <cellStyle name="Normal 4 4 5" xfId="889"/>
    <cellStyle name="Normal 4 4 5 2" xfId="5238"/>
    <cellStyle name="Normal 4 4 5 2 2" xfId="40036"/>
    <cellStyle name="Normal 4 4 5 2 2 2" xfId="44552"/>
    <cellStyle name="Normal 4 4 5 2 2 2 2" xfId="59678"/>
    <cellStyle name="Normal 4 4 5 2 2 3" xfId="42316"/>
    <cellStyle name="Normal 4 4 5 2 2 3 2" xfId="57443"/>
    <cellStyle name="Normal 4 4 5 2 2 4" xfId="55164"/>
    <cellStyle name="Normal 4 4 5 2 3" xfId="43675"/>
    <cellStyle name="Normal 4 4 5 2 3 2" xfId="58801"/>
    <cellStyle name="Normal 4 4 5 2 4" xfId="41439"/>
    <cellStyle name="Normal 4 4 5 2 4 2" xfId="56566"/>
    <cellStyle name="Normal 4 4 5 2 5" xfId="38893"/>
    <cellStyle name="Normal 4 4 5 2 5 2" xfId="54025"/>
    <cellStyle name="Normal 4 4 5 2 6" xfId="49923"/>
    <cellStyle name="Normal 4 4 5 3" xfId="11699"/>
    <cellStyle name="Normal 4 4 5 3 2" xfId="44075"/>
    <cellStyle name="Normal 4 4 5 3 2 2" xfId="59201"/>
    <cellStyle name="Normal 4 4 5 3 3" xfId="41839"/>
    <cellStyle name="Normal 4 4 5 3 3 2" xfId="56966"/>
    <cellStyle name="Normal 4 4 5 3 4" xfId="39559"/>
    <cellStyle name="Normal 4 4 5 3 4 2" xfId="54687"/>
    <cellStyle name="Normal 4 4 5 3 5" xfId="51953"/>
    <cellStyle name="Normal 4 4 5 4" xfId="3124"/>
    <cellStyle name="Normal 4 4 5 4 2" xfId="42986"/>
    <cellStyle name="Normal 4 4 5 4 2 2" xfId="58112"/>
    <cellStyle name="Normal 4 4 5 4 3" xfId="47818"/>
    <cellStyle name="Normal 4 4 5 5" xfId="40750"/>
    <cellStyle name="Normal 4 4 5 5 2" xfId="55877"/>
    <cellStyle name="Normal 4 4 5 6" xfId="38389"/>
    <cellStyle name="Normal 4 4 5 6 2" xfId="53548"/>
    <cellStyle name="Normal 4 4 5 7" xfId="46119"/>
    <cellStyle name="Normal 4 4 6" xfId="766"/>
    <cellStyle name="Normal 4 4 6 2" xfId="5115"/>
    <cellStyle name="Normal 4 4 6 2 2" xfId="44201"/>
    <cellStyle name="Normal 4 4 6 2 2 2" xfId="59327"/>
    <cellStyle name="Normal 4 4 6 2 3" xfId="41965"/>
    <cellStyle name="Normal 4 4 6 2 3 2" xfId="57092"/>
    <cellStyle name="Normal 4 4 6 2 4" xfId="39685"/>
    <cellStyle name="Normal 4 4 6 2 4 2" xfId="54813"/>
    <cellStyle name="Normal 4 4 6 2 5" xfId="49800"/>
    <cellStyle name="Normal 4 4 6 3" xfId="11576"/>
    <cellStyle name="Normal 4 4 6 3 2" xfId="43337"/>
    <cellStyle name="Normal 4 4 6 3 2 2" xfId="58463"/>
    <cellStyle name="Normal 4 4 6 3 3" xfId="51830"/>
    <cellStyle name="Normal 4 4 6 4" xfId="3001"/>
    <cellStyle name="Normal 4 4 6 4 2" xfId="41101"/>
    <cellStyle name="Normal 4 4 6 4 2 2" xfId="56228"/>
    <cellStyle name="Normal 4 4 6 4 3" xfId="47695"/>
    <cellStyle name="Normal 4 4 6 5" xfId="38519"/>
    <cellStyle name="Normal 4 4 6 5 2" xfId="53674"/>
    <cellStyle name="Normal 4 4 6 6" xfId="45996"/>
    <cellStyle name="Normal 4 4 7" xfId="556"/>
    <cellStyle name="Normal 4 4 7 2" xfId="4905"/>
    <cellStyle name="Normal 4 4 7 2 2" xfId="43763"/>
    <cellStyle name="Normal 4 4 7 2 2 2" xfId="58889"/>
    <cellStyle name="Normal 4 4 7 2 3" xfId="49590"/>
    <cellStyle name="Normal 4 4 7 3" xfId="11366"/>
    <cellStyle name="Normal 4 4 7 3 2" xfId="41527"/>
    <cellStyle name="Normal 4 4 7 3 2 2" xfId="56654"/>
    <cellStyle name="Normal 4 4 7 3 3" xfId="51620"/>
    <cellStyle name="Normal 4 4 7 4" xfId="3741"/>
    <cellStyle name="Normal 4 4 7 4 2" xfId="48434"/>
    <cellStyle name="Normal 4 4 7 5" xfId="39247"/>
    <cellStyle name="Normal 4 4 7 5 2" xfId="54375"/>
    <cellStyle name="Normal 4 4 7 6" xfId="45786"/>
    <cellStyle name="Normal 4 4 8" xfId="1817"/>
    <cellStyle name="Normal 4 4 8 2" xfId="12626"/>
    <cellStyle name="Normal 4 4 8 2 2" xfId="52880"/>
    <cellStyle name="Normal 4 4 8 3" xfId="6165"/>
    <cellStyle name="Normal 4 4 8 3 2" xfId="50850"/>
    <cellStyle name="Normal 4 4 8 4" xfId="42635"/>
    <cellStyle name="Normal 4 4 8 4 2" xfId="57762"/>
    <cellStyle name="Normal 4 4 8 5" xfId="47046"/>
    <cellStyle name="Normal 4 4 9" xfId="2631"/>
    <cellStyle name="Normal 4 4 9 2" xfId="4481"/>
    <cellStyle name="Normal 4 4 9 2 2" xfId="49171"/>
    <cellStyle name="Normal 4 4 9 3" xfId="40400"/>
    <cellStyle name="Normal 4 4 9 3 2" xfId="55527"/>
    <cellStyle name="Normal 4 4 9 4" xfId="47363"/>
    <cellStyle name="Normal 4 5" xfId="116"/>
    <cellStyle name="Normal 4 5 10" xfId="38029"/>
    <cellStyle name="Normal 4 5 10 2" xfId="53229"/>
    <cellStyle name="Normal 4 5 11" xfId="45360"/>
    <cellStyle name="Normal 4 5 2" xfId="428"/>
    <cellStyle name="Normal 4 5 2 2" xfId="1428"/>
    <cellStyle name="Normal 4 5 2 2 2" xfId="5777"/>
    <cellStyle name="Normal 4 5 2 2 2 2" xfId="44545"/>
    <cellStyle name="Normal 4 5 2 2 2 2 2" xfId="59671"/>
    <cellStyle name="Normal 4 5 2 2 2 3" xfId="50462"/>
    <cellStyle name="Normal 4 5 2 2 3" xfId="12238"/>
    <cellStyle name="Normal 4 5 2 2 3 2" xfId="42309"/>
    <cellStyle name="Normal 4 5 2 2 3 2 2" xfId="57436"/>
    <cellStyle name="Normal 4 5 2 2 3 3" xfId="52492"/>
    <cellStyle name="Normal 4 5 2 2 4" xfId="3711"/>
    <cellStyle name="Normal 4 5 2 2 4 2" xfId="48404"/>
    <cellStyle name="Normal 4 5 2 2 5" xfId="40029"/>
    <cellStyle name="Normal 4 5 2 2 5 2" xfId="55157"/>
    <cellStyle name="Normal 4 5 2 2 6" xfId="46658"/>
    <cellStyle name="Normal 4 5 2 3" xfId="1693"/>
    <cellStyle name="Normal 4 5 2 3 2" xfId="6042"/>
    <cellStyle name="Normal 4 5 2 3 2 2" xfId="50727"/>
    <cellStyle name="Normal 4 5 2 3 3" xfId="12503"/>
    <cellStyle name="Normal 4 5 2 3 3 2" xfId="52757"/>
    <cellStyle name="Normal 4 5 2 3 4" xfId="3992"/>
    <cellStyle name="Normal 4 5 2 3 4 2" xfId="48685"/>
    <cellStyle name="Normal 4 5 2 3 5" xfId="42979"/>
    <cellStyle name="Normal 4 5 2 3 5 2" xfId="58105"/>
    <cellStyle name="Normal 4 5 2 3 6" xfId="46923"/>
    <cellStyle name="Normal 4 5 2 4" xfId="1180"/>
    <cellStyle name="Normal 4 5 2 4 2" xfId="5529"/>
    <cellStyle name="Normal 4 5 2 4 2 2" xfId="50214"/>
    <cellStyle name="Normal 4 5 2 4 3" xfId="11990"/>
    <cellStyle name="Normal 4 5 2 4 3 2" xfId="52244"/>
    <cellStyle name="Normal 4 5 2 4 4" xfId="4351"/>
    <cellStyle name="Normal 4 5 2 4 4 2" xfId="49041"/>
    <cellStyle name="Normal 4 5 2 4 5" xfId="40743"/>
    <cellStyle name="Normal 4 5 2 4 5 2" xfId="55870"/>
    <cellStyle name="Normal 4 5 2 4 6" xfId="46410"/>
    <cellStyle name="Normal 4 5 2 5" xfId="4777"/>
    <cellStyle name="Normal 4 5 2 5 2" xfId="49462"/>
    <cellStyle name="Normal 4 5 2 6" xfId="11238"/>
    <cellStyle name="Normal 4 5 2 6 2" xfId="51492"/>
    <cellStyle name="Normal 4 5 2 7" xfId="3415"/>
    <cellStyle name="Normal 4 5 2 7 2" xfId="48109"/>
    <cellStyle name="Normal 4 5 2 8" xfId="38886"/>
    <cellStyle name="Normal 4 5 2 8 2" xfId="54018"/>
    <cellStyle name="Normal 4 5 2 9" xfId="45658"/>
    <cellStyle name="Normal 4 5 3" xfId="882"/>
    <cellStyle name="Normal 4 5 3 2" xfId="5231"/>
    <cellStyle name="Normal 4 5 3 2 2" xfId="44194"/>
    <cellStyle name="Normal 4 5 3 2 2 2" xfId="59320"/>
    <cellStyle name="Normal 4 5 3 2 3" xfId="41958"/>
    <cellStyle name="Normal 4 5 3 2 3 2" xfId="57085"/>
    <cellStyle name="Normal 4 5 3 2 4" xfId="39678"/>
    <cellStyle name="Normal 4 5 3 2 4 2" xfId="54806"/>
    <cellStyle name="Normal 4 5 3 2 5" xfId="49916"/>
    <cellStyle name="Normal 4 5 3 3" xfId="11692"/>
    <cellStyle name="Normal 4 5 3 3 2" xfId="43330"/>
    <cellStyle name="Normal 4 5 3 3 2 2" xfId="58456"/>
    <cellStyle name="Normal 4 5 3 3 3" xfId="51946"/>
    <cellStyle name="Normal 4 5 3 4" xfId="3117"/>
    <cellStyle name="Normal 4 5 3 4 2" xfId="41094"/>
    <cellStyle name="Normal 4 5 3 4 2 2" xfId="56221"/>
    <cellStyle name="Normal 4 5 3 4 3" xfId="47811"/>
    <cellStyle name="Normal 4 5 3 5" xfId="38512"/>
    <cellStyle name="Normal 4 5 3 5 2" xfId="53667"/>
    <cellStyle name="Normal 4 5 3 6" xfId="46112"/>
    <cellStyle name="Normal 4 5 4" xfId="759"/>
    <cellStyle name="Normal 4 5 4 2" xfId="5108"/>
    <cellStyle name="Normal 4 5 4 2 2" xfId="43756"/>
    <cellStyle name="Normal 4 5 4 2 2 2" xfId="58882"/>
    <cellStyle name="Normal 4 5 4 2 3" xfId="49793"/>
    <cellStyle name="Normal 4 5 4 3" xfId="11569"/>
    <cellStyle name="Normal 4 5 4 3 2" xfId="41520"/>
    <cellStyle name="Normal 4 5 4 3 2 2" xfId="56647"/>
    <cellStyle name="Normal 4 5 4 3 3" xfId="51823"/>
    <cellStyle name="Normal 4 5 4 4" xfId="2994"/>
    <cellStyle name="Normal 4 5 4 4 2" xfId="47688"/>
    <cellStyle name="Normal 4 5 4 5" xfId="39240"/>
    <cellStyle name="Normal 4 5 4 5 2" xfId="54368"/>
    <cellStyle name="Normal 4 5 4 6" xfId="45989"/>
    <cellStyle name="Normal 4 5 5" xfId="549"/>
    <cellStyle name="Normal 4 5 5 2" xfId="4898"/>
    <cellStyle name="Normal 4 5 5 2 2" xfId="49583"/>
    <cellStyle name="Normal 4 5 5 3" xfId="11359"/>
    <cellStyle name="Normal 4 5 5 3 2" xfId="51613"/>
    <cellStyle name="Normal 4 5 5 4" xfId="4064"/>
    <cellStyle name="Normal 4 5 5 4 2" xfId="48756"/>
    <cellStyle name="Normal 4 5 5 5" xfId="42628"/>
    <cellStyle name="Normal 4 5 5 5 2" xfId="57755"/>
    <cellStyle name="Normal 4 5 5 6" xfId="45779"/>
    <cellStyle name="Normal 4 5 6" xfId="1810"/>
    <cellStyle name="Normal 4 5 6 2" xfId="12619"/>
    <cellStyle name="Normal 4 5 6 2 2" xfId="52873"/>
    <cellStyle name="Normal 4 5 6 3" xfId="6158"/>
    <cellStyle name="Normal 4 5 6 3 2" xfId="50843"/>
    <cellStyle name="Normal 4 5 6 4" xfId="40393"/>
    <cellStyle name="Normal 4 5 6 4 2" xfId="55520"/>
    <cellStyle name="Normal 4 5 6 5" xfId="47039"/>
    <cellStyle name="Normal 4 5 7" xfId="4474"/>
    <cellStyle name="Normal 4 5 7 2" xfId="49164"/>
    <cellStyle name="Normal 4 5 8" xfId="10940"/>
    <cellStyle name="Normal 4 5 8 2" xfId="51194"/>
    <cellStyle name="Normal 4 5 9" xfId="2777"/>
    <cellStyle name="Normal 4 5 9 2" xfId="47477"/>
    <cellStyle name="Normal 4 6" xfId="216"/>
    <cellStyle name="Normal 4 6 10" xfId="38105"/>
    <cellStyle name="Normal 4 6 10 2" xfId="53305"/>
    <cellStyle name="Normal 4 6 11" xfId="45448"/>
    <cellStyle name="Normal 4 6 2" xfId="970"/>
    <cellStyle name="Normal 4 6 2 2" xfId="5319"/>
    <cellStyle name="Normal 4 6 2 2 2" xfId="44621"/>
    <cellStyle name="Normal 4 6 2 2 2 2" xfId="59747"/>
    <cellStyle name="Normal 4 6 2 2 3" xfId="42385"/>
    <cellStyle name="Normal 4 6 2 2 3 2" xfId="57512"/>
    <cellStyle name="Normal 4 6 2 2 4" xfId="40105"/>
    <cellStyle name="Normal 4 6 2 2 4 2" xfId="55233"/>
    <cellStyle name="Normal 4 6 2 2 5" xfId="50004"/>
    <cellStyle name="Normal 4 6 2 3" xfId="11780"/>
    <cellStyle name="Normal 4 6 2 3 2" xfId="43055"/>
    <cellStyle name="Normal 4 6 2 3 2 2" xfId="58181"/>
    <cellStyle name="Normal 4 6 2 3 3" xfId="52034"/>
    <cellStyle name="Normal 4 6 2 4" xfId="3205"/>
    <cellStyle name="Normal 4 6 2 4 2" xfId="40819"/>
    <cellStyle name="Normal 4 6 2 4 2 2" xfId="55946"/>
    <cellStyle name="Normal 4 6 2 4 3" xfId="47899"/>
    <cellStyle name="Normal 4 6 2 5" xfId="38963"/>
    <cellStyle name="Normal 4 6 2 5 2" xfId="54094"/>
    <cellStyle name="Normal 4 6 2 6" xfId="46200"/>
    <cellStyle name="Normal 4 6 3" xfId="1272"/>
    <cellStyle name="Normal 4 6 3 2" xfId="5621"/>
    <cellStyle name="Normal 4 6 3 2 2" xfId="44270"/>
    <cellStyle name="Normal 4 6 3 2 2 2" xfId="59396"/>
    <cellStyle name="Normal 4 6 3 2 3" xfId="42034"/>
    <cellStyle name="Normal 4 6 3 2 3 2" xfId="57161"/>
    <cellStyle name="Normal 4 6 3 2 4" xfId="39754"/>
    <cellStyle name="Normal 4 6 3 2 4 2" xfId="54882"/>
    <cellStyle name="Normal 4 6 3 2 5" xfId="50306"/>
    <cellStyle name="Normal 4 6 3 3" xfId="12082"/>
    <cellStyle name="Normal 4 6 3 3 2" xfId="43406"/>
    <cellStyle name="Normal 4 6 3 3 2 2" xfId="58532"/>
    <cellStyle name="Normal 4 6 3 3 3" xfId="52336"/>
    <cellStyle name="Normal 4 6 3 4" xfId="3555"/>
    <cellStyle name="Normal 4 6 3 4 2" xfId="41170"/>
    <cellStyle name="Normal 4 6 3 4 2 2" xfId="56297"/>
    <cellStyle name="Normal 4 6 3 4 3" xfId="48248"/>
    <cellStyle name="Normal 4 6 3 5" xfId="38590"/>
    <cellStyle name="Normal 4 6 3 5 2" xfId="53743"/>
    <cellStyle name="Normal 4 6 3 6" xfId="46502"/>
    <cellStyle name="Normal 4 6 4" xfId="1483"/>
    <cellStyle name="Normal 4 6 4 2" xfId="5832"/>
    <cellStyle name="Normal 4 6 4 2 2" xfId="43832"/>
    <cellStyle name="Normal 4 6 4 2 2 2" xfId="58958"/>
    <cellStyle name="Normal 4 6 4 2 3" xfId="50517"/>
    <cellStyle name="Normal 4 6 4 3" xfId="12293"/>
    <cellStyle name="Normal 4 6 4 3 2" xfId="41596"/>
    <cellStyle name="Normal 4 6 4 3 2 2" xfId="56723"/>
    <cellStyle name="Normal 4 6 4 3 3" xfId="52547"/>
    <cellStyle name="Normal 4 6 4 4" xfId="3782"/>
    <cellStyle name="Normal 4 6 4 4 2" xfId="48475"/>
    <cellStyle name="Normal 4 6 4 5" xfId="39316"/>
    <cellStyle name="Normal 4 6 4 5 2" xfId="54444"/>
    <cellStyle name="Normal 4 6 4 6" xfId="46713"/>
    <cellStyle name="Normal 4 6 5" xfId="638"/>
    <cellStyle name="Normal 4 6 5 2" xfId="4987"/>
    <cellStyle name="Normal 4 6 5 2 2" xfId="49672"/>
    <cellStyle name="Normal 4 6 5 3" xfId="11448"/>
    <cellStyle name="Normal 4 6 5 3 2" xfId="51702"/>
    <cellStyle name="Normal 4 6 5 4" xfId="4141"/>
    <cellStyle name="Normal 4 6 5 4 2" xfId="48831"/>
    <cellStyle name="Normal 4 6 5 5" xfId="42704"/>
    <cellStyle name="Normal 4 6 5 5 2" xfId="57831"/>
    <cellStyle name="Normal 4 6 5 6" xfId="45868"/>
    <cellStyle name="Normal 4 6 6" xfId="1889"/>
    <cellStyle name="Normal 4 6 6 2" xfId="12696"/>
    <cellStyle name="Normal 4 6 6 2 2" xfId="52949"/>
    <cellStyle name="Normal 4 6 6 3" xfId="6236"/>
    <cellStyle name="Normal 4 6 6 3 2" xfId="50919"/>
    <cellStyle name="Normal 4 6 6 4" xfId="40469"/>
    <cellStyle name="Normal 4 6 6 4 2" xfId="55596"/>
    <cellStyle name="Normal 4 6 6 5" xfId="47115"/>
    <cellStyle name="Normal 4 6 7" xfId="4565"/>
    <cellStyle name="Normal 4 6 7 2" xfId="49252"/>
    <cellStyle name="Normal 4 6 8" xfId="11028"/>
    <cellStyle name="Normal 4 6 8 2" xfId="51282"/>
    <cellStyle name="Normal 4 6 9" xfId="2872"/>
    <cellStyle name="Normal 4 6 9 2" xfId="47566"/>
    <cellStyle name="Normal 4 7" xfId="307"/>
    <cellStyle name="Normal 4 7 10" xfId="45537"/>
    <cellStyle name="Normal 4 7 2" xfId="1361"/>
    <cellStyle name="Normal 4 7 2 2" xfId="5710"/>
    <cellStyle name="Normal 4 7 2 2 2" xfId="44697"/>
    <cellStyle name="Normal 4 7 2 2 2 2" xfId="59823"/>
    <cellStyle name="Normal 4 7 2 2 3" xfId="42461"/>
    <cellStyle name="Normal 4 7 2 2 3 2" xfId="57588"/>
    <cellStyle name="Normal 4 7 2 2 4" xfId="40181"/>
    <cellStyle name="Normal 4 7 2 2 4 2" xfId="55309"/>
    <cellStyle name="Normal 4 7 2 2 5" xfId="50395"/>
    <cellStyle name="Normal 4 7 2 3" xfId="12171"/>
    <cellStyle name="Normal 4 7 2 3 2" xfId="43131"/>
    <cellStyle name="Normal 4 7 2 3 2 2" xfId="58257"/>
    <cellStyle name="Normal 4 7 2 3 3" xfId="52425"/>
    <cellStyle name="Normal 4 7 2 4" xfId="3644"/>
    <cellStyle name="Normal 4 7 2 4 2" xfId="40895"/>
    <cellStyle name="Normal 4 7 2 4 2 2" xfId="56022"/>
    <cellStyle name="Normal 4 7 2 4 3" xfId="48337"/>
    <cellStyle name="Normal 4 7 2 5" xfId="39039"/>
    <cellStyle name="Normal 4 7 2 5 2" xfId="54170"/>
    <cellStyle name="Normal 4 7 2 6" xfId="46591"/>
    <cellStyle name="Normal 4 7 3" xfId="1572"/>
    <cellStyle name="Normal 4 7 3 2" xfId="5921"/>
    <cellStyle name="Normal 4 7 3 2 2" xfId="44346"/>
    <cellStyle name="Normal 4 7 3 2 2 2" xfId="59472"/>
    <cellStyle name="Normal 4 7 3 2 3" xfId="42110"/>
    <cellStyle name="Normal 4 7 3 2 3 2" xfId="57237"/>
    <cellStyle name="Normal 4 7 3 2 4" xfId="39830"/>
    <cellStyle name="Normal 4 7 3 2 4 2" xfId="54958"/>
    <cellStyle name="Normal 4 7 3 2 5" xfId="50606"/>
    <cellStyle name="Normal 4 7 3 3" xfId="12382"/>
    <cellStyle name="Normal 4 7 3 3 2" xfId="43482"/>
    <cellStyle name="Normal 4 7 3 3 2 2" xfId="58608"/>
    <cellStyle name="Normal 4 7 3 3 3" xfId="52636"/>
    <cellStyle name="Normal 4 7 3 4" xfId="3871"/>
    <cellStyle name="Normal 4 7 3 4 2" xfId="41246"/>
    <cellStyle name="Normal 4 7 3 4 2 2" xfId="56373"/>
    <cellStyle name="Normal 4 7 3 4 3" xfId="48564"/>
    <cellStyle name="Normal 4 7 3 5" xfId="38666"/>
    <cellStyle name="Normal 4 7 3 5 2" xfId="53819"/>
    <cellStyle name="Normal 4 7 3 6" xfId="46802"/>
    <cellStyle name="Normal 4 7 4" xfId="1059"/>
    <cellStyle name="Normal 4 7 4 2" xfId="5408"/>
    <cellStyle name="Normal 4 7 4 2 2" xfId="43908"/>
    <cellStyle name="Normal 4 7 4 2 2 2" xfId="59034"/>
    <cellStyle name="Normal 4 7 4 2 3" xfId="50093"/>
    <cellStyle name="Normal 4 7 4 3" xfId="11869"/>
    <cellStyle name="Normal 4 7 4 3 2" xfId="41672"/>
    <cellStyle name="Normal 4 7 4 3 2 2" xfId="56799"/>
    <cellStyle name="Normal 4 7 4 3 3" xfId="52123"/>
    <cellStyle name="Normal 4 7 4 4" xfId="4230"/>
    <cellStyle name="Normal 4 7 4 4 2" xfId="48920"/>
    <cellStyle name="Normal 4 7 4 5" xfId="39392"/>
    <cellStyle name="Normal 4 7 4 5 2" xfId="54520"/>
    <cellStyle name="Normal 4 7 4 6" xfId="46289"/>
    <cellStyle name="Normal 4 7 5" xfId="1965"/>
    <cellStyle name="Normal 4 7 5 2" xfId="12772"/>
    <cellStyle name="Normal 4 7 5 2 2" xfId="53025"/>
    <cellStyle name="Normal 4 7 5 3" xfId="6312"/>
    <cellStyle name="Normal 4 7 5 3 2" xfId="50995"/>
    <cellStyle name="Normal 4 7 5 4" xfId="42780"/>
    <cellStyle name="Normal 4 7 5 4 2" xfId="57907"/>
    <cellStyle name="Normal 4 7 5 5" xfId="47191"/>
    <cellStyle name="Normal 4 7 6" xfId="4656"/>
    <cellStyle name="Normal 4 7 6 2" xfId="40545"/>
    <cellStyle name="Normal 4 7 6 2 2" xfId="55672"/>
    <cellStyle name="Normal 4 7 6 3" xfId="49341"/>
    <cellStyle name="Normal 4 7 7" xfId="11117"/>
    <cellStyle name="Normal 4 7 7 2" xfId="51371"/>
    <cellStyle name="Normal 4 7 8" xfId="3294"/>
    <cellStyle name="Normal 4 7 8 2" xfId="47988"/>
    <cellStyle name="Normal 4 7 9" xfId="38181"/>
    <cellStyle name="Normal 4 7 9 2" xfId="53381"/>
    <cellStyle name="Normal 4 8" xfId="368"/>
    <cellStyle name="Normal 4 8 2" xfId="1633"/>
    <cellStyle name="Normal 4 8 2 2" xfId="5982"/>
    <cellStyle name="Normal 4 8 2 2 2" xfId="44773"/>
    <cellStyle name="Normal 4 8 2 2 2 2" xfId="59899"/>
    <cellStyle name="Normal 4 8 2 2 3" xfId="42537"/>
    <cellStyle name="Normal 4 8 2 2 3 2" xfId="57664"/>
    <cellStyle name="Normal 4 8 2 2 4" xfId="40257"/>
    <cellStyle name="Normal 4 8 2 2 4 2" xfId="55385"/>
    <cellStyle name="Normal 4 8 2 2 5" xfId="50667"/>
    <cellStyle name="Normal 4 8 2 3" xfId="12443"/>
    <cellStyle name="Normal 4 8 2 3 2" xfId="43207"/>
    <cellStyle name="Normal 4 8 2 3 2 2" xfId="58333"/>
    <cellStyle name="Normal 4 8 2 3 3" xfId="52697"/>
    <cellStyle name="Normal 4 8 2 4" xfId="3932"/>
    <cellStyle name="Normal 4 8 2 4 2" xfId="40971"/>
    <cellStyle name="Normal 4 8 2 4 2 2" xfId="56098"/>
    <cellStyle name="Normal 4 8 2 4 3" xfId="48625"/>
    <cellStyle name="Normal 4 8 2 5" xfId="39115"/>
    <cellStyle name="Normal 4 8 2 5 2" xfId="54246"/>
    <cellStyle name="Normal 4 8 2 6" xfId="46863"/>
    <cellStyle name="Normal 4 8 3" xfId="1120"/>
    <cellStyle name="Normal 4 8 3 2" xfId="5469"/>
    <cellStyle name="Normal 4 8 3 2 2" xfId="44422"/>
    <cellStyle name="Normal 4 8 3 2 2 2" xfId="59548"/>
    <cellStyle name="Normal 4 8 3 2 3" xfId="42186"/>
    <cellStyle name="Normal 4 8 3 2 3 2" xfId="57313"/>
    <cellStyle name="Normal 4 8 3 2 4" xfId="39906"/>
    <cellStyle name="Normal 4 8 3 2 4 2" xfId="55034"/>
    <cellStyle name="Normal 4 8 3 2 5" xfId="50154"/>
    <cellStyle name="Normal 4 8 3 3" xfId="11930"/>
    <cellStyle name="Normal 4 8 3 3 2" xfId="43558"/>
    <cellStyle name="Normal 4 8 3 3 2 2" xfId="58684"/>
    <cellStyle name="Normal 4 8 3 3 3" xfId="52184"/>
    <cellStyle name="Normal 4 8 3 4" xfId="4291"/>
    <cellStyle name="Normal 4 8 3 4 2" xfId="41322"/>
    <cellStyle name="Normal 4 8 3 4 2 2" xfId="56449"/>
    <cellStyle name="Normal 4 8 3 4 3" xfId="48981"/>
    <cellStyle name="Normal 4 8 3 5" xfId="38742"/>
    <cellStyle name="Normal 4 8 3 5 2" xfId="53895"/>
    <cellStyle name="Normal 4 8 3 6" xfId="46350"/>
    <cellStyle name="Normal 4 8 4" xfId="2042"/>
    <cellStyle name="Normal 4 8 4 2" xfId="12848"/>
    <cellStyle name="Normal 4 8 4 2 2" xfId="43984"/>
    <cellStyle name="Normal 4 8 4 2 2 2" xfId="59110"/>
    <cellStyle name="Normal 4 8 4 2 3" xfId="53101"/>
    <cellStyle name="Normal 4 8 4 3" xfId="6388"/>
    <cellStyle name="Normal 4 8 4 3 2" xfId="41748"/>
    <cellStyle name="Normal 4 8 4 3 2 2" xfId="56875"/>
    <cellStyle name="Normal 4 8 4 3 3" xfId="51071"/>
    <cellStyle name="Normal 4 8 4 4" xfId="39468"/>
    <cellStyle name="Normal 4 8 4 4 2" xfId="54596"/>
    <cellStyle name="Normal 4 8 4 5" xfId="47267"/>
    <cellStyle name="Normal 4 8 5" xfId="4717"/>
    <cellStyle name="Normal 4 8 5 2" xfId="42856"/>
    <cellStyle name="Normal 4 8 5 2 2" xfId="57983"/>
    <cellStyle name="Normal 4 8 5 3" xfId="49402"/>
    <cellStyle name="Normal 4 8 6" xfId="11178"/>
    <cellStyle name="Normal 4 8 6 2" xfId="40621"/>
    <cellStyle name="Normal 4 8 6 2 2" xfId="55748"/>
    <cellStyle name="Normal 4 8 6 3" xfId="51432"/>
    <cellStyle name="Normal 4 8 7" xfId="3355"/>
    <cellStyle name="Normal 4 8 7 2" xfId="48049"/>
    <cellStyle name="Normal 4 8 8" xfId="38257"/>
    <cellStyle name="Normal 4 8 8 2" xfId="53457"/>
    <cellStyle name="Normal 4 8 9" xfId="45598"/>
    <cellStyle name="Normal 4 9" xfId="820"/>
    <cellStyle name="Normal 4 9 2" xfId="5169"/>
    <cellStyle name="Normal 4 9 2 2" xfId="40317"/>
    <cellStyle name="Normal 4 9 2 2 2" xfId="44833"/>
    <cellStyle name="Normal 4 9 2 2 2 2" xfId="59959"/>
    <cellStyle name="Normal 4 9 2 2 3" xfId="42597"/>
    <cellStyle name="Normal 4 9 2 2 3 2" xfId="57724"/>
    <cellStyle name="Normal 4 9 2 2 4" xfId="55445"/>
    <cellStyle name="Normal 4 9 2 3" xfId="43267"/>
    <cellStyle name="Normal 4 9 2 3 2" xfId="58393"/>
    <cellStyle name="Normal 4 9 2 4" xfId="41031"/>
    <cellStyle name="Normal 4 9 2 4 2" xfId="56158"/>
    <cellStyle name="Normal 4 9 2 5" xfId="39176"/>
    <cellStyle name="Normal 4 9 2 5 2" xfId="54306"/>
    <cellStyle name="Normal 4 9 2 6" xfId="49854"/>
    <cellStyle name="Normal 4 9 3" xfId="11630"/>
    <cellStyle name="Normal 4 9 3 2" xfId="39966"/>
    <cellStyle name="Normal 4 9 3 2 2" xfId="44482"/>
    <cellStyle name="Normal 4 9 3 2 2 2" xfId="59608"/>
    <cellStyle name="Normal 4 9 3 2 3" xfId="42246"/>
    <cellStyle name="Normal 4 9 3 2 3 2" xfId="57373"/>
    <cellStyle name="Normal 4 9 3 2 4" xfId="55094"/>
    <cellStyle name="Normal 4 9 3 3" xfId="43618"/>
    <cellStyle name="Normal 4 9 3 3 2" xfId="58744"/>
    <cellStyle name="Normal 4 9 3 4" xfId="41382"/>
    <cellStyle name="Normal 4 9 3 4 2" xfId="56509"/>
    <cellStyle name="Normal 4 9 3 5" xfId="38802"/>
    <cellStyle name="Normal 4 9 3 5 2" xfId="53955"/>
    <cellStyle name="Normal 4 9 3 6" xfId="51884"/>
    <cellStyle name="Normal 4 9 4" xfId="3055"/>
    <cellStyle name="Normal 4 9 4 2" xfId="44044"/>
    <cellStyle name="Normal 4 9 4 2 2" xfId="59170"/>
    <cellStyle name="Normal 4 9 4 3" xfId="41808"/>
    <cellStyle name="Normal 4 9 4 3 2" xfId="56935"/>
    <cellStyle name="Normal 4 9 4 4" xfId="39528"/>
    <cellStyle name="Normal 4 9 4 4 2" xfId="54656"/>
    <cellStyle name="Normal 4 9 4 5" xfId="47749"/>
    <cellStyle name="Normal 4 9 5" xfId="42916"/>
    <cellStyle name="Normal 4 9 5 2" xfId="58043"/>
    <cellStyle name="Normal 4 9 6" xfId="40681"/>
    <cellStyle name="Normal 4 9 6 2" xfId="55808"/>
    <cellStyle name="Normal 4 9 7" xfId="38358"/>
    <cellStyle name="Normal 4 9 7 2" xfId="53517"/>
    <cellStyle name="Normal 4 9 8" xfId="46050"/>
    <cellStyle name="Normal 5" xfId="13"/>
    <cellStyle name="Normal 5 10" xfId="700"/>
    <cellStyle name="Normal 5 10 2" xfId="5049"/>
    <cellStyle name="Normal 5 10 2 2" xfId="39977"/>
    <cellStyle name="Normal 5 10 2 2 2" xfId="44493"/>
    <cellStyle name="Normal 5 10 2 2 2 2" xfId="59619"/>
    <cellStyle name="Normal 5 10 2 2 3" xfId="42257"/>
    <cellStyle name="Normal 5 10 2 2 3 2" xfId="57384"/>
    <cellStyle name="Normal 5 10 2 2 4" xfId="55105"/>
    <cellStyle name="Normal 5 10 2 3" xfId="43628"/>
    <cellStyle name="Normal 5 10 2 3 2" xfId="58754"/>
    <cellStyle name="Normal 5 10 2 4" xfId="41392"/>
    <cellStyle name="Normal 5 10 2 4 2" xfId="56519"/>
    <cellStyle name="Normal 5 10 2 5" xfId="38834"/>
    <cellStyle name="Normal 5 10 2 5 2" xfId="53966"/>
    <cellStyle name="Normal 5 10 2 6" xfId="49734"/>
    <cellStyle name="Normal 5 10 3" xfId="11510"/>
    <cellStyle name="Normal 5 10 3 2" xfId="44076"/>
    <cellStyle name="Normal 5 10 3 2 2" xfId="59202"/>
    <cellStyle name="Normal 5 10 3 3" xfId="41840"/>
    <cellStyle name="Normal 5 10 3 3 2" xfId="56967"/>
    <cellStyle name="Normal 5 10 3 4" xfId="39560"/>
    <cellStyle name="Normal 5 10 3 4 2" xfId="54688"/>
    <cellStyle name="Normal 5 10 3 5" xfId="51764"/>
    <cellStyle name="Normal 5 10 4" xfId="2934"/>
    <cellStyle name="Normal 5 10 4 2" xfId="42927"/>
    <cellStyle name="Normal 5 10 4 2 2" xfId="58053"/>
    <cellStyle name="Normal 5 10 4 3" xfId="47628"/>
    <cellStyle name="Normal 5 10 5" xfId="40691"/>
    <cellStyle name="Normal 5 10 5 2" xfId="55818"/>
    <cellStyle name="Normal 5 10 6" xfId="38390"/>
    <cellStyle name="Normal 5 10 6 2" xfId="53549"/>
    <cellStyle name="Normal 5 10 7" xfId="45930"/>
    <cellStyle name="Normal 5 11" xfId="490"/>
    <cellStyle name="Normal 5 11 2" xfId="4839"/>
    <cellStyle name="Normal 5 11 2 2" xfId="44142"/>
    <cellStyle name="Normal 5 11 2 2 2" xfId="59268"/>
    <cellStyle name="Normal 5 11 2 3" xfId="41906"/>
    <cellStyle name="Normal 5 11 2 3 2" xfId="57033"/>
    <cellStyle name="Normal 5 11 2 4" xfId="39626"/>
    <cellStyle name="Normal 5 11 2 4 2" xfId="54754"/>
    <cellStyle name="Normal 5 11 2 5" xfId="49524"/>
    <cellStyle name="Normal 5 11 3" xfId="11300"/>
    <cellStyle name="Normal 5 11 3 2" xfId="43278"/>
    <cellStyle name="Normal 5 11 3 2 2" xfId="58404"/>
    <cellStyle name="Normal 5 11 3 3" xfId="51554"/>
    <cellStyle name="Normal 5 11 4" xfId="3745"/>
    <cellStyle name="Normal 5 11 4 2" xfId="41042"/>
    <cellStyle name="Normal 5 11 4 2 2" xfId="56169"/>
    <cellStyle name="Normal 5 11 4 3" xfId="48438"/>
    <cellStyle name="Normal 5 11 5" xfId="38459"/>
    <cellStyle name="Normal 5 11 5 2" xfId="53615"/>
    <cellStyle name="Normal 5 11 6" xfId="45720"/>
    <cellStyle name="Normal 5 12" xfId="1757"/>
    <cellStyle name="Normal 5 12 2" xfId="12567"/>
    <cellStyle name="Normal 5 12 2 2" xfId="43704"/>
    <cellStyle name="Normal 5 12 2 2 2" xfId="58830"/>
    <cellStyle name="Normal 5 12 2 3" xfId="52821"/>
    <cellStyle name="Normal 5 12 3" xfId="6106"/>
    <cellStyle name="Normal 5 12 3 2" xfId="41468"/>
    <cellStyle name="Normal 5 12 3 2 2" xfId="56595"/>
    <cellStyle name="Normal 5 12 3 3" xfId="50791"/>
    <cellStyle name="Normal 5 12 4" xfId="39188"/>
    <cellStyle name="Normal 5 12 4 2" xfId="54316"/>
    <cellStyle name="Normal 5 12 5" xfId="46987"/>
    <cellStyle name="Normal 5 13" xfId="2632"/>
    <cellStyle name="Normal 5 13 2" xfId="4413"/>
    <cellStyle name="Normal 5 13 2 2" xfId="49103"/>
    <cellStyle name="Normal 5 13 3" xfId="40329"/>
    <cellStyle name="Normal 5 13 3 2" xfId="55457"/>
    <cellStyle name="Normal 5 13 4" xfId="47364"/>
    <cellStyle name="Normal 5 14" xfId="10878"/>
    <cellStyle name="Normal 5 14 2" xfId="51133"/>
    <cellStyle name="Normal 5 15" xfId="2692"/>
    <cellStyle name="Normal 5 15 2" xfId="47418"/>
    <cellStyle name="Normal 5 16" xfId="37976"/>
    <cellStyle name="Normal 5 16 2" xfId="53177"/>
    <cellStyle name="Normal 5 17" xfId="45310"/>
    <cellStyle name="Normal 5 18" xfId="60004"/>
    <cellStyle name="Normal 5 2" xfId="26"/>
    <cellStyle name="Normal 5 2 10" xfId="498"/>
    <cellStyle name="Normal 5 2 10 2" xfId="4847"/>
    <cellStyle name="Normal 5 2 10 2 2" xfId="43712"/>
    <cellStyle name="Normal 5 2 10 2 2 2" xfId="58838"/>
    <cellStyle name="Normal 5 2 10 2 3" xfId="49532"/>
    <cellStyle name="Normal 5 2 10 3" xfId="11308"/>
    <cellStyle name="Normal 5 2 10 3 2" xfId="41476"/>
    <cellStyle name="Normal 5 2 10 3 2 2" xfId="56603"/>
    <cellStyle name="Normal 5 2 10 3 3" xfId="51562"/>
    <cellStyle name="Normal 5 2 10 4" xfId="3747"/>
    <cellStyle name="Normal 5 2 10 4 2" xfId="48440"/>
    <cellStyle name="Normal 5 2 10 5" xfId="39196"/>
    <cellStyle name="Normal 5 2 10 5 2" xfId="54324"/>
    <cellStyle name="Normal 5 2 10 6" xfId="45728"/>
    <cellStyle name="Normal 5 2 11" xfId="1765"/>
    <cellStyle name="Normal 5 2 11 2" xfId="12575"/>
    <cellStyle name="Normal 5 2 11 2 2" xfId="52829"/>
    <cellStyle name="Normal 5 2 11 3" xfId="6114"/>
    <cellStyle name="Normal 5 2 11 3 2" xfId="50799"/>
    <cellStyle name="Normal 5 2 11 4" xfId="40338"/>
    <cellStyle name="Normal 5 2 11 4 2" xfId="55466"/>
    <cellStyle name="Normal 5 2 11 5" xfId="46995"/>
    <cellStyle name="Normal 5 2 12" xfId="2633"/>
    <cellStyle name="Normal 5 2 12 2" xfId="4421"/>
    <cellStyle name="Normal 5 2 12 2 2" xfId="49111"/>
    <cellStyle name="Normal 5 2 12 3" xfId="47365"/>
    <cellStyle name="Normal 5 2 13" xfId="10886"/>
    <cellStyle name="Normal 5 2 13 2" xfId="51141"/>
    <cellStyle name="Normal 5 2 14" xfId="2702"/>
    <cellStyle name="Normal 5 2 14 2" xfId="47426"/>
    <cellStyle name="Normal 5 2 15" xfId="37984"/>
    <cellStyle name="Normal 5 2 15 2" xfId="53185"/>
    <cellStyle name="Normal 5 2 16" xfId="45319"/>
    <cellStyle name="Normal 5 2 2" xfId="43"/>
    <cellStyle name="Normal 5 2 2 10" xfId="1783"/>
    <cellStyle name="Normal 5 2 2 10 2" xfId="12593"/>
    <cellStyle name="Normal 5 2 2 10 2 2" xfId="52847"/>
    <cellStyle name="Normal 5 2 2 10 3" xfId="6132"/>
    <cellStyle name="Normal 5 2 2 10 3 2" xfId="50817"/>
    <cellStyle name="Normal 5 2 2 10 4" xfId="40354"/>
    <cellStyle name="Normal 5 2 2 10 4 2" xfId="55482"/>
    <cellStyle name="Normal 5 2 2 10 5" xfId="47013"/>
    <cellStyle name="Normal 5 2 2 11" xfId="2634"/>
    <cellStyle name="Normal 5 2 2 11 2" xfId="4437"/>
    <cellStyle name="Normal 5 2 2 11 2 2" xfId="49127"/>
    <cellStyle name="Normal 5 2 2 11 3" xfId="47366"/>
    <cellStyle name="Normal 5 2 2 12" xfId="10902"/>
    <cellStyle name="Normal 5 2 2 12 2" xfId="51157"/>
    <cellStyle name="Normal 5 2 2 13" xfId="2718"/>
    <cellStyle name="Normal 5 2 2 13 2" xfId="47442"/>
    <cellStyle name="Normal 5 2 2 14" xfId="38002"/>
    <cellStyle name="Normal 5 2 2 14 2" xfId="53203"/>
    <cellStyle name="Normal 5 2 2 15" xfId="45335"/>
    <cellStyle name="Normal 5 2 2 2" xfId="127"/>
    <cellStyle name="Normal 5 2 2 2 10" xfId="10951"/>
    <cellStyle name="Normal 5 2 2 2 10 2" xfId="51205"/>
    <cellStyle name="Normal 5 2 2 2 11" xfId="2788"/>
    <cellStyle name="Normal 5 2 2 2 11 2" xfId="47488"/>
    <cellStyle name="Normal 5 2 2 2 12" xfId="38040"/>
    <cellStyle name="Normal 5 2 2 2 12 2" xfId="53240"/>
    <cellStyle name="Normal 5 2 2 2 13" xfId="45371"/>
    <cellStyle name="Normal 5 2 2 2 2" xfId="227"/>
    <cellStyle name="Normal 5 2 2 2 2 10" xfId="38116"/>
    <cellStyle name="Normal 5 2 2 2 2 10 2" xfId="53316"/>
    <cellStyle name="Normal 5 2 2 2 2 11" xfId="45459"/>
    <cellStyle name="Normal 5 2 2 2 2 2" xfId="981"/>
    <cellStyle name="Normal 5 2 2 2 2 2 2" xfId="5330"/>
    <cellStyle name="Normal 5 2 2 2 2 2 2 2" xfId="44632"/>
    <cellStyle name="Normal 5 2 2 2 2 2 2 2 2" xfId="59758"/>
    <cellStyle name="Normal 5 2 2 2 2 2 2 3" xfId="42396"/>
    <cellStyle name="Normal 5 2 2 2 2 2 2 3 2" xfId="57523"/>
    <cellStyle name="Normal 5 2 2 2 2 2 2 4" xfId="40116"/>
    <cellStyle name="Normal 5 2 2 2 2 2 2 4 2" xfId="55244"/>
    <cellStyle name="Normal 5 2 2 2 2 2 2 5" xfId="50015"/>
    <cellStyle name="Normal 5 2 2 2 2 2 3" xfId="11791"/>
    <cellStyle name="Normal 5 2 2 2 2 2 3 2" xfId="43066"/>
    <cellStyle name="Normal 5 2 2 2 2 2 3 2 2" xfId="58192"/>
    <cellStyle name="Normal 5 2 2 2 2 2 3 3" xfId="52045"/>
    <cellStyle name="Normal 5 2 2 2 2 2 4" xfId="3216"/>
    <cellStyle name="Normal 5 2 2 2 2 2 4 2" xfId="40830"/>
    <cellStyle name="Normal 5 2 2 2 2 2 4 2 2" xfId="55957"/>
    <cellStyle name="Normal 5 2 2 2 2 2 4 3" xfId="47910"/>
    <cellStyle name="Normal 5 2 2 2 2 2 5" xfId="38974"/>
    <cellStyle name="Normal 5 2 2 2 2 2 5 2" xfId="54105"/>
    <cellStyle name="Normal 5 2 2 2 2 2 6" xfId="46211"/>
    <cellStyle name="Normal 5 2 2 2 2 3" xfId="1283"/>
    <cellStyle name="Normal 5 2 2 2 2 3 2" xfId="5632"/>
    <cellStyle name="Normal 5 2 2 2 2 3 2 2" xfId="44281"/>
    <cellStyle name="Normal 5 2 2 2 2 3 2 2 2" xfId="59407"/>
    <cellStyle name="Normal 5 2 2 2 2 3 2 3" xfId="42045"/>
    <cellStyle name="Normal 5 2 2 2 2 3 2 3 2" xfId="57172"/>
    <cellStyle name="Normal 5 2 2 2 2 3 2 4" xfId="39765"/>
    <cellStyle name="Normal 5 2 2 2 2 3 2 4 2" xfId="54893"/>
    <cellStyle name="Normal 5 2 2 2 2 3 2 5" xfId="50317"/>
    <cellStyle name="Normal 5 2 2 2 2 3 3" xfId="12093"/>
    <cellStyle name="Normal 5 2 2 2 2 3 3 2" xfId="43417"/>
    <cellStyle name="Normal 5 2 2 2 2 3 3 2 2" xfId="58543"/>
    <cellStyle name="Normal 5 2 2 2 2 3 3 3" xfId="52347"/>
    <cellStyle name="Normal 5 2 2 2 2 3 4" xfId="3566"/>
    <cellStyle name="Normal 5 2 2 2 2 3 4 2" xfId="41181"/>
    <cellStyle name="Normal 5 2 2 2 2 3 4 2 2" xfId="56308"/>
    <cellStyle name="Normal 5 2 2 2 2 3 4 3" xfId="48259"/>
    <cellStyle name="Normal 5 2 2 2 2 3 5" xfId="38601"/>
    <cellStyle name="Normal 5 2 2 2 2 3 5 2" xfId="53754"/>
    <cellStyle name="Normal 5 2 2 2 2 3 6" xfId="46513"/>
    <cellStyle name="Normal 5 2 2 2 2 4" xfId="1494"/>
    <cellStyle name="Normal 5 2 2 2 2 4 2" xfId="5843"/>
    <cellStyle name="Normal 5 2 2 2 2 4 2 2" xfId="43843"/>
    <cellStyle name="Normal 5 2 2 2 2 4 2 2 2" xfId="58969"/>
    <cellStyle name="Normal 5 2 2 2 2 4 2 3" xfId="50528"/>
    <cellStyle name="Normal 5 2 2 2 2 4 3" xfId="12304"/>
    <cellStyle name="Normal 5 2 2 2 2 4 3 2" xfId="41607"/>
    <cellStyle name="Normal 5 2 2 2 2 4 3 2 2" xfId="56734"/>
    <cellStyle name="Normal 5 2 2 2 2 4 3 3" xfId="52558"/>
    <cellStyle name="Normal 5 2 2 2 2 4 4" xfId="3793"/>
    <cellStyle name="Normal 5 2 2 2 2 4 4 2" xfId="48486"/>
    <cellStyle name="Normal 5 2 2 2 2 4 5" xfId="39327"/>
    <cellStyle name="Normal 5 2 2 2 2 4 5 2" xfId="54455"/>
    <cellStyle name="Normal 5 2 2 2 2 4 6" xfId="46724"/>
    <cellStyle name="Normal 5 2 2 2 2 5" xfId="649"/>
    <cellStyle name="Normal 5 2 2 2 2 5 2" xfId="4998"/>
    <cellStyle name="Normal 5 2 2 2 2 5 2 2" xfId="49683"/>
    <cellStyle name="Normal 5 2 2 2 2 5 3" xfId="11459"/>
    <cellStyle name="Normal 5 2 2 2 2 5 3 2" xfId="51713"/>
    <cellStyle name="Normal 5 2 2 2 2 5 4" xfId="4152"/>
    <cellStyle name="Normal 5 2 2 2 2 5 4 2" xfId="48842"/>
    <cellStyle name="Normal 5 2 2 2 2 5 5" xfId="42715"/>
    <cellStyle name="Normal 5 2 2 2 2 5 5 2" xfId="57842"/>
    <cellStyle name="Normal 5 2 2 2 2 5 6" xfId="45879"/>
    <cellStyle name="Normal 5 2 2 2 2 6" xfId="1900"/>
    <cellStyle name="Normal 5 2 2 2 2 6 2" xfId="12707"/>
    <cellStyle name="Normal 5 2 2 2 2 6 2 2" xfId="52960"/>
    <cellStyle name="Normal 5 2 2 2 2 6 3" xfId="6247"/>
    <cellStyle name="Normal 5 2 2 2 2 6 3 2" xfId="50930"/>
    <cellStyle name="Normal 5 2 2 2 2 6 4" xfId="40480"/>
    <cellStyle name="Normal 5 2 2 2 2 6 4 2" xfId="55607"/>
    <cellStyle name="Normal 5 2 2 2 2 6 5" xfId="47126"/>
    <cellStyle name="Normal 5 2 2 2 2 7" xfId="4576"/>
    <cellStyle name="Normal 5 2 2 2 2 7 2" xfId="49263"/>
    <cellStyle name="Normal 5 2 2 2 2 8" xfId="11039"/>
    <cellStyle name="Normal 5 2 2 2 2 8 2" xfId="51293"/>
    <cellStyle name="Normal 5 2 2 2 2 9" xfId="2883"/>
    <cellStyle name="Normal 5 2 2 2 2 9 2" xfId="47577"/>
    <cellStyle name="Normal 5 2 2 2 3" xfId="318"/>
    <cellStyle name="Normal 5 2 2 2 3 10" xfId="45548"/>
    <cellStyle name="Normal 5 2 2 2 3 2" xfId="1372"/>
    <cellStyle name="Normal 5 2 2 2 3 2 2" xfId="5721"/>
    <cellStyle name="Normal 5 2 2 2 3 2 2 2" xfId="44708"/>
    <cellStyle name="Normal 5 2 2 2 3 2 2 2 2" xfId="59834"/>
    <cellStyle name="Normal 5 2 2 2 3 2 2 3" xfId="42472"/>
    <cellStyle name="Normal 5 2 2 2 3 2 2 3 2" xfId="57599"/>
    <cellStyle name="Normal 5 2 2 2 3 2 2 4" xfId="40192"/>
    <cellStyle name="Normal 5 2 2 2 3 2 2 4 2" xfId="55320"/>
    <cellStyle name="Normal 5 2 2 2 3 2 2 5" xfId="50406"/>
    <cellStyle name="Normal 5 2 2 2 3 2 3" xfId="12182"/>
    <cellStyle name="Normal 5 2 2 2 3 2 3 2" xfId="43142"/>
    <cellStyle name="Normal 5 2 2 2 3 2 3 2 2" xfId="58268"/>
    <cellStyle name="Normal 5 2 2 2 3 2 3 3" xfId="52436"/>
    <cellStyle name="Normal 5 2 2 2 3 2 4" xfId="3655"/>
    <cellStyle name="Normal 5 2 2 2 3 2 4 2" xfId="40906"/>
    <cellStyle name="Normal 5 2 2 2 3 2 4 2 2" xfId="56033"/>
    <cellStyle name="Normal 5 2 2 2 3 2 4 3" xfId="48348"/>
    <cellStyle name="Normal 5 2 2 2 3 2 5" xfId="39050"/>
    <cellStyle name="Normal 5 2 2 2 3 2 5 2" xfId="54181"/>
    <cellStyle name="Normal 5 2 2 2 3 2 6" xfId="46602"/>
    <cellStyle name="Normal 5 2 2 2 3 3" xfId="1583"/>
    <cellStyle name="Normal 5 2 2 2 3 3 2" xfId="5932"/>
    <cellStyle name="Normal 5 2 2 2 3 3 2 2" xfId="44357"/>
    <cellStyle name="Normal 5 2 2 2 3 3 2 2 2" xfId="59483"/>
    <cellStyle name="Normal 5 2 2 2 3 3 2 3" xfId="42121"/>
    <cellStyle name="Normal 5 2 2 2 3 3 2 3 2" xfId="57248"/>
    <cellStyle name="Normal 5 2 2 2 3 3 2 4" xfId="39841"/>
    <cellStyle name="Normal 5 2 2 2 3 3 2 4 2" xfId="54969"/>
    <cellStyle name="Normal 5 2 2 2 3 3 2 5" xfId="50617"/>
    <cellStyle name="Normal 5 2 2 2 3 3 3" xfId="12393"/>
    <cellStyle name="Normal 5 2 2 2 3 3 3 2" xfId="43493"/>
    <cellStyle name="Normal 5 2 2 2 3 3 3 2 2" xfId="58619"/>
    <cellStyle name="Normal 5 2 2 2 3 3 3 3" xfId="52647"/>
    <cellStyle name="Normal 5 2 2 2 3 3 4" xfId="3882"/>
    <cellStyle name="Normal 5 2 2 2 3 3 4 2" xfId="41257"/>
    <cellStyle name="Normal 5 2 2 2 3 3 4 2 2" xfId="56384"/>
    <cellStyle name="Normal 5 2 2 2 3 3 4 3" xfId="48575"/>
    <cellStyle name="Normal 5 2 2 2 3 3 5" xfId="38677"/>
    <cellStyle name="Normal 5 2 2 2 3 3 5 2" xfId="53830"/>
    <cellStyle name="Normal 5 2 2 2 3 3 6" xfId="46813"/>
    <cellStyle name="Normal 5 2 2 2 3 4" xfId="1070"/>
    <cellStyle name="Normal 5 2 2 2 3 4 2" xfId="5419"/>
    <cellStyle name="Normal 5 2 2 2 3 4 2 2" xfId="43919"/>
    <cellStyle name="Normal 5 2 2 2 3 4 2 2 2" xfId="59045"/>
    <cellStyle name="Normal 5 2 2 2 3 4 2 3" xfId="50104"/>
    <cellStyle name="Normal 5 2 2 2 3 4 3" xfId="11880"/>
    <cellStyle name="Normal 5 2 2 2 3 4 3 2" xfId="41683"/>
    <cellStyle name="Normal 5 2 2 2 3 4 3 2 2" xfId="56810"/>
    <cellStyle name="Normal 5 2 2 2 3 4 3 3" xfId="52134"/>
    <cellStyle name="Normal 5 2 2 2 3 4 4" xfId="4241"/>
    <cellStyle name="Normal 5 2 2 2 3 4 4 2" xfId="48931"/>
    <cellStyle name="Normal 5 2 2 2 3 4 5" xfId="39403"/>
    <cellStyle name="Normal 5 2 2 2 3 4 5 2" xfId="54531"/>
    <cellStyle name="Normal 5 2 2 2 3 4 6" xfId="46300"/>
    <cellStyle name="Normal 5 2 2 2 3 5" xfId="1976"/>
    <cellStyle name="Normal 5 2 2 2 3 5 2" xfId="12783"/>
    <cellStyle name="Normal 5 2 2 2 3 5 2 2" xfId="53036"/>
    <cellStyle name="Normal 5 2 2 2 3 5 3" xfId="6323"/>
    <cellStyle name="Normal 5 2 2 2 3 5 3 2" xfId="51006"/>
    <cellStyle name="Normal 5 2 2 2 3 5 4" xfId="42791"/>
    <cellStyle name="Normal 5 2 2 2 3 5 4 2" xfId="57918"/>
    <cellStyle name="Normal 5 2 2 2 3 5 5" xfId="47202"/>
    <cellStyle name="Normal 5 2 2 2 3 6" xfId="4667"/>
    <cellStyle name="Normal 5 2 2 2 3 6 2" xfId="40556"/>
    <cellStyle name="Normal 5 2 2 2 3 6 2 2" xfId="55683"/>
    <cellStyle name="Normal 5 2 2 2 3 6 3" xfId="49352"/>
    <cellStyle name="Normal 5 2 2 2 3 7" xfId="11128"/>
    <cellStyle name="Normal 5 2 2 2 3 7 2" xfId="51382"/>
    <cellStyle name="Normal 5 2 2 2 3 8" xfId="3305"/>
    <cellStyle name="Normal 5 2 2 2 3 8 2" xfId="47999"/>
    <cellStyle name="Normal 5 2 2 2 3 9" xfId="38192"/>
    <cellStyle name="Normal 5 2 2 2 3 9 2" xfId="53392"/>
    <cellStyle name="Normal 5 2 2 2 4" xfId="439"/>
    <cellStyle name="Normal 5 2 2 2 4 2" xfId="1704"/>
    <cellStyle name="Normal 5 2 2 2 4 2 2" xfId="6053"/>
    <cellStyle name="Normal 5 2 2 2 4 2 2 2" xfId="44784"/>
    <cellStyle name="Normal 5 2 2 2 4 2 2 2 2" xfId="59910"/>
    <cellStyle name="Normal 5 2 2 2 4 2 2 3" xfId="42548"/>
    <cellStyle name="Normal 5 2 2 2 4 2 2 3 2" xfId="57675"/>
    <cellStyle name="Normal 5 2 2 2 4 2 2 4" xfId="40268"/>
    <cellStyle name="Normal 5 2 2 2 4 2 2 4 2" xfId="55396"/>
    <cellStyle name="Normal 5 2 2 2 4 2 2 5" xfId="50738"/>
    <cellStyle name="Normal 5 2 2 2 4 2 3" xfId="12514"/>
    <cellStyle name="Normal 5 2 2 2 4 2 3 2" xfId="43218"/>
    <cellStyle name="Normal 5 2 2 2 4 2 3 2 2" xfId="58344"/>
    <cellStyle name="Normal 5 2 2 2 4 2 3 3" xfId="52768"/>
    <cellStyle name="Normal 5 2 2 2 4 2 4" xfId="4003"/>
    <cellStyle name="Normal 5 2 2 2 4 2 4 2" xfId="40982"/>
    <cellStyle name="Normal 5 2 2 2 4 2 4 2 2" xfId="56109"/>
    <cellStyle name="Normal 5 2 2 2 4 2 4 3" xfId="48696"/>
    <cellStyle name="Normal 5 2 2 2 4 2 5" xfId="39126"/>
    <cellStyle name="Normal 5 2 2 2 4 2 5 2" xfId="54257"/>
    <cellStyle name="Normal 5 2 2 2 4 2 6" xfId="46934"/>
    <cellStyle name="Normal 5 2 2 2 4 3" xfId="1191"/>
    <cellStyle name="Normal 5 2 2 2 4 3 2" xfId="5540"/>
    <cellStyle name="Normal 5 2 2 2 4 3 2 2" xfId="44433"/>
    <cellStyle name="Normal 5 2 2 2 4 3 2 2 2" xfId="59559"/>
    <cellStyle name="Normal 5 2 2 2 4 3 2 3" xfId="42197"/>
    <cellStyle name="Normal 5 2 2 2 4 3 2 3 2" xfId="57324"/>
    <cellStyle name="Normal 5 2 2 2 4 3 2 4" xfId="39917"/>
    <cellStyle name="Normal 5 2 2 2 4 3 2 4 2" xfId="55045"/>
    <cellStyle name="Normal 5 2 2 2 4 3 2 5" xfId="50225"/>
    <cellStyle name="Normal 5 2 2 2 4 3 3" xfId="12001"/>
    <cellStyle name="Normal 5 2 2 2 4 3 3 2" xfId="43569"/>
    <cellStyle name="Normal 5 2 2 2 4 3 3 2 2" xfId="58695"/>
    <cellStyle name="Normal 5 2 2 2 4 3 3 3" xfId="52255"/>
    <cellStyle name="Normal 5 2 2 2 4 3 4" xfId="4362"/>
    <cellStyle name="Normal 5 2 2 2 4 3 4 2" xfId="41333"/>
    <cellStyle name="Normal 5 2 2 2 4 3 4 2 2" xfId="56460"/>
    <cellStyle name="Normal 5 2 2 2 4 3 4 3" xfId="49052"/>
    <cellStyle name="Normal 5 2 2 2 4 3 5" xfId="38753"/>
    <cellStyle name="Normal 5 2 2 2 4 3 5 2" xfId="53906"/>
    <cellStyle name="Normal 5 2 2 2 4 3 6" xfId="46421"/>
    <cellStyle name="Normal 5 2 2 2 4 4" xfId="2053"/>
    <cellStyle name="Normal 5 2 2 2 4 4 2" xfId="12859"/>
    <cellStyle name="Normal 5 2 2 2 4 4 2 2" xfId="43995"/>
    <cellStyle name="Normal 5 2 2 2 4 4 2 2 2" xfId="59121"/>
    <cellStyle name="Normal 5 2 2 2 4 4 2 3" xfId="53112"/>
    <cellStyle name="Normal 5 2 2 2 4 4 3" xfId="6399"/>
    <cellStyle name="Normal 5 2 2 2 4 4 3 2" xfId="41759"/>
    <cellStyle name="Normal 5 2 2 2 4 4 3 2 2" xfId="56886"/>
    <cellStyle name="Normal 5 2 2 2 4 4 3 3" xfId="51082"/>
    <cellStyle name="Normal 5 2 2 2 4 4 4" xfId="39479"/>
    <cellStyle name="Normal 5 2 2 2 4 4 4 2" xfId="54607"/>
    <cellStyle name="Normal 5 2 2 2 4 4 5" xfId="47278"/>
    <cellStyle name="Normal 5 2 2 2 4 5" xfId="4788"/>
    <cellStyle name="Normal 5 2 2 2 4 5 2" xfId="42867"/>
    <cellStyle name="Normal 5 2 2 2 4 5 2 2" xfId="57994"/>
    <cellStyle name="Normal 5 2 2 2 4 5 3" xfId="49473"/>
    <cellStyle name="Normal 5 2 2 2 4 6" xfId="11249"/>
    <cellStyle name="Normal 5 2 2 2 4 6 2" xfId="40632"/>
    <cellStyle name="Normal 5 2 2 2 4 6 2 2" xfId="55759"/>
    <cellStyle name="Normal 5 2 2 2 4 6 3" xfId="51503"/>
    <cellStyle name="Normal 5 2 2 2 4 7" xfId="3426"/>
    <cellStyle name="Normal 5 2 2 2 4 7 2" xfId="48120"/>
    <cellStyle name="Normal 5 2 2 2 4 8" xfId="38268"/>
    <cellStyle name="Normal 5 2 2 2 4 8 2" xfId="53468"/>
    <cellStyle name="Normal 5 2 2 2 4 9" xfId="45669"/>
    <cellStyle name="Normal 5 2 2 2 5" xfId="893"/>
    <cellStyle name="Normal 5 2 2 2 5 2" xfId="5242"/>
    <cellStyle name="Normal 5 2 2 2 5 2 2" xfId="40040"/>
    <cellStyle name="Normal 5 2 2 2 5 2 2 2" xfId="44556"/>
    <cellStyle name="Normal 5 2 2 2 5 2 2 2 2" xfId="59682"/>
    <cellStyle name="Normal 5 2 2 2 5 2 2 3" xfId="42320"/>
    <cellStyle name="Normal 5 2 2 2 5 2 2 3 2" xfId="57447"/>
    <cellStyle name="Normal 5 2 2 2 5 2 2 4" xfId="55168"/>
    <cellStyle name="Normal 5 2 2 2 5 2 3" xfId="43676"/>
    <cellStyle name="Normal 5 2 2 2 5 2 3 2" xfId="58802"/>
    <cellStyle name="Normal 5 2 2 2 5 2 4" xfId="41440"/>
    <cellStyle name="Normal 5 2 2 2 5 2 4 2" xfId="56567"/>
    <cellStyle name="Normal 5 2 2 2 5 2 5" xfId="38897"/>
    <cellStyle name="Normal 5 2 2 2 5 2 5 2" xfId="54029"/>
    <cellStyle name="Normal 5 2 2 2 5 2 6" xfId="49927"/>
    <cellStyle name="Normal 5 2 2 2 5 3" xfId="11703"/>
    <cellStyle name="Normal 5 2 2 2 5 3 2" xfId="44079"/>
    <cellStyle name="Normal 5 2 2 2 5 3 2 2" xfId="59205"/>
    <cellStyle name="Normal 5 2 2 2 5 3 3" xfId="41843"/>
    <cellStyle name="Normal 5 2 2 2 5 3 3 2" xfId="56970"/>
    <cellStyle name="Normal 5 2 2 2 5 3 4" xfId="39563"/>
    <cellStyle name="Normal 5 2 2 2 5 3 4 2" xfId="54691"/>
    <cellStyle name="Normal 5 2 2 2 5 3 5" xfId="51957"/>
    <cellStyle name="Normal 5 2 2 2 5 4" xfId="3128"/>
    <cellStyle name="Normal 5 2 2 2 5 4 2" xfId="42990"/>
    <cellStyle name="Normal 5 2 2 2 5 4 2 2" xfId="58116"/>
    <cellStyle name="Normal 5 2 2 2 5 4 3" xfId="47822"/>
    <cellStyle name="Normal 5 2 2 2 5 5" xfId="40754"/>
    <cellStyle name="Normal 5 2 2 2 5 5 2" xfId="55881"/>
    <cellStyle name="Normal 5 2 2 2 5 6" xfId="38393"/>
    <cellStyle name="Normal 5 2 2 2 5 6 2" xfId="53552"/>
    <cellStyle name="Normal 5 2 2 2 5 7" xfId="46123"/>
    <cellStyle name="Normal 5 2 2 2 6" xfId="770"/>
    <cellStyle name="Normal 5 2 2 2 6 2" xfId="5119"/>
    <cellStyle name="Normal 5 2 2 2 6 2 2" xfId="44205"/>
    <cellStyle name="Normal 5 2 2 2 6 2 2 2" xfId="59331"/>
    <cellStyle name="Normal 5 2 2 2 6 2 3" xfId="41969"/>
    <cellStyle name="Normal 5 2 2 2 6 2 3 2" xfId="57096"/>
    <cellStyle name="Normal 5 2 2 2 6 2 4" xfId="39689"/>
    <cellStyle name="Normal 5 2 2 2 6 2 4 2" xfId="54817"/>
    <cellStyle name="Normal 5 2 2 2 6 2 5" xfId="49804"/>
    <cellStyle name="Normal 5 2 2 2 6 3" xfId="11580"/>
    <cellStyle name="Normal 5 2 2 2 6 3 2" xfId="43341"/>
    <cellStyle name="Normal 5 2 2 2 6 3 2 2" xfId="58467"/>
    <cellStyle name="Normal 5 2 2 2 6 3 3" xfId="51834"/>
    <cellStyle name="Normal 5 2 2 2 6 4" xfId="3005"/>
    <cellStyle name="Normal 5 2 2 2 6 4 2" xfId="41105"/>
    <cellStyle name="Normal 5 2 2 2 6 4 2 2" xfId="56232"/>
    <cellStyle name="Normal 5 2 2 2 6 4 3" xfId="47699"/>
    <cellStyle name="Normal 5 2 2 2 6 5" xfId="38523"/>
    <cellStyle name="Normal 5 2 2 2 6 5 2" xfId="53678"/>
    <cellStyle name="Normal 5 2 2 2 6 6" xfId="46000"/>
    <cellStyle name="Normal 5 2 2 2 7" xfId="560"/>
    <cellStyle name="Normal 5 2 2 2 7 2" xfId="4909"/>
    <cellStyle name="Normal 5 2 2 2 7 2 2" xfId="43767"/>
    <cellStyle name="Normal 5 2 2 2 7 2 2 2" xfId="58893"/>
    <cellStyle name="Normal 5 2 2 2 7 2 3" xfId="49594"/>
    <cellStyle name="Normal 5 2 2 2 7 3" xfId="11370"/>
    <cellStyle name="Normal 5 2 2 2 7 3 2" xfId="41531"/>
    <cellStyle name="Normal 5 2 2 2 7 3 2 2" xfId="56658"/>
    <cellStyle name="Normal 5 2 2 2 7 3 3" xfId="51624"/>
    <cellStyle name="Normal 5 2 2 2 7 4" xfId="3736"/>
    <cellStyle name="Normal 5 2 2 2 7 4 2" xfId="48429"/>
    <cellStyle name="Normal 5 2 2 2 7 5" xfId="39251"/>
    <cellStyle name="Normal 5 2 2 2 7 5 2" xfId="54379"/>
    <cellStyle name="Normal 5 2 2 2 7 6" xfId="45790"/>
    <cellStyle name="Normal 5 2 2 2 8" xfId="1821"/>
    <cellStyle name="Normal 5 2 2 2 8 2" xfId="12630"/>
    <cellStyle name="Normal 5 2 2 2 8 2 2" xfId="52884"/>
    <cellStyle name="Normal 5 2 2 2 8 3" xfId="6169"/>
    <cellStyle name="Normal 5 2 2 2 8 3 2" xfId="50854"/>
    <cellStyle name="Normal 5 2 2 2 8 4" xfId="42639"/>
    <cellStyle name="Normal 5 2 2 2 8 4 2" xfId="57766"/>
    <cellStyle name="Normal 5 2 2 2 8 5" xfId="47050"/>
    <cellStyle name="Normal 5 2 2 2 9" xfId="2635"/>
    <cellStyle name="Normal 5 2 2 2 9 2" xfId="4485"/>
    <cellStyle name="Normal 5 2 2 2 9 2 2" xfId="49175"/>
    <cellStyle name="Normal 5 2 2 2 9 3" xfId="40404"/>
    <cellStyle name="Normal 5 2 2 2 9 3 2" xfId="55531"/>
    <cellStyle name="Normal 5 2 2 2 9 4" xfId="47367"/>
    <cellStyle name="Normal 5 2 2 3" xfId="126"/>
    <cellStyle name="Normal 5 2 2 3 10" xfId="38039"/>
    <cellStyle name="Normal 5 2 2 3 10 2" xfId="53239"/>
    <cellStyle name="Normal 5 2 2 3 11" xfId="45370"/>
    <cellStyle name="Normal 5 2 2 3 2" xfId="438"/>
    <cellStyle name="Normal 5 2 2 3 2 2" xfId="1434"/>
    <cellStyle name="Normal 5 2 2 3 2 2 2" xfId="5783"/>
    <cellStyle name="Normal 5 2 2 3 2 2 2 2" xfId="44555"/>
    <cellStyle name="Normal 5 2 2 3 2 2 2 2 2" xfId="59681"/>
    <cellStyle name="Normal 5 2 2 3 2 2 2 3" xfId="50468"/>
    <cellStyle name="Normal 5 2 2 3 2 2 3" xfId="12244"/>
    <cellStyle name="Normal 5 2 2 3 2 2 3 2" xfId="42319"/>
    <cellStyle name="Normal 5 2 2 3 2 2 3 2 2" xfId="57446"/>
    <cellStyle name="Normal 5 2 2 3 2 2 3 3" xfId="52498"/>
    <cellStyle name="Normal 5 2 2 3 2 2 4" xfId="3717"/>
    <cellStyle name="Normal 5 2 2 3 2 2 4 2" xfId="48410"/>
    <cellStyle name="Normal 5 2 2 3 2 2 5" xfId="40039"/>
    <cellStyle name="Normal 5 2 2 3 2 2 5 2" xfId="55167"/>
    <cellStyle name="Normal 5 2 2 3 2 2 6" xfId="46664"/>
    <cellStyle name="Normal 5 2 2 3 2 3" xfId="1703"/>
    <cellStyle name="Normal 5 2 2 3 2 3 2" xfId="6052"/>
    <cellStyle name="Normal 5 2 2 3 2 3 2 2" xfId="50737"/>
    <cellStyle name="Normal 5 2 2 3 2 3 3" xfId="12513"/>
    <cellStyle name="Normal 5 2 2 3 2 3 3 2" xfId="52767"/>
    <cellStyle name="Normal 5 2 2 3 2 3 4" xfId="4002"/>
    <cellStyle name="Normal 5 2 2 3 2 3 4 2" xfId="48695"/>
    <cellStyle name="Normal 5 2 2 3 2 3 5" xfId="42989"/>
    <cellStyle name="Normal 5 2 2 3 2 3 5 2" xfId="58115"/>
    <cellStyle name="Normal 5 2 2 3 2 3 6" xfId="46933"/>
    <cellStyle name="Normal 5 2 2 3 2 4" xfId="1190"/>
    <cellStyle name="Normal 5 2 2 3 2 4 2" xfId="5539"/>
    <cellStyle name="Normal 5 2 2 3 2 4 2 2" xfId="50224"/>
    <cellStyle name="Normal 5 2 2 3 2 4 3" xfId="12000"/>
    <cellStyle name="Normal 5 2 2 3 2 4 3 2" xfId="52254"/>
    <cellStyle name="Normal 5 2 2 3 2 4 4" xfId="4361"/>
    <cellStyle name="Normal 5 2 2 3 2 4 4 2" xfId="49051"/>
    <cellStyle name="Normal 5 2 2 3 2 4 5" xfId="40753"/>
    <cellStyle name="Normal 5 2 2 3 2 4 5 2" xfId="55880"/>
    <cellStyle name="Normal 5 2 2 3 2 4 6" xfId="46420"/>
    <cellStyle name="Normal 5 2 2 3 2 5" xfId="4787"/>
    <cellStyle name="Normal 5 2 2 3 2 5 2" xfId="49472"/>
    <cellStyle name="Normal 5 2 2 3 2 6" xfId="11248"/>
    <cellStyle name="Normal 5 2 2 3 2 6 2" xfId="51502"/>
    <cellStyle name="Normal 5 2 2 3 2 7" xfId="3425"/>
    <cellStyle name="Normal 5 2 2 3 2 7 2" xfId="48119"/>
    <cellStyle name="Normal 5 2 2 3 2 8" xfId="38896"/>
    <cellStyle name="Normal 5 2 2 3 2 8 2" xfId="54028"/>
    <cellStyle name="Normal 5 2 2 3 2 9" xfId="45668"/>
    <cellStyle name="Normal 5 2 2 3 3" xfId="892"/>
    <cellStyle name="Normal 5 2 2 3 3 2" xfId="5241"/>
    <cellStyle name="Normal 5 2 2 3 3 2 2" xfId="44204"/>
    <cellStyle name="Normal 5 2 2 3 3 2 2 2" xfId="59330"/>
    <cellStyle name="Normal 5 2 2 3 3 2 3" xfId="41968"/>
    <cellStyle name="Normal 5 2 2 3 3 2 3 2" xfId="57095"/>
    <cellStyle name="Normal 5 2 2 3 3 2 4" xfId="39688"/>
    <cellStyle name="Normal 5 2 2 3 3 2 4 2" xfId="54816"/>
    <cellStyle name="Normal 5 2 2 3 3 2 5" xfId="49926"/>
    <cellStyle name="Normal 5 2 2 3 3 3" xfId="11702"/>
    <cellStyle name="Normal 5 2 2 3 3 3 2" xfId="43340"/>
    <cellStyle name="Normal 5 2 2 3 3 3 2 2" xfId="58466"/>
    <cellStyle name="Normal 5 2 2 3 3 3 3" xfId="51956"/>
    <cellStyle name="Normal 5 2 2 3 3 4" xfId="3127"/>
    <cellStyle name="Normal 5 2 2 3 3 4 2" xfId="41104"/>
    <cellStyle name="Normal 5 2 2 3 3 4 2 2" xfId="56231"/>
    <cellStyle name="Normal 5 2 2 3 3 4 3" xfId="47821"/>
    <cellStyle name="Normal 5 2 2 3 3 5" xfId="38522"/>
    <cellStyle name="Normal 5 2 2 3 3 5 2" xfId="53677"/>
    <cellStyle name="Normal 5 2 2 3 3 6" xfId="46122"/>
    <cellStyle name="Normal 5 2 2 3 4" xfId="769"/>
    <cellStyle name="Normal 5 2 2 3 4 2" xfId="5118"/>
    <cellStyle name="Normal 5 2 2 3 4 2 2" xfId="43766"/>
    <cellStyle name="Normal 5 2 2 3 4 2 2 2" xfId="58892"/>
    <cellStyle name="Normal 5 2 2 3 4 2 3" xfId="49803"/>
    <cellStyle name="Normal 5 2 2 3 4 3" xfId="11579"/>
    <cellStyle name="Normal 5 2 2 3 4 3 2" xfId="41530"/>
    <cellStyle name="Normal 5 2 2 3 4 3 2 2" xfId="56657"/>
    <cellStyle name="Normal 5 2 2 3 4 3 3" xfId="51833"/>
    <cellStyle name="Normal 5 2 2 3 4 4" xfId="3004"/>
    <cellStyle name="Normal 5 2 2 3 4 4 2" xfId="47698"/>
    <cellStyle name="Normal 5 2 2 3 4 5" xfId="39250"/>
    <cellStyle name="Normal 5 2 2 3 4 5 2" xfId="54378"/>
    <cellStyle name="Normal 5 2 2 3 4 6" xfId="45999"/>
    <cellStyle name="Normal 5 2 2 3 5" xfId="559"/>
    <cellStyle name="Normal 5 2 2 3 5 2" xfId="4908"/>
    <cellStyle name="Normal 5 2 2 3 5 2 2" xfId="49593"/>
    <cellStyle name="Normal 5 2 2 3 5 3" xfId="11369"/>
    <cellStyle name="Normal 5 2 2 3 5 3 2" xfId="51623"/>
    <cellStyle name="Normal 5 2 2 3 5 4" xfId="4095"/>
    <cellStyle name="Normal 5 2 2 3 5 4 2" xfId="48786"/>
    <cellStyle name="Normal 5 2 2 3 5 5" xfId="42638"/>
    <cellStyle name="Normal 5 2 2 3 5 5 2" xfId="57765"/>
    <cellStyle name="Normal 5 2 2 3 5 6" xfId="45789"/>
    <cellStyle name="Normal 5 2 2 3 6" xfId="1820"/>
    <cellStyle name="Normal 5 2 2 3 6 2" xfId="12629"/>
    <cellStyle name="Normal 5 2 2 3 6 2 2" xfId="52883"/>
    <cellStyle name="Normal 5 2 2 3 6 3" xfId="6168"/>
    <cellStyle name="Normal 5 2 2 3 6 3 2" xfId="50853"/>
    <cellStyle name="Normal 5 2 2 3 6 4" xfId="40403"/>
    <cellStyle name="Normal 5 2 2 3 6 4 2" xfId="55530"/>
    <cellStyle name="Normal 5 2 2 3 6 5" xfId="47049"/>
    <cellStyle name="Normal 5 2 2 3 7" xfId="4484"/>
    <cellStyle name="Normal 5 2 2 3 7 2" xfId="49174"/>
    <cellStyle name="Normal 5 2 2 3 8" xfId="10950"/>
    <cellStyle name="Normal 5 2 2 3 8 2" xfId="51204"/>
    <cellStyle name="Normal 5 2 2 3 9" xfId="2787"/>
    <cellStyle name="Normal 5 2 2 3 9 2" xfId="47487"/>
    <cellStyle name="Normal 5 2 2 4" xfId="226"/>
    <cellStyle name="Normal 5 2 2 4 10" xfId="38115"/>
    <cellStyle name="Normal 5 2 2 4 10 2" xfId="53315"/>
    <cellStyle name="Normal 5 2 2 4 11" xfId="45458"/>
    <cellStyle name="Normal 5 2 2 4 2" xfId="980"/>
    <cellStyle name="Normal 5 2 2 4 2 2" xfId="5329"/>
    <cellStyle name="Normal 5 2 2 4 2 2 2" xfId="44631"/>
    <cellStyle name="Normal 5 2 2 4 2 2 2 2" xfId="59757"/>
    <cellStyle name="Normal 5 2 2 4 2 2 3" xfId="42395"/>
    <cellStyle name="Normal 5 2 2 4 2 2 3 2" xfId="57522"/>
    <cellStyle name="Normal 5 2 2 4 2 2 4" xfId="40115"/>
    <cellStyle name="Normal 5 2 2 4 2 2 4 2" xfId="55243"/>
    <cellStyle name="Normal 5 2 2 4 2 2 5" xfId="50014"/>
    <cellStyle name="Normal 5 2 2 4 2 3" xfId="11790"/>
    <cellStyle name="Normal 5 2 2 4 2 3 2" xfId="43065"/>
    <cellStyle name="Normal 5 2 2 4 2 3 2 2" xfId="58191"/>
    <cellStyle name="Normal 5 2 2 4 2 3 3" xfId="52044"/>
    <cellStyle name="Normal 5 2 2 4 2 4" xfId="3215"/>
    <cellStyle name="Normal 5 2 2 4 2 4 2" xfId="40829"/>
    <cellStyle name="Normal 5 2 2 4 2 4 2 2" xfId="55956"/>
    <cellStyle name="Normal 5 2 2 4 2 4 3" xfId="47909"/>
    <cellStyle name="Normal 5 2 2 4 2 5" xfId="38973"/>
    <cellStyle name="Normal 5 2 2 4 2 5 2" xfId="54104"/>
    <cellStyle name="Normal 5 2 2 4 2 6" xfId="46210"/>
    <cellStyle name="Normal 5 2 2 4 3" xfId="1282"/>
    <cellStyle name="Normal 5 2 2 4 3 2" xfId="5631"/>
    <cellStyle name="Normal 5 2 2 4 3 2 2" xfId="44280"/>
    <cellStyle name="Normal 5 2 2 4 3 2 2 2" xfId="59406"/>
    <cellStyle name="Normal 5 2 2 4 3 2 3" xfId="42044"/>
    <cellStyle name="Normal 5 2 2 4 3 2 3 2" xfId="57171"/>
    <cellStyle name="Normal 5 2 2 4 3 2 4" xfId="39764"/>
    <cellStyle name="Normal 5 2 2 4 3 2 4 2" xfId="54892"/>
    <cellStyle name="Normal 5 2 2 4 3 2 5" xfId="50316"/>
    <cellStyle name="Normal 5 2 2 4 3 3" xfId="12092"/>
    <cellStyle name="Normal 5 2 2 4 3 3 2" xfId="43416"/>
    <cellStyle name="Normal 5 2 2 4 3 3 2 2" xfId="58542"/>
    <cellStyle name="Normal 5 2 2 4 3 3 3" xfId="52346"/>
    <cellStyle name="Normal 5 2 2 4 3 4" xfId="3565"/>
    <cellStyle name="Normal 5 2 2 4 3 4 2" xfId="41180"/>
    <cellStyle name="Normal 5 2 2 4 3 4 2 2" xfId="56307"/>
    <cellStyle name="Normal 5 2 2 4 3 4 3" xfId="48258"/>
    <cellStyle name="Normal 5 2 2 4 3 5" xfId="38600"/>
    <cellStyle name="Normal 5 2 2 4 3 5 2" xfId="53753"/>
    <cellStyle name="Normal 5 2 2 4 3 6" xfId="46512"/>
    <cellStyle name="Normal 5 2 2 4 4" xfId="1493"/>
    <cellStyle name="Normal 5 2 2 4 4 2" xfId="5842"/>
    <cellStyle name="Normal 5 2 2 4 4 2 2" xfId="43842"/>
    <cellStyle name="Normal 5 2 2 4 4 2 2 2" xfId="58968"/>
    <cellStyle name="Normal 5 2 2 4 4 2 3" xfId="50527"/>
    <cellStyle name="Normal 5 2 2 4 4 3" xfId="12303"/>
    <cellStyle name="Normal 5 2 2 4 4 3 2" xfId="41606"/>
    <cellStyle name="Normal 5 2 2 4 4 3 2 2" xfId="56733"/>
    <cellStyle name="Normal 5 2 2 4 4 3 3" xfId="52557"/>
    <cellStyle name="Normal 5 2 2 4 4 4" xfId="3792"/>
    <cellStyle name="Normal 5 2 2 4 4 4 2" xfId="48485"/>
    <cellStyle name="Normal 5 2 2 4 4 5" xfId="39326"/>
    <cellStyle name="Normal 5 2 2 4 4 5 2" xfId="54454"/>
    <cellStyle name="Normal 5 2 2 4 4 6" xfId="46723"/>
    <cellStyle name="Normal 5 2 2 4 5" xfId="648"/>
    <cellStyle name="Normal 5 2 2 4 5 2" xfId="4997"/>
    <cellStyle name="Normal 5 2 2 4 5 2 2" xfId="49682"/>
    <cellStyle name="Normal 5 2 2 4 5 3" xfId="11458"/>
    <cellStyle name="Normal 5 2 2 4 5 3 2" xfId="51712"/>
    <cellStyle name="Normal 5 2 2 4 5 4" xfId="4151"/>
    <cellStyle name="Normal 5 2 2 4 5 4 2" xfId="48841"/>
    <cellStyle name="Normal 5 2 2 4 5 5" xfId="42714"/>
    <cellStyle name="Normal 5 2 2 4 5 5 2" xfId="57841"/>
    <cellStyle name="Normal 5 2 2 4 5 6" xfId="45878"/>
    <cellStyle name="Normal 5 2 2 4 6" xfId="1899"/>
    <cellStyle name="Normal 5 2 2 4 6 2" xfId="12706"/>
    <cellStyle name="Normal 5 2 2 4 6 2 2" xfId="52959"/>
    <cellStyle name="Normal 5 2 2 4 6 3" xfId="6246"/>
    <cellStyle name="Normal 5 2 2 4 6 3 2" xfId="50929"/>
    <cellStyle name="Normal 5 2 2 4 6 4" xfId="40479"/>
    <cellStyle name="Normal 5 2 2 4 6 4 2" xfId="55606"/>
    <cellStyle name="Normal 5 2 2 4 6 5" xfId="47125"/>
    <cellStyle name="Normal 5 2 2 4 7" xfId="4575"/>
    <cellStyle name="Normal 5 2 2 4 7 2" xfId="49262"/>
    <cellStyle name="Normal 5 2 2 4 8" xfId="11038"/>
    <cellStyle name="Normal 5 2 2 4 8 2" xfId="51292"/>
    <cellStyle name="Normal 5 2 2 4 9" xfId="2882"/>
    <cellStyle name="Normal 5 2 2 4 9 2" xfId="47576"/>
    <cellStyle name="Normal 5 2 2 5" xfId="317"/>
    <cellStyle name="Normal 5 2 2 5 10" xfId="45547"/>
    <cellStyle name="Normal 5 2 2 5 2" xfId="1371"/>
    <cellStyle name="Normal 5 2 2 5 2 2" xfId="5720"/>
    <cellStyle name="Normal 5 2 2 5 2 2 2" xfId="44707"/>
    <cellStyle name="Normal 5 2 2 5 2 2 2 2" xfId="59833"/>
    <cellStyle name="Normal 5 2 2 5 2 2 3" xfId="42471"/>
    <cellStyle name="Normal 5 2 2 5 2 2 3 2" xfId="57598"/>
    <cellStyle name="Normal 5 2 2 5 2 2 4" xfId="40191"/>
    <cellStyle name="Normal 5 2 2 5 2 2 4 2" xfId="55319"/>
    <cellStyle name="Normal 5 2 2 5 2 2 5" xfId="50405"/>
    <cellStyle name="Normal 5 2 2 5 2 3" xfId="12181"/>
    <cellStyle name="Normal 5 2 2 5 2 3 2" xfId="43141"/>
    <cellStyle name="Normal 5 2 2 5 2 3 2 2" xfId="58267"/>
    <cellStyle name="Normal 5 2 2 5 2 3 3" xfId="52435"/>
    <cellStyle name="Normal 5 2 2 5 2 4" xfId="3654"/>
    <cellStyle name="Normal 5 2 2 5 2 4 2" xfId="40905"/>
    <cellStyle name="Normal 5 2 2 5 2 4 2 2" xfId="56032"/>
    <cellStyle name="Normal 5 2 2 5 2 4 3" xfId="48347"/>
    <cellStyle name="Normal 5 2 2 5 2 5" xfId="39049"/>
    <cellStyle name="Normal 5 2 2 5 2 5 2" xfId="54180"/>
    <cellStyle name="Normal 5 2 2 5 2 6" xfId="46601"/>
    <cellStyle name="Normal 5 2 2 5 3" xfId="1582"/>
    <cellStyle name="Normal 5 2 2 5 3 2" xfId="5931"/>
    <cellStyle name="Normal 5 2 2 5 3 2 2" xfId="44356"/>
    <cellStyle name="Normal 5 2 2 5 3 2 2 2" xfId="59482"/>
    <cellStyle name="Normal 5 2 2 5 3 2 3" xfId="42120"/>
    <cellStyle name="Normal 5 2 2 5 3 2 3 2" xfId="57247"/>
    <cellStyle name="Normal 5 2 2 5 3 2 4" xfId="39840"/>
    <cellStyle name="Normal 5 2 2 5 3 2 4 2" xfId="54968"/>
    <cellStyle name="Normal 5 2 2 5 3 2 5" xfId="50616"/>
    <cellStyle name="Normal 5 2 2 5 3 3" xfId="12392"/>
    <cellStyle name="Normal 5 2 2 5 3 3 2" xfId="43492"/>
    <cellStyle name="Normal 5 2 2 5 3 3 2 2" xfId="58618"/>
    <cellStyle name="Normal 5 2 2 5 3 3 3" xfId="52646"/>
    <cellStyle name="Normal 5 2 2 5 3 4" xfId="3881"/>
    <cellStyle name="Normal 5 2 2 5 3 4 2" xfId="41256"/>
    <cellStyle name="Normal 5 2 2 5 3 4 2 2" xfId="56383"/>
    <cellStyle name="Normal 5 2 2 5 3 4 3" xfId="48574"/>
    <cellStyle name="Normal 5 2 2 5 3 5" xfId="38676"/>
    <cellStyle name="Normal 5 2 2 5 3 5 2" xfId="53829"/>
    <cellStyle name="Normal 5 2 2 5 3 6" xfId="46812"/>
    <cellStyle name="Normal 5 2 2 5 4" xfId="1069"/>
    <cellStyle name="Normal 5 2 2 5 4 2" xfId="5418"/>
    <cellStyle name="Normal 5 2 2 5 4 2 2" xfId="43918"/>
    <cellStyle name="Normal 5 2 2 5 4 2 2 2" xfId="59044"/>
    <cellStyle name="Normal 5 2 2 5 4 2 3" xfId="50103"/>
    <cellStyle name="Normal 5 2 2 5 4 3" xfId="11879"/>
    <cellStyle name="Normal 5 2 2 5 4 3 2" xfId="41682"/>
    <cellStyle name="Normal 5 2 2 5 4 3 2 2" xfId="56809"/>
    <cellStyle name="Normal 5 2 2 5 4 3 3" xfId="52133"/>
    <cellStyle name="Normal 5 2 2 5 4 4" xfId="4240"/>
    <cellStyle name="Normal 5 2 2 5 4 4 2" xfId="48930"/>
    <cellStyle name="Normal 5 2 2 5 4 5" xfId="39402"/>
    <cellStyle name="Normal 5 2 2 5 4 5 2" xfId="54530"/>
    <cellStyle name="Normal 5 2 2 5 4 6" xfId="46299"/>
    <cellStyle name="Normal 5 2 2 5 5" xfId="1975"/>
    <cellStyle name="Normal 5 2 2 5 5 2" xfId="12782"/>
    <cellStyle name="Normal 5 2 2 5 5 2 2" xfId="53035"/>
    <cellStyle name="Normal 5 2 2 5 5 3" xfId="6322"/>
    <cellStyle name="Normal 5 2 2 5 5 3 2" xfId="51005"/>
    <cellStyle name="Normal 5 2 2 5 5 4" xfId="42790"/>
    <cellStyle name="Normal 5 2 2 5 5 4 2" xfId="57917"/>
    <cellStyle name="Normal 5 2 2 5 5 5" xfId="47201"/>
    <cellStyle name="Normal 5 2 2 5 6" xfId="4666"/>
    <cellStyle name="Normal 5 2 2 5 6 2" xfId="40555"/>
    <cellStyle name="Normal 5 2 2 5 6 2 2" xfId="55682"/>
    <cellStyle name="Normal 5 2 2 5 6 3" xfId="49351"/>
    <cellStyle name="Normal 5 2 2 5 7" xfId="11127"/>
    <cellStyle name="Normal 5 2 2 5 7 2" xfId="51381"/>
    <cellStyle name="Normal 5 2 2 5 8" xfId="3304"/>
    <cellStyle name="Normal 5 2 2 5 8 2" xfId="47998"/>
    <cellStyle name="Normal 5 2 2 5 9" xfId="38191"/>
    <cellStyle name="Normal 5 2 2 5 9 2" xfId="53391"/>
    <cellStyle name="Normal 5 2 2 6" xfId="393"/>
    <cellStyle name="Normal 5 2 2 6 2" xfId="1658"/>
    <cellStyle name="Normal 5 2 2 6 2 2" xfId="6007"/>
    <cellStyle name="Normal 5 2 2 6 2 2 2" xfId="44783"/>
    <cellStyle name="Normal 5 2 2 6 2 2 2 2" xfId="59909"/>
    <cellStyle name="Normal 5 2 2 6 2 2 3" xfId="42547"/>
    <cellStyle name="Normal 5 2 2 6 2 2 3 2" xfId="57674"/>
    <cellStyle name="Normal 5 2 2 6 2 2 4" xfId="40267"/>
    <cellStyle name="Normal 5 2 2 6 2 2 4 2" xfId="55395"/>
    <cellStyle name="Normal 5 2 2 6 2 2 5" xfId="50692"/>
    <cellStyle name="Normal 5 2 2 6 2 3" xfId="12468"/>
    <cellStyle name="Normal 5 2 2 6 2 3 2" xfId="43217"/>
    <cellStyle name="Normal 5 2 2 6 2 3 2 2" xfId="58343"/>
    <cellStyle name="Normal 5 2 2 6 2 3 3" xfId="52722"/>
    <cellStyle name="Normal 5 2 2 6 2 4" xfId="3957"/>
    <cellStyle name="Normal 5 2 2 6 2 4 2" xfId="40981"/>
    <cellStyle name="Normal 5 2 2 6 2 4 2 2" xfId="56108"/>
    <cellStyle name="Normal 5 2 2 6 2 4 3" xfId="48650"/>
    <cellStyle name="Normal 5 2 2 6 2 5" xfId="39125"/>
    <cellStyle name="Normal 5 2 2 6 2 5 2" xfId="54256"/>
    <cellStyle name="Normal 5 2 2 6 2 6" xfId="46888"/>
    <cellStyle name="Normal 5 2 2 6 3" xfId="1145"/>
    <cellStyle name="Normal 5 2 2 6 3 2" xfId="5494"/>
    <cellStyle name="Normal 5 2 2 6 3 2 2" xfId="44432"/>
    <cellStyle name="Normal 5 2 2 6 3 2 2 2" xfId="59558"/>
    <cellStyle name="Normal 5 2 2 6 3 2 3" xfId="42196"/>
    <cellStyle name="Normal 5 2 2 6 3 2 3 2" xfId="57323"/>
    <cellStyle name="Normal 5 2 2 6 3 2 4" xfId="39916"/>
    <cellStyle name="Normal 5 2 2 6 3 2 4 2" xfId="55044"/>
    <cellStyle name="Normal 5 2 2 6 3 2 5" xfId="50179"/>
    <cellStyle name="Normal 5 2 2 6 3 3" xfId="11955"/>
    <cellStyle name="Normal 5 2 2 6 3 3 2" xfId="43568"/>
    <cellStyle name="Normal 5 2 2 6 3 3 2 2" xfId="58694"/>
    <cellStyle name="Normal 5 2 2 6 3 3 3" xfId="52209"/>
    <cellStyle name="Normal 5 2 2 6 3 4" xfId="4316"/>
    <cellStyle name="Normal 5 2 2 6 3 4 2" xfId="41332"/>
    <cellStyle name="Normal 5 2 2 6 3 4 2 2" xfId="56459"/>
    <cellStyle name="Normal 5 2 2 6 3 4 3" xfId="49006"/>
    <cellStyle name="Normal 5 2 2 6 3 5" xfId="38752"/>
    <cellStyle name="Normal 5 2 2 6 3 5 2" xfId="53905"/>
    <cellStyle name="Normal 5 2 2 6 3 6" xfId="46375"/>
    <cellStyle name="Normal 5 2 2 6 4" xfId="2052"/>
    <cellStyle name="Normal 5 2 2 6 4 2" xfId="12858"/>
    <cellStyle name="Normal 5 2 2 6 4 2 2" xfId="43994"/>
    <cellStyle name="Normal 5 2 2 6 4 2 2 2" xfId="59120"/>
    <cellStyle name="Normal 5 2 2 6 4 2 3" xfId="53111"/>
    <cellStyle name="Normal 5 2 2 6 4 3" xfId="6398"/>
    <cellStyle name="Normal 5 2 2 6 4 3 2" xfId="41758"/>
    <cellStyle name="Normal 5 2 2 6 4 3 2 2" xfId="56885"/>
    <cellStyle name="Normal 5 2 2 6 4 3 3" xfId="51081"/>
    <cellStyle name="Normal 5 2 2 6 4 4" xfId="39478"/>
    <cellStyle name="Normal 5 2 2 6 4 4 2" xfId="54606"/>
    <cellStyle name="Normal 5 2 2 6 4 5" xfId="47277"/>
    <cellStyle name="Normal 5 2 2 6 5" xfId="4742"/>
    <cellStyle name="Normal 5 2 2 6 5 2" xfId="42866"/>
    <cellStyle name="Normal 5 2 2 6 5 2 2" xfId="57993"/>
    <cellStyle name="Normal 5 2 2 6 5 3" xfId="49427"/>
    <cellStyle name="Normal 5 2 2 6 6" xfId="11203"/>
    <cellStyle name="Normal 5 2 2 6 6 2" xfId="40631"/>
    <cellStyle name="Normal 5 2 2 6 6 2 2" xfId="55758"/>
    <cellStyle name="Normal 5 2 2 6 6 3" xfId="51457"/>
    <cellStyle name="Normal 5 2 2 6 7" xfId="3380"/>
    <cellStyle name="Normal 5 2 2 6 7 2" xfId="48074"/>
    <cellStyle name="Normal 5 2 2 6 8" xfId="38267"/>
    <cellStyle name="Normal 5 2 2 6 8 2" xfId="53467"/>
    <cellStyle name="Normal 5 2 2 6 9" xfId="45623"/>
    <cellStyle name="Normal 5 2 2 7" xfId="845"/>
    <cellStyle name="Normal 5 2 2 7 2" xfId="5194"/>
    <cellStyle name="Normal 5 2 2 7 2 2" xfId="40003"/>
    <cellStyle name="Normal 5 2 2 7 2 2 2" xfId="44519"/>
    <cellStyle name="Normal 5 2 2 7 2 2 2 2" xfId="59645"/>
    <cellStyle name="Normal 5 2 2 7 2 2 3" xfId="42283"/>
    <cellStyle name="Normal 5 2 2 7 2 2 3 2" xfId="57410"/>
    <cellStyle name="Normal 5 2 2 7 2 2 4" xfId="55131"/>
    <cellStyle name="Normal 5 2 2 7 2 3" xfId="43654"/>
    <cellStyle name="Normal 5 2 2 7 2 3 2" xfId="58780"/>
    <cellStyle name="Normal 5 2 2 7 2 4" xfId="41418"/>
    <cellStyle name="Normal 5 2 2 7 2 4 2" xfId="56545"/>
    <cellStyle name="Normal 5 2 2 7 2 5" xfId="38860"/>
    <cellStyle name="Normal 5 2 2 7 2 5 2" xfId="53992"/>
    <cellStyle name="Normal 5 2 2 7 2 6" xfId="49879"/>
    <cellStyle name="Normal 5 2 2 7 3" xfId="11655"/>
    <cellStyle name="Normal 5 2 2 7 3 2" xfId="44078"/>
    <cellStyle name="Normal 5 2 2 7 3 2 2" xfId="59204"/>
    <cellStyle name="Normal 5 2 2 7 3 3" xfId="41842"/>
    <cellStyle name="Normal 5 2 2 7 3 3 2" xfId="56969"/>
    <cellStyle name="Normal 5 2 2 7 3 4" xfId="39562"/>
    <cellStyle name="Normal 5 2 2 7 3 4 2" xfId="54690"/>
    <cellStyle name="Normal 5 2 2 7 3 5" xfId="51909"/>
    <cellStyle name="Normal 5 2 2 7 4" xfId="3080"/>
    <cellStyle name="Normal 5 2 2 7 4 2" xfId="42953"/>
    <cellStyle name="Normal 5 2 2 7 4 2 2" xfId="58079"/>
    <cellStyle name="Normal 5 2 2 7 4 3" xfId="47774"/>
    <cellStyle name="Normal 5 2 2 7 5" xfId="40717"/>
    <cellStyle name="Normal 5 2 2 7 5 2" xfId="55844"/>
    <cellStyle name="Normal 5 2 2 7 6" xfId="38392"/>
    <cellStyle name="Normal 5 2 2 7 6 2" xfId="53551"/>
    <cellStyle name="Normal 5 2 2 7 7" xfId="46075"/>
    <cellStyle name="Normal 5 2 2 8" xfId="724"/>
    <cellStyle name="Normal 5 2 2 8 2" xfId="5073"/>
    <cellStyle name="Normal 5 2 2 8 2 2" xfId="44168"/>
    <cellStyle name="Normal 5 2 2 8 2 2 2" xfId="59294"/>
    <cellStyle name="Normal 5 2 2 8 2 3" xfId="41932"/>
    <cellStyle name="Normal 5 2 2 8 2 3 2" xfId="57059"/>
    <cellStyle name="Normal 5 2 2 8 2 4" xfId="39652"/>
    <cellStyle name="Normal 5 2 2 8 2 4 2" xfId="54780"/>
    <cellStyle name="Normal 5 2 2 8 2 5" xfId="49758"/>
    <cellStyle name="Normal 5 2 2 8 3" xfId="11534"/>
    <cellStyle name="Normal 5 2 2 8 3 2" xfId="43304"/>
    <cellStyle name="Normal 5 2 2 8 3 2 2" xfId="58430"/>
    <cellStyle name="Normal 5 2 2 8 3 3" xfId="51788"/>
    <cellStyle name="Normal 5 2 2 8 4" xfId="2958"/>
    <cellStyle name="Normal 5 2 2 8 4 2" xfId="41068"/>
    <cellStyle name="Normal 5 2 2 8 4 2 2" xfId="56195"/>
    <cellStyle name="Normal 5 2 2 8 4 3" xfId="47652"/>
    <cellStyle name="Normal 5 2 2 8 5" xfId="38485"/>
    <cellStyle name="Normal 5 2 2 8 5 2" xfId="53641"/>
    <cellStyle name="Normal 5 2 2 8 6" xfId="45954"/>
    <cellStyle name="Normal 5 2 2 9" xfId="514"/>
    <cellStyle name="Normal 5 2 2 9 2" xfId="4863"/>
    <cellStyle name="Normal 5 2 2 9 2 2" xfId="43730"/>
    <cellStyle name="Normal 5 2 2 9 2 2 2" xfId="58856"/>
    <cellStyle name="Normal 5 2 2 9 2 3" xfId="49548"/>
    <cellStyle name="Normal 5 2 2 9 3" xfId="11324"/>
    <cellStyle name="Normal 5 2 2 9 3 2" xfId="41494"/>
    <cellStyle name="Normal 5 2 2 9 3 2 2" xfId="56621"/>
    <cellStyle name="Normal 5 2 2 9 3 3" xfId="51578"/>
    <cellStyle name="Normal 5 2 2 9 4" xfId="4072"/>
    <cellStyle name="Normal 5 2 2 9 4 2" xfId="48764"/>
    <cellStyle name="Normal 5 2 2 9 5" xfId="39214"/>
    <cellStyle name="Normal 5 2 2 9 5 2" xfId="54342"/>
    <cellStyle name="Normal 5 2 2 9 6" xfId="45744"/>
    <cellStyle name="Normal 5 2 3" xfId="128"/>
    <cellStyle name="Normal 5 2 3 10" xfId="10952"/>
    <cellStyle name="Normal 5 2 3 10 2" xfId="51206"/>
    <cellStyle name="Normal 5 2 3 11" xfId="2789"/>
    <cellStyle name="Normal 5 2 3 11 2" xfId="47489"/>
    <cellStyle name="Normal 5 2 3 12" xfId="38041"/>
    <cellStyle name="Normal 5 2 3 12 2" xfId="53241"/>
    <cellStyle name="Normal 5 2 3 13" xfId="45372"/>
    <cellStyle name="Normal 5 2 3 2" xfId="228"/>
    <cellStyle name="Normal 5 2 3 2 10" xfId="38117"/>
    <cellStyle name="Normal 5 2 3 2 10 2" xfId="53317"/>
    <cellStyle name="Normal 5 2 3 2 11" xfId="45460"/>
    <cellStyle name="Normal 5 2 3 2 2" xfId="982"/>
    <cellStyle name="Normal 5 2 3 2 2 2" xfId="5331"/>
    <cellStyle name="Normal 5 2 3 2 2 2 2" xfId="44633"/>
    <cellStyle name="Normal 5 2 3 2 2 2 2 2" xfId="59759"/>
    <cellStyle name="Normal 5 2 3 2 2 2 3" xfId="42397"/>
    <cellStyle name="Normal 5 2 3 2 2 2 3 2" xfId="57524"/>
    <cellStyle name="Normal 5 2 3 2 2 2 4" xfId="40117"/>
    <cellStyle name="Normal 5 2 3 2 2 2 4 2" xfId="55245"/>
    <cellStyle name="Normal 5 2 3 2 2 2 5" xfId="50016"/>
    <cellStyle name="Normal 5 2 3 2 2 3" xfId="11792"/>
    <cellStyle name="Normal 5 2 3 2 2 3 2" xfId="43067"/>
    <cellStyle name="Normal 5 2 3 2 2 3 2 2" xfId="58193"/>
    <cellStyle name="Normal 5 2 3 2 2 3 3" xfId="52046"/>
    <cellStyle name="Normal 5 2 3 2 2 4" xfId="3217"/>
    <cellStyle name="Normal 5 2 3 2 2 4 2" xfId="40831"/>
    <cellStyle name="Normal 5 2 3 2 2 4 2 2" xfId="55958"/>
    <cellStyle name="Normal 5 2 3 2 2 4 3" xfId="47911"/>
    <cellStyle name="Normal 5 2 3 2 2 5" xfId="38975"/>
    <cellStyle name="Normal 5 2 3 2 2 5 2" xfId="54106"/>
    <cellStyle name="Normal 5 2 3 2 2 6" xfId="46212"/>
    <cellStyle name="Normal 5 2 3 2 3" xfId="1284"/>
    <cellStyle name="Normal 5 2 3 2 3 2" xfId="5633"/>
    <cellStyle name="Normal 5 2 3 2 3 2 2" xfId="44282"/>
    <cellStyle name="Normal 5 2 3 2 3 2 2 2" xfId="59408"/>
    <cellStyle name="Normal 5 2 3 2 3 2 3" xfId="42046"/>
    <cellStyle name="Normal 5 2 3 2 3 2 3 2" xfId="57173"/>
    <cellStyle name="Normal 5 2 3 2 3 2 4" xfId="39766"/>
    <cellStyle name="Normal 5 2 3 2 3 2 4 2" xfId="54894"/>
    <cellStyle name="Normal 5 2 3 2 3 2 5" xfId="50318"/>
    <cellStyle name="Normal 5 2 3 2 3 3" xfId="12094"/>
    <cellStyle name="Normal 5 2 3 2 3 3 2" xfId="43418"/>
    <cellStyle name="Normal 5 2 3 2 3 3 2 2" xfId="58544"/>
    <cellStyle name="Normal 5 2 3 2 3 3 3" xfId="52348"/>
    <cellStyle name="Normal 5 2 3 2 3 4" xfId="3567"/>
    <cellStyle name="Normal 5 2 3 2 3 4 2" xfId="41182"/>
    <cellStyle name="Normal 5 2 3 2 3 4 2 2" xfId="56309"/>
    <cellStyle name="Normal 5 2 3 2 3 4 3" xfId="48260"/>
    <cellStyle name="Normal 5 2 3 2 3 5" xfId="38602"/>
    <cellStyle name="Normal 5 2 3 2 3 5 2" xfId="53755"/>
    <cellStyle name="Normal 5 2 3 2 3 6" xfId="46514"/>
    <cellStyle name="Normal 5 2 3 2 4" xfId="1495"/>
    <cellStyle name="Normal 5 2 3 2 4 2" xfId="5844"/>
    <cellStyle name="Normal 5 2 3 2 4 2 2" xfId="43844"/>
    <cellStyle name="Normal 5 2 3 2 4 2 2 2" xfId="58970"/>
    <cellStyle name="Normal 5 2 3 2 4 2 3" xfId="50529"/>
    <cellStyle name="Normal 5 2 3 2 4 3" xfId="12305"/>
    <cellStyle name="Normal 5 2 3 2 4 3 2" xfId="41608"/>
    <cellStyle name="Normal 5 2 3 2 4 3 2 2" xfId="56735"/>
    <cellStyle name="Normal 5 2 3 2 4 3 3" xfId="52559"/>
    <cellStyle name="Normal 5 2 3 2 4 4" xfId="3794"/>
    <cellStyle name="Normal 5 2 3 2 4 4 2" xfId="48487"/>
    <cellStyle name="Normal 5 2 3 2 4 5" xfId="39328"/>
    <cellStyle name="Normal 5 2 3 2 4 5 2" xfId="54456"/>
    <cellStyle name="Normal 5 2 3 2 4 6" xfId="46725"/>
    <cellStyle name="Normal 5 2 3 2 5" xfId="650"/>
    <cellStyle name="Normal 5 2 3 2 5 2" xfId="4999"/>
    <cellStyle name="Normal 5 2 3 2 5 2 2" xfId="49684"/>
    <cellStyle name="Normal 5 2 3 2 5 3" xfId="11460"/>
    <cellStyle name="Normal 5 2 3 2 5 3 2" xfId="51714"/>
    <cellStyle name="Normal 5 2 3 2 5 4" xfId="4153"/>
    <cellStyle name="Normal 5 2 3 2 5 4 2" xfId="48843"/>
    <cellStyle name="Normal 5 2 3 2 5 5" xfId="42716"/>
    <cellStyle name="Normal 5 2 3 2 5 5 2" xfId="57843"/>
    <cellStyle name="Normal 5 2 3 2 5 6" xfId="45880"/>
    <cellStyle name="Normal 5 2 3 2 6" xfId="1901"/>
    <cellStyle name="Normal 5 2 3 2 6 2" xfId="12708"/>
    <cellStyle name="Normal 5 2 3 2 6 2 2" xfId="52961"/>
    <cellStyle name="Normal 5 2 3 2 6 3" xfId="6248"/>
    <cellStyle name="Normal 5 2 3 2 6 3 2" xfId="50931"/>
    <cellStyle name="Normal 5 2 3 2 6 4" xfId="40481"/>
    <cellStyle name="Normal 5 2 3 2 6 4 2" xfId="55608"/>
    <cellStyle name="Normal 5 2 3 2 6 5" xfId="47127"/>
    <cellStyle name="Normal 5 2 3 2 7" xfId="4577"/>
    <cellStyle name="Normal 5 2 3 2 7 2" xfId="49264"/>
    <cellStyle name="Normal 5 2 3 2 8" xfId="11040"/>
    <cellStyle name="Normal 5 2 3 2 8 2" xfId="51294"/>
    <cellStyle name="Normal 5 2 3 2 9" xfId="2884"/>
    <cellStyle name="Normal 5 2 3 2 9 2" xfId="47578"/>
    <cellStyle name="Normal 5 2 3 3" xfId="319"/>
    <cellStyle name="Normal 5 2 3 3 10" xfId="45549"/>
    <cellStyle name="Normal 5 2 3 3 2" xfId="1373"/>
    <cellStyle name="Normal 5 2 3 3 2 2" xfId="5722"/>
    <cellStyle name="Normal 5 2 3 3 2 2 2" xfId="44709"/>
    <cellStyle name="Normal 5 2 3 3 2 2 2 2" xfId="59835"/>
    <cellStyle name="Normal 5 2 3 3 2 2 3" xfId="42473"/>
    <cellStyle name="Normal 5 2 3 3 2 2 3 2" xfId="57600"/>
    <cellStyle name="Normal 5 2 3 3 2 2 4" xfId="40193"/>
    <cellStyle name="Normal 5 2 3 3 2 2 4 2" xfId="55321"/>
    <cellStyle name="Normal 5 2 3 3 2 2 5" xfId="50407"/>
    <cellStyle name="Normal 5 2 3 3 2 3" xfId="12183"/>
    <cellStyle name="Normal 5 2 3 3 2 3 2" xfId="43143"/>
    <cellStyle name="Normal 5 2 3 3 2 3 2 2" xfId="58269"/>
    <cellStyle name="Normal 5 2 3 3 2 3 3" xfId="52437"/>
    <cellStyle name="Normal 5 2 3 3 2 4" xfId="3656"/>
    <cellStyle name="Normal 5 2 3 3 2 4 2" xfId="40907"/>
    <cellStyle name="Normal 5 2 3 3 2 4 2 2" xfId="56034"/>
    <cellStyle name="Normal 5 2 3 3 2 4 3" xfId="48349"/>
    <cellStyle name="Normal 5 2 3 3 2 5" xfId="39051"/>
    <cellStyle name="Normal 5 2 3 3 2 5 2" xfId="54182"/>
    <cellStyle name="Normal 5 2 3 3 2 6" xfId="46603"/>
    <cellStyle name="Normal 5 2 3 3 3" xfId="1584"/>
    <cellStyle name="Normal 5 2 3 3 3 2" xfId="5933"/>
    <cellStyle name="Normal 5 2 3 3 3 2 2" xfId="44358"/>
    <cellStyle name="Normal 5 2 3 3 3 2 2 2" xfId="59484"/>
    <cellStyle name="Normal 5 2 3 3 3 2 3" xfId="42122"/>
    <cellStyle name="Normal 5 2 3 3 3 2 3 2" xfId="57249"/>
    <cellStyle name="Normal 5 2 3 3 3 2 4" xfId="39842"/>
    <cellStyle name="Normal 5 2 3 3 3 2 4 2" xfId="54970"/>
    <cellStyle name="Normal 5 2 3 3 3 2 5" xfId="50618"/>
    <cellStyle name="Normal 5 2 3 3 3 3" xfId="12394"/>
    <cellStyle name="Normal 5 2 3 3 3 3 2" xfId="43494"/>
    <cellStyle name="Normal 5 2 3 3 3 3 2 2" xfId="58620"/>
    <cellStyle name="Normal 5 2 3 3 3 3 3" xfId="52648"/>
    <cellStyle name="Normal 5 2 3 3 3 4" xfId="3883"/>
    <cellStyle name="Normal 5 2 3 3 3 4 2" xfId="41258"/>
    <cellStyle name="Normal 5 2 3 3 3 4 2 2" xfId="56385"/>
    <cellStyle name="Normal 5 2 3 3 3 4 3" xfId="48576"/>
    <cellStyle name="Normal 5 2 3 3 3 5" xfId="38678"/>
    <cellStyle name="Normal 5 2 3 3 3 5 2" xfId="53831"/>
    <cellStyle name="Normal 5 2 3 3 3 6" xfId="46814"/>
    <cellStyle name="Normal 5 2 3 3 4" xfId="1071"/>
    <cellStyle name="Normal 5 2 3 3 4 2" xfId="5420"/>
    <cellStyle name="Normal 5 2 3 3 4 2 2" xfId="43920"/>
    <cellStyle name="Normal 5 2 3 3 4 2 2 2" xfId="59046"/>
    <cellStyle name="Normal 5 2 3 3 4 2 3" xfId="50105"/>
    <cellStyle name="Normal 5 2 3 3 4 3" xfId="11881"/>
    <cellStyle name="Normal 5 2 3 3 4 3 2" xfId="41684"/>
    <cellStyle name="Normal 5 2 3 3 4 3 2 2" xfId="56811"/>
    <cellStyle name="Normal 5 2 3 3 4 3 3" xfId="52135"/>
    <cellStyle name="Normal 5 2 3 3 4 4" xfId="4242"/>
    <cellStyle name="Normal 5 2 3 3 4 4 2" xfId="48932"/>
    <cellStyle name="Normal 5 2 3 3 4 5" xfId="39404"/>
    <cellStyle name="Normal 5 2 3 3 4 5 2" xfId="54532"/>
    <cellStyle name="Normal 5 2 3 3 4 6" xfId="46301"/>
    <cellStyle name="Normal 5 2 3 3 5" xfId="1977"/>
    <cellStyle name="Normal 5 2 3 3 5 2" xfId="12784"/>
    <cellStyle name="Normal 5 2 3 3 5 2 2" xfId="53037"/>
    <cellStyle name="Normal 5 2 3 3 5 3" xfId="6324"/>
    <cellStyle name="Normal 5 2 3 3 5 3 2" xfId="51007"/>
    <cellStyle name="Normal 5 2 3 3 5 4" xfId="42792"/>
    <cellStyle name="Normal 5 2 3 3 5 4 2" xfId="57919"/>
    <cellStyle name="Normal 5 2 3 3 5 5" xfId="47203"/>
    <cellStyle name="Normal 5 2 3 3 6" xfId="4668"/>
    <cellStyle name="Normal 5 2 3 3 6 2" xfId="40557"/>
    <cellStyle name="Normal 5 2 3 3 6 2 2" xfId="55684"/>
    <cellStyle name="Normal 5 2 3 3 6 3" xfId="49353"/>
    <cellStyle name="Normal 5 2 3 3 7" xfId="11129"/>
    <cellStyle name="Normal 5 2 3 3 7 2" xfId="51383"/>
    <cellStyle name="Normal 5 2 3 3 8" xfId="3306"/>
    <cellStyle name="Normal 5 2 3 3 8 2" xfId="48000"/>
    <cellStyle name="Normal 5 2 3 3 9" xfId="38193"/>
    <cellStyle name="Normal 5 2 3 3 9 2" xfId="53393"/>
    <cellStyle name="Normal 5 2 3 4" xfId="440"/>
    <cellStyle name="Normal 5 2 3 4 2" xfId="1705"/>
    <cellStyle name="Normal 5 2 3 4 2 2" xfId="6054"/>
    <cellStyle name="Normal 5 2 3 4 2 2 2" xfId="44785"/>
    <cellStyle name="Normal 5 2 3 4 2 2 2 2" xfId="59911"/>
    <cellStyle name="Normal 5 2 3 4 2 2 3" xfId="42549"/>
    <cellStyle name="Normal 5 2 3 4 2 2 3 2" xfId="57676"/>
    <cellStyle name="Normal 5 2 3 4 2 2 4" xfId="40269"/>
    <cellStyle name="Normal 5 2 3 4 2 2 4 2" xfId="55397"/>
    <cellStyle name="Normal 5 2 3 4 2 2 5" xfId="50739"/>
    <cellStyle name="Normal 5 2 3 4 2 3" xfId="12515"/>
    <cellStyle name="Normal 5 2 3 4 2 3 2" xfId="43219"/>
    <cellStyle name="Normal 5 2 3 4 2 3 2 2" xfId="58345"/>
    <cellStyle name="Normal 5 2 3 4 2 3 3" xfId="52769"/>
    <cellStyle name="Normal 5 2 3 4 2 4" xfId="4004"/>
    <cellStyle name="Normal 5 2 3 4 2 4 2" xfId="40983"/>
    <cellStyle name="Normal 5 2 3 4 2 4 2 2" xfId="56110"/>
    <cellStyle name="Normal 5 2 3 4 2 4 3" xfId="48697"/>
    <cellStyle name="Normal 5 2 3 4 2 5" xfId="39127"/>
    <cellStyle name="Normal 5 2 3 4 2 5 2" xfId="54258"/>
    <cellStyle name="Normal 5 2 3 4 2 6" xfId="46935"/>
    <cellStyle name="Normal 5 2 3 4 3" xfId="1192"/>
    <cellStyle name="Normal 5 2 3 4 3 2" xfId="5541"/>
    <cellStyle name="Normal 5 2 3 4 3 2 2" xfId="44434"/>
    <cellStyle name="Normal 5 2 3 4 3 2 2 2" xfId="59560"/>
    <cellStyle name="Normal 5 2 3 4 3 2 3" xfId="42198"/>
    <cellStyle name="Normal 5 2 3 4 3 2 3 2" xfId="57325"/>
    <cellStyle name="Normal 5 2 3 4 3 2 4" xfId="39918"/>
    <cellStyle name="Normal 5 2 3 4 3 2 4 2" xfId="55046"/>
    <cellStyle name="Normal 5 2 3 4 3 2 5" xfId="50226"/>
    <cellStyle name="Normal 5 2 3 4 3 3" xfId="12002"/>
    <cellStyle name="Normal 5 2 3 4 3 3 2" xfId="43570"/>
    <cellStyle name="Normal 5 2 3 4 3 3 2 2" xfId="58696"/>
    <cellStyle name="Normal 5 2 3 4 3 3 3" xfId="52256"/>
    <cellStyle name="Normal 5 2 3 4 3 4" xfId="4363"/>
    <cellStyle name="Normal 5 2 3 4 3 4 2" xfId="41334"/>
    <cellStyle name="Normal 5 2 3 4 3 4 2 2" xfId="56461"/>
    <cellStyle name="Normal 5 2 3 4 3 4 3" xfId="49053"/>
    <cellStyle name="Normal 5 2 3 4 3 5" xfId="38754"/>
    <cellStyle name="Normal 5 2 3 4 3 5 2" xfId="53907"/>
    <cellStyle name="Normal 5 2 3 4 3 6" xfId="46422"/>
    <cellStyle name="Normal 5 2 3 4 4" xfId="2054"/>
    <cellStyle name="Normal 5 2 3 4 4 2" xfId="12860"/>
    <cellStyle name="Normal 5 2 3 4 4 2 2" xfId="43996"/>
    <cellStyle name="Normal 5 2 3 4 4 2 2 2" xfId="59122"/>
    <cellStyle name="Normal 5 2 3 4 4 2 3" xfId="53113"/>
    <cellStyle name="Normal 5 2 3 4 4 3" xfId="6400"/>
    <cellStyle name="Normal 5 2 3 4 4 3 2" xfId="41760"/>
    <cellStyle name="Normal 5 2 3 4 4 3 2 2" xfId="56887"/>
    <cellStyle name="Normal 5 2 3 4 4 3 3" xfId="51083"/>
    <cellStyle name="Normal 5 2 3 4 4 4" xfId="39480"/>
    <cellStyle name="Normal 5 2 3 4 4 4 2" xfId="54608"/>
    <cellStyle name="Normal 5 2 3 4 4 5" xfId="47279"/>
    <cellStyle name="Normal 5 2 3 4 5" xfId="4789"/>
    <cellStyle name="Normal 5 2 3 4 5 2" xfId="42868"/>
    <cellStyle name="Normal 5 2 3 4 5 2 2" xfId="57995"/>
    <cellStyle name="Normal 5 2 3 4 5 3" xfId="49474"/>
    <cellStyle name="Normal 5 2 3 4 6" xfId="11250"/>
    <cellStyle name="Normal 5 2 3 4 6 2" xfId="40633"/>
    <cellStyle name="Normal 5 2 3 4 6 2 2" xfId="55760"/>
    <cellStyle name="Normal 5 2 3 4 6 3" xfId="51504"/>
    <cellStyle name="Normal 5 2 3 4 7" xfId="3427"/>
    <cellStyle name="Normal 5 2 3 4 7 2" xfId="48121"/>
    <cellStyle name="Normal 5 2 3 4 8" xfId="38269"/>
    <cellStyle name="Normal 5 2 3 4 8 2" xfId="53469"/>
    <cellStyle name="Normal 5 2 3 4 9" xfId="45670"/>
    <cellStyle name="Normal 5 2 3 5" xfId="894"/>
    <cellStyle name="Normal 5 2 3 5 2" xfId="5243"/>
    <cellStyle name="Normal 5 2 3 5 2 2" xfId="40041"/>
    <cellStyle name="Normal 5 2 3 5 2 2 2" xfId="44557"/>
    <cellStyle name="Normal 5 2 3 5 2 2 2 2" xfId="59683"/>
    <cellStyle name="Normal 5 2 3 5 2 2 3" xfId="42321"/>
    <cellStyle name="Normal 5 2 3 5 2 2 3 2" xfId="57448"/>
    <cellStyle name="Normal 5 2 3 5 2 2 4" xfId="55169"/>
    <cellStyle name="Normal 5 2 3 5 2 3" xfId="43677"/>
    <cellStyle name="Normal 5 2 3 5 2 3 2" xfId="58803"/>
    <cellStyle name="Normal 5 2 3 5 2 4" xfId="41441"/>
    <cellStyle name="Normal 5 2 3 5 2 4 2" xfId="56568"/>
    <cellStyle name="Normal 5 2 3 5 2 5" xfId="38898"/>
    <cellStyle name="Normal 5 2 3 5 2 5 2" xfId="54030"/>
    <cellStyle name="Normal 5 2 3 5 2 6" xfId="49928"/>
    <cellStyle name="Normal 5 2 3 5 3" xfId="11704"/>
    <cellStyle name="Normal 5 2 3 5 3 2" xfId="44080"/>
    <cellStyle name="Normal 5 2 3 5 3 2 2" xfId="59206"/>
    <cellStyle name="Normal 5 2 3 5 3 3" xfId="41844"/>
    <cellStyle name="Normal 5 2 3 5 3 3 2" xfId="56971"/>
    <cellStyle name="Normal 5 2 3 5 3 4" xfId="39564"/>
    <cellStyle name="Normal 5 2 3 5 3 4 2" xfId="54692"/>
    <cellStyle name="Normal 5 2 3 5 3 5" xfId="51958"/>
    <cellStyle name="Normal 5 2 3 5 4" xfId="3129"/>
    <cellStyle name="Normal 5 2 3 5 4 2" xfId="42991"/>
    <cellStyle name="Normal 5 2 3 5 4 2 2" xfId="58117"/>
    <cellStyle name="Normal 5 2 3 5 4 3" xfId="47823"/>
    <cellStyle name="Normal 5 2 3 5 5" xfId="40755"/>
    <cellStyle name="Normal 5 2 3 5 5 2" xfId="55882"/>
    <cellStyle name="Normal 5 2 3 5 6" xfId="38394"/>
    <cellStyle name="Normal 5 2 3 5 6 2" xfId="53553"/>
    <cellStyle name="Normal 5 2 3 5 7" xfId="46124"/>
    <cellStyle name="Normal 5 2 3 6" xfId="771"/>
    <cellStyle name="Normal 5 2 3 6 2" xfId="5120"/>
    <cellStyle name="Normal 5 2 3 6 2 2" xfId="44206"/>
    <cellStyle name="Normal 5 2 3 6 2 2 2" xfId="59332"/>
    <cellStyle name="Normal 5 2 3 6 2 3" xfId="41970"/>
    <cellStyle name="Normal 5 2 3 6 2 3 2" xfId="57097"/>
    <cellStyle name="Normal 5 2 3 6 2 4" xfId="39690"/>
    <cellStyle name="Normal 5 2 3 6 2 4 2" xfId="54818"/>
    <cellStyle name="Normal 5 2 3 6 2 5" xfId="49805"/>
    <cellStyle name="Normal 5 2 3 6 3" xfId="11581"/>
    <cellStyle name="Normal 5 2 3 6 3 2" xfId="43342"/>
    <cellStyle name="Normal 5 2 3 6 3 2 2" xfId="58468"/>
    <cellStyle name="Normal 5 2 3 6 3 3" xfId="51835"/>
    <cellStyle name="Normal 5 2 3 6 4" xfId="3006"/>
    <cellStyle name="Normal 5 2 3 6 4 2" xfId="41106"/>
    <cellStyle name="Normal 5 2 3 6 4 2 2" xfId="56233"/>
    <cellStyle name="Normal 5 2 3 6 4 3" xfId="47700"/>
    <cellStyle name="Normal 5 2 3 6 5" xfId="38524"/>
    <cellStyle name="Normal 5 2 3 6 5 2" xfId="53679"/>
    <cellStyle name="Normal 5 2 3 6 6" xfId="46001"/>
    <cellStyle name="Normal 5 2 3 7" xfId="561"/>
    <cellStyle name="Normal 5 2 3 7 2" xfId="4910"/>
    <cellStyle name="Normal 5 2 3 7 2 2" xfId="43768"/>
    <cellStyle name="Normal 5 2 3 7 2 2 2" xfId="58894"/>
    <cellStyle name="Normal 5 2 3 7 2 3" xfId="49595"/>
    <cellStyle name="Normal 5 2 3 7 3" xfId="11371"/>
    <cellStyle name="Normal 5 2 3 7 3 2" xfId="41532"/>
    <cellStyle name="Normal 5 2 3 7 3 2 2" xfId="56659"/>
    <cellStyle name="Normal 5 2 3 7 3 3" xfId="51625"/>
    <cellStyle name="Normal 5 2 3 7 4" xfId="3751"/>
    <cellStyle name="Normal 5 2 3 7 4 2" xfId="48444"/>
    <cellStyle name="Normal 5 2 3 7 5" xfId="39252"/>
    <cellStyle name="Normal 5 2 3 7 5 2" xfId="54380"/>
    <cellStyle name="Normal 5 2 3 7 6" xfId="45791"/>
    <cellStyle name="Normal 5 2 3 8" xfId="1822"/>
    <cellStyle name="Normal 5 2 3 8 2" xfId="12631"/>
    <cellStyle name="Normal 5 2 3 8 2 2" xfId="52885"/>
    <cellStyle name="Normal 5 2 3 8 3" xfId="6170"/>
    <cellStyle name="Normal 5 2 3 8 3 2" xfId="50855"/>
    <cellStyle name="Normal 5 2 3 8 4" xfId="42640"/>
    <cellStyle name="Normal 5 2 3 8 4 2" xfId="57767"/>
    <cellStyle name="Normal 5 2 3 8 5" xfId="47051"/>
    <cellStyle name="Normal 5 2 3 9" xfId="2636"/>
    <cellStyle name="Normal 5 2 3 9 2" xfId="4486"/>
    <cellStyle name="Normal 5 2 3 9 2 2" xfId="49176"/>
    <cellStyle name="Normal 5 2 3 9 3" xfId="40405"/>
    <cellStyle name="Normal 5 2 3 9 3 2" xfId="55532"/>
    <cellStyle name="Normal 5 2 3 9 4" xfId="47368"/>
    <cellStyle name="Normal 5 2 4" xfId="125"/>
    <cellStyle name="Normal 5 2 4 10" xfId="38038"/>
    <cellStyle name="Normal 5 2 4 10 2" xfId="53238"/>
    <cellStyle name="Normal 5 2 4 11" xfId="45369"/>
    <cellStyle name="Normal 5 2 4 2" xfId="437"/>
    <cellStyle name="Normal 5 2 4 2 2" xfId="1433"/>
    <cellStyle name="Normal 5 2 4 2 2 2" xfId="5782"/>
    <cellStyle name="Normal 5 2 4 2 2 2 2" xfId="44554"/>
    <cellStyle name="Normal 5 2 4 2 2 2 2 2" xfId="59680"/>
    <cellStyle name="Normal 5 2 4 2 2 2 3" xfId="50467"/>
    <cellStyle name="Normal 5 2 4 2 2 3" xfId="12243"/>
    <cellStyle name="Normal 5 2 4 2 2 3 2" xfId="42318"/>
    <cellStyle name="Normal 5 2 4 2 2 3 2 2" xfId="57445"/>
    <cellStyle name="Normal 5 2 4 2 2 3 3" xfId="52497"/>
    <cellStyle name="Normal 5 2 4 2 2 4" xfId="3716"/>
    <cellStyle name="Normal 5 2 4 2 2 4 2" xfId="48409"/>
    <cellStyle name="Normal 5 2 4 2 2 5" xfId="40038"/>
    <cellStyle name="Normal 5 2 4 2 2 5 2" xfId="55166"/>
    <cellStyle name="Normal 5 2 4 2 2 6" xfId="46663"/>
    <cellStyle name="Normal 5 2 4 2 3" xfId="1702"/>
    <cellStyle name="Normal 5 2 4 2 3 2" xfId="6051"/>
    <cellStyle name="Normal 5 2 4 2 3 2 2" xfId="50736"/>
    <cellStyle name="Normal 5 2 4 2 3 3" xfId="12512"/>
    <cellStyle name="Normal 5 2 4 2 3 3 2" xfId="52766"/>
    <cellStyle name="Normal 5 2 4 2 3 4" xfId="4001"/>
    <cellStyle name="Normal 5 2 4 2 3 4 2" xfId="48694"/>
    <cellStyle name="Normal 5 2 4 2 3 5" xfId="42988"/>
    <cellStyle name="Normal 5 2 4 2 3 5 2" xfId="58114"/>
    <cellStyle name="Normal 5 2 4 2 3 6" xfId="46932"/>
    <cellStyle name="Normal 5 2 4 2 4" xfId="1189"/>
    <cellStyle name="Normal 5 2 4 2 4 2" xfId="5538"/>
    <cellStyle name="Normal 5 2 4 2 4 2 2" xfId="50223"/>
    <cellStyle name="Normal 5 2 4 2 4 3" xfId="11999"/>
    <cellStyle name="Normal 5 2 4 2 4 3 2" xfId="52253"/>
    <cellStyle name="Normal 5 2 4 2 4 4" xfId="4360"/>
    <cellStyle name="Normal 5 2 4 2 4 4 2" xfId="49050"/>
    <cellStyle name="Normal 5 2 4 2 4 5" xfId="40752"/>
    <cellStyle name="Normal 5 2 4 2 4 5 2" xfId="55879"/>
    <cellStyle name="Normal 5 2 4 2 4 6" xfId="46419"/>
    <cellStyle name="Normal 5 2 4 2 5" xfId="4786"/>
    <cellStyle name="Normal 5 2 4 2 5 2" xfId="49471"/>
    <cellStyle name="Normal 5 2 4 2 6" xfId="11247"/>
    <cellStyle name="Normal 5 2 4 2 6 2" xfId="51501"/>
    <cellStyle name="Normal 5 2 4 2 7" xfId="3424"/>
    <cellStyle name="Normal 5 2 4 2 7 2" xfId="48118"/>
    <cellStyle name="Normal 5 2 4 2 8" xfId="38895"/>
    <cellStyle name="Normal 5 2 4 2 8 2" xfId="54027"/>
    <cellStyle name="Normal 5 2 4 2 9" xfId="45667"/>
    <cellStyle name="Normal 5 2 4 3" xfId="891"/>
    <cellStyle name="Normal 5 2 4 3 2" xfId="5240"/>
    <cellStyle name="Normal 5 2 4 3 2 2" xfId="44203"/>
    <cellStyle name="Normal 5 2 4 3 2 2 2" xfId="59329"/>
    <cellStyle name="Normal 5 2 4 3 2 3" xfId="41967"/>
    <cellStyle name="Normal 5 2 4 3 2 3 2" xfId="57094"/>
    <cellStyle name="Normal 5 2 4 3 2 4" xfId="39687"/>
    <cellStyle name="Normal 5 2 4 3 2 4 2" xfId="54815"/>
    <cellStyle name="Normal 5 2 4 3 2 5" xfId="49925"/>
    <cellStyle name="Normal 5 2 4 3 3" xfId="11701"/>
    <cellStyle name="Normal 5 2 4 3 3 2" xfId="43339"/>
    <cellStyle name="Normal 5 2 4 3 3 2 2" xfId="58465"/>
    <cellStyle name="Normal 5 2 4 3 3 3" xfId="51955"/>
    <cellStyle name="Normal 5 2 4 3 4" xfId="3126"/>
    <cellStyle name="Normal 5 2 4 3 4 2" xfId="41103"/>
    <cellStyle name="Normal 5 2 4 3 4 2 2" xfId="56230"/>
    <cellStyle name="Normal 5 2 4 3 4 3" xfId="47820"/>
    <cellStyle name="Normal 5 2 4 3 5" xfId="38521"/>
    <cellStyle name="Normal 5 2 4 3 5 2" xfId="53676"/>
    <cellStyle name="Normal 5 2 4 3 6" xfId="46121"/>
    <cellStyle name="Normal 5 2 4 4" xfId="768"/>
    <cellStyle name="Normal 5 2 4 4 2" xfId="5117"/>
    <cellStyle name="Normal 5 2 4 4 2 2" xfId="43765"/>
    <cellStyle name="Normal 5 2 4 4 2 2 2" xfId="58891"/>
    <cellStyle name="Normal 5 2 4 4 2 3" xfId="49802"/>
    <cellStyle name="Normal 5 2 4 4 3" xfId="11578"/>
    <cellStyle name="Normal 5 2 4 4 3 2" xfId="41529"/>
    <cellStyle name="Normal 5 2 4 4 3 2 2" xfId="56656"/>
    <cellStyle name="Normal 5 2 4 4 3 3" xfId="51832"/>
    <cellStyle name="Normal 5 2 4 4 4" xfId="3003"/>
    <cellStyle name="Normal 5 2 4 4 4 2" xfId="47697"/>
    <cellStyle name="Normal 5 2 4 4 5" xfId="39249"/>
    <cellStyle name="Normal 5 2 4 4 5 2" xfId="54377"/>
    <cellStyle name="Normal 5 2 4 4 6" xfId="45998"/>
    <cellStyle name="Normal 5 2 4 5" xfId="558"/>
    <cellStyle name="Normal 5 2 4 5 2" xfId="4907"/>
    <cellStyle name="Normal 5 2 4 5 2 2" xfId="49592"/>
    <cellStyle name="Normal 5 2 4 5 3" xfId="11368"/>
    <cellStyle name="Normal 5 2 4 5 3 2" xfId="51622"/>
    <cellStyle name="Normal 5 2 4 5 4" xfId="4053"/>
    <cellStyle name="Normal 5 2 4 5 4 2" xfId="48746"/>
    <cellStyle name="Normal 5 2 4 5 5" xfId="42637"/>
    <cellStyle name="Normal 5 2 4 5 5 2" xfId="57764"/>
    <cellStyle name="Normal 5 2 4 5 6" xfId="45788"/>
    <cellStyle name="Normal 5 2 4 6" xfId="1819"/>
    <cellStyle name="Normal 5 2 4 6 2" xfId="12628"/>
    <cellStyle name="Normal 5 2 4 6 2 2" xfId="52882"/>
    <cellStyle name="Normal 5 2 4 6 3" xfId="6167"/>
    <cellStyle name="Normal 5 2 4 6 3 2" xfId="50852"/>
    <cellStyle name="Normal 5 2 4 6 4" xfId="40402"/>
    <cellStyle name="Normal 5 2 4 6 4 2" xfId="55529"/>
    <cellStyle name="Normal 5 2 4 6 5" xfId="47048"/>
    <cellStyle name="Normal 5 2 4 7" xfId="4483"/>
    <cellStyle name="Normal 5 2 4 7 2" xfId="49173"/>
    <cellStyle name="Normal 5 2 4 8" xfId="10949"/>
    <cellStyle name="Normal 5 2 4 8 2" xfId="51203"/>
    <cellStyle name="Normal 5 2 4 9" xfId="2786"/>
    <cellStyle name="Normal 5 2 4 9 2" xfId="47486"/>
    <cellStyle name="Normal 5 2 5" xfId="225"/>
    <cellStyle name="Normal 5 2 5 10" xfId="38114"/>
    <cellStyle name="Normal 5 2 5 10 2" xfId="53314"/>
    <cellStyle name="Normal 5 2 5 11" xfId="45457"/>
    <cellStyle name="Normal 5 2 5 2" xfId="979"/>
    <cellStyle name="Normal 5 2 5 2 2" xfId="5328"/>
    <cellStyle name="Normal 5 2 5 2 2 2" xfId="44630"/>
    <cellStyle name="Normal 5 2 5 2 2 2 2" xfId="59756"/>
    <cellStyle name="Normal 5 2 5 2 2 3" xfId="42394"/>
    <cellStyle name="Normal 5 2 5 2 2 3 2" xfId="57521"/>
    <cellStyle name="Normal 5 2 5 2 2 4" xfId="40114"/>
    <cellStyle name="Normal 5 2 5 2 2 4 2" xfId="55242"/>
    <cellStyle name="Normal 5 2 5 2 2 5" xfId="50013"/>
    <cellStyle name="Normal 5 2 5 2 3" xfId="11789"/>
    <cellStyle name="Normal 5 2 5 2 3 2" xfId="43064"/>
    <cellStyle name="Normal 5 2 5 2 3 2 2" xfId="58190"/>
    <cellStyle name="Normal 5 2 5 2 3 3" xfId="52043"/>
    <cellStyle name="Normal 5 2 5 2 4" xfId="3214"/>
    <cellStyle name="Normal 5 2 5 2 4 2" xfId="40828"/>
    <cellStyle name="Normal 5 2 5 2 4 2 2" xfId="55955"/>
    <cellStyle name="Normal 5 2 5 2 4 3" xfId="47908"/>
    <cellStyle name="Normal 5 2 5 2 5" xfId="38972"/>
    <cellStyle name="Normal 5 2 5 2 5 2" xfId="54103"/>
    <cellStyle name="Normal 5 2 5 2 6" xfId="46209"/>
    <cellStyle name="Normal 5 2 5 3" xfId="1281"/>
    <cellStyle name="Normal 5 2 5 3 2" xfId="5630"/>
    <cellStyle name="Normal 5 2 5 3 2 2" xfId="44279"/>
    <cellStyle name="Normal 5 2 5 3 2 2 2" xfId="59405"/>
    <cellStyle name="Normal 5 2 5 3 2 3" xfId="42043"/>
    <cellStyle name="Normal 5 2 5 3 2 3 2" xfId="57170"/>
    <cellStyle name="Normal 5 2 5 3 2 4" xfId="39763"/>
    <cellStyle name="Normal 5 2 5 3 2 4 2" xfId="54891"/>
    <cellStyle name="Normal 5 2 5 3 2 5" xfId="50315"/>
    <cellStyle name="Normal 5 2 5 3 3" xfId="12091"/>
    <cellStyle name="Normal 5 2 5 3 3 2" xfId="43415"/>
    <cellStyle name="Normal 5 2 5 3 3 2 2" xfId="58541"/>
    <cellStyle name="Normal 5 2 5 3 3 3" xfId="52345"/>
    <cellStyle name="Normal 5 2 5 3 4" xfId="3564"/>
    <cellStyle name="Normal 5 2 5 3 4 2" xfId="41179"/>
    <cellStyle name="Normal 5 2 5 3 4 2 2" xfId="56306"/>
    <cellStyle name="Normal 5 2 5 3 4 3" xfId="48257"/>
    <cellStyle name="Normal 5 2 5 3 5" xfId="38599"/>
    <cellStyle name="Normal 5 2 5 3 5 2" xfId="53752"/>
    <cellStyle name="Normal 5 2 5 3 6" xfId="46511"/>
    <cellStyle name="Normal 5 2 5 4" xfId="1492"/>
    <cellStyle name="Normal 5 2 5 4 2" xfId="5841"/>
    <cellStyle name="Normal 5 2 5 4 2 2" xfId="43841"/>
    <cellStyle name="Normal 5 2 5 4 2 2 2" xfId="58967"/>
    <cellStyle name="Normal 5 2 5 4 2 3" xfId="50526"/>
    <cellStyle name="Normal 5 2 5 4 3" xfId="12302"/>
    <cellStyle name="Normal 5 2 5 4 3 2" xfId="41605"/>
    <cellStyle name="Normal 5 2 5 4 3 2 2" xfId="56732"/>
    <cellStyle name="Normal 5 2 5 4 3 3" xfId="52556"/>
    <cellStyle name="Normal 5 2 5 4 4" xfId="3791"/>
    <cellStyle name="Normal 5 2 5 4 4 2" xfId="48484"/>
    <cellStyle name="Normal 5 2 5 4 5" xfId="39325"/>
    <cellStyle name="Normal 5 2 5 4 5 2" xfId="54453"/>
    <cellStyle name="Normal 5 2 5 4 6" xfId="46722"/>
    <cellStyle name="Normal 5 2 5 5" xfId="647"/>
    <cellStyle name="Normal 5 2 5 5 2" xfId="4996"/>
    <cellStyle name="Normal 5 2 5 5 2 2" xfId="49681"/>
    <cellStyle name="Normal 5 2 5 5 3" xfId="11457"/>
    <cellStyle name="Normal 5 2 5 5 3 2" xfId="51711"/>
    <cellStyle name="Normal 5 2 5 5 4" xfId="4150"/>
    <cellStyle name="Normal 5 2 5 5 4 2" xfId="48840"/>
    <cellStyle name="Normal 5 2 5 5 5" xfId="42713"/>
    <cellStyle name="Normal 5 2 5 5 5 2" xfId="57840"/>
    <cellStyle name="Normal 5 2 5 5 6" xfId="45877"/>
    <cellStyle name="Normal 5 2 5 6" xfId="1898"/>
    <cellStyle name="Normal 5 2 5 6 2" xfId="12705"/>
    <cellStyle name="Normal 5 2 5 6 2 2" xfId="52958"/>
    <cellStyle name="Normal 5 2 5 6 3" xfId="6245"/>
    <cellStyle name="Normal 5 2 5 6 3 2" xfId="50928"/>
    <cellStyle name="Normal 5 2 5 6 4" xfId="40478"/>
    <cellStyle name="Normal 5 2 5 6 4 2" xfId="55605"/>
    <cellStyle name="Normal 5 2 5 6 5" xfId="47124"/>
    <cellStyle name="Normal 5 2 5 7" xfId="4574"/>
    <cellStyle name="Normal 5 2 5 7 2" xfId="49261"/>
    <cellStyle name="Normal 5 2 5 8" xfId="11037"/>
    <cellStyle name="Normal 5 2 5 8 2" xfId="51291"/>
    <cellStyle name="Normal 5 2 5 9" xfId="2881"/>
    <cellStyle name="Normal 5 2 5 9 2" xfId="47575"/>
    <cellStyle name="Normal 5 2 6" xfId="316"/>
    <cellStyle name="Normal 5 2 6 10" xfId="45546"/>
    <cellStyle name="Normal 5 2 6 2" xfId="1370"/>
    <cellStyle name="Normal 5 2 6 2 2" xfId="5719"/>
    <cellStyle name="Normal 5 2 6 2 2 2" xfId="44706"/>
    <cellStyle name="Normal 5 2 6 2 2 2 2" xfId="59832"/>
    <cellStyle name="Normal 5 2 6 2 2 3" xfId="42470"/>
    <cellStyle name="Normal 5 2 6 2 2 3 2" xfId="57597"/>
    <cellStyle name="Normal 5 2 6 2 2 4" xfId="40190"/>
    <cellStyle name="Normal 5 2 6 2 2 4 2" xfId="55318"/>
    <cellStyle name="Normal 5 2 6 2 2 5" xfId="50404"/>
    <cellStyle name="Normal 5 2 6 2 3" xfId="12180"/>
    <cellStyle name="Normal 5 2 6 2 3 2" xfId="43140"/>
    <cellStyle name="Normal 5 2 6 2 3 2 2" xfId="58266"/>
    <cellStyle name="Normal 5 2 6 2 3 3" xfId="52434"/>
    <cellStyle name="Normal 5 2 6 2 4" xfId="3653"/>
    <cellStyle name="Normal 5 2 6 2 4 2" xfId="40904"/>
    <cellStyle name="Normal 5 2 6 2 4 2 2" xfId="56031"/>
    <cellStyle name="Normal 5 2 6 2 4 3" xfId="48346"/>
    <cellStyle name="Normal 5 2 6 2 5" xfId="39048"/>
    <cellStyle name="Normal 5 2 6 2 5 2" xfId="54179"/>
    <cellStyle name="Normal 5 2 6 2 6" xfId="46600"/>
    <cellStyle name="Normal 5 2 6 3" xfId="1581"/>
    <cellStyle name="Normal 5 2 6 3 2" xfId="5930"/>
    <cellStyle name="Normal 5 2 6 3 2 2" xfId="44355"/>
    <cellStyle name="Normal 5 2 6 3 2 2 2" xfId="59481"/>
    <cellStyle name="Normal 5 2 6 3 2 3" xfId="42119"/>
    <cellStyle name="Normal 5 2 6 3 2 3 2" xfId="57246"/>
    <cellStyle name="Normal 5 2 6 3 2 4" xfId="39839"/>
    <cellStyle name="Normal 5 2 6 3 2 4 2" xfId="54967"/>
    <cellStyle name="Normal 5 2 6 3 2 5" xfId="50615"/>
    <cellStyle name="Normal 5 2 6 3 3" xfId="12391"/>
    <cellStyle name="Normal 5 2 6 3 3 2" xfId="43491"/>
    <cellStyle name="Normal 5 2 6 3 3 2 2" xfId="58617"/>
    <cellStyle name="Normal 5 2 6 3 3 3" xfId="52645"/>
    <cellStyle name="Normal 5 2 6 3 4" xfId="3880"/>
    <cellStyle name="Normal 5 2 6 3 4 2" xfId="41255"/>
    <cellStyle name="Normal 5 2 6 3 4 2 2" xfId="56382"/>
    <cellStyle name="Normal 5 2 6 3 4 3" xfId="48573"/>
    <cellStyle name="Normal 5 2 6 3 5" xfId="38675"/>
    <cellStyle name="Normal 5 2 6 3 5 2" xfId="53828"/>
    <cellStyle name="Normal 5 2 6 3 6" xfId="46811"/>
    <cellStyle name="Normal 5 2 6 4" xfId="1068"/>
    <cellStyle name="Normal 5 2 6 4 2" xfId="5417"/>
    <cellStyle name="Normal 5 2 6 4 2 2" xfId="43917"/>
    <cellStyle name="Normal 5 2 6 4 2 2 2" xfId="59043"/>
    <cellStyle name="Normal 5 2 6 4 2 3" xfId="50102"/>
    <cellStyle name="Normal 5 2 6 4 3" xfId="11878"/>
    <cellStyle name="Normal 5 2 6 4 3 2" xfId="41681"/>
    <cellStyle name="Normal 5 2 6 4 3 2 2" xfId="56808"/>
    <cellStyle name="Normal 5 2 6 4 3 3" xfId="52132"/>
    <cellStyle name="Normal 5 2 6 4 4" xfId="4239"/>
    <cellStyle name="Normal 5 2 6 4 4 2" xfId="48929"/>
    <cellStyle name="Normal 5 2 6 4 5" xfId="39401"/>
    <cellStyle name="Normal 5 2 6 4 5 2" xfId="54529"/>
    <cellStyle name="Normal 5 2 6 4 6" xfId="46298"/>
    <cellStyle name="Normal 5 2 6 5" xfId="1974"/>
    <cellStyle name="Normal 5 2 6 5 2" xfId="12781"/>
    <cellStyle name="Normal 5 2 6 5 2 2" xfId="53034"/>
    <cellStyle name="Normal 5 2 6 5 3" xfId="6321"/>
    <cellStyle name="Normal 5 2 6 5 3 2" xfId="51004"/>
    <cellStyle name="Normal 5 2 6 5 4" xfId="42789"/>
    <cellStyle name="Normal 5 2 6 5 4 2" xfId="57916"/>
    <cellStyle name="Normal 5 2 6 5 5" xfId="47200"/>
    <cellStyle name="Normal 5 2 6 6" xfId="4665"/>
    <cellStyle name="Normal 5 2 6 6 2" xfId="40554"/>
    <cellStyle name="Normal 5 2 6 6 2 2" xfId="55681"/>
    <cellStyle name="Normal 5 2 6 6 3" xfId="49350"/>
    <cellStyle name="Normal 5 2 6 7" xfId="11126"/>
    <cellStyle name="Normal 5 2 6 7 2" xfId="51380"/>
    <cellStyle name="Normal 5 2 6 8" xfId="3303"/>
    <cellStyle name="Normal 5 2 6 8 2" xfId="47997"/>
    <cellStyle name="Normal 5 2 6 9" xfId="38190"/>
    <cellStyle name="Normal 5 2 6 9 2" xfId="53390"/>
    <cellStyle name="Normal 5 2 7" xfId="377"/>
    <cellStyle name="Normal 5 2 7 2" xfId="1642"/>
    <cellStyle name="Normal 5 2 7 2 2" xfId="5991"/>
    <cellStyle name="Normal 5 2 7 2 2 2" xfId="44782"/>
    <cellStyle name="Normal 5 2 7 2 2 2 2" xfId="59908"/>
    <cellStyle name="Normal 5 2 7 2 2 3" xfId="42546"/>
    <cellStyle name="Normal 5 2 7 2 2 3 2" xfId="57673"/>
    <cellStyle name="Normal 5 2 7 2 2 4" xfId="40266"/>
    <cellStyle name="Normal 5 2 7 2 2 4 2" xfId="55394"/>
    <cellStyle name="Normal 5 2 7 2 2 5" xfId="50676"/>
    <cellStyle name="Normal 5 2 7 2 3" xfId="12452"/>
    <cellStyle name="Normal 5 2 7 2 3 2" xfId="43216"/>
    <cellStyle name="Normal 5 2 7 2 3 2 2" xfId="58342"/>
    <cellStyle name="Normal 5 2 7 2 3 3" xfId="52706"/>
    <cellStyle name="Normal 5 2 7 2 4" xfId="3941"/>
    <cellStyle name="Normal 5 2 7 2 4 2" xfId="40980"/>
    <cellStyle name="Normal 5 2 7 2 4 2 2" xfId="56107"/>
    <cellStyle name="Normal 5 2 7 2 4 3" xfId="48634"/>
    <cellStyle name="Normal 5 2 7 2 5" xfId="39124"/>
    <cellStyle name="Normal 5 2 7 2 5 2" xfId="54255"/>
    <cellStyle name="Normal 5 2 7 2 6" xfId="46872"/>
    <cellStyle name="Normal 5 2 7 3" xfId="1129"/>
    <cellStyle name="Normal 5 2 7 3 2" xfId="5478"/>
    <cellStyle name="Normal 5 2 7 3 2 2" xfId="44431"/>
    <cellStyle name="Normal 5 2 7 3 2 2 2" xfId="59557"/>
    <cellStyle name="Normal 5 2 7 3 2 3" xfId="42195"/>
    <cellStyle name="Normal 5 2 7 3 2 3 2" xfId="57322"/>
    <cellStyle name="Normal 5 2 7 3 2 4" xfId="39915"/>
    <cellStyle name="Normal 5 2 7 3 2 4 2" xfId="55043"/>
    <cellStyle name="Normal 5 2 7 3 2 5" xfId="50163"/>
    <cellStyle name="Normal 5 2 7 3 3" xfId="11939"/>
    <cellStyle name="Normal 5 2 7 3 3 2" xfId="43567"/>
    <cellStyle name="Normal 5 2 7 3 3 2 2" xfId="58693"/>
    <cellStyle name="Normal 5 2 7 3 3 3" xfId="52193"/>
    <cellStyle name="Normal 5 2 7 3 4" xfId="4300"/>
    <cellStyle name="Normal 5 2 7 3 4 2" xfId="41331"/>
    <cellStyle name="Normal 5 2 7 3 4 2 2" xfId="56458"/>
    <cellStyle name="Normal 5 2 7 3 4 3" xfId="48990"/>
    <cellStyle name="Normal 5 2 7 3 5" xfId="38751"/>
    <cellStyle name="Normal 5 2 7 3 5 2" xfId="53904"/>
    <cellStyle name="Normal 5 2 7 3 6" xfId="46359"/>
    <cellStyle name="Normal 5 2 7 4" xfId="2051"/>
    <cellStyle name="Normal 5 2 7 4 2" xfId="12857"/>
    <cellStyle name="Normal 5 2 7 4 2 2" xfId="43993"/>
    <cellStyle name="Normal 5 2 7 4 2 2 2" xfId="59119"/>
    <cellStyle name="Normal 5 2 7 4 2 3" xfId="53110"/>
    <cellStyle name="Normal 5 2 7 4 3" xfId="6397"/>
    <cellStyle name="Normal 5 2 7 4 3 2" xfId="41757"/>
    <cellStyle name="Normal 5 2 7 4 3 2 2" xfId="56884"/>
    <cellStyle name="Normal 5 2 7 4 3 3" xfId="51080"/>
    <cellStyle name="Normal 5 2 7 4 4" xfId="39477"/>
    <cellStyle name="Normal 5 2 7 4 4 2" xfId="54605"/>
    <cellStyle name="Normal 5 2 7 4 5" xfId="47276"/>
    <cellStyle name="Normal 5 2 7 5" xfId="4726"/>
    <cellStyle name="Normal 5 2 7 5 2" xfId="42865"/>
    <cellStyle name="Normal 5 2 7 5 2 2" xfId="57992"/>
    <cellStyle name="Normal 5 2 7 5 3" xfId="49411"/>
    <cellStyle name="Normal 5 2 7 6" xfId="11187"/>
    <cellStyle name="Normal 5 2 7 6 2" xfId="40630"/>
    <cellStyle name="Normal 5 2 7 6 2 2" xfId="55757"/>
    <cellStyle name="Normal 5 2 7 6 3" xfId="51441"/>
    <cellStyle name="Normal 5 2 7 7" xfId="3364"/>
    <cellStyle name="Normal 5 2 7 7 2" xfId="48058"/>
    <cellStyle name="Normal 5 2 7 8" xfId="38266"/>
    <cellStyle name="Normal 5 2 7 8 2" xfId="53466"/>
    <cellStyle name="Normal 5 2 7 9" xfId="45607"/>
    <cellStyle name="Normal 5 2 8" xfId="829"/>
    <cellStyle name="Normal 5 2 8 2" xfId="5178"/>
    <cellStyle name="Normal 5 2 8 2 2" xfId="39985"/>
    <cellStyle name="Normal 5 2 8 2 2 2" xfId="44501"/>
    <cellStyle name="Normal 5 2 8 2 2 2 2" xfId="59627"/>
    <cellStyle name="Normal 5 2 8 2 2 3" xfId="42265"/>
    <cellStyle name="Normal 5 2 8 2 2 3 2" xfId="57392"/>
    <cellStyle name="Normal 5 2 8 2 2 4" xfId="55113"/>
    <cellStyle name="Normal 5 2 8 2 3" xfId="43636"/>
    <cellStyle name="Normal 5 2 8 2 3 2" xfId="58762"/>
    <cellStyle name="Normal 5 2 8 2 4" xfId="41400"/>
    <cellStyle name="Normal 5 2 8 2 4 2" xfId="56527"/>
    <cellStyle name="Normal 5 2 8 2 5" xfId="38842"/>
    <cellStyle name="Normal 5 2 8 2 5 2" xfId="53974"/>
    <cellStyle name="Normal 5 2 8 2 6" xfId="49863"/>
    <cellStyle name="Normal 5 2 8 3" xfId="11639"/>
    <cellStyle name="Normal 5 2 8 3 2" xfId="44077"/>
    <cellStyle name="Normal 5 2 8 3 2 2" xfId="59203"/>
    <cellStyle name="Normal 5 2 8 3 3" xfId="41841"/>
    <cellStyle name="Normal 5 2 8 3 3 2" xfId="56968"/>
    <cellStyle name="Normal 5 2 8 3 4" xfId="39561"/>
    <cellStyle name="Normal 5 2 8 3 4 2" xfId="54689"/>
    <cellStyle name="Normal 5 2 8 3 5" xfId="51893"/>
    <cellStyle name="Normal 5 2 8 4" xfId="3064"/>
    <cellStyle name="Normal 5 2 8 4 2" xfId="42935"/>
    <cellStyle name="Normal 5 2 8 4 2 2" xfId="58061"/>
    <cellStyle name="Normal 5 2 8 4 3" xfId="47758"/>
    <cellStyle name="Normal 5 2 8 5" xfId="40699"/>
    <cellStyle name="Normal 5 2 8 5 2" xfId="55826"/>
    <cellStyle name="Normal 5 2 8 6" xfId="38391"/>
    <cellStyle name="Normal 5 2 8 6 2" xfId="53550"/>
    <cellStyle name="Normal 5 2 8 7" xfId="46059"/>
    <cellStyle name="Normal 5 2 9" xfId="708"/>
    <cellStyle name="Normal 5 2 9 2" xfId="5057"/>
    <cellStyle name="Normal 5 2 9 2 2" xfId="44150"/>
    <cellStyle name="Normal 5 2 9 2 2 2" xfId="59276"/>
    <cellStyle name="Normal 5 2 9 2 3" xfId="41914"/>
    <cellStyle name="Normal 5 2 9 2 3 2" xfId="57041"/>
    <cellStyle name="Normal 5 2 9 2 4" xfId="39634"/>
    <cellStyle name="Normal 5 2 9 2 4 2" xfId="54762"/>
    <cellStyle name="Normal 5 2 9 2 5" xfId="49742"/>
    <cellStyle name="Normal 5 2 9 3" xfId="11518"/>
    <cellStyle name="Normal 5 2 9 3 2" xfId="43286"/>
    <cellStyle name="Normal 5 2 9 3 2 2" xfId="58412"/>
    <cellStyle name="Normal 5 2 9 3 3" xfId="51772"/>
    <cellStyle name="Normal 5 2 9 4" xfId="2942"/>
    <cellStyle name="Normal 5 2 9 4 2" xfId="41050"/>
    <cellStyle name="Normal 5 2 9 4 2 2" xfId="56177"/>
    <cellStyle name="Normal 5 2 9 4 3" xfId="47636"/>
    <cellStyle name="Normal 5 2 9 5" xfId="38467"/>
    <cellStyle name="Normal 5 2 9 5 2" xfId="53623"/>
    <cellStyle name="Normal 5 2 9 6" xfId="45938"/>
    <cellStyle name="Normal 5 3" xfId="35"/>
    <cellStyle name="Normal 5 3 10" xfId="1775"/>
    <cellStyle name="Normal 5 3 10 2" xfId="12585"/>
    <cellStyle name="Normal 5 3 10 2 2" xfId="52839"/>
    <cellStyle name="Normal 5 3 10 3" xfId="6124"/>
    <cellStyle name="Normal 5 3 10 3 2" xfId="50809"/>
    <cellStyle name="Normal 5 3 10 4" xfId="40346"/>
    <cellStyle name="Normal 5 3 10 4 2" xfId="55474"/>
    <cellStyle name="Normal 5 3 10 5" xfId="47005"/>
    <cellStyle name="Normal 5 3 11" xfId="2637"/>
    <cellStyle name="Normal 5 3 11 2" xfId="4429"/>
    <cellStyle name="Normal 5 3 11 2 2" xfId="49119"/>
    <cellStyle name="Normal 5 3 11 3" xfId="47369"/>
    <cellStyle name="Normal 5 3 12" xfId="10894"/>
    <cellStyle name="Normal 5 3 12 2" xfId="51149"/>
    <cellStyle name="Normal 5 3 13" xfId="2710"/>
    <cellStyle name="Normal 5 3 13 2" xfId="47434"/>
    <cellStyle name="Normal 5 3 14" xfId="37994"/>
    <cellStyle name="Normal 5 3 14 2" xfId="53195"/>
    <cellStyle name="Normal 5 3 15" xfId="45327"/>
    <cellStyle name="Normal 5 3 2" xfId="130"/>
    <cellStyle name="Normal 5 3 2 10" xfId="10954"/>
    <cellStyle name="Normal 5 3 2 10 2" xfId="51208"/>
    <cellStyle name="Normal 5 3 2 11" xfId="2791"/>
    <cellStyle name="Normal 5 3 2 11 2" xfId="47491"/>
    <cellStyle name="Normal 5 3 2 12" xfId="38043"/>
    <cellStyle name="Normal 5 3 2 12 2" xfId="53243"/>
    <cellStyle name="Normal 5 3 2 13" xfId="45374"/>
    <cellStyle name="Normal 5 3 2 2" xfId="230"/>
    <cellStyle name="Normal 5 3 2 2 10" xfId="38119"/>
    <cellStyle name="Normal 5 3 2 2 10 2" xfId="53319"/>
    <cellStyle name="Normal 5 3 2 2 11" xfId="45462"/>
    <cellStyle name="Normal 5 3 2 2 2" xfId="984"/>
    <cellStyle name="Normal 5 3 2 2 2 2" xfId="5333"/>
    <cellStyle name="Normal 5 3 2 2 2 2 2" xfId="44635"/>
    <cellStyle name="Normal 5 3 2 2 2 2 2 2" xfId="59761"/>
    <cellStyle name="Normal 5 3 2 2 2 2 3" xfId="42399"/>
    <cellStyle name="Normal 5 3 2 2 2 2 3 2" xfId="57526"/>
    <cellStyle name="Normal 5 3 2 2 2 2 4" xfId="40119"/>
    <cellStyle name="Normal 5 3 2 2 2 2 4 2" xfId="55247"/>
    <cellStyle name="Normal 5 3 2 2 2 2 5" xfId="50018"/>
    <cellStyle name="Normal 5 3 2 2 2 3" xfId="11794"/>
    <cellStyle name="Normal 5 3 2 2 2 3 2" xfId="43069"/>
    <cellStyle name="Normal 5 3 2 2 2 3 2 2" xfId="58195"/>
    <cellStyle name="Normal 5 3 2 2 2 3 3" xfId="52048"/>
    <cellStyle name="Normal 5 3 2 2 2 4" xfId="3219"/>
    <cellStyle name="Normal 5 3 2 2 2 4 2" xfId="40833"/>
    <cellStyle name="Normal 5 3 2 2 2 4 2 2" xfId="55960"/>
    <cellStyle name="Normal 5 3 2 2 2 4 3" xfId="47913"/>
    <cellStyle name="Normal 5 3 2 2 2 5" xfId="38977"/>
    <cellStyle name="Normal 5 3 2 2 2 5 2" xfId="54108"/>
    <cellStyle name="Normal 5 3 2 2 2 6" xfId="46214"/>
    <cellStyle name="Normal 5 3 2 2 3" xfId="1286"/>
    <cellStyle name="Normal 5 3 2 2 3 2" xfId="5635"/>
    <cellStyle name="Normal 5 3 2 2 3 2 2" xfId="44284"/>
    <cellStyle name="Normal 5 3 2 2 3 2 2 2" xfId="59410"/>
    <cellStyle name="Normal 5 3 2 2 3 2 3" xfId="42048"/>
    <cellStyle name="Normal 5 3 2 2 3 2 3 2" xfId="57175"/>
    <cellStyle name="Normal 5 3 2 2 3 2 4" xfId="39768"/>
    <cellStyle name="Normal 5 3 2 2 3 2 4 2" xfId="54896"/>
    <cellStyle name="Normal 5 3 2 2 3 2 5" xfId="50320"/>
    <cellStyle name="Normal 5 3 2 2 3 3" xfId="12096"/>
    <cellStyle name="Normal 5 3 2 2 3 3 2" xfId="43420"/>
    <cellStyle name="Normal 5 3 2 2 3 3 2 2" xfId="58546"/>
    <cellStyle name="Normal 5 3 2 2 3 3 3" xfId="52350"/>
    <cellStyle name="Normal 5 3 2 2 3 4" xfId="3569"/>
    <cellStyle name="Normal 5 3 2 2 3 4 2" xfId="41184"/>
    <cellStyle name="Normal 5 3 2 2 3 4 2 2" xfId="56311"/>
    <cellStyle name="Normal 5 3 2 2 3 4 3" xfId="48262"/>
    <cellStyle name="Normal 5 3 2 2 3 5" xfId="38604"/>
    <cellStyle name="Normal 5 3 2 2 3 5 2" xfId="53757"/>
    <cellStyle name="Normal 5 3 2 2 3 6" xfId="46516"/>
    <cellStyle name="Normal 5 3 2 2 4" xfId="1497"/>
    <cellStyle name="Normal 5 3 2 2 4 2" xfId="5846"/>
    <cellStyle name="Normal 5 3 2 2 4 2 2" xfId="43846"/>
    <cellStyle name="Normal 5 3 2 2 4 2 2 2" xfId="58972"/>
    <cellStyle name="Normal 5 3 2 2 4 2 3" xfId="50531"/>
    <cellStyle name="Normal 5 3 2 2 4 3" xfId="12307"/>
    <cellStyle name="Normal 5 3 2 2 4 3 2" xfId="41610"/>
    <cellStyle name="Normal 5 3 2 2 4 3 2 2" xfId="56737"/>
    <cellStyle name="Normal 5 3 2 2 4 3 3" xfId="52561"/>
    <cellStyle name="Normal 5 3 2 2 4 4" xfId="3796"/>
    <cellStyle name="Normal 5 3 2 2 4 4 2" xfId="48489"/>
    <cellStyle name="Normal 5 3 2 2 4 5" xfId="39330"/>
    <cellStyle name="Normal 5 3 2 2 4 5 2" xfId="54458"/>
    <cellStyle name="Normal 5 3 2 2 4 6" xfId="46727"/>
    <cellStyle name="Normal 5 3 2 2 5" xfId="652"/>
    <cellStyle name="Normal 5 3 2 2 5 2" xfId="5001"/>
    <cellStyle name="Normal 5 3 2 2 5 2 2" xfId="49686"/>
    <cellStyle name="Normal 5 3 2 2 5 3" xfId="11462"/>
    <cellStyle name="Normal 5 3 2 2 5 3 2" xfId="51716"/>
    <cellStyle name="Normal 5 3 2 2 5 4" xfId="4155"/>
    <cellStyle name="Normal 5 3 2 2 5 4 2" xfId="48845"/>
    <cellStyle name="Normal 5 3 2 2 5 5" xfId="42718"/>
    <cellStyle name="Normal 5 3 2 2 5 5 2" xfId="57845"/>
    <cellStyle name="Normal 5 3 2 2 5 6" xfId="45882"/>
    <cellStyle name="Normal 5 3 2 2 6" xfId="1903"/>
    <cellStyle name="Normal 5 3 2 2 6 2" xfId="12710"/>
    <cellStyle name="Normal 5 3 2 2 6 2 2" xfId="52963"/>
    <cellStyle name="Normal 5 3 2 2 6 3" xfId="6250"/>
    <cellStyle name="Normal 5 3 2 2 6 3 2" xfId="50933"/>
    <cellStyle name="Normal 5 3 2 2 6 4" xfId="40483"/>
    <cellStyle name="Normal 5 3 2 2 6 4 2" xfId="55610"/>
    <cellStyle name="Normal 5 3 2 2 6 5" xfId="47129"/>
    <cellStyle name="Normal 5 3 2 2 7" xfId="4579"/>
    <cellStyle name="Normal 5 3 2 2 7 2" xfId="49266"/>
    <cellStyle name="Normal 5 3 2 2 8" xfId="11042"/>
    <cellStyle name="Normal 5 3 2 2 8 2" xfId="51296"/>
    <cellStyle name="Normal 5 3 2 2 9" xfId="2886"/>
    <cellStyle name="Normal 5 3 2 2 9 2" xfId="47580"/>
    <cellStyle name="Normal 5 3 2 3" xfId="321"/>
    <cellStyle name="Normal 5 3 2 3 10" xfId="45551"/>
    <cellStyle name="Normal 5 3 2 3 2" xfId="1375"/>
    <cellStyle name="Normal 5 3 2 3 2 2" xfId="5724"/>
    <cellStyle name="Normal 5 3 2 3 2 2 2" xfId="44711"/>
    <cellStyle name="Normal 5 3 2 3 2 2 2 2" xfId="59837"/>
    <cellStyle name="Normal 5 3 2 3 2 2 3" xfId="42475"/>
    <cellStyle name="Normal 5 3 2 3 2 2 3 2" xfId="57602"/>
    <cellStyle name="Normal 5 3 2 3 2 2 4" xfId="40195"/>
    <cellStyle name="Normal 5 3 2 3 2 2 4 2" xfId="55323"/>
    <cellStyle name="Normal 5 3 2 3 2 2 5" xfId="50409"/>
    <cellStyle name="Normal 5 3 2 3 2 3" xfId="12185"/>
    <cellStyle name="Normal 5 3 2 3 2 3 2" xfId="43145"/>
    <cellStyle name="Normal 5 3 2 3 2 3 2 2" xfId="58271"/>
    <cellStyle name="Normal 5 3 2 3 2 3 3" xfId="52439"/>
    <cellStyle name="Normal 5 3 2 3 2 4" xfId="3658"/>
    <cellStyle name="Normal 5 3 2 3 2 4 2" xfId="40909"/>
    <cellStyle name="Normal 5 3 2 3 2 4 2 2" xfId="56036"/>
    <cellStyle name="Normal 5 3 2 3 2 4 3" xfId="48351"/>
    <cellStyle name="Normal 5 3 2 3 2 5" xfId="39053"/>
    <cellStyle name="Normal 5 3 2 3 2 5 2" xfId="54184"/>
    <cellStyle name="Normal 5 3 2 3 2 6" xfId="46605"/>
    <cellStyle name="Normal 5 3 2 3 3" xfId="1586"/>
    <cellStyle name="Normal 5 3 2 3 3 2" xfId="5935"/>
    <cellStyle name="Normal 5 3 2 3 3 2 2" xfId="44360"/>
    <cellStyle name="Normal 5 3 2 3 3 2 2 2" xfId="59486"/>
    <cellStyle name="Normal 5 3 2 3 3 2 3" xfId="42124"/>
    <cellStyle name="Normal 5 3 2 3 3 2 3 2" xfId="57251"/>
    <cellStyle name="Normal 5 3 2 3 3 2 4" xfId="39844"/>
    <cellStyle name="Normal 5 3 2 3 3 2 4 2" xfId="54972"/>
    <cellStyle name="Normal 5 3 2 3 3 2 5" xfId="50620"/>
    <cellStyle name="Normal 5 3 2 3 3 3" xfId="12396"/>
    <cellStyle name="Normal 5 3 2 3 3 3 2" xfId="43496"/>
    <cellStyle name="Normal 5 3 2 3 3 3 2 2" xfId="58622"/>
    <cellStyle name="Normal 5 3 2 3 3 3 3" xfId="52650"/>
    <cellStyle name="Normal 5 3 2 3 3 4" xfId="3885"/>
    <cellStyle name="Normal 5 3 2 3 3 4 2" xfId="41260"/>
    <cellStyle name="Normal 5 3 2 3 3 4 2 2" xfId="56387"/>
    <cellStyle name="Normal 5 3 2 3 3 4 3" xfId="48578"/>
    <cellStyle name="Normal 5 3 2 3 3 5" xfId="38680"/>
    <cellStyle name="Normal 5 3 2 3 3 5 2" xfId="53833"/>
    <cellStyle name="Normal 5 3 2 3 3 6" xfId="46816"/>
    <cellStyle name="Normal 5 3 2 3 4" xfId="1073"/>
    <cellStyle name="Normal 5 3 2 3 4 2" xfId="5422"/>
    <cellStyle name="Normal 5 3 2 3 4 2 2" xfId="43922"/>
    <cellStyle name="Normal 5 3 2 3 4 2 2 2" xfId="59048"/>
    <cellStyle name="Normal 5 3 2 3 4 2 3" xfId="50107"/>
    <cellStyle name="Normal 5 3 2 3 4 3" xfId="11883"/>
    <cellStyle name="Normal 5 3 2 3 4 3 2" xfId="41686"/>
    <cellStyle name="Normal 5 3 2 3 4 3 2 2" xfId="56813"/>
    <cellStyle name="Normal 5 3 2 3 4 3 3" xfId="52137"/>
    <cellStyle name="Normal 5 3 2 3 4 4" xfId="4244"/>
    <cellStyle name="Normal 5 3 2 3 4 4 2" xfId="48934"/>
    <cellStyle name="Normal 5 3 2 3 4 5" xfId="39406"/>
    <cellStyle name="Normal 5 3 2 3 4 5 2" xfId="54534"/>
    <cellStyle name="Normal 5 3 2 3 4 6" xfId="46303"/>
    <cellStyle name="Normal 5 3 2 3 5" xfId="1979"/>
    <cellStyle name="Normal 5 3 2 3 5 2" xfId="12786"/>
    <cellStyle name="Normal 5 3 2 3 5 2 2" xfId="53039"/>
    <cellStyle name="Normal 5 3 2 3 5 3" xfId="6326"/>
    <cellStyle name="Normal 5 3 2 3 5 3 2" xfId="51009"/>
    <cellStyle name="Normal 5 3 2 3 5 4" xfId="42794"/>
    <cellStyle name="Normal 5 3 2 3 5 4 2" xfId="57921"/>
    <cellStyle name="Normal 5 3 2 3 5 5" xfId="47205"/>
    <cellStyle name="Normal 5 3 2 3 6" xfId="4670"/>
    <cellStyle name="Normal 5 3 2 3 6 2" xfId="40559"/>
    <cellStyle name="Normal 5 3 2 3 6 2 2" xfId="55686"/>
    <cellStyle name="Normal 5 3 2 3 6 3" xfId="49355"/>
    <cellStyle name="Normal 5 3 2 3 7" xfId="11131"/>
    <cellStyle name="Normal 5 3 2 3 7 2" xfId="51385"/>
    <cellStyle name="Normal 5 3 2 3 8" xfId="3308"/>
    <cellStyle name="Normal 5 3 2 3 8 2" xfId="48002"/>
    <cellStyle name="Normal 5 3 2 3 9" xfId="38195"/>
    <cellStyle name="Normal 5 3 2 3 9 2" xfId="53395"/>
    <cellStyle name="Normal 5 3 2 4" xfId="442"/>
    <cellStyle name="Normal 5 3 2 4 2" xfId="1707"/>
    <cellStyle name="Normal 5 3 2 4 2 2" xfId="6056"/>
    <cellStyle name="Normal 5 3 2 4 2 2 2" xfId="44787"/>
    <cellStyle name="Normal 5 3 2 4 2 2 2 2" xfId="59913"/>
    <cellStyle name="Normal 5 3 2 4 2 2 3" xfId="42551"/>
    <cellStyle name="Normal 5 3 2 4 2 2 3 2" xfId="57678"/>
    <cellStyle name="Normal 5 3 2 4 2 2 4" xfId="40271"/>
    <cellStyle name="Normal 5 3 2 4 2 2 4 2" xfId="55399"/>
    <cellStyle name="Normal 5 3 2 4 2 2 5" xfId="50741"/>
    <cellStyle name="Normal 5 3 2 4 2 3" xfId="12517"/>
    <cellStyle name="Normal 5 3 2 4 2 3 2" xfId="43221"/>
    <cellStyle name="Normal 5 3 2 4 2 3 2 2" xfId="58347"/>
    <cellStyle name="Normal 5 3 2 4 2 3 3" xfId="52771"/>
    <cellStyle name="Normal 5 3 2 4 2 4" xfId="4006"/>
    <cellStyle name="Normal 5 3 2 4 2 4 2" xfId="40985"/>
    <cellStyle name="Normal 5 3 2 4 2 4 2 2" xfId="56112"/>
    <cellStyle name="Normal 5 3 2 4 2 4 3" xfId="48699"/>
    <cellStyle name="Normal 5 3 2 4 2 5" xfId="39129"/>
    <cellStyle name="Normal 5 3 2 4 2 5 2" xfId="54260"/>
    <cellStyle name="Normal 5 3 2 4 2 6" xfId="46937"/>
    <cellStyle name="Normal 5 3 2 4 3" xfId="1194"/>
    <cellStyle name="Normal 5 3 2 4 3 2" xfId="5543"/>
    <cellStyle name="Normal 5 3 2 4 3 2 2" xfId="44436"/>
    <cellStyle name="Normal 5 3 2 4 3 2 2 2" xfId="59562"/>
    <cellStyle name="Normal 5 3 2 4 3 2 3" xfId="42200"/>
    <cellStyle name="Normal 5 3 2 4 3 2 3 2" xfId="57327"/>
    <cellStyle name="Normal 5 3 2 4 3 2 4" xfId="39920"/>
    <cellStyle name="Normal 5 3 2 4 3 2 4 2" xfId="55048"/>
    <cellStyle name="Normal 5 3 2 4 3 2 5" xfId="50228"/>
    <cellStyle name="Normal 5 3 2 4 3 3" xfId="12004"/>
    <cellStyle name="Normal 5 3 2 4 3 3 2" xfId="43572"/>
    <cellStyle name="Normal 5 3 2 4 3 3 2 2" xfId="58698"/>
    <cellStyle name="Normal 5 3 2 4 3 3 3" xfId="52258"/>
    <cellStyle name="Normal 5 3 2 4 3 4" xfId="4365"/>
    <cellStyle name="Normal 5 3 2 4 3 4 2" xfId="41336"/>
    <cellStyle name="Normal 5 3 2 4 3 4 2 2" xfId="56463"/>
    <cellStyle name="Normal 5 3 2 4 3 4 3" xfId="49055"/>
    <cellStyle name="Normal 5 3 2 4 3 5" xfId="38756"/>
    <cellStyle name="Normal 5 3 2 4 3 5 2" xfId="53909"/>
    <cellStyle name="Normal 5 3 2 4 3 6" xfId="46424"/>
    <cellStyle name="Normal 5 3 2 4 4" xfId="2056"/>
    <cellStyle name="Normal 5 3 2 4 4 2" xfId="12862"/>
    <cellStyle name="Normal 5 3 2 4 4 2 2" xfId="43998"/>
    <cellStyle name="Normal 5 3 2 4 4 2 2 2" xfId="59124"/>
    <cellStyle name="Normal 5 3 2 4 4 2 3" xfId="53115"/>
    <cellStyle name="Normal 5 3 2 4 4 3" xfId="6402"/>
    <cellStyle name="Normal 5 3 2 4 4 3 2" xfId="41762"/>
    <cellStyle name="Normal 5 3 2 4 4 3 2 2" xfId="56889"/>
    <cellStyle name="Normal 5 3 2 4 4 3 3" xfId="51085"/>
    <cellStyle name="Normal 5 3 2 4 4 4" xfId="39482"/>
    <cellStyle name="Normal 5 3 2 4 4 4 2" xfId="54610"/>
    <cellStyle name="Normal 5 3 2 4 4 5" xfId="47281"/>
    <cellStyle name="Normal 5 3 2 4 5" xfId="4791"/>
    <cellStyle name="Normal 5 3 2 4 5 2" xfId="42870"/>
    <cellStyle name="Normal 5 3 2 4 5 2 2" xfId="57997"/>
    <cellStyle name="Normal 5 3 2 4 5 3" xfId="49476"/>
    <cellStyle name="Normal 5 3 2 4 6" xfId="11252"/>
    <cellStyle name="Normal 5 3 2 4 6 2" xfId="40635"/>
    <cellStyle name="Normal 5 3 2 4 6 2 2" xfId="55762"/>
    <cellStyle name="Normal 5 3 2 4 6 3" xfId="51506"/>
    <cellStyle name="Normal 5 3 2 4 7" xfId="3429"/>
    <cellStyle name="Normal 5 3 2 4 7 2" xfId="48123"/>
    <cellStyle name="Normal 5 3 2 4 8" xfId="38271"/>
    <cellStyle name="Normal 5 3 2 4 8 2" xfId="53471"/>
    <cellStyle name="Normal 5 3 2 4 9" xfId="45672"/>
    <cellStyle name="Normal 5 3 2 5" xfId="896"/>
    <cellStyle name="Normal 5 3 2 5 2" xfId="5245"/>
    <cellStyle name="Normal 5 3 2 5 2 2" xfId="40043"/>
    <cellStyle name="Normal 5 3 2 5 2 2 2" xfId="44559"/>
    <cellStyle name="Normal 5 3 2 5 2 2 2 2" xfId="59685"/>
    <cellStyle name="Normal 5 3 2 5 2 2 3" xfId="42323"/>
    <cellStyle name="Normal 5 3 2 5 2 2 3 2" xfId="57450"/>
    <cellStyle name="Normal 5 3 2 5 2 2 4" xfId="55171"/>
    <cellStyle name="Normal 5 3 2 5 2 3" xfId="43678"/>
    <cellStyle name="Normal 5 3 2 5 2 3 2" xfId="58804"/>
    <cellStyle name="Normal 5 3 2 5 2 4" xfId="41442"/>
    <cellStyle name="Normal 5 3 2 5 2 4 2" xfId="56569"/>
    <cellStyle name="Normal 5 3 2 5 2 5" xfId="38900"/>
    <cellStyle name="Normal 5 3 2 5 2 5 2" xfId="54032"/>
    <cellStyle name="Normal 5 3 2 5 2 6" xfId="49930"/>
    <cellStyle name="Normal 5 3 2 5 3" xfId="11706"/>
    <cellStyle name="Normal 5 3 2 5 3 2" xfId="44082"/>
    <cellStyle name="Normal 5 3 2 5 3 2 2" xfId="59208"/>
    <cellStyle name="Normal 5 3 2 5 3 3" xfId="41846"/>
    <cellStyle name="Normal 5 3 2 5 3 3 2" xfId="56973"/>
    <cellStyle name="Normal 5 3 2 5 3 4" xfId="39566"/>
    <cellStyle name="Normal 5 3 2 5 3 4 2" xfId="54694"/>
    <cellStyle name="Normal 5 3 2 5 3 5" xfId="51960"/>
    <cellStyle name="Normal 5 3 2 5 4" xfId="3131"/>
    <cellStyle name="Normal 5 3 2 5 4 2" xfId="42993"/>
    <cellStyle name="Normal 5 3 2 5 4 2 2" xfId="58119"/>
    <cellStyle name="Normal 5 3 2 5 4 3" xfId="47825"/>
    <cellStyle name="Normal 5 3 2 5 5" xfId="40757"/>
    <cellStyle name="Normal 5 3 2 5 5 2" xfId="55884"/>
    <cellStyle name="Normal 5 3 2 5 6" xfId="38396"/>
    <cellStyle name="Normal 5 3 2 5 6 2" xfId="53555"/>
    <cellStyle name="Normal 5 3 2 5 7" xfId="46126"/>
    <cellStyle name="Normal 5 3 2 6" xfId="773"/>
    <cellStyle name="Normal 5 3 2 6 2" xfId="5122"/>
    <cellStyle name="Normal 5 3 2 6 2 2" xfId="44208"/>
    <cellStyle name="Normal 5 3 2 6 2 2 2" xfId="59334"/>
    <cellStyle name="Normal 5 3 2 6 2 3" xfId="41972"/>
    <cellStyle name="Normal 5 3 2 6 2 3 2" xfId="57099"/>
    <cellStyle name="Normal 5 3 2 6 2 4" xfId="39692"/>
    <cellStyle name="Normal 5 3 2 6 2 4 2" xfId="54820"/>
    <cellStyle name="Normal 5 3 2 6 2 5" xfId="49807"/>
    <cellStyle name="Normal 5 3 2 6 3" xfId="11583"/>
    <cellStyle name="Normal 5 3 2 6 3 2" xfId="43344"/>
    <cellStyle name="Normal 5 3 2 6 3 2 2" xfId="58470"/>
    <cellStyle name="Normal 5 3 2 6 3 3" xfId="51837"/>
    <cellStyle name="Normal 5 3 2 6 4" xfId="3008"/>
    <cellStyle name="Normal 5 3 2 6 4 2" xfId="41108"/>
    <cellStyle name="Normal 5 3 2 6 4 2 2" xfId="56235"/>
    <cellStyle name="Normal 5 3 2 6 4 3" xfId="47702"/>
    <cellStyle name="Normal 5 3 2 6 5" xfId="38526"/>
    <cellStyle name="Normal 5 3 2 6 5 2" xfId="53681"/>
    <cellStyle name="Normal 5 3 2 6 6" xfId="46003"/>
    <cellStyle name="Normal 5 3 2 7" xfId="563"/>
    <cellStyle name="Normal 5 3 2 7 2" xfId="4912"/>
    <cellStyle name="Normal 5 3 2 7 2 2" xfId="43770"/>
    <cellStyle name="Normal 5 3 2 7 2 2 2" xfId="58896"/>
    <cellStyle name="Normal 5 3 2 7 2 3" xfId="49597"/>
    <cellStyle name="Normal 5 3 2 7 3" xfId="11373"/>
    <cellStyle name="Normal 5 3 2 7 3 2" xfId="41534"/>
    <cellStyle name="Normal 5 3 2 7 3 2 2" xfId="56661"/>
    <cellStyle name="Normal 5 3 2 7 3 3" xfId="51627"/>
    <cellStyle name="Normal 5 3 2 7 4" xfId="4081"/>
    <cellStyle name="Normal 5 3 2 7 4 2" xfId="48773"/>
    <cellStyle name="Normal 5 3 2 7 5" xfId="39254"/>
    <cellStyle name="Normal 5 3 2 7 5 2" xfId="54382"/>
    <cellStyle name="Normal 5 3 2 7 6" xfId="45793"/>
    <cellStyle name="Normal 5 3 2 8" xfId="1824"/>
    <cellStyle name="Normal 5 3 2 8 2" xfId="12633"/>
    <cellStyle name="Normal 5 3 2 8 2 2" xfId="52887"/>
    <cellStyle name="Normal 5 3 2 8 3" xfId="6172"/>
    <cellStyle name="Normal 5 3 2 8 3 2" xfId="50857"/>
    <cellStyle name="Normal 5 3 2 8 4" xfId="42642"/>
    <cellStyle name="Normal 5 3 2 8 4 2" xfId="57769"/>
    <cellStyle name="Normal 5 3 2 8 5" xfId="47053"/>
    <cellStyle name="Normal 5 3 2 9" xfId="2638"/>
    <cellStyle name="Normal 5 3 2 9 2" xfId="4488"/>
    <cellStyle name="Normal 5 3 2 9 2 2" xfId="49178"/>
    <cellStyle name="Normal 5 3 2 9 3" xfId="40407"/>
    <cellStyle name="Normal 5 3 2 9 3 2" xfId="55534"/>
    <cellStyle name="Normal 5 3 2 9 4" xfId="47370"/>
    <cellStyle name="Normal 5 3 3" xfId="129"/>
    <cellStyle name="Normal 5 3 3 10" xfId="38042"/>
    <cellStyle name="Normal 5 3 3 10 2" xfId="53242"/>
    <cellStyle name="Normal 5 3 3 11" xfId="45373"/>
    <cellStyle name="Normal 5 3 3 2" xfId="441"/>
    <cellStyle name="Normal 5 3 3 2 2" xfId="1435"/>
    <cellStyle name="Normal 5 3 3 2 2 2" xfId="5784"/>
    <cellStyle name="Normal 5 3 3 2 2 2 2" xfId="44558"/>
    <cellStyle name="Normal 5 3 3 2 2 2 2 2" xfId="59684"/>
    <cellStyle name="Normal 5 3 3 2 2 2 3" xfId="50469"/>
    <cellStyle name="Normal 5 3 3 2 2 3" xfId="12245"/>
    <cellStyle name="Normal 5 3 3 2 2 3 2" xfId="42322"/>
    <cellStyle name="Normal 5 3 3 2 2 3 2 2" xfId="57449"/>
    <cellStyle name="Normal 5 3 3 2 2 3 3" xfId="52499"/>
    <cellStyle name="Normal 5 3 3 2 2 4" xfId="3718"/>
    <cellStyle name="Normal 5 3 3 2 2 4 2" xfId="48411"/>
    <cellStyle name="Normal 5 3 3 2 2 5" xfId="40042"/>
    <cellStyle name="Normal 5 3 3 2 2 5 2" xfId="55170"/>
    <cellStyle name="Normal 5 3 3 2 2 6" xfId="46665"/>
    <cellStyle name="Normal 5 3 3 2 3" xfId="1706"/>
    <cellStyle name="Normal 5 3 3 2 3 2" xfId="6055"/>
    <cellStyle name="Normal 5 3 3 2 3 2 2" xfId="50740"/>
    <cellStyle name="Normal 5 3 3 2 3 3" xfId="12516"/>
    <cellStyle name="Normal 5 3 3 2 3 3 2" xfId="52770"/>
    <cellStyle name="Normal 5 3 3 2 3 4" xfId="4005"/>
    <cellStyle name="Normal 5 3 3 2 3 4 2" xfId="48698"/>
    <cellStyle name="Normal 5 3 3 2 3 5" xfId="42992"/>
    <cellStyle name="Normal 5 3 3 2 3 5 2" xfId="58118"/>
    <cellStyle name="Normal 5 3 3 2 3 6" xfId="46936"/>
    <cellStyle name="Normal 5 3 3 2 4" xfId="1193"/>
    <cellStyle name="Normal 5 3 3 2 4 2" xfId="5542"/>
    <cellStyle name="Normal 5 3 3 2 4 2 2" xfId="50227"/>
    <cellStyle name="Normal 5 3 3 2 4 3" xfId="12003"/>
    <cellStyle name="Normal 5 3 3 2 4 3 2" xfId="52257"/>
    <cellStyle name="Normal 5 3 3 2 4 4" xfId="4364"/>
    <cellStyle name="Normal 5 3 3 2 4 4 2" xfId="49054"/>
    <cellStyle name="Normal 5 3 3 2 4 5" xfId="40756"/>
    <cellStyle name="Normal 5 3 3 2 4 5 2" xfId="55883"/>
    <cellStyle name="Normal 5 3 3 2 4 6" xfId="46423"/>
    <cellStyle name="Normal 5 3 3 2 5" xfId="4790"/>
    <cellStyle name="Normal 5 3 3 2 5 2" xfId="49475"/>
    <cellStyle name="Normal 5 3 3 2 6" xfId="11251"/>
    <cellStyle name="Normal 5 3 3 2 6 2" xfId="51505"/>
    <cellStyle name="Normal 5 3 3 2 7" xfId="3428"/>
    <cellStyle name="Normal 5 3 3 2 7 2" xfId="48122"/>
    <cellStyle name="Normal 5 3 3 2 8" xfId="38899"/>
    <cellStyle name="Normal 5 3 3 2 8 2" xfId="54031"/>
    <cellStyle name="Normal 5 3 3 2 9" xfId="45671"/>
    <cellStyle name="Normal 5 3 3 3" xfId="895"/>
    <cellStyle name="Normal 5 3 3 3 2" xfId="5244"/>
    <cellStyle name="Normal 5 3 3 3 2 2" xfId="44207"/>
    <cellStyle name="Normal 5 3 3 3 2 2 2" xfId="59333"/>
    <cellStyle name="Normal 5 3 3 3 2 3" xfId="41971"/>
    <cellStyle name="Normal 5 3 3 3 2 3 2" xfId="57098"/>
    <cellStyle name="Normal 5 3 3 3 2 4" xfId="39691"/>
    <cellStyle name="Normal 5 3 3 3 2 4 2" xfId="54819"/>
    <cellStyle name="Normal 5 3 3 3 2 5" xfId="49929"/>
    <cellStyle name="Normal 5 3 3 3 3" xfId="11705"/>
    <cellStyle name="Normal 5 3 3 3 3 2" xfId="43343"/>
    <cellStyle name="Normal 5 3 3 3 3 2 2" xfId="58469"/>
    <cellStyle name="Normal 5 3 3 3 3 3" xfId="51959"/>
    <cellStyle name="Normal 5 3 3 3 4" xfId="3130"/>
    <cellStyle name="Normal 5 3 3 3 4 2" xfId="41107"/>
    <cellStyle name="Normal 5 3 3 3 4 2 2" xfId="56234"/>
    <cellStyle name="Normal 5 3 3 3 4 3" xfId="47824"/>
    <cellStyle name="Normal 5 3 3 3 5" xfId="38525"/>
    <cellStyle name="Normal 5 3 3 3 5 2" xfId="53680"/>
    <cellStyle name="Normal 5 3 3 3 6" xfId="46125"/>
    <cellStyle name="Normal 5 3 3 4" xfId="772"/>
    <cellStyle name="Normal 5 3 3 4 2" xfId="5121"/>
    <cellStyle name="Normal 5 3 3 4 2 2" xfId="43769"/>
    <cellStyle name="Normal 5 3 3 4 2 2 2" xfId="58895"/>
    <cellStyle name="Normal 5 3 3 4 2 3" xfId="49806"/>
    <cellStyle name="Normal 5 3 3 4 3" xfId="11582"/>
    <cellStyle name="Normal 5 3 3 4 3 2" xfId="41533"/>
    <cellStyle name="Normal 5 3 3 4 3 2 2" xfId="56660"/>
    <cellStyle name="Normal 5 3 3 4 3 3" xfId="51836"/>
    <cellStyle name="Normal 5 3 3 4 4" xfId="3007"/>
    <cellStyle name="Normal 5 3 3 4 4 2" xfId="47701"/>
    <cellStyle name="Normal 5 3 3 4 5" xfId="39253"/>
    <cellStyle name="Normal 5 3 3 4 5 2" xfId="54381"/>
    <cellStyle name="Normal 5 3 3 4 6" xfId="46002"/>
    <cellStyle name="Normal 5 3 3 5" xfId="562"/>
    <cellStyle name="Normal 5 3 3 5 2" xfId="4911"/>
    <cellStyle name="Normal 5 3 3 5 2 2" xfId="49596"/>
    <cellStyle name="Normal 5 3 3 5 3" xfId="11372"/>
    <cellStyle name="Normal 5 3 3 5 3 2" xfId="51626"/>
    <cellStyle name="Normal 5 3 3 5 4" xfId="3489"/>
    <cellStyle name="Normal 5 3 3 5 4 2" xfId="48183"/>
    <cellStyle name="Normal 5 3 3 5 5" xfId="42641"/>
    <cellStyle name="Normal 5 3 3 5 5 2" xfId="57768"/>
    <cellStyle name="Normal 5 3 3 5 6" xfId="45792"/>
    <cellStyle name="Normal 5 3 3 6" xfId="1823"/>
    <cellStyle name="Normal 5 3 3 6 2" xfId="12632"/>
    <cellStyle name="Normal 5 3 3 6 2 2" xfId="52886"/>
    <cellStyle name="Normal 5 3 3 6 3" xfId="6171"/>
    <cellStyle name="Normal 5 3 3 6 3 2" xfId="50856"/>
    <cellStyle name="Normal 5 3 3 6 4" xfId="40406"/>
    <cellStyle name="Normal 5 3 3 6 4 2" xfId="55533"/>
    <cellStyle name="Normal 5 3 3 6 5" xfId="47052"/>
    <cellStyle name="Normal 5 3 3 7" xfId="4487"/>
    <cellStyle name="Normal 5 3 3 7 2" xfId="49177"/>
    <cellStyle name="Normal 5 3 3 8" xfId="10953"/>
    <cellStyle name="Normal 5 3 3 8 2" xfId="51207"/>
    <cellStyle name="Normal 5 3 3 9" xfId="2790"/>
    <cellStyle name="Normal 5 3 3 9 2" xfId="47490"/>
    <cellStyle name="Normal 5 3 4" xfId="229"/>
    <cellStyle name="Normal 5 3 4 10" xfId="38118"/>
    <cellStyle name="Normal 5 3 4 10 2" xfId="53318"/>
    <cellStyle name="Normal 5 3 4 11" xfId="45461"/>
    <cellStyle name="Normal 5 3 4 2" xfId="983"/>
    <cellStyle name="Normal 5 3 4 2 2" xfId="5332"/>
    <cellStyle name="Normal 5 3 4 2 2 2" xfId="44634"/>
    <cellStyle name="Normal 5 3 4 2 2 2 2" xfId="59760"/>
    <cellStyle name="Normal 5 3 4 2 2 3" xfId="42398"/>
    <cellStyle name="Normal 5 3 4 2 2 3 2" xfId="57525"/>
    <cellStyle name="Normal 5 3 4 2 2 4" xfId="40118"/>
    <cellStyle name="Normal 5 3 4 2 2 4 2" xfId="55246"/>
    <cellStyle name="Normal 5 3 4 2 2 5" xfId="50017"/>
    <cellStyle name="Normal 5 3 4 2 3" xfId="11793"/>
    <cellStyle name="Normal 5 3 4 2 3 2" xfId="43068"/>
    <cellStyle name="Normal 5 3 4 2 3 2 2" xfId="58194"/>
    <cellStyle name="Normal 5 3 4 2 3 3" xfId="52047"/>
    <cellStyle name="Normal 5 3 4 2 4" xfId="3218"/>
    <cellStyle name="Normal 5 3 4 2 4 2" xfId="40832"/>
    <cellStyle name="Normal 5 3 4 2 4 2 2" xfId="55959"/>
    <cellStyle name="Normal 5 3 4 2 4 3" xfId="47912"/>
    <cellStyle name="Normal 5 3 4 2 5" xfId="38976"/>
    <cellStyle name="Normal 5 3 4 2 5 2" xfId="54107"/>
    <cellStyle name="Normal 5 3 4 2 6" xfId="46213"/>
    <cellStyle name="Normal 5 3 4 3" xfId="1285"/>
    <cellStyle name="Normal 5 3 4 3 2" xfId="5634"/>
    <cellStyle name="Normal 5 3 4 3 2 2" xfId="44283"/>
    <cellStyle name="Normal 5 3 4 3 2 2 2" xfId="59409"/>
    <cellStyle name="Normal 5 3 4 3 2 3" xfId="42047"/>
    <cellStyle name="Normal 5 3 4 3 2 3 2" xfId="57174"/>
    <cellStyle name="Normal 5 3 4 3 2 4" xfId="39767"/>
    <cellStyle name="Normal 5 3 4 3 2 4 2" xfId="54895"/>
    <cellStyle name="Normal 5 3 4 3 2 5" xfId="50319"/>
    <cellStyle name="Normal 5 3 4 3 3" xfId="12095"/>
    <cellStyle name="Normal 5 3 4 3 3 2" xfId="43419"/>
    <cellStyle name="Normal 5 3 4 3 3 2 2" xfId="58545"/>
    <cellStyle name="Normal 5 3 4 3 3 3" xfId="52349"/>
    <cellStyle name="Normal 5 3 4 3 4" xfId="3568"/>
    <cellStyle name="Normal 5 3 4 3 4 2" xfId="41183"/>
    <cellStyle name="Normal 5 3 4 3 4 2 2" xfId="56310"/>
    <cellStyle name="Normal 5 3 4 3 4 3" xfId="48261"/>
    <cellStyle name="Normal 5 3 4 3 5" xfId="38603"/>
    <cellStyle name="Normal 5 3 4 3 5 2" xfId="53756"/>
    <cellStyle name="Normal 5 3 4 3 6" xfId="46515"/>
    <cellStyle name="Normal 5 3 4 4" xfId="1496"/>
    <cellStyle name="Normal 5 3 4 4 2" xfId="5845"/>
    <cellStyle name="Normal 5 3 4 4 2 2" xfId="43845"/>
    <cellStyle name="Normal 5 3 4 4 2 2 2" xfId="58971"/>
    <cellStyle name="Normal 5 3 4 4 2 3" xfId="50530"/>
    <cellStyle name="Normal 5 3 4 4 3" xfId="12306"/>
    <cellStyle name="Normal 5 3 4 4 3 2" xfId="41609"/>
    <cellStyle name="Normal 5 3 4 4 3 2 2" xfId="56736"/>
    <cellStyle name="Normal 5 3 4 4 3 3" xfId="52560"/>
    <cellStyle name="Normal 5 3 4 4 4" xfId="3795"/>
    <cellStyle name="Normal 5 3 4 4 4 2" xfId="48488"/>
    <cellStyle name="Normal 5 3 4 4 5" xfId="39329"/>
    <cellStyle name="Normal 5 3 4 4 5 2" xfId="54457"/>
    <cellStyle name="Normal 5 3 4 4 6" xfId="46726"/>
    <cellStyle name="Normal 5 3 4 5" xfId="651"/>
    <cellStyle name="Normal 5 3 4 5 2" xfId="5000"/>
    <cellStyle name="Normal 5 3 4 5 2 2" xfId="49685"/>
    <cellStyle name="Normal 5 3 4 5 3" xfId="11461"/>
    <cellStyle name="Normal 5 3 4 5 3 2" xfId="51715"/>
    <cellStyle name="Normal 5 3 4 5 4" xfId="4154"/>
    <cellStyle name="Normal 5 3 4 5 4 2" xfId="48844"/>
    <cellStyle name="Normal 5 3 4 5 5" xfId="42717"/>
    <cellStyle name="Normal 5 3 4 5 5 2" xfId="57844"/>
    <cellStyle name="Normal 5 3 4 5 6" xfId="45881"/>
    <cellStyle name="Normal 5 3 4 6" xfId="1902"/>
    <cellStyle name="Normal 5 3 4 6 2" xfId="12709"/>
    <cellStyle name="Normal 5 3 4 6 2 2" xfId="52962"/>
    <cellStyle name="Normal 5 3 4 6 3" xfId="6249"/>
    <cellStyle name="Normal 5 3 4 6 3 2" xfId="50932"/>
    <cellStyle name="Normal 5 3 4 6 4" xfId="40482"/>
    <cellStyle name="Normal 5 3 4 6 4 2" xfId="55609"/>
    <cellStyle name="Normal 5 3 4 6 5" xfId="47128"/>
    <cellStyle name="Normal 5 3 4 7" xfId="4578"/>
    <cellStyle name="Normal 5 3 4 7 2" xfId="49265"/>
    <cellStyle name="Normal 5 3 4 8" xfId="11041"/>
    <cellStyle name="Normal 5 3 4 8 2" xfId="51295"/>
    <cellStyle name="Normal 5 3 4 9" xfId="2885"/>
    <cellStyle name="Normal 5 3 4 9 2" xfId="47579"/>
    <cellStyle name="Normal 5 3 5" xfId="320"/>
    <cellStyle name="Normal 5 3 5 10" xfId="45550"/>
    <cellStyle name="Normal 5 3 5 2" xfId="1374"/>
    <cellStyle name="Normal 5 3 5 2 2" xfId="5723"/>
    <cellStyle name="Normal 5 3 5 2 2 2" xfId="44710"/>
    <cellStyle name="Normal 5 3 5 2 2 2 2" xfId="59836"/>
    <cellStyle name="Normal 5 3 5 2 2 3" xfId="42474"/>
    <cellStyle name="Normal 5 3 5 2 2 3 2" xfId="57601"/>
    <cellStyle name="Normal 5 3 5 2 2 4" xfId="40194"/>
    <cellStyle name="Normal 5 3 5 2 2 4 2" xfId="55322"/>
    <cellStyle name="Normal 5 3 5 2 2 5" xfId="50408"/>
    <cellStyle name="Normal 5 3 5 2 3" xfId="12184"/>
    <cellStyle name="Normal 5 3 5 2 3 2" xfId="43144"/>
    <cellStyle name="Normal 5 3 5 2 3 2 2" xfId="58270"/>
    <cellStyle name="Normal 5 3 5 2 3 3" xfId="52438"/>
    <cellStyle name="Normal 5 3 5 2 4" xfId="3657"/>
    <cellStyle name="Normal 5 3 5 2 4 2" xfId="40908"/>
    <cellStyle name="Normal 5 3 5 2 4 2 2" xfId="56035"/>
    <cellStyle name="Normal 5 3 5 2 4 3" xfId="48350"/>
    <cellStyle name="Normal 5 3 5 2 5" xfId="39052"/>
    <cellStyle name="Normal 5 3 5 2 5 2" xfId="54183"/>
    <cellStyle name="Normal 5 3 5 2 6" xfId="46604"/>
    <cellStyle name="Normal 5 3 5 3" xfId="1585"/>
    <cellStyle name="Normal 5 3 5 3 2" xfId="5934"/>
    <cellStyle name="Normal 5 3 5 3 2 2" xfId="44359"/>
    <cellStyle name="Normal 5 3 5 3 2 2 2" xfId="59485"/>
    <cellStyle name="Normal 5 3 5 3 2 3" xfId="42123"/>
    <cellStyle name="Normal 5 3 5 3 2 3 2" xfId="57250"/>
    <cellStyle name="Normal 5 3 5 3 2 4" xfId="39843"/>
    <cellStyle name="Normal 5 3 5 3 2 4 2" xfId="54971"/>
    <cellStyle name="Normal 5 3 5 3 2 5" xfId="50619"/>
    <cellStyle name="Normal 5 3 5 3 3" xfId="12395"/>
    <cellStyle name="Normal 5 3 5 3 3 2" xfId="43495"/>
    <cellStyle name="Normal 5 3 5 3 3 2 2" xfId="58621"/>
    <cellStyle name="Normal 5 3 5 3 3 3" xfId="52649"/>
    <cellStyle name="Normal 5 3 5 3 4" xfId="3884"/>
    <cellStyle name="Normal 5 3 5 3 4 2" xfId="41259"/>
    <cellStyle name="Normal 5 3 5 3 4 2 2" xfId="56386"/>
    <cellStyle name="Normal 5 3 5 3 4 3" xfId="48577"/>
    <cellStyle name="Normal 5 3 5 3 5" xfId="38679"/>
    <cellStyle name="Normal 5 3 5 3 5 2" xfId="53832"/>
    <cellStyle name="Normal 5 3 5 3 6" xfId="46815"/>
    <cellStyle name="Normal 5 3 5 4" xfId="1072"/>
    <cellStyle name="Normal 5 3 5 4 2" xfId="5421"/>
    <cellStyle name="Normal 5 3 5 4 2 2" xfId="43921"/>
    <cellStyle name="Normal 5 3 5 4 2 2 2" xfId="59047"/>
    <cellStyle name="Normal 5 3 5 4 2 3" xfId="50106"/>
    <cellStyle name="Normal 5 3 5 4 3" xfId="11882"/>
    <cellStyle name="Normal 5 3 5 4 3 2" xfId="41685"/>
    <cellStyle name="Normal 5 3 5 4 3 2 2" xfId="56812"/>
    <cellStyle name="Normal 5 3 5 4 3 3" xfId="52136"/>
    <cellStyle name="Normal 5 3 5 4 4" xfId="4243"/>
    <cellStyle name="Normal 5 3 5 4 4 2" xfId="48933"/>
    <cellStyle name="Normal 5 3 5 4 5" xfId="39405"/>
    <cellStyle name="Normal 5 3 5 4 5 2" xfId="54533"/>
    <cellStyle name="Normal 5 3 5 4 6" xfId="46302"/>
    <cellStyle name="Normal 5 3 5 5" xfId="1978"/>
    <cellStyle name="Normal 5 3 5 5 2" xfId="12785"/>
    <cellStyle name="Normal 5 3 5 5 2 2" xfId="53038"/>
    <cellStyle name="Normal 5 3 5 5 3" xfId="6325"/>
    <cellStyle name="Normal 5 3 5 5 3 2" xfId="51008"/>
    <cellStyle name="Normal 5 3 5 5 4" xfId="42793"/>
    <cellStyle name="Normal 5 3 5 5 4 2" xfId="57920"/>
    <cellStyle name="Normal 5 3 5 5 5" xfId="47204"/>
    <cellStyle name="Normal 5 3 5 6" xfId="4669"/>
    <cellStyle name="Normal 5 3 5 6 2" xfId="40558"/>
    <cellStyle name="Normal 5 3 5 6 2 2" xfId="55685"/>
    <cellStyle name="Normal 5 3 5 6 3" xfId="49354"/>
    <cellStyle name="Normal 5 3 5 7" xfId="11130"/>
    <cellStyle name="Normal 5 3 5 7 2" xfId="51384"/>
    <cellStyle name="Normal 5 3 5 8" xfId="3307"/>
    <cellStyle name="Normal 5 3 5 8 2" xfId="48001"/>
    <cellStyle name="Normal 5 3 5 9" xfId="38194"/>
    <cellStyle name="Normal 5 3 5 9 2" xfId="53394"/>
    <cellStyle name="Normal 5 3 6" xfId="385"/>
    <cellStyle name="Normal 5 3 6 2" xfId="1650"/>
    <cellStyle name="Normal 5 3 6 2 2" xfId="5999"/>
    <cellStyle name="Normal 5 3 6 2 2 2" xfId="44786"/>
    <cellStyle name="Normal 5 3 6 2 2 2 2" xfId="59912"/>
    <cellStyle name="Normal 5 3 6 2 2 3" xfId="42550"/>
    <cellStyle name="Normal 5 3 6 2 2 3 2" xfId="57677"/>
    <cellStyle name="Normal 5 3 6 2 2 4" xfId="40270"/>
    <cellStyle name="Normal 5 3 6 2 2 4 2" xfId="55398"/>
    <cellStyle name="Normal 5 3 6 2 2 5" xfId="50684"/>
    <cellStyle name="Normal 5 3 6 2 3" xfId="12460"/>
    <cellStyle name="Normal 5 3 6 2 3 2" xfId="43220"/>
    <cellStyle name="Normal 5 3 6 2 3 2 2" xfId="58346"/>
    <cellStyle name="Normal 5 3 6 2 3 3" xfId="52714"/>
    <cellStyle name="Normal 5 3 6 2 4" xfId="3949"/>
    <cellStyle name="Normal 5 3 6 2 4 2" xfId="40984"/>
    <cellStyle name="Normal 5 3 6 2 4 2 2" xfId="56111"/>
    <cellStyle name="Normal 5 3 6 2 4 3" xfId="48642"/>
    <cellStyle name="Normal 5 3 6 2 5" xfId="39128"/>
    <cellStyle name="Normal 5 3 6 2 5 2" xfId="54259"/>
    <cellStyle name="Normal 5 3 6 2 6" xfId="46880"/>
    <cellStyle name="Normal 5 3 6 3" xfId="1137"/>
    <cellStyle name="Normal 5 3 6 3 2" xfId="5486"/>
    <cellStyle name="Normal 5 3 6 3 2 2" xfId="44435"/>
    <cellStyle name="Normal 5 3 6 3 2 2 2" xfId="59561"/>
    <cellStyle name="Normal 5 3 6 3 2 3" xfId="42199"/>
    <cellStyle name="Normal 5 3 6 3 2 3 2" xfId="57326"/>
    <cellStyle name="Normal 5 3 6 3 2 4" xfId="39919"/>
    <cellStyle name="Normal 5 3 6 3 2 4 2" xfId="55047"/>
    <cellStyle name="Normal 5 3 6 3 2 5" xfId="50171"/>
    <cellStyle name="Normal 5 3 6 3 3" xfId="11947"/>
    <cellStyle name="Normal 5 3 6 3 3 2" xfId="43571"/>
    <cellStyle name="Normal 5 3 6 3 3 2 2" xfId="58697"/>
    <cellStyle name="Normal 5 3 6 3 3 3" xfId="52201"/>
    <cellStyle name="Normal 5 3 6 3 4" xfId="4308"/>
    <cellStyle name="Normal 5 3 6 3 4 2" xfId="41335"/>
    <cellStyle name="Normal 5 3 6 3 4 2 2" xfId="56462"/>
    <cellStyle name="Normal 5 3 6 3 4 3" xfId="48998"/>
    <cellStyle name="Normal 5 3 6 3 5" xfId="38755"/>
    <cellStyle name="Normal 5 3 6 3 5 2" xfId="53908"/>
    <cellStyle name="Normal 5 3 6 3 6" xfId="46367"/>
    <cellStyle name="Normal 5 3 6 4" xfId="2055"/>
    <cellStyle name="Normal 5 3 6 4 2" xfId="12861"/>
    <cellStyle name="Normal 5 3 6 4 2 2" xfId="43997"/>
    <cellStyle name="Normal 5 3 6 4 2 2 2" xfId="59123"/>
    <cellStyle name="Normal 5 3 6 4 2 3" xfId="53114"/>
    <cellStyle name="Normal 5 3 6 4 3" xfId="6401"/>
    <cellStyle name="Normal 5 3 6 4 3 2" xfId="41761"/>
    <cellStyle name="Normal 5 3 6 4 3 2 2" xfId="56888"/>
    <cellStyle name="Normal 5 3 6 4 3 3" xfId="51084"/>
    <cellStyle name="Normal 5 3 6 4 4" xfId="39481"/>
    <cellStyle name="Normal 5 3 6 4 4 2" xfId="54609"/>
    <cellStyle name="Normal 5 3 6 4 5" xfId="47280"/>
    <cellStyle name="Normal 5 3 6 5" xfId="4734"/>
    <cellStyle name="Normal 5 3 6 5 2" xfId="42869"/>
    <cellStyle name="Normal 5 3 6 5 2 2" xfId="57996"/>
    <cellStyle name="Normal 5 3 6 5 3" xfId="49419"/>
    <cellStyle name="Normal 5 3 6 6" xfId="11195"/>
    <cellStyle name="Normal 5 3 6 6 2" xfId="40634"/>
    <cellStyle name="Normal 5 3 6 6 2 2" xfId="55761"/>
    <cellStyle name="Normal 5 3 6 6 3" xfId="51449"/>
    <cellStyle name="Normal 5 3 6 7" xfId="3372"/>
    <cellStyle name="Normal 5 3 6 7 2" xfId="48066"/>
    <cellStyle name="Normal 5 3 6 8" xfId="38270"/>
    <cellStyle name="Normal 5 3 6 8 2" xfId="53470"/>
    <cellStyle name="Normal 5 3 6 9" xfId="45615"/>
    <cellStyle name="Normal 5 3 7" xfId="837"/>
    <cellStyle name="Normal 5 3 7 2" xfId="5186"/>
    <cellStyle name="Normal 5 3 7 2 2" xfId="39995"/>
    <cellStyle name="Normal 5 3 7 2 2 2" xfId="44511"/>
    <cellStyle name="Normal 5 3 7 2 2 2 2" xfId="59637"/>
    <cellStyle name="Normal 5 3 7 2 2 3" xfId="42275"/>
    <cellStyle name="Normal 5 3 7 2 2 3 2" xfId="57402"/>
    <cellStyle name="Normal 5 3 7 2 2 4" xfId="55123"/>
    <cellStyle name="Normal 5 3 7 2 3" xfId="43646"/>
    <cellStyle name="Normal 5 3 7 2 3 2" xfId="58772"/>
    <cellStyle name="Normal 5 3 7 2 4" xfId="41410"/>
    <cellStyle name="Normal 5 3 7 2 4 2" xfId="56537"/>
    <cellStyle name="Normal 5 3 7 2 5" xfId="38852"/>
    <cellStyle name="Normal 5 3 7 2 5 2" xfId="53984"/>
    <cellStyle name="Normal 5 3 7 2 6" xfId="49871"/>
    <cellStyle name="Normal 5 3 7 3" xfId="11647"/>
    <cellStyle name="Normal 5 3 7 3 2" xfId="44081"/>
    <cellStyle name="Normal 5 3 7 3 2 2" xfId="59207"/>
    <cellStyle name="Normal 5 3 7 3 3" xfId="41845"/>
    <cellStyle name="Normal 5 3 7 3 3 2" xfId="56972"/>
    <cellStyle name="Normal 5 3 7 3 4" xfId="39565"/>
    <cellStyle name="Normal 5 3 7 3 4 2" xfId="54693"/>
    <cellStyle name="Normal 5 3 7 3 5" xfId="51901"/>
    <cellStyle name="Normal 5 3 7 4" xfId="3072"/>
    <cellStyle name="Normal 5 3 7 4 2" xfId="42945"/>
    <cellStyle name="Normal 5 3 7 4 2 2" xfId="58071"/>
    <cellStyle name="Normal 5 3 7 4 3" xfId="47766"/>
    <cellStyle name="Normal 5 3 7 5" xfId="40709"/>
    <cellStyle name="Normal 5 3 7 5 2" xfId="55836"/>
    <cellStyle name="Normal 5 3 7 6" xfId="38395"/>
    <cellStyle name="Normal 5 3 7 6 2" xfId="53554"/>
    <cellStyle name="Normal 5 3 7 7" xfId="46067"/>
    <cellStyle name="Normal 5 3 8" xfId="716"/>
    <cellStyle name="Normal 5 3 8 2" xfId="5065"/>
    <cellStyle name="Normal 5 3 8 2 2" xfId="44160"/>
    <cellStyle name="Normal 5 3 8 2 2 2" xfId="59286"/>
    <cellStyle name="Normal 5 3 8 2 3" xfId="41924"/>
    <cellStyle name="Normal 5 3 8 2 3 2" xfId="57051"/>
    <cellStyle name="Normal 5 3 8 2 4" xfId="39644"/>
    <cellStyle name="Normal 5 3 8 2 4 2" xfId="54772"/>
    <cellStyle name="Normal 5 3 8 2 5" xfId="49750"/>
    <cellStyle name="Normal 5 3 8 3" xfId="11526"/>
    <cellStyle name="Normal 5 3 8 3 2" xfId="43296"/>
    <cellStyle name="Normal 5 3 8 3 2 2" xfId="58422"/>
    <cellStyle name="Normal 5 3 8 3 3" xfId="51780"/>
    <cellStyle name="Normal 5 3 8 4" xfId="2950"/>
    <cellStyle name="Normal 5 3 8 4 2" xfId="41060"/>
    <cellStyle name="Normal 5 3 8 4 2 2" xfId="56187"/>
    <cellStyle name="Normal 5 3 8 4 3" xfId="47644"/>
    <cellStyle name="Normal 5 3 8 5" xfId="38477"/>
    <cellStyle name="Normal 5 3 8 5 2" xfId="53633"/>
    <cellStyle name="Normal 5 3 8 6" xfId="45946"/>
    <cellStyle name="Normal 5 3 9" xfId="506"/>
    <cellStyle name="Normal 5 3 9 2" xfId="4855"/>
    <cellStyle name="Normal 5 3 9 2 2" xfId="43722"/>
    <cellStyle name="Normal 5 3 9 2 2 2" xfId="58848"/>
    <cellStyle name="Normal 5 3 9 2 3" xfId="49540"/>
    <cellStyle name="Normal 5 3 9 3" xfId="11316"/>
    <cellStyle name="Normal 5 3 9 3 2" xfId="41486"/>
    <cellStyle name="Normal 5 3 9 3 2 2" xfId="56613"/>
    <cellStyle name="Normal 5 3 9 3 3" xfId="51570"/>
    <cellStyle name="Normal 5 3 9 4" xfId="4066"/>
    <cellStyle name="Normal 5 3 9 4 2" xfId="48758"/>
    <cellStyle name="Normal 5 3 9 5" xfId="39206"/>
    <cellStyle name="Normal 5 3 9 5 2" xfId="54334"/>
    <cellStyle name="Normal 5 3 9 6" xfId="45736"/>
    <cellStyle name="Normal 5 4" xfId="131"/>
    <cellStyle name="Normal 5 4 10" xfId="10955"/>
    <cellStyle name="Normal 5 4 10 2" xfId="51209"/>
    <cellStyle name="Normal 5 4 11" xfId="2792"/>
    <cellStyle name="Normal 5 4 11 2" xfId="47492"/>
    <cellStyle name="Normal 5 4 12" xfId="38044"/>
    <cellStyle name="Normal 5 4 12 2" xfId="53244"/>
    <cellStyle name="Normal 5 4 13" xfId="45375"/>
    <cellStyle name="Normal 5 4 2" xfId="231"/>
    <cellStyle name="Normal 5 4 2 10" xfId="38120"/>
    <cellStyle name="Normal 5 4 2 10 2" xfId="53320"/>
    <cellStyle name="Normal 5 4 2 11" xfId="45463"/>
    <cellStyle name="Normal 5 4 2 2" xfId="985"/>
    <cellStyle name="Normal 5 4 2 2 2" xfId="5334"/>
    <cellStyle name="Normal 5 4 2 2 2 2" xfId="44636"/>
    <cellStyle name="Normal 5 4 2 2 2 2 2" xfId="59762"/>
    <cellStyle name="Normal 5 4 2 2 2 3" xfId="42400"/>
    <cellStyle name="Normal 5 4 2 2 2 3 2" xfId="57527"/>
    <cellStyle name="Normal 5 4 2 2 2 4" xfId="40120"/>
    <cellStyle name="Normal 5 4 2 2 2 4 2" xfId="55248"/>
    <cellStyle name="Normal 5 4 2 2 2 5" xfId="50019"/>
    <cellStyle name="Normal 5 4 2 2 3" xfId="11795"/>
    <cellStyle name="Normal 5 4 2 2 3 2" xfId="43070"/>
    <cellStyle name="Normal 5 4 2 2 3 2 2" xfId="58196"/>
    <cellStyle name="Normal 5 4 2 2 3 3" xfId="52049"/>
    <cellStyle name="Normal 5 4 2 2 4" xfId="3220"/>
    <cellStyle name="Normal 5 4 2 2 4 2" xfId="40834"/>
    <cellStyle name="Normal 5 4 2 2 4 2 2" xfId="55961"/>
    <cellStyle name="Normal 5 4 2 2 4 3" xfId="47914"/>
    <cellStyle name="Normal 5 4 2 2 5" xfId="38978"/>
    <cellStyle name="Normal 5 4 2 2 5 2" xfId="54109"/>
    <cellStyle name="Normal 5 4 2 2 6" xfId="46215"/>
    <cellStyle name="Normal 5 4 2 3" xfId="1287"/>
    <cellStyle name="Normal 5 4 2 3 2" xfId="5636"/>
    <cellStyle name="Normal 5 4 2 3 2 2" xfId="44285"/>
    <cellStyle name="Normal 5 4 2 3 2 2 2" xfId="59411"/>
    <cellStyle name="Normal 5 4 2 3 2 3" xfId="42049"/>
    <cellStyle name="Normal 5 4 2 3 2 3 2" xfId="57176"/>
    <cellStyle name="Normal 5 4 2 3 2 4" xfId="39769"/>
    <cellStyle name="Normal 5 4 2 3 2 4 2" xfId="54897"/>
    <cellStyle name="Normal 5 4 2 3 2 5" xfId="50321"/>
    <cellStyle name="Normal 5 4 2 3 3" xfId="12097"/>
    <cellStyle name="Normal 5 4 2 3 3 2" xfId="43421"/>
    <cellStyle name="Normal 5 4 2 3 3 2 2" xfId="58547"/>
    <cellStyle name="Normal 5 4 2 3 3 3" xfId="52351"/>
    <cellStyle name="Normal 5 4 2 3 4" xfId="3570"/>
    <cellStyle name="Normal 5 4 2 3 4 2" xfId="41185"/>
    <cellStyle name="Normal 5 4 2 3 4 2 2" xfId="56312"/>
    <cellStyle name="Normal 5 4 2 3 4 3" xfId="48263"/>
    <cellStyle name="Normal 5 4 2 3 5" xfId="38605"/>
    <cellStyle name="Normal 5 4 2 3 5 2" xfId="53758"/>
    <cellStyle name="Normal 5 4 2 3 6" xfId="46517"/>
    <cellStyle name="Normal 5 4 2 4" xfId="1498"/>
    <cellStyle name="Normal 5 4 2 4 2" xfId="5847"/>
    <cellStyle name="Normal 5 4 2 4 2 2" xfId="43847"/>
    <cellStyle name="Normal 5 4 2 4 2 2 2" xfId="58973"/>
    <cellStyle name="Normal 5 4 2 4 2 3" xfId="50532"/>
    <cellStyle name="Normal 5 4 2 4 3" xfId="12308"/>
    <cellStyle name="Normal 5 4 2 4 3 2" xfId="41611"/>
    <cellStyle name="Normal 5 4 2 4 3 2 2" xfId="56738"/>
    <cellStyle name="Normal 5 4 2 4 3 3" xfId="52562"/>
    <cellStyle name="Normal 5 4 2 4 4" xfId="3797"/>
    <cellStyle name="Normal 5 4 2 4 4 2" xfId="48490"/>
    <cellStyle name="Normal 5 4 2 4 5" xfId="39331"/>
    <cellStyle name="Normal 5 4 2 4 5 2" xfId="54459"/>
    <cellStyle name="Normal 5 4 2 4 6" xfId="46728"/>
    <cellStyle name="Normal 5 4 2 5" xfId="653"/>
    <cellStyle name="Normal 5 4 2 5 2" xfId="5002"/>
    <cellStyle name="Normal 5 4 2 5 2 2" xfId="49687"/>
    <cellStyle name="Normal 5 4 2 5 3" xfId="11463"/>
    <cellStyle name="Normal 5 4 2 5 3 2" xfId="51717"/>
    <cellStyle name="Normal 5 4 2 5 4" xfId="4156"/>
    <cellStyle name="Normal 5 4 2 5 4 2" xfId="48846"/>
    <cellStyle name="Normal 5 4 2 5 5" xfId="42719"/>
    <cellStyle name="Normal 5 4 2 5 5 2" xfId="57846"/>
    <cellStyle name="Normal 5 4 2 5 6" xfId="45883"/>
    <cellStyle name="Normal 5 4 2 6" xfId="1904"/>
    <cellStyle name="Normal 5 4 2 6 2" xfId="12711"/>
    <cellStyle name="Normal 5 4 2 6 2 2" xfId="52964"/>
    <cellStyle name="Normal 5 4 2 6 3" xfId="6251"/>
    <cellStyle name="Normal 5 4 2 6 3 2" xfId="50934"/>
    <cellStyle name="Normal 5 4 2 6 4" xfId="40484"/>
    <cellStyle name="Normal 5 4 2 6 4 2" xfId="55611"/>
    <cellStyle name="Normal 5 4 2 6 5" xfId="47130"/>
    <cellStyle name="Normal 5 4 2 7" xfId="4580"/>
    <cellStyle name="Normal 5 4 2 7 2" xfId="49267"/>
    <cellStyle name="Normal 5 4 2 8" xfId="11043"/>
    <cellStyle name="Normal 5 4 2 8 2" xfId="51297"/>
    <cellStyle name="Normal 5 4 2 9" xfId="2887"/>
    <cellStyle name="Normal 5 4 2 9 2" xfId="47581"/>
    <cellStyle name="Normal 5 4 3" xfId="322"/>
    <cellStyle name="Normal 5 4 3 10" xfId="45552"/>
    <cellStyle name="Normal 5 4 3 2" xfId="1376"/>
    <cellStyle name="Normal 5 4 3 2 2" xfId="5725"/>
    <cellStyle name="Normal 5 4 3 2 2 2" xfId="44712"/>
    <cellStyle name="Normal 5 4 3 2 2 2 2" xfId="59838"/>
    <cellStyle name="Normal 5 4 3 2 2 3" xfId="42476"/>
    <cellStyle name="Normal 5 4 3 2 2 3 2" xfId="57603"/>
    <cellStyle name="Normal 5 4 3 2 2 4" xfId="40196"/>
    <cellStyle name="Normal 5 4 3 2 2 4 2" xfId="55324"/>
    <cellStyle name="Normal 5 4 3 2 2 5" xfId="50410"/>
    <cellStyle name="Normal 5 4 3 2 3" xfId="12186"/>
    <cellStyle name="Normal 5 4 3 2 3 2" xfId="43146"/>
    <cellStyle name="Normal 5 4 3 2 3 2 2" xfId="58272"/>
    <cellStyle name="Normal 5 4 3 2 3 3" xfId="52440"/>
    <cellStyle name="Normal 5 4 3 2 4" xfId="3659"/>
    <cellStyle name="Normal 5 4 3 2 4 2" xfId="40910"/>
    <cellStyle name="Normal 5 4 3 2 4 2 2" xfId="56037"/>
    <cellStyle name="Normal 5 4 3 2 4 3" xfId="48352"/>
    <cellStyle name="Normal 5 4 3 2 5" xfId="39054"/>
    <cellStyle name="Normal 5 4 3 2 5 2" xfId="54185"/>
    <cellStyle name="Normal 5 4 3 2 6" xfId="46606"/>
    <cellStyle name="Normal 5 4 3 3" xfId="1587"/>
    <cellStyle name="Normal 5 4 3 3 2" xfId="5936"/>
    <cellStyle name="Normal 5 4 3 3 2 2" xfId="44361"/>
    <cellStyle name="Normal 5 4 3 3 2 2 2" xfId="59487"/>
    <cellStyle name="Normal 5 4 3 3 2 3" xfId="42125"/>
    <cellStyle name="Normal 5 4 3 3 2 3 2" xfId="57252"/>
    <cellStyle name="Normal 5 4 3 3 2 4" xfId="39845"/>
    <cellStyle name="Normal 5 4 3 3 2 4 2" xfId="54973"/>
    <cellStyle name="Normal 5 4 3 3 2 5" xfId="50621"/>
    <cellStyle name="Normal 5 4 3 3 3" xfId="12397"/>
    <cellStyle name="Normal 5 4 3 3 3 2" xfId="43497"/>
    <cellStyle name="Normal 5 4 3 3 3 2 2" xfId="58623"/>
    <cellStyle name="Normal 5 4 3 3 3 3" xfId="52651"/>
    <cellStyle name="Normal 5 4 3 3 4" xfId="3886"/>
    <cellStyle name="Normal 5 4 3 3 4 2" xfId="41261"/>
    <cellStyle name="Normal 5 4 3 3 4 2 2" xfId="56388"/>
    <cellStyle name="Normal 5 4 3 3 4 3" xfId="48579"/>
    <cellStyle name="Normal 5 4 3 3 5" xfId="38681"/>
    <cellStyle name="Normal 5 4 3 3 5 2" xfId="53834"/>
    <cellStyle name="Normal 5 4 3 3 6" xfId="46817"/>
    <cellStyle name="Normal 5 4 3 4" xfId="1074"/>
    <cellStyle name="Normal 5 4 3 4 2" xfId="5423"/>
    <cellStyle name="Normal 5 4 3 4 2 2" xfId="43923"/>
    <cellStyle name="Normal 5 4 3 4 2 2 2" xfId="59049"/>
    <cellStyle name="Normal 5 4 3 4 2 3" xfId="50108"/>
    <cellStyle name="Normal 5 4 3 4 3" xfId="11884"/>
    <cellStyle name="Normal 5 4 3 4 3 2" xfId="41687"/>
    <cellStyle name="Normal 5 4 3 4 3 2 2" xfId="56814"/>
    <cellStyle name="Normal 5 4 3 4 3 3" xfId="52138"/>
    <cellStyle name="Normal 5 4 3 4 4" xfId="4245"/>
    <cellStyle name="Normal 5 4 3 4 4 2" xfId="48935"/>
    <cellStyle name="Normal 5 4 3 4 5" xfId="39407"/>
    <cellStyle name="Normal 5 4 3 4 5 2" xfId="54535"/>
    <cellStyle name="Normal 5 4 3 4 6" xfId="46304"/>
    <cellStyle name="Normal 5 4 3 5" xfId="1980"/>
    <cellStyle name="Normal 5 4 3 5 2" xfId="12787"/>
    <cellStyle name="Normal 5 4 3 5 2 2" xfId="53040"/>
    <cellStyle name="Normal 5 4 3 5 3" xfId="6327"/>
    <cellStyle name="Normal 5 4 3 5 3 2" xfId="51010"/>
    <cellStyle name="Normal 5 4 3 5 4" xfId="42795"/>
    <cellStyle name="Normal 5 4 3 5 4 2" xfId="57922"/>
    <cellStyle name="Normal 5 4 3 5 5" xfId="47206"/>
    <cellStyle name="Normal 5 4 3 6" xfId="4671"/>
    <cellStyle name="Normal 5 4 3 6 2" xfId="40560"/>
    <cellStyle name="Normal 5 4 3 6 2 2" xfId="55687"/>
    <cellStyle name="Normal 5 4 3 6 3" xfId="49356"/>
    <cellStyle name="Normal 5 4 3 7" xfId="11132"/>
    <cellStyle name="Normal 5 4 3 7 2" xfId="51386"/>
    <cellStyle name="Normal 5 4 3 8" xfId="3309"/>
    <cellStyle name="Normal 5 4 3 8 2" xfId="48003"/>
    <cellStyle name="Normal 5 4 3 9" xfId="38196"/>
    <cellStyle name="Normal 5 4 3 9 2" xfId="53396"/>
    <cellStyle name="Normal 5 4 4" xfId="443"/>
    <cellStyle name="Normal 5 4 4 2" xfId="1708"/>
    <cellStyle name="Normal 5 4 4 2 2" xfId="6057"/>
    <cellStyle name="Normal 5 4 4 2 2 2" xfId="44788"/>
    <cellStyle name="Normal 5 4 4 2 2 2 2" xfId="59914"/>
    <cellStyle name="Normal 5 4 4 2 2 3" xfId="42552"/>
    <cellStyle name="Normal 5 4 4 2 2 3 2" xfId="57679"/>
    <cellStyle name="Normal 5 4 4 2 2 4" xfId="40272"/>
    <cellStyle name="Normal 5 4 4 2 2 4 2" xfId="55400"/>
    <cellStyle name="Normal 5 4 4 2 2 5" xfId="50742"/>
    <cellStyle name="Normal 5 4 4 2 3" xfId="12518"/>
    <cellStyle name="Normal 5 4 4 2 3 2" xfId="43222"/>
    <cellStyle name="Normal 5 4 4 2 3 2 2" xfId="58348"/>
    <cellStyle name="Normal 5 4 4 2 3 3" xfId="52772"/>
    <cellStyle name="Normal 5 4 4 2 4" xfId="4007"/>
    <cellStyle name="Normal 5 4 4 2 4 2" xfId="40986"/>
    <cellStyle name="Normal 5 4 4 2 4 2 2" xfId="56113"/>
    <cellStyle name="Normal 5 4 4 2 4 3" xfId="48700"/>
    <cellStyle name="Normal 5 4 4 2 5" xfId="39130"/>
    <cellStyle name="Normal 5 4 4 2 5 2" xfId="54261"/>
    <cellStyle name="Normal 5 4 4 2 6" xfId="46938"/>
    <cellStyle name="Normal 5 4 4 3" xfId="1195"/>
    <cellStyle name="Normal 5 4 4 3 2" xfId="5544"/>
    <cellStyle name="Normal 5 4 4 3 2 2" xfId="44437"/>
    <cellStyle name="Normal 5 4 4 3 2 2 2" xfId="59563"/>
    <cellStyle name="Normal 5 4 4 3 2 3" xfId="42201"/>
    <cellStyle name="Normal 5 4 4 3 2 3 2" xfId="57328"/>
    <cellStyle name="Normal 5 4 4 3 2 4" xfId="39921"/>
    <cellStyle name="Normal 5 4 4 3 2 4 2" xfId="55049"/>
    <cellStyle name="Normal 5 4 4 3 2 5" xfId="50229"/>
    <cellStyle name="Normal 5 4 4 3 3" xfId="12005"/>
    <cellStyle name="Normal 5 4 4 3 3 2" xfId="43573"/>
    <cellStyle name="Normal 5 4 4 3 3 2 2" xfId="58699"/>
    <cellStyle name="Normal 5 4 4 3 3 3" xfId="52259"/>
    <cellStyle name="Normal 5 4 4 3 4" xfId="4366"/>
    <cellStyle name="Normal 5 4 4 3 4 2" xfId="41337"/>
    <cellStyle name="Normal 5 4 4 3 4 2 2" xfId="56464"/>
    <cellStyle name="Normal 5 4 4 3 4 3" xfId="49056"/>
    <cellStyle name="Normal 5 4 4 3 5" xfId="38757"/>
    <cellStyle name="Normal 5 4 4 3 5 2" xfId="53910"/>
    <cellStyle name="Normal 5 4 4 3 6" xfId="46425"/>
    <cellStyle name="Normal 5 4 4 4" xfId="2057"/>
    <cellStyle name="Normal 5 4 4 4 2" xfId="12863"/>
    <cellStyle name="Normal 5 4 4 4 2 2" xfId="43999"/>
    <cellStyle name="Normal 5 4 4 4 2 2 2" xfId="59125"/>
    <cellStyle name="Normal 5 4 4 4 2 3" xfId="53116"/>
    <cellStyle name="Normal 5 4 4 4 3" xfId="6403"/>
    <cellStyle name="Normal 5 4 4 4 3 2" xfId="41763"/>
    <cellStyle name="Normal 5 4 4 4 3 2 2" xfId="56890"/>
    <cellStyle name="Normal 5 4 4 4 3 3" xfId="51086"/>
    <cellStyle name="Normal 5 4 4 4 4" xfId="39483"/>
    <cellStyle name="Normal 5 4 4 4 4 2" xfId="54611"/>
    <cellStyle name="Normal 5 4 4 4 5" xfId="47282"/>
    <cellStyle name="Normal 5 4 4 5" xfId="4792"/>
    <cellStyle name="Normal 5 4 4 5 2" xfId="42871"/>
    <cellStyle name="Normal 5 4 4 5 2 2" xfId="57998"/>
    <cellStyle name="Normal 5 4 4 5 3" xfId="49477"/>
    <cellStyle name="Normal 5 4 4 6" xfId="11253"/>
    <cellStyle name="Normal 5 4 4 6 2" xfId="40636"/>
    <cellStyle name="Normal 5 4 4 6 2 2" xfId="55763"/>
    <cellStyle name="Normal 5 4 4 6 3" xfId="51507"/>
    <cellStyle name="Normal 5 4 4 7" xfId="3430"/>
    <cellStyle name="Normal 5 4 4 7 2" xfId="48124"/>
    <cellStyle name="Normal 5 4 4 8" xfId="38272"/>
    <cellStyle name="Normal 5 4 4 8 2" xfId="53472"/>
    <cellStyle name="Normal 5 4 4 9" xfId="45673"/>
    <cellStyle name="Normal 5 4 5" xfId="897"/>
    <cellStyle name="Normal 5 4 5 2" xfId="5246"/>
    <cellStyle name="Normal 5 4 5 2 2" xfId="40044"/>
    <cellStyle name="Normal 5 4 5 2 2 2" xfId="44560"/>
    <cellStyle name="Normal 5 4 5 2 2 2 2" xfId="59686"/>
    <cellStyle name="Normal 5 4 5 2 2 3" xfId="42324"/>
    <cellStyle name="Normal 5 4 5 2 2 3 2" xfId="57451"/>
    <cellStyle name="Normal 5 4 5 2 2 4" xfId="55172"/>
    <cellStyle name="Normal 5 4 5 2 3" xfId="43679"/>
    <cellStyle name="Normal 5 4 5 2 3 2" xfId="58805"/>
    <cellStyle name="Normal 5 4 5 2 4" xfId="41443"/>
    <cellStyle name="Normal 5 4 5 2 4 2" xfId="56570"/>
    <cellStyle name="Normal 5 4 5 2 5" xfId="38901"/>
    <cellStyle name="Normal 5 4 5 2 5 2" xfId="54033"/>
    <cellStyle name="Normal 5 4 5 2 6" xfId="49931"/>
    <cellStyle name="Normal 5 4 5 3" xfId="11707"/>
    <cellStyle name="Normal 5 4 5 3 2" xfId="44083"/>
    <cellStyle name="Normal 5 4 5 3 2 2" xfId="59209"/>
    <cellStyle name="Normal 5 4 5 3 3" xfId="41847"/>
    <cellStyle name="Normal 5 4 5 3 3 2" xfId="56974"/>
    <cellStyle name="Normal 5 4 5 3 4" xfId="39567"/>
    <cellStyle name="Normal 5 4 5 3 4 2" xfId="54695"/>
    <cellStyle name="Normal 5 4 5 3 5" xfId="51961"/>
    <cellStyle name="Normal 5 4 5 4" xfId="3132"/>
    <cellStyle name="Normal 5 4 5 4 2" xfId="42994"/>
    <cellStyle name="Normal 5 4 5 4 2 2" xfId="58120"/>
    <cellStyle name="Normal 5 4 5 4 3" xfId="47826"/>
    <cellStyle name="Normal 5 4 5 5" xfId="40758"/>
    <cellStyle name="Normal 5 4 5 5 2" xfId="55885"/>
    <cellStyle name="Normal 5 4 5 6" xfId="38397"/>
    <cellStyle name="Normal 5 4 5 6 2" xfId="53556"/>
    <cellStyle name="Normal 5 4 5 7" xfId="46127"/>
    <cellStyle name="Normal 5 4 6" xfId="774"/>
    <cellStyle name="Normal 5 4 6 2" xfId="5123"/>
    <cellStyle name="Normal 5 4 6 2 2" xfId="44209"/>
    <cellStyle name="Normal 5 4 6 2 2 2" xfId="59335"/>
    <cellStyle name="Normal 5 4 6 2 3" xfId="41973"/>
    <cellStyle name="Normal 5 4 6 2 3 2" xfId="57100"/>
    <cellStyle name="Normal 5 4 6 2 4" xfId="39693"/>
    <cellStyle name="Normal 5 4 6 2 4 2" xfId="54821"/>
    <cellStyle name="Normal 5 4 6 2 5" xfId="49808"/>
    <cellStyle name="Normal 5 4 6 3" xfId="11584"/>
    <cellStyle name="Normal 5 4 6 3 2" xfId="43345"/>
    <cellStyle name="Normal 5 4 6 3 2 2" xfId="58471"/>
    <cellStyle name="Normal 5 4 6 3 3" xfId="51838"/>
    <cellStyle name="Normal 5 4 6 4" xfId="3009"/>
    <cellStyle name="Normal 5 4 6 4 2" xfId="41109"/>
    <cellStyle name="Normal 5 4 6 4 2 2" xfId="56236"/>
    <cellStyle name="Normal 5 4 6 4 3" xfId="47703"/>
    <cellStyle name="Normal 5 4 6 5" xfId="38527"/>
    <cellStyle name="Normal 5 4 6 5 2" xfId="53682"/>
    <cellStyle name="Normal 5 4 6 6" xfId="46004"/>
    <cellStyle name="Normal 5 4 7" xfId="564"/>
    <cellStyle name="Normal 5 4 7 2" xfId="4913"/>
    <cellStyle name="Normal 5 4 7 2 2" xfId="43771"/>
    <cellStyle name="Normal 5 4 7 2 2 2" xfId="58897"/>
    <cellStyle name="Normal 5 4 7 2 3" xfId="49598"/>
    <cellStyle name="Normal 5 4 7 3" xfId="11374"/>
    <cellStyle name="Normal 5 4 7 3 2" xfId="41535"/>
    <cellStyle name="Normal 5 4 7 3 2 2" xfId="56662"/>
    <cellStyle name="Normal 5 4 7 3 3" xfId="51628"/>
    <cellStyle name="Normal 5 4 7 4" xfId="3749"/>
    <cellStyle name="Normal 5 4 7 4 2" xfId="48442"/>
    <cellStyle name="Normal 5 4 7 5" xfId="39255"/>
    <cellStyle name="Normal 5 4 7 5 2" xfId="54383"/>
    <cellStyle name="Normal 5 4 7 6" xfId="45794"/>
    <cellStyle name="Normal 5 4 8" xfId="1825"/>
    <cellStyle name="Normal 5 4 8 2" xfId="12634"/>
    <cellStyle name="Normal 5 4 8 2 2" xfId="52888"/>
    <cellStyle name="Normal 5 4 8 3" xfId="6173"/>
    <cellStyle name="Normal 5 4 8 3 2" xfId="50858"/>
    <cellStyle name="Normal 5 4 8 4" xfId="42643"/>
    <cellStyle name="Normal 5 4 8 4 2" xfId="57770"/>
    <cellStyle name="Normal 5 4 8 5" xfId="47054"/>
    <cellStyle name="Normal 5 4 9" xfId="2639"/>
    <cellStyle name="Normal 5 4 9 2" xfId="4489"/>
    <cellStyle name="Normal 5 4 9 2 2" xfId="49179"/>
    <cellStyle name="Normal 5 4 9 3" xfId="40408"/>
    <cellStyle name="Normal 5 4 9 3 2" xfId="55535"/>
    <cellStyle name="Normal 5 4 9 4" xfId="47371"/>
    <cellStyle name="Normal 5 5" xfId="124"/>
    <cellStyle name="Normal 5 5 10" xfId="38037"/>
    <cellStyle name="Normal 5 5 10 2" xfId="53237"/>
    <cellStyle name="Normal 5 5 11" xfId="45368"/>
    <cellStyle name="Normal 5 5 2" xfId="436"/>
    <cellStyle name="Normal 5 5 2 2" xfId="1432"/>
    <cellStyle name="Normal 5 5 2 2 2" xfId="5781"/>
    <cellStyle name="Normal 5 5 2 2 2 2" xfId="44553"/>
    <cellStyle name="Normal 5 5 2 2 2 2 2" xfId="59679"/>
    <cellStyle name="Normal 5 5 2 2 2 3" xfId="50466"/>
    <cellStyle name="Normal 5 5 2 2 3" xfId="12242"/>
    <cellStyle name="Normal 5 5 2 2 3 2" xfId="42317"/>
    <cellStyle name="Normal 5 5 2 2 3 2 2" xfId="57444"/>
    <cellStyle name="Normal 5 5 2 2 3 3" xfId="52496"/>
    <cellStyle name="Normal 5 5 2 2 4" xfId="3715"/>
    <cellStyle name="Normal 5 5 2 2 4 2" xfId="48408"/>
    <cellStyle name="Normal 5 5 2 2 5" xfId="40037"/>
    <cellStyle name="Normal 5 5 2 2 5 2" xfId="55165"/>
    <cellStyle name="Normal 5 5 2 2 6" xfId="46662"/>
    <cellStyle name="Normal 5 5 2 3" xfId="1701"/>
    <cellStyle name="Normal 5 5 2 3 2" xfId="6050"/>
    <cellStyle name="Normal 5 5 2 3 2 2" xfId="50735"/>
    <cellStyle name="Normal 5 5 2 3 3" xfId="12511"/>
    <cellStyle name="Normal 5 5 2 3 3 2" xfId="52765"/>
    <cellStyle name="Normal 5 5 2 3 4" xfId="4000"/>
    <cellStyle name="Normal 5 5 2 3 4 2" xfId="48693"/>
    <cellStyle name="Normal 5 5 2 3 5" xfId="42987"/>
    <cellStyle name="Normal 5 5 2 3 5 2" xfId="58113"/>
    <cellStyle name="Normal 5 5 2 3 6" xfId="46931"/>
    <cellStyle name="Normal 5 5 2 4" xfId="1188"/>
    <cellStyle name="Normal 5 5 2 4 2" xfId="5537"/>
    <cellStyle name="Normal 5 5 2 4 2 2" xfId="50222"/>
    <cellStyle name="Normal 5 5 2 4 3" xfId="11998"/>
    <cellStyle name="Normal 5 5 2 4 3 2" xfId="52252"/>
    <cellStyle name="Normal 5 5 2 4 4" xfId="4359"/>
    <cellStyle name="Normal 5 5 2 4 4 2" xfId="49049"/>
    <cellStyle name="Normal 5 5 2 4 5" xfId="40751"/>
    <cellStyle name="Normal 5 5 2 4 5 2" xfId="55878"/>
    <cellStyle name="Normal 5 5 2 4 6" xfId="46418"/>
    <cellStyle name="Normal 5 5 2 5" xfId="4785"/>
    <cellStyle name="Normal 5 5 2 5 2" xfId="49470"/>
    <cellStyle name="Normal 5 5 2 6" xfId="11246"/>
    <cellStyle name="Normal 5 5 2 6 2" xfId="51500"/>
    <cellStyle name="Normal 5 5 2 7" xfId="3423"/>
    <cellStyle name="Normal 5 5 2 7 2" xfId="48117"/>
    <cellStyle name="Normal 5 5 2 8" xfId="38894"/>
    <cellStyle name="Normal 5 5 2 8 2" xfId="54026"/>
    <cellStyle name="Normal 5 5 2 9" xfId="45666"/>
    <cellStyle name="Normal 5 5 3" xfId="890"/>
    <cellStyle name="Normal 5 5 3 2" xfId="5239"/>
    <cellStyle name="Normal 5 5 3 2 2" xfId="44202"/>
    <cellStyle name="Normal 5 5 3 2 2 2" xfId="59328"/>
    <cellStyle name="Normal 5 5 3 2 3" xfId="41966"/>
    <cellStyle name="Normal 5 5 3 2 3 2" xfId="57093"/>
    <cellStyle name="Normal 5 5 3 2 4" xfId="39686"/>
    <cellStyle name="Normal 5 5 3 2 4 2" xfId="54814"/>
    <cellStyle name="Normal 5 5 3 2 5" xfId="49924"/>
    <cellStyle name="Normal 5 5 3 3" xfId="11700"/>
    <cellStyle name="Normal 5 5 3 3 2" xfId="43338"/>
    <cellStyle name="Normal 5 5 3 3 2 2" xfId="58464"/>
    <cellStyle name="Normal 5 5 3 3 3" xfId="51954"/>
    <cellStyle name="Normal 5 5 3 4" xfId="3125"/>
    <cellStyle name="Normal 5 5 3 4 2" xfId="41102"/>
    <cellStyle name="Normal 5 5 3 4 2 2" xfId="56229"/>
    <cellStyle name="Normal 5 5 3 4 3" xfId="47819"/>
    <cellStyle name="Normal 5 5 3 5" xfId="38520"/>
    <cellStyle name="Normal 5 5 3 5 2" xfId="53675"/>
    <cellStyle name="Normal 5 5 3 6" xfId="46120"/>
    <cellStyle name="Normal 5 5 4" xfId="767"/>
    <cellStyle name="Normal 5 5 4 2" xfId="5116"/>
    <cellStyle name="Normal 5 5 4 2 2" xfId="43764"/>
    <cellStyle name="Normal 5 5 4 2 2 2" xfId="58890"/>
    <cellStyle name="Normal 5 5 4 2 3" xfId="49801"/>
    <cellStyle name="Normal 5 5 4 3" xfId="11577"/>
    <cellStyle name="Normal 5 5 4 3 2" xfId="41528"/>
    <cellStyle name="Normal 5 5 4 3 2 2" xfId="56655"/>
    <cellStyle name="Normal 5 5 4 3 3" xfId="51831"/>
    <cellStyle name="Normal 5 5 4 4" xfId="3002"/>
    <cellStyle name="Normal 5 5 4 4 2" xfId="47696"/>
    <cellStyle name="Normal 5 5 4 5" xfId="39248"/>
    <cellStyle name="Normal 5 5 4 5 2" xfId="54376"/>
    <cellStyle name="Normal 5 5 4 6" xfId="45997"/>
    <cellStyle name="Normal 5 5 5" xfId="557"/>
    <cellStyle name="Normal 5 5 5 2" xfId="4906"/>
    <cellStyle name="Normal 5 5 5 2 2" xfId="49591"/>
    <cellStyle name="Normal 5 5 5 3" xfId="11367"/>
    <cellStyle name="Normal 5 5 5 3 2" xfId="51621"/>
    <cellStyle name="Normal 5 5 5 4" xfId="3737"/>
    <cellStyle name="Normal 5 5 5 4 2" xfId="48430"/>
    <cellStyle name="Normal 5 5 5 5" xfId="42636"/>
    <cellStyle name="Normal 5 5 5 5 2" xfId="57763"/>
    <cellStyle name="Normal 5 5 5 6" xfId="45787"/>
    <cellStyle name="Normal 5 5 6" xfId="1818"/>
    <cellStyle name="Normal 5 5 6 2" xfId="12627"/>
    <cellStyle name="Normal 5 5 6 2 2" xfId="52881"/>
    <cellStyle name="Normal 5 5 6 3" xfId="6166"/>
    <cellStyle name="Normal 5 5 6 3 2" xfId="50851"/>
    <cellStyle name="Normal 5 5 6 4" xfId="40401"/>
    <cellStyle name="Normal 5 5 6 4 2" xfId="55528"/>
    <cellStyle name="Normal 5 5 6 5" xfId="47047"/>
    <cellStyle name="Normal 5 5 7" xfId="4482"/>
    <cellStyle name="Normal 5 5 7 2" xfId="49172"/>
    <cellStyle name="Normal 5 5 8" xfId="10948"/>
    <cellStyle name="Normal 5 5 8 2" xfId="51202"/>
    <cellStyle name="Normal 5 5 9" xfId="2785"/>
    <cellStyle name="Normal 5 5 9 2" xfId="47485"/>
    <cellStyle name="Normal 5 6" xfId="224"/>
    <cellStyle name="Normal 5 6 10" xfId="38113"/>
    <cellStyle name="Normal 5 6 10 2" xfId="53313"/>
    <cellStyle name="Normal 5 6 11" xfId="45456"/>
    <cellStyle name="Normal 5 6 2" xfId="978"/>
    <cellStyle name="Normal 5 6 2 2" xfId="5327"/>
    <cellStyle name="Normal 5 6 2 2 2" xfId="44629"/>
    <cellStyle name="Normal 5 6 2 2 2 2" xfId="59755"/>
    <cellStyle name="Normal 5 6 2 2 3" xfId="42393"/>
    <cellStyle name="Normal 5 6 2 2 3 2" xfId="57520"/>
    <cellStyle name="Normal 5 6 2 2 4" xfId="40113"/>
    <cellStyle name="Normal 5 6 2 2 4 2" xfId="55241"/>
    <cellStyle name="Normal 5 6 2 2 5" xfId="50012"/>
    <cellStyle name="Normal 5 6 2 3" xfId="11788"/>
    <cellStyle name="Normal 5 6 2 3 2" xfId="43063"/>
    <cellStyle name="Normal 5 6 2 3 2 2" xfId="58189"/>
    <cellStyle name="Normal 5 6 2 3 3" xfId="52042"/>
    <cellStyle name="Normal 5 6 2 4" xfId="3213"/>
    <cellStyle name="Normal 5 6 2 4 2" xfId="40827"/>
    <cellStyle name="Normal 5 6 2 4 2 2" xfId="55954"/>
    <cellStyle name="Normal 5 6 2 4 3" xfId="47907"/>
    <cellStyle name="Normal 5 6 2 5" xfId="38971"/>
    <cellStyle name="Normal 5 6 2 5 2" xfId="54102"/>
    <cellStyle name="Normal 5 6 2 6" xfId="46208"/>
    <cellStyle name="Normal 5 6 3" xfId="1280"/>
    <cellStyle name="Normal 5 6 3 2" xfId="5629"/>
    <cellStyle name="Normal 5 6 3 2 2" xfId="44278"/>
    <cellStyle name="Normal 5 6 3 2 2 2" xfId="59404"/>
    <cellStyle name="Normal 5 6 3 2 3" xfId="42042"/>
    <cellStyle name="Normal 5 6 3 2 3 2" xfId="57169"/>
    <cellStyle name="Normal 5 6 3 2 4" xfId="39762"/>
    <cellStyle name="Normal 5 6 3 2 4 2" xfId="54890"/>
    <cellStyle name="Normal 5 6 3 2 5" xfId="50314"/>
    <cellStyle name="Normal 5 6 3 3" xfId="12090"/>
    <cellStyle name="Normal 5 6 3 3 2" xfId="43414"/>
    <cellStyle name="Normal 5 6 3 3 2 2" xfId="58540"/>
    <cellStyle name="Normal 5 6 3 3 3" xfId="52344"/>
    <cellStyle name="Normal 5 6 3 4" xfId="3563"/>
    <cellStyle name="Normal 5 6 3 4 2" xfId="41178"/>
    <cellStyle name="Normal 5 6 3 4 2 2" xfId="56305"/>
    <cellStyle name="Normal 5 6 3 4 3" xfId="48256"/>
    <cellStyle name="Normal 5 6 3 5" xfId="38598"/>
    <cellStyle name="Normal 5 6 3 5 2" xfId="53751"/>
    <cellStyle name="Normal 5 6 3 6" xfId="46510"/>
    <cellStyle name="Normal 5 6 4" xfId="1491"/>
    <cellStyle name="Normal 5 6 4 2" xfId="5840"/>
    <cellStyle name="Normal 5 6 4 2 2" xfId="43840"/>
    <cellStyle name="Normal 5 6 4 2 2 2" xfId="58966"/>
    <cellStyle name="Normal 5 6 4 2 3" xfId="50525"/>
    <cellStyle name="Normal 5 6 4 3" xfId="12301"/>
    <cellStyle name="Normal 5 6 4 3 2" xfId="41604"/>
    <cellStyle name="Normal 5 6 4 3 2 2" xfId="56731"/>
    <cellStyle name="Normal 5 6 4 3 3" xfId="52555"/>
    <cellStyle name="Normal 5 6 4 4" xfId="3790"/>
    <cellStyle name="Normal 5 6 4 4 2" xfId="48483"/>
    <cellStyle name="Normal 5 6 4 5" xfId="39324"/>
    <cellStyle name="Normal 5 6 4 5 2" xfId="54452"/>
    <cellStyle name="Normal 5 6 4 6" xfId="46721"/>
    <cellStyle name="Normal 5 6 5" xfId="646"/>
    <cellStyle name="Normal 5 6 5 2" xfId="4995"/>
    <cellStyle name="Normal 5 6 5 2 2" xfId="49680"/>
    <cellStyle name="Normal 5 6 5 3" xfId="11456"/>
    <cellStyle name="Normal 5 6 5 3 2" xfId="51710"/>
    <cellStyle name="Normal 5 6 5 4" xfId="4149"/>
    <cellStyle name="Normal 5 6 5 4 2" xfId="48839"/>
    <cellStyle name="Normal 5 6 5 5" xfId="42712"/>
    <cellStyle name="Normal 5 6 5 5 2" xfId="57839"/>
    <cellStyle name="Normal 5 6 5 6" xfId="45876"/>
    <cellStyle name="Normal 5 6 6" xfId="1897"/>
    <cellStyle name="Normal 5 6 6 2" xfId="12704"/>
    <cellStyle name="Normal 5 6 6 2 2" xfId="52957"/>
    <cellStyle name="Normal 5 6 6 3" xfId="6244"/>
    <cellStyle name="Normal 5 6 6 3 2" xfId="50927"/>
    <cellStyle name="Normal 5 6 6 4" xfId="40477"/>
    <cellStyle name="Normal 5 6 6 4 2" xfId="55604"/>
    <cellStyle name="Normal 5 6 6 5" xfId="47123"/>
    <cellStyle name="Normal 5 6 7" xfId="4573"/>
    <cellStyle name="Normal 5 6 7 2" xfId="49260"/>
    <cellStyle name="Normal 5 6 8" xfId="11036"/>
    <cellStyle name="Normal 5 6 8 2" xfId="51290"/>
    <cellStyle name="Normal 5 6 9" xfId="2880"/>
    <cellStyle name="Normal 5 6 9 2" xfId="47574"/>
    <cellStyle name="Normal 5 7" xfId="315"/>
    <cellStyle name="Normal 5 7 10" xfId="45545"/>
    <cellStyle name="Normal 5 7 2" xfId="1369"/>
    <cellStyle name="Normal 5 7 2 2" xfId="5718"/>
    <cellStyle name="Normal 5 7 2 2 2" xfId="44705"/>
    <cellStyle name="Normal 5 7 2 2 2 2" xfId="59831"/>
    <cellStyle name="Normal 5 7 2 2 3" xfId="42469"/>
    <cellStyle name="Normal 5 7 2 2 3 2" xfId="57596"/>
    <cellStyle name="Normal 5 7 2 2 4" xfId="40189"/>
    <cellStyle name="Normal 5 7 2 2 4 2" xfId="55317"/>
    <cellStyle name="Normal 5 7 2 2 5" xfId="50403"/>
    <cellStyle name="Normal 5 7 2 3" xfId="12179"/>
    <cellStyle name="Normal 5 7 2 3 2" xfId="43139"/>
    <cellStyle name="Normal 5 7 2 3 2 2" xfId="58265"/>
    <cellStyle name="Normal 5 7 2 3 3" xfId="52433"/>
    <cellStyle name="Normal 5 7 2 4" xfId="3652"/>
    <cellStyle name="Normal 5 7 2 4 2" xfId="40903"/>
    <cellStyle name="Normal 5 7 2 4 2 2" xfId="56030"/>
    <cellStyle name="Normal 5 7 2 4 3" xfId="48345"/>
    <cellStyle name="Normal 5 7 2 5" xfId="39047"/>
    <cellStyle name="Normal 5 7 2 5 2" xfId="54178"/>
    <cellStyle name="Normal 5 7 2 6" xfId="46599"/>
    <cellStyle name="Normal 5 7 3" xfId="1580"/>
    <cellStyle name="Normal 5 7 3 2" xfId="5929"/>
    <cellStyle name="Normal 5 7 3 2 2" xfId="44354"/>
    <cellStyle name="Normal 5 7 3 2 2 2" xfId="59480"/>
    <cellStyle name="Normal 5 7 3 2 3" xfId="42118"/>
    <cellStyle name="Normal 5 7 3 2 3 2" xfId="57245"/>
    <cellStyle name="Normal 5 7 3 2 4" xfId="39838"/>
    <cellStyle name="Normal 5 7 3 2 4 2" xfId="54966"/>
    <cellStyle name="Normal 5 7 3 2 5" xfId="50614"/>
    <cellStyle name="Normal 5 7 3 3" xfId="12390"/>
    <cellStyle name="Normal 5 7 3 3 2" xfId="43490"/>
    <cellStyle name="Normal 5 7 3 3 2 2" xfId="58616"/>
    <cellStyle name="Normal 5 7 3 3 3" xfId="52644"/>
    <cellStyle name="Normal 5 7 3 4" xfId="3879"/>
    <cellStyle name="Normal 5 7 3 4 2" xfId="41254"/>
    <cellStyle name="Normal 5 7 3 4 2 2" xfId="56381"/>
    <cellStyle name="Normal 5 7 3 4 3" xfId="48572"/>
    <cellStyle name="Normal 5 7 3 5" xfId="38674"/>
    <cellStyle name="Normal 5 7 3 5 2" xfId="53827"/>
    <cellStyle name="Normal 5 7 3 6" xfId="46810"/>
    <cellStyle name="Normal 5 7 4" xfId="1067"/>
    <cellStyle name="Normal 5 7 4 2" xfId="5416"/>
    <cellStyle name="Normal 5 7 4 2 2" xfId="43916"/>
    <cellStyle name="Normal 5 7 4 2 2 2" xfId="59042"/>
    <cellStyle name="Normal 5 7 4 2 3" xfId="50101"/>
    <cellStyle name="Normal 5 7 4 3" xfId="11877"/>
    <cellStyle name="Normal 5 7 4 3 2" xfId="41680"/>
    <cellStyle name="Normal 5 7 4 3 2 2" xfId="56807"/>
    <cellStyle name="Normal 5 7 4 3 3" xfId="52131"/>
    <cellStyle name="Normal 5 7 4 4" xfId="4238"/>
    <cellStyle name="Normal 5 7 4 4 2" xfId="48928"/>
    <cellStyle name="Normal 5 7 4 5" xfId="39400"/>
    <cellStyle name="Normal 5 7 4 5 2" xfId="54528"/>
    <cellStyle name="Normal 5 7 4 6" xfId="46297"/>
    <cellStyle name="Normal 5 7 5" xfId="1973"/>
    <cellStyle name="Normal 5 7 5 2" xfId="12780"/>
    <cellStyle name="Normal 5 7 5 2 2" xfId="53033"/>
    <cellStyle name="Normal 5 7 5 3" xfId="6320"/>
    <cellStyle name="Normal 5 7 5 3 2" xfId="51003"/>
    <cellStyle name="Normal 5 7 5 4" xfId="42788"/>
    <cellStyle name="Normal 5 7 5 4 2" xfId="57915"/>
    <cellStyle name="Normal 5 7 5 5" xfId="47199"/>
    <cellStyle name="Normal 5 7 6" xfId="4664"/>
    <cellStyle name="Normal 5 7 6 2" xfId="40553"/>
    <cellStyle name="Normal 5 7 6 2 2" xfId="55680"/>
    <cellStyle name="Normal 5 7 6 3" xfId="49349"/>
    <cellStyle name="Normal 5 7 7" xfId="11125"/>
    <cellStyle name="Normal 5 7 7 2" xfId="51379"/>
    <cellStyle name="Normal 5 7 8" xfId="3302"/>
    <cellStyle name="Normal 5 7 8 2" xfId="47996"/>
    <cellStyle name="Normal 5 7 9" xfId="38189"/>
    <cellStyle name="Normal 5 7 9 2" xfId="53389"/>
    <cellStyle name="Normal 5 8" xfId="369"/>
    <cellStyle name="Normal 5 8 2" xfId="1634"/>
    <cellStyle name="Normal 5 8 2 2" xfId="5983"/>
    <cellStyle name="Normal 5 8 2 2 2" xfId="44781"/>
    <cellStyle name="Normal 5 8 2 2 2 2" xfId="59907"/>
    <cellStyle name="Normal 5 8 2 2 3" xfId="42545"/>
    <cellStyle name="Normal 5 8 2 2 3 2" xfId="57672"/>
    <cellStyle name="Normal 5 8 2 2 4" xfId="40265"/>
    <cellStyle name="Normal 5 8 2 2 4 2" xfId="55393"/>
    <cellStyle name="Normal 5 8 2 2 5" xfId="50668"/>
    <cellStyle name="Normal 5 8 2 3" xfId="12444"/>
    <cellStyle name="Normal 5 8 2 3 2" xfId="43215"/>
    <cellStyle name="Normal 5 8 2 3 2 2" xfId="58341"/>
    <cellStyle name="Normal 5 8 2 3 3" xfId="52698"/>
    <cellStyle name="Normal 5 8 2 4" xfId="3933"/>
    <cellStyle name="Normal 5 8 2 4 2" xfId="40979"/>
    <cellStyle name="Normal 5 8 2 4 2 2" xfId="56106"/>
    <cellStyle name="Normal 5 8 2 4 3" xfId="48626"/>
    <cellStyle name="Normal 5 8 2 5" xfId="39123"/>
    <cellStyle name="Normal 5 8 2 5 2" xfId="54254"/>
    <cellStyle name="Normal 5 8 2 6" xfId="46864"/>
    <cellStyle name="Normal 5 8 3" xfId="1121"/>
    <cellStyle name="Normal 5 8 3 2" xfId="5470"/>
    <cellStyle name="Normal 5 8 3 2 2" xfId="44430"/>
    <cellStyle name="Normal 5 8 3 2 2 2" xfId="59556"/>
    <cellStyle name="Normal 5 8 3 2 3" xfId="42194"/>
    <cellStyle name="Normal 5 8 3 2 3 2" xfId="57321"/>
    <cellStyle name="Normal 5 8 3 2 4" xfId="39914"/>
    <cellStyle name="Normal 5 8 3 2 4 2" xfId="55042"/>
    <cellStyle name="Normal 5 8 3 2 5" xfId="50155"/>
    <cellStyle name="Normal 5 8 3 3" xfId="11931"/>
    <cellStyle name="Normal 5 8 3 3 2" xfId="43566"/>
    <cellStyle name="Normal 5 8 3 3 2 2" xfId="58692"/>
    <cellStyle name="Normal 5 8 3 3 3" xfId="52185"/>
    <cellStyle name="Normal 5 8 3 4" xfId="4292"/>
    <cellStyle name="Normal 5 8 3 4 2" xfId="41330"/>
    <cellStyle name="Normal 5 8 3 4 2 2" xfId="56457"/>
    <cellStyle name="Normal 5 8 3 4 3" xfId="48982"/>
    <cellStyle name="Normal 5 8 3 5" xfId="38750"/>
    <cellStyle name="Normal 5 8 3 5 2" xfId="53903"/>
    <cellStyle name="Normal 5 8 3 6" xfId="46351"/>
    <cellStyle name="Normal 5 8 4" xfId="2050"/>
    <cellStyle name="Normal 5 8 4 2" xfId="12856"/>
    <cellStyle name="Normal 5 8 4 2 2" xfId="43992"/>
    <cellStyle name="Normal 5 8 4 2 2 2" xfId="59118"/>
    <cellStyle name="Normal 5 8 4 2 3" xfId="53109"/>
    <cellStyle name="Normal 5 8 4 3" xfId="6396"/>
    <cellStyle name="Normal 5 8 4 3 2" xfId="41756"/>
    <cellStyle name="Normal 5 8 4 3 2 2" xfId="56883"/>
    <cellStyle name="Normal 5 8 4 3 3" xfId="51079"/>
    <cellStyle name="Normal 5 8 4 4" xfId="39476"/>
    <cellStyle name="Normal 5 8 4 4 2" xfId="54604"/>
    <cellStyle name="Normal 5 8 4 5" xfId="47275"/>
    <cellStyle name="Normal 5 8 5" xfId="4718"/>
    <cellStyle name="Normal 5 8 5 2" xfId="42864"/>
    <cellStyle name="Normal 5 8 5 2 2" xfId="57991"/>
    <cellStyle name="Normal 5 8 5 3" xfId="49403"/>
    <cellStyle name="Normal 5 8 6" xfId="11179"/>
    <cellStyle name="Normal 5 8 6 2" xfId="40629"/>
    <cellStyle name="Normal 5 8 6 2 2" xfId="55756"/>
    <cellStyle name="Normal 5 8 6 3" xfId="51433"/>
    <cellStyle name="Normal 5 8 7" xfId="3356"/>
    <cellStyle name="Normal 5 8 7 2" xfId="48050"/>
    <cellStyle name="Normal 5 8 8" xfId="38265"/>
    <cellStyle name="Normal 5 8 8 2" xfId="53465"/>
    <cellStyle name="Normal 5 8 9" xfId="45599"/>
    <cellStyle name="Normal 5 9" xfId="821"/>
    <cellStyle name="Normal 5 9 2" xfId="5170"/>
    <cellStyle name="Normal 5 9 2 2" xfId="40318"/>
    <cellStyle name="Normal 5 9 2 2 2" xfId="44834"/>
    <cellStyle name="Normal 5 9 2 2 2 2" xfId="59960"/>
    <cellStyle name="Normal 5 9 2 2 3" xfId="42598"/>
    <cellStyle name="Normal 5 9 2 2 3 2" xfId="57725"/>
    <cellStyle name="Normal 5 9 2 2 4" xfId="55446"/>
    <cellStyle name="Normal 5 9 2 3" xfId="43268"/>
    <cellStyle name="Normal 5 9 2 3 2" xfId="58394"/>
    <cellStyle name="Normal 5 9 2 4" xfId="41032"/>
    <cellStyle name="Normal 5 9 2 4 2" xfId="56159"/>
    <cellStyle name="Normal 5 9 2 5" xfId="39177"/>
    <cellStyle name="Normal 5 9 2 5 2" xfId="54307"/>
    <cellStyle name="Normal 5 9 2 6" xfId="49855"/>
    <cellStyle name="Normal 5 9 3" xfId="11631"/>
    <cellStyle name="Normal 5 9 3 2" xfId="39967"/>
    <cellStyle name="Normal 5 9 3 2 2" xfId="44483"/>
    <cellStyle name="Normal 5 9 3 2 2 2" xfId="59609"/>
    <cellStyle name="Normal 5 9 3 2 3" xfId="42247"/>
    <cellStyle name="Normal 5 9 3 2 3 2" xfId="57374"/>
    <cellStyle name="Normal 5 9 3 2 4" xfId="55095"/>
    <cellStyle name="Normal 5 9 3 3" xfId="43619"/>
    <cellStyle name="Normal 5 9 3 3 2" xfId="58745"/>
    <cellStyle name="Normal 5 9 3 4" xfId="41383"/>
    <cellStyle name="Normal 5 9 3 4 2" xfId="56510"/>
    <cellStyle name="Normal 5 9 3 5" xfId="38803"/>
    <cellStyle name="Normal 5 9 3 5 2" xfId="53956"/>
    <cellStyle name="Normal 5 9 3 6" xfId="51885"/>
    <cellStyle name="Normal 5 9 4" xfId="3056"/>
    <cellStyle name="Normal 5 9 4 2" xfId="44045"/>
    <cellStyle name="Normal 5 9 4 2 2" xfId="59171"/>
    <cellStyle name="Normal 5 9 4 3" xfId="41809"/>
    <cellStyle name="Normal 5 9 4 3 2" xfId="56936"/>
    <cellStyle name="Normal 5 9 4 4" xfId="39529"/>
    <cellStyle name="Normal 5 9 4 4 2" xfId="54657"/>
    <cellStyle name="Normal 5 9 4 5" xfId="47750"/>
    <cellStyle name="Normal 5 9 5" xfId="42917"/>
    <cellStyle name="Normal 5 9 5 2" xfId="58044"/>
    <cellStyle name="Normal 5 9 6" xfId="40682"/>
    <cellStyle name="Normal 5 9 6 2" xfId="55809"/>
    <cellStyle name="Normal 5 9 7" xfId="38359"/>
    <cellStyle name="Normal 5 9 7 2" xfId="53518"/>
    <cellStyle name="Normal 5 9 8" xfId="46051"/>
    <cellStyle name="Normal 6" xfId="15"/>
    <cellStyle name="Normal 6 10" xfId="702"/>
    <cellStyle name="Normal 6 10 2" xfId="5051"/>
    <cellStyle name="Normal 6 10 2 2" xfId="39979"/>
    <cellStyle name="Normal 6 10 2 2 2" xfId="44495"/>
    <cellStyle name="Normal 6 10 2 2 2 2" xfId="59621"/>
    <cellStyle name="Normal 6 10 2 2 3" xfId="42259"/>
    <cellStyle name="Normal 6 10 2 2 3 2" xfId="57386"/>
    <cellStyle name="Normal 6 10 2 2 4" xfId="55107"/>
    <cellStyle name="Normal 6 10 2 3" xfId="43630"/>
    <cellStyle name="Normal 6 10 2 3 2" xfId="58756"/>
    <cellStyle name="Normal 6 10 2 4" xfId="41394"/>
    <cellStyle name="Normal 6 10 2 4 2" xfId="56521"/>
    <cellStyle name="Normal 6 10 2 5" xfId="38836"/>
    <cellStyle name="Normal 6 10 2 5 2" xfId="53968"/>
    <cellStyle name="Normal 6 10 2 6" xfId="49736"/>
    <cellStyle name="Normal 6 10 3" xfId="11512"/>
    <cellStyle name="Normal 6 10 3 2" xfId="44084"/>
    <cellStyle name="Normal 6 10 3 2 2" xfId="59210"/>
    <cellStyle name="Normal 6 10 3 3" xfId="41848"/>
    <cellStyle name="Normal 6 10 3 3 2" xfId="56975"/>
    <cellStyle name="Normal 6 10 3 4" xfId="39568"/>
    <cellStyle name="Normal 6 10 3 4 2" xfId="54696"/>
    <cellStyle name="Normal 6 10 3 5" xfId="51766"/>
    <cellStyle name="Normal 6 10 4" xfId="2936"/>
    <cellStyle name="Normal 6 10 4 2" xfId="42929"/>
    <cellStyle name="Normal 6 10 4 2 2" xfId="58055"/>
    <cellStyle name="Normal 6 10 4 3" xfId="47630"/>
    <cellStyle name="Normal 6 10 5" xfId="40693"/>
    <cellStyle name="Normal 6 10 5 2" xfId="55820"/>
    <cellStyle name="Normal 6 10 6" xfId="38398"/>
    <cellStyle name="Normal 6 10 6 2" xfId="53557"/>
    <cellStyle name="Normal 6 10 7" xfId="45932"/>
    <cellStyle name="Normal 6 11" xfId="492"/>
    <cellStyle name="Normal 6 11 2" xfId="4841"/>
    <cellStyle name="Normal 6 11 2 2" xfId="44144"/>
    <cellStyle name="Normal 6 11 2 2 2" xfId="59270"/>
    <cellStyle name="Normal 6 11 2 3" xfId="41908"/>
    <cellStyle name="Normal 6 11 2 3 2" xfId="57035"/>
    <cellStyle name="Normal 6 11 2 4" xfId="39628"/>
    <cellStyle name="Normal 6 11 2 4 2" xfId="54756"/>
    <cellStyle name="Normal 6 11 2 5" xfId="49526"/>
    <cellStyle name="Normal 6 11 3" xfId="11302"/>
    <cellStyle name="Normal 6 11 3 2" xfId="43280"/>
    <cellStyle name="Normal 6 11 3 2 2" xfId="58406"/>
    <cellStyle name="Normal 6 11 3 3" xfId="51556"/>
    <cellStyle name="Normal 6 11 4" xfId="4058"/>
    <cellStyle name="Normal 6 11 4 2" xfId="41044"/>
    <cellStyle name="Normal 6 11 4 2 2" xfId="56171"/>
    <cellStyle name="Normal 6 11 4 3" xfId="48750"/>
    <cellStyle name="Normal 6 11 5" xfId="38461"/>
    <cellStyle name="Normal 6 11 5 2" xfId="53617"/>
    <cellStyle name="Normal 6 11 6" xfId="45722"/>
    <cellStyle name="Normal 6 12" xfId="1759"/>
    <cellStyle name="Normal 6 12 2" xfId="12569"/>
    <cellStyle name="Normal 6 12 2 2" xfId="43706"/>
    <cellStyle name="Normal 6 12 2 2 2" xfId="58832"/>
    <cellStyle name="Normal 6 12 2 3" xfId="52823"/>
    <cellStyle name="Normal 6 12 3" xfId="6108"/>
    <cellStyle name="Normal 6 12 3 2" xfId="41470"/>
    <cellStyle name="Normal 6 12 3 2 2" xfId="56597"/>
    <cellStyle name="Normal 6 12 3 3" xfId="50793"/>
    <cellStyle name="Normal 6 12 4" xfId="39190"/>
    <cellStyle name="Normal 6 12 4 2" xfId="54318"/>
    <cellStyle name="Normal 6 12 5" xfId="46989"/>
    <cellStyle name="Normal 6 13" xfId="2640"/>
    <cellStyle name="Normal 6 13 2" xfId="4415"/>
    <cellStyle name="Normal 6 13 2 2" xfId="49105"/>
    <cellStyle name="Normal 6 13 3" xfId="40331"/>
    <cellStyle name="Normal 6 13 3 2" xfId="55459"/>
    <cellStyle name="Normal 6 13 4" xfId="47372"/>
    <cellStyle name="Normal 6 14" xfId="10880"/>
    <cellStyle name="Normal 6 14 2" xfId="51135"/>
    <cellStyle name="Normal 6 15" xfId="2694"/>
    <cellStyle name="Normal 6 15 2" xfId="47420"/>
    <cellStyle name="Normal 6 16" xfId="37978"/>
    <cellStyle name="Normal 6 16 2" xfId="53179"/>
    <cellStyle name="Normal 6 17" xfId="45312"/>
    <cellStyle name="Normal 6 18" xfId="60005"/>
    <cellStyle name="Normal 6 2" xfId="28"/>
    <cellStyle name="Normal 6 2 10" xfId="500"/>
    <cellStyle name="Normal 6 2 10 2" xfId="4849"/>
    <cellStyle name="Normal 6 2 10 2 2" xfId="43714"/>
    <cellStyle name="Normal 6 2 10 2 2 2" xfId="58840"/>
    <cellStyle name="Normal 6 2 10 2 3" xfId="49534"/>
    <cellStyle name="Normal 6 2 10 3" xfId="11310"/>
    <cellStyle name="Normal 6 2 10 3 2" xfId="41478"/>
    <cellStyle name="Normal 6 2 10 3 2 2" xfId="56605"/>
    <cellStyle name="Normal 6 2 10 3 3" xfId="51564"/>
    <cellStyle name="Normal 6 2 10 4" xfId="4100"/>
    <cellStyle name="Normal 6 2 10 4 2" xfId="48790"/>
    <cellStyle name="Normal 6 2 10 5" xfId="39198"/>
    <cellStyle name="Normal 6 2 10 5 2" xfId="54326"/>
    <cellStyle name="Normal 6 2 10 6" xfId="45730"/>
    <cellStyle name="Normal 6 2 11" xfId="1767"/>
    <cellStyle name="Normal 6 2 11 2" xfId="12577"/>
    <cellStyle name="Normal 6 2 11 2 2" xfId="52831"/>
    <cellStyle name="Normal 6 2 11 3" xfId="6116"/>
    <cellStyle name="Normal 6 2 11 3 2" xfId="50801"/>
    <cellStyle name="Normal 6 2 11 4" xfId="40340"/>
    <cellStyle name="Normal 6 2 11 4 2" xfId="55468"/>
    <cellStyle name="Normal 6 2 11 5" xfId="46997"/>
    <cellStyle name="Normal 6 2 12" xfId="2641"/>
    <cellStyle name="Normal 6 2 12 2" xfId="4423"/>
    <cellStyle name="Normal 6 2 12 2 2" xfId="49113"/>
    <cellStyle name="Normal 6 2 12 3" xfId="47373"/>
    <cellStyle name="Normal 6 2 13" xfId="10888"/>
    <cellStyle name="Normal 6 2 13 2" xfId="51143"/>
    <cellStyle name="Normal 6 2 14" xfId="2704"/>
    <cellStyle name="Normal 6 2 14 2" xfId="47428"/>
    <cellStyle name="Normal 6 2 15" xfId="37986"/>
    <cellStyle name="Normal 6 2 15 2" xfId="53187"/>
    <cellStyle name="Normal 6 2 16" xfId="45321"/>
    <cellStyle name="Normal 6 2 2" xfId="45"/>
    <cellStyle name="Normal 6 2 2 10" xfId="1785"/>
    <cellStyle name="Normal 6 2 2 10 2" xfId="12595"/>
    <cellStyle name="Normal 6 2 2 10 2 2" xfId="52849"/>
    <cellStyle name="Normal 6 2 2 10 3" xfId="6134"/>
    <cellStyle name="Normal 6 2 2 10 3 2" xfId="50819"/>
    <cellStyle name="Normal 6 2 2 10 4" xfId="40356"/>
    <cellStyle name="Normal 6 2 2 10 4 2" xfId="55484"/>
    <cellStyle name="Normal 6 2 2 10 5" xfId="47015"/>
    <cellStyle name="Normal 6 2 2 11" xfId="2642"/>
    <cellStyle name="Normal 6 2 2 11 2" xfId="4439"/>
    <cellStyle name="Normal 6 2 2 11 2 2" xfId="49129"/>
    <cellStyle name="Normal 6 2 2 11 3" xfId="47374"/>
    <cellStyle name="Normal 6 2 2 12" xfId="10904"/>
    <cellStyle name="Normal 6 2 2 12 2" xfId="51159"/>
    <cellStyle name="Normal 6 2 2 13" xfId="2720"/>
    <cellStyle name="Normal 6 2 2 13 2" xfId="47444"/>
    <cellStyle name="Normal 6 2 2 14" xfId="38004"/>
    <cellStyle name="Normal 6 2 2 14 2" xfId="53205"/>
    <cellStyle name="Normal 6 2 2 15" xfId="45337"/>
    <cellStyle name="Normal 6 2 2 2" xfId="135"/>
    <cellStyle name="Normal 6 2 2 2 10" xfId="10959"/>
    <cellStyle name="Normal 6 2 2 2 10 2" xfId="51213"/>
    <cellStyle name="Normal 6 2 2 2 11" xfId="2796"/>
    <cellStyle name="Normal 6 2 2 2 11 2" xfId="47496"/>
    <cellStyle name="Normal 6 2 2 2 12" xfId="38048"/>
    <cellStyle name="Normal 6 2 2 2 12 2" xfId="53248"/>
    <cellStyle name="Normal 6 2 2 2 13" xfId="45379"/>
    <cellStyle name="Normal 6 2 2 2 2" xfId="235"/>
    <cellStyle name="Normal 6 2 2 2 2 10" xfId="38124"/>
    <cellStyle name="Normal 6 2 2 2 2 10 2" xfId="53324"/>
    <cellStyle name="Normal 6 2 2 2 2 11" xfId="45467"/>
    <cellStyle name="Normal 6 2 2 2 2 2" xfId="989"/>
    <cellStyle name="Normal 6 2 2 2 2 2 2" xfId="5338"/>
    <cellStyle name="Normal 6 2 2 2 2 2 2 2" xfId="44640"/>
    <cellStyle name="Normal 6 2 2 2 2 2 2 2 2" xfId="59766"/>
    <cellStyle name="Normal 6 2 2 2 2 2 2 3" xfId="42404"/>
    <cellStyle name="Normal 6 2 2 2 2 2 2 3 2" xfId="57531"/>
    <cellStyle name="Normal 6 2 2 2 2 2 2 4" xfId="40124"/>
    <cellStyle name="Normal 6 2 2 2 2 2 2 4 2" xfId="55252"/>
    <cellStyle name="Normal 6 2 2 2 2 2 2 5" xfId="50023"/>
    <cellStyle name="Normal 6 2 2 2 2 2 3" xfId="11799"/>
    <cellStyle name="Normal 6 2 2 2 2 2 3 2" xfId="43074"/>
    <cellStyle name="Normal 6 2 2 2 2 2 3 2 2" xfId="58200"/>
    <cellStyle name="Normal 6 2 2 2 2 2 3 3" xfId="52053"/>
    <cellStyle name="Normal 6 2 2 2 2 2 4" xfId="3224"/>
    <cellStyle name="Normal 6 2 2 2 2 2 4 2" xfId="40838"/>
    <cellStyle name="Normal 6 2 2 2 2 2 4 2 2" xfId="55965"/>
    <cellStyle name="Normal 6 2 2 2 2 2 4 3" xfId="47918"/>
    <cellStyle name="Normal 6 2 2 2 2 2 5" xfId="38982"/>
    <cellStyle name="Normal 6 2 2 2 2 2 5 2" xfId="54113"/>
    <cellStyle name="Normal 6 2 2 2 2 2 6" xfId="46219"/>
    <cellStyle name="Normal 6 2 2 2 2 3" xfId="1291"/>
    <cellStyle name="Normal 6 2 2 2 2 3 2" xfId="5640"/>
    <cellStyle name="Normal 6 2 2 2 2 3 2 2" xfId="44289"/>
    <cellStyle name="Normal 6 2 2 2 2 3 2 2 2" xfId="59415"/>
    <cellStyle name="Normal 6 2 2 2 2 3 2 3" xfId="42053"/>
    <cellStyle name="Normal 6 2 2 2 2 3 2 3 2" xfId="57180"/>
    <cellStyle name="Normal 6 2 2 2 2 3 2 4" xfId="39773"/>
    <cellStyle name="Normal 6 2 2 2 2 3 2 4 2" xfId="54901"/>
    <cellStyle name="Normal 6 2 2 2 2 3 2 5" xfId="50325"/>
    <cellStyle name="Normal 6 2 2 2 2 3 3" xfId="12101"/>
    <cellStyle name="Normal 6 2 2 2 2 3 3 2" xfId="43425"/>
    <cellStyle name="Normal 6 2 2 2 2 3 3 2 2" xfId="58551"/>
    <cellStyle name="Normal 6 2 2 2 2 3 3 3" xfId="52355"/>
    <cellStyle name="Normal 6 2 2 2 2 3 4" xfId="3574"/>
    <cellStyle name="Normal 6 2 2 2 2 3 4 2" xfId="41189"/>
    <cellStyle name="Normal 6 2 2 2 2 3 4 2 2" xfId="56316"/>
    <cellStyle name="Normal 6 2 2 2 2 3 4 3" xfId="48267"/>
    <cellStyle name="Normal 6 2 2 2 2 3 5" xfId="38609"/>
    <cellStyle name="Normal 6 2 2 2 2 3 5 2" xfId="53762"/>
    <cellStyle name="Normal 6 2 2 2 2 3 6" xfId="46521"/>
    <cellStyle name="Normal 6 2 2 2 2 4" xfId="1502"/>
    <cellStyle name="Normal 6 2 2 2 2 4 2" xfId="5851"/>
    <cellStyle name="Normal 6 2 2 2 2 4 2 2" xfId="43851"/>
    <cellStyle name="Normal 6 2 2 2 2 4 2 2 2" xfId="58977"/>
    <cellStyle name="Normal 6 2 2 2 2 4 2 3" xfId="50536"/>
    <cellStyle name="Normal 6 2 2 2 2 4 3" xfId="12312"/>
    <cellStyle name="Normal 6 2 2 2 2 4 3 2" xfId="41615"/>
    <cellStyle name="Normal 6 2 2 2 2 4 3 2 2" xfId="56742"/>
    <cellStyle name="Normal 6 2 2 2 2 4 3 3" xfId="52566"/>
    <cellStyle name="Normal 6 2 2 2 2 4 4" xfId="3801"/>
    <cellStyle name="Normal 6 2 2 2 2 4 4 2" xfId="48494"/>
    <cellStyle name="Normal 6 2 2 2 2 4 5" xfId="39335"/>
    <cellStyle name="Normal 6 2 2 2 2 4 5 2" xfId="54463"/>
    <cellStyle name="Normal 6 2 2 2 2 4 6" xfId="46732"/>
    <cellStyle name="Normal 6 2 2 2 2 5" xfId="657"/>
    <cellStyle name="Normal 6 2 2 2 2 5 2" xfId="5006"/>
    <cellStyle name="Normal 6 2 2 2 2 5 2 2" xfId="49691"/>
    <cellStyle name="Normal 6 2 2 2 2 5 3" xfId="11467"/>
    <cellStyle name="Normal 6 2 2 2 2 5 3 2" xfId="51721"/>
    <cellStyle name="Normal 6 2 2 2 2 5 4" xfId="4160"/>
    <cellStyle name="Normal 6 2 2 2 2 5 4 2" xfId="48850"/>
    <cellStyle name="Normal 6 2 2 2 2 5 5" xfId="42723"/>
    <cellStyle name="Normal 6 2 2 2 2 5 5 2" xfId="57850"/>
    <cellStyle name="Normal 6 2 2 2 2 5 6" xfId="45887"/>
    <cellStyle name="Normal 6 2 2 2 2 6" xfId="1908"/>
    <cellStyle name="Normal 6 2 2 2 2 6 2" xfId="12715"/>
    <cellStyle name="Normal 6 2 2 2 2 6 2 2" xfId="52968"/>
    <cellStyle name="Normal 6 2 2 2 2 6 3" xfId="6255"/>
    <cellStyle name="Normal 6 2 2 2 2 6 3 2" xfId="50938"/>
    <cellStyle name="Normal 6 2 2 2 2 6 4" xfId="40488"/>
    <cellStyle name="Normal 6 2 2 2 2 6 4 2" xfId="55615"/>
    <cellStyle name="Normal 6 2 2 2 2 6 5" xfId="47134"/>
    <cellStyle name="Normal 6 2 2 2 2 7" xfId="4584"/>
    <cellStyle name="Normal 6 2 2 2 2 7 2" xfId="49271"/>
    <cellStyle name="Normal 6 2 2 2 2 8" xfId="11047"/>
    <cellStyle name="Normal 6 2 2 2 2 8 2" xfId="51301"/>
    <cellStyle name="Normal 6 2 2 2 2 9" xfId="2891"/>
    <cellStyle name="Normal 6 2 2 2 2 9 2" xfId="47585"/>
    <cellStyle name="Normal 6 2 2 2 3" xfId="326"/>
    <cellStyle name="Normal 6 2 2 2 3 10" xfId="45556"/>
    <cellStyle name="Normal 6 2 2 2 3 2" xfId="1380"/>
    <cellStyle name="Normal 6 2 2 2 3 2 2" xfId="5729"/>
    <cellStyle name="Normal 6 2 2 2 3 2 2 2" xfId="44716"/>
    <cellStyle name="Normal 6 2 2 2 3 2 2 2 2" xfId="59842"/>
    <cellStyle name="Normal 6 2 2 2 3 2 2 3" xfId="42480"/>
    <cellStyle name="Normal 6 2 2 2 3 2 2 3 2" xfId="57607"/>
    <cellStyle name="Normal 6 2 2 2 3 2 2 4" xfId="40200"/>
    <cellStyle name="Normal 6 2 2 2 3 2 2 4 2" xfId="55328"/>
    <cellStyle name="Normal 6 2 2 2 3 2 2 5" xfId="50414"/>
    <cellStyle name="Normal 6 2 2 2 3 2 3" xfId="12190"/>
    <cellStyle name="Normal 6 2 2 2 3 2 3 2" xfId="43150"/>
    <cellStyle name="Normal 6 2 2 2 3 2 3 2 2" xfId="58276"/>
    <cellStyle name="Normal 6 2 2 2 3 2 3 3" xfId="52444"/>
    <cellStyle name="Normal 6 2 2 2 3 2 4" xfId="3663"/>
    <cellStyle name="Normal 6 2 2 2 3 2 4 2" xfId="40914"/>
    <cellStyle name="Normal 6 2 2 2 3 2 4 2 2" xfId="56041"/>
    <cellStyle name="Normal 6 2 2 2 3 2 4 3" xfId="48356"/>
    <cellStyle name="Normal 6 2 2 2 3 2 5" xfId="39058"/>
    <cellStyle name="Normal 6 2 2 2 3 2 5 2" xfId="54189"/>
    <cellStyle name="Normal 6 2 2 2 3 2 6" xfId="46610"/>
    <cellStyle name="Normal 6 2 2 2 3 3" xfId="1591"/>
    <cellStyle name="Normal 6 2 2 2 3 3 2" xfId="5940"/>
    <cellStyle name="Normal 6 2 2 2 3 3 2 2" xfId="44365"/>
    <cellStyle name="Normal 6 2 2 2 3 3 2 2 2" xfId="59491"/>
    <cellStyle name="Normal 6 2 2 2 3 3 2 3" xfId="42129"/>
    <cellStyle name="Normal 6 2 2 2 3 3 2 3 2" xfId="57256"/>
    <cellStyle name="Normal 6 2 2 2 3 3 2 4" xfId="39849"/>
    <cellStyle name="Normal 6 2 2 2 3 3 2 4 2" xfId="54977"/>
    <cellStyle name="Normal 6 2 2 2 3 3 2 5" xfId="50625"/>
    <cellStyle name="Normal 6 2 2 2 3 3 3" xfId="12401"/>
    <cellStyle name="Normal 6 2 2 2 3 3 3 2" xfId="43501"/>
    <cellStyle name="Normal 6 2 2 2 3 3 3 2 2" xfId="58627"/>
    <cellStyle name="Normal 6 2 2 2 3 3 3 3" xfId="52655"/>
    <cellStyle name="Normal 6 2 2 2 3 3 4" xfId="3890"/>
    <cellStyle name="Normal 6 2 2 2 3 3 4 2" xfId="41265"/>
    <cellStyle name="Normal 6 2 2 2 3 3 4 2 2" xfId="56392"/>
    <cellStyle name="Normal 6 2 2 2 3 3 4 3" xfId="48583"/>
    <cellStyle name="Normal 6 2 2 2 3 3 5" xfId="38685"/>
    <cellStyle name="Normal 6 2 2 2 3 3 5 2" xfId="53838"/>
    <cellStyle name="Normal 6 2 2 2 3 3 6" xfId="46821"/>
    <cellStyle name="Normal 6 2 2 2 3 4" xfId="1078"/>
    <cellStyle name="Normal 6 2 2 2 3 4 2" xfId="5427"/>
    <cellStyle name="Normal 6 2 2 2 3 4 2 2" xfId="43927"/>
    <cellStyle name="Normal 6 2 2 2 3 4 2 2 2" xfId="59053"/>
    <cellStyle name="Normal 6 2 2 2 3 4 2 3" xfId="50112"/>
    <cellStyle name="Normal 6 2 2 2 3 4 3" xfId="11888"/>
    <cellStyle name="Normal 6 2 2 2 3 4 3 2" xfId="41691"/>
    <cellStyle name="Normal 6 2 2 2 3 4 3 2 2" xfId="56818"/>
    <cellStyle name="Normal 6 2 2 2 3 4 3 3" xfId="52142"/>
    <cellStyle name="Normal 6 2 2 2 3 4 4" xfId="4249"/>
    <cellStyle name="Normal 6 2 2 2 3 4 4 2" xfId="48939"/>
    <cellStyle name="Normal 6 2 2 2 3 4 5" xfId="39411"/>
    <cellStyle name="Normal 6 2 2 2 3 4 5 2" xfId="54539"/>
    <cellStyle name="Normal 6 2 2 2 3 4 6" xfId="46308"/>
    <cellStyle name="Normal 6 2 2 2 3 5" xfId="1984"/>
    <cellStyle name="Normal 6 2 2 2 3 5 2" xfId="12791"/>
    <cellStyle name="Normal 6 2 2 2 3 5 2 2" xfId="53044"/>
    <cellStyle name="Normal 6 2 2 2 3 5 3" xfId="6331"/>
    <cellStyle name="Normal 6 2 2 2 3 5 3 2" xfId="51014"/>
    <cellStyle name="Normal 6 2 2 2 3 5 4" xfId="42799"/>
    <cellStyle name="Normal 6 2 2 2 3 5 4 2" xfId="57926"/>
    <cellStyle name="Normal 6 2 2 2 3 5 5" xfId="47210"/>
    <cellStyle name="Normal 6 2 2 2 3 6" xfId="4675"/>
    <cellStyle name="Normal 6 2 2 2 3 6 2" xfId="40564"/>
    <cellStyle name="Normal 6 2 2 2 3 6 2 2" xfId="55691"/>
    <cellStyle name="Normal 6 2 2 2 3 6 3" xfId="49360"/>
    <cellStyle name="Normal 6 2 2 2 3 7" xfId="11136"/>
    <cellStyle name="Normal 6 2 2 2 3 7 2" xfId="51390"/>
    <cellStyle name="Normal 6 2 2 2 3 8" xfId="3313"/>
    <cellStyle name="Normal 6 2 2 2 3 8 2" xfId="48007"/>
    <cellStyle name="Normal 6 2 2 2 3 9" xfId="38200"/>
    <cellStyle name="Normal 6 2 2 2 3 9 2" xfId="53400"/>
    <cellStyle name="Normal 6 2 2 2 4" xfId="447"/>
    <cellStyle name="Normal 6 2 2 2 4 2" xfId="1712"/>
    <cellStyle name="Normal 6 2 2 2 4 2 2" xfId="6061"/>
    <cellStyle name="Normal 6 2 2 2 4 2 2 2" xfId="44792"/>
    <cellStyle name="Normal 6 2 2 2 4 2 2 2 2" xfId="59918"/>
    <cellStyle name="Normal 6 2 2 2 4 2 2 3" xfId="42556"/>
    <cellStyle name="Normal 6 2 2 2 4 2 2 3 2" xfId="57683"/>
    <cellStyle name="Normal 6 2 2 2 4 2 2 4" xfId="40276"/>
    <cellStyle name="Normal 6 2 2 2 4 2 2 4 2" xfId="55404"/>
    <cellStyle name="Normal 6 2 2 2 4 2 2 5" xfId="50746"/>
    <cellStyle name="Normal 6 2 2 2 4 2 3" xfId="12522"/>
    <cellStyle name="Normal 6 2 2 2 4 2 3 2" xfId="43226"/>
    <cellStyle name="Normal 6 2 2 2 4 2 3 2 2" xfId="58352"/>
    <cellStyle name="Normal 6 2 2 2 4 2 3 3" xfId="52776"/>
    <cellStyle name="Normal 6 2 2 2 4 2 4" xfId="4011"/>
    <cellStyle name="Normal 6 2 2 2 4 2 4 2" xfId="40990"/>
    <cellStyle name="Normal 6 2 2 2 4 2 4 2 2" xfId="56117"/>
    <cellStyle name="Normal 6 2 2 2 4 2 4 3" xfId="48704"/>
    <cellStyle name="Normal 6 2 2 2 4 2 5" xfId="39134"/>
    <cellStyle name="Normal 6 2 2 2 4 2 5 2" xfId="54265"/>
    <cellStyle name="Normal 6 2 2 2 4 2 6" xfId="46942"/>
    <cellStyle name="Normal 6 2 2 2 4 3" xfId="1199"/>
    <cellStyle name="Normal 6 2 2 2 4 3 2" xfId="5548"/>
    <cellStyle name="Normal 6 2 2 2 4 3 2 2" xfId="44441"/>
    <cellStyle name="Normal 6 2 2 2 4 3 2 2 2" xfId="59567"/>
    <cellStyle name="Normal 6 2 2 2 4 3 2 3" xfId="42205"/>
    <cellStyle name="Normal 6 2 2 2 4 3 2 3 2" xfId="57332"/>
    <cellStyle name="Normal 6 2 2 2 4 3 2 4" xfId="39925"/>
    <cellStyle name="Normal 6 2 2 2 4 3 2 4 2" xfId="55053"/>
    <cellStyle name="Normal 6 2 2 2 4 3 2 5" xfId="50233"/>
    <cellStyle name="Normal 6 2 2 2 4 3 3" xfId="12009"/>
    <cellStyle name="Normal 6 2 2 2 4 3 3 2" xfId="43577"/>
    <cellStyle name="Normal 6 2 2 2 4 3 3 2 2" xfId="58703"/>
    <cellStyle name="Normal 6 2 2 2 4 3 3 3" xfId="52263"/>
    <cellStyle name="Normal 6 2 2 2 4 3 4" xfId="4370"/>
    <cellStyle name="Normal 6 2 2 2 4 3 4 2" xfId="41341"/>
    <cellStyle name="Normal 6 2 2 2 4 3 4 2 2" xfId="56468"/>
    <cellStyle name="Normal 6 2 2 2 4 3 4 3" xfId="49060"/>
    <cellStyle name="Normal 6 2 2 2 4 3 5" xfId="38761"/>
    <cellStyle name="Normal 6 2 2 2 4 3 5 2" xfId="53914"/>
    <cellStyle name="Normal 6 2 2 2 4 3 6" xfId="46429"/>
    <cellStyle name="Normal 6 2 2 2 4 4" xfId="2061"/>
    <cellStyle name="Normal 6 2 2 2 4 4 2" xfId="12867"/>
    <cellStyle name="Normal 6 2 2 2 4 4 2 2" xfId="44003"/>
    <cellStyle name="Normal 6 2 2 2 4 4 2 2 2" xfId="59129"/>
    <cellStyle name="Normal 6 2 2 2 4 4 2 3" xfId="53120"/>
    <cellStyle name="Normal 6 2 2 2 4 4 3" xfId="6407"/>
    <cellStyle name="Normal 6 2 2 2 4 4 3 2" xfId="41767"/>
    <cellStyle name="Normal 6 2 2 2 4 4 3 2 2" xfId="56894"/>
    <cellStyle name="Normal 6 2 2 2 4 4 3 3" xfId="51090"/>
    <cellStyle name="Normal 6 2 2 2 4 4 4" xfId="39487"/>
    <cellStyle name="Normal 6 2 2 2 4 4 4 2" xfId="54615"/>
    <cellStyle name="Normal 6 2 2 2 4 4 5" xfId="47286"/>
    <cellStyle name="Normal 6 2 2 2 4 5" xfId="4796"/>
    <cellStyle name="Normal 6 2 2 2 4 5 2" xfId="42875"/>
    <cellStyle name="Normal 6 2 2 2 4 5 2 2" xfId="58002"/>
    <cellStyle name="Normal 6 2 2 2 4 5 3" xfId="49481"/>
    <cellStyle name="Normal 6 2 2 2 4 6" xfId="11257"/>
    <cellStyle name="Normal 6 2 2 2 4 6 2" xfId="40640"/>
    <cellStyle name="Normal 6 2 2 2 4 6 2 2" xfId="55767"/>
    <cellStyle name="Normal 6 2 2 2 4 6 3" xfId="51511"/>
    <cellStyle name="Normal 6 2 2 2 4 7" xfId="3434"/>
    <cellStyle name="Normal 6 2 2 2 4 7 2" xfId="48128"/>
    <cellStyle name="Normal 6 2 2 2 4 8" xfId="38276"/>
    <cellStyle name="Normal 6 2 2 2 4 8 2" xfId="53476"/>
    <cellStyle name="Normal 6 2 2 2 4 9" xfId="45677"/>
    <cellStyle name="Normal 6 2 2 2 5" xfId="901"/>
    <cellStyle name="Normal 6 2 2 2 5 2" xfId="5250"/>
    <cellStyle name="Normal 6 2 2 2 5 2 2" xfId="40048"/>
    <cellStyle name="Normal 6 2 2 2 5 2 2 2" xfId="44564"/>
    <cellStyle name="Normal 6 2 2 2 5 2 2 2 2" xfId="59690"/>
    <cellStyle name="Normal 6 2 2 2 5 2 2 3" xfId="42328"/>
    <cellStyle name="Normal 6 2 2 2 5 2 2 3 2" xfId="57455"/>
    <cellStyle name="Normal 6 2 2 2 5 2 2 4" xfId="55176"/>
    <cellStyle name="Normal 6 2 2 2 5 2 3" xfId="43680"/>
    <cellStyle name="Normal 6 2 2 2 5 2 3 2" xfId="58806"/>
    <cellStyle name="Normal 6 2 2 2 5 2 4" xfId="41444"/>
    <cellStyle name="Normal 6 2 2 2 5 2 4 2" xfId="56571"/>
    <cellStyle name="Normal 6 2 2 2 5 2 5" xfId="38905"/>
    <cellStyle name="Normal 6 2 2 2 5 2 5 2" xfId="54037"/>
    <cellStyle name="Normal 6 2 2 2 5 2 6" xfId="49935"/>
    <cellStyle name="Normal 6 2 2 2 5 3" xfId="11711"/>
    <cellStyle name="Normal 6 2 2 2 5 3 2" xfId="44087"/>
    <cellStyle name="Normal 6 2 2 2 5 3 2 2" xfId="59213"/>
    <cellStyle name="Normal 6 2 2 2 5 3 3" xfId="41851"/>
    <cellStyle name="Normal 6 2 2 2 5 3 3 2" xfId="56978"/>
    <cellStyle name="Normal 6 2 2 2 5 3 4" xfId="39571"/>
    <cellStyle name="Normal 6 2 2 2 5 3 4 2" xfId="54699"/>
    <cellStyle name="Normal 6 2 2 2 5 3 5" xfId="51965"/>
    <cellStyle name="Normal 6 2 2 2 5 4" xfId="3136"/>
    <cellStyle name="Normal 6 2 2 2 5 4 2" xfId="42998"/>
    <cellStyle name="Normal 6 2 2 2 5 4 2 2" xfId="58124"/>
    <cellStyle name="Normal 6 2 2 2 5 4 3" xfId="47830"/>
    <cellStyle name="Normal 6 2 2 2 5 5" xfId="40762"/>
    <cellStyle name="Normal 6 2 2 2 5 5 2" xfId="55889"/>
    <cellStyle name="Normal 6 2 2 2 5 6" xfId="38401"/>
    <cellStyle name="Normal 6 2 2 2 5 6 2" xfId="53560"/>
    <cellStyle name="Normal 6 2 2 2 5 7" xfId="46131"/>
    <cellStyle name="Normal 6 2 2 2 6" xfId="778"/>
    <cellStyle name="Normal 6 2 2 2 6 2" xfId="5127"/>
    <cellStyle name="Normal 6 2 2 2 6 2 2" xfId="44213"/>
    <cellStyle name="Normal 6 2 2 2 6 2 2 2" xfId="59339"/>
    <cellStyle name="Normal 6 2 2 2 6 2 3" xfId="41977"/>
    <cellStyle name="Normal 6 2 2 2 6 2 3 2" xfId="57104"/>
    <cellStyle name="Normal 6 2 2 2 6 2 4" xfId="39697"/>
    <cellStyle name="Normal 6 2 2 2 6 2 4 2" xfId="54825"/>
    <cellStyle name="Normal 6 2 2 2 6 2 5" xfId="49812"/>
    <cellStyle name="Normal 6 2 2 2 6 3" xfId="11588"/>
    <cellStyle name="Normal 6 2 2 2 6 3 2" xfId="43349"/>
    <cellStyle name="Normal 6 2 2 2 6 3 2 2" xfId="58475"/>
    <cellStyle name="Normal 6 2 2 2 6 3 3" xfId="51842"/>
    <cellStyle name="Normal 6 2 2 2 6 4" xfId="3013"/>
    <cellStyle name="Normal 6 2 2 2 6 4 2" xfId="41113"/>
    <cellStyle name="Normal 6 2 2 2 6 4 2 2" xfId="56240"/>
    <cellStyle name="Normal 6 2 2 2 6 4 3" xfId="47707"/>
    <cellStyle name="Normal 6 2 2 2 6 5" xfId="38531"/>
    <cellStyle name="Normal 6 2 2 2 6 5 2" xfId="53686"/>
    <cellStyle name="Normal 6 2 2 2 6 6" xfId="46008"/>
    <cellStyle name="Normal 6 2 2 2 7" xfId="568"/>
    <cellStyle name="Normal 6 2 2 2 7 2" xfId="4917"/>
    <cellStyle name="Normal 6 2 2 2 7 2 2" xfId="43775"/>
    <cellStyle name="Normal 6 2 2 2 7 2 2 2" xfId="58901"/>
    <cellStyle name="Normal 6 2 2 2 7 2 3" xfId="49602"/>
    <cellStyle name="Normal 6 2 2 2 7 3" xfId="11378"/>
    <cellStyle name="Normal 6 2 2 2 7 3 2" xfId="41539"/>
    <cellStyle name="Normal 6 2 2 2 7 3 2 2" xfId="56666"/>
    <cellStyle name="Normal 6 2 2 2 7 3 3" xfId="51632"/>
    <cellStyle name="Normal 6 2 2 2 7 4" xfId="3502"/>
    <cellStyle name="Normal 6 2 2 2 7 4 2" xfId="48196"/>
    <cellStyle name="Normal 6 2 2 2 7 5" xfId="39259"/>
    <cellStyle name="Normal 6 2 2 2 7 5 2" xfId="54387"/>
    <cellStyle name="Normal 6 2 2 2 7 6" xfId="45798"/>
    <cellStyle name="Normal 6 2 2 2 8" xfId="1829"/>
    <cellStyle name="Normal 6 2 2 2 8 2" xfId="12638"/>
    <cellStyle name="Normal 6 2 2 2 8 2 2" xfId="52892"/>
    <cellStyle name="Normal 6 2 2 2 8 3" xfId="6177"/>
    <cellStyle name="Normal 6 2 2 2 8 3 2" xfId="50862"/>
    <cellStyle name="Normal 6 2 2 2 8 4" xfId="42647"/>
    <cellStyle name="Normal 6 2 2 2 8 4 2" xfId="57774"/>
    <cellStyle name="Normal 6 2 2 2 8 5" xfId="47058"/>
    <cellStyle name="Normal 6 2 2 2 9" xfId="2643"/>
    <cellStyle name="Normal 6 2 2 2 9 2" xfId="4493"/>
    <cellStyle name="Normal 6 2 2 2 9 2 2" xfId="49183"/>
    <cellStyle name="Normal 6 2 2 2 9 3" xfId="40412"/>
    <cellStyle name="Normal 6 2 2 2 9 3 2" xfId="55539"/>
    <cellStyle name="Normal 6 2 2 2 9 4" xfId="47375"/>
    <cellStyle name="Normal 6 2 2 3" xfId="134"/>
    <cellStyle name="Normal 6 2 2 3 10" xfId="38047"/>
    <cellStyle name="Normal 6 2 2 3 10 2" xfId="53247"/>
    <cellStyle name="Normal 6 2 2 3 11" xfId="45378"/>
    <cellStyle name="Normal 6 2 2 3 2" xfId="446"/>
    <cellStyle name="Normal 6 2 2 3 2 2" xfId="1438"/>
    <cellStyle name="Normal 6 2 2 3 2 2 2" xfId="5787"/>
    <cellStyle name="Normal 6 2 2 3 2 2 2 2" xfId="44563"/>
    <cellStyle name="Normal 6 2 2 3 2 2 2 2 2" xfId="59689"/>
    <cellStyle name="Normal 6 2 2 3 2 2 2 3" xfId="50472"/>
    <cellStyle name="Normal 6 2 2 3 2 2 3" xfId="12248"/>
    <cellStyle name="Normal 6 2 2 3 2 2 3 2" xfId="42327"/>
    <cellStyle name="Normal 6 2 2 3 2 2 3 2 2" xfId="57454"/>
    <cellStyle name="Normal 6 2 2 3 2 2 3 3" xfId="52502"/>
    <cellStyle name="Normal 6 2 2 3 2 2 4" xfId="3721"/>
    <cellStyle name="Normal 6 2 2 3 2 2 4 2" xfId="48414"/>
    <cellStyle name="Normal 6 2 2 3 2 2 5" xfId="40047"/>
    <cellStyle name="Normal 6 2 2 3 2 2 5 2" xfId="55175"/>
    <cellStyle name="Normal 6 2 2 3 2 2 6" xfId="46668"/>
    <cellStyle name="Normal 6 2 2 3 2 3" xfId="1711"/>
    <cellStyle name="Normal 6 2 2 3 2 3 2" xfId="6060"/>
    <cellStyle name="Normal 6 2 2 3 2 3 2 2" xfId="50745"/>
    <cellStyle name="Normal 6 2 2 3 2 3 3" xfId="12521"/>
    <cellStyle name="Normal 6 2 2 3 2 3 3 2" xfId="52775"/>
    <cellStyle name="Normal 6 2 2 3 2 3 4" xfId="4010"/>
    <cellStyle name="Normal 6 2 2 3 2 3 4 2" xfId="48703"/>
    <cellStyle name="Normal 6 2 2 3 2 3 5" xfId="42997"/>
    <cellStyle name="Normal 6 2 2 3 2 3 5 2" xfId="58123"/>
    <cellStyle name="Normal 6 2 2 3 2 3 6" xfId="46941"/>
    <cellStyle name="Normal 6 2 2 3 2 4" xfId="1198"/>
    <cellStyle name="Normal 6 2 2 3 2 4 2" xfId="5547"/>
    <cellStyle name="Normal 6 2 2 3 2 4 2 2" xfId="50232"/>
    <cellStyle name="Normal 6 2 2 3 2 4 3" xfId="12008"/>
    <cellStyle name="Normal 6 2 2 3 2 4 3 2" xfId="52262"/>
    <cellStyle name="Normal 6 2 2 3 2 4 4" xfId="4369"/>
    <cellStyle name="Normal 6 2 2 3 2 4 4 2" xfId="49059"/>
    <cellStyle name="Normal 6 2 2 3 2 4 5" xfId="40761"/>
    <cellStyle name="Normal 6 2 2 3 2 4 5 2" xfId="55888"/>
    <cellStyle name="Normal 6 2 2 3 2 4 6" xfId="46428"/>
    <cellStyle name="Normal 6 2 2 3 2 5" xfId="4795"/>
    <cellStyle name="Normal 6 2 2 3 2 5 2" xfId="49480"/>
    <cellStyle name="Normal 6 2 2 3 2 6" xfId="11256"/>
    <cellStyle name="Normal 6 2 2 3 2 6 2" xfId="51510"/>
    <cellStyle name="Normal 6 2 2 3 2 7" xfId="3433"/>
    <cellStyle name="Normal 6 2 2 3 2 7 2" xfId="48127"/>
    <cellStyle name="Normal 6 2 2 3 2 8" xfId="38904"/>
    <cellStyle name="Normal 6 2 2 3 2 8 2" xfId="54036"/>
    <cellStyle name="Normal 6 2 2 3 2 9" xfId="45676"/>
    <cellStyle name="Normal 6 2 2 3 3" xfId="900"/>
    <cellStyle name="Normal 6 2 2 3 3 2" xfId="5249"/>
    <cellStyle name="Normal 6 2 2 3 3 2 2" xfId="44212"/>
    <cellStyle name="Normal 6 2 2 3 3 2 2 2" xfId="59338"/>
    <cellStyle name="Normal 6 2 2 3 3 2 3" xfId="41976"/>
    <cellStyle name="Normal 6 2 2 3 3 2 3 2" xfId="57103"/>
    <cellStyle name="Normal 6 2 2 3 3 2 4" xfId="39696"/>
    <cellStyle name="Normal 6 2 2 3 3 2 4 2" xfId="54824"/>
    <cellStyle name="Normal 6 2 2 3 3 2 5" xfId="49934"/>
    <cellStyle name="Normal 6 2 2 3 3 3" xfId="11710"/>
    <cellStyle name="Normal 6 2 2 3 3 3 2" xfId="43348"/>
    <cellStyle name="Normal 6 2 2 3 3 3 2 2" xfId="58474"/>
    <cellStyle name="Normal 6 2 2 3 3 3 3" xfId="51964"/>
    <cellStyle name="Normal 6 2 2 3 3 4" xfId="3135"/>
    <cellStyle name="Normal 6 2 2 3 3 4 2" xfId="41112"/>
    <cellStyle name="Normal 6 2 2 3 3 4 2 2" xfId="56239"/>
    <cellStyle name="Normal 6 2 2 3 3 4 3" xfId="47829"/>
    <cellStyle name="Normal 6 2 2 3 3 5" xfId="38530"/>
    <cellStyle name="Normal 6 2 2 3 3 5 2" xfId="53685"/>
    <cellStyle name="Normal 6 2 2 3 3 6" xfId="46130"/>
    <cellStyle name="Normal 6 2 2 3 4" xfId="777"/>
    <cellStyle name="Normal 6 2 2 3 4 2" xfId="5126"/>
    <cellStyle name="Normal 6 2 2 3 4 2 2" xfId="43774"/>
    <cellStyle name="Normal 6 2 2 3 4 2 2 2" xfId="58900"/>
    <cellStyle name="Normal 6 2 2 3 4 2 3" xfId="49811"/>
    <cellStyle name="Normal 6 2 2 3 4 3" xfId="11587"/>
    <cellStyle name="Normal 6 2 2 3 4 3 2" xfId="41538"/>
    <cellStyle name="Normal 6 2 2 3 4 3 2 2" xfId="56665"/>
    <cellStyle name="Normal 6 2 2 3 4 3 3" xfId="51841"/>
    <cellStyle name="Normal 6 2 2 3 4 4" xfId="3012"/>
    <cellStyle name="Normal 6 2 2 3 4 4 2" xfId="47706"/>
    <cellStyle name="Normal 6 2 2 3 4 5" xfId="39258"/>
    <cellStyle name="Normal 6 2 2 3 4 5 2" xfId="54386"/>
    <cellStyle name="Normal 6 2 2 3 4 6" xfId="46007"/>
    <cellStyle name="Normal 6 2 2 3 5" xfId="567"/>
    <cellStyle name="Normal 6 2 2 3 5 2" xfId="4916"/>
    <cellStyle name="Normal 6 2 2 3 5 2 2" xfId="49601"/>
    <cellStyle name="Normal 6 2 2 3 5 3" xfId="11377"/>
    <cellStyle name="Normal 6 2 2 3 5 3 2" xfId="51631"/>
    <cellStyle name="Normal 6 2 2 3 5 4" xfId="4069"/>
    <cellStyle name="Normal 6 2 2 3 5 4 2" xfId="48761"/>
    <cellStyle name="Normal 6 2 2 3 5 5" xfId="42646"/>
    <cellStyle name="Normal 6 2 2 3 5 5 2" xfId="57773"/>
    <cellStyle name="Normal 6 2 2 3 5 6" xfId="45797"/>
    <cellStyle name="Normal 6 2 2 3 6" xfId="1828"/>
    <cellStyle name="Normal 6 2 2 3 6 2" xfId="12637"/>
    <cellStyle name="Normal 6 2 2 3 6 2 2" xfId="52891"/>
    <cellStyle name="Normal 6 2 2 3 6 3" xfId="6176"/>
    <cellStyle name="Normal 6 2 2 3 6 3 2" xfId="50861"/>
    <cellStyle name="Normal 6 2 2 3 6 4" xfId="40411"/>
    <cellStyle name="Normal 6 2 2 3 6 4 2" xfId="55538"/>
    <cellStyle name="Normal 6 2 2 3 6 5" xfId="47057"/>
    <cellStyle name="Normal 6 2 2 3 7" xfId="4492"/>
    <cellStyle name="Normal 6 2 2 3 7 2" xfId="49182"/>
    <cellStyle name="Normal 6 2 2 3 8" xfId="10958"/>
    <cellStyle name="Normal 6 2 2 3 8 2" xfId="51212"/>
    <cellStyle name="Normal 6 2 2 3 9" xfId="2795"/>
    <cellStyle name="Normal 6 2 2 3 9 2" xfId="47495"/>
    <cellStyle name="Normal 6 2 2 4" xfId="234"/>
    <cellStyle name="Normal 6 2 2 4 10" xfId="38123"/>
    <cellStyle name="Normal 6 2 2 4 10 2" xfId="53323"/>
    <cellStyle name="Normal 6 2 2 4 11" xfId="45466"/>
    <cellStyle name="Normal 6 2 2 4 2" xfId="988"/>
    <cellStyle name="Normal 6 2 2 4 2 2" xfId="5337"/>
    <cellStyle name="Normal 6 2 2 4 2 2 2" xfId="44639"/>
    <cellStyle name="Normal 6 2 2 4 2 2 2 2" xfId="59765"/>
    <cellStyle name="Normal 6 2 2 4 2 2 3" xfId="42403"/>
    <cellStyle name="Normal 6 2 2 4 2 2 3 2" xfId="57530"/>
    <cellStyle name="Normal 6 2 2 4 2 2 4" xfId="40123"/>
    <cellStyle name="Normal 6 2 2 4 2 2 4 2" xfId="55251"/>
    <cellStyle name="Normal 6 2 2 4 2 2 5" xfId="50022"/>
    <cellStyle name="Normal 6 2 2 4 2 3" xfId="11798"/>
    <cellStyle name="Normal 6 2 2 4 2 3 2" xfId="43073"/>
    <cellStyle name="Normal 6 2 2 4 2 3 2 2" xfId="58199"/>
    <cellStyle name="Normal 6 2 2 4 2 3 3" xfId="52052"/>
    <cellStyle name="Normal 6 2 2 4 2 4" xfId="3223"/>
    <cellStyle name="Normal 6 2 2 4 2 4 2" xfId="40837"/>
    <cellStyle name="Normal 6 2 2 4 2 4 2 2" xfId="55964"/>
    <cellStyle name="Normal 6 2 2 4 2 4 3" xfId="47917"/>
    <cellStyle name="Normal 6 2 2 4 2 5" xfId="38981"/>
    <cellStyle name="Normal 6 2 2 4 2 5 2" xfId="54112"/>
    <cellStyle name="Normal 6 2 2 4 2 6" xfId="46218"/>
    <cellStyle name="Normal 6 2 2 4 3" xfId="1290"/>
    <cellStyle name="Normal 6 2 2 4 3 2" xfId="5639"/>
    <cellStyle name="Normal 6 2 2 4 3 2 2" xfId="44288"/>
    <cellStyle name="Normal 6 2 2 4 3 2 2 2" xfId="59414"/>
    <cellStyle name="Normal 6 2 2 4 3 2 3" xfId="42052"/>
    <cellStyle name="Normal 6 2 2 4 3 2 3 2" xfId="57179"/>
    <cellStyle name="Normal 6 2 2 4 3 2 4" xfId="39772"/>
    <cellStyle name="Normal 6 2 2 4 3 2 4 2" xfId="54900"/>
    <cellStyle name="Normal 6 2 2 4 3 2 5" xfId="50324"/>
    <cellStyle name="Normal 6 2 2 4 3 3" xfId="12100"/>
    <cellStyle name="Normal 6 2 2 4 3 3 2" xfId="43424"/>
    <cellStyle name="Normal 6 2 2 4 3 3 2 2" xfId="58550"/>
    <cellStyle name="Normal 6 2 2 4 3 3 3" xfId="52354"/>
    <cellStyle name="Normal 6 2 2 4 3 4" xfId="3573"/>
    <cellStyle name="Normal 6 2 2 4 3 4 2" xfId="41188"/>
    <cellStyle name="Normal 6 2 2 4 3 4 2 2" xfId="56315"/>
    <cellStyle name="Normal 6 2 2 4 3 4 3" xfId="48266"/>
    <cellStyle name="Normal 6 2 2 4 3 5" xfId="38608"/>
    <cellStyle name="Normal 6 2 2 4 3 5 2" xfId="53761"/>
    <cellStyle name="Normal 6 2 2 4 3 6" xfId="46520"/>
    <cellStyle name="Normal 6 2 2 4 4" xfId="1501"/>
    <cellStyle name="Normal 6 2 2 4 4 2" xfId="5850"/>
    <cellStyle name="Normal 6 2 2 4 4 2 2" xfId="43850"/>
    <cellStyle name="Normal 6 2 2 4 4 2 2 2" xfId="58976"/>
    <cellStyle name="Normal 6 2 2 4 4 2 3" xfId="50535"/>
    <cellStyle name="Normal 6 2 2 4 4 3" xfId="12311"/>
    <cellStyle name="Normal 6 2 2 4 4 3 2" xfId="41614"/>
    <cellStyle name="Normal 6 2 2 4 4 3 2 2" xfId="56741"/>
    <cellStyle name="Normal 6 2 2 4 4 3 3" xfId="52565"/>
    <cellStyle name="Normal 6 2 2 4 4 4" xfId="3800"/>
    <cellStyle name="Normal 6 2 2 4 4 4 2" xfId="48493"/>
    <cellStyle name="Normal 6 2 2 4 4 5" xfId="39334"/>
    <cellStyle name="Normal 6 2 2 4 4 5 2" xfId="54462"/>
    <cellStyle name="Normal 6 2 2 4 4 6" xfId="46731"/>
    <cellStyle name="Normal 6 2 2 4 5" xfId="656"/>
    <cellStyle name="Normal 6 2 2 4 5 2" xfId="5005"/>
    <cellStyle name="Normal 6 2 2 4 5 2 2" xfId="49690"/>
    <cellStyle name="Normal 6 2 2 4 5 3" xfId="11466"/>
    <cellStyle name="Normal 6 2 2 4 5 3 2" xfId="51720"/>
    <cellStyle name="Normal 6 2 2 4 5 4" xfId="4159"/>
    <cellStyle name="Normal 6 2 2 4 5 4 2" xfId="48849"/>
    <cellStyle name="Normal 6 2 2 4 5 5" xfId="42722"/>
    <cellStyle name="Normal 6 2 2 4 5 5 2" xfId="57849"/>
    <cellStyle name="Normal 6 2 2 4 5 6" xfId="45886"/>
    <cellStyle name="Normal 6 2 2 4 6" xfId="1907"/>
    <cellStyle name="Normal 6 2 2 4 6 2" xfId="12714"/>
    <cellStyle name="Normal 6 2 2 4 6 2 2" xfId="52967"/>
    <cellStyle name="Normal 6 2 2 4 6 3" xfId="6254"/>
    <cellStyle name="Normal 6 2 2 4 6 3 2" xfId="50937"/>
    <cellStyle name="Normal 6 2 2 4 6 4" xfId="40487"/>
    <cellStyle name="Normal 6 2 2 4 6 4 2" xfId="55614"/>
    <cellStyle name="Normal 6 2 2 4 6 5" xfId="47133"/>
    <cellStyle name="Normal 6 2 2 4 7" xfId="4583"/>
    <cellStyle name="Normal 6 2 2 4 7 2" xfId="49270"/>
    <cellStyle name="Normal 6 2 2 4 8" xfId="11046"/>
    <cellStyle name="Normal 6 2 2 4 8 2" xfId="51300"/>
    <cellStyle name="Normal 6 2 2 4 9" xfId="2890"/>
    <cellStyle name="Normal 6 2 2 4 9 2" xfId="47584"/>
    <cellStyle name="Normal 6 2 2 5" xfId="325"/>
    <cellStyle name="Normal 6 2 2 5 10" xfId="45555"/>
    <cellStyle name="Normal 6 2 2 5 2" xfId="1379"/>
    <cellStyle name="Normal 6 2 2 5 2 2" xfId="5728"/>
    <cellStyle name="Normal 6 2 2 5 2 2 2" xfId="44715"/>
    <cellStyle name="Normal 6 2 2 5 2 2 2 2" xfId="59841"/>
    <cellStyle name="Normal 6 2 2 5 2 2 3" xfId="42479"/>
    <cellStyle name="Normal 6 2 2 5 2 2 3 2" xfId="57606"/>
    <cellStyle name="Normal 6 2 2 5 2 2 4" xfId="40199"/>
    <cellStyle name="Normal 6 2 2 5 2 2 4 2" xfId="55327"/>
    <cellStyle name="Normal 6 2 2 5 2 2 5" xfId="50413"/>
    <cellStyle name="Normal 6 2 2 5 2 3" xfId="12189"/>
    <cellStyle name="Normal 6 2 2 5 2 3 2" xfId="43149"/>
    <cellStyle name="Normal 6 2 2 5 2 3 2 2" xfId="58275"/>
    <cellStyle name="Normal 6 2 2 5 2 3 3" xfId="52443"/>
    <cellStyle name="Normal 6 2 2 5 2 4" xfId="3662"/>
    <cellStyle name="Normal 6 2 2 5 2 4 2" xfId="40913"/>
    <cellStyle name="Normal 6 2 2 5 2 4 2 2" xfId="56040"/>
    <cellStyle name="Normal 6 2 2 5 2 4 3" xfId="48355"/>
    <cellStyle name="Normal 6 2 2 5 2 5" xfId="39057"/>
    <cellStyle name="Normal 6 2 2 5 2 5 2" xfId="54188"/>
    <cellStyle name="Normal 6 2 2 5 2 6" xfId="46609"/>
    <cellStyle name="Normal 6 2 2 5 3" xfId="1590"/>
    <cellStyle name="Normal 6 2 2 5 3 2" xfId="5939"/>
    <cellStyle name="Normal 6 2 2 5 3 2 2" xfId="44364"/>
    <cellStyle name="Normal 6 2 2 5 3 2 2 2" xfId="59490"/>
    <cellStyle name="Normal 6 2 2 5 3 2 3" xfId="42128"/>
    <cellStyle name="Normal 6 2 2 5 3 2 3 2" xfId="57255"/>
    <cellStyle name="Normal 6 2 2 5 3 2 4" xfId="39848"/>
    <cellStyle name="Normal 6 2 2 5 3 2 4 2" xfId="54976"/>
    <cellStyle name="Normal 6 2 2 5 3 2 5" xfId="50624"/>
    <cellStyle name="Normal 6 2 2 5 3 3" xfId="12400"/>
    <cellStyle name="Normal 6 2 2 5 3 3 2" xfId="43500"/>
    <cellStyle name="Normal 6 2 2 5 3 3 2 2" xfId="58626"/>
    <cellStyle name="Normal 6 2 2 5 3 3 3" xfId="52654"/>
    <cellStyle name="Normal 6 2 2 5 3 4" xfId="3889"/>
    <cellStyle name="Normal 6 2 2 5 3 4 2" xfId="41264"/>
    <cellStyle name="Normal 6 2 2 5 3 4 2 2" xfId="56391"/>
    <cellStyle name="Normal 6 2 2 5 3 4 3" xfId="48582"/>
    <cellStyle name="Normal 6 2 2 5 3 5" xfId="38684"/>
    <cellStyle name="Normal 6 2 2 5 3 5 2" xfId="53837"/>
    <cellStyle name="Normal 6 2 2 5 3 6" xfId="46820"/>
    <cellStyle name="Normal 6 2 2 5 4" xfId="1077"/>
    <cellStyle name="Normal 6 2 2 5 4 2" xfId="5426"/>
    <cellStyle name="Normal 6 2 2 5 4 2 2" xfId="43926"/>
    <cellStyle name="Normal 6 2 2 5 4 2 2 2" xfId="59052"/>
    <cellStyle name="Normal 6 2 2 5 4 2 3" xfId="50111"/>
    <cellStyle name="Normal 6 2 2 5 4 3" xfId="11887"/>
    <cellStyle name="Normal 6 2 2 5 4 3 2" xfId="41690"/>
    <cellStyle name="Normal 6 2 2 5 4 3 2 2" xfId="56817"/>
    <cellStyle name="Normal 6 2 2 5 4 3 3" xfId="52141"/>
    <cellStyle name="Normal 6 2 2 5 4 4" xfId="4248"/>
    <cellStyle name="Normal 6 2 2 5 4 4 2" xfId="48938"/>
    <cellStyle name="Normal 6 2 2 5 4 5" xfId="39410"/>
    <cellStyle name="Normal 6 2 2 5 4 5 2" xfId="54538"/>
    <cellStyle name="Normal 6 2 2 5 4 6" xfId="46307"/>
    <cellStyle name="Normal 6 2 2 5 5" xfId="1983"/>
    <cellStyle name="Normal 6 2 2 5 5 2" xfId="12790"/>
    <cellStyle name="Normal 6 2 2 5 5 2 2" xfId="53043"/>
    <cellStyle name="Normal 6 2 2 5 5 3" xfId="6330"/>
    <cellStyle name="Normal 6 2 2 5 5 3 2" xfId="51013"/>
    <cellStyle name="Normal 6 2 2 5 5 4" xfId="42798"/>
    <cellStyle name="Normal 6 2 2 5 5 4 2" xfId="57925"/>
    <cellStyle name="Normal 6 2 2 5 5 5" xfId="47209"/>
    <cellStyle name="Normal 6 2 2 5 6" xfId="4674"/>
    <cellStyle name="Normal 6 2 2 5 6 2" xfId="40563"/>
    <cellStyle name="Normal 6 2 2 5 6 2 2" xfId="55690"/>
    <cellStyle name="Normal 6 2 2 5 6 3" xfId="49359"/>
    <cellStyle name="Normal 6 2 2 5 7" xfId="11135"/>
    <cellStyle name="Normal 6 2 2 5 7 2" xfId="51389"/>
    <cellStyle name="Normal 6 2 2 5 8" xfId="3312"/>
    <cellStyle name="Normal 6 2 2 5 8 2" xfId="48006"/>
    <cellStyle name="Normal 6 2 2 5 9" xfId="38199"/>
    <cellStyle name="Normal 6 2 2 5 9 2" xfId="53399"/>
    <cellStyle name="Normal 6 2 2 6" xfId="395"/>
    <cellStyle name="Normal 6 2 2 6 2" xfId="1660"/>
    <cellStyle name="Normal 6 2 2 6 2 2" xfId="6009"/>
    <cellStyle name="Normal 6 2 2 6 2 2 2" xfId="44791"/>
    <cellStyle name="Normal 6 2 2 6 2 2 2 2" xfId="59917"/>
    <cellStyle name="Normal 6 2 2 6 2 2 3" xfId="42555"/>
    <cellStyle name="Normal 6 2 2 6 2 2 3 2" xfId="57682"/>
    <cellStyle name="Normal 6 2 2 6 2 2 4" xfId="40275"/>
    <cellStyle name="Normal 6 2 2 6 2 2 4 2" xfId="55403"/>
    <cellStyle name="Normal 6 2 2 6 2 2 5" xfId="50694"/>
    <cellStyle name="Normal 6 2 2 6 2 3" xfId="12470"/>
    <cellStyle name="Normal 6 2 2 6 2 3 2" xfId="43225"/>
    <cellStyle name="Normal 6 2 2 6 2 3 2 2" xfId="58351"/>
    <cellStyle name="Normal 6 2 2 6 2 3 3" xfId="52724"/>
    <cellStyle name="Normal 6 2 2 6 2 4" xfId="3959"/>
    <cellStyle name="Normal 6 2 2 6 2 4 2" xfId="40989"/>
    <cellStyle name="Normal 6 2 2 6 2 4 2 2" xfId="56116"/>
    <cellStyle name="Normal 6 2 2 6 2 4 3" xfId="48652"/>
    <cellStyle name="Normal 6 2 2 6 2 5" xfId="39133"/>
    <cellStyle name="Normal 6 2 2 6 2 5 2" xfId="54264"/>
    <cellStyle name="Normal 6 2 2 6 2 6" xfId="46890"/>
    <cellStyle name="Normal 6 2 2 6 3" xfId="1147"/>
    <cellStyle name="Normal 6 2 2 6 3 2" xfId="5496"/>
    <cellStyle name="Normal 6 2 2 6 3 2 2" xfId="44440"/>
    <cellStyle name="Normal 6 2 2 6 3 2 2 2" xfId="59566"/>
    <cellStyle name="Normal 6 2 2 6 3 2 3" xfId="42204"/>
    <cellStyle name="Normal 6 2 2 6 3 2 3 2" xfId="57331"/>
    <cellStyle name="Normal 6 2 2 6 3 2 4" xfId="39924"/>
    <cellStyle name="Normal 6 2 2 6 3 2 4 2" xfId="55052"/>
    <cellStyle name="Normal 6 2 2 6 3 2 5" xfId="50181"/>
    <cellStyle name="Normal 6 2 2 6 3 3" xfId="11957"/>
    <cellStyle name="Normal 6 2 2 6 3 3 2" xfId="43576"/>
    <cellStyle name="Normal 6 2 2 6 3 3 2 2" xfId="58702"/>
    <cellStyle name="Normal 6 2 2 6 3 3 3" xfId="52211"/>
    <cellStyle name="Normal 6 2 2 6 3 4" xfId="4318"/>
    <cellStyle name="Normal 6 2 2 6 3 4 2" xfId="41340"/>
    <cellStyle name="Normal 6 2 2 6 3 4 2 2" xfId="56467"/>
    <cellStyle name="Normal 6 2 2 6 3 4 3" xfId="49008"/>
    <cellStyle name="Normal 6 2 2 6 3 5" xfId="38760"/>
    <cellStyle name="Normal 6 2 2 6 3 5 2" xfId="53913"/>
    <cellStyle name="Normal 6 2 2 6 3 6" xfId="46377"/>
    <cellStyle name="Normal 6 2 2 6 4" xfId="2060"/>
    <cellStyle name="Normal 6 2 2 6 4 2" xfId="12866"/>
    <cellStyle name="Normal 6 2 2 6 4 2 2" xfId="44002"/>
    <cellStyle name="Normal 6 2 2 6 4 2 2 2" xfId="59128"/>
    <cellStyle name="Normal 6 2 2 6 4 2 3" xfId="53119"/>
    <cellStyle name="Normal 6 2 2 6 4 3" xfId="6406"/>
    <cellStyle name="Normal 6 2 2 6 4 3 2" xfId="41766"/>
    <cellStyle name="Normal 6 2 2 6 4 3 2 2" xfId="56893"/>
    <cellStyle name="Normal 6 2 2 6 4 3 3" xfId="51089"/>
    <cellStyle name="Normal 6 2 2 6 4 4" xfId="39486"/>
    <cellStyle name="Normal 6 2 2 6 4 4 2" xfId="54614"/>
    <cellStyle name="Normal 6 2 2 6 4 5" xfId="47285"/>
    <cellStyle name="Normal 6 2 2 6 5" xfId="4744"/>
    <cellStyle name="Normal 6 2 2 6 5 2" xfId="42874"/>
    <cellStyle name="Normal 6 2 2 6 5 2 2" xfId="58001"/>
    <cellStyle name="Normal 6 2 2 6 5 3" xfId="49429"/>
    <cellStyle name="Normal 6 2 2 6 6" xfId="11205"/>
    <cellStyle name="Normal 6 2 2 6 6 2" xfId="40639"/>
    <cellStyle name="Normal 6 2 2 6 6 2 2" xfId="55766"/>
    <cellStyle name="Normal 6 2 2 6 6 3" xfId="51459"/>
    <cellStyle name="Normal 6 2 2 6 7" xfId="3382"/>
    <cellStyle name="Normal 6 2 2 6 7 2" xfId="48076"/>
    <cellStyle name="Normal 6 2 2 6 8" xfId="38275"/>
    <cellStyle name="Normal 6 2 2 6 8 2" xfId="53475"/>
    <cellStyle name="Normal 6 2 2 6 9" xfId="45625"/>
    <cellStyle name="Normal 6 2 2 7" xfId="847"/>
    <cellStyle name="Normal 6 2 2 7 2" xfId="5196"/>
    <cellStyle name="Normal 6 2 2 7 2 2" xfId="40005"/>
    <cellStyle name="Normal 6 2 2 7 2 2 2" xfId="44521"/>
    <cellStyle name="Normal 6 2 2 7 2 2 2 2" xfId="59647"/>
    <cellStyle name="Normal 6 2 2 7 2 2 3" xfId="42285"/>
    <cellStyle name="Normal 6 2 2 7 2 2 3 2" xfId="57412"/>
    <cellStyle name="Normal 6 2 2 7 2 2 4" xfId="55133"/>
    <cellStyle name="Normal 6 2 2 7 2 3" xfId="43656"/>
    <cellStyle name="Normal 6 2 2 7 2 3 2" xfId="58782"/>
    <cellStyle name="Normal 6 2 2 7 2 4" xfId="41420"/>
    <cellStyle name="Normal 6 2 2 7 2 4 2" xfId="56547"/>
    <cellStyle name="Normal 6 2 2 7 2 5" xfId="38862"/>
    <cellStyle name="Normal 6 2 2 7 2 5 2" xfId="53994"/>
    <cellStyle name="Normal 6 2 2 7 2 6" xfId="49881"/>
    <cellStyle name="Normal 6 2 2 7 3" xfId="11657"/>
    <cellStyle name="Normal 6 2 2 7 3 2" xfId="44086"/>
    <cellStyle name="Normal 6 2 2 7 3 2 2" xfId="59212"/>
    <cellStyle name="Normal 6 2 2 7 3 3" xfId="41850"/>
    <cellStyle name="Normal 6 2 2 7 3 3 2" xfId="56977"/>
    <cellStyle name="Normal 6 2 2 7 3 4" xfId="39570"/>
    <cellStyle name="Normal 6 2 2 7 3 4 2" xfId="54698"/>
    <cellStyle name="Normal 6 2 2 7 3 5" xfId="51911"/>
    <cellStyle name="Normal 6 2 2 7 4" xfId="3082"/>
    <cellStyle name="Normal 6 2 2 7 4 2" xfId="42955"/>
    <cellStyle name="Normal 6 2 2 7 4 2 2" xfId="58081"/>
    <cellStyle name="Normal 6 2 2 7 4 3" xfId="47776"/>
    <cellStyle name="Normal 6 2 2 7 5" xfId="40719"/>
    <cellStyle name="Normal 6 2 2 7 5 2" xfId="55846"/>
    <cellStyle name="Normal 6 2 2 7 6" xfId="38400"/>
    <cellStyle name="Normal 6 2 2 7 6 2" xfId="53559"/>
    <cellStyle name="Normal 6 2 2 7 7" xfId="46077"/>
    <cellStyle name="Normal 6 2 2 8" xfId="726"/>
    <cellStyle name="Normal 6 2 2 8 2" xfId="5075"/>
    <cellStyle name="Normal 6 2 2 8 2 2" xfId="44170"/>
    <cellStyle name="Normal 6 2 2 8 2 2 2" xfId="59296"/>
    <cellStyle name="Normal 6 2 2 8 2 3" xfId="41934"/>
    <cellStyle name="Normal 6 2 2 8 2 3 2" xfId="57061"/>
    <cellStyle name="Normal 6 2 2 8 2 4" xfId="39654"/>
    <cellStyle name="Normal 6 2 2 8 2 4 2" xfId="54782"/>
    <cellStyle name="Normal 6 2 2 8 2 5" xfId="49760"/>
    <cellStyle name="Normal 6 2 2 8 3" xfId="11536"/>
    <cellStyle name="Normal 6 2 2 8 3 2" xfId="43306"/>
    <cellStyle name="Normal 6 2 2 8 3 2 2" xfId="58432"/>
    <cellStyle name="Normal 6 2 2 8 3 3" xfId="51790"/>
    <cellStyle name="Normal 6 2 2 8 4" xfId="2960"/>
    <cellStyle name="Normal 6 2 2 8 4 2" xfId="41070"/>
    <cellStyle name="Normal 6 2 2 8 4 2 2" xfId="56197"/>
    <cellStyle name="Normal 6 2 2 8 4 3" xfId="47654"/>
    <cellStyle name="Normal 6 2 2 8 5" xfId="38487"/>
    <cellStyle name="Normal 6 2 2 8 5 2" xfId="53643"/>
    <cellStyle name="Normal 6 2 2 8 6" xfId="45956"/>
    <cellStyle name="Normal 6 2 2 9" xfId="516"/>
    <cellStyle name="Normal 6 2 2 9 2" xfId="4865"/>
    <cellStyle name="Normal 6 2 2 9 2 2" xfId="43732"/>
    <cellStyle name="Normal 6 2 2 9 2 2 2" xfId="58858"/>
    <cellStyle name="Normal 6 2 2 9 2 3" xfId="49550"/>
    <cellStyle name="Normal 6 2 2 9 3" xfId="11326"/>
    <cellStyle name="Normal 6 2 2 9 3 2" xfId="41496"/>
    <cellStyle name="Normal 6 2 2 9 3 2 2" xfId="56623"/>
    <cellStyle name="Normal 6 2 2 9 3 3" xfId="51580"/>
    <cellStyle name="Normal 6 2 2 9 4" xfId="4099"/>
    <cellStyle name="Normal 6 2 2 9 4 2" xfId="48789"/>
    <cellStyle name="Normal 6 2 2 9 5" xfId="39216"/>
    <cellStyle name="Normal 6 2 2 9 5 2" xfId="54344"/>
    <cellStyle name="Normal 6 2 2 9 6" xfId="45746"/>
    <cellStyle name="Normal 6 2 3" xfId="136"/>
    <cellStyle name="Normal 6 2 3 10" xfId="10960"/>
    <cellStyle name="Normal 6 2 3 10 2" xfId="51214"/>
    <cellStyle name="Normal 6 2 3 11" xfId="2797"/>
    <cellStyle name="Normal 6 2 3 11 2" xfId="47497"/>
    <cellStyle name="Normal 6 2 3 12" xfId="38049"/>
    <cellStyle name="Normal 6 2 3 12 2" xfId="53249"/>
    <cellStyle name="Normal 6 2 3 13" xfId="45380"/>
    <cellStyle name="Normal 6 2 3 2" xfId="236"/>
    <cellStyle name="Normal 6 2 3 2 10" xfId="38125"/>
    <cellStyle name="Normal 6 2 3 2 10 2" xfId="53325"/>
    <cellStyle name="Normal 6 2 3 2 11" xfId="45468"/>
    <cellStyle name="Normal 6 2 3 2 2" xfId="990"/>
    <cellStyle name="Normal 6 2 3 2 2 2" xfId="5339"/>
    <cellStyle name="Normal 6 2 3 2 2 2 2" xfId="44641"/>
    <cellStyle name="Normal 6 2 3 2 2 2 2 2" xfId="59767"/>
    <cellStyle name="Normal 6 2 3 2 2 2 3" xfId="42405"/>
    <cellStyle name="Normal 6 2 3 2 2 2 3 2" xfId="57532"/>
    <cellStyle name="Normal 6 2 3 2 2 2 4" xfId="40125"/>
    <cellStyle name="Normal 6 2 3 2 2 2 4 2" xfId="55253"/>
    <cellStyle name="Normal 6 2 3 2 2 2 5" xfId="50024"/>
    <cellStyle name="Normal 6 2 3 2 2 3" xfId="11800"/>
    <cellStyle name="Normal 6 2 3 2 2 3 2" xfId="43075"/>
    <cellStyle name="Normal 6 2 3 2 2 3 2 2" xfId="58201"/>
    <cellStyle name="Normal 6 2 3 2 2 3 3" xfId="52054"/>
    <cellStyle name="Normal 6 2 3 2 2 4" xfId="3225"/>
    <cellStyle name="Normal 6 2 3 2 2 4 2" xfId="40839"/>
    <cellStyle name="Normal 6 2 3 2 2 4 2 2" xfId="55966"/>
    <cellStyle name="Normal 6 2 3 2 2 4 3" xfId="47919"/>
    <cellStyle name="Normal 6 2 3 2 2 5" xfId="38983"/>
    <cellStyle name="Normal 6 2 3 2 2 5 2" xfId="54114"/>
    <cellStyle name="Normal 6 2 3 2 2 6" xfId="46220"/>
    <cellStyle name="Normal 6 2 3 2 3" xfId="1292"/>
    <cellStyle name="Normal 6 2 3 2 3 2" xfId="5641"/>
    <cellStyle name="Normal 6 2 3 2 3 2 2" xfId="44290"/>
    <cellStyle name="Normal 6 2 3 2 3 2 2 2" xfId="59416"/>
    <cellStyle name="Normal 6 2 3 2 3 2 3" xfId="42054"/>
    <cellStyle name="Normal 6 2 3 2 3 2 3 2" xfId="57181"/>
    <cellStyle name="Normal 6 2 3 2 3 2 4" xfId="39774"/>
    <cellStyle name="Normal 6 2 3 2 3 2 4 2" xfId="54902"/>
    <cellStyle name="Normal 6 2 3 2 3 2 5" xfId="50326"/>
    <cellStyle name="Normal 6 2 3 2 3 3" xfId="12102"/>
    <cellStyle name="Normal 6 2 3 2 3 3 2" xfId="43426"/>
    <cellStyle name="Normal 6 2 3 2 3 3 2 2" xfId="58552"/>
    <cellStyle name="Normal 6 2 3 2 3 3 3" xfId="52356"/>
    <cellStyle name="Normal 6 2 3 2 3 4" xfId="3575"/>
    <cellStyle name="Normal 6 2 3 2 3 4 2" xfId="41190"/>
    <cellStyle name="Normal 6 2 3 2 3 4 2 2" xfId="56317"/>
    <cellStyle name="Normal 6 2 3 2 3 4 3" xfId="48268"/>
    <cellStyle name="Normal 6 2 3 2 3 5" xfId="38610"/>
    <cellStyle name="Normal 6 2 3 2 3 5 2" xfId="53763"/>
    <cellStyle name="Normal 6 2 3 2 3 6" xfId="46522"/>
    <cellStyle name="Normal 6 2 3 2 4" xfId="1503"/>
    <cellStyle name="Normal 6 2 3 2 4 2" xfId="5852"/>
    <cellStyle name="Normal 6 2 3 2 4 2 2" xfId="43852"/>
    <cellStyle name="Normal 6 2 3 2 4 2 2 2" xfId="58978"/>
    <cellStyle name="Normal 6 2 3 2 4 2 3" xfId="50537"/>
    <cellStyle name="Normal 6 2 3 2 4 3" xfId="12313"/>
    <cellStyle name="Normal 6 2 3 2 4 3 2" xfId="41616"/>
    <cellStyle name="Normal 6 2 3 2 4 3 2 2" xfId="56743"/>
    <cellStyle name="Normal 6 2 3 2 4 3 3" xfId="52567"/>
    <cellStyle name="Normal 6 2 3 2 4 4" xfId="3802"/>
    <cellStyle name="Normal 6 2 3 2 4 4 2" xfId="48495"/>
    <cellStyle name="Normal 6 2 3 2 4 5" xfId="39336"/>
    <cellStyle name="Normal 6 2 3 2 4 5 2" xfId="54464"/>
    <cellStyle name="Normal 6 2 3 2 4 6" xfId="46733"/>
    <cellStyle name="Normal 6 2 3 2 5" xfId="658"/>
    <cellStyle name="Normal 6 2 3 2 5 2" xfId="5007"/>
    <cellStyle name="Normal 6 2 3 2 5 2 2" xfId="49692"/>
    <cellStyle name="Normal 6 2 3 2 5 3" xfId="11468"/>
    <cellStyle name="Normal 6 2 3 2 5 3 2" xfId="51722"/>
    <cellStyle name="Normal 6 2 3 2 5 4" xfId="4161"/>
    <cellStyle name="Normal 6 2 3 2 5 4 2" xfId="48851"/>
    <cellStyle name="Normal 6 2 3 2 5 5" xfId="42724"/>
    <cellStyle name="Normal 6 2 3 2 5 5 2" xfId="57851"/>
    <cellStyle name="Normal 6 2 3 2 5 6" xfId="45888"/>
    <cellStyle name="Normal 6 2 3 2 6" xfId="1909"/>
    <cellStyle name="Normal 6 2 3 2 6 2" xfId="12716"/>
    <cellStyle name="Normal 6 2 3 2 6 2 2" xfId="52969"/>
    <cellStyle name="Normal 6 2 3 2 6 3" xfId="6256"/>
    <cellStyle name="Normal 6 2 3 2 6 3 2" xfId="50939"/>
    <cellStyle name="Normal 6 2 3 2 6 4" xfId="40489"/>
    <cellStyle name="Normal 6 2 3 2 6 4 2" xfId="55616"/>
    <cellStyle name="Normal 6 2 3 2 6 5" xfId="47135"/>
    <cellStyle name="Normal 6 2 3 2 7" xfId="4585"/>
    <cellStyle name="Normal 6 2 3 2 7 2" xfId="49272"/>
    <cellStyle name="Normal 6 2 3 2 8" xfId="11048"/>
    <cellStyle name="Normal 6 2 3 2 8 2" xfId="51302"/>
    <cellStyle name="Normal 6 2 3 2 9" xfId="2892"/>
    <cellStyle name="Normal 6 2 3 2 9 2" xfId="47586"/>
    <cellStyle name="Normal 6 2 3 3" xfId="327"/>
    <cellStyle name="Normal 6 2 3 3 10" xfId="45557"/>
    <cellStyle name="Normal 6 2 3 3 2" xfId="1381"/>
    <cellStyle name="Normal 6 2 3 3 2 2" xfId="5730"/>
    <cellStyle name="Normal 6 2 3 3 2 2 2" xfId="44717"/>
    <cellStyle name="Normal 6 2 3 3 2 2 2 2" xfId="59843"/>
    <cellStyle name="Normal 6 2 3 3 2 2 3" xfId="42481"/>
    <cellStyle name="Normal 6 2 3 3 2 2 3 2" xfId="57608"/>
    <cellStyle name="Normal 6 2 3 3 2 2 4" xfId="40201"/>
    <cellStyle name="Normal 6 2 3 3 2 2 4 2" xfId="55329"/>
    <cellStyle name="Normal 6 2 3 3 2 2 5" xfId="50415"/>
    <cellStyle name="Normal 6 2 3 3 2 3" xfId="12191"/>
    <cellStyle name="Normal 6 2 3 3 2 3 2" xfId="43151"/>
    <cellStyle name="Normal 6 2 3 3 2 3 2 2" xfId="58277"/>
    <cellStyle name="Normal 6 2 3 3 2 3 3" xfId="52445"/>
    <cellStyle name="Normal 6 2 3 3 2 4" xfId="3664"/>
    <cellStyle name="Normal 6 2 3 3 2 4 2" xfId="40915"/>
    <cellStyle name="Normal 6 2 3 3 2 4 2 2" xfId="56042"/>
    <cellStyle name="Normal 6 2 3 3 2 4 3" xfId="48357"/>
    <cellStyle name="Normal 6 2 3 3 2 5" xfId="39059"/>
    <cellStyle name="Normal 6 2 3 3 2 5 2" xfId="54190"/>
    <cellStyle name="Normal 6 2 3 3 2 6" xfId="46611"/>
    <cellStyle name="Normal 6 2 3 3 3" xfId="1592"/>
    <cellStyle name="Normal 6 2 3 3 3 2" xfId="5941"/>
    <cellStyle name="Normal 6 2 3 3 3 2 2" xfId="44366"/>
    <cellStyle name="Normal 6 2 3 3 3 2 2 2" xfId="59492"/>
    <cellStyle name="Normal 6 2 3 3 3 2 3" xfId="42130"/>
    <cellStyle name="Normal 6 2 3 3 3 2 3 2" xfId="57257"/>
    <cellStyle name="Normal 6 2 3 3 3 2 4" xfId="39850"/>
    <cellStyle name="Normal 6 2 3 3 3 2 4 2" xfId="54978"/>
    <cellStyle name="Normal 6 2 3 3 3 2 5" xfId="50626"/>
    <cellStyle name="Normal 6 2 3 3 3 3" xfId="12402"/>
    <cellStyle name="Normal 6 2 3 3 3 3 2" xfId="43502"/>
    <cellStyle name="Normal 6 2 3 3 3 3 2 2" xfId="58628"/>
    <cellStyle name="Normal 6 2 3 3 3 3 3" xfId="52656"/>
    <cellStyle name="Normal 6 2 3 3 3 4" xfId="3891"/>
    <cellStyle name="Normal 6 2 3 3 3 4 2" xfId="41266"/>
    <cellStyle name="Normal 6 2 3 3 3 4 2 2" xfId="56393"/>
    <cellStyle name="Normal 6 2 3 3 3 4 3" xfId="48584"/>
    <cellStyle name="Normal 6 2 3 3 3 5" xfId="38686"/>
    <cellStyle name="Normal 6 2 3 3 3 5 2" xfId="53839"/>
    <cellStyle name="Normal 6 2 3 3 3 6" xfId="46822"/>
    <cellStyle name="Normal 6 2 3 3 4" xfId="1079"/>
    <cellStyle name="Normal 6 2 3 3 4 2" xfId="5428"/>
    <cellStyle name="Normal 6 2 3 3 4 2 2" xfId="43928"/>
    <cellStyle name="Normal 6 2 3 3 4 2 2 2" xfId="59054"/>
    <cellStyle name="Normal 6 2 3 3 4 2 3" xfId="50113"/>
    <cellStyle name="Normal 6 2 3 3 4 3" xfId="11889"/>
    <cellStyle name="Normal 6 2 3 3 4 3 2" xfId="41692"/>
    <cellStyle name="Normal 6 2 3 3 4 3 2 2" xfId="56819"/>
    <cellStyle name="Normal 6 2 3 3 4 3 3" xfId="52143"/>
    <cellStyle name="Normal 6 2 3 3 4 4" xfId="4250"/>
    <cellStyle name="Normal 6 2 3 3 4 4 2" xfId="48940"/>
    <cellStyle name="Normal 6 2 3 3 4 5" xfId="39412"/>
    <cellStyle name="Normal 6 2 3 3 4 5 2" xfId="54540"/>
    <cellStyle name="Normal 6 2 3 3 4 6" xfId="46309"/>
    <cellStyle name="Normal 6 2 3 3 5" xfId="1985"/>
    <cellStyle name="Normal 6 2 3 3 5 2" xfId="12792"/>
    <cellStyle name="Normal 6 2 3 3 5 2 2" xfId="53045"/>
    <cellStyle name="Normal 6 2 3 3 5 3" xfId="6332"/>
    <cellStyle name="Normal 6 2 3 3 5 3 2" xfId="51015"/>
    <cellStyle name="Normal 6 2 3 3 5 4" xfId="42800"/>
    <cellStyle name="Normal 6 2 3 3 5 4 2" xfId="57927"/>
    <cellStyle name="Normal 6 2 3 3 5 5" xfId="47211"/>
    <cellStyle name="Normal 6 2 3 3 6" xfId="4676"/>
    <cellStyle name="Normal 6 2 3 3 6 2" xfId="40565"/>
    <cellStyle name="Normal 6 2 3 3 6 2 2" xfId="55692"/>
    <cellStyle name="Normal 6 2 3 3 6 3" xfId="49361"/>
    <cellStyle name="Normal 6 2 3 3 7" xfId="11137"/>
    <cellStyle name="Normal 6 2 3 3 7 2" xfId="51391"/>
    <cellStyle name="Normal 6 2 3 3 8" xfId="3314"/>
    <cellStyle name="Normal 6 2 3 3 8 2" xfId="48008"/>
    <cellStyle name="Normal 6 2 3 3 9" xfId="38201"/>
    <cellStyle name="Normal 6 2 3 3 9 2" xfId="53401"/>
    <cellStyle name="Normal 6 2 3 4" xfId="448"/>
    <cellStyle name="Normal 6 2 3 4 2" xfId="1713"/>
    <cellStyle name="Normal 6 2 3 4 2 2" xfId="6062"/>
    <cellStyle name="Normal 6 2 3 4 2 2 2" xfId="44793"/>
    <cellStyle name="Normal 6 2 3 4 2 2 2 2" xfId="59919"/>
    <cellStyle name="Normal 6 2 3 4 2 2 3" xfId="42557"/>
    <cellStyle name="Normal 6 2 3 4 2 2 3 2" xfId="57684"/>
    <cellStyle name="Normal 6 2 3 4 2 2 4" xfId="40277"/>
    <cellStyle name="Normal 6 2 3 4 2 2 4 2" xfId="55405"/>
    <cellStyle name="Normal 6 2 3 4 2 2 5" xfId="50747"/>
    <cellStyle name="Normal 6 2 3 4 2 3" xfId="12523"/>
    <cellStyle name="Normal 6 2 3 4 2 3 2" xfId="43227"/>
    <cellStyle name="Normal 6 2 3 4 2 3 2 2" xfId="58353"/>
    <cellStyle name="Normal 6 2 3 4 2 3 3" xfId="52777"/>
    <cellStyle name="Normal 6 2 3 4 2 4" xfId="4012"/>
    <cellStyle name="Normal 6 2 3 4 2 4 2" xfId="40991"/>
    <cellStyle name="Normal 6 2 3 4 2 4 2 2" xfId="56118"/>
    <cellStyle name="Normal 6 2 3 4 2 4 3" xfId="48705"/>
    <cellStyle name="Normal 6 2 3 4 2 5" xfId="39135"/>
    <cellStyle name="Normal 6 2 3 4 2 5 2" xfId="54266"/>
    <cellStyle name="Normal 6 2 3 4 2 6" xfId="46943"/>
    <cellStyle name="Normal 6 2 3 4 3" xfId="1200"/>
    <cellStyle name="Normal 6 2 3 4 3 2" xfId="5549"/>
    <cellStyle name="Normal 6 2 3 4 3 2 2" xfId="44442"/>
    <cellStyle name="Normal 6 2 3 4 3 2 2 2" xfId="59568"/>
    <cellStyle name="Normal 6 2 3 4 3 2 3" xfId="42206"/>
    <cellStyle name="Normal 6 2 3 4 3 2 3 2" xfId="57333"/>
    <cellStyle name="Normal 6 2 3 4 3 2 4" xfId="39926"/>
    <cellStyle name="Normal 6 2 3 4 3 2 4 2" xfId="55054"/>
    <cellStyle name="Normal 6 2 3 4 3 2 5" xfId="50234"/>
    <cellStyle name="Normal 6 2 3 4 3 3" xfId="12010"/>
    <cellStyle name="Normal 6 2 3 4 3 3 2" xfId="43578"/>
    <cellStyle name="Normal 6 2 3 4 3 3 2 2" xfId="58704"/>
    <cellStyle name="Normal 6 2 3 4 3 3 3" xfId="52264"/>
    <cellStyle name="Normal 6 2 3 4 3 4" xfId="4371"/>
    <cellStyle name="Normal 6 2 3 4 3 4 2" xfId="41342"/>
    <cellStyle name="Normal 6 2 3 4 3 4 2 2" xfId="56469"/>
    <cellStyle name="Normal 6 2 3 4 3 4 3" xfId="49061"/>
    <cellStyle name="Normal 6 2 3 4 3 5" xfId="38762"/>
    <cellStyle name="Normal 6 2 3 4 3 5 2" xfId="53915"/>
    <cellStyle name="Normal 6 2 3 4 3 6" xfId="46430"/>
    <cellStyle name="Normal 6 2 3 4 4" xfId="2062"/>
    <cellStyle name="Normal 6 2 3 4 4 2" xfId="12868"/>
    <cellStyle name="Normal 6 2 3 4 4 2 2" xfId="44004"/>
    <cellStyle name="Normal 6 2 3 4 4 2 2 2" xfId="59130"/>
    <cellStyle name="Normal 6 2 3 4 4 2 3" xfId="53121"/>
    <cellStyle name="Normal 6 2 3 4 4 3" xfId="6408"/>
    <cellStyle name="Normal 6 2 3 4 4 3 2" xfId="41768"/>
    <cellStyle name="Normal 6 2 3 4 4 3 2 2" xfId="56895"/>
    <cellStyle name="Normal 6 2 3 4 4 3 3" xfId="51091"/>
    <cellStyle name="Normal 6 2 3 4 4 4" xfId="39488"/>
    <cellStyle name="Normal 6 2 3 4 4 4 2" xfId="54616"/>
    <cellStyle name="Normal 6 2 3 4 4 5" xfId="47287"/>
    <cellStyle name="Normal 6 2 3 4 5" xfId="4797"/>
    <cellStyle name="Normal 6 2 3 4 5 2" xfId="42876"/>
    <cellStyle name="Normal 6 2 3 4 5 2 2" xfId="58003"/>
    <cellStyle name="Normal 6 2 3 4 5 3" xfId="49482"/>
    <cellStyle name="Normal 6 2 3 4 6" xfId="11258"/>
    <cellStyle name="Normal 6 2 3 4 6 2" xfId="40641"/>
    <cellStyle name="Normal 6 2 3 4 6 2 2" xfId="55768"/>
    <cellStyle name="Normal 6 2 3 4 6 3" xfId="51512"/>
    <cellStyle name="Normal 6 2 3 4 7" xfId="3435"/>
    <cellStyle name="Normal 6 2 3 4 7 2" xfId="48129"/>
    <cellStyle name="Normal 6 2 3 4 8" xfId="38277"/>
    <cellStyle name="Normal 6 2 3 4 8 2" xfId="53477"/>
    <cellStyle name="Normal 6 2 3 4 9" xfId="45678"/>
    <cellStyle name="Normal 6 2 3 5" xfId="902"/>
    <cellStyle name="Normal 6 2 3 5 2" xfId="5251"/>
    <cellStyle name="Normal 6 2 3 5 2 2" xfId="40049"/>
    <cellStyle name="Normal 6 2 3 5 2 2 2" xfId="44565"/>
    <cellStyle name="Normal 6 2 3 5 2 2 2 2" xfId="59691"/>
    <cellStyle name="Normal 6 2 3 5 2 2 3" xfId="42329"/>
    <cellStyle name="Normal 6 2 3 5 2 2 3 2" xfId="57456"/>
    <cellStyle name="Normal 6 2 3 5 2 2 4" xfId="55177"/>
    <cellStyle name="Normal 6 2 3 5 2 3" xfId="43681"/>
    <cellStyle name="Normal 6 2 3 5 2 3 2" xfId="58807"/>
    <cellStyle name="Normal 6 2 3 5 2 4" xfId="41445"/>
    <cellStyle name="Normal 6 2 3 5 2 4 2" xfId="56572"/>
    <cellStyle name="Normal 6 2 3 5 2 5" xfId="38906"/>
    <cellStyle name="Normal 6 2 3 5 2 5 2" xfId="54038"/>
    <cellStyle name="Normal 6 2 3 5 2 6" xfId="49936"/>
    <cellStyle name="Normal 6 2 3 5 3" xfId="11712"/>
    <cellStyle name="Normal 6 2 3 5 3 2" xfId="44088"/>
    <cellStyle name="Normal 6 2 3 5 3 2 2" xfId="59214"/>
    <cellStyle name="Normal 6 2 3 5 3 3" xfId="41852"/>
    <cellStyle name="Normal 6 2 3 5 3 3 2" xfId="56979"/>
    <cellStyle name="Normal 6 2 3 5 3 4" xfId="39572"/>
    <cellStyle name="Normal 6 2 3 5 3 4 2" xfId="54700"/>
    <cellStyle name="Normal 6 2 3 5 3 5" xfId="51966"/>
    <cellStyle name="Normal 6 2 3 5 4" xfId="3137"/>
    <cellStyle name="Normal 6 2 3 5 4 2" xfId="42999"/>
    <cellStyle name="Normal 6 2 3 5 4 2 2" xfId="58125"/>
    <cellStyle name="Normal 6 2 3 5 4 3" xfId="47831"/>
    <cellStyle name="Normal 6 2 3 5 5" xfId="40763"/>
    <cellStyle name="Normal 6 2 3 5 5 2" xfId="55890"/>
    <cellStyle name="Normal 6 2 3 5 6" xfId="38402"/>
    <cellStyle name="Normal 6 2 3 5 6 2" xfId="53561"/>
    <cellStyle name="Normal 6 2 3 5 7" xfId="46132"/>
    <cellStyle name="Normal 6 2 3 6" xfId="779"/>
    <cellStyle name="Normal 6 2 3 6 2" xfId="5128"/>
    <cellStyle name="Normal 6 2 3 6 2 2" xfId="44214"/>
    <cellStyle name="Normal 6 2 3 6 2 2 2" xfId="59340"/>
    <cellStyle name="Normal 6 2 3 6 2 3" xfId="41978"/>
    <cellStyle name="Normal 6 2 3 6 2 3 2" xfId="57105"/>
    <cellStyle name="Normal 6 2 3 6 2 4" xfId="39698"/>
    <cellStyle name="Normal 6 2 3 6 2 4 2" xfId="54826"/>
    <cellStyle name="Normal 6 2 3 6 2 5" xfId="49813"/>
    <cellStyle name="Normal 6 2 3 6 3" xfId="11589"/>
    <cellStyle name="Normal 6 2 3 6 3 2" xfId="43350"/>
    <cellStyle name="Normal 6 2 3 6 3 2 2" xfId="58476"/>
    <cellStyle name="Normal 6 2 3 6 3 3" xfId="51843"/>
    <cellStyle name="Normal 6 2 3 6 4" xfId="3014"/>
    <cellStyle name="Normal 6 2 3 6 4 2" xfId="41114"/>
    <cellStyle name="Normal 6 2 3 6 4 2 2" xfId="56241"/>
    <cellStyle name="Normal 6 2 3 6 4 3" xfId="47708"/>
    <cellStyle name="Normal 6 2 3 6 5" xfId="38532"/>
    <cellStyle name="Normal 6 2 3 6 5 2" xfId="53687"/>
    <cellStyle name="Normal 6 2 3 6 6" xfId="46009"/>
    <cellStyle name="Normal 6 2 3 7" xfId="569"/>
    <cellStyle name="Normal 6 2 3 7 2" xfId="4918"/>
    <cellStyle name="Normal 6 2 3 7 2 2" xfId="43776"/>
    <cellStyle name="Normal 6 2 3 7 2 2 2" xfId="58902"/>
    <cellStyle name="Normal 6 2 3 7 2 3" xfId="49603"/>
    <cellStyle name="Normal 6 2 3 7 3" xfId="11379"/>
    <cellStyle name="Normal 6 2 3 7 3 2" xfId="41540"/>
    <cellStyle name="Normal 6 2 3 7 3 2 2" xfId="56667"/>
    <cellStyle name="Normal 6 2 3 7 3 3" xfId="51633"/>
    <cellStyle name="Normal 6 2 3 7 4" xfId="4086"/>
    <cellStyle name="Normal 6 2 3 7 4 2" xfId="48778"/>
    <cellStyle name="Normal 6 2 3 7 5" xfId="39260"/>
    <cellStyle name="Normal 6 2 3 7 5 2" xfId="54388"/>
    <cellStyle name="Normal 6 2 3 7 6" xfId="45799"/>
    <cellStyle name="Normal 6 2 3 8" xfId="1830"/>
    <cellStyle name="Normal 6 2 3 8 2" xfId="12639"/>
    <cellStyle name="Normal 6 2 3 8 2 2" xfId="52893"/>
    <cellStyle name="Normal 6 2 3 8 3" xfId="6178"/>
    <cellStyle name="Normal 6 2 3 8 3 2" xfId="50863"/>
    <cellStyle name="Normal 6 2 3 8 4" xfId="42648"/>
    <cellStyle name="Normal 6 2 3 8 4 2" xfId="57775"/>
    <cellStyle name="Normal 6 2 3 8 5" xfId="47059"/>
    <cellStyle name="Normal 6 2 3 9" xfId="2644"/>
    <cellStyle name="Normal 6 2 3 9 2" xfId="4494"/>
    <cellStyle name="Normal 6 2 3 9 2 2" xfId="49184"/>
    <cellStyle name="Normal 6 2 3 9 3" xfId="40413"/>
    <cellStyle name="Normal 6 2 3 9 3 2" xfId="55540"/>
    <cellStyle name="Normal 6 2 3 9 4" xfId="47376"/>
    <cellStyle name="Normal 6 2 4" xfId="133"/>
    <cellStyle name="Normal 6 2 4 10" xfId="38046"/>
    <cellStyle name="Normal 6 2 4 10 2" xfId="53246"/>
    <cellStyle name="Normal 6 2 4 11" xfId="45377"/>
    <cellStyle name="Normal 6 2 4 2" xfId="445"/>
    <cellStyle name="Normal 6 2 4 2 2" xfId="1437"/>
    <cellStyle name="Normal 6 2 4 2 2 2" xfId="5786"/>
    <cellStyle name="Normal 6 2 4 2 2 2 2" xfId="44562"/>
    <cellStyle name="Normal 6 2 4 2 2 2 2 2" xfId="59688"/>
    <cellStyle name="Normal 6 2 4 2 2 2 3" xfId="50471"/>
    <cellStyle name="Normal 6 2 4 2 2 3" xfId="12247"/>
    <cellStyle name="Normal 6 2 4 2 2 3 2" xfId="42326"/>
    <cellStyle name="Normal 6 2 4 2 2 3 2 2" xfId="57453"/>
    <cellStyle name="Normal 6 2 4 2 2 3 3" xfId="52501"/>
    <cellStyle name="Normal 6 2 4 2 2 4" xfId="3720"/>
    <cellStyle name="Normal 6 2 4 2 2 4 2" xfId="48413"/>
    <cellStyle name="Normal 6 2 4 2 2 5" xfId="40046"/>
    <cellStyle name="Normal 6 2 4 2 2 5 2" xfId="55174"/>
    <cellStyle name="Normal 6 2 4 2 2 6" xfId="46667"/>
    <cellStyle name="Normal 6 2 4 2 3" xfId="1710"/>
    <cellStyle name="Normal 6 2 4 2 3 2" xfId="6059"/>
    <cellStyle name="Normal 6 2 4 2 3 2 2" xfId="50744"/>
    <cellStyle name="Normal 6 2 4 2 3 3" xfId="12520"/>
    <cellStyle name="Normal 6 2 4 2 3 3 2" xfId="52774"/>
    <cellStyle name="Normal 6 2 4 2 3 4" xfId="4009"/>
    <cellStyle name="Normal 6 2 4 2 3 4 2" xfId="48702"/>
    <cellStyle name="Normal 6 2 4 2 3 5" xfId="42996"/>
    <cellStyle name="Normal 6 2 4 2 3 5 2" xfId="58122"/>
    <cellStyle name="Normal 6 2 4 2 3 6" xfId="46940"/>
    <cellStyle name="Normal 6 2 4 2 4" xfId="1197"/>
    <cellStyle name="Normal 6 2 4 2 4 2" xfId="5546"/>
    <cellStyle name="Normal 6 2 4 2 4 2 2" xfId="50231"/>
    <cellStyle name="Normal 6 2 4 2 4 3" xfId="12007"/>
    <cellStyle name="Normal 6 2 4 2 4 3 2" xfId="52261"/>
    <cellStyle name="Normal 6 2 4 2 4 4" xfId="4368"/>
    <cellStyle name="Normal 6 2 4 2 4 4 2" xfId="49058"/>
    <cellStyle name="Normal 6 2 4 2 4 5" xfId="40760"/>
    <cellStyle name="Normal 6 2 4 2 4 5 2" xfId="55887"/>
    <cellStyle name="Normal 6 2 4 2 4 6" xfId="46427"/>
    <cellStyle name="Normal 6 2 4 2 5" xfId="4794"/>
    <cellStyle name="Normal 6 2 4 2 5 2" xfId="49479"/>
    <cellStyle name="Normal 6 2 4 2 6" xfId="11255"/>
    <cellStyle name="Normal 6 2 4 2 6 2" xfId="51509"/>
    <cellStyle name="Normal 6 2 4 2 7" xfId="3432"/>
    <cellStyle name="Normal 6 2 4 2 7 2" xfId="48126"/>
    <cellStyle name="Normal 6 2 4 2 8" xfId="38903"/>
    <cellStyle name="Normal 6 2 4 2 8 2" xfId="54035"/>
    <cellStyle name="Normal 6 2 4 2 9" xfId="45675"/>
    <cellStyle name="Normal 6 2 4 3" xfId="899"/>
    <cellStyle name="Normal 6 2 4 3 2" xfId="5248"/>
    <cellStyle name="Normal 6 2 4 3 2 2" xfId="44211"/>
    <cellStyle name="Normal 6 2 4 3 2 2 2" xfId="59337"/>
    <cellStyle name="Normal 6 2 4 3 2 3" xfId="41975"/>
    <cellStyle name="Normal 6 2 4 3 2 3 2" xfId="57102"/>
    <cellStyle name="Normal 6 2 4 3 2 4" xfId="39695"/>
    <cellStyle name="Normal 6 2 4 3 2 4 2" xfId="54823"/>
    <cellStyle name="Normal 6 2 4 3 2 5" xfId="49933"/>
    <cellStyle name="Normal 6 2 4 3 3" xfId="11709"/>
    <cellStyle name="Normal 6 2 4 3 3 2" xfId="43347"/>
    <cellStyle name="Normal 6 2 4 3 3 2 2" xfId="58473"/>
    <cellStyle name="Normal 6 2 4 3 3 3" xfId="51963"/>
    <cellStyle name="Normal 6 2 4 3 4" xfId="3134"/>
    <cellStyle name="Normal 6 2 4 3 4 2" xfId="41111"/>
    <cellStyle name="Normal 6 2 4 3 4 2 2" xfId="56238"/>
    <cellStyle name="Normal 6 2 4 3 4 3" xfId="47828"/>
    <cellStyle name="Normal 6 2 4 3 5" xfId="38529"/>
    <cellStyle name="Normal 6 2 4 3 5 2" xfId="53684"/>
    <cellStyle name="Normal 6 2 4 3 6" xfId="46129"/>
    <cellStyle name="Normal 6 2 4 4" xfId="776"/>
    <cellStyle name="Normal 6 2 4 4 2" xfId="5125"/>
    <cellStyle name="Normal 6 2 4 4 2 2" xfId="43773"/>
    <cellStyle name="Normal 6 2 4 4 2 2 2" xfId="58899"/>
    <cellStyle name="Normal 6 2 4 4 2 3" xfId="49810"/>
    <cellStyle name="Normal 6 2 4 4 3" xfId="11586"/>
    <cellStyle name="Normal 6 2 4 4 3 2" xfId="41537"/>
    <cellStyle name="Normal 6 2 4 4 3 2 2" xfId="56664"/>
    <cellStyle name="Normal 6 2 4 4 3 3" xfId="51840"/>
    <cellStyle name="Normal 6 2 4 4 4" xfId="3011"/>
    <cellStyle name="Normal 6 2 4 4 4 2" xfId="47705"/>
    <cellStyle name="Normal 6 2 4 4 5" xfId="39257"/>
    <cellStyle name="Normal 6 2 4 4 5 2" xfId="54385"/>
    <cellStyle name="Normal 6 2 4 4 6" xfId="46006"/>
    <cellStyle name="Normal 6 2 4 5" xfId="566"/>
    <cellStyle name="Normal 6 2 4 5 2" xfId="4915"/>
    <cellStyle name="Normal 6 2 4 5 2 2" xfId="49600"/>
    <cellStyle name="Normal 6 2 4 5 3" xfId="11376"/>
    <cellStyle name="Normal 6 2 4 5 3 2" xfId="51630"/>
    <cellStyle name="Normal 6 2 4 5 4" xfId="4061"/>
    <cellStyle name="Normal 6 2 4 5 4 2" xfId="48753"/>
    <cellStyle name="Normal 6 2 4 5 5" xfId="42645"/>
    <cellStyle name="Normal 6 2 4 5 5 2" xfId="57772"/>
    <cellStyle name="Normal 6 2 4 5 6" xfId="45796"/>
    <cellStyle name="Normal 6 2 4 6" xfId="1827"/>
    <cellStyle name="Normal 6 2 4 6 2" xfId="12636"/>
    <cellStyle name="Normal 6 2 4 6 2 2" xfId="52890"/>
    <cellStyle name="Normal 6 2 4 6 3" xfId="6175"/>
    <cellStyle name="Normal 6 2 4 6 3 2" xfId="50860"/>
    <cellStyle name="Normal 6 2 4 6 4" xfId="40410"/>
    <cellStyle name="Normal 6 2 4 6 4 2" xfId="55537"/>
    <cellStyle name="Normal 6 2 4 6 5" xfId="47056"/>
    <cellStyle name="Normal 6 2 4 7" xfId="4491"/>
    <cellStyle name="Normal 6 2 4 7 2" xfId="49181"/>
    <cellStyle name="Normal 6 2 4 8" xfId="10957"/>
    <cellStyle name="Normal 6 2 4 8 2" xfId="51211"/>
    <cellStyle name="Normal 6 2 4 9" xfId="2794"/>
    <cellStyle name="Normal 6 2 4 9 2" xfId="47494"/>
    <cellStyle name="Normal 6 2 5" xfId="233"/>
    <cellStyle name="Normal 6 2 5 10" xfId="38122"/>
    <cellStyle name="Normal 6 2 5 10 2" xfId="53322"/>
    <cellStyle name="Normal 6 2 5 11" xfId="45465"/>
    <cellStyle name="Normal 6 2 5 2" xfId="987"/>
    <cellStyle name="Normal 6 2 5 2 2" xfId="5336"/>
    <cellStyle name="Normal 6 2 5 2 2 2" xfId="44638"/>
    <cellStyle name="Normal 6 2 5 2 2 2 2" xfId="59764"/>
    <cellStyle name="Normal 6 2 5 2 2 3" xfId="42402"/>
    <cellStyle name="Normal 6 2 5 2 2 3 2" xfId="57529"/>
    <cellStyle name="Normal 6 2 5 2 2 4" xfId="40122"/>
    <cellStyle name="Normal 6 2 5 2 2 4 2" xfId="55250"/>
    <cellStyle name="Normal 6 2 5 2 2 5" xfId="50021"/>
    <cellStyle name="Normal 6 2 5 2 3" xfId="11797"/>
    <cellStyle name="Normal 6 2 5 2 3 2" xfId="43072"/>
    <cellStyle name="Normal 6 2 5 2 3 2 2" xfId="58198"/>
    <cellStyle name="Normal 6 2 5 2 3 3" xfId="52051"/>
    <cellStyle name="Normal 6 2 5 2 4" xfId="3222"/>
    <cellStyle name="Normal 6 2 5 2 4 2" xfId="40836"/>
    <cellStyle name="Normal 6 2 5 2 4 2 2" xfId="55963"/>
    <cellStyle name="Normal 6 2 5 2 4 3" xfId="47916"/>
    <cellStyle name="Normal 6 2 5 2 5" xfId="38980"/>
    <cellStyle name="Normal 6 2 5 2 5 2" xfId="54111"/>
    <cellStyle name="Normal 6 2 5 2 6" xfId="46217"/>
    <cellStyle name="Normal 6 2 5 3" xfId="1289"/>
    <cellStyle name="Normal 6 2 5 3 2" xfId="5638"/>
    <cellStyle name="Normal 6 2 5 3 2 2" xfId="44287"/>
    <cellStyle name="Normal 6 2 5 3 2 2 2" xfId="59413"/>
    <cellStyle name="Normal 6 2 5 3 2 3" xfId="42051"/>
    <cellStyle name="Normal 6 2 5 3 2 3 2" xfId="57178"/>
    <cellStyle name="Normal 6 2 5 3 2 4" xfId="39771"/>
    <cellStyle name="Normal 6 2 5 3 2 4 2" xfId="54899"/>
    <cellStyle name="Normal 6 2 5 3 2 5" xfId="50323"/>
    <cellStyle name="Normal 6 2 5 3 3" xfId="12099"/>
    <cellStyle name="Normal 6 2 5 3 3 2" xfId="43423"/>
    <cellStyle name="Normal 6 2 5 3 3 2 2" xfId="58549"/>
    <cellStyle name="Normal 6 2 5 3 3 3" xfId="52353"/>
    <cellStyle name="Normal 6 2 5 3 4" xfId="3572"/>
    <cellStyle name="Normal 6 2 5 3 4 2" xfId="41187"/>
    <cellStyle name="Normal 6 2 5 3 4 2 2" xfId="56314"/>
    <cellStyle name="Normal 6 2 5 3 4 3" xfId="48265"/>
    <cellStyle name="Normal 6 2 5 3 5" xfId="38607"/>
    <cellStyle name="Normal 6 2 5 3 5 2" xfId="53760"/>
    <cellStyle name="Normal 6 2 5 3 6" xfId="46519"/>
    <cellStyle name="Normal 6 2 5 4" xfId="1500"/>
    <cellStyle name="Normal 6 2 5 4 2" xfId="5849"/>
    <cellStyle name="Normal 6 2 5 4 2 2" xfId="43849"/>
    <cellStyle name="Normal 6 2 5 4 2 2 2" xfId="58975"/>
    <cellStyle name="Normal 6 2 5 4 2 3" xfId="50534"/>
    <cellStyle name="Normal 6 2 5 4 3" xfId="12310"/>
    <cellStyle name="Normal 6 2 5 4 3 2" xfId="41613"/>
    <cellStyle name="Normal 6 2 5 4 3 2 2" xfId="56740"/>
    <cellStyle name="Normal 6 2 5 4 3 3" xfId="52564"/>
    <cellStyle name="Normal 6 2 5 4 4" xfId="3799"/>
    <cellStyle name="Normal 6 2 5 4 4 2" xfId="48492"/>
    <cellStyle name="Normal 6 2 5 4 5" xfId="39333"/>
    <cellStyle name="Normal 6 2 5 4 5 2" xfId="54461"/>
    <cellStyle name="Normal 6 2 5 4 6" xfId="46730"/>
    <cellStyle name="Normal 6 2 5 5" xfId="655"/>
    <cellStyle name="Normal 6 2 5 5 2" xfId="5004"/>
    <cellStyle name="Normal 6 2 5 5 2 2" xfId="49689"/>
    <cellStyle name="Normal 6 2 5 5 3" xfId="11465"/>
    <cellStyle name="Normal 6 2 5 5 3 2" xfId="51719"/>
    <cellStyle name="Normal 6 2 5 5 4" xfId="4158"/>
    <cellStyle name="Normal 6 2 5 5 4 2" xfId="48848"/>
    <cellStyle name="Normal 6 2 5 5 5" xfId="42721"/>
    <cellStyle name="Normal 6 2 5 5 5 2" xfId="57848"/>
    <cellStyle name="Normal 6 2 5 5 6" xfId="45885"/>
    <cellStyle name="Normal 6 2 5 6" xfId="1906"/>
    <cellStyle name="Normal 6 2 5 6 2" xfId="12713"/>
    <cellStyle name="Normal 6 2 5 6 2 2" xfId="52966"/>
    <cellStyle name="Normal 6 2 5 6 3" xfId="6253"/>
    <cellStyle name="Normal 6 2 5 6 3 2" xfId="50936"/>
    <cellStyle name="Normal 6 2 5 6 4" xfId="40486"/>
    <cellStyle name="Normal 6 2 5 6 4 2" xfId="55613"/>
    <cellStyle name="Normal 6 2 5 6 5" xfId="47132"/>
    <cellStyle name="Normal 6 2 5 7" xfId="4582"/>
    <cellStyle name="Normal 6 2 5 7 2" xfId="49269"/>
    <cellStyle name="Normal 6 2 5 8" xfId="11045"/>
    <cellStyle name="Normal 6 2 5 8 2" xfId="51299"/>
    <cellStyle name="Normal 6 2 5 9" xfId="2889"/>
    <cellStyle name="Normal 6 2 5 9 2" xfId="47583"/>
    <cellStyle name="Normal 6 2 6" xfId="324"/>
    <cellStyle name="Normal 6 2 6 10" xfId="45554"/>
    <cellStyle name="Normal 6 2 6 2" xfId="1378"/>
    <cellStyle name="Normal 6 2 6 2 2" xfId="5727"/>
    <cellStyle name="Normal 6 2 6 2 2 2" xfId="44714"/>
    <cellStyle name="Normal 6 2 6 2 2 2 2" xfId="59840"/>
    <cellStyle name="Normal 6 2 6 2 2 3" xfId="42478"/>
    <cellStyle name="Normal 6 2 6 2 2 3 2" xfId="57605"/>
    <cellStyle name="Normal 6 2 6 2 2 4" xfId="40198"/>
    <cellStyle name="Normal 6 2 6 2 2 4 2" xfId="55326"/>
    <cellStyle name="Normal 6 2 6 2 2 5" xfId="50412"/>
    <cellStyle name="Normal 6 2 6 2 3" xfId="12188"/>
    <cellStyle name="Normal 6 2 6 2 3 2" xfId="43148"/>
    <cellStyle name="Normal 6 2 6 2 3 2 2" xfId="58274"/>
    <cellStyle name="Normal 6 2 6 2 3 3" xfId="52442"/>
    <cellStyle name="Normal 6 2 6 2 4" xfId="3661"/>
    <cellStyle name="Normal 6 2 6 2 4 2" xfId="40912"/>
    <cellStyle name="Normal 6 2 6 2 4 2 2" xfId="56039"/>
    <cellStyle name="Normal 6 2 6 2 4 3" xfId="48354"/>
    <cellStyle name="Normal 6 2 6 2 5" xfId="39056"/>
    <cellStyle name="Normal 6 2 6 2 5 2" xfId="54187"/>
    <cellStyle name="Normal 6 2 6 2 6" xfId="46608"/>
    <cellStyle name="Normal 6 2 6 3" xfId="1589"/>
    <cellStyle name="Normal 6 2 6 3 2" xfId="5938"/>
    <cellStyle name="Normal 6 2 6 3 2 2" xfId="44363"/>
    <cellStyle name="Normal 6 2 6 3 2 2 2" xfId="59489"/>
    <cellStyle name="Normal 6 2 6 3 2 3" xfId="42127"/>
    <cellStyle name="Normal 6 2 6 3 2 3 2" xfId="57254"/>
    <cellStyle name="Normal 6 2 6 3 2 4" xfId="39847"/>
    <cellStyle name="Normal 6 2 6 3 2 4 2" xfId="54975"/>
    <cellStyle name="Normal 6 2 6 3 2 5" xfId="50623"/>
    <cellStyle name="Normal 6 2 6 3 3" xfId="12399"/>
    <cellStyle name="Normal 6 2 6 3 3 2" xfId="43499"/>
    <cellStyle name="Normal 6 2 6 3 3 2 2" xfId="58625"/>
    <cellStyle name="Normal 6 2 6 3 3 3" xfId="52653"/>
    <cellStyle name="Normal 6 2 6 3 4" xfId="3888"/>
    <cellStyle name="Normal 6 2 6 3 4 2" xfId="41263"/>
    <cellStyle name="Normal 6 2 6 3 4 2 2" xfId="56390"/>
    <cellStyle name="Normal 6 2 6 3 4 3" xfId="48581"/>
    <cellStyle name="Normal 6 2 6 3 5" xfId="38683"/>
    <cellStyle name="Normal 6 2 6 3 5 2" xfId="53836"/>
    <cellStyle name="Normal 6 2 6 3 6" xfId="46819"/>
    <cellStyle name="Normal 6 2 6 4" xfId="1076"/>
    <cellStyle name="Normal 6 2 6 4 2" xfId="5425"/>
    <cellStyle name="Normal 6 2 6 4 2 2" xfId="43925"/>
    <cellStyle name="Normal 6 2 6 4 2 2 2" xfId="59051"/>
    <cellStyle name="Normal 6 2 6 4 2 3" xfId="50110"/>
    <cellStyle name="Normal 6 2 6 4 3" xfId="11886"/>
    <cellStyle name="Normal 6 2 6 4 3 2" xfId="41689"/>
    <cellStyle name="Normal 6 2 6 4 3 2 2" xfId="56816"/>
    <cellStyle name="Normal 6 2 6 4 3 3" xfId="52140"/>
    <cellStyle name="Normal 6 2 6 4 4" xfId="4247"/>
    <cellStyle name="Normal 6 2 6 4 4 2" xfId="48937"/>
    <cellStyle name="Normal 6 2 6 4 5" xfId="39409"/>
    <cellStyle name="Normal 6 2 6 4 5 2" xfId="54537"/>
    <cellStyle name="Normal 6 2 6 4 6" xfId="46306"/>
    <cellStyle name="Normal 6 2 6 5" xfId="1982"/>
    <cellStyle name="Normal 6 2 6 5 2" xfId="12789"/>
    <cellStyle name="Normal 6 2 6 5 2 2" xfId="53042"/>
    <cellStyle name="Normal 6 2 6 5 3" xfId="6329"/>
    <cellStyle name="Normal 6 2 6 5 3 2" xfId="51012"/>
    <cellStyle name="Normal 6 2 6 5 4" xfId="42797"/>
    <cellStyle name="Normal 6 2 6 5 4 2" xfId="57924"/>
    <cellStyle name="Normal 6 2 6 5 5" xfId="47208"/>
    <cellStyle name="Normal 6 2 6 6" xfId="4673"/>
    <cellStyle name="Normal 6 2 6 6 2" xfId="40562"/>
    <cellStyle name="Normal 6 2 6 6 2 2" xfId="55689"/>
    <cellStyle name="Normal 6 2 6 6 3" xfId="49358"/>
    <cellStyle name="Normal 6 2 6 7" xfId="11134"/>
    <cellStyle name="Normal 6 2 6 7 2" xfId="51388"/>
    <cellStyle name="Normal 6 2 6 8" xfId="3311"/>
    <cellStyle name="Normal 6 2 6 8 2" xfId="48005"/>
    <cellStyle name="Normal 6 2 6 9" xfId="38198"/>
    <cellStyle name="Normal 6 2 6 9 2" xfId="53398"/>
    <cellStyle name="Normal 6 2 7" xfId="379"/>
    <cellStyle name="Normal 6 2 7 2" xfId="1644"/>
    <cellStyle name="Normal 6 2 7 2 2" xfId="5993"/>
    <cellStyle name="Normal 6 2 7 2 2 2" xfId="44790"/>
    <cellStyle name="Normal 6 2 7 2 2 2 2" xfId="59916"/>
    <cellStyle name="Normal 6 2 7 2 2 3" xfId="42554"/>
    <cellStyle name="Normal 6 2 7 2 2 3 2" xfId="57681"/>
    <cellStyle name="Normal 6 2 7 2 2 4" xfId="40274"/>
    <cellStyle name="Normal 6 2 7 2 2 4 2" xfId="55402"/>
    <cellStyle name="Normal 6 2 7 2 2 5" xfId="50678"/>
    <cellStyle name="Normal 6 2 7 2 3" xfId="12454"/>
    <cellStyle name="Normal 6 2 7 2 3 2" xfId="43224"/>
    <cellStyle name="Normal 6 2 7 2 3 2 2" xfId="58350"/>
    <cellStyle name="Normal 6 2 7 2 3 3" xfId="52708"/>
    <cellStyle name="Normal 6 2 7 2 4" xfId="3943"/>
    <cellStyle name="Normal 6 2 7 2 4 2" xfId="40988"/>
    <cellStyle name="Normal 6 2 7 2 4 2 2" xfId="56115"/>
    <cellStyle name="Normal 6 2 7 2 4 3" xfId="48636"/>
    <cellStyle name="Normal 6 2 7 2 5" xfId="39132"/>
    <cellStyle name="Normal 6 2 7 2 5 2" xfId="54263"/>
    <cellStyle name="Normal 6 2 7 2 6" xfId="46874"/>
    <cellStyle name="Normal 6 2 7 3" xfId="1131"/>
    <cellStyle name="Normal 6 2 7 3 2" xfId="5480"/>
    <cellStyle name="Normal 6 2 7 3 2 2" xfId="44439"/>
    <cellStyle name="Normal 6 2 7 3 2 2 2" xfId="59565"/>
    <cellStyle name="Normal 6 2 7 3 2 3" xfId="42203"/>
    <cellStyle name="Normal 6 2 7 3 2 3 2" xfId="57330"/>
    <cellStyle name="Normal 6 2 7 3 2 4" xfId="39923"/>
    <cellStyle name="Normal 6 2 7 3 2 4 2" xfId="55051"/>
    <cellStyle name="Normal 6 2 7 3 2 5" xfId="50165"/>
    <cellStyle name="Normal 6 2 7 3 3" xfId="11941"/>
    <cellStyle name="Normal 6 2 7 3 3 2" xfId="43575"/>
    <cellStyle name="Normal 6 2 7 3 3 2 2" xfId="58701"/>
    <cellStyle name="Normal 6 2 7 3 3 3" xfId="52195"/>
    <cellStyle name="Normal 6 2 7 3 4" xfId="4302"/>
    <cellStyle name="Normal 6 2 7 3 4 2" xfId="41339"/>
    <cellStyle name="Normal 6 2 7 3 4 2 2" xfId="56466"/>
    <cellStyle name="Normal 6 2 7 3 4 3" xfId="48992"/>
    <cellStyle name="Normal 6 2 7 3 5" xfId="38759"/>
    <cellStyle name="Normal 6 2 7 3 5 2" xfId="53912"/>
    <cellStyle name="Normal 6 2 7 3 6" xfId="46361"/>
    <cellStyle name="Normal 6 2 7 4" xfId="2059"/>
    <cellStyle name="Normal 6 2 7 4 2" xfId="12865"/>
    <cellStyle name="Normal 6 2 7 4 2 2" xfId="44001"/>
    <cellStyle name="Normal 6 2 7 4 2 2 2" xfId="59127"/>
    <cellStyle name="Normal 6 2 7 4 2 3" xfId="53118"/>
    <cellStyle name="Normal 6 2 7 4 3" xfId="6405"/>
    <cellStyle name="Normal 6 2 7 4 3 2" xfId="41765"/>
    <cellStyle name="Normal 6 2 7 4 3 2 2" xfId="56892"/>
    <cellStyle name="Normal 6 2 7 4 3 3" xfId="51088"/>
    <cellStyle name="Normal 6 2 7 4 4" xfId="39485"/>
    <cellStyle name="Normal 6 2 7 4 4 2" xfId="54613"/>
    <cellStyle name="Normal 6 2 7 4 5" xfId="47284"/>
    <cellStyle name="Normal 6 2 7 5" xfId="4728"/>
    <cellStyle name="Normal 6 2 7 5 2" xfId="42873"/>
    <cellStyle name="Normal 6 2 7 5 2 2" xfId="58000"/>
    <cellStyle name="Normal 6 2 7 5 3" xfId="49413"/>
    <cellStyle name="Normal 6 2 7 6" xfId="11189"/>
    <cellStyle name="Normal 6 2 7 6 2" xfId="40638"/>
    <cellStyle name="Normal 6 2 7 6 2 2" xfId="55765"/>
    <cellStyle name="Normal 6 2 7 6 3" xfId="51443"/>
    <cellStyle name="Normal 6 2 7 7" xfId="3366"/>
    <cellStyle name="Normal 6 2 7 7 2" xfId="48060"/>
    <cellStyle name="Normal 6 2 7 8" xfId="38274"/>
    <cellStyle name="Normal 6 2 7 8 2" xfId="53474"/>
    <cellStyle name="Normal 6 2 7 9" xfId="45609"/>
    <cellStyle name="Normal 6 2 8" xfId="831"/>
    <cellStyle name="Normal 6 2 8 2" xfId="5180"/>
    <cellStyle name="Normal 6 2 8 2 2" xfId="39987"/>
    <cellStyle name="Normal 6 2 8 2 2 2" xfId="44503"/>
    <cellStyle name="Normal 6 2 8 2 2 2 2" xfId="59629"/>
    <cellStyle name="Normal 6 2 8 2 2 3" xfId="42267"/>
    <cellStyle name="Normal 6 2 8 2 2 3 2" xfId="57394"/>
    <cellStyle name="Normal 6 2 8 2 2 4" xfId="55115"/>
    <cellStyle name="Normal 6 2 8 2 3" xfId="43638"/>
    <cellStyle name="Normal 6 2 8 2 3 2" xfId="58764"/>
    <cellStyle name="Normal 6 2 8 2 4" xfId="41402"/>
    <cellStyle name="Normal 6 2 8 2 4 2" xfId="56529"/>
    <cellStyle name="Normal 6 2 8 2 5" xfId="38844"/>
    <cellStyle name="Normal 6 2 8 2 5 2" xfId="53976"/>
    <cellStyle name="Normal 6 2 8 2 6" xfId="49865"/>
    <cellStyle name="Normal 6 2 8 3" xfId="11641"/>
    <cellStyle name="Normal 6 2 8 3 2" xfId="44085"/>
    <cellStyle name="Normal 6 2 8 3 2 2" xfId="59211"/>
    <cellStyle name="Normal 6 2 8 3 3" xfId="41849"/>
    <cellStyle name="Normal 6 2 8 3 3 2" xfId="56976"/>
    <cellStyle name="Normal 6 2 8 3 4" xfId="39569"/>
    <cellStyle name="Normal 6 2 8 3 4 2" xfId="54697"/>
    <cellStyle name="Normal 6 2 8 3 5" xfId="51895"/>
    <cellStyle name="Normal 6 2 8 4" xfId="3066"/>
    <cellStyle name="Normal 6 2 8 4 2" xfId="42937"/>
    <cellStyle name="Normal 6 2 8 4 2 2" xfId="58063"/>
    <cellStyle name="Normal 6 2 8 4 3" xfId="47760"/>
    <cellStyle name="Normal 6 2 8 5" xfId="40701"/>
    <cellStyle name="Normal 6 2 8 5 2" xfId="55828"/>
    <cellStyle name="Normal 6 2 8 6" xfId="38399"/>
    <cellStyle name="Normal 6 2 8 6 2" xfId="53558"/>
    <cellStyle name="Normal 6 2 8 7" xfId="46061"/>
    <cellStyle name="Normal 6 2 9" xfId="710"/>
    <cellStyle name="Normal 6 2 9 2" xfId="5059"/>
    <cellStyle name="Normal 6 2 9 2 2" xfId="44152"/>
    <cellStyle name="Normal 6 2 9 2 2 2" xfId="59278"/>
    <cellStyle name="Normal 6 2 9 2 3" xfId="41916"/>
    <cellStyle name="Normal 6 2 9 2 3 2" xfId="57043"/>
    <cellStyle name="Normal 6 2 9 2 4" xfId="39636"/>
    <cellStyle name="Normal 6 2 9 2 4 2" xfId="54764"/>
    <cellStyle name="Normal 6 2 9 2 5" xfId="49744"/>
    <cellStyle name="Normal 6 2 9 3" xfId="11520"/>
    <cellStyle name="Normal 6 2 9 3 2" xfId="43288"/>
    <cellStyle name="Normal 6 2 9 3 2 2" xfId="58414"/>
    <cellStyle name="Normal 6 2 9 3 3" xfId="51774"/>
    <cellStyle name="Normal 6 2 9 4" xfId="2944"/>
    <cellStyle name="Normal 6 2 9 4 2" xfId="41052"/>
    <cellStyle name="Normal 6 2 9 4 2 2" xfId="56179"/>
    <cellStyle name="Normal 6 2 9 4 3" xfId="47638"/>
    <cellStyle name="Normal 6 2 9 5" xfId="38469"/>
    <cellStyle name="Normal 6 2 9 5 2" xfId="53625"/>
    <cellStyle name="Normal 6 2 9 6" xfId="45940"/>
    <cellStyle name="Normal 6 3" xfId="37"/>
    <cellStyle name="Normal 6 3 10" xfId="1777"/>
    <cellStyle name="Normal 6 3 10 2" xfId="12587"/>
    <cellStyle name="Normal 6 3 10 2 2" xfId="52841"/>
    <cellStyle name="Normal 6 3 10 3" xfId="6126"/>
    <cellStyle name="Normal 6 3 10 3 2" xfId="50811"/>
    <cellStyle name="Normal 6 3 10 4" xfId="40348"/>
    <cellStyle name="Normal 6 3 10 4 2" xfId="55476"/>
    <cellStyle name="Normal 6 3 10 5" xfId="47007"/>
    <cellStyle name="Normal 6 3 11" xfId="2645"/>
    <cellStyle name="Normal 6 3 11 2" xfId="4431"/>
    <cellStyle name="Normal 6 3 11 2 2" xfId="49121"/>
    <cellStyle name="Normal 6 3 11 3" xfId="47377"/>
    <cellStyle name="Normal 6 3 12" xfId="10896"/>
    <cellStyle name="Normal 6 3 12 2" xfId="51151"/>
    <cellStyle name="Normal 6 3 13" xfId="2712"/>
    <cellStyle name="Normal 6 3 13 2" xfId="47436"/>
    <cellStyle name="Normal 6 3 14" xfId="37996"/>
    <cellStyle name="Normal 6 3 14 2" xfId="53197"/>
    <cellStyle name="Normal 6 3 15" xfId="45329"/>
    <cellStyle name="Normal 6 3 2" xfId="138"/>
    <cellStyle name="Normal 6 3 2 10" xfId="10962"/>
    <cellStyle name="Normal 6 3 2 10 2" xfId="51216"/>
    <cellStyle name="Normal 6 3 2 11" xfId="2799"/>
    <cellStyle name="Normal 6 3 2 11 2" xfId="47499"/>
    <cellStyle name="Normal 6 3 2 12" xfId="38051"/>
    <cellStyle name="Normal 6 3 2 12 2" xfId="53251"/>
    <cellStyle name="Normal 6 3 2 13" xfId="45382"/>
    <cellStyle name="Normal 6 3 2 2" xfId="238"/>
    <cellStyle name="Normal 6 3 2 2 10" xfId="38127"/>
    <cellStyle name="Normal 6 3 2 2 10 2" xfId="53327"/>
    <cellStyle name="Normal 6 3 2 2 11" xfId="45470"/>
    <cellStyle name="Normal 6 3 2 2 2" xfId="992"/>
    <cellStyle name="Normal 6 3 2 2 2 2" xfId="5341"/>
    <cellStyle name="Normal 6 3 2 2 2 2 2" xfId="44643"/>
    <cellStyle name="Normal 6 3 2 2 2 2 2 2" xfId="59769"/>
    <cellStyle name="Normal 6 3 2 2 2 2 3" xfId="42407"/>
    <cellStyle name="Normal 6 3 2 2 2 2 3 2" xfId="57534"/>
    <cellStyle name="Normal 6 3 2 2 2 2 4" xfId="40127"/>
    <cellStyle name="Normal 6 3 2 2 2 2 4 2" xfId="55255"/>
    <cellStyle name="Normal 6 3 2 2 2 2 5" xfId="50026"/>
    <cellStyle name="Normal 6 3 2 2 2 3" xfId="11802"/>
    <cellStyle name="Normal 6 3 2 2 2 3 2" xfId="43077"/>
    <cellStyle name="Normal 6 3 2 2 2 3 2 2" xfId="58203"/>
    <cellStyle name="Normal 6 3 2 2 2 3 3" xfId="52056"/>
    <cellStyle name="Normal 6 3 2 2 2 4" xfId="3227"/>
    <cellStyle name="Normal 6 3 2 2 2 4 2" xfId="40841"/>
    <cellStyle name="Normal 6 3 2 2 2 4 2 2" xfId="55968"/>
    <cellStyle name="Normal 6 3 2 2 2 4 3" xfId="47921"/>
    <cellStyle name="Normal 6 3 2 2 2 5" xfId="38985"/>
    <cellStyle name="Normal 6 3 2 2 2 5 2" xfId="54116"/>
    <cellStyle name="Normal 6 3 2 2 2 6" xfId="46222"/>
    <cellStyle name="Normal 6 3 2 2 3" xfId="1294"/>
    <cellStyle name="Normal 6 3 2 2 3 2" xfId="5643"/>
    <cellStyle name="Normal 6 3 2 2 3 2 2" xfId="44292"/>
    <cellStyle name="Normal 6 3 2 2 3 2 2 2" xfId="59418"/>
    <cellStyle name="Normal 6 3 2 2 3 2 3" xfId="42056"/>
    <cellStyle name="Normal 6 3 2 2 3 2 3 2" xfId="57183"/>
    <cellStyle name="Normal 6 3 2 2 3 2 4" xfId="39776"/>
    <cellStyle name="Normal 6 3 2 2 3 2 4 2" xfId="54904"/>
    <cellStyle name="Normal 6 3 2 2 3 2 5" xfId="50328"/>
    <cellStyle name="Normal 6 3 2 2 3 3" xfId="12104"/>
    <cellStyle name="Normal 6 3 2 2 3 3 2" xfId="43428"/>
    <cellStyle name="Normal 6 3 2 2 3 3 2 2" xfId="58554"/>
    <cellStyle name="Normal 6 3 2 2 3 3 3" xfId="52358"/>
    <cellStyle name="Normal 6 3 2 2 3 4" xfId="3577"/>
    <cellStyle name="Normal 6 3 2 2 3 4 2" xfId="41192"/>
    <cellStyle name="Normal 6 3 2 2 3 4 2 2" xfId="56319"/>
    <cellStyle name="Normal 6 3 2 2 3 4 3" xfId="48270"/>
    <cellStyle name="Normal 6 3 2 2 3 5" xfId="38612"/>
    <cellStyle name="Normal 6 3 2 2 3 5 2" xfId="53765"/>
    <cellStyle name="Normal 6 3 2 2 3 6" xfId="46524"/>
    <cellStyle name="Normal 6 3 2 2 4" xfId="1505"/>
    <cellStyle name="Normal 6 3 2 2 4 2" xfId="5854"/>
    <cellStyle name="Normal 6 3 2 2 4 2 2" xfId="43854"/>
    <cellStyle name="Normal 6 3 2 2 4 2 2 2" xfId="58980"/>
    <cellStyle name="Normal 6 3 2 2 4 2 3" xfId="50539"/>
    <cellStyle name="Normal 6 3 2 2 4 3" xfId="12315"/>
    <cellStyle name="Normal 6 3 2 2 4 3 2" xfId="41618"/>
    <cellStyle name="Normal 6 3 2 2 4 3 2 2" xfId="56745"/>
    <cellStyle name="Normal 6 3 2 2 4 3 3" xfId="52569"/>
    <cellStyle name="Normal 6 3 2 2 4 4" xfId="3804"/>
    <cellStyle name="Normal 6 3 2 2 4 4 2" xfId="48497"/>
    <cellStyle name="Normal 6 3 2 2 4 5" xfId="39338"/>
    <cellStyle name="Normal 6 3 2 2 4 5 2" xfId="54466"/>
    <cellStyle name="Normal 6 3 2 2 4 6" xfId="46735"/>
    <cellStyle name="Normal 6 3 2 2 5" xfId="660"/>
    <cellStyle name="Normal 6 3 2 2 5 2" xfId="5009"/>
    <cellStyle name="Normal 6 3 2 2 5 2 2" xfId="49694"/>
    <cellStyle name="Normal 6 3 2 2 5 3" xfId="11470"/>
    <cellStyle name="Normal 6 3 2 2 5 3 2" xfId="51724"/>
    <cellStyle name="Normal 6 3 2 2 5 4" xfId="4163"/>
    <cellStyle name="Normal 6 3 2 2 5 4 2" xfId="48853"/>
    <cellStyle name="Normal 6 3 2 2 5 5" xfId="42726"/>
    <cellStyle name="Normal 6 3 2 2 5 5 2" xfId="57853"/>
    <cellStyle name="Normal 6 3 2 2 5 6" xfId="45890"/>
    <cellStyle name="Normal 6 3 2 2 6" xfId="1911"/>
    <cellStyle name="Normal 6 3 2 2 6 2" xfId="12718"/>
    <cellStyle name="Normal 6 3 2 2 6 2 2" xfId="52971"/>
    <cellStyle name="Normal 6 3 2 2 6 3" xfId="6258"/>
    <cellStyle name="Normal 6 3 2 2 6 3 2" xfId="50941"/>
    <cellStyle name="Normal 6 3 2 2 6 4" xfId="40491"/>
    <cellStyle name="Normal 6 3 2 2 6 4 2" xfId="55618"/>
    <cellStyle name="Normal 6 3 2 2 6 5" xfId="47137"/>
    <cellStyle name="Normal 6 3 2 2 7" xfId="4587"/>
    <cellStyle name="Normal 6 3 2 2 7 2" xfId="49274"/>
    <cellStyle name="Normal 6 3 2 2 8" xfId="11050"/>
    <cellStyle name="Normal 6 3 2 2 8 2" xfId="51304"/>
    <cellStyle name="Normal 6 3 2 2 9" xfId="2894"/>
    <cellStyle name="Normal 6 3 2 2 9 2" xfId="47588"/>
    <cellStyle name="Normal 6 3 2 3" xfId="329"/>
    <cellStyle name="Normal 6 3 2 3 10" xfId="45559"/>
    <cellStyle name="Normal 6 3 2 3 2" xfId="1383"/>
    <cellStyle name="Normal 6 3 2 3 2 2" xfId="5732"/>
    <cellStyle name="Normal 6 3 2 3 2 2 2" xfId="44719"/>
    <cellStyle name="Normal 6 3 2 3 2 2 2 2" xfId="59845"/>
    <cellStyle name="Normal 6 3 2 3 2 2 3" xfId="42483"/>
    <cellStyle name="Normal 6 3 2 3 2 2 3 2" xfId="57610"/>
    <cellStyle name="Normal 6 3 2 3 2 2 4" xfId="40203"/>
    <cellStyle name="Normal 6 3 2 3 2 2 4 2" xfId="55331"/>
    <cellStyle name="Normal 6 3 2 3 2 2 5" xfId="50417"/>
    <cellStyle name="Normal 6 3 2 3 2 3" xfId="12193"/>
    <cellStyle name="Normal 6 3 2 3 2 3 2" xfId="43153"/>
    <cellStyle name="Normal 6 3 2 3 2 3 2 2" xfId="58279"/>
    <cellStyle name="Normal 6 3 2 3 2 3 3" xfId="52447"/>
    <cellStyle name="Normal 6 3 2 3 2 4" xfId="3666"/>
    <cellStyle name="Normal 6 3 2 3 2 4 2" xfId="40917"/>
    <cellStyle name="Normal 6 3 2 3 2 4 2 2" xfId="56044"/>
    <cellStyle name="Normal 6 3 2 3 2 4 3" xfId="48359"/>
    <cellStyle name="Normal 6 3 2 3 2 5" xfId="39061"/>
    <cellStyle name="Normal 6 3 2 3 2 5 2" xfId="54192"/>
    <cellStyle name="Normal 6 3 2 3 2 6" xfId="46613"/>
    <cellStyle name="Normal 6 3 2 3 3" xfId="1594"/>
    <cellStyle name="Normal 6 3 2 3 3 2" xfId="5943"/>
    <cellStyle name="Normal 6 3 2 3 3 2 2" xfId="44368"/>
    <cellStyle name="Normal 6 3 2 3 3 2 2 2" xfId="59494"/>
    <cellStyle name="Normal 6 3 2 3 3 2 3" xfId="42132"/>
    <cellStyle name="Normal 6 3 2 3 3 2 3 2" xfId="57259"/>
    <cellStyle name="Normal 6 3 2 3 3 2 4" xfId="39852"/>
    <cellStyle name="Normal 6 3 2 3 3 2 4 2" xfId="54980"/>
    <cellStyle name="Normal 6 3 2 3 3 2 5" xfId="50628"/>
    <cellStyle name="Normal 6 3 2 3 3 3" xfId="12404"/>
    <cellStyle name="Normal 6 3 2 3 3 3 2" xfId="43504"/>
    <cellStyle name="Normal 6 3 2 3 3 3 2 2" xfId="58630"/>
    <cellStyle name="Normal 6 3 2 3 3 3 3" xfId="52658"/>
    <cellStyle name="Normal 6 3 2 3 3 4" xfId="3893"/>
    <cellStyle name="Normal 6 3 2 3 3 4 2" xfId="41268"/>
    <cellStyle name="Normal 6 3 2 3 3 4 2 2" xfId="56395"/>
    <cellStyle name="Normal 6 3 2 3 3 4 3" xfId="48586"/>
    <cellStyle name="Normal 6 3 2 3 3 5" xfId="38688"/>
    <cellStyle name="Normal 6 3 2 3 3 5 2" xfId="53841"/>
    <cellStyle name="Normal 6 3 2 3 3 6" xfId="46824"/>
    <cellStyle name="Normal 6 3 2 3 4" xfId="1081"/>
    <cellStyle name="Normal 6 3 2 3 4 2" xfId="5430"/>
    <cellStyle name="Normal 6 3 2 3 4 2 2" xfId="43930"/>
    <cellStyle name="Normal 6 3 2 3 4 2 2 2" xfId="59056"/>
    <cellStyle name="Normal 6 3 2 3 4 2 3" xfId="50115"/>
    <cellStyle name="Normal 6 3 2 3 4 3" xfId="11891"/>
    <cellStyle name="Normal 6 3 2 3 4 3 2" xfId="41694"/>
    <cellStyle name="Normal 6 3 2 3 4 3 2 2" xfId="56821"/>
    <cellStyle name="Normal 6 3 2 3 4 3 3" xfId="52145"/>
    <cellStyle name="Normal 6 3 2 3 4 4" xfId="4252"/>
    <cellStyle name="Normal 6 3 2 3 4 4 2" xfId="48942"/>
    <cellStyle name="Normal 6 3 2 3 4 5" xfId="39414"/>
    <cellStyle name="Normal 6 3 2 3 4 5 2" xfId="54542"/>
    <cellStyle name="Normal 6 3 2 3 4 6" xfId="46311"/>
    <cellStyle name="Normal 6 3 2 3 5" xfId="1987"/>
    <cellStyle name="Normal 6 3 2 3 5 2" xfId="12794"/>
    <cellStyle name="Normal 6 3 2 3 5 2 2" xfId="53047"/>
    <cellStyle name="Normal 6 3 2 3 5 3" xfId="6334"/>
    <cellStyle name="Normal 6 3 2 3 5 3 2" xfId="51017"/>
    <cellStyle name="Normal 6 3 2 3 5 4" xfId="42802"/>
    <cellStyle name="Normal 6 3 2 3 5 4 2" xfId="57929"/>
    <cellStyle name="Normal 6 3 2 3 5 5" xfId="47213"/>
    <cellStyle name="Normal 6 3 2 3 6" xfId="4678"/>
    <cellStyle name="Normal 6 3 2 3 6 2" xfId="40567"/>
    <cellStyle name="Normal 6 3 2 3 6 2 2" xfId="55694"/>
    <cellStyle name="Normal 6 3 2 3 6 3" xfId="49363"/>
    <cellStyle name="Normal 6 3 2 3 7" xfId="11139"/>
    <cellStyle name="Normal 6 3 2 3 7 2" xfId="51393"/>
    <cellStyle name="Normal 6 3 2 3 8" xfId="3316"/>
    <cellStyle name="Normal 6 3 2 3 8 2" xfId="48010"/>
    <cellStyle name="Normal 6 3 2 3 9" xfId="38203"/>
    <cellStyle name="Normal 6 3 2 3 9 2" xfId="53403"/>
    <cellStyle name="Normal 6 3 2 4" xfId="450"/>
    <cellStyle name="Normal 6 3 2 4 2" xfId="1715"/>
    <cellStyle name="Normal 6 3 2 4 2 2" xfId="6064"/>
    <cellStyle name="Normal 6 3 2 4 2 2 2" xfId="44795"/>
    <cellStyle name="Normal 6 3 2 4 2 2 2 2" xfId="59921"/>
    <cellStyle name="Normal 6 3 2 4 2 2 3" xfId="42559"/>
    <cellStyle name="Normal 6 3 2 4 2 2 3 2" xfId="57686"/>
    <cellStyle name="Normal 6 3 2 4 2 2 4" xfId="40279"/>
    <cellStyle name="Normal 6 3 2 4 2 2 4 2" xfId="55407"/>
    <cellStyle name="Normal 6 3 2 4 2 2 5" xfId="50749"/>
    <cellStyle name="Normal 6 3 2 4 2 3" xfId="12525"/>
    <cellStyle name="Normal 6 3 2 4 2 3 2" xfId="43229"/>
    <cellStyle name="Normal 6 3 2 4 2 3 2 2" xfId="58355"/>
    <cellStyle name="Normal 6 3 2 4 2 3 3" xfId="52779"/>
    <cellStyle name="Normal 6 3 2 4 2 4" xfId="4014"/>
    <cellStyle name="Normal 6 3 2 4 2 4 2" xfId="40993"/>
    <cellStyle name="Normal 6 3 2 4 2 4 2 2" xfId="56120"/>
    <cellStyle name="Normal 6 3 2 4 2 4 3" xfId="48707"/>
    <cellStyle name="Normal 6 3 2 4 2 5" xfId="39137"/>
    <cellStyle name="Normal 6 3 2 4 2 5 2" xfId="54268"/>
    <cellStyle name="Normal 6 3 2 4 2 6" xfId="46945"/>
    <cellStyle name="Normal 6 3 2 4 3" xfId="1202"/>
    <cellStyle name="Normal 6 3 2 4 3 2" xfId="5551"/>
    <cellStyle name="Normal 6 3 2 4 3 2 2" xfId="44444"/>
    <cellStyle name="Normal 6 3 2 4 3 2 2 2" xfId="59570"/>
    <cellStyle name="Normal 6 3 2 4 3 2 3" xfId="42208"/>
    <cellStyle name="Normal 6 3 2 4 3 2 3 2" xfId="57335"/>
    <cellStyle name="Normal 6 3 2 4 3 2 4" xfId="39928"/>
    <cellStyle name="Normal 6 3 2 4 3 2 4 2" xfId="55056"/>
    <cellStyle name="Normal 6 3 2 4 3 2 5" xfId="50236"/>
    <cellStyle name="Normal 6 3 2 4 3 3" xfId="12012"/>
    <cellStyle name="Normal 6 3 2 4 3 3 2" xfId="43580"/>
    <cellStyle name="Normal 6 3 2 4 3 3 2 2" xfId="58706"/>
    <cellStyle name="Normal 6 3 2 4 3 3 3" xfId="52266"/>
    <cellStyle name="Normal 6 3 2 4 3 4" xfId="4373"/>
    <cellStyle name="Normal 6 3 2 4 3 4 2" xfId="41344"/>
    <cellStyle name="Normal 6 3 2 4 3 4 2 2" xfId="56471"/>
    <cellStyle name="Normal 6 3 2 4 3 4 3" xfId="49063"/>
    <cellStyle name="Normal 6 3 2 4 3 5" xfId="38764"/>
    <cellStyle name="Normal 6 3 2 4 3 5 2" xfId="53917"/>
    <cellStyle name="Normal 6 3 2 4 3 6" xfId="46432"/>
    <cellStyle name="Normal 6 3 2 4 4" xfId="2064"/>
    <cellStyle name="Normal 6 3 2 4 4 2" xfId="12870"/>
    <cellStyle name="Normal 6 3 2 4 4 2 2" xfId="44006"/>
    <cellStyle name="Normal 6 3 2 4 4 2 2 2" xfId="59132"/>
    <cellStyle name="Normal 6 3 2 4 4 2 3" xfId="53123"/>
    <cellStyle name="Normal 6 3 2 4 4 3" xfId="6410"/>
    <cellStyle name="Normal 6 3 2 4 4 3 2" xfId="41770"/>
    <cellStyle name="Normal 6 3 2 4 4 3 2 2" xfId="56897"/>
    <cellStyle name="Normal 6 3 2 4 4 3 3" xfId="51093"/>
    <cellStyle name="Normal 6 3 2 4 4 4" xfId="39490"/>
    <cellStyle name="Normal 6 3 2 4 4 4 2" xfId="54618"/>
    <cellStyle name="Normal 6 3 2 4 4 5" xfId="47289"/>
    <cellStyle name="Normal 6 3 2 4 5" xfId="4799"/>
    <cellStyle name="Normal 6 3 2 4 5 2" xfId="42878"/>
    <cellStyle name="Normal 6 3 2 4 5 2 2" xfId="58005"/>
    <cellStyle name="Normal 6 3 2 4 5 3" xfId="49484"/>
    <cellStyle name="Normal 6 3 2 4 6" xfId="11260"/>
    <cellStyle name="Normal 6 3 2 4 6 2" xfId="40643"/>
    <cellStyle name="Normal 6 3 2 4 6 2 2" xfId="55770"/>
    <cellStyle name="Normal 6 3 2 4 6 3" xfId="51514"/>
    <cellStyle name="Normal 6 3 2 4 7" xfId="3437"/>
    <cellStyle name="Normal 6 3 2 4 7 2" xfId="48131"/>
    <cellStyle name="Normal 6 3 2 4 8" xfId="38279"/>
    <cellStyle name="Normal 6 3 2 4 8 2" xfId="53479"/>
    <cellStyle name="Normal 6 3 2 4 9" xfId="45680"/>
    <cellStyle name="Normal 6 3 2 5" xfId="904"/>
    <cellStyle name="Normal 6 3 2 5 2" xfId="5253"/>
    <cellStyle name="Normal 6 3 2 5 2 2" xfId="40051"/>
    <cellStyle name="Normal 6 3 2 5 2 2 2" xfId="44567"/>
    <cellStyle name="Normal 6 3 2 5 2 2 2 2" xfId="59693"/>
    <cellStyle name="Normal 6 3 2 5 2 2 3" xfId="42331"/>
    <cellStyle name="Normal 6 3 2 5 2 2 3 2" xfId="57458"/>
    <cellStyle name="Normal 6 3 2 5 2 2 4" xfId="55179"/>
    <cellStyle name="Normal 6 3 2 5 2 3" xfId="43682"/>
    <cellStyle name="Normal 6 3 2 5 2 3 2" xfId="58808"/>
    <cellStyle name="Normal 6 3 2 5 2 4" xfId="41446"/>
    <cellStyle name="Normal 6 3 2 5 2 4 2" xfId="56573"/>
    <cellStyle name="Normal 6 3 2 5 2 5" xfId="38908"/>
    <cellStyle name="Normal 6 3 2 5 2 5 2" xfId="54040"/>
    <cellStyle name="Normal 6 3 2 5 2 6" xfId="49938"/>
    <cellStyle name="Normal 6 3 2 5 3" xfId="11714"/>
    <cellStyle name="Normal 6 3 2 5 3 2" xfId="44090"/>
    <cellStyle name="Normal 6 3 2 5 3 2 2" xfId="59216"/>
    <cellStyle name="Normal 6 3 2 5 3 3" xfId="41854"/>
    <cellStyle name="Normal 6 3 2 5 3 3 2" xfId="56981"/>
    <cellStyle name="Normal 6 3 2 5 3 4" xfId="39574"/>
    <cellStyle name="Normal 6 3 2 5 3 4 2" xfId="54702"/>
    <cellStyle name="Normal 6 3 2 5 3 5" xfId="51968"/>
    <cellStyle name="Normal 6 3 2 5 4" xfId="3139"/>
    <cellStyle name="Normal 6 3 2 5 4 2" xfId="43001"/>
    <cellStyle name="Normal 6 3 2 5 4 2 2" xfId="58127"/>
    <cellStyle name="Normal 6 3 2 5 4 3" xfId="47833"/>
    <cellStyle name="Normal 6 3 2 5 5" xfId="40765"/>
    <cellStyle name="Normal 6 3 2 5 5 2" xfId="55892"/>
    <cellStyle name="Normal 6 3 2 5 6" xfId="38404"/>
    <cellStyle name="Normal 6 3 2 5 6 2" xfId="53563"/>
    <cellStyle name="Normal 6 3 2 5 7" xfId="46134"/>
    <cellStyle name="Normal 6 3 2 6" xfId="781"/>
    <cellStyle name="Normal 6 3 2 6 2" xfId="5130"/>
    <cellStyle name="Normal 6 3 2 6 2 2" xfId="44216"/>
    <cellStyle name="Normal 6 3 2 6 2 2 2" xfId="59342"/>
    <cellStyle name="Normal 6 3 2 6 2 3" xfId="41980"/>
    <cellStyle name="Normal 6 3 2 6 2 3 2" xfId="57107"/>
    <cellStyle name="Normal 6 3 2 6 2 4" xfId="39700"/>
    <cellStyle name="Normal 6 3 2 6 2 4 2" xfId="54828"/>
    <cellStyle name="Normal 6 3 2 6 2 5" xfId="49815"/>
    <cellStyle name="Normal 6 3 2 6 3" xfId="11591"/>
    <cellStyle name="Normal 6 3 2 6 3 2" xfId="43352"/>
    <cellStyle name="Normal 6 3 2 6 3 2 2" xfId="58478"/>
    <cellStyle name="Normal 6 3 2 6 3 3" xfId="51845"/>
    <cellStyle name="Normal 6 3 2 6 4" xfId="3016"/>
    <cellStyle name="Normal 6 3 2 6 4 2" xfId="41116"/>
    <cellStyle name="Normal 6 3 2 6 4 2 2" xfId="56243"/>
    <cellStyle name="Normal 6 3 2 6 4 3" xfId="47710"/>
    <cellStyle name="Normal 6 3 2 6 5" xfId="38534"/>
    <cellStyle name="Normal 6 3 2 6 5 2" xfId="53689"/>
    <cellStyle name="Normal 6 3 2 6 6" xfId="46011"/>
    <cellStyle name="Normal 6 3 2 7" xfId="571"/>
    <cellStyle name="Normal 6 3 2 7 2" xfId="4920"/>
    <cellStyle name="Normal 6 3 2 7 2 2" xfId="43778"/>
    <cellStyle name="Normal 6 3 2 7 2 2 2" xfId="58904"/>
    <cellStyle name="Normal 6 3 2 7 2 3" xfId="49605"/>
    <cellStyle name="Normal 6 3 2 7 3" xfId="11381"/>
    <cellStyle name="Normal 6 3 2 7 3 2" xfId="41542"/>
    <cellStyle name="Normal 6 3 2 7 3 2 2" xfId="56669"/>
    <cellStyle name="Normal 6 3 2 7 3 3" xfId="51635"/>
    <cellStyle name="Normal 6 3 2 7 4" xfId="4082"/>
    <cellStyle name="Normal 6 3 2 7 4 2" xfId="48774"/>
    <cellStyle name="Normal 6 3 2 7 5" xfId="39262"/>
    <cellStyle name="Normal 6 3 2 7 5 2" xfId="54390"/>
    <cellStyle name="Normal 6 3 2 7 6" xfId="45801"/>
    <cellStyle name="Normal 6 3 2 8" xfId="1832"/>
    <cellStyle name="Normal 6 3 2 8 2" xfId="12641"/>
    <cellStyle name="Normal 6 3 2 8 2 2" xfId="52895"/>
    <cellStyle name="Normal 6 3 2 8 3" xfId="6180"/>
    <cellStyle name="Normal 6 3 2 8 3 2" xfId="50865"/>
    <cellStyle name="Normal 6 3 2 8 4" xfId="42650"/>
    <cellStyle name="Normal 6 3 2 8 4 2" xfId="57777"/>
    <cellStyle name="Normal 6 3 2 8 5" xfId="47061"/>
    <cellStyle name="Normal 6 3 2 9" xfId="2646"/>
    <cellStyle name="Normal 6 3 2 9 2" xfId="4496"/>
    <cellStyle name="Normal 6 3 2 9 2 2" xfId="49186"/>
    <cellStyle name="Normal 6 3 2 9 3" xfId="40415"/>
    <cellStyle name="Normal 6 3 2 9 3 2" xfId="55542"/>
    <cellStyle name="Normal 6 3 2 9 4" xfId="47378"/>
    <cellStyle name="Normal 6 3 3" xfId="137"/>
    <cellStyle name="Normal 6 3 3 10" xfId="38050"/>
    <cellStyle name="Normal 6 3 3 10 2" xfId="53250"/>
    <cellStyle name="Normal 6 3 3 11" xfId="45381"/>
    <cellStyle name="Normal 6 3 3 2" xfId="449"/>
    <cellStyle name="Normal 6 3 3 2 2" xfId="1439"/>
    <cellStyle name="Normal 6 3 3 2 2 2" xfId="5788"/>
    <cellStyle name="Normal 6 3 3 2 2 2 2" xfId="44566"/>
    <cellStyle name="Normal 6 3 3 2 2 2 2 2" xfId="59692"/>
    <cellStyle name="Normal 6 3 3 2 2 2 3" xfId="50473"/>
    <cellStyle name="Normal 6 3 3 2 2 3" xfId="12249"/>
    <cellStyle name="Normal 6 3 3 2 2 3 2" xfId="42330"/>
    <cellStyle name="Normal 6 3 3 2 2 3 2 2" xfId="57457"/>
    <cellStyle name="Normal 6 3 3 2 2 3 3" xfId="52503"/>
    <cellStyle name="Normal 6 3 3 2 2 4" xfId="3722"/>
    <cellStyle name="Normal 6 3 3 2 2 4 2" xfId="48415"/>
    <cellStyle name="Normal 6 3 3 2 2 5" xfId="40050"/>
    <cellStyle name="Normal 6 3 3 2 2 5 2" xfId="55178"/>
    <cellStyle name="Normal 6 3 3 2 2 6" xfId="46669"/>
    <cellStyle name="Normal 6 3 3 2 3" xfId="1714"/>
    <cellStyle name="Normal 6 3 3 2 3 2" xfId="6063"/>
    <cellStyle name="Normal 6 3 3 2 3 2 2" xfId="50748"/>
    <cellStyle name="Normal 6 3 3 2 3 3" xfId="12524"/>
    <cellStyle name="Normal 6 3 3 2 3 3 2" xfId="52778"/>
    <cellStyle name="Normal 6 3 3 2 3 4" xfId="4013"/>
    <cellStyle name="Normal 6 3 3 2 3 4 2" xfId="48706"/>
    <cellStyle name="Normal 6 3 3 2 3 5" xfId="43000"/>
    <cellStyle name="Normal 6 3 3 2 3 5 2" xfId="58126"/>
    <cellStyle name="Normal 6 3 3 2 3 6" xfId="46944"/>
    <cellStyle name="Normal 6 3 3 2 4" xfId="1201"/>
    <cellStyle name="Normal 6 3 3 2 4 2" xfId="5550"/>
    <cellStyle name="Normal 6 3 3 2 4 2 2" xfId="50235"/>
    <cellStyle name="Normal 6 3 3 2 4 3" xfId="12011"/>
    <cellStyle name="Normal 6 3 3 2 4 3 2" xfId="52265"/>
    <cellStyle name="Normal 6 3 3 2 4 4" xfId="4372"/>
    <cellStyle name="Normal 6 3 3 2 4 4 2" xfId="49062"/>
    <cellStyle name="Normal 6 3 3 2 4 5" xfId="40764"/>
    <cellStyle name="Normal 6 3 3 2 4 5 2" xfId="55891"/>
    <cellStyle name="Normal 6 3 3 2 4 6" xfId="46431"/>
    <cellStyle name="Normal 6 3 3 2 5" xfId="4798"/>
    <cellStyle name="Normal 6 3 3 2 5 2" xfId="49483"/>
    <cellStyle name="Normal 6 3 3 2 6" xfId="11259"/>
    <cellStyle name="Normal 6 3 3 2 6 2" xfId="51513"/>
    <cellStyle name="Normal 6 3 3 2 7" xfId="3436"/>
    <cellStyle name="Normal 6 3 3 2 7 2" xfId="48130"/>
    <cellStyle name="Normal 6 3 3 2 8" xfId="38907"/>
    <cellStyle name="Normal 6 3 3 2 8 2" xfId="54039"/>
    <cellStyle name="Normal 6 3 3 2 9" xfId="45679"/>
    <cellStyle name="Normal 6 3 3 3" xfId="903"/>
    <cellStyle name="Normal 6 3 3 3 2" xfId="5252"/>
    <cellStyle name="Normal 6 3 3 3 2 2" xfId="44215"/>
    <cellStyle name="Normal 6 3 3 3 2 2 2" xfId="59341"/>
    <cellStyle name="Normal 6 3 3 3 2 3" xfId="41979"/>
    <cellStyle name="Normal 6 3 3 3 2 3 2" xfId="57106"/>
    <cellStyle name="Normal 6 3 3 3 2 4" xfId="39699"/>
    <cellStyle name="Normal 6 3 3 3 2 4 2" xfId="54827"/>
    <cellStyle name="Normal 6 3 3 3 2 5" xfId="49937"/>
    <cellStyle name="Normal 6 3 3 3 3" xfId="11713"/>
    <cellStyle name="Normal 6 3 3 3 3 2" xfId="43351"/>
    <cellStyle name="Normal 6 3 3 3 3 2 2" xfId="58477"/>
    <cellStyle name="Normal 6 3 3 3 3 3" xfId="51967"/>
    <cellStyle name="Normal 6 3 3 3 4" xfId="3138"/>
    <cellStyle name="Normal 6 3 3 3 4 2" xfId="41115"/>
    <cellStyle name="Normal 6 3 3 3 4 2 2" xfId="56242"/>
    <cellStyle name="Normal 6 3 3 3 4 3" xfId="47832"/>
    <cellStyle name="Normal 6 3 3 3 5" xfId="38533"/>
    <cellStyle name="Normal 6 3 3 3 5 2" xfId="53688"/>
    <cellStyle name="Normal 6 3 3 3 6" xfId="46133"/>
    <cellStyle name="Normal 6 3 3 4" xfId="780"/>
    <cellStyle name="Normal 6 3 3 4 2" xfId="5129"/>
    <cellStyle name="Normal 6 3 3 4 2 2" xfId="43777"/>
    <cellStyle name="Normal 6 3 3 4 2 2 2" xfId="58903"/>
    <cellStyle name="Normal 6 3 3 4 2 3" xfId="49814"/>
    <cellStyle name="Normal 6 3 3 4 3" xfId="11590"/>
    <cellStyle name="Normal 6 3 3 4 3 2" xfId="41541"/>
    <cellStyle name="Normal 6 3 3 4 3 2 2" xfId="56668"/>
    <cellStyle name="Normal 6 3 3 4 3 3" xfId="51844"/>
    <cellStyle name="Normal 6 3 3 4 4" xfId="3015"/>
    <cellStyle name="Normal 6 3 3 4 4 2" xfId="47709"/>
    <cellStyle name="Normal 6 3 3 4 5" xfId="39261"/>
    <cellStyle name="Normal 6 3 3 4 5 2" xfId="54389"/>
    <cellStyle name="Normal 6 3 3 4 6" xfId="46010"/>
    <cellStyle name="Normal 6 3 3 5" xfId="570"/>
    <cellStyle name="Normal 6 3 3 5 2" xfId="4919"/>
    <cellStyle name="Normal 6 3 3 5 2 2" xfId="49604"/>
    <cellStyle name="Normal 6 3 3 5 3" xfId="11380"/>
    <cellStyle name="Normal 6 3 3 5 3 2" xfId="51634"/>
    <cellStyle name="Normal 6 3 3 5 4" xfId="3479"/>
    <cellStyle name="Normal 6 3 3 5 4 2" xfId="48173"/>
    <cellStyle name="Normal 6 3 3 5 5" xfId="42649"/>
    <cellStyle name="Normal 6 3 3 5 5 2" xfId="57776"/>
    <cellStyle name="Normal 6 3 3 5 6" xfId="45800"/>
    <cellStyle name="Normal 6 3 3 6" xfId="1831"/>
    <cellStyle name="Normal 6 3 3 6 2" xfId="12640"/>
    <cellStyle name="Normal 6 3 3 6 2 2" xfId="52894"/>
    <cellStyle name="Normal 6 3 3 6 3" xfId="6179"/>
    <cellStyle name="Normal 6 3 3 6 3 2" xfId="50864"/>
    <cellStyle name="Normal 6 3 3 6 4" xfId="40414"/>
    <cellStyle name="Normal 6 3 3 6 4 2" xfId="55541"/>
    <cellStyle name="Normal 6 3 3 6 5" xfId="47060"/>
    <cellStyle name="Normal 6 3 3 7" xfId="4495"/>
    <cellStyle name="Normal 6 3 3 7 2" xfId="49185"/>
    <cellStyle name="Normal 6 3 3 8" xfId="10961"/>
    <cellStyle name="Normal 6 3 3 8 2" xfId="51215"/>
    <cellStyle name="Normal 6 3 3 9" xfId="2798"/>
    <cellStyle name="Normal 6 3 3 9 2" xfId="47498"/>
    <cellStyle name="Normal 6 3 4" xfId="237"/>
    <cellStyle name="Normal 6 3 4 10" xfId="38126"/>
    <cellStyle name="Normal 6 3 4 10 2" xfId="53326"/>
    <cellStyle name="Normal 6 3 4 11" xfId="45469"/>
    <cellStyle name="Normal 6 3 4 2" xfId="991"/>
    <cellStyle name="Normal 6 3 4 2 2" xfId="5340"/>
    <cellStyle name="Normal 6 3 4 2 2 2" xfId="44642"/>
    <cellStyle name="Normal 6 3 4 2 2 2 2" xfId="59768"/>
    <cellStyle name="Normal 6 3 4 2 2 3" xfId="42406"/>
    <cellStyle name="Normal 6 3 4 2 2 3 2" xfId="57533"/>
    <cellStyle name="Normal 6 3 4 2 2 4" xfId="40126"/>
    <cellStyle name="Normal 6 3 4 2 2 4 2" xfId="55254"/>
    <cellStyle name="Normal 6 3 4 2 2 5" xfId="50025"/>
    <cellStyle name="Normal 6 3 4 2 3" xfId="11801"/>
    <cellStyle name="Normal 6 3 4 2 3 2" xfId="43076"/>
    <cellStyle name="Normal 6 3 4 2 3 2 2" xfId="58202"/>
    <cellStyle name="Normal 6 3 4 2 3 3" xfId="52055"/>
    <cellStyle name="Normal 6 3 4 2 4" xfId="3226"/>
    <cellStyle name="Normal 6 3 4 2 4 2" xfId="40840"/>
    <cellStyle name="Normal 6 3 4 2 4 2 2" xfId="55967"/>
    <cellStyle name="Normal 6 3 4 2 4 3" xfId="47920"/>
    <cellStyle name="Normal 6 3 4 2 5" xfId="38984"/>
    <cellStyle name="Normal 6 3 4 2 5 2" xfId="54115"/>
    <cellStyle name="Normal 6 3 4 2 6" xfId="46221"/>
    <cellStyle name="Normal 6 3 4 3" xfId="1293"/>
    <cellStyle name="Normal 6 3 4 3 2" xfId="5642"/>
    <cellStyle name="Normal 6 3 4 3 2 2" xfId="44291"/>
    <cellStyle name="Normal 6 3 4 3 2 2 2" xfId="59417"/>
    <cellStyle name="Normal 6 3 4 3 2 3" xfId="42055"/>
    <cellStyle name="Normal 6 3 4 3 2 3 2" xfId="57182"/>
    <cellStyle name="Normal 6 3 4 3 2 4" xfId="39775"/>
    <cellStyle name="Normal 6 3 4 3 2 4 2" xfId="54903"/>
    <cellStyle name="Normal 6 3 4 3 2 5" xfId="50327"/>
    <cellStyle name="Normal 6 3 4 3 3" xfId="12103"/>
    <cellStyle name="Normal 6 3 4 3 3 2" xfId="43427"/>
    <cellStyle name="Normal 6 3 4 3 3 2 2" xfId="58553"/>
    <cellStyle name="Normal 6 3 4 3 3 3" xfId="52357"/>
    <cellStyle name="Normal 6 3 4 3 4" xfId="3576"/>
    <cellStyle name="Normal 6 3 4 3 4 2" xfId="41191"/>
    <cellStyle name="Normal 6 3 4 3 4 2 2" xfId="56318"/>
    <cellStyle name="Normal 6 3 4 3 4 3" xfId="48269"/>
    <cellStyle name="Normal 6 3 4 3 5" xfId="38611"/>
    <cellStyle name="Normal 6 3 4 3 5 2" xfId="53764"/>
    <cellStyle name="Normal 6 3 4 3 6" xfId="46523"/>
    <cellStyle name="Normal 6 3 4 4" xfId="1504"/>
    <cellStyle name="Normal 6 3 4 4 2" xfId="5853"/>
    <cellStyle name="Normal 6 3 4 4 2 2" xfId="43853"/>
    <cellStyle name="Normal 6 3 4 4 2 2 2" xfId="58979"/>
    <cellStyle name="Normal 6 3 4 4 2 3" xfId="50538"/>
    <cellStyle name="Normal 6 3 4 4 3" xfId="12314"/>
    <cellStyle name="Normal 6 3 4 4 3 2" xfId="41617"/>
    <cellStyle name="Normal 6 3 4 4 3 2 2" xfId="56744"/>
    <cellStyle name="Normal 6 3 4 4 3 3" xfId="52568"/>
    <cellStyle name="Normal 6 3 4 4 4" xfId="3803"/>
    <cellStyle name="Normal 6 3 4 4 4 2" xfId="48496"/>
    <cellStyle name="Normal 6 3 4 4 5" xfId="39337"/>
    <cellStyle name="Normal 6 3 4 4 5 2" xfId="54465"/>
    <cellStyle name="Normal 6 3 4 4 6" xfId="46734"/>
    <cellStyle name="Normal 6 3 4 5" xfId="659"/>
    <cellStyle name="Normal 6 3 4 5 2" xfId="5008"/>
    <cellStyle name="Normal 6 3 4 5 2 2" xfId="49693"/>
    <cellStyle name="Normal 6 3 4 5 3" xfId="11469"/>
    <cellStyle name="Normal 6 3 4 5 3 2" xfId="51723"/>
    <cellStyle name="Normal 6 3 4 5 4" xfId="4162"/>
    <cellStyle name="Normal 6 3 4 5 4 2" xfId="48852"/>
    <cellStyle name="Normal 6 3 4 5 5" xfId="42725"/>
    <cellStyle name="Normal 6 3 4 5 5 2" xfId="57852"/>
    <cellStyle name="Normal 6 3 4 5 6" xfId="45889"/>
    <cellStyle name="Normal 6 3 4 6" xfId="1910"/>
    <cellStyle name="Normal 6 3 4 6 2" xfId="12717"/>
    <cellStyle name="Normal 6 3 4 6 2 2" xfId="52970"/>
    <cellStyle name="Normal 6 3 4 6 3" xfId="6257"/>
    <cellStyle name="Normal 6 3 4 6 3 2" xfId="50940"/>
    <cellStyle name="Normal 6 3 4 6 4" xfId="40490"/>
    <cellStyle name="Normal 6 3 4 6 4 2" xfId="55617"/>
    <cellStyle name="Normal 6 3 4 6 5" xfId="47136"/>
    <cellStyle name="Normal 6 3 4 7" xfId="4586"/>
    <cellStyle name="Normal 6 3 4 7 2" xfId="49273"/>
    <cellStyle name="Normal 6 3 4 8" xfId="11049"/>
    <cellStyle name="Normal 6 3 4 8 2" xfId="51303"/>
    <cellStyle name="Normal 6 3 4 9" xfId="2893"/>
    <cellStyle name="Normal 6 3 4 9 2" xfId="47587"/>
    <cellStyle name="Normal 6 3 5" xfId="328"/>
    <cellStyle name="Normal 6 3 5 10" xfId="45558"/>
    <cellStyle name="Normal 6 3 5 2" xfId="1382"/>
    <cellStyle name="Normal 6 3 5 2 2" xfId="5731"/>
    <cellStyle name="Normal 6 3 5 2 2 2" xfId="44718"/>
    <cellStyle name="Normal 6 3 5 2 2 2 2" xfId="59844"/>
    <cellStyle name="Normal 6 3 5 2 2 3" xfId="42482"/>
    <cellStyle name="Normal 6 3 5 2 2 3 2" xfId="57609"/>
    <cellStyle name="Normal 6 3 5 2 2 4" xfId="40202"/>
    <cellStyle name="Normal 6 3 5 2 2 4 2" xfId="55330"/>
    <cellStyle name="Normal 6 3 5 2 2 5" xfId="50416"/>
    <cellStyle name="Normal 6 3 5 2 3" xfId="12192"/>
    <cellStyle name="Normal 6 3 5 2 3 2" xfId="43152"/>
    <cellStyle name="Normal 6 3 5 2 3 2 2" xfId="58278"/>
    <cellStyle name="Normal 6 3 5 2 3 3" xfId="52446"/>
    <cellStyle name="Normal 6 3 5 2 4" xfId="3665"/>
    <cellStyle name="Normal 6 3 5 2 4 2" xfId="40916"/>
    <cellStyle name="Normal 6 3 5 2 4 2 2" xfId="56043"/>
    <cellStyle name="Normal 6 3 5 2 4 3" xfId="48358"/>
    <cellStyle name="Normal 6 3 5 2 5" xfId="39060"/>
    <cellStyle name="Normal 6 3 5 2 5 2" xfId="54191"/>
    <cellStyle name="Normal 6 3 5 2 6" xfId="46612"/>
    <cellStyle name="Normal 6 3 5 3" xfId="1593"/>
    <cellStyle name="Normal 6 3 5 3 2" xfId="5942"/>
    <cellStyle name="Normal 6 3 5 3 2 2" xfId="44367"/>
    <cellStyle name="Normal 6 3 5 3 2 2 2" xfId="59493"/>
    <cellStyle name="Normal 6 3 5 3 2 3" xfId="42131"/>
    <cellStyle name="Normal 6 3 5 3 2 3 2" xfId="57258"/>
    <cellStyle name="Normal 6 3 5 3 2 4" xfId="39851"/>
    <cellStyle name="Normal 6 3 5 3 2 4 2" xfId="54979"/>
    <cellStyle name="Normal 6 3 5 3 2 5" xfId="50627"/>
    <cellStyle name="Normal 6 3 5 3 3" xfId="12403"/>
    <cellStyle name="Normal 6 3 5 3 3 2" xfId="43503"/>
    <cellStyle name="Normal 6 3 5 3 3 2 2" xfId="58629"/>
    <cellStyle name="Normal 6 3 5 3 3 3" xfId="52657"/>
    <cellStyle name="Normal 6 3 5 3 4" xfId="3892"/>
    <cellStyle name="Normal 6 3 5 3 4 2" xfId="41267"/>
    <cellStyle name="Normal 6 3 5 3 4 2 2" xfId="56394"/>
    <cellStyle name="Normal 6 3 5 3 4 3" xfId="48585"/>
    <cellStyle name="Normal 6 3 5 3 5" xfId="38687"/>
    <cellStyle name="Normal 6 3 5 3 5 2" xfId="53840"/>
    <cellStyle name="Normal 6 3 5 3 6" xfId="46823"/>
    <cellStyle name="Normal 6 3 5 4" xfId="1080"/>
    <cellStyle name="Normal 6 3 5 4 2" xfId="5429"/>
    <cellStyle name="Normal 6 3 5 4 2 2" xfId="43929"/>
    <cellStyle name="Normal 6 3 5 4 2 2 2" xfId="59055"/>
    <cellStyle name="Normal 6 3 5 4 2 3" xfId="50114"/>
    <cellStyle name="Normal 6 3 5 4 3" xfId="11890"/>
    <cellStyle name="Normal 6 3 5 4 3 2" xfId="41693"/>
    <cellStyle name="Normal 6 3 5 4 3 2 2" xfId="56820"/>
    <cellStyle name="Normal 6 3 5 4 3 3" xfId="52144"/>
    <cellStyle name="Normal 6 3 5 4 4" xfId="4251"/>
    <cellStyle name="Normal 6 3 5 4 4 2" xfId="48941"/>
    <cellStyle name="Normal 6 3 5 4 5" xfId="39413"/>
    <cellStyle name="Normal 6 3 5 4 5 2" xfId="54541"/>
    <cellStyle name="Normal 6 3 5 4 6" xfId="46310"/>
    <cellStyle name="Normal 6 3 5 5" xfId="1986"/>
    <cellStyle name="Normal 6 3 5 5 2" xfId="12793"/>
    <cellStyle name="Normal 6 3 5 5 2 2" xfId="53046"/>
    <cellStyle name="Normal 6 3 5 5 3" xfId="6333"/>
    <cellStyle name="Normal 6 3 5 5 3 2" xfId="51016"/>
    <cellStyle name="Normal 6 3 5 5 4" xfId="42801"/>
    <cellStyle name="Normal 6 3 5 5 4 2" xfId="57928"/>
    <cellStyle name="Normal 6 3 5 5 5" xfId="47212"/>
    <cellStyle name="Normal 6 3 5 6" xfId="4677"/>
    <cellStyle name="Normal 6 3 5 6 2" xfId="40566"/>
    <cellStyle name="Normal 6 3 5 6 2 2" xfId="55693"/>
    <cellStyle name="Normal 6 3 5 6 3" xfId="49362"/>
    <cellStyle name="Normal 6 3 5 7" xfId="11138"/>
    <cellStyle name="Normal 6 3 5 7 2" xfId="51392"/>
    <cellStyle name="Normal 6 3 5 8" xfId="3315"/>
    <cellStyle name="Normal 6 3 5 8 2" xfId="48009"/>
    <cellStyle name="Normal 6 3 5 9" xfId="38202"/>
    <cellStyle name="Normal 6 3 5 9 2" xfId="53402"/>
    <cellStyle name="Normal 6 3 6" xfId="387"/>
    <cellStyle name="Normal 6 3 6 2" xfId="1652"/>
    <cellStyle name="Normal 6 3 6 2 2" xfId="6001"/>
    <cellStyle name="Normal 6 3 6 2 2 2" xfId="44794"/>
    <cellStyle name="Normal 6 3 6 2 2 2 2" xfId="59920"/>
    <cellStyle name="Normal 6 3 6 2 2 3" xfId="42558"/>
    <cellStyle name="Normal 6 3 6 2 2 3 2" xfId="57685"/>
    <cellStyle name="Normal 6 3 6 2 2 4" xfId="40278"/>
    <cellStyle name="Normal 6 3 6 2 2 4 2" xfId="55406"/>
    <cellStyle name="Normal 6 3 6 2 2 5" xfId="50686"/>
    <cellStyle name="Normal 6 3 6 2 3" xfId="12462"/>
    <cellStyle name="Normal 6 3 6 2 3 2" xfId="43228"/>
    <cellStyle name="Normal 6 3 6 2 3 2 2" xfId="58354"/>
    <cellStyle name="Normal 6 3 6 2 3 3" xfId="52716"/>
    <cellStyle name="Normal 6 3 6 2 4" xfId="3951"/>
    <cellStyle name="Normal 6 3 6 2 4 2" xfId="40992"/>
    <cellStyle name="Normal 6 3 6 2 4 2 2" xfId="56119"/>
    <cellStyle name="Normal 6 3 6 2 4 3" xfId="48644"/>
    <cellStyle name="Normal 6 3 6 2 5" xfId="39136"/>
    <cellStyle name="Normal 6 3 6 2 5 2" xfId="54267"/>
    <cellStyle name="Normal 6 3 6 2 6" xfId="46882"/>
    <cellStyle name="Normal 6 3 6 3" xfId="1139"/>
    <cellStyle name="Normal 6 3 6 3 2" xfId="5488"/>
    <cellStyle name="Normal 6 3 6 3 2 2" xfId="44443"/>
    <cellStyle name="Normal 6 3 6 3 2 2 2" xfId="59569"/>
    <cellStyle name="Normal 6 3 6 3 2 3" xfId="42207"/>
    <cellStyle name="Normal 6 3 6 3 2 3 2" xfId="57334"/>
    <cellStyle name="Normal 6 3 6 3 2 4" xfId="39927"/>
    <cellStyle name="Normal 6 3 6 3 2 4 2" xfId="55055"/>
    <cellStyle name="Normal 6 3 6 3 2 5" xfId="50173"/>
    <cellStyle name="Normal 6 3 6 3 3" xfId="11949"/>
    <cellStyle name="Normal 6 3 6 3 3 2" xfId="43579"/>
    <cellStyle name="Normal 6 3 6 3 3 2 2" xfId="58705"/>
    <cellStyle name="Normal 6 3 6 3 3 3" xfId="52203"/>
    <cellStyle name="Normal 6 3 6 3 4" xfId="4310"/>
    <cellStyle name="Normal 6 3 6 3 4 2" xfId="41343"/>
    <cellStyle name="Normal 6 3 6 3 4 2 2" xfId="56470"/>
    <cellStyle name="Normal 6 3 6 3 4 3" xfId="49000"/>
    <cellStyle name="Normal 6 3 6 3 5" xfId="38763"/>
    <cellStyle name="Normal 6 3 6 3 5 2" xfId="53916"/>
    <cellStyle name="Normal 6 3 6 3 6" xfId="46369"/>
    <cellStyle name="Normal 6 3 6 4" xfId="2063"/>
    <cellStyle name="Normal 6 3 6 4 2" xfId="12869"/>
    <cellStyle name="Normal 6 3 6 4 2 2" xfId="44005"/>
    <cellStyle name="Normal 6 3 6 4 2 2 2" xfId="59131"/>
    <cellStyle name="Normal 6 3 6 4 2 3" xfId="53122"/>
    <cellStyle name="Normal 6 3 6 4 3" xfId="6409"/>
    <cellStyle name="Normal 6 3 6 4 3 2" xfId="41769"/>
    <cellStyle name="Normal 6 3 6 4 3 2 2" xfId="56896"/>
    <cellStyle name="Normal 6 3 6 4 3 3" xfId="51092"/>
    <cellStyle name="Normal 6 3 6 4 4" xfId="39489"/>
    <cellStyle name="Normal 6 3 6 4 4 2" xfId="54617"/>
    <cellStyle name="Normal 6 3 6 4 5" xfId="47288"/>
    <cellStyle name="Normal 6 3 6 5" xfId="4736"/>
    <cellStyle name="Normal 6 3 6 5 2" xfId="42877"/>
    <cellStyle name="Normal 6 3 6 5 2 2" xfId="58004"/>
    <cellStyle name="Normal 6 3 6 5 3" xfId="49421"/>
    <cellStyle name="Normal 6 3 6 6" xfId="11197"/>
    <cellStyle name="Normal 6 3 6 6 2" xfId="40642"/>
    <cellStyle name="Normal 6 3 6 6 2 2" xfId="55769"/>
    <cellStyle name="Normal 6 3 6 6 3" xfId="51451"/>
    <cellStyle name="Normal 6 3 6 7" xfId="3374"/>
    <cellStyle name="Normal 6 3 6 7 2" xfId="48068"/>
    <cellStyle name="Normal 6 3 6 8" xfId="38278"/>
    <cellStyle name="Normal 6 3 6 8 2" xfId="53478"/>
    <cellStyle name="Normal 6 3 6 9" xfId="45617"/>
    <cellStyle name="Normal 6 3 7" xfId="839"/>
    <cellStyle name="Normal 6 3 7 2" xfId="5188"/>
    <cellStyle name="Normal 6 3 7 2 2" xfId="39997"/>
    <cellStyle name="Normal 6 3 7 2 2 2" xfId="44513"/>
    <cellStyle name="Normal 6 3 7 2 2 2 2" xfId="59639"/>
    <cellStyle name="Normal 6 3 7 2 2 3" xfId="42277"/>
    <cellStyle name="Normal 6 3 7 2 2 3 2" xfId="57404"/>
    <cellStyle name="Normal 6 3 7 2 2 4" xfId="55125"/>
    <cellStyle name="Normal 6 3 7 2 3" xfId="43648"/>
    <cellStyle name="Normal 6 3 7 2 3 2" xfId="58774"/>
    <cellStyle name="Normal 6 3 7 2 4" xfId="41412"/>
    <cellStyle name="Normal 6 3 7 2 4 2" xfId="56539"/>
    <cellStyle name="Normal 6 3 7 2 5" xfId="38854"/>
    <cellStyle name="Normal 6 3 7 2 5 2" xfId="53986"/>
    <cellStyle name="Normal 6 3 7 2 6" xfId="49873"/>
    <cellStyle name="Normal 6 3 7 3" xfId="11649"/>
    <cellStyle name="Normal 6 3 7 3 2" xfId="44089"/>
    <cellStyle name="Normal 6 3 7 3 2 2" xfId="59215"/>
    <cellStyle name="Normal 6 3 7 3 3" xfId="41853"/>
    <cellStyle name="Normal 6 3 7 3 3 2" xfId="56980"/>
    <cellStyle name="Normal 6 3 7 3 4" xfId="39573"/>
    <cellStyle name="Normal 6 3 7 3 4 2" xfId="54701"/>
    <cellStyle name="Normal 6 3 7 3 5" xfId="51903"/>
    <cellStyle name="Normal 6 3 7 4" xfId="3074"/>
    <cellStyle name="Normal 6 3 7 4 2" xfId="42947"/>
    <cellStyle name="Normal 6 3 7 4 2 2" xfId="58073"/>
    <cellStyle name="Normal 6 3 7 4 3" xfId="47768"/>
    <cellStyle name="Normal 6 3 7 5" xfId="40711"/>
    <cellStyle name="Normal 6 3 7 5 2" xfId="55838"/>
    <cellStyle name="Normal 6 3 7 6" xfId="38403"/>
    <cellStyle name="Normal 6 3 7 6 2" xfId="53562"/>
    <cellStyle name="Normal 6 3 7 7" xfId="46069"/>
    <cellStyle name="Normal 6 3 8" xfId="718"/>
    <cellStyle name="Normal 6 3 8 2" xfId="5067"/>
    <cellStyle name="Normal 6 3 8 2 2" xfId="44162"/>
    <cellStyle name="Normal 6 3 8 2 2 2" xfId="59288"/>
    <cellStyle name="Normal 6 3 8 2 3" xfId="41926"/>
    <cellStyle name="Normal 6 3 8 2 3 2" xfId="57053"/>
    <cellStyle name="Normal 6 3 8 2 4" xfId="39646"/>
    <cellStyle name="Normal 6 3 8 2 4 2" xfId="54774"/>
    <cellStyle name="Normal 6 3 8 2 5" xfId="49752"/>
    <cellStyle name="Normal 6 3 8 3" xfId="11528"/>
    <cellStyle name="Normal 6 3 8 3 2" xfId="43298"/>
    <cellStyle name="Normal 6 3 8 3 2 2" xfId="58424"/>
    <cellStyle name="Normal 6 3 8 3 3" xfId="51782"/>
    <cellStyle name="Normal 6 3 8 4" xfId="2952"/>
    <cellStyle name="Normal 6 3 8 4 2" xfId="41062"/>
    <cellStyle name="Normal 6 3 8 4 2 2" xfId="56189"/>
    <cellStyle name="Normal 6 3 8 4 3" xfId="47646"/>
    <cellStyle name="Normal 6 3 8 5" xfId="38479"/>
    <cellStyle name="Normal 6 3 8 5 2" xfId="53635"/>
    <cellStyle name="Normal 6 3 8 6" xfId="45948"/>
    <cellStyle name="Normal 6 3 9" xfId="508"/>
    <cellStyle name="Normal 6 3 9 2" xfId="4857"/>
    <cellStyle name="Normal 6 3 9 2 2" xfId="43724"/>
    <cellStyle name="Normal 6 3 9 2 2 2" xfId="58850"/>
    <cellStyle name="Normal 6 3 9 2 3" xfId="49542"/>
    <cellStyle name="Normal 6 3 9 3" xfId="11318"/>
    <cellStyle name="Normal 6 3 9 3 2" xfId="41488"/>
    <cellStyle name="Normal 6 3 9 3 2 2" xfId="56615"/>
    <cellStyle name="Normal 6 3 9 3 3" xfId="51572"/>
    <cellStyle name="Normal 6 3 9 4" xfId="3506"/>
    <cellStyle name="Normal 6 3 9 4 2" xfId="48200"/>
    <cellStyle name="Normal 6 3 9 5" xfId="39208"/>
    <cellStyle name="Normal 6 3 9 5 2" xfId="54336"/>
    <cellStyle name="Normal 6 3 9 6" xfId="45738"/>
    <cellStyle name="Normal 6 4" xfId="139"/>
    <cellStyle name="Normal 6 4 10" xfId="10963"/>
    <cellStyle name="Normal 6 4 10 2" xfId="51217"/>
    <cellStyle name="Normal 6 4 11" xfId="2800"/>
    <cellStyle name="Normal 6 4 11 2" xfId="47500"/>
    <cellStyle name="Normal 6 4 12" xfId="38052"/>
    <cellStyle name="Normal 6 4 12 2" xfId="53252"/>
    <cellStyle name="Normal 6 4 13" xfId="45383"/>
    <cellStyle name="Normal 6 4 2" xfId="239"/>
    <cellStyle name="Normal 6 4 2 10" xfId="38128"/>
    <cellStyle name="Normal 6 4 2 10 2" xfId="53328"/>
    <cellStyle name="Normal 6 4 2 11" xfId="45471"/>
    <cellStyle name="Normal 6 4 2 2" xfId="993"/>
    <cellStyle name="Normal 6 4 2 2 2" xfId="5342"/>
    <cellStyle name="Normal 6 4 2 2 2 2" xfId="44644"/>
    <cellStyle name="Normal 6 4 2 2 2 2 2" xfId="59770"/>
    <cellStyle name="Normal 6 4 2 2 2 3" xfId="42408"/>
    <cellStyle name="Normal 6 4 2 2 2 3 2" xfId="57535"/>
    <cellStyle name="Normal 6 4 2 2 2 4" xfId="40128"/>
    <cellStyle name="Normal 6 4 2 2 2 4 2" xfId="55256"/>
    <cellStyle name="Normal 6 4 2 2 2 5" xfId="50027"/>
    <cellStyle name="Normal 6 4 2 2 3" xfId="11803"/>
    <cellStyle name="Normal 6 4 2 2 3 2" xfId="43078"/>
    <cellStyle name="Normal 6 4 2 2 3 2 2" xfId="58204"/>
    <cellStyle name="Normal 6 4 2 2 3 3" xfId="52057"/>
    <cellStyle name="Normal 6 4 2 2 4" xfId="3228"/>
    <cellStyle name="Normal 6 4 2 2 4 2" xfId="40842"/>
    <cellStyle name="Normal 6 4 2 2 4 2 2" xfId="55969"/>
    <cellStyle name="Normal 6 4 2 2 4 3" xfId="47922"/>
    <cellStyle name="Normal 6 4 2 2 5" xfId="38986"/>
    <cellStyle name="Normal 6 4 2 2 5 2" xfId="54117"/>
    <cellStyle name="Normal 6 4 2 2 6" xfId="46223"/>
    <cellStyle name="Normal 6 4 2 3" xfId="1295"/>
    <cellStyle name="Normal 6 4 2 3 2" xfId="5644"/>
    <cellStyle name="Normal 6 4 2 3 2 2" xfId="44293"/>
    <cellStyle name="Normal 6 4 2 3 2 2 2" xfId="59419"/>
    <cellStyle name="Normal 6 4 2 3 2 3" xfId="42057"/>
    <cellStyle name="Normal 6 4 2 3 2 3 2" xfId="57184"/>
    <cellStyle name="Normal 6 4 2 3 2 4" xfId="39777"/>
    <cellStyle name="Normal 6 4 2 3 2 4 2" xfId="54905"/>
    <cellStyle name="Normal 6 4 2 3 2 5" xfId="50329"/>
    <cellStyle name="Normal 6 4 2 3 3" xfId="12105"/>
    <cellStyle name="Normal 6 4 2 3 3 2" xfId="43429"/>
    <cellStyle name="Normal 6 4 2 3 3 2 2" xfId="58555"/>
    <cellStyle name="Normal 6 4 2 3 3 3" xfId="52359"/>
    <cellStyle name="Normal 6 4 2 3 4" xfId="3578"/>
    <cellStyle name="Normal 6 4 2 3 4 2" xfId="41193"/>
    <cellStyle name="Normal 6 4 2 3 4 2 2" xfId="56320"/>
    <cellStyle name="Normal 6 4 2 3 4 3" xfId="48271"/>
    <cellStyle name="Normal 6 4 2 3 5" xfId="38613"/>
    <cellStyle name="Normal 6 4 2 3 5 2" xfId="53766"/>
    <cellStyle name="Normal 6 4 2 3 6" xfId="46525"/>
    <cellStyle name="Normal 6 4 2 4" xfId="1506"/>
    <cellStyle name="Normal 6 4 2 4 2" xfId="5855"/>
    <cellStyle name="Normal 6 4 2 4 2 2" xfId="43855"/>
    <cellStyle name="Normal 6 4 2 4 2 2 2" xfId="58981"/>
    <cellStyle name="Normal 6 4 2 4 2 3" xfId="50540"/>
    <cellStyle name="Normal 6 4 2 4 3" xfId="12316"/>
    <cellStyle name="Normal 6 4 2 4 3 2" xfId="41619"/>
    <cellStyle name="Normal 6 4 2 4 3 2 2" xfId="56746"/>
    <cellStyle name="Normal 6 4 2 4 3 3" xfId="52570"/>
    <cellStyle name="Normal 6 4 2 4 4" xfId="3805"/>
    <cellStyle name="Normal 6 4 2 4 4 2" xfId="48498"/>
    <cellStyle name="Normal 6 4 2 4 5" xfId="39339"/>
    <cellStyle name="Normal 6 4 2 4 5 2" xfId="54467"/>
    <cellStyle name="Normal 6 4 2 4 6" xfId="46736"/>
    <cellStyle name="Normal 6 4 2 5" xfId="661"/>
    <cellStyle name="Normal 6 4 2 5 2" xfId="5010"/>
    <cellStyle name="Normal 6 4 2 5 2 2" xfId="49695"/>
    <cellStyle name="Normal 6 4 2 5 3" xfId="11471"/>
    <cellStyle name="Normal 6 4 2 5 3 2" xfId="51725"/>
    <cellStyle name="Normal 6 4 2 5 4" xfId="4164"/>
    <cellStyle name="Normal 6 4 2 5 4 2" xfId="48854"/>
    <cellStyle name="Normal 6 4 2 5 5" xfId="42727"/>
    <cellStyle name="Normal 6 4 2 5 5 2" xfId="57854"/>
    <cellStyle name="Normal 6 4 2 5 6" xfId="45891"/>
    <cellStyle name="Normal 6 4 2 6" xfId="1912"/>
    <cellStyle name="Normal 6 4 2 6 2" xfId="12719"/>
    <cellStyle name="Normal 6 4 2 6 2 2" xfId="52972"/>
    <cellStyle name="Normal 6 4 2 6 3" xfId="6259"/>
    <cellStyle name="Normal 6 4 2 6 3 2" xfId="50942"/>
    <cellStyle name="Normal 6 4 2 6 4" xfId="40492"/>
    <cellStyle name="Normal 6 4 2 6 4 2" xfId="55619"/>
    <cellStyle name="Normal 6 4 2 6 5" xfId="47138"/>
    <cellStyle name="Normal 6 4 2 7" xfId="4588"/>
    <cellStyle name="Normal 6 4 2 7 2" xfId="49275"/>
    <cellStyle name="Normal 6 4 2 8" xfId="11051"/>
    <cellStyle name="Normal 6 4 2 8 2" xfId="51305"/>
    <cellStyle name="Normal 6 4 2 9" xfId="2895"/>
    <cellStyle name="Normal 6 4 2 9 2" xfId="47589"/>
    <cellStyle name="Normal 6 4 3" xfId="330"/>
    <cellStyle name="Normal 6 4 3 10" xfId="45560"/>
    <cellStyle name="Normal 6 4 3 2" xfId="1384"/>
    <cellStyle name="Normal 6 4 3 2 2" xfId="5733"/>
    <cellStyle name="Normal 6 4 3 2 2 2" xfId="44720"/>
    <cellStyle name="Normal 6 4 3 2 2 2 2" xfId="59846"/>
    <cellStyle name="Normal 6 4 3 2 2 3" xfId="42484"/>
    <cellStyle name="Normal 6 4 3 2 2 3 2" xfId="57611"/>
    <cellStyle name="Normal 6 4 3 2 2 4" xfId="40204"/>
    <cellStyle name="Normal 6 4 3 2 2 4 2" xfId="55332"/>
    <cellStyle name="Normal 6 4 3 2 2 5" xfId="50418"/>
    <cellStyle name="Normal 6 4 3 2 3" xfId="12194"/>
    <cellStyle name="Normal 6 4 3 2 3 2" xfId="43154"/>
    <cellStyle name="Normal 6 4 3 2 3 2 2" xfId="58280"/>
    <cellStyle name="Normal 6 4 3 2 3 3" xfId="52448"/>
    <cellStyle name="Normal 6 4 3 2 4" xfId="3667"/>
    <cellStyle name="Normal 6 4 3 2 4 2" xfId="40918"/>
    <cellStyle name="Normal 6 4 3 2 4 2 2" xfId="56045"/>
    <cellStyle name="Normal 6 4 3 2 4 3" xfId="48360"/>
    <cellStyle name="Normal 6 4 3 2 5" xfId="39062"/>
    <cellStyle name="Normal 6 4 3 2 5 2" xfId="54193"/>
    <cellStyle name="Normal 6 4 3 2 6" xfId="46614"/>
    <cellStyle name="Normal 6 4 3 3" xfId="1595"/>
    <cellStyle name="Normal 6 4 3 3 2" xfId="5944"/>
    <cellStyle name="Normal 6 4 3 3 2 2" xfId="44369"/>
    <cellStyle name="Normal 6 4 3 3 2 2 2" xfId="59495"/>
    <cellStyle name="Normal 6 4 3 3 2 3" xfId="42133"/>
    <cellStyle name="Normal 6 4 3 3 2 3 2" xfId="57260"/>
    <cellStyle name="Normal 6 4 3 3 2 4" xfId="39853"/>
    <cellStyle name="Normal 6 4 3 3 2 4 2" xfId="54981"/>
    <cellStyle name="Normal 6 4 3 3 2 5" xfId="50629"/>
    <cellStyle name="Normal 6 4 3 3 3" xfId="12405"/>
    <cellStyle name="Normal 6 4 3 3 3 2" xfId="43505"/>
    <cellStyle name="Normal 6 4 3 3 3 2 2" xfId="58631"/>
    <cellStyle name="Normal 6 4 3 3 3 3" xfId="52659"/>
    <cellStyle name="Normal 6 4 3 3 4" xfId="3894"/>
    <cellStyle name="Normal 6 4 3 3 4 2" xfId="41269"/>
    <cellStyle name="Normal 6 4 3 3 4 2 2" xfId="56396"/>
    <cellStyle name="Normal 6 4 3 3 4 3" xfId="48587"/>
    <cellStyle name="Normal 6 4 3 3 5" xfId="38689"/>
    <cellStyle name="Normal 6 4 3 3 5 2" xfId="53842"/>
    <cellStyle name="Normal 6 4 3 3 6" xfId="46825"/>
    <cellStyle name="Normal 6 4 3 4" xfId="1082"/>
    <cellStyle name="Normal 6 4 3 4 2" xfId="5431"/>
    <cellStyle name="Normal 6 4 3 4 2 2" xfId="43931"/>
    <cellStyle name="Normal 6 4 3 4 2 2 2" xfId="59057"/>
    <cellStyle name="Normal 6 4 3 4 2 3" xfId="50116"/>
    <cellStyle name="Normal 6 4 3 4 3" xfId="11892"/>
    <cellStyle name="Normal 6 4 3 4 3 2" xfId="41695"/>
    <cellStyle name="Normal 6 4 3 4 3 2 2" xfId="56822"/>
    <cellStyle name="Normal 6 4 3 4 3 3" xfId="52146"/>
    <cellStyle name="Normal 6 4 3 4 4" xfId="4253"/>
    <cellStyle name="Normal 6 4 3 4 4 2" xfId="48943"/>
    <cellStyle name="Normal 6 4 3 4 5" xfId="39415"/>
    <cellStyle name="Normal 6 4 3 4 5 2" xfId="54543"/>
    <cellStyle name="Normal 6 4 3 4 6" xfId="46312"/>
    <cellStyle name="Normal 6 4 3 5" xfId="1988"/>
    <cellStyle name="Normal 6 4 3 5 2" xfId="12795"/>
    <cellStyle name="Normal 6 4 3 5 2 2" xfId="53048"/>
    <cellStyle name="Normal 6 4 3 5 3" xfId="6335"/>
    <cellStyle name="Normal 6 4 3 5 3 2" xfId="51018"/>
    <cellStyle name="Normal 6 4 3 5 4" xfId="42803"/>
    <cellStyle name="Normal 6 4 3 5 4 2" xfId="57930"/>
    <cellStyle name="Normal 6 4 3 5 5" xfId="47214"/>
    <cellStyle name="Normal 6 4 3 6" xfId="4679"/>
    <cellStyle name="Normal 6 4 3 6 2" xfId="40568"/>
    <cellStyle name="Normal 6 4 3 6 2 2" xfId="55695"/>
    <cellStyle name="Normal 6 4 3 6 3" xfId="49364"/>
    <cellStyle name="Normal 6 4 3 7" xfId="11140"/>
    <cellStyle name="Normal 6 4 3 7 2" xfId="51394"/>
    <cellStyle name="Normal 6 4 3 8" xfId="3317"/>
    <cellStyle name="Normal 6 4 3 8 2" xfId="48011"/>
    <cellStyle name="Normal 6 4 3 9" xfId="38204"/>
    <cellStyle name="Normal 6 4 3 9 2" xfId="53404"/>
    <cellStyle name="Normal 6 4 4" xfId="451"/>
    <cellStyle name="Normal 6 4 4 2" xfId="1716"/>
    <cellStyle name="Normal 6 4 4 2 2" xfId="6065"/>
    <cellStyle name="Normal 6 4 4 2 2 2" xfId="44796"/>
    <cellStyle name="Normal 6 4 4 2 2 2 2" xfId="59922"/>
    <cellStyle name="Normal 6 4 4 2 2 3" xfId="42560"/>
    <cellStyle name="Normal 6 4 4 2 2 3 2" xfId="57687"/>
    <cellStyle name="Normal 6 4 4 2 2 4" xfId="40280"/>
    <cellStyle name="Normal 6 4 4 2 2 4 2" xfId="55408"/>
    <cellStyle name="Normal 6 4 4 2 2 5" xfId="50750"/>
    <cellStyle name="Normal 6 4 4 2 3" xfId="12526"/>
    <cellStyle name="Normal 6 4 4 2 3 2" xfId="43230"/>
    <cellStyle name="Normal 6 4 4 2 3 2 2" xfId="58356"/>
    <cellStyle name="Normal 6 4 4 2 3 3" xfId="52780"/>
    <cellStyle name="Normal 6 4 4 2 4" xfId="4015"/>
    <cellStyle name="Normal 6 4 4 2 4 2" xfId="40994"/>
    <cellStyle name="Normal 6 4 4 2 4 2 2" xfId="56121"/>
    <cellStyle name="Normal 6 4 4 2 4 3" xfId="48708"/>
    <cellStyle name="Normal 6 4 4 2 5" xfId="39138"/>
    <cellStyle name="Normal 6 4 4 2 5 2" xfId="54269"/>
    <cellStyle name="Normal 6 4 4 2 6" xfId="46946"/>
    <cellStyle name="Normal 6 4 4 3" xfId="1203"/>
    <cellStyle name="Normal 6 4 4 3 2" xfId="5552"/>
    <cellStyle name="Normal 6 4 4 3 2 2" xfId="44445"/>
    <cellStyle name="Normal 6 4 4 3 2 2 2" xfId="59571"/>
    <cellStyle name="Normal 6 4 4 3 2 3" xfId="42209"/>
    <cellStyle name="Normal 6 4 4 3 2 3 2" xfId="57336"/>
    <cellStyle name="Normal 6 4 4 3 2 4" xfId="39929"/>
    <cellStyle name="Normal 6 4 4 3 2 4 2" xfId="55057"/>
    <cellStyle name="Normal 6 4 4 3 2 5" xfId="50237"/>
    <cellStyle name="Normal 6 4 4 3 3" xfId="12013"/>
    <cellStyle name="Normal 6 4 4 3 3 2" xfId="43581"/>
    <cellStyle name="Normal 6 4 4 3 3 2 2" xfId="58707"/>
    <cellStyle name="Normal 6 4 4 3 3 3" xfId="52267"/>
    <cellStyle name="Normal 6 4 4 3 4" xfId="4374"/>
    <cellStyle name="Normal 6 4 4 3 4 2" xfId="41345"/>
    <cellStyle name="Normal 6 4 4 3 4 2 2" xfId="56472"/>
    <cellStyle name="Normal 6 4 4 3 4 3" xfId="49064"/>
    <cellStyle name="Normal 6 4 4 3 5" xfId="38765"/>
    <cellStyle name="Normal 6 4 4 3 5 2" xfId="53918"/>
    <cellStyle name="Normal 6 4 4 3 6" xfId="46433"/>
    <cellStyle name="Normal 6 4 4 4" xfId="2065"/>
    <cellStyle name="Normal 6 4 4 4 2" xfId="12871"/>
    <cellStyle name="Normal 6 4 4 4 2 2" xfId="44007"/>
    <cellStyle name="Normal 6 4 4 4 2 2 2" xfId="59133"/>
    <cellStyle name="Normal 6 4 4 4 2 3" xfId="53124"/>
    <cellStyle name="Normal 6 4 4 4 3" xfId="6411"/>
    <cellStyle name="Normal 6 4 4 4 3 2" xfId="41771"/>
    <cellStyle name="Normal 6 4 4 4 3 2 2" xfId="56898"/>
    <cellStyle name="Normal 6 4 4 4 3 3" xfId="51094"/>
    <cellStyle name="Normal 6 4 4 4 4" xfId="39491"/>
    <cellStyle name="Normal 6 4 4 4 4 2" xfId="54619"/>
    <cellStyle name="Normal 6 4 4 4 5" xfId="47290"/>
    <cellStyle name="Normal 6 4 4 5" xfId="4800"/>
    <cellStyle name="Normal 6 4 4 5 2" xfId="42879"/>
    <cellStyle name="Normal 6 4 4 5 2 2" xfId="58006"/>
    <cellStyle name="Normal 6 4 4 5 3" xfId="49485"/>
    <cellStyle name="Normal 6 4 4 6" xfId="11261"/>
    <cellStyle name="Normal 6 4 4 6 2" xfId="40644"/>
    <cellStyle name="Normal 6 4 4 6 2 2" xfId="55771"/>
    <cellStyle name="Normal 6 4 4 6 3" xfId="51515"/>
    <cellStyle name="Normal 6 4 4 7" xfId="3438"/>
    <cellStyle name="Normal 6 4 4 7 2" xfId="48132"/>
    <cellStyle name="Normal 6 4 4 8" xfId="38280"/>
    <cellStyle name="Normal 6 4 4 8 2" xfId="53480"/>
    <cellStyle name="Normal 6 4 4 9" xfId="45681"/>
    <cellStyle name="Normal 6 4 5" xfId="905"/>
    <cellStyle name="Normal 6 4 5 2" xfId="5254"/>
    <cellStyle name="Normal 6 4 5 2 2" xfId="40052"/>
    <cellStyle name="Normal 6 4 5 2 2 2" xfId="44568"/>
    <cellStyle name="Normal 6 4 5 2 2 2 2" xfId="59694"/>
    <cellStyle name="Normal 6 4 5 2 2 3" xfId="42332"/>
    <cellStyle name="Normal 6 4 5 2 2 3 2" xfId="57459"/>
    <cellStyle name="Normal 6 4 5 2 2 4" xfId="55180"/>
    <cellStyle name="Normal 6 4 5 2 3" xfId="43683"/>
    <cellStyle name="Normal 6 4 5 2 3 2" xfId="58809"/>
    <cellStyle name="Normal 6 4 5 2 4" xfId="41447"/>
    <cellStyle name="Normal 6 4 5 2 4 2" xfId="56574"/>
    <cellStyle name="Normal 6 4 5 2 5" xfId="38909"/>
    <cellStyle name="Normal 6 4 5 2 5 2" xfId="54041"/>
    <cellStyle name="Normal 6 4 5 2 6" xfId="49939"/>
    <cellStyle name="Normal 6 4 5 3" xfId="11715"/>
    <cellStyle name="Normal 6 4 5 3 2" xfId="44091"/>
    <cellStyle name="Normal 6 4 5 3 2 2" xfId="59217"/>
    <cellStyle name="Normal 6 4 5 3 3" xfId="41855"/>
    <cellStyle name="Normal 6 4 5 3 3 2" xfId="56982"/>
    <cellStyle name="Normal 6 4 5 3 4" xfId="39575"/>
    <cellStyle name="Normal 6 4 5 3 4 2" xfId="54703"/>
    <cellStyle name="Normal 6 4 5 3 5" xfId="51969"/>
    <cellStyle name="Normal 6 4 5 4" xfId="3140"/>
    <cellStyle name="Normal 6 4 5 4 2" xfId="43002"/>
    <cellStyle name="Normal 6 4 5 4 2 2" xfId="58128"/>
    <cellStyle name="Normal 6 4 5 4 3" xfId="47834"/>
    <cellStyle name="Normal 6 4 5 5" xfId="40766"/>
    <cellStyle name="Normal 6 4 5 5 2" xfId="55893"/>
    <cellStyle name="Normal 6 4 5 6" xfId="38405"/>
    <cellStyle name="Normal 6 4 5 6 2" xfId="53564"/>
    <cellStyle name="Normal 6 4 5 7" xfId="46135"/>
    <cellStyle name="Normal 6 4 6" xfId="782"/>
    <cellStyle name="Normal 6 4 6 2" xfId="5131"/>
    <cellStyle name="Normal 6 4 6 2 2" xfId="44217"/>
    <cellStyle name="Normal 6 4 6 2 2 2" xfId="59343"/>
    <cellStyle name="Normal 6 4 6 2 3" xfId="41981"/>
    <cellStyle name="Normal 6 4 6 2 3 2" xfId="57108"/>
    <cellStyle name="Normal 6 4 6 2 4" xfId="39701"/>
    <cellStyle name="Normal 6 4 6 2 4 2" xfId="54829"/>
    <cellStyle name="Normal 6 4 6 2 5" xfId="49816"/>
    <cellStyle name="Normal 6 4 6 3" xfId="11592"/>
    <cellStyle name="Normal 6 4 6 3 2" xfId="43353"/>
    <cellStyle name="Normal 6 4 6 3 2 2" xfId="58479"/>
    <cellStyle name="Normal 6 4 6 3 3" xfId="51846"/>
    <cellStyle name="Normal 6 4 6 4" xfId="3017"/>
    <cellStyle name="Normal 6 4 6 4 2" xfId="41117"/>
    <cellStyle name="Normal 6 4 6 4 2 2" xfId="56244"/>
    <cellStyle name="Normal 6 4 6 4 3" xfId="47711"/>
    <cellStyle name="Normal 6 4 6 5" xfId="38535"/>
    <cellStyle name="Normal 6 4 6 5 2" xfId="53690"/>
    <cellStyle name="Normal 6 4 6 6" xfId="46012"/>
    <cellStyle name="Normal 6 4 7" xfId="572"/>
    <cellStyle name="Normal 6 4 7 2" xfId="4921"/>
    <cellStyle name="Normal 6 4 7 2 2" xfId="43779"/>
    <cellStyle name="Normal 6 4 7 2 2 2" xfId="58905"/>
    <cellStyle name="Normal 6 4 7 2 3" xfId="49606"/>
    <cellStyle name="Normal 6 4 7 3" xfId="11382"/>
    <cellStyle name="Normal 6 4 7 3 2" xfId="41543"/>
    <cellStyle name="Normal 6 4 7 3 2 2" xfId="56670"/>
    <cellStyle name="Normal 6 4 7 3 3" xfId="51636"/>
    <cellStyle name="Normal 6 4 7 4" xfId="3476"/>
    <cellStyle name="Normal 6 4 7 4 2" xfId="48170"/>
    <cellStyle name="Normal 6 4 7 5" xfId="39263"/>
    <cellStyle name="Normal 6 4 7 5 2" xfId="54391"/>
    <cellStyle name="Normal 6 4 7 6" xfId="45802"/>
    <cellStyle name="Normal 6 4 8" xfId="1833"/>
    <cellStyle name="Normal 6 4 8 2" xfId="12642"/>
    <cellStyle name="Normal 6 4 8 2 2" xfId="52896"/>
    <cellStyle name="Normal 6 4 8 3" xfId="6181"/>
    <cellStyle name="Normal 6 4 8 3 2" xfId="50866"/>
    <cellStyle name="Normal 6 4 8 4" xfId="42651"/>
    <cellStyle name="Normal 6 4 8 4 2" xfId="57778"/>
    <cellStyle name="Normal 6 4 8 5" xfId="47062"/>
    <cellStyle name="Normal 6 4 9" xfId="2647"/>
    <cellStyle name="Normal 6 4 9 2" xfId="4497"/>
    <cellStyle name="Normal 6 4 9 2 2" xfId="49187"/>
    <cellStyle name="Normal 6 4 9 3" xfId="40416"/>
    <cellStyle name="Normal 6 4 9 3 2" xfId="55543"/>
    <cellStyle name="Normal 6 4 9 4" xfId="47379"/>
    <cellStyle name="Normal 6 5" xfId="132"/>
    <cellStyle name="Normal 6 5 10" xfId="38045"/>
    <cellStyle name="Normal 6 5 10 2" xfId="53245"/>
    <cellStyle name="Normal 6 5 11" xfId="45376"/>
    <cellStyle name="Normal 6 5 2" xfId="444"/>
    <cellStyle name="Normal 6 5 2 2" xfId="1436"/>
    <cellStyle name="Normal 6 5 2 2 2" xfId="5785"/>
    <cellStyle name="Normal 6 5 2 2 2 2" xfId="44561"/>
    <cellStyle name="Normal 6 5 2 2 2 2 2" xfId="59687"/>
    <cellStyle name="Normal 6 5 2 2 2 3" xfId="50470"/>
    <cellStyle name="Normal 6 5 2 2 3" xfId="12246"/>
    <cellStyle name="Normal 6 5 2 2 3 2" xfId="42325"/>
    <cellStyle name="Normal 6 5 2 2 3 2 2" xfId="57452"/>
    <cellStyle name="Normal 6 5 2 2 3 3" xfId="52500"/>
    <cellStyle name="Normal 6 5 2 2 4" xfId="3719"/>
    <cellStyle name="Normal 6 5 2 2 4 2" xfId="48412"/>
    <cellStyle name="Normal 6 5 2 2 5" xfId="40045"/>
    <cellStyle name="Normal 6 5 2 2 5 2" xfId="55173"/>
    <cellStyle name="Normal 6 5 2 2 6" xfId="46666"/>
    <cellStyle name="Normal 6 5 2 3" xfId="1709"/>
    <cellStyle name="Normal 6 5 2 3 2" xfId="6058"/>
    <cellStyle name="Normal 6 5 2 3 2 2" xfId="50743"/>
    <cellStyle name="Normal 6 5 2 3 3" xfId="12519"/>
    <cellStyle name="Normal 6 5 2 3 3 2" xfId="52773"/>
    <cellStyle name="Normal 6 5 2 3 4" xfId="4008"/>
    <cellStyle name="Normal 6 5 2 3 4 2" xfId="48701"/>
    <cellStyle name="Normal 6 5 2 3 5" xfId="42995"/>
    <cellStyle name="Normal 6 5 2 3 5 2" xfId="58121"/>
    <cellStyle name="Normal 6 5 2 3 6" xfId="46939"/>
    <cellStyle name="Normal 6 5 2 4" xfId="1196"/>
    <cellStyle name="Normal 6 5 2 4 2" xfId="5545"/>
    <cellStyle name="Normal 6 5 2 4 2 2" xfId="50230"/>
    <cellStyle name="Normal 6 5 2 4 3" xfId="12006"/>
    <cellStyle name="Normal 6 5 2 4 3 2" xfId="52260"/>
    <cellStyle name="Normal 6 5 2 4 4" xfId="4367"/>
    <cellStyle name="Normal 6 5 2 4 4 2" xfId="49057"/>
    <cellStyle name="Normal 6 5 2 4 5" xfId="40759"/>
    <cellStyle name="Normal 6 5 2 4 5 2" xfId="55886"/>
    <cellStyle name="Normal 6 5 2 4 6" xfId="46426"/>
    <cellStyle name="Normal 6 5 2 5" xfId="4793"/>
    <cellStyle name="Normal 6 5 2 5 2" xfId="49478"/>
    <cellStyle name="Normal 6 5 2 6" xfId="11254"/>
    <cellStyle name="Normal 6 5 2 6 2" xfId="51508"/>
    <cellStyle name="Normal 6 5 2 7" xfId="3431"/>
    <cellStyle name="Normal 6 5 2 7 2" xfId="48125"/>
    <cellStyle name="Normal 6 5 2 8" xfId="38902"/>
    <cellStyle name="Normal 6 5 2 8 2" xfId="54034"/>
    <cellStyle name="Normal 6 5 2 9" xfId="45674"/>
    <cellStyle name="Normal 6 5 3" xfId="898"/>
    <cellStyle name="Normal 6 5 3 2" xfId="5247"/>
    <cellStyle name="Normal 6 5 3 2 2" xfId="44210"/>
    <cellStyle name="Normal 6 5 3 2 2 2" xfId="59336"/>
    <cellStyle name="Normal 6 5 3 2 3" xfId="41974"/>
    <cellStyle name="Normal 6 5 3 2 3 2" xfId="57101"/>
    <cellStyle name="Normal 6 5 3 2 4" xfId="39694"/>
    <cellStyle name="Normal 6 5 3 2 4 2" xfId="54822"/>
    <cellStyle name="Normal 6 5 3 2 5" xfId="49932"/>
    <cellStyle name="Normal 6 5 3 3" xfId="11708"/>
    <cellStyle name="Normal 6 5 3 3 2" xfId="43346"/>
    <cellStyle name="Normal 6 5 3 3 2 2" xfId="58472"/>
    <cellStyle name="Normal 6 5 3 3 3" xfId="51962"/>
    <cellStyle name="Normal 6 5 3 4" xfId="3133"/>
    <cellStyle name="Normal 6 5 3 4 2" xfId="41110"/>
    <cellStyle name="Normal 6 5 3 4 2 2" xfId="56237"/>
    <cellStyle name="Normal 6 5 3 4 3" xfId="47827"/>
    <cellStyle name="Normal 6 5 3 5" xfId="38528"/>
    <cellStyle name="Normal 6 5 3 5 2" xfId="53683"/>
    <cellStyle name="Normal 6 5 3 6" xfId="46128"/>
    <cellStyle name="Normal 6 5 4" xfId="775"/>
    <cellStyle name="Normal 6 5 4 2" xfId="5124"/>
    <cellStyle name="Normal 6 5 4 2 2" xfId="43772"/>
    <cellStyle name="Normal 6 5 4 2 2 2" xfId="58898"/>
    <cellStyle name="Normal 6 5 4 2 3" xfId="49809"/>
    <cellStyle name="Normal 6 5 4 3" xfId="11585"/>
    <cellStyle name="Normal 6 5 4 3 2" xfId="41536"/>
    <cellStyle name="Normal 6 5 4 3 2 2" xfId="56663"/>
    <cellStyle name="Normal 6 5 4 3 3" xfId="51839"/>
    <cellStyle name="Normal 6 5 4 4" xfId="3010"/>
    <cellStyle name="Normal 6 5 4 4 2" xfId="47704"/>
    <cellStyle name="Normal 6 5 4 5" xfId="39256"/>
    <cellStyle name="Normal 6 5 4 5 2" xfId="54384"/>
    <cellStyle name="Normal 6 5 4 6" xfId="46005"/>
    <cellStyle name="Normal 6 5 5" xfId="565"/>
    <cellStyle name="Normal 6 5 5 2" xfId="4914"/>
    <cellStyle name="Normal 6 5 5 2 2" xfId="49599"/>
    <cellStyle name="Normal 6 5 5 3" xfId="11375"/>
    <cellStyle name="Normal 6 5 5 3 2" xfId="51629"/>
    <cellStyle name="Normal 6 5 5 4" xfId="3743"/>
    <cellStyle name="Normal 6 5 5 4 2" xfId="48436"/>
    <cellStyle name="Normal 6 5 5 5" xfId="42644"/>
    <cellStyle name="Normal 6 5 5 5 2" xfId="57771"/>
    <cellStyle name="Normal 6 5 5 6" xfId="45795"/>
    <cellStyle name="Normal 6 5 6" xfId="1826"/>
    <cellStyle name="Normal 6 5 6 2" xfId="12635"/>
    <cellStyle name="Normal 6 5 6 2 2" xfId="52889"/>
    <cellStyle name="Normal 6 5 6 3" xfId="6174"/>
    <cellStyle name="Normal 6 5 6 3 2" xfId="50859"/>
    <cellStyle name="Normal 6 5 6 4" xfId="40409"/>
    <cellStyle name="Normal 6 5 6 4 2" xfId="55536"/>
    <cellStyle name="Normal 6 5 6 5" xfId="47055"/>
    <cellStyle name="Normal 6 5 7" xfId="4490"/>
    <cellStyle name="Normal 6 5 7 2" xfId="49180"/>
    <cellStyle name="Normal 6 5 8" xfId="10956"/>
    <cellStyle name="Normal 6 5 8 2" xfId="51210"/>
    <cellStyle name="Normal 6 5 9" xfId="2793"/>
    <cellStyle name="Normal 6 5 9 2" xfId="47493"/>
    <cellStyle name="Normal 6 6" xfId="232"/>
    <cellStyle name="Normal 6 6 10" xfId="38121"/>
    <cellStyle name="Normal 6 6 10 2" xfId="53321"/>
    <cellStyle name="Normal 6 6 11" xfId="45464"/>
    <cellStyle name="Normal 6 6 2" xfId="986"/>
    <cellStyle name="Normal 6 6 2 2" xfId="5335"/>
    <cellStyle name="Normal 6 6 2 2 2" xfId="44637"/>
    <cellStyle name="Normal 6 6 2 2 2 2" xfId="59763"/>
    <cellStyle name="Normal 6 6 2 2 3" xfId="42401"/>
    <cellStyle name="Normal 6 6 2 2 3 2" xfId="57528"/>
    <cellStyle name="Normal 6 6 2 2 4" xfId="40121"/>
    <cellStyle name="Normal 6 6 2 2 4 2" xfId="55249"/>
    <cellStyle name="Normal 6 6 2 2 5" xfId="50020"/>
    <cellStyle name="Normal 6 6 2 3" xfId="11796"/>
    <cellStyle name="Normal 6 6 2 3 2" xfId="43071"/>
    <cellStyle name="Normal 6 6 2 3 2 2" xfId="58197"/>
    <cellStyle name="Normal 6 6 2 3 3" xfId="52050"/>
    <cellStyle name="Normal 6 6 2 4" xfId="3221"/>
    <cellStyle name="Normal 6 6 2 4 2" xfId="40835"/>
    <cellStyle name="Normal 6 6 2 4 2 2" xfId="55962"/>
    <cellStyle name="Normal 6 6 2 4 3" xfId="47915"/>
    <cellStyle name="Normal 6 6 2 5" xfId="38979"/>
    <cellStyle name="Normal 6 6 2 5 2" xfId="54110"/>
    <cellStyle name="Normal 6 6 2 6" xfId="46216"/>
    <cellStyle name="Normal 6 6 3" xfId="1288"/>
    <cellStyle name="Normal 6 6 3 2" xfId="5637"/>
    <cellStyle name="Normal 6 6 3 2 2" xfId="44286"/>
    <cellStyle name="Normal 6 6 3 2 2 2" xfId="59412"/>
    <cellStyle name="Normal 6 6 3 2 3" xfId="42050"/>
    <cellStyle name="Normal 6 6 3 2 3 2" xfId="57177"/>
    <cellStyle name="Normal 6 6 3 2 4" xfId="39770"/>
    <cellStyle name="Normal 6 6 3 2 4 2" xfId="54898"/>
    <cellStyle name="Normal 6 6 3 2 5" xfId="50322"/>
    <cellStyle name="Normal 6 6 3 3" xfId="12098"/>
    <cellStyle name="Normal 6 6 3 3 2" xfId="43422"/>
    <cellStyle name="Normal 6 6 3 3 2 2" xfId="58548"/>
    <cellStyle name="Normal 6 6 3 3 3" xfId="52352"/>
    <cellStyle name="Normal 6 6 3 4" xfId="3571"/>
    <cellStyle name="Normal 6 6 3 4 2" xfId="41186"/>
    <cellStyle name="Normal 6 6 3 4 2 2" xfId="56313"/>
    <cellStyle name="Normal 6 6 3 4 3" xfId="48264"/>
    <cellStyle name="Normal 6 6 3 5" xfId="38606"/>
    <cellStyle name="Normal 6 6 3 5 2" xfId="53759"/>
    <cellStyle name="Normal 6 6 3 6" xfId="46518"/>
    <cellStyle name="Normal 6 6 4" xfId="1499"/>
    <cellStyle name="Normal 6 6 4 2" xfId="5848"/>
    <cellStyle name="Normal 6 6 4 2 2" xfId="43848"/>
    <cellStyle name="Normal 6 6 4 2 2 2" xfId="58974"/>
    <cellStyle name="Normal 6 6 4 2 3" xfId="50533"/>
    <cellStyle name="Normal 6 6 4 3" xfId="12309"/>
    <cellStyle name="Normal 6 6 4 3 2" xfId="41612"/>
    <cellStyle name="Normal 6 6 4 3 2 2" xfId="56739"/>
    <cellStyle name="Normal 6 6 4 3 3" xfId="52563"/>
    <cellStyle name="Normal 6 6 4 4" xfId="3798"/>
    <cellStyle name="Normal 6 6 4 4 2" xfId="48491"/>
    <cellStyle name="Normal 6 6 4 5" xfId="39332"/>
    <cellStyle name="Normal 6 6 4 5 2" xfId="54460"/>
    <cellStyle name="Normal 6 6 4 6" xfId="46729"/>
    <cellStyle name="Normal 6 6 5" xfId="654"/>
    <cellStyle name="Normal 6 6 5 2" xfId="5003"/>
    <cellStyle name="Normal 6 6 5 2 2" xfId="49688"/>
    <cellStyle name="Normal 6 6 5 3" xfId="11464"/>
    <cellStyle name="Normal 6 6 5 3 2" xfId="51718"/>
    <cellStyle name="Normal 6 6 5 4" xfId="4157"/>
    <cellStyle name="Normal 6 6 5 4 2" xfId="48847"/>
    <cellStyle name="Normal 6 6 5 5" xfId="42720"/>
    <cellStyle name="Normal 6 6 5 5 2" xfId="57847"/>
    <cellStyle name="Normal 6 6 5 6" xfId="45884"/>
    <cellStyle name="Normal 6 6 6" xfId="1905"/>
    <cellStyle name="Normal 6 6 6 2" xfId="12712"/>
    <cellStyle name="Normal 6 6 6 2 2" xfId="52965"/>
    <cellStyle name="Normal 6 6 6 3" xfId="6252"/>
    <cellStyle name="Normal 6 6 6 3 2" xfId="50935"/>
    <cellStyle name="Normal 6 6 6 4" xfId="40485"/>
    <cellStyle name="Normal 6 6 6 4 2" xfId="55612"/>
    <cellStyle name="Normal 6 6 6 5" xfId="47131"/>
    <cellStyle name="Normal 6 6 7" xfId="4581"/>
    <cellStyle name="Normal 6 6 7 2" xfId="49268"/>
    <cellStyle name="Normal 6 6 8" xfId="11044"/>
    <cellStyle name="Normal 6 6 8 2" xfId="51298"/>
    <cellStyle name="Normal 6 6 9" xfId="2888"/>
    <cellStyle name="Normal 6 6 9 2" xfId="47582"/>
    <cellStyle name="Normal 6 7" xfId="323"/>
    <cellStyle name="Normal 6 7 10" xfId="45553"/>
    <cellStyle name="Normal 6 7 2" xfId="1377"/>
    <cellStyle name="Normal 6 7 2 2" xfId="5726"/>
    <cellStyle name="Normal 6 7 2 2 2" xfId="44713"/>
    <cellStyle name="Normal 6 7 2 2 2 2" xfId="59839"/>
    <cellStyle name="Normal 6 7 2 2 3" xfId="42477"/>
    <cellStyle name="Normal 6 7 2 2 3 2" xfId="57604"/>
    <cellStyle name="Normal 6 7 2 2 4" xfId="40197"/>
    <cellStyle name="Normal 6 7 2 2 4 2" xfId="55325"/>
    <cellStyle name="Normal 6 7 2 2 5" xfId="50411"/>
    <cellStyle name="Normal 6 7 2 3" xfId="12187"/>
    <cellStyle name="Normal 6 7 2 3 2" xfId="43147"/>
    <cellStyle name="Normal 6 7 2 3 2 2" xfId="58273"/>
    <cellStyle name="Normal 6 7 2 3 3" xfId="52441"/>
    <cellStyle name="Normal 6 7 2 4" xfId="3660"/>
    <cellStyle name="Normal 6 7 2 4 2" xfId="40911"/>
    <cellStyle name="Normal 6 7 2 4 2 2" xfId="56038"/>
    <cellStyle name="Normal 6 7 2 4 3" xfId="48353"/>
    <cellStyle name="Normal 6 7 2 5" xfId="39055"/>
    <cellStyle name="Normal 6 7 2 5 2" xfId="54186"/>
    <cellStyle name="Normal 6 7 2 6" xfId="46607"/>
    <cellStyle name="Normal 6 7 3" xfId="1588"/>
    <cellStyle name="Normal 6 7 3 2" xfId="5937"/>
    <cellStyle name="Normal 6 7 3 2 2" xfId="44362"/>
    <cellStyle name="Normal 6 7 3 2 2 2" xfId="59488"/>
    <cellStyle name="Normal 6 7 3 2 3" xfId="42126"/>
    <cellStyle name="Normal 6 7 3 2 3 2" xfId="57253"/>
    <cellStyle name="Normal 6 7 3 2 4" xfId="39846"/>
    <cellStyle name="Normal 6 7 3 2 4 2" xfId="54974"/>
    <cellStyle name="Normal 6 7 3 2 5" xfId="50622"/>
    <cellStyle name="Normal 6 7 3 3" xfId="12398"/>
    <cellStyle name="Normal 6 7 3 3 2" xfId="43498"/>
    <cellStyle name="Normal 6 7 3 3 2 2" xfId="58624"/>
    <cellStyle name="Normal 6 7 3 3 3" xfId="52652"/>
    <cellStyle name="Normal 6 7 3 4" xfId="3887"/>
    <cellStyle name="Normal 6 7 3 4 2" xfId="41262"/>
    <cellStyle name="Normal 6 7 3 4 2 2" xfId="56389"/>
    <cellStyle name="Normal 6 7 3 4 3" xfId="48580"/>
    <cellStyle name="Normal 6 7 3 5" xfId="38682"/>
    <cellStyle name="Normal 6 7 3 5 2" xfId="53835"/>
    <cellStyle name="Normal 6 7 3 6" xfId="46818"/>
    <cellStyle name="Normal 6 7 4" xfId="1075"/>
    <cellStyle name="Normal 6 7 4 2" xfId="5424"/>
    <cellStyle name="Normal 6 7 4 2 2" xfId="43924"/>
    <cellStyle name="Normal 6 7 4 2 2 2" xfId="59050"/>
    <cellStyle name="Normal 6 7 4 2 3" xfId="50109"/>
    <cellStyle name="Normal 6 7 4 3" xfId="11885"/>
    <cellStyle name="Normal 6 7 4 3 2" xfId="41688"/>
    <cellStyle name="Normal 6 7 4 3 2 2" xfId="56815"/>
    <cellStyle name="Normal 6 7 4 3 3" xfId="52139"/>
    <cellStyle name="Normal 6 7 4 4" xfId="4246"/>
    <cellStyle name="Normal 6 7 4 4 2" xfId="48936"/>
    <cellStyle name="Normal 6 7 4 5" xfId="39408"/>
    <cellStyle name="Normal 6 7 4 5 2" xfId="54536"/>
    <cellStyle name="Normal 6 7 4 6" xfId="46305"/>
    <cellStyle name="Normal 6 7 5" xfId="1981"/>
    <cellStyle name="Normal 6 7 5 2" xfId="12788"/>
    <cellStyle name="Normal 6 7 5 2 2" xfId="53041"/>
    <cellStyle name="Normal 6 7 5 3" xfId="6328"/>
    <cellStyle name="Normal 6 7 5 3 2" xfId="51011"/>
    <cellStyle name="Normal 6 7 5 4" xfId="42796"/>
    <cellStyle name="Normal 6 7 5 4 2" xfId="57923"/>
    <cellStyle name="Normal 6 7 5 5" xfId="47207"/>
    <cellStyle name="Normal 6 7 6" xfId="4672"/>
    <cellStyle name="Normal 6 7 6 2" xfId="40561"/>
    <cellStyle name="Normal 6 7 6 2 2" xfId="55688"/>
    <cellStyle name="Normal 6 7 6 3" xfId="49357"/>
    <cellStyle name="Normal 6 7 7" xfId="11133"/>
    <cellStyle name="Normal 6 7 7 2" xfId="51387"/>
    <cellStyle name="Normal 6 7 8" xfId="3310"/>
    <cellStyle name="Normal 6 7 8 2" xfId="48004"/>
    <cellStyle name="Normal 6 7 9" xfId="38197"/>
    <cellStyle name="Normal 6 7 9 2" xfId="53397"/>
    <cellStyle name="Normal 6 8" xfId="371"/>
    <cellStyle name="Normal 6 8 2" xfId="1636"/>
    <cellStyle name="Normal 6 8 2 2" xfId="5985"/>
    <cellStyle name="Normal 6 8 2 2 2" xfId="44789"/>
    <cellStyle name="Normal 6 8 2 2 2 2" xfId="59915"/>
    <cellStyle name="Normal 6 8 2 2 3" xfId="42553"/>
    <cellStyle name="Normal 6 8 2 2 3 2" xfId="57680"/>
    <cellStyle name="Normal 6 8 2 2 4" xfId="40273"/>
    <cellStyle name="Normal 6 8 2 2 4 2" xfId="55401"/>
    <cellStyle name="Normal 6 8 2 2 5" xfId="50670"/>
    <cellStyle name="Normal 6 8 2 3" xfId="12446"/>
    <cellStyle name="Normal 6 8 2 3 2" xfId="43223"/>
    <cellStyle name="Normal 6 8 2 3 2 2" xfId="58349"/>
    <cellStyle name="Normal 6 8 2 3 3" xfId="52700"/>
    <cellStyle name="Normal 6 8 2 4" xfId="3935"/>
    <cellStyle name="Normal 6 8 2 4 2" xfId="40987"/>
    <cellStyle name="Normal 6 8 2 4 2 2" xfId="56114"/>
    <cellStyle name="Normal 6 8 2 4 3" xfId="48628"/>
    <cellStyle name="Normal 6 8 2 5" xfId="39131"/>
    <cellStyle name="Normal 6 8 2 5 2" xfId="54262"/>
    <cellStyle name="Normal 6 8 2 6" xfId="46866"/>
    <cellStyle name="Normal 6 8 3" xfId="1123"/>
    <cellStyle name="Normal 6 8 3 2" xfId="5472"/>
    <cellStyle name="Normal 6 8 3 2 2" xfId="44438"/>
    <cellStyle name="Normal 6 8 3 2 2 2" xfId="59564"/>
    <cellStyle name="Normal 6 8 3 2 3" xfId="42202"/>
    <cellStyle name="Normal 6 8 3 2 3 2" xfId="57329"/>
    <cellStyle name="Normal 6 8 3 2 4" xfId="39922"/>
    <cellStyle name="Normal 6 8 3 2 4 2" xfId="55050"/>
    <cellStyle name="Normal 6 8 3 2 5" xfId="50157"/>
    <cellStyle name="Normal 6 8 3 3" xfId="11933"/>
    <cellStyle name="Normal 6 8 3 3 2" xfId="43574"/>
    <cellStyle name="Normal 6 8 3 3 2 2" xfId="58700"/>
    <cellStyle name="Normal 6 8 3 3 3" xfId="52187"/>
    <cellStyle name="Normal 6 8 3 4" xfId="4294"/>
    <cellStyle name="Normal 6 8 3 4 2" xfId="41338"/>
    <cellStyle name="Normal 6 8 3 4 2 2" xfId="56465"/>
    <cellStyle name="Normal 6 8 3 4 3" xfId="48984"/>
    <cellStyle name="Normal 6 8 3 5" xfId="38758"/>
    <cellStyle name="Normal 6 8 3 5 2" xfId="53911"/>
    <cellStyle name="Normal 6 8 3 6" xfId="46353"/>
    <cellStyle name="Normal 6 8 4" xfId="2058"/>
    <cellStyle name="Normal 6 8 4 2" xfId="12864"/>
    <cellStyle name="Normal 6 8 4 2 2" xfId="44000"/>
    <cellStyle name="Normal 6 8 4 2 2 2" xfId="59126"/>
    <cellStyle name="Normal 6 8 4 2 3" xfId="53117"/>
    <cellStyle name="Normal 6 8 4 3" xfId="6404"/>
    <cellStyle name="Normal 6 8 4 3 2" xfId="41764"/>
    <cellStyle name="Normal 6 8 4 3 2 2" xfId="56891"/>
    <cellStyle name="Normal 6 8 4 3 3" xfId="51087"/>
    <cellStyle name="Normal 6 8 4 4" xfId="39484"/>
    <cellStyle name="Normal 6 8 4 4 2" xfId="54612"/>
    <cellStyle name="Normal 6 8 4 5" xfId="47283"/>
    <cellStyle name="Normal 6 8 5" xfId="4720"/>
    <cellStyle name="Normal 6 8 5 2" xfId="42872"/>
    <cellStyle name="Normal 6 8 5 2 2" xfId="57999"/>
    <cellStyle name="Normal 6 8 5 3" xfId="49405"/>
    <cellStyle name="Normal 6 8 6" xfId="11181"/>
    <cellStyle name="Normal 6 8 6 2" xfId="40637"/>
    <cellStyle name="Normal 6 8 6 2 2" xfId="55764"/>
    <cellStyle name="Normal 6 8 6 3" xfId="51435"/>
    <cellStyle name="Normal 6 8 7" xfId="3358"/>
    <cellStyle name="Normal 6 8 7 2" xfId="48052"/>
    <cellStyle name="Normal 6 8 8" xfId="38273"/>
    <cellStyle name="Normal 6 8 8 2" xfId="53473"/>
    <cellStyle name="Normal 6 8 9" xfId="45601"/>
    <cellStyle name="Normal 6 9" xfId="823"/>
    <cellStyle name="Normal 6 9 2" xfId="5172"/>
    <cellStyle name="Normal 6 9 2 2" xfId="40320"/>
    <cellStyle name="Normal 6 9 2 2 2" xfId="44836"/>
    <cellStyle name="Normal 6 9 2 2 2 2" xfId="59962"/>
    <cellStyle name="Normal 6 9 2 2 3" xfId="42600"/>
    <cellStyle name="Normal 6 9 2 2 3 2" xfId="57727"/>
    <cellStyle name="Normal 6 9 2 2 4" xfId="55448"/>
    <cellStyle name="Normal 6 9 2 3" xfId="43270"/>
    <cellStyle name="Normal 6 9 2 3 2" xfId="58396"/>
    <cellStyle name="Normal 6 9 2 4" xfId="41034"/>
    <cellStyle name="Normal 6 9 2 4 2" xfId="56161"/>
    <cellStyle name="Normal 6 9 2 5" xfId="39179"/>
    <cellStyle name="Normal 6 9 2 5 2" xfId="54309"/>
    <cellStyle name="Normal 6 9 2 6" xfId="49857"/>
    <cellStyle name="Normal 6 9 3" xfId="11633"/>
    <cellStyle name="Normal 6 9 3 2" xfId="39969"/>
    <cellStyle name="Normal 6 9 3 2 2" xfId="44485"/>
    <cellStyle name="Normal 6 9 3 2 2 2" xfId="59611"/>
    <cellStyle name="Normal 6 9 3 2 3" xfId="42249"/>
    <cellStyle name="Normal 6 9 3 2 3 2" xfId="57376"/>
    <cellStyle name="Normal 6 9 3 2 4" xfId="55097"/>
    <cellStyle name="Normal 6 9 3 3" xfId="43621"/>
    <cellStyle name="Normal 6 9 3 3 2" xfId="58747"/>
    <cellStyle name="Normal 6 9 3 4" xfId="41385"/>
    <cellStyle name="Normal 6 9 3 4 2" xfId="56512"/>
    <cellStyle name="Normal 6 9 3 5" xfId="38805"/>
    <cellStyle name="Normal 6 9 3 5 2" xfId="53958"/>
    <cellStyle name="Normal 6 9 3 6" xfId="51887"/>
    <cellStyle name="Normal 6 9 4" xfId="3058"/>
    <cellStyle name="Normal 6 9 4 2" xfId="44047"/>
    <cellStyle name="Normal 6 9 4 2 2" xfId="59173"/>
    <cellStyle name="Normal 6 9 4 3" xfId="41811"/>
    <cellStyle name="Normal 6 9 4 3 2" xfId="56938"/>
    <cellStyle name="Normal 6 9 4 4" xfId="39531"/>
    <cellStyle name="Normal 6 9 4 4 2" xfId="54659"/>
    <cellStyle name="Normal 6 9 4 5" xfId="47752"/>
    <cellStyle name="Normal 6 9 5" xfId="42919"/>
    <cellStyle name="Normal 6 9 5 2" xfId="58046"/>
    <cellStyle name="Normal 6 9 6" xfId="40684"/>
    <cellStyle name="Normal 6 9 6 2" xfId="55811"/>
    <cellStyle name="Normal 6 9 7" xfId="38361"/>
    <cellStyle name="Normal 6 9 7 2" xfId="53520"/>
    <cellStyle name="Normal 6 9 8" xfId="46053"/>
    <cellStyle name="Normal 7" xfId="88"/>
    <cellStyle name="Normal 7 10" xfId="60006"/>
    <cellStyle name="Normal 7 2" xfId="141"/>
    <cellStyle name="Normal 7 2 2" xfId="38823"/>
    <cellStyle name="Normal 7 2 3" xfId="60007"/>
    <cellStyle name="Normal 7 3" xfId="140"/>
    <cellStyle name="Normal 7 3 2" xfId="38822"/>
    <cellStyle name="Normal 7 4" xfId="862"/>
    <cellStyle name="Normal 7 4 2" xfId="5211"/>
    <cellStyle name="Normal 7 4 2 2" xfId="49896"/>
    <cellStyle name="Normal 7 4 3" xfId="11672"/>
    <cellStyle name="Normal 7 4 3 2" xfId="51926"/>
    <cellStyle name="Normal 7 4 4" xfId="3097"/>
    <cellStyle name="Normal 7 4 4 2" xfId="47791"/>
    <cellStyle name="Normal 7 4 5" xfId="38813"/>
    <cellStyle name="Normal 7 4 6" xfId="46092"/>
    <cellStyle name="Normal 7 5" xfId="1241"/>
    <cellStyle name="Normal 7 5 2" xfId="5590"/>
    <cellStyle name="Normal 7 5 2 2" xfId="50275"/>
    <cellStyle name="Normal 7 5 3" xfId="12051"/>
    <cellStyle name="Normal 7 5 3 2" xfId="52305"/>
    <cellStyle name="Normal 7 5 4" xfId="3518"/>
    <cellStyle name="Normal 7 5 4 2" xfId="48211"/>
    <cellStyle name="Normal 7 5 5" xfId="46471"/>
    <cellStyle name="Normal 7 6" xfId="1452"/>
    <cellStyle name="Normal 7 6 2" xfId="5801"/>
    <cellStyle name="Normal 7 6 2 2" xfId="50486"/>
    <cellStyle name="Normal 7 6 3" xfId="12262"/>
    <cellStyle name="Normal 7 6 3 2" xfId="52516"/>
    <cellStyle name="Normal 7 6 4" xfId="3746"/>
    <cellStyle name="Normal 7 6 4 2" xfId="48439"/>
    <cellStyle name="Normal 7 6 5" xfId="46682"/>
    <cellStyle name="Normal 7 7" xfId="4454"/>
    <cellStyle name="Normal 7 7 2" xfId="49144"/>
    <cellStyle name="Normal 7 8" xfId="10920"/>
    <cellStyle name="Normal 7 8 2" xfId="51174"/>
    <cellStyle name="Normal 7 9" xfId="45340"/>
    <cellStyle name="Normal 8" xfId="142"/>
    <cellStyle name="Normal 8 10" xfId="2648"/>
    <cellStyle name="Normal 8 10 2" xfId="4498"/>
    <cellStyle name="Normal 8 10 2 2" xfId="49188"/>
    <cellStyle name="Normal 8 10 3" xfId="42606"/>
    <cellStyle name="Normal 8 10 3 2" xfId="57733"/>
    <cellStyle name="Normal 8 10 4" xfId="47380"/>
    <cellStyle name="Normal 8 11" xfId="10964"/>
    <cellStyle name="Normal 8 11 2" xfId="40371"/>
    <cellStyle name="Normal 8 11 2 2" xfId="55498"/>
    <cellStyle name="Normal 8 11 3" xfId="51218"/>
    <cellStyle name="Normal 8 12" xfId="2803"/>
    <cellStyle name="Normal 8 12 2" xfId="47501"/>
    <cellStyle name="Normal 8 13" xfId="37990"/>
    <cellStyle name="Normal 8 13 2" xfId="53191"/>
    <cellStyle name="Normal 8 14" xfId="45384"/>
    <cellStyle name="Normal 8 15" xfId="60008"/>
    <cellStyle name="Normal 8 2" xfId="143"/>
    <cellStyle name="Normal 8 2 10" xfId="10965"/>
    <cellStyle name="Normal 8 2 10 2" xfId="51219"/>
    <cellStyle name="Normal 8 2 11" xfId="2804"/>
    <cellStyle name="Normal 8 2 11 2" xfId="47502"/>
    <cellStyle name="Normal 8 2 12" xfId="38054"/>
    <cellStyle name="Normal 8 2 12 2" xfId="53254"/>
    <cellStyle name="Normal 8 2 13" xfId="45385"/>
    <cellStyle name="Normal 8 2 2" xfId="241"/>
    <cellStyle name="Normal 8 2 2 10" xfId="38130"/>
    <cellStyle name="Normal 8 2 2 10 2" xfId="53330"/>
    <cellStyle name="Normal 8 2 2 11" xfId="45473"/>
    <cellStyle name="Normal 8 2 2 2" xfId="995"/>
    <cellStyle name="Normal 8 2 2 2 2" xfId="5344"/>
    <cellStyle name="Normal 8 2 2 2 2 2" xfId="44646"/>
    <cellStyle name="Normal 8 2 2 2 2 2 2" xfId="59772"/>
    <cellStyle name="Normal 8 2 2 2 2 3" xfId="42410"/>
    <cellStyle name="Normal 8 2 2 2 2 3 2" xfId="57537"/>
    <cellStyle name="Normal 8 2 2 2 2 4" xfId="40130"/>
    <cellStyle name="Normal 8 2 2 2 2 4 2" xfId="55258"/>
    <cellStyle name="Normal 8 2 2 2 2 5" xfId="50029"/>
    <cellStyle name="Normal 8 2 2 2 3" xfId="11805"/>
    <cellStyle name="Normal 8 2 2 2 3 2" xfId="43080"/>
    <cellStyle name="Normal 8 2 2 2 3 2 2" xfId="58206"/>
    <cellStyle name="Normal 8 2 2 2 3 3" xfId="52059"/>
    <cellStyle name="Normal 8 2 2 2 4" xfId="3230"/>
    <cellStyle name="Normal 8 2 2 2 4 2" xfId="40844"/>
    <cellStyle name="Normal 8 2 2 2 4 2 2" xfId="55971"/>
    <cellStyle name="Normal 8 2 2 2 4 3" xfId="47924"/>
    <cellStyle name="Normal 8 2 2 2 5" xfId="38988"/>
    <cellStyle name="Normal 8 2 2 2 5 2" xfId="54119"/>
    <cellStyle name="Normal 8 2 2 2 6" xfId="46225"/>
    <cellStyle name="Normal 8 2 2 3" xfId="1297"/>
    <cellStyle name="Normal 8 2 2 3 2" xfId="5646"/>
    <cellStyle name="Normal 8 2 2 3 2 2" xfId="44295"/>
    <cellStyle name="Normal 8 2 2 3 2 2 2" xfId="59421"/>
    <cellStyle name="Normal 8 2 2 3 2 3" xfId="42059"/>
    <cellStyle name="Normal 8 2 2 3 2 3 2" xfId="57186"/>
    <cellStyle name="Normal 8 2 2 3 2 4" xfId="39779"/>
    <cellStyle name="Normal 8 2 2 3 2 4 2" xfId="54907"/>
    <cellStyle name="Normal 8 2 2 3 2 5" xfId="50331"/>
    <cellStyle name="Normal 8 2 2 3 3" xfId="12107"/>
    <cellStyle name="Normal 8 2 2 3 3 2" xfId="43431"/>
    <cellStyle name="Normal 8 2 2 3 3 2 2" xfId="58557"/>
    <cellStyle name="Normal 8 2 2 3 3 3" xfId="52361"/>
    <cellStyle name="Normal 8 2 2 3 4" xfId="3580"/>
    <cellStyle name="Normal 8 2 2 3 4 2" xfId="41195"/>
    <cellStyle name="Normal 8 2 2 3 4 2 2" xfId="56322"/>
    <cellStyle name="Normal 8 2 2 3 4 3" xfId="48273"/>
    <cellStyle name="Normal 8 2 2 3 5" xfId="38615"/>
    <cellStyle name="Normal 8 2 2 3 5 2" xfId="53768"/>
    <cellStyle name="Normal 8 2 2 3 6" xfId="46527"/>
    <cellStyle name="Normal 8 2 2 4" xfId="1508"/>
    <cellStyle name="Normal 8 2 2 4 2" xfId="5857"/>
    <cellStyle name="Normal 8 2 2 4 2 2" xfId="43857"/>
    <cellStyle name="Normal 8 2 2 4 2 2 2" xfId="58983"/>
    <cellStyle name="Normal 8 2 2 4 2 3" xfId="50542"/>
    <cellStyle name="Normal 8 2 2 4 3" xfId="12318"/>
    <cellStyle name="Normal 8 2 2 4 3 2" xfId="41621"/>
    <cellStyle name="Normal 8 2 2 4 3 2 2" xfId="56748"/>
    <cellStyle name="Normal 8 2 2 4 3 3" xfId="52572"/>
    <cellStyle name="Normal 8 2 2 4 4" xfId="3807"/>
    <cellStyle name="Normal 8 2 2 4 4 2" xfId="48500"/>
    <cellStyle name="Normal 8 2 2 4 5" xfId="39341"/>
    <cellStyle name="Normal 8 2 2 4 5 2" xfId="54469"/>
    <cellStyle name="Normal 8 2 2 4 6" xfId="46738"/>
    <cellStyle name="Normal 8 2 2 5" xfId="663"/>
    <cellStyle name="Normal 8 2 2 5 2" xfId="5012"/>
    <cellStyle name="Normal 8 2 2 5 2 2" xfId="49697"/>
    <cellStyle name="Normal 8 2 2 5 3" xfId="11473"/>
    <cellStyle name="Normal 8 2 2 5 3 2" xfId="51727"/>
    <cellStyle name="Normal 8 2 2 5 4" xfId="4166"/>
    <cellStyle name="Normal 8 2 2 5 4 2" xfId="48856"/>
    <cellStyle name="Normal 8 2 2 5 5" xfId="42729"/>
    <cellStyle name="Normal 8 2 2 5 5 2" xfId="57856"/>
    <cellStyle name="Normal 8 2 2 5 6" xfId="45893"/>
    <cellStyle name="Normal 8 2 2 6" xfId="1914"/>
    <cellStyle name="Normal 8 2 2 6 2" xfId="12721"/>
    <cellStyle name="Normal 8 2 2 6 2 2" xfId="52974"/>
    <cellStyle name="Normal 8 2 2 6 3" xfId="6261"/>
    <cellStyle name="Normal 8 2 2 6 3 2" xfId="50944"/>
    <cellStyle name="Normal 8 2 2 6 4" xfId="40494"/>
    <cellStyle name="Normal 8 2 2 6 4 2" xfId="55621"/>
    <cellStyle name="Normal 8 2 2 6 5" xfId="47140"/>
    <cellStyle name="Normal 8 2 2 7" xfId="4590"/>
    <cellStyle name="Normal 8 2 2 7 2" xfId="49277"/>
    <cellStyle name="Normal 8 2 2 8" xfId="11053"/>
    <cellStyle name="Normal 8 2 2 8 2" xfId="51307"/>
    <cellStyle name="Normal 8 2 2 9" xfId="2897"/>
    <cellStyle name="Normal 8 2 2 9 2" xfId="47591"/>
    <cellStyle name="Normal 8 2 3" xfId="332"/>
    <cellStyle name="Normal 8 2 3 10" xfId="45562"/>
    <cellStyle name="Normal 8 2 3 2" xfId="1386"/>
    <cellStyle name="Normal 8 2 3 2 2" xfId="5735"/>
    <cellStyle name="Normal 8 2 3 2 2 2" xfId="44722"/>
    <cellStyle name="Normal 8 2 3 2 2 2 2" xfId="59848"/>
    <cellStyle name="Normal 8 2 3 2 2 3" xfId="42486"/>
    <cellStyle name="Normal 8 2 3 2 2 3 2" xfId="57613"/>
    <cellStyle name="Normal 8 2 3 2 2 4" xfId="40206"/>
    <cellStyle name="Normal 8 2 3 2 2 4 2" xfId="55334"/>
    <cellStyle name="Normal 8 2 3 2 2 5" xfId="50420"/>
    <cellStyle name="Normal 8 2 3 2 3" xfId="12196"/>
    <cellStyle name="Normal 8 2 3 2 3 2" xfId="43156"/>
    <cellStyle name="Normal 8 2 3 2 3 2 2" xfId="58282"/>
    <cellStyle name="Normal 8 2 3 2 3 3" xfId="52450"/>
    <cellStyle name="Normal 8 2 3 2 4" xfId="3669"/>
    <cellStyle name="Normal 8 2 3 2 4 2" xfId="40920"/>
    <cellStyle name="Normal 8 2 3 2 4 2 2" xfId="56047"/>
    <cellStyle name="Normal 8 2 3 2 4 3" xfId="48362"/>
    <cellStyle name="Normal 8 2 3 2 5" xfId="39064"/>
    <cellStyle name="Normal 8 2 3 2 5 2" xfId="54195"/>
    <cellStyle name="Normal 8 2 3 2 6" xfId="46616"/>
    <cellStyle name="Normal 8 2 3 3" xfId="1597"/>
    <cellStyle name="Normal 8 2 3 3 2" xfId="5946"/>
    <cellStyle name="Normal 8 2 3 3 2 2" xfId="44371"/>
    <cellStyle name="Normal 8 2 3 3 2 2 2" xfId="59497"/>
    <cellStyle name="Normal 8 2 3 3 2 3" xfId="42135"/>
    <cellStyle name="Normal 8 2 3 3 2 3 2" xfId="57262"/>
    <cellStyle name="Normal 8 2 3 3 2 4" xfId="39855"/>
    <cellStyle name="Normal 8 2 3 3 2 4 2" xfId="54983"/>
    <cellStyle name="Normal 8 2 3 3 2 5" xfId="50631"/>
    <cellStyle name="Normal 8 2 3 3 3" xfId="12407"/>
    <cellStyle name="Normal 8 2 3 3 3 2" xfId="43507"/>
    <cellStyle name="Normal 8 2 3 3 3 2 2" xfId="58633"/>
    <cellStyle name="Normal 8 2 3 3 3 3" xfId="52661"/>
    <cellStyle name="Normal 8 2 3 3 4" xfId="3896"/>
    <cellStyle name="Normal 8 2 3 3 4 2" xfId="41271"/>
    <cellStyle name="Normal 8 2 3 3 4 2 2" xfId="56398"/>
    <cellStyle name="Normal 8 2 3 3 4 3" xfId="48589"/>
    <cellStyle name="Normal 8 2 3 3 5" xfId="38691"/>
    <cellStyle name="Normal 8 2 3 3 5 2" xfId="53844"/>
    <cellStyle name="Normal 8 2 3 3 6" xfId="46827"/>
    <cellStyle name="Normal 8 2 3 4" xfId="1084"/>
    <cellStyle name="Normal 8 2 3 4 2" xfId="5433"/>
    <cellStyle name="Normal 8 2 3 4 2 2" xfId="43933"/>
    <cellStyle name="Normal 8 2 3 4 2 2 2" xfId="59059"/>
    <cellStyle name="Normal 8 2 3 4 2 3" xfId="50118"/>
    <cellStyle name="Normal 8 2 3 4 3" xfId="11894"/>
    <cellStyle name="Normal 8 2 3 4 3 2" xfId="41697"/>
    <cellStyle name="Normal 8 2 3 4 3 2 2" xfId="56824"/>
    <cellStyle name="Normal 8 2 3 4 3 3" xfId="52148"/>
    <cellStyle name="Normal 8 2 3 4 4" xfId="4255"/>
    <cellStyle name="Normal 8 2 3 4 4 2" xfId="48945"/>
    <cellStyle name="Normal 8 2 3 4 5" xfId="39417"/>
    <cellStyle name="Normal 8 2 3 4 5 2" xfId="54545"/>
    <cellStyle name="Normal 8 2 3 4 6" xfId="46314"/>
    <cellStyle name="Normal 8 2 3 5" xfId="1990"/>
    <cellStyle name="Normal 8 2 3 5 2" xfId="12797"/>
    <cellStyle name="Normal 8 2 3 5 2 2" xfId="53050"/>
    <cellStyle name="Normal 8 2 3 5 3" xfId="6337"/>
    <cellStyle name="Normal 8 2 3 5 3 2" xfId="51020"/>
    <cellStyle name="Normal 8 2 3 5 4" xfId="42805"/>
    <cellStyle name="Normal 8 2 3 5 4 2" xfId="57932"/>
    <cellStyle name="Normal 8 2 3 5 5" xfId="47216"/>
    <cellStyle name="Normal 8 2 3 6" xfId="4681"/>
    <cellStyle name="Normal 8 2 3 6 2" xfId="40570"/>
    <cellStyle name="Normal 8 2 3 6 2 2" xfId="55697"/>
    <cellStyle name="Normal 8 2 3 6 3" xfId="49366"/>
    <cellStyle name="Normal 8 2 3 7" xfId="11142"/>
    <cellStyle name="Normal 8 2 3 7 2" xfId="51396"/>
    <cellStyle name="Normal 8 2 3 8" xfId="3319"/>
    <cellStyle name="Normal 8 2 3 8 2" xfId="48013"/>
    <cellStyle name="Normal 8 2 3 9" xfId="38206"/>
    <cellStyle name="Normal 8 2 3 9 2" xfId="53406"/>
    <cellStyle name="Normal 8 2 4" xfId="453"/>
    <cellStyle name="Normal 8 2 4 2" xfId="1718"/>
    <cellStyle name="Normal 8 2 4 2 2" xfId="6067"/>
    <cellStyle name="Normal 8 2 4 2 2 2" xfId="44798"/>
    <cellStyle name="Normal 8 2 4 2 2 2 2" xfId="59924"/>
    <cellStyle name="Normal 8 2 4 2 2 3" xfId="42562"/>
    <cellStyle name="Normal 8 2 4 2 2 3 2" xfId="57689"/>
    <cellStyle name="Normal 8 2 4 2 2 4" xfId="40282"/>
    <cellStyle name="Normal 8 2 4 2 2 4 2" xfId="55410"/>
    <cellStyle name="Normal 8 2 4 2 2 5" xfId="50752"/>
    <cellStyle name="Normal 8 2 4 2 3" xfId="12528"/>
    <cellStyle name="Normal 8 2 4 2 3 2" xfId="43232"/>
    <cellStyle name="Normal 8 2 4 2 3 2 2" xfId="58358"/>
    <cellStyle name="Normal 8 2 4 2 3 3" xfId="52782"/>
    <cellStyle name="Normal 8 2 4 2 4" xfId="4017"/>
    <cellStyle name="Normal 8 2 4 2 4 2" xfId="40996"/>
    <cellStyle name="Normal 8 2 4 2 4 2 2" xfId="56123"/>
    <cellStyle name="Normal 8 2 4 2 4 3" xfId="48710"/>
    <cellStyle name="Normal 8 2 4 2 5" xfId="39140"/>
    <cellStyle name="Normal 8 2 4 2 5 2" xfId="54271"/>
    <cellStyle name="Normal 8 2 4 2 6" xfId="46948"/>
    <cellStyle name="Normal 8 2 4 3" xfId="1205"/>
    <cellStyle name="Normal 8 2 4 3 2" xfId="5554"/>
    <cellStyle name="Normal 8 2 4 3 2 2" xfId="44447"/>
    <cellStyle name="Normal 8 2 4 3 2 2 2" xfId="59573"/>
    <cellStyle name="Normal 8 2 4 3 2 3" xfId="42211"/>
    <cellStyle name="Normal 8 2 4 3 2 3 2" xfId="57338"/>
    <cellStyle name="Normal 8 2 4 3 2 4" xfId="39931"/>
    <cellStyle name="Normal 8 2 4 3 2 4 2" xfId="55059"/>
    <cellStyle name="Normal 8 2 4 3 2 5" xfId="50239"/>
    <cellStyle name="Normal 8 2 4 3 3" xfId="12015"/>
    <cellStyle name="Normal 8 2 4 3 3 2" xfId="43583"/>
    <cellStyle name="Normal 8 2 4 3 3 2 2" xfId="58709"/>
    <cellStyle name="Normal 8 2 4 3 3 3" xfId="52269"/>
    <cellStyle name="Normal 8 2 4 3 4" xfId="4376"/>
    <cellStyle name="Normal 8 2 4 3 4 2" xfId="41347"/>
    <cellStyle name="Normal 8 2 4 3 4 2 2" xfId="56474"/>
    <cellStyle name="Normal 8 2 4 3 4 3" xfId="49066"/>
    <cellStyle name="Normal 8 2 4 3 5" xfId="38767"/>
    <cellStyle name="Normal 8 2 4 3 5 2" xfId="53920"/>
    <cellStyle name="Normal 8 2 4 3 6" xfId="46435"/>
    <cellStyle name="Normal 8 2 4 4" xfId="2067"/>
    <cellStyle name="Normal 8 2 4 4 2" xfId="12873"/>
    <cellStyle name="Normal 8 2 4 4 2 2" xfId="44009"/>
    <cellStyle name="Normal 8 2 4 4 2 2 2" xfId="59135"/>
    <cellStyle name="Normal 8 2 4 4 2 3" xfId="53126"/>
    <cellStyle name="Normal 8 2 4 4 3" xfId="6413"/>
    <cellStyle name="Normal 8 2 4 4 3 2" xfId="41773"/>
    <cellStyle name="Normal 8 2 4 4 3 2 2" xfId="56900"/>
    <cellStyle name="Normal 8 2 4 4 3 3" xfId="51096"/>
    <cellStyle name="Normal 8 2 4 4 4" xfId="39493"/>
    <cellStyle name="Normal 8 2 4 4 4 2" xfId="54621"/>
    <cellStyle name="Normal 8 2 4 4 5" xfId="47292"/>
    <cellStyle name="Normal 8 2 4 5" xfId="4802"/>
    <cellStyle name="Normal 8 2 4 5 2" xfId="42881"/>
    <cellStyle name="Normal 8 2 4 5 2 2" xfId="58008"/>
    <cellStyle name="Normal 8 2 4 5 3" xfId="49487"/>
    <cellStyle name="Normal 8 2 4 6" xfId="11263"/>
    <cellStyle name="Normal 8 2 4 6 2" xfId="40646"/>
    <cellStyle name="Normal 8 2 4 6 2 2" xfId="55773"/>
    <cellStyle name="Normal 8 2 4 6 3" xfId="51517"/>
    <cellStyle name="Normal 8 2 4 7" xfId="3440"/>
    <cellStyle name="Normal 8 2 4 7 2" xfId="48134"/>
    <cellStyle name="Normal 8 2 4 8" xfId="38282"/>
    <cellStyle name="Normal 8 2 4 8 2" xfId="53482"/>
    <cellStyle name="Normal 8 2 4 9" xfId="45683"/>
    <cellStyle name="Normal 8 2 5" xfId="907"/>
    <cellStyle name="Normal 8 2 5 2" xfId="5256"/>
    <cellStyle name="Normal 8 2 5 2 2" xfId="40054"/>
    <cellStyle name="Normal 8 2 5 2 2 2" xfId="44570"/>
    <cellStyle name="Normal 8 2 5 2 2 2 2" xfId="59696"/>
    <cellStyle name="Normal 8 2 5 2 2 3" xfId="42334"/>
    <cellStyle name="Normal 8 2 5 2 2 3 2" xfId="57461"/>
    <cellStyle name="Normal 8 2 5 2 2 4" xfId="55182"/>
    <cellStyle name="Normal 8 2 5 2 3" xfId="43684"/>
    <cellStyle name="Normal 8 2 5 2 3 2" xfId="58810"/>
    <cellStyle name="Normal 8 2 5 2 4" xfId="41448"/>
    <cellStyle name="Normal 8 2 5 2 4 2" xfId="56575"/>
    <cellStyle name="Normal 8 2 5 2 5" xfId="38911"/>
    <cellStyle name="Normal 8 2 5 2 5 2" xfId="54043"/>
    <cellStyle name="Normal 8 2 5 2 6" xfId="49941"/>
    <cellStyle name="Normal 8 2 5 3" xfId="11717"/>
    <cellStyle name="Normal 8 2 5 3 2" xfId="44093"/>
    <cellStyle name="Normal 8 2 5 3 2 2" xfId="59219"/>
    <cellStyle name="Normal 8 2 5 3 3" xfId="41857"/>
    <cellStyle name="Normal 8 2 5 3 3 2" xfId="56984"/>
    <cellStyle name="Normal 8 2 5 3 4" xfId="39577"/>
    <cellStyle name="Normal 8 2 5 3 4 2" xfId="54705"/>
    <cellStyle name="Normal 8 2 5 3 5" xfId="51971"/>
    <cellStyle name="Normal 8 2 5 4" xfId="3142"/>
    <cellStyle name="Normal 8 2 5 4 2" xfId="43004"/>
    <cellStyle name="Normal 8 2 5 4 2 2" xfId="58130"/>
    <cellStyle name="Normal 8 2 5 4 3" xfId="47836"/>
    <cellStyle name="Normal 8 2 5 5" xfId="40768"/>
    <cellStyle name="Normal 8 2 5 5 2" xfId="55895"/>
    <cellStyle name="Normal 8 2 5 6" xfId="38407"/>
    <cellStyle name="Normal 8 2 5 6 2" xfId="53566"/>
    <cellStyle name="Normal 8 2 5 7" xfId="46137"/>
    <cellStyle name="Normal 8 2 6" xfId="784"/>
    <cellStyle name="Normal 8 2 6 2" xfId="5133"/>
    <cellStyle name="Normal 8 2 6 2 2" xfId="44219"/>
    <cellStyle name="Normal 8 2 6 2 2 2" xfId="59345"/>
    <cellStyle name="Normal 8 2 6 2 3" xfId="41983"/>
    <cellStyle name="Normal 8 2 6 2 3 2" xfId="57110"/>
    <cellStyle name="Normal 8 2 6 2 4" xfId="39703"/>
    <cellStyle name="Normal 8 2 6 2 4 2" xfId="54831"/>
    <cellStyle name="Normal 8 2 6 2 5" xfId="49818"/>
    <cellStyle name="Normal 8 2 6 3" xfId="11594"/>
    <cellStyle name="Normal 8 2 6 3 2" xfId="43355"/>
    <cellStyle name="Normal 8 2 6 3 2 2" xfId="58481"/>
    <cellStyle name="Normal 8 2 6 3 3" xfId="51848"/>
    <cellStyle name="Normal 8 2 6 4" xfId="3019"/>
    <cellStyle name="Normal 8 2 6 4 2" xfId="41119"/>
    <cellStyle name="Normal 8 2 6 4 2 2" xfId="56246"/>
    <cellStyle name="Normal 8 2 6 4 3" xfId="47713"/>
    <cellStyle name="Normal 8 2 6 5" xfId="38537"/>
    <cellStyle name="Normal 8 2 6 5 2" xfId="53692"/>
    <cellStyle name="Normal 8 2 6 6" xfId="46014"/>
    <cellStyle name="Normal 8 2 7" xfId="574"/>
    <cellStyle name="Normal 8 2 7 2" xfId="4923"/>
    <cellStyle name="Normal 8 2 7 2 2" xfId="43781"/>
    <cellStyle name="Normal 8 2 7 2 2 2" xfId="58907"/>
    <cellStyle name="Normal 8 2 7 2 3" xfId="49608"/>
    <cellStyle name="Normal 8 2 7 3" xfId="11384"/>
    <cellStyle name="Normal 8 2 7 3 2" xfId="41545"/>
    <cellStyle name="Normal 8 2 7 3 2 2" xfId="56672"/>
    <cellStyle name="Normal 8 2 7 3 3" xfId="51638"/>
    <cellStyle name="Normal 8 2 7 4" xfId="3521"/>
    <cellStyle name="Normal 8 2 7 4 2" xfId="48214"/>
    <cellStyle name="Normal 8 2 7 5" xfId="39265"/>
    <cellStyle name="Normal 8 2 7 5 2" xfId="54393"/>
    <cellStyle name="Normal 8 2 7 6" xfId="45804"/>
    <cellStyle name="Normal 8 2 8" xfId="1835"/>
    <cellStyle name="Normal 8 2 8 2" xfId="12644"/>
    <cellStyle name="Normal 8 2 8 2 2" xfId="52898"/>
    <cellStyle name="Normal 8 2 8 3" xfId="6183"/>
    <cellStyle name="Normal 8 2 8 3 2" xfId="50868"/>
    <cellStyle name="Normal 8 2 8 4" xfId="42653"/>
    <cellStyle name="Normal 8 2 8 4 2" xfId="57780"/>
    <cellStyle name="Normal 8 2 8 5" xfId="47064"/>
    <cellStyle name="Normal 8 2 9" xfId="2649"/>
    <cellStyle name="Normal 8 2 9 2" xfId="4499"/>
    <cellStyle name="Normal 8 2 9 2 2" xfId="49189"/>
    <cellStyle name="Normal 8 2 9 3" xfId="40418"/>
    <cellStyle name="Normal 8 2 9 3 2" xfId="55545"/>
    <cellStyle name="Normal 8 2 9 4" xfId="47381"/>
    <cellStyle name="Normal 8 3" xfId="240"/>
    <cellStyle name="Normal 8 3 10" xfId="38053"/>
    <cellStyle name="Normal 8 3 10 2" xfId="53253"/>
    <cellStyle name="Normal 8 3 11" xfId="45472"/>
    <cellStyle name="Normal 8 3 2" xfId="994"/>
    <cellStyle name="Normal 8 3 2 2" xfId="5343"/>
    <cellStyle name="Normal 8 3 2 2 2" xfId="44569"/>
    <cellStyle name="Normal 8 3 2 2 2 2" xfId="59695"/>
    <cellStyle name="Normal 8 3 2 2 3" xfId="42333"/>
    <cellStyle name="Normal 8 3 2 2 3 2" xfId="57460"/>
    <cellStyle name="Normal 8 3 2 2 4" xfId="40053"/>
    <cellStyle name="Normal 8 3 2 2 4 2" xfId="55181"/>
    <cellStyle name="Normal 8 3 2 2 5" xfId="50028"/>
    <cellStyle name="Normal 8 3 2 3" xfId="11804"/>
    <cellStyle name="Normal 8 3 2 3 2" xfId="43003"/>
    <cellStyle name="Normal 8 3 2 3 2 2" xfId="58129"/>
    <cellStyle name="Normal 8 3 2 3 3" xfId="52058"/>
    <cellStyle name="Normal 8 3 2 4" xfId="3229"/>
    <cellStyle name="Normal 8 3 2 4 2" xfId="40767"/>
    <cellStyle name="Normal 8 3 2 4 2 2" xfId="55894"/>
    <cellStyle name="Normal 8 3 2 4 3" xfId="47923"/>
    <cellStyle name="Normal 8 3 2 5" xfId="38910"/>
    <cellStyle name="Normal 8 3 2 5 2" xfId="54042"/>
    <cellStyle name="Normal 8 3 2 6" xfId="46224"/>
    <cellStyle name="Normal 8 3 3" xfId="1296"/>
    <cellStyle name="Normal 8 3 3 2" xfId="5645"/>
    <cellStyle name="Normal 8 3 3 2 2" xfId="44218"/>
    <cellStyle name="Normal 8 3 3 2 2 2" xfId="59344"/>
    <cellStyle name="Normal 8 3 3 2 3" xfId="41982"/>
    <cellStyle name="Normal 8 3 3 2 3 2" xfId="57109"/>
    <cellStyle name="Normal 8 3 3 2 4" xfId="39702"/>
    <cellStyle name="Normal 8 3 3 2 4 2" xfId="54830"/>
    <cellStyle name="Normal 8 3 3 2 5" xfId="50330"/>
    <cellStyle name="Normal 8 3 3 3" xfId="12106"/>
    <cellStyle name="Normal 8 3 3 3 2" xfId="43354"/>
    <cellStyle name="Normal 8 3 3 3 2 2" xfId="58480"/>
    <cellStyle name="Normal 8 3 3 3 3" xfId="52360"/>
    <cellStyle name="Normal 8 3 3 4" xfId="3579"/>
    <cellStyle name="Normal 8 3 3 4 2" xfId="41118"/>
    <cellStyle name="Normal 8 3 3 4 2 2" xfId="56245"/>
    <cellStyle name="Normal 8 3 3 4 3" xfId="48272"/>
    <cellStyle name="Normal 8 3 3 5" xfId="38536"/>
    <cellStyle name="Normal 8 3 3 5 2" xfId="53691"/>
    <cellStyle name="Normal 8 3 3 6" xfId="46526"/>
    <cellStyle name="Normal 8 3 4" xfId="1507"/>
    <cellStyle name="Normal 8 3 4 2" xfId="5856"/>
    <cellStyle name="Normal 8 3 4 2 2" xfId="43780"/>
    <cellStyle name="Normal 8 3 4 2 2 2" xfId="58906"/>
    <cellStyle name="Normal 8 3 4 2 3" xfId="50541"/>
    <cellStyle name="Normal 8 3 4 3" xfId="12317"/>
    <cellStyle name="Normal 8 3 4 3 2" xfId="41544"/>
    <cellStyle name="Normal 8 3 4 3 2 2" xfId="56671"/>
    <cellStyle name="Normal 8 3 4 3 3" xfId="52571"/>
    <cellStyle name="Normal 8 3 4 4" xfId="3806"/>
    <cellStyle name="Normal 8 3 4 4 2" xfId="48499"/>
    <cellStyle name="Normal 8 3 4 5" xfId="39264"/>
    <cellStyle name="Normal 8 3 4 5 2" xfId="54392"/>
    <cellStyle name="Normal 8 3 4 6" xfId="46737"/>
    <cellStyle name="Normal 8 3 5" xfId="662"/>
    <cellStyle name="Normal 8 3 5 2" xfId="5011"/>
    <cellStyle name="Normal 8 3 5 2 2" xfId="49696"/>
    <cellStyle name="Normal 8 3 5 3" xfId="11472"/>
    <cellStyle name="Normal 8 3 5 3 2" xfId="51726"/>
    <cellStyle name="Normal 8 3 5 4" xfId="4165"/>
    <cellStyle name="Normal 8 3 5 4 2" xfId="48855"/>
    <cellStyle name="Normal 8 3 5 5" xfId="42652"/>
    <cellStyle name="Normal 8 3 5 5 2" xfId="57779"/>
    <cellStyle name="Normal 8 3 5 6" xfId="45892"/>
    <cellStyle name="Normal 8 3 6" xfId="1834"/>
    <cellStyle name="Normal 8 3 6 2" xfId="12643"/>
    <cellStyle name="Normal 8 3 6 2 2" xfId="52897"/>
    <cellStyle name="Normal 8 3 6 3" xfId="6182"/>
    <cellStyle name="Normal 8 3 6 3 2" xfId="50867"/>
    <cellStyle name="Normal 8 3 6 4" xfId="40417"/>
    <cellStyle name="Normal 8 3 6 4 2" xfId="55544"/>
    <cellStyle name="Normal 8 3 6 5" xfId="47063"/>
    <cellStyle name="Normal 8 3 7" xfId="4589"/>
    <cellStyle name="Normal 8 3 7 2" xfId="49276"/>
    <cellStyle name="Normal 8 3 8" xfId="11052"/>
    <cellStyle name="Normal 8 3 8 2" xfId="51306"/>
    <cellStyle name="Normal 8 3 9" xfId="2896"/>
    <cellStyle name="Normal 8 3 9 2" xfId="47590"/>
    <cellStyle name="Normal 8 4" xfId="331"/>
    <cellStyle name="Normal 8 4 10" xfId="45561"/>
    <cellStyle name="Normal 8 4 2" xfId="1385"/>
    <cellStyle name="Normal 8 4 2 2" xfId="5734"/>
    <cellStyle name="Normal 8 4 2 2 2" xfId="44645"/>
    <cellStyle name="Normal 8 4 2 2 2 2" xfId="59771"/>
    <cellStyle name="Normal 8 4 2 2 3" xfId="42409"/>
    <cellStyle name="Normal 8 4 2 2 3 2" xfId="57536"/>
    <cellStyle name="Normal 8 4 2 2 4" xfId="40129"/>
    <cellStyle name="Normal 8 4 2 2 4 2" xfId="55257"/>
    <cellStyle name="Normal 8 4 2 2 5" xfId="50419"/>
    <cellStyle name="Normal 8 4 2 3" xfId="12195"/>
    <cellStyle name="Normal 8 4 2 3 2" xfId="43079"/>
    <cellStyle name="Normal 8 4 2 3 2 2" xfId="58205"/>
    <cellStyle name="Normal 8 4 2 3 3" xfId="52449"/>
    <cellStyle name="Normal 8 4 2 4" xfId="3668"/>
    <cellStyle name="Normal 8 4 2 4 2" xfId="40843"/>
    <cellStyle name="Normal 8 4 2 4 2 2" xfId="55970"/>
    <cellStyle name="Normal 8 4 2 4 3" xfId="48361"/>
    <cellStyle name="Normal 8 4 2 5" xfId="38987"/>
    <cellStyle name="Normal 8 4 2 5 2" xfId="54118"/>
    <cellStyle name="Normal 8 4 2 6" xfId="46615"/>
    <cellStyle name="Normal 8 4 3" xfId="1596"/>
    <cellStyle name="Normal 8 4 3 2" xfId="5945"/>
    <cellStyle name="Normal 8 4 3 2 2" xfId="44294"/>
    <cellStyle name="Normal 8 4 3 2 2 2" xfId="59420"/>
    <cellStyle name="Normal 8 4 3 2 3" xfId="42058"/>
    <cellStyle name="Normal 8 4 3 2 3 2" xfId="57185"/>
    <cellStyle name="Normal 8 4 3 2 4" xfId="39778"/>
    <cellStyle name="Normal 8 4 3 2 4 2" xfId="54906"/>
    <cellStyle name="Normal 8 4 3 2 5" xfId="50630"/>
    <cellStyle name="Normal 8 4 3 3" xfId="12406"/>
    <cellStyle name="Normal 8 4 3 3 2" xfId="43430"/>
    <cellStyle name="Normal 8 4 3 3 2 2" xfId="58556"/>
    <cellStyle name="Normal 8 4 3 3 3" xfId="52660"/>
    <cellStyle name="Normal 8 4 3 4" xfId="3895"/>
    <cellStyle name="Normal 8 4 3 4 2" xfId="41194"/>
    <cellStyle name="Normal 8 4 3 4 2 2" xfId="56321"/>
    <cellStyle name="Normal 8 4 3 4 3" xfId="48588"/>
    <cellStyle name="Normal 8 4 3 5" xfId="38614"/>
    <cellStyle name="Normal 8 4 3 5 2" xfId="53767"/>
    <cellStyle name="Normal 8 4 3 6" xfId="46826"/>
    <cellStyle name="Normal 8 4 4" xfId="1083"/>
    <cellStyle name="Normal 8 4 4 2" xfId="5432"/>
    <cellStyle name="Normal 8 4 4 2 2" xfId="43856"/>
    <cellStyle name="Normal 8 4 4 2 2 2" xfId="58982"/>
    <cellStyle name="Normal 8 4 4 2 3" xfId="50117"/>
    <cellStyle name="Normal 8 4 4 3" xfId="11893"/>
    <cellStyle name="Normal 8 4 4 3 2" xfId="41620"/>
    <cellStyle name="Normal 8 4 4 3 2 2" xfId="56747"/>
    <cellStyle name="Normal 8 4 4 3 3" xfId="52147"/>
    <cellStyle name="Normal 8 4 4 4" xfId="4254"/>
    <cellStyle name="Normal 8 4 4 4 2" xfId="48944"/>
    <cellStyle name="Normal 8 4 4 5" xfId="39340"/>
    <cellStyle name="Normal 8 4 4 5 2" xfId="54468"/>
    <cellStyle name="Normal 8 4 4 6" xfId="46313"/>
    <cellStyle name="Normal 8 4 5" xfId="1913"/>
    <cellStyle name="Normal 8 4 5 2" xfId="12720"/>
    <cellStyle name="Normal 8 4 5 2 2" xfId="52973"/>
    <cellStyle name="Normal 8 4 5 3" xfId="6260"/>
    <cellStyle name="Normal 8 4 5 3 2" xfId="50943"/>
    <cellStyle name="Normal 8 4 5 4" xfId="42728"/>
    <cellStyle name="Normal 8 4 5 4 2" xfId="57855"/>
    <cellStyle name="Normal 8 4 5 5" xfId="47139"/>
    <cellStyle name="Normal 8 4 6" xfId="4680"/>
    <cellStyle name="Normal 8 4 6 2" xfId="40493"/>
    <cellStyle name="Normal 8 4 6 2 2" xfId="55620"/>
    <cellStyle name="Normal 8 4 6 3" xfId="49365"/>
    <cellStyle name="Normal 8 4 7" xfId="11141"/>
    <cellStyle name="Normal 8 4 7 2" xfId="51395"/>
    <cellStyle name="Normal 8 4 8" xfId="3318"/>
    <cellStyle name="Normal 8 4 8 2" xfId="48012"/>
    <cellStyle name="Normal 8 4 9" xfId="38129"/>
    <cellStyle name="Normal 8 4 9 2" xfId="53329"/>
    <cellStyle name="Normal 8 5" xfId="452"/>
    <cellStyle name="Normal 8 5 2" xfId="1717"/>
    <cellStyle name="Normal 8 5 2 2" xfId="6066"/>
    <cellStyle name="Normal 8 5 2 2 2" xfId="44721"/>
    <cellStyle name="Normal 8 5 2 2 2 2" xfId="59847"/>
    <cellStyle name="Normal 8 5 2 2 3" xfId="42485"/>
    <cellStyle name="Normal 8 5 2 2 3 2" xfId="57612"/>
    <cellStyle name="Normal 8 5 2 2 4" xfId="40205"/>
    <cellStyle name="Normal 8 5 2 2 4 2" xfId="55333"/>
    <cellStyle name="Normal 8 5 2 2 5" xfId="50751"/>
    <cellStyle name="Normal 8 5 2 3" xfId="12527"/>
    <cellStyle name="Normal 8 5 2 3 2" xfId="43155"/>
    <cellStyle name="Normal 8 5 2 3 2 2" xfId="58281"/>
    <cellStyle name="Normal 8 5 2 3 3" xfId="52781"/>
    <cellStyle name="Normal 8 5 2 4" xfId="4016"/>
    <cellStyle name="Normal 8 5 2 4 2" xfId="40919"/>
    <cellStyle name="Normal 8 5 2 4 2 2" xfId="56046"/>
    <cellStyle name="Normal 8 5 2 4 3" xfId="48709"/>
    <cellStyle name="Normal 8 5 2 5" xfId="39063"/>
    <cellStyle name="Normal 8 5 2 5 2" xfId="54194"/>
    <cellStyle name="Normal 8 5 2 6" xfId="46947"/>
    <cellStyle name="Normal 8 5 3" xfId="1204"/>
    <cellStyle name="Normal 8 5 3 2" xfId="5553"/>
    <cellStyle name="Normal 8 5 3 2 2" xfId="44370"/>
    <cellStyle name="Normal 8 5 3 2 2 2" xfId="59496"/>
    <cellStyle name="Normal 8 5 3 2 3" xfId="42134"/>
    <cellStyle name="Normal 8 5 3 2 3 2" xfId="57261"/>
    <cellStyle name="Normal 8 5 3 2 4" xfId="39854"/>
    <cellStyle name="Normal 8 5 3 2 4 2" xfId="54982"/>
    <cellStyle name="Normal 8 5 3 2 5" xfId="50238"/>
    <cellStyle name="Normal 8 5 3 3" xfId="12014"/>
    <cellStyle name="Normal 8 5 3 3 2" xfId="43506"/>
    <cellStyle name="Normal 8 5 3 3 2 2" xfId="58632"/>
    <cellStyle name="Normal 8 5 3 3 3" xfId="52268"/>
    <cellStyle name="Normal 8 5 3 4" xfId="4375"/>
    <cellStyle name="Normal 8 5 3 4 2" xfId="41270"/>
    <cellStyle name="Normal 8 5 3 4 2 2" xfId="56397"/>
    <cellStyle name="Normal 8 5 3 4 3" xfId="49065"/>
    <cellStyle name="Normal 8 5 3 5" xfId="38690"/>
    <cellStyle name="Normal 8 5 3 5 2" xfId="53843"/>
    <cellStyle name="Normal 8 5 3 6" xfId="46434"/>
    <cellStyle name="Normal 8 5 4" xfId="1989"/>
    <cellStyle name="Normal 8 5 4 2" xfId="12796"/>
    <cellStyle name="Normal 8 5 4 2 2" xfId="43932"/>
    <cellStyle name="Normal 8 5 4 2 2 2" xfId="59058"/>
    <cellStyle name="Normal 8 5 4 2 3" xfId="53049"/>
    <cellStyle name="Normal 8 5 4 3" xfId="6336"/>
    <cellStyle name="Normal 8 5 4 3 2" xfId="41696"/>
    <cellStyle name="Normal 8 5 4 3 2 2" xfId="56823"/>
    <cellStyle name="Normal 8 5 4 3 3" xfId="51019"/>
    <cellStyle name="Normal 8 5 4 4" xfId="39416"/>
    <cellStyle name="Normal 8 5 4 4 2" xfId="54544"/>
    <cellStyle name="Normal 8 5 4 5" xfId="47215"/>
    <cellStyle name="Normal 8 5 5" xfId="4801"/>
    <cellStyle name="Normal 8 5 5 2" xfId="42804"/>
    <cellStyle name="Normal 8 5 5 2 2" xfId="57931"/>
    <cellStyle name="Normal 8 5 5 3" xfId="49486"/>
    <cellStyle name="Normal 8 5 6" xfId="11262"/>
    <cellStyle name="Normal 8 5 6 2" xfId="40569"/>
    <cellStyle name="Normal 8 5 6 2 2" xfId="55696"/>
    <cellStyle name="Normal 8 5 6 3" xfId="51516"/>
    <cellStyle name="Normal 8 5 7" xfId="3439"/>
    <cellStyle name="Normal 8 5 7 2" xfId="48133"/>
    <cellStyle name="Normal 8 5 8" xfId="38205"/>
    <cellStyle name="Normal 8 5 8 2" xfId="53405"/>
    <cellStyle name="Normal 8 5 9" xfId="45682"/>
    <cellStyle name="Normal 8 6" xfId="906"/>
    <cellStyle name="Normal 8 6 2" xfId="2066"/>
    <cellStyle name="Normal 8 6 2 2" xfId="12872"/>
    <cellStyle name="Normal 8 6 2 2 2" xfId="44797"/>
    <cellStyle name="Normal 8 6 2 2 2 2" xfId="59923"/>
    <cellStyle name="Normal 8 6 2 2 3" xfId="42561"/>
    <cellStyle name="Normal 8 6 2 2 3 2" xfId="57688"/>
    <cellStyle name="Normal 8 6 2 2 4" xfId="40281"/>
    <cellStyle name="Normal 8 6 2 2 4 2" xfId="55409"/>
    <cellStyle name="Normal 8 6 2 2 5" xfId="53125"/>
    <cellStyle name="Normal 8 6 2 3" xfId="6412"/>
    <cellStyle name="Normal 8 6 2 3 2" xfId="43231"/>
    <cellStyle name="Normal 8 6 2 3 2 2" xfId="58357"/>
    <cellStyle name="Normal 8 6 2 3 3" xfId="51095"/>
    <cellStyle name="Normal 8 6 2 4" xfId="40995"/>
    <cellStyle name="Normal 8 6 2 4 2" xfId="56122"/>
    <cellStyle name="Normal 8 6 2 5" xfId="39139"/>
    <cellStyle name="Normal 8 6 2 5 2" xfId="54270"/>
    <cellStyle name="Normal 8 6 2 6" xfId="47291"/>
    <cellStyle name="Normal 8 6 3" xfId="5255"/>
    <cellStyle name="Normal 8 6 3 2" xfId="39930"/>
    <cellStyle name="Normal 8 6 3 2 2" xfId="44446"/>
    <cellStyle name="Normal 8 6 3 2 2 2" xfId="59572"/>
    <cellStyle name="Normal 8 6 3 2 3" xfId="42210"/>
    <cellStyle name="Normal 8 6 3 2 3 2" xfId="57337"/>
    <cellStyle name="Normal 8 6 3 2 4" xfId="55058"/>
    <cellStyle name="Normal 8 6 3 3" xfId="43582"/>
    <cellStyle name="Normal 8 6 3 3 2" xfId="58708"/>
    <cellStyle name="Normal 8 6 3 4" xfId="41346"/>
    <cellStyle name="Normal 8 6 3 4 2" xfId="56473"/>
    <cellStyle name="Normal 8 6 3 5" xfId="38766"/>
    <cellStyle name="Normal 8 6 3 5 2" xfId="53919"/>
    <cellStyle name="Normal 8 6 3 6" xfId="49940"/>
    <cellStyle name="Normal 8 6 4" xfId="11716"/>
    <cellStyle name="Normal 8 6 4 2" xfId="44008"/>
    <cellStyle name="Normal 8 6 4 2 2" xfId="59134"/>
    <cellStyle name="Normal 8 6 4 3" xfId="41772"/>
    <cellStyle name="Normal 8 6 4 3 2" xfId="56899"/>
    <cellStyle name="Normal 8 6 4 4" xfId="39492"/>
    <cellStyle name="Normal 8 6 4 4 2" xfId="54620"/>
    <cellStyle name="Normal 8 6 4 5" xfId="51970"/>
    <cellStyle name="Normal 8 6 5" xfId="3141"/>
    <cellStyle name="Normal 8 6 5 2" xfId="42880"/>
    <cellStyle name="Normal 8 6 5 2 2" xfId="58007"/>
    <cellStyle name="Normal 8 6 5 3" xfId="47835"/>
    <cellStyle name="Normal 8 6 6" xfId="40645"/>
    <cellStyle name="Normal 8 6 6 2" xfId="55772"/>
    <cellStyle name="Normal 8 6 7" xfId="38281"/>
    <cellStyle name="Normal 8 6 7 2" xfId="53481"/>
    <cellStyle name="Normal 8 6 8" xfId="46136"/>
    <cellStyle name="Normal 8 7" xfId="783"/>
    <cellStyle name="Normal 8 7 2" xfId="5132"/>
    <cellStyle name="Normal 8 7 2 2" xfId="39991"/>
    <cellStyle name="Normal 8 7 2 2 2" xfId="44507"/>
    <cellStyle name="Normal 8 7 2 2 2 2" xfId="59633"/>
    <cellStyle name="Normal 8 7 2 2 3" xfId="42271"/>
    <cellStyle name="Normal 8 7 2 2 3 2" xfId="57398"/>
    <cellStyle name="Normal 8 7 2 2 4" xfId="55119"/>
    <cellStyle name="Normal 8 7 2 3" xfId="43642"/>
    <cellStyle name="Normal 8 7 2 3 2" xfId="58768"/>
    <cellStyle name="Normal 8 7 2 4" xfId="41406"/>
    <cellStyle name="Normal 8 7 2 4 2" xfId="56533"/>
    <cellStyle name="Normal 8 7 2 5" xfId="38848"/>
    <cellStyle name="Normal 8 7 2 5 2" xfId="53980"/>
    <cellStyle name="Normal 8 7 2 6" xfId="49817"/>
    <cellStyle name="Normal 8 7 3" xfId="11593"/>
    <cellStyle name="Normal 8 7 3 2" xfId="44092"/>
    <cellStyle name="Normal 8 7 3 2 2" xfId="59218"/>
    <cellStyle name="Normal 8 7 3 3" xfId="41856"/>
    <cellStyle name="Normal 8 7 3 3 2" xfId="56983"/>
    <cellStyle name="Normal 8 7 3 4" xfId="39576"/>
    <cellStyle name="Normal 8 7 3 4 2" xfId="54704"/>
    <cellStyle name="Normal 8 7 3 5" xfId="51847"/>
    <cellStyle name="Normal 8 7 4" xfId="3018"/>
    <cellStyle name="Normal 8 7 4 2" xfId="42941"/>
    <cellStyle name="Normal 8 7 4 2 2" xfId="58067"/>
    <cellStyle name="Normal 8 7 4 3" xfId="47712"/>
    <cellStyle name="Normal 8 7 5" xfId="40705"/>
    <cellStyle name="Normal 8 7 5 2" xfId="55832"/>
    <cellStyle name="Normal 8 7 6" xfId="38406"/>
    <cellStyle name="Normal 8 7 6 2" xfId="53565"/>
    <cellStyle name="Normal 8 7 7" xfId="46013"/>
    <cellStyle name="Normal 8 8" xfId="573"/>
    <cellStyle name="Normal 8 8 2" xfId="4922"/>
    <cellStyle name="Normal 8 8 2 2" xfId="44156"/>
    <cellStyle name="Normal 8 8 2 2 2" xfId="59282"/>
    <cellStyle name="Normal 8 8 2 3" xfId="41920"/>
    <cellStyle name="Normal 8 8 2 3 2" xfId="57047"/>
    <cellStyle name="Normal 8 8 2 4" xfId="39640"/>
    <cellStyle name="Normal 8 8 2 4 2" xfId="54768"/>
    <cellStyle name="Normal 8 8 2 5" xfId="49607"/>
    <cellStyle name="Normal 8 8 3" xfId="11383"/>
    <cellStyle name="Normal 8 8 3 2" xfId="43292"/>
    <cellStyle name="Normal 8 8 3 2 2" xfId="58418"/>
    <cellStyle name="Normal 8 8 3 3" xfId="51637"/>
    <cellStyle name="Normal 8 8 4" xfId="3499"/>
    <cellStyle name="Normal 8 8 4 2" xfId="41056"/>
    <cellStyle name="Normal 8 8 4 2 2" xfId="56183"/>
    <cellStyle name="Normal 8 8 4 3" xfId="48193"/>
    <cellStyle name="Normal 8 8 5" xfId="38473"/>
    <cellStyle name="Normal 8 8 5 2" xfId="53629"/>
    <cellStyle name="Normal 8 8 6" xfId="45803"/>
    <cellStyle name="Normal 8 9" xfId="1771"/>
    <cellStyle name="Normal 8 9 2" xfId="12581"/>
    <cellStyle name="Normal 8 9 2 2" xfId="43718"/>
    <cellStyle name="Normal 8 9 2 2 2" xfId="58844"/>
    <cellStyle name="Normal 8 9 2 3" xfId="52835"/>
    <cellStyle name="Normal 8 9 3" xfId="6120"/>
    <cellStyle name="Normal 8 9 3 2" xfId="41482"/>
    <cellStyle name="Normal 8 9 3 2 2" xfId="56609"/>
    <cellStyle name="Normal 8 9 3 3" xfId="50805"/>
    <cellStyle name="Normal 8 9 4" xfId="39202"/>
    <cellStyle name="Normal 8 9 4 2" xfId="54330"/>
    <cellStyle name="Normal 8 9 5" xfId="47001"/>
    <cellStyle name="Normal 9" xfId="144"/>
    <cellStyle name="Normal 9 10" xfId="2650"/>
    <cellStyle name="Normal 9 10 2" xfId="4500"/>
    <cellStyle name="Normal 9 10 2 2" xfId="49190"/>
    <cellStyle name="Normal 9 10 3" xfId="42608"/>
    <cellStyle name="Normal 9 10 3 2" xfId="57735"/>
    <cellStyle name="Normal 9 10 4" xfId="47382"/>
    <cellStyle name="Normal 9 11" xfId="10966"/>
    <cellStyle name="Normal 9 11 2" xfId="40373"/>
    <cellStyle name="Normal 9 11 2 2" xfId="55500"/>
    <cellStyle name="Normal 9 11 3" xfId="51220"/>
    <cellStyle name="Normal 9 12" xfId="2805"/>
    <cellStyle name="Normal 9 12 2" xfId="47503"/>
    <cellStyle name="Normal 9 13" xfId="38008"/>
    <cellStyle name="Normal 9 13 2" xfId="53209"/>
    <cellStyle name="Normal 9 14" xfId="45386"/>
    <cellStyle name="Normal 9 15" xfId="60009"/>
    <cellStyle name="Normal 9 2" xfId="145"/>
    <cellStyle name="Normal 9 2 10" xfId="10967"/>
    <cellStyle name="Normal 9 2 10 2" xfId="51221"/>
    <cellStyle name="Normal 9 2 11" xfId="2806"/>
    <cellStyle name="Normal 9 2 11 2" xfId="47504"/>
    <cellStyle name="Normal 9 2 12" xfId="38056"/>
    <cellStyle name="Normal 9 2 12 2" xfId="53256"/>
    <cellStyle name="Normal 9 2 13" xfId="45387"/>
    <cellStyle name="Normal 9 2 2" xfId="243"/>
    <cellStyle name="Normal 9 2 2 10" xfId="38132"/>
    <cellStyle name="Normal 9 2 2 10 2" xfId="53332"/>
    <cellStyle name="Normal 9 2 2 11" xfId="45475"/>
    <cellStyle name="Normal 9 2 2 2" xfId="997"/>
    <cellStyle name="Normal 9 2 2 2 2" xfId="5346"/>
    <cellStyle name="Normal 9 2 2 2 2 2" xfId="44648"/>
    <cellStyle name="Normal 9 2 2 2 2 2 2" xfId="59774"/>
    <cellStyle name="Normal 9 2 2 2 2 3" xfId="42412"/>
    <cellStyle name="Normal 9 2 2 2 2 3 2" xfId="57539"/>
    <cellStyle name="Normal 9 2 2 2 2 4" xfId="40132"/>
    <cellStyle name="Normal 9 2 2 2 2 4 2" xfId="55260"/>
    <cellStyle name="Normal 9 2 2 2 2 5" xfId="50031"/>
    <cellStyle name="Normal 9 2 2 2 3" xfId="11807"/>
    <cellStyle name="Normal 9 2 2 2 3 2" xfId="43082"/>
    <cellStyle name="Normal 9 2 2 2 3 2 2" xfId="58208"/>
    <cellStyle name="Normal 9 2 2 2 3 3" xfId="52061"/>
    <cellStyle name="Normal 9 2 2 2 4" xfId="3232"/>
    <cellStyle name="Normal 9 2 2 2 4 2" xfId="40846"/>
    <cellStyle name="Normal 9 2 2 2 4 2 2" xfId="55973"/>
    <cellStyle name="Normal 9 2 2 2 4 3" xfId="47926"/>
    <cellStyle name="Normal 9 2 2 2 5" xfId="38990"/>
    <cellStyle name="Normal 9 2 2 2 5 2" xfId="54121"/>
    <cellStyle name="Normal 9 2 2 2 6" xfId="46227"/>
    <cellStyle name="Normal 9 2 2 3" xfId="1299"/>
    <cellStyle name="Normal 9 2 2 3 2" xfId="5648"/>
    <cellStyle name="Normal 9 2 2 3 2 2" xfId="44297"/>
    <cellStyle name="Normal 9 2 2 3 2 2 2" xfId="59423"/>
    <cellStyle name="Normal 9 2 2 3 2 3" xfId="42061"/>
    <cellStyle name="Normal 9 2 2 3 2 3 2" xfId="57188"/>
    <cellStyle name="Normal 9 2 2 3 2 4" xfId="39781"/>
    <cellStyle name="Normal 9 2 2 3 2 4 2" xfId="54909"/>
    <cellStyle name="Normal 9 2 2 3 2 5" xfId="50333"/>
    <cellStyle name="Normal 9 2 2 3 3" xfId="12109"/>
    <cellStyle name="Normal 9 2 2 3 3 2" xfId="43433"/>
    <cellStyle name="Normal 9 2 2 3 3 2 2" xfId="58559"/>
    <cellStyle name="Normal 9 2 2 3 3 3" xfId="52363"/>
    <cellStyle name="Normal 9 2 2 3 4" xfId="3582"/>
    <cellStyle name="Normal 9 2 2 3 4 2" xfId="41197"/>
    <cellStyle name="Normal 9 2 2 3 4 2 2" xfId="56324"/>
    <cellStyle name="Normal 9 2 2 3 4 3" xfId="48275"/>
    <cellStyle name="Normal 9 2 2 3 5" xfId="38617"/>
    <cellStyle name="Normal 9 2 2 3 5 2" xfId="53770"/>
    <cellStyle name="Normal 9 2 2 3 6" xfId="46529"/>
    <cellStyle name="Normal 9 2 2 4" xfId="1510"/>
    <cellStyle name="Normal 9 2 2 4 2" xfId="5859"/>
    <cellStyle name="Normal 9 2 2 4 2 2" xfId="43859"/>
    <cellStyle name="Normal 9 2 2 4 2 2 2" xfId="58985"/>
    <cellStyle name="Normal 9 2 2 4 2 3" xfId="50544"/>
    <cellStyle name="Normal 9 2 2 4 3" xfId="12320"/>
    <cellStyle name="Normal 9 2 2 4 3 2" xfId="41623"/>
    <cellStyle name="Normal 9 2 2 4 3 2 2" xfId="56750"/>
    <cellStyle name="Normal 9 2 2 4 3 3" xfId="52574"/>
    <cellStyle name="Normal 9 2 2 4 4" xfId="3809"/>
    <cellStyle name="Normal 9 2 2 4 4 2" xfId="48502"/>
    <cellStyle name="Normal 9 2 2 4 5" xfId="39343"/>
    <cellStyle name="Normal 9 2 2 4 5 2" xfId="54471"/>
    <cellStyle name="Normal 9 2 2 4 6" xfId="46740"/>
    <cellStyle name="Normal 9 2 2 5" xfId="665"/>
    <cellStyle name="Normal 9 2 2 5 2" xfId="5014"/>
    <cellStyle name="Normal 9 2 2 5 2 2" xfId="49699"/>
    <cellStyle name="Normal 9 2 2 5 3" xfId="11475"/>
    <cellStyle name="Normal 9 2 2 5 3 2" xfId="51729"/>
    <cellStyle name="Normal 9 2 2 5 4" xfId="4168"/>
    <cellStyle name="Normal 9 2 2 5 4 2" xfId="48858"/>
    <cellStyle name="Normal 9 2 2 5 5" xfId="42731"/>
    <cellStyle name="Normal 9 2 2 5 5 2" xfId="57858"/>
    <cellStyle name="Normal 9 2 2 5 6" xfId="45895"/>
    <cellStyle name="Normal 9 2 2 6" xfId="1916"/>
    <cellStyle name="Normal 9 2 2 6 2" xfId="12723"/>
    <cellStyle name="Normal 9 2 2 6 2 2" xfId="52976"/>
    <cellStyle name="Normal 9 2 2 6 3" xfId="6263"/>
    <cellStyle name="Normal 9 2 2 6 3 2" xfId="50946"/>
    <cellStyle name="Normal 9 2 2 6 4" xfId="40496"/>
    <cellStyle name="Normal 9 2 2 6 4 2" xfId="55623"/>
    <cellStyle name="Normal 9 2 2 6 5" xfId="47142"/>
    <cellStyle name="Normal 9 2 2 7" xfId="4592"/>
    <cellStyle name="Normal 9 2 2 7 2" xfId="49279"/>
    <cellStyle name="Normal 9 2 2 8" xfId="11055"/>
    <cellStyle name="Normal 9 2 2 8 2" xfId="51309"/>
    <cellStyle name="Normal 9 2 2 9" xfId="2899"/>
    <cellStyle name="Normal 9 2 2 9 2" xfId="47593"/>
    <cellStyle name="Normal 9 2 3" xfId="334"/>
    <cellStyle name="Normal 9 2 3 10" xfId="45564"/>
    <cellStyle name="Normal 9 2 3 2" xfId="1388"/>
    <cellStyle name="Normal 9 2 3 2 2" xfId="5737"/>
    <cellStyle name="Normal 9 2 3 2 2 2" xfId="44724"/>
    <cellStyle name="Normal 9 2 3 2 2 2 2" xfId="59850"/>
    <cellStyle name="Normal 9 2 3 2 2 3" xfId="42488"/>
    <cellStyle name="Normal 9 2 3 2 2 3 2" xfId="57615"/>
    <cellStyle name="Normal 9 2 3 2 2 4" xfId="40208"/>
    <cellStyle name="Normal 9 2 3 2 2 4 2" xfId="55336"/>
    <cellStyle name="Normal 9 2 3 2 2 5" xfId="50422"/>
    <cellStyle name="Normal 9 2 3 2 3" xfId="12198"/>
    <cellStyle name="Normal 9 2 3 2 3 2" xfId="43158"/>
    <cellStyle name="Normal 9 2 3 2 3 2 2" xfId="58284"/>
    <cellStyle name="Normal 9 2 3 2 3 3" xfId="52452"/>
    <cellStyle name="Normal 9 2 3 2 4" xfId="3671"/>
    <cellStyle name="Normal 9 2 3 2 4 2" xfId="40922"/>
    <cellStyle name="Normal 9 2 3 2 4 2 2" xfId="56049"/>
    <cellStyle name="Normal 9 2 3 2 4 3" xfId="48364"/>
    <cellStyle name="Normal 9 2 3 2 5" xfId="39066"/>
    <cellStyle name="Normal 9 2 3 2 5 2" xfId="54197"/>
    <cellStyle name="Normal 9 2 3 2 6" xfId="46618"/>
    <cellStyle name="Normal 9 2 3 3" xfId="1599"/>
    <cellStyle name="Normal 9 2 3 3 2" xfId="5948"/>
    <cellStyle name="Normal 9 2 3 3 2 2" xfId="44373"/>
    <cellStyle name="Normal 9 2 3 3 2 2 2" xfId="59499"/>
    <cellStyle name="Normal 9 2 3 3 2 3" xfId="42137"/>
    <cellStyle name="Normal 9 2 3 3 2 3 2" xfId="57264"/>
    <cellStyle name="Normal 9 2 3 3 2 4" xfId="39857"/>
    <cellStyle name="Normal 9 2 3 3 2 4 2" xfId="54985"/>
    <cellStyle name="Normal 9 2 3 3 2 5" xfId="50633"/>
    <cellStyle name="Normal 9 2 3 3 3" xfId="12409"/>
    <cellStyle name="Normal 9 2 3 3 3 2" xfId="43509"/>
    <cellStyle name="Normal 9 2 3 3 3 2 2" xfId="58635"/>
    <cellStyle name="Normal 9 2 3 3 3 3" xfId="52663"/>
    <cellStyle name="Normal 9 2 3 3 4" xfId="3898"/>
    <cellStyle name="Normal 9 2 3 3 4 2" xfId="41273"/>
    <cellStyle name="Normal 9 2 3 3 4 2 2" xfId="56400"/>
    <cellStyle name="Normal 9 2 3 3 4 3" xfId="48591"/>
    <cellStyle name="Normal 9 2 3 3 5" xfId="38693"/>
    <cellStyle name="Normal 9 2 3 3 5 2" xfId="53846"/>
    <cellStyle name="Normal 9 2 3 3 6" xfId="46829"/>
    <cellStyle name="Normal 9 2 3 4" xfId="1086"/>
    <cellStyle name="Normal 9 2 3 4 2" xfId="5435"/>
    <cellStyle name="Normal 9 2 3 4 2 2" xfId="43935"/>
    <cellStyle name="Normal 9 2 3 4 2 2 2" xfId="59061"/>
    <cellStyle name="Normal 9 2 3 4 2 3" xfId="50120"/>
    <cellStyle name="Normal 9 2 3 4 3" xfId="11896"/>
    <cellStyle name="Normal 9 2 3 4 3 2" xfId="41699"/>
    <cellStyle name="Normal 9 2 3 4 3 2 2" xfId="56826"/>
    <cellStyle name="Normal 9 2 3 4 3 3" xfId="52150"/>
    <cellStyle name="Normal 9 2 3 4 4" xfId="4257"/>
    <cellStyle name="Normal 9 2 3 4 4 2" xfId="48947"/>
    <cellStyle name="Normal 9 2 3 4 5" xfId="39419"/>
    <cellStyle name="Normal 9 2 3 4 5 2" xfId="54547"/>
    <cellStyle name="Normal 9 2 3 4 6" xfId="46316"/>
    <cellStyle name="Normal 9 2 3 5" xfId="1992"/>
    <cellStyle name="Normal 9 2 3 5 2" xfId="12799"/>
    <cellStyle name="Normal 9 2 3 5 2 2" xfId="53052"/>
    <cellStyle name="Normal 9 2 3 5 3" xfId="6339"/>
    <cellStyle name="Normal 9 2 3 5 3 2" xfId="51022"/>
    <cellStyle name="Normal 9 2 3 5 4" xfId="42807"/>
    <cellStyle name="Normal 9 2 3 5 4 2" xfId="57934"/>
    <cellStyle name="Normal 9 2 3 5 5" xfId="47218"/>
    <cellStyle name="Normal 9 2 3 6" xfId="4683"/>
    <cellStyle name="Normal 9 2 3 6 2" xfId="40572"/>
    <cellStyle name="Normal 9 2 3 6 2 2" xfId="55699"/>
    <cellStyle name="Normal 9 2 3 6 3" xfId="49368"/>
    <cellStyle name="Normal 9 2 3 7" xfId="11144"/>
    <cellStyle name="Normal 9 2 3 7 2" xfId="51398"/>
    <cellStyle name="Normal 9 2 3 8" xfId="3321"/>
    <cellStyle name="Normal 9 2 3 8 2" xfId="48015"/>
    <cellStyle name="Normal 9 2 3 9" xfId="38208"/>
    <cellStyle name="Normal 9 2 3 9 2" xfId="53408"/>
    <cellStyle name="Normal 9 2 4" xfId="455"/>
    <cellStyle name="Normal 9 2 4 2" xfId="1720"/>
    <cellStyle name="Normal 9 2 4 2 2" xfId="6069"/>
    <cellStyle name="Normal 9 2 4 2 2 2" xfId="44800"/>
    <cellStyle name="Normal 9 2 4 2 2 2 2" xfId="59926"/>
    <cellStyle name="Normal 9 2 4 2 2 3" xfId="42564"/>
    <cellStyle name="Normal 9 2 4 2 2 3 2" xfId="57691"/>
    <cellStyle name="Normal 9 2 4 2 2 4" xfId="40284"/>
    <cellStyle name="Normal 9 2 4 2 2 4 2" xfId="55412"/>
    <cellStyle name="Normal 9 2 4 2 2 5" xfId="50754"/>
    <cellStyle name="Normal 9 2 4 2 3" xfId="12530"/>
    <cellStyle name="Normal 9 2 4 2 3 2" xfId="43234"/>
    <cellStyle name="Normal 9 2 4 2 3 2 2" xfId="58360"/>
    <cellStyle name="Normal 9 2 4 2 3 3" xfId="52784"/>
    <cellStyle name="Normal 9 2 4 2 4" xfId="4019"/>
    <cellStyle name="Normal 9 2 4 2 4 2" xfId="40998"/>
    <cellStyle name="Normal 9 2 4 2 4 2 2" xfId="56125"/>
    <cellStyle name="Normal 9 2 4 2 4 3" xfId="48712"/>
    <cellStyle name="Normal 9 2 4 2 5" xfId="39142"/>
    <cellStyle name="Normal 9 2 4 2 5 2" xfId="54273"/>
    <cellStyle name="Normal 9 2 4 2 6" xfId="46950"/>
    <cellStyle name="Normal 9 2 4 3" xfId="1207"/>
    <cellStyle name="Normal 9 2 4 3 2" xfId="5556"/>
    <cellStyle name="Normal 9 2 4 3 2 2" xfId="44449"/>
    <cellStyle name="Normal 9 2 4 3 2 2 2" xfId="59575"/>
    <cellStyle name="Normal 9 2 4 3 2 3" xfId="42213"/>
    <cellStyle name="Normal 9 2 4 3 2 3 2" xfId="57340"/>
    <cellStyle name="Normal 9 2 4 3 2 4" xfId="39933"/>
    <cellStyle name="Normal 9 2 4 3 2 4 2" xfId="55061"/>
    <cellStyle name="Normal 9 2 4 3 2 5" xfId="50241"/>
    <cellStyle name="Normal 9 2 4 3 3" xfId="12017"/>
    <cellStyle name="Normal 9 2 4 3 3 2" xfId="43585"/>
    <cellStyle name="Normal 9 2 4 3 3 2 2" xfId="58711"/>
    <cellStyle name="Normal 9 2 4 3 3 3" xfId="52271"/>
    <cellStyle name="Normal 9 2 4 3 4" xfId="4378"/>
    <cellStyle name="Normal 9 2 4 3 4 2" xfId="41349"/>
    <cellStyle name="Normal 9 2 4 3 4 2 2" xfId="56476"/>
    <cellStyle name="Normal 9 2 4 3 4 3" xfId="49068"/>
    <cellStyle name="Normal 9 2 4 3 5" xfId="38769"/>
    <cellStyle name="Normal 9 2 4 3 5 2" xfId="53922"/>
    <cellStyle name="Normal 9 2 4 3 6" xfId="46437"/>
    <cellStyle name="Normal 9 2 4 4" xfId="2069"/>
    <cellStyle name="Normal 9 2 4 4 2" xfId="12875"/>
    <cellStyle name="Normal 9 2 4 4 2 2" xfId="44011"/>
    <cellStyle name="Normal 9 2 4 4 2 2 2" xfId="59137"/>
    <cellStyle name="Normal 9 2 4 4 2 3" xfId="53128"/>
    <cellStyle name="Normal 9 2 4 4 3" xfId="6415"/>
    <cellStyle name="Normal 9 2 4 4 3 2" xfId="41775"/>
    <cellStyle name="Normal 9 2 4 4 3 2 2" xfId="56902"/>
    <cellStyle name="Normal 9 2 4 4 3 3" xfId="51098"/>
    <cellStyle name="Normal 9 2 4 4 4" xfId="39495"/>
    <cellStyle name="Normal 9 2 4 4 4 2" xfId="54623"/>
    <cellStyle name="Normal 9 2 4 4 5" xfId="47294"/>
    <cellStyle name="Normal 9 2 4 5" xfId="4804"/>
    <cellStyle name="Normal 9 2 4 5 2" xfId="42883"/>
    <cellStyle name="Normal 9 2 4 5 2 2" xfId="58010"/>
    <cellStyle name="Normal 9 2 4 5 3" xfId="49489"/>
    <cellStyle name="Normal 9 2 4 6" xfId="11265"/>
    <cellStyle name="Normal 9 2 4 6 2" xfId="40648"/>
    <cellStyle name="Normal 9 2 4 6 2 2" xfId="55775"/>
    <cellStyle name="Normal 9 2 4 6 3" xfId="51519"/>
    <cellStyle name="Normal 9 2 4 7" xfId="3442"/>
    <cellStyle name="Normal 9 2 4 7 2" xfId="48136"/>
    <cellStyle name="Normal 9 2 4 8" xfId="38284"/>
    <cellStyle name="Normal 9 2 4 8 2" xfId="53484"/>
    <cellStyle name="Normal 9 2 4 9" xfId="45685"/>
    <cellStyle name="Normal 9 2 5" xfId="909"/>
    <cellStyle name="Normal 9 2 5 2" xfId="5258"/>
    <cellStyle name="Normal 9 2 5 2 2" xfId="40056"/>
    <cellStyle name="Normal 9 2 5 2 2 2" xfId="44572"/>
    <cellStyle name="Normal 9 2 5 2 2 2 2" xfId="59698"/>
    <cellStyle name="Normal 9 2 5 2 2 3" xfId="42336"/>
    <cellStyle name="Normal 9 2 5 2 2 3 2" xfId="57463"/>
    <cellStyle name="Normal 9 2 5 2 2 4" xfId="55184"/>
    <cellStyle name="Normal 9 2 5 2 3" xfId="43685"/>
    <cellStyle name="Normal 9 2 5 2 3 2" xfId="58811"/>
    <cellStyle name="Normal 9 2 5 2 4" xfId="41449"/>
    <cellStyle name="Normal 9 2 5 2 4 2" xfId="56576"/>
    <cellStyle name="Normal 9 2 5 2 5" xfId="38913"/>
    <cellStyle name="Normal 9 2 5 2 5 2" xfId="54045"/>
    <cellStyle name="Normal 9 2 5 2 6" xfId="49943"/>
    <cellStyle name="Normal 9 2 5 3" xfId="11719"/>
    <cellStyle name="Normal 9 2 5 3 2" xfId="44095"/>
    <cellStyle name="Normal 9 2 5 3 2 2" xfId="59221"/>
    <cellStyle name="Normal 9 2 5 3 3" xfId="41859"/>
    <cellStyle name="Normal 9 2 5 3 3 2" xfId="56986"/>
    <cellStyle name="Normal 9 2 5 3 4" xfId="39579"/>
    <cellStyle name="Normal 9 2 5 3 4 2" xfId="54707"/>
    <cellStyle name="Normal 9 2 5 3 5" xfId="51973"/>
    <cellStyle name="Normal 9 2 5 4" xfId="3144"/>
    <cellStyle name="Normal 9 2 5 4 2" xfId="43006"/>
    <cellStyle name="Normal 9 2 5 4 2 2" xfId="58132"/>
    <cellStyle name="Normal 9 2 5 4 3" xfId="47838"/>
    <cellStyle name="Normal 9 2 5 5" xfId="40770"/>
    <cellStyle name="Normal 9 2 5 5 2" xfId="55897"/>
    <cellStyle name="Normal 9 2 5 6" xfId="38409"/>
    <cellStyle name="Normal 9 2 5 6 2" xfId="53568"/>
    <cellStyle name="Normal 9 2 5 7" xfId="46139"/>
    <cellStyle name="Normal 9 2 6" xfId="786"/>
    <cellStyle name="Normal 9 2 6 2" xfId="5135"/>
    <cellStyle name="Normal 9 2 6 2 2" xfId="44221"/>
    <cellStyle name="Normal 9 2 6 2 2 2" xfId="59347"/>
    <cellStyle name="Normal 9 2 6 2 3" xfId="41985"/>
    <cellStyle name="Normal 9 2 6 2 3 2" xfId="57112"/>
    <cellStyle name="Normal 9 2 6 2 4" xfId="39705"/>
    <cellStyle name="Normal 9 2 6 2 4 2" xfId="54833"/>
    <cellStyle name="Normal 9 2 6 2 5" xfId="49820"/>
    <cellStyle name="Normal 9 2 6 3" xfId="11596"/>
    <cellStyle name="Normal 9 2 6 3 2" xfId="43357"/>
    <cellStyle name="Normal 9 2 6 3 2 2" xfId="58483"/>
    <cellStyle name="Normal 9 2 6 3 3" xfId="51850"/>
    <cellStyle name="Normal 9 2 6 4" xfId="3021"/>
    <cellStyle name="Normal 9 2 6 4 2" xfId="41121"/>
    <cellStyle name="Normal 9 2 6 4 2 2" xfId="56248"/>
    <cellStyle name="Normal 9 2 6 4 3" xfId="47715"/>
    <cellStyle name="Normal 9 2 6 5" xfId="38539"/>
    <cellStyle name="Normal 9 2 6 5 2" xfId="53694"/>
    <cellStyle name="Normal 9 2 6 6" xfId="46016"/>
    <cellStyle name="Normal 9 2 7" xfId="576"/>
    <cellStyle name="Normal 9 2 7 2" xfId="4925"/>
    <cellStyle name="Normal 9 2 7 2 2" xfId="43783"/>
    <cellStyle name="Normal 9 2 7 2 2 2" xfId="58909"/>
    <cellStyle name="Normal 9 2 7 2 3" xfId="49610"/>
    <cellStyle name="Normal 9 2 7 3" xfId="11386"/>
    <cellStyle name="Normal 9 2 7 3 2" xfId="41547"/>
    <cellStyle name="Normal 9 2 7 3 2 2" xfId="56674"/>
    <cellStyle name="Normal 9 2 7 3 3" xfId="51640"/>
    <cellStyle name="Normal 9 2 7 4" xfId="4088"/>
    <cellStyle name="Normal 9 2 7 4 2" xfId="48780"/>
    <cellStyle name="Normal 9 2 7 5" xfId="39267"/>
    <cellStyle name="Normal 9 2 7 5 2" xfId="54395"/>
    <cellStyle name="Normal 9 2 7 6" xfId="45806"/>
    <cellStyle name="Normal 9 2 8" xfId="1837"/>
    <cellStyle name="Normal 9 2 8 2" xfId="12646"/>
    <cellStyle name="Normal 9 2 8 2 2" xfId="52900"/>
    <cellStyle name="Normal 9 2 8 3" xfId="6185"/>
    <cellStyle name="Normal 9 2 8 3 2" xfId="50870"/>
    <cellStyle name="Normal 9 2 8 4" xfId="42655"/>
    <cellStyle name="Normal 9 2 8 4 2" xfId="57782"/>
    <cellStyle name="Normal 9 2 8 5" xfId="47066"/>
    <cellStyle name="Normal 9 2 9" xfId="2651"/>
    <cellStyle name="Normal 9 2 9 2" xfId="4501"/>
    <cellStyle name="Normal 9 2 9 2 2" xfId="49191"/>
    <cellStyle name="Normal 9 2 9 3" xfId="40420"/>
    <cellStyle name="Normal 9 2 9 3 2" xfId="55547"/>
    <cellStyle name="Normal 9 2 9 4" xfId="47383"/>
    <cellStyle name="Normal 9 3" xfId="242"/>
    <cellStyle name="Normal 9 3 10" xfId="38055"/>
    <cellStyle name="Normal 9 3 10 2" xfId="53255"/>
    <cellStyle name="Normal 9 3 11" xfId="45474"/>
    <cellStyle name="Normal 9 3 2" xfId="996"/>
    <cellStyle name="Normal 9 3 2 2" xfId="5345"/>
    <cellStyle name="Normal 9 3 2 2 2" xfId="44571"/>
    <cellStyle name="Normal 9 3 2 2 2 2" xfId="59697"/>
    <cellStyle name="Normal 9 3 2 2 3" xfId="42335"/>
    <cellStyle name="Normal 9 3 2 2 3 2" xfId="57462"/>
    <cellStyle name="Normal 9 3 2 2 4" xfId="40055"/>
    <cellStyle name="Normal 9 3 2 2 4 2" xfId="55183"/>
    <cellStyle name="Normal 9 3 2 2 5" xfId="50030"/>
    <cellStyle name="Normal 9 3 2 3" xfId="11806"/>
    <cellStyle name="Normal 9 3 2 3 2" xfId="43005"/>
    <cellStyle name="Normal 9 3 2 3 2 2" xfId="58131"/>
    <cellStyle name="Normal 9 3 2 3 3" xfId="52060"/>
    <cellStyle name="Normal 9 3 2 4" xfId="3231"/>
    <cellStyle name="Normal 9 3 2 4 2" xfId="40769"/>
    <cellStyle name="Normal 9 3 2 4 2 2" xfId="55896"/>
    <cellStyle name="Normal 9 3 2 4 3" xfId="47925"/>
    <cellStyle name="Normal 9 3 2 5" xfId="38912"/>
    <cellStyle name="Normal 9 3 2 5 2" xfId="54044"/>
    <cellStyle name="Normal 9 3 2 6" xfId="46226"/>
    <cellStyle name="Normal 9 3 3" xfId="1298"/>
    <cellStyle name="Normal 9 3 3 2" xfId="5647"/>
    <cellStyle name="Normal 9 3 3 2 2" xfId="44220"/>
    <cellStyle name="Normal 9 3 3 2 2 2" xfId="59346"/>
    <cellStyle name="Normal 9 3 3 2 3" xfId="41984"/>
    <cellStyle name="Normal 9 3 3 2 3 2" xfId="57111"/>
    <cellStyle name="Normal 9 3 3 2 4" xfId="39704"/>
    <cellStyle name="Normal 9 3 3 2 4 2" xfId="54832"/>
    <cellStyle name="Normal 9 3 3 2 5" xfId="50332"/>
    <cellStyle name="Normal 9 3 3 3" xfId="12108"/>
    <cellStyle name="Normal 9 3 3 3 2" xfId="43356"/>
    <cellStyle name="Normal 9 3 3 3 2 2" xfId="58482"/>
    <cellStyle name="Normal 9 3 3 3 3" xfId="52362"/>
    <cellStyle name="Normal 9 3 3 4" xfId="3581"/>
    <cellStyle name="Normal 9 3 3 4 2" xfId="41120"/>
    <cellStyle name="Normal 9 3 3 4 2 2" xfId="56247"/>
    <cellStyle name="Normal 9 3 3 4 3" xfId="48274"/>
    <cellStyle name="Normal 9 3 3 5" xfId="38538"/>
    <cellStyle name="Normal 9 3 3 5 2" xfId="53693"/>
    <cellStyle name="Normal 9 3 3 6" xfId="46528"/>
    <cellStyle name="Normal 9 3 4" xfId="1509"/>
    <cellStyle name="Normal 9 3 4 2" xfId="5858"/>
    <cellStyle name="Normal 9 3 4 2 2" xfId="43782"/>
    <cellStyle name="Normal 9 3 4 2 2 2" xfId="58908"/>
    <cellStyle name="Normal 9 3 4 2 3" xfId="50543"/>
    <cellStyle name="Normal 9 3 4 3" xfId="12319"/>
    <cellStyle name="Normal 9 3 4 3 2" xfId="41546"/>
    <cellStyle name="Normal 9 3 4 3 2 2" xfId="56673"/>
    <cellStyle name="Normal 9 3 4 3 3" xfId="52573"/>
    <cellStyle name="Normal 9 3 4 4" xfId="3808"/>
    <cellStyle name="Normal 9 3 4 4 2" xfId="48501"/>
    <cellStyle name="Normal 9 3 4 5" xfId="39266"/>
    <cellStyle name="Normal 9 3 4 5 2" xfId="54394"/>
    <cellStyle name="Normal 9 3 4 6" xfId="46739"/>
    <cellStyle name="Normal 9 3 5" xfId="664"/>
    <cellStyle name="Normal 9 3 5 2" xfId="5013"/>
    <cellStyle name="Normal 9 3 5 2 2" xfId="49698"/>
    <cellStyle name="Normal 9 3 5 3" xfId="11474"/>
    <cellStyle name="Normal 9 3 5 3 2" xfId="51728"/>
    <cellStyle name="Normal 9 3 5 4" xfId="4167"/>
    <cellStyle name="Normal 9 3 5 4 2" xfId="48857"/>
    <cellStyle name="Normal 9 3 5 5" xfId="42654"/>
    <cellStyle name="Normal 9 3 5 5 2" xfId="57781"/>
    <cellStyle name="Normal 9 3 5 6" xfId="45894"/>
    <cellStyle name="Normal 9 3 6" xfId="1836"/>
    <cellStyle name="Normal 9 3 6 2" xfId="12645"/>
    <cellStyle name="Normal 9 3 6 2 2" xfId="52899"/>
    <cellStyle name="Normal 9 3 6 3" xfId="6184"/>
    <cellStyle name="Normal 9 3 6 3 2" xfId="50869"/>
    <cellStyle name="Normal 9 3 6 4" xfId="40419"/>
    <cellStyle name="Normal 9 3 6 4 2" xfId="55546"/>
    <cellStyle name="Normal 9 3 6 5" xfId="47065"/>
    <cellStyle name="Normal 9 3 7" xfId="4591"/>
    <cellStyle name="Normal 9 3 7 2" xfId="49278"/>
    <cellStyle name="Normal 9 3 8" xfId="11054"/>
    <cellStyle name="Normal 9 3 8 2" xfId="51308"/>
    <cellStyle name="Normal 9 3 9" xfId="2898"/>
    <cellStyle name="Normal 9 3 9 2" xfId="47592"/>
    <cellStyle name="Normal 9 4" xfId="333"/>
    <cellStyle name="Normal 9 4 10" xfId="45563"/>
    <cellStyle name="Normal 9 4 2" xfId="1387"/>
    <cellStyle name="Normal 9 4 2 2" xfId="5736"/>
    <cellStyle name="Normal 9 4 2 2 2" xfId="44647"/>
    <cellStyle name="Normal 9 4 2 2 2 2" xfId="59773"/>
    <cellStyle name="Normal 9 4 2 2 3" xfId="42411"/>
    <cellStyle name="Normal 9 4 2 2 3 2" xfId="57538"/>
    <cellStyle name="Normal 9 4 2 2 4" xfId="40131"/>
    <cellStyle name="Normal 9 4 2 2 4 2" xfId="55259"/>
    <cellStyle name="Normal 9 4 2 2 5" xfId="50421"/>
    <cellStyle name="Normal 9 4 2 3" xfId="12197"/>
    <cellStyle name="Normal 9 4 2 3 2" xfId="43081"/>
    <cellStyle name="Normal 9 4 2 3 2 2" xfId="58207"/>
    <cellStyle name="Normal 9 4 2 3 3" xfId="52451"/>
    <cellStyle name="Normal 9 4 2 4" xfId="3670"/>
    <cellStyle name="Normal 9 4 2 4 2" xfId="40845"/>
    <cellStyle name="Normal 9 4 2 4 2 2" xfId="55972"/>
    <cellStyle name="Normal 9 4 2 4 3" xfId="48363"/>
    <cellStyle name="Normal 9 4 2 5" xfId="38989"/>
    <cellStyle name="Normal 9 4 2 5 2" xfId="54120"/>
    <cellStyle name="Normal 9 4 2 6" xfId="46617"/>
    <cellStyle name="Normal 9 4 3" xfId="1598"/>
    <cellStyle name="Normal 9 4 3 2" xfId="5947"/>
    <cellStyle name="Normal 9 4 3 2 2" xfId="44296"/>
    <cellStyle name="Normal 9 4 3 2 2 2" xfId="59422"/>
    <cellStyle name="Normal 9 4 3 2 3" xfId="42060"/>
    <cellStyle name="Normal 9 4 3 2 3 2" xfId="57187"/>
    <cellStyle name="Normal 9 4 3 2 4" xfId="39780"/>
    <cellStyle name="Normal 9 4 3 2 4 2" xfId="54908"/>
    <cellStyle name="Normal 9 4 3 2 5" xfId="50632"/>
    <cellStyle name="Normal 9 4 3 3" xfId="12408"/>
    <cellStyle name="Normal 9 4 3 3 2" xfId="43432"/>
    <cellStyle name="Normal 9 4 3 3 2 2" xfId="58558"/>
    <cellStyle name="Normal 9 4 3 3 3" xfId="52662"/>
    <cellStyle name="Normal 9 4 3 4" xfId="3897"/>
    <cellStyle name="Normal 9 4 3 4 2" xfId="41196"/>
    <cellStyle name="Normal 9 4 3 4 2 2" xfId="56323"/>
    <cellStyle name="Normal 9 4 3 4 3" xfId="48590"/>
    <cellStyle name="Normal 9 4 3 5" xfId="38616"/>
    <cellStyle name="Normal 9 4 3 5 2" xfId="53769"/>
    <cellStyle name="Normal 9 4 3 6" xfId="46828"/>
    <cellStyle name="Normal 9 4 4" xfId="1085"/>
    <cellStyle name="Normal 9 4 4 2" xfId="5434"/>
    <cellStyle name="Normal 9 4 4 2 2" xfId="43858"/>
    <cellStyle name="Normal 9 4 4 2 2 2" xfId="58984"/>
    <cellStyle name="Normal 9 4 4 2 3" xfId="50119"/>
    <cellStyle name="Normal 9 4 4 3" xfId="11895"/>
    <cellStyle name="Normal 9 4 4 3 2" xfId="41622"/>
    <cellStyle name="Normal 9 4 4 3 2 2" xfId="56749"/>
    <cellStyle name="Normal 9 4 4 3 3" xfId="52149"/>
    <cellStyle name="Normal 9 4 4 4" xfId="4256"/>
    <cellStyle name="Normal 9 4 4 4 2" xfId="48946"/>
    <cellStyle name="Normal 9 4 4 5" xfId="39342"/>
    <cellStyle name="Normal 9 4 4 5 2" xfId="54470"/>
    <cellStyle name="Normal 9 4 4 6" xfId="46315"/>
    <cellStyle name="Normal 9 4 5" xfId="1915"/>
    <cellStyle name="Normal 9 4 5 2" xfId="12722"/>
    <cellStyle name="Normal 9 4 5 2 2" xfId="52975"/>
    <cellStyle name="Normal 9 4 5 3" xfId="6262"/>
    <cellStyle name="Normal 9 4 5 3 2" xfId="50945"/>
    <cellStyle name="Normal 9 4 5 4" xfId="42730"/>
    <cellStyle name="Normal 9 4 5 4 2" xfId="57857"/>
    <cellStyle name="Normal 9 4 5 5" xfId="47141"/>
    <cellStyle name="Normal 9 4 6" xfId="4682"/>
    <cellStyle name="Normal 9 4 6 2" xfId="40495"/>
    <cellStyle name="Normal 9 4 6 2 2" xfId="55622"/>
    <cellStyle name="Normal 9 4 6 3" xfId="49367"/>
    <cellStyle name="Normal 9 4 7" xfId="11143"/>
    <cellStyle name="Normal 9 4 7 2" xfId="51397"/>
    <cellStyle name="Normal 9 4 8" xfId="3320"/>
    <cellStyle name="Normal 9 4 8 2" xfId="48014"/>
    <cellStyle name="Normal 9 4 9" xfId="38131"/>
    <cellStyle name="Normal 9 4 9 2" xfId="53331"/>
    <cellStyle name="Normal 9 5" xfId="454"/>
    <cellStyle name="Normal 9 5 2" xfId="1719"/>
    <cellStyle name="Normal 9 5 2 2" xfId="6068"/>
    <cellStyle name="Normal 9 5 2 2 2" xfId="44723"/>
    <cellStyle name="Normal 9 5 2 2 2 2" xfId="59849"/>
    <cellStyle name="Normal 9 5 2 2 3" xfId="42487"/>
    <cellStyle name="Normal 9 5 2 2 3 2" xfId="57614"/>
    <cellStyle name="Normal 9 5 2 2 4" xfId="40207"/>
    <cellStyle name="Normal 9 5 2 2 4 2" xfId="55335"/>
    <cellStyle name="Normal 9 5 2 2 5" xfId="50753"/>
    <cellStyle name="Normal 9 5 2 3" xfId="12529"/>
    <cellStyle name="Normal 9 5 2 3 2" xfId="43157"/>
    <cellStyle name="Normal 9 5 2 3 2 2" xfId="58283"/>
    <cellStyle name="Normal 9 5 2 3 3" xfId="52783"/>
    <cellStyle name="Normal 9 5 2 4" xfId="4018"/>
    <cellStyle name="Normal 9 5 2 4 2" xfId="40921"/>
    <cellStyle name="Normal 9 5 2 4 2 2" xfId="56048"/>
    <cellStyle name="Normal 9 5 2 4 3" xfId="48711"/>
    <cellStyle name="Normal 9 5 2 5" xfId="39065"/>
    <cellStyle name="Normal 9 5 2 5 2" xfId="54196"/>
    <cellStyle name="Normal 9 5 2 6" xfId="46949"/>
    <cellStyle name="Normal 9 5 3" xfId="1206"/>
    <cellStyle name="Normal 9 5 3 2" xfId="5555"/>
    <cellStyle name="Normal 9 5 3 2 2" xfId="44372"/>
    <cellStyle name="Normal 9 5 3 2 2 2" xfId="59498"/>
    <cellStyle name="Normal 9 5 3 2 3" xfId="42136"/>
    <cellStyle name="Normal 9 5 3 2 3 2" xfId="57263"/>
    <cellStyle name="Normal 9 5 3 2 4" xfId="39856"/>
    <cellStyle name="Normal 9 5 3 2 4 2" xfId="54984"/>
    <cellStyle name="Normal 9 5 3 2 5" xfId="50240"/>
    <cellStyle name="Normal 9 5 3 3" xfId="12016"/>
    <cellStyle name="Normal 9 5 3 3 2" xfId="43508"/>
    <cellStyle name="Normal 9 5 3 3 2 2" xfId="58634"/>
    <cellStyle name="Normal 9 5 3 3 3" xfId="52270"/>
    <cellStyle name="Normal 9 5 3 4" xfId="4377"/>
    <cellStyle name="Normal 9 5 3 4 2" xfId="41272"/>
    <cellStyle name="Normal 9 5 3 4 2 2" xfId="56399"/>
    <cellStyle name="Normal 9 5 3 4 3" xfId="49067"/>
    <cellStyle name="Normal 9 5 3 5" xfId="38692"/>
    <cellStyle name="Normal 9 5 3 5 2" xfId="53845"/>
    <cellStyle name="Normal 9 5 3 6" xfId="46436"/>
    <cellStyle name="Normal 9 5 4" xfId="1991"/>
    <cellStyle name="Normal 9 5 4 2" xfId="12798"/>
    <cellStyle name="Normal 9 5 4 2 2" xfId="43934"/>
    <cellStyle name="Normal 9 5 4 2 2 2" xfId="59060"/>
    <cellStyle name="Normal 9 5 4 2 3" xfId="53051"/>
    <cellStyle name="Normal 9 5 4 3" xfId="6338"/>
    <cellStyle name="Normal 9 5 4 3 2" xfId="41698"/>
    <cellStyle name="Normal 9 5 4 3 2 2" xfId="56825"/>
    <cellStyle name="Normal 9 5 4 3 3" xfId="51021"/>
    <cellStyle name="Normal 9 5 4 4" xfId="39418"/>
    <cellStyle name="Normal 9 5 4 4 2" xfId="54546"/>
    <cellStyle name="Normal 9 5 4 5" xfId="47217"/>
    <cellStyle name="Normal 9 5 5" xfId="4803"/>
    <cellStyle name="Normal 9 5 5 2" xfId="42806"/>
    <cellStyle name="Normal 9 5 5 2 2" xfId="57933"/>
    <cellStyle name="Normal 9 5 5 3" xfId="49488"/>
    <cellStyle name="Normal 9 5 6" xfId="11264"/>
    <cellStyle name="Normal 9 5 6 2" xfId="40571"/>
    <cellStyle name="Normal 9 5 6 2 2" xfId="55698"/>
    <cellStyle name="Normal 9 5 6 3" xfId="51518"/>
    <cellStyle name="Normal 9 5 7" xfId="3441"/>
    <cellStyle name="Normal 9 5 7 2" xfId="48135"/>
    <cellStyle name="Normal 9 5 8" xfId="38207"/>
    <cellStyle name="Normal 9 5 8 2" xfId="53407"/>
    <cellStyle name="Normal 9 5 9" xfId="45684"/>
    <cellStyle name="Normal 9 6" xfId="908"/>
    <cellStyle name="Normal 9 6 2" xfId="2068"/>
    <cellStyle name="Normal 9 6 2 2" xfId="12874"/>
    <cellStyle name="Normal 9 6 2 2 2" xfId="44799"/>
    <cellStyle name="Normal 9 6 2 2 2 2" xfId="59925"/>
    <cellStyle name="Normal 9 6 2 2 3" xfId="42563"/>
    <cellStyle name="Normal 9 6 2 2 3 2" xfId="57690"/>
    <cellStyle name="Normal 9 6 2 2 4" xfId="40283"/>
    <cellStyle name="Normal 9 6 2 2 4 2" xfId="55411"/>
    <cellStyle name="Normal 9 6 2 2 5" xfId="53127"/>
    <cellStyle name="Normal 9 6 2 3" xfId="6414"/>
    <cellStyle name="Normal 9 6 2 3 2" xfId="43233"/>
    <cellStyle name="Normal 9 6 2 3 2 2" xfId="58359"/>
    <cellStyle name="Normal 9 6 2 3 3" xfId="51097"/>
    <cellStyle name="Normal 9 6 2 4" xfId="40997"/>
    <cellStyle name="Normal 9 6 2 4 2" xfId="56124"/>
    <cellStyle name="Normal 9 6 2 5" xfId="39141"/>
    <cellStyle name="Normal 9 6 2 5 2" xfId="54272"/>
    <cellStyle name="Normal 9 6 2 6" xfId="47293"/>
    <cellStyle name="Normal 9 6 3" xfId="5257"/>
    <cellStyle name="Normal 9 6 3 2" xfId="39932"/>
    <cellStyle name="Normal 9 6 3 2 2" xfId="44448"/>
    <cellStyle name="Normal 9 6 3 2 2 2" xfId="59574"/>
    <cellStyle name="Normal 9 6 3 2 3" xfId="42212"/>
    <cellStyle name="Normal 9 6 3 2 3 2" xfId="57339"/>
    <cellStyle name="Normal 9 6 3 2 4" xfId="55060"/>
    <cellStyle name="Normal 9 6 3 3" xfId="43584"/>
    <cellStyle name="Normal 9 6 3 3 2" xfId="58710"/>
    <cellStyle name="Normal 9 6 3 4" xfId="41348"/>
    <cellStyle name="Normal 9 6 3 4 2" xfId="56475"/>
    <cellStyle name="Normal 9 6 3 5" xfId="38768"/>
    <cellStyle name="Normal 9 6 3 5 2" xfId="53921"/>
    <cellStyle name="Normal 9 6 3 6" xfId="49942"/>
    <cellStyle name="Normal 9 6 4" xfId="11718"/>
    <cellStyle name="Normal 9 6 4 2" xfId="44010"/>
    <cellStyle name="Normal 9 6 4 2 2" xfId="59136"/>
    <cellStyle name="Normal 9 6 4 3" xfId="41774"/>
    <cellStyle name="Normal 9 6 4 3 2" xfId="56901"/>
    <cellStyle name="Normal 9 6 4 4" xfId="39494"/>
    <cellStyle name="Normal 9 6 4 4 2" xfId="54622"/>
    <cellStyle name="Normal 9 6 4 5" xfId="51972"/>
    <cellStyle name="Normal 9 6 5" xfId="3143"/>
    <cellStyle name="Normal 9 6 5 2" xfId="42882"/>
    <cellStyle name="Normal 9 6 5 2 2" xfId="58009"/>
    <cellStyle name="Normal 9 6 5 3" xfId="47837"/>
    <cellStyle name="Normal 9 6 6" xfId="40647"/>
    <cellStyle name="Normal 9 6 6 2" xfId="55774"/>
    <cellStyle name="Normal 9 6 7" xfId="38283"/>
    <cellStyle name="Normal 9 6 7 2" xfId="53483"/>
    <cellStyle name="Normal 9 6 8" xfId="46138"/>
    <cellStyle name="Normal 9 7" xfId="785"/>
    <cellStyle name="Normal 9 7 2" xfId="5134"/>
    <cellStyle name="Normal 9 7 2 2" xfId="40009"/>
    <cellStyle name="Normal 9 7 2 2 2" xfId="44525"/>
    <cellStyle name="Normal 9 7 2 2 2 2" xfId="59651"/>
    <cellStyle name="Normal 9 7 2 2 3" xfId="42289"/>
    <cellStyle name="Normal 9 7 2 2 3 2" xfId="57416"/>
    <cellStyle name="Normal 9 7 2 2 4" xfId="55137"/>
    <cellStyle name="Normal 9 7 2 3" xfId="43660"/>
    <cellStyle name="Normal 9 7 2 3 2" xfId="58786"/>
    <cellStyle name="Normal 9 7 2 4" xfId="41424"/>
    <cellStyle name="Normal 9 7 2 4 2" xfId="56551"/>
    <cellStyle name="Normal 9 7 2 5" xfId="38866"/>
    <cellStyle name="Normal 9 7 2 5 2" xfId="53998"/>
    <cellStyle name="Normal 9 7 2 6" xfId="49819"/>
    <cellStyle name="Normal 9 7 3" xfId="11595"/>
    <cellStyle name="Normal 9 7 3 2" xfId="44094"/>
    <cellStyle name="Normal 9 7 3 2 2" xfId="59220"/>
    <cellStyle name="Normal 9 7 3 3" xfId="41858"/>
    <cellStyle name="Normal 9 7 3 3 2" xfId="56985"/>
    <cellStyle name="Normal 9 7 3 4" xfId="39578"/>
    <cellStyle name="Normal 9 7 3 4 2" xfId="54706"/>
    <cellStyle name="Normal 9 7 3 5" xfId="51849"/>
    <cellStyle name="Normal 9 7 4" xfId="3020"/>
    <cellStyle name="Normal 9 7 4 2" xfId="42959"/>
    <cellStyle name="Normal 9 7 4 2 2" xfId="58085"/>
    <cellStyle name="Normal 9 7 4 3" xfId="47714"/>
    <cellStyle name="Normal 9 7 5" xfId="40723"/>
    <cellStyle name="Normal 9 7 5 2" xfId="55850"/>
    <cellStyle name="Normal 9 7 6" xfId="38408"/>
    <cellStyle name="Normal 9 7 6 2" xfId="53567"/>
    <cellStyle name="Normal 9 7 7" xfId="46015"/>
    <cellStyle name="Normal 9 8" xfId="575"/>
    <cellStyle name="Normal 9 8 2" xfId="4924"/>
    <cellStyle name="Normal 9 8 2 2" xfId="44174"/>
    <cellStyle name="Normal 9 8 2 2 2" xfId="59300"/>
    <cellStyle name="Normal 9 8 2 3" xfId="41938"/>
    <cellStyle name="Normal 9 8 2 3 2" xfId="57065"/>
    <cellStyle name="Normal 9 8 2 4" xfId="39658"/>
    <cellStyle name="Normal 9 8 2 4 2" xfId="54786"/>
    <cellStyle name="Normal 9 8 2 5" xfId="49609"/>
    <cellStyle name="Normal 9 8 3" xfId="11385"/>
    <cellStyle name="Normal 9 8 3 2" xfId="43310"/>
    <cellStyle name="Normal 9 8 3 2 2" xfId="58436"/>
    <cellStyle name="Normal 9 8 3 3" xfId="51639"/>
    <cellStyle name="Normal 9 8 4" xfId="3475"/>
    <cellStyle name="Normal 9 8 4 2" xfId="41074"/>
    <cellStyle name="Normal 9 8 4 2 2" xfId="56201"/>
    <cellStyle name="Normal 9 8 4 3" xfId="48169"/>
    <cellStyle name="Normal 9 8 5" xfId="38491"/>
    <cellStyle name="Normal 9 8 5 2" xfId="53647"/>
    <cellStyle name="Normal 9 8 6" xfId="45805"/>
    <cellStyle name="Normal 9 9" xfId="1789"/>
    <cellStyle name="Normal 9 9 2" xfId="12599"/>
    <cellStyle name="Normal 9 9 2 2" xfId="43736"/>
    <cellStyle name="Normal 9 9 2 2 2" xfId="58862"/>
    <cellStyle name="Normal 9 9 2 3" xfId="52853"/>
    <cellStyle name="Normal 9 9 3" xfId="6138"/>
    <cellStyle name="Normal 9 9 3 2" xfId="41500"/>
    <cellStyle name="Normal 9 9 3 2 2" xfId="56627"/>
    <cellStyle name="Normal 9 9 3 3" xfId="50823"/>
    <cellStyle name="Normal 9 9 4" xfId="39220"/>
    <cellStyle name="Normal 9 9 4 2" xfId="54348"/>
    <cellStyle name="Normal 9 9 5" xfId="47019"/>
    <cellStyle name="Normal_SanDiegoBaselineScenario" xfId="21"/>
    <cellStyle name="Normal_Sheet1" xfId="17"/>
    <cellStyle name="Note 2" xfId="89"/>
    <cellStyle name="Note 2 10" xfId="2807"/>
    <cellStyle name="Note 2 10 2" xfId="47505"/>
    <cellStyle name="Note 2 11" xfId="39183"/>
    <cellStyle name="Note 2 11 2" xfId="54312"/>
    <cellStyle name="Note 2 12" xfId="45341"/>
    <cellStyle name="Note 2 13" xfId="60010"/>
    <cellStyle name="Note 2 2" xfId="244"/>
    <cellStyle name="Note 2 2 10" xfId="45476"/>
    <cellStyle name="Note 2 2 2" xfId="998"/>
    <cellStyle name="Note 2 2 2 2" xfId="5347"/>
    <cellStyle name="Note 2 2 2 2 2" xfId="50032"/>
    <cellStyle name="Note 2 2 2 3" xfId="11808"/>
    <cellStyle name="Note 2 2 2 3 2" xfId="52062"/>
    <cellStyle name="Note 2 2 2 4" xfId="3233"/>
    <cellStyle name="Note 2 2 2 4 2" xfId="47927"/>
    <cellStyle name="Note 2 2 2 5" xfId="44839"/>
    <cellStyle name="Note 2 2 2 5 2" xfId="59965"/>
    <cellStyle name="Note 2 2 2 6" xfId="46228"/>
    <cellStyle name="Note 2 2 3" xfId="1300"/>
    <cellStyle name="Note 2 2 3 2" xfId="5649"/>
    <cellStyle name="Note 2 2 3 2 2" xfId="50334"/>
    <cellStyle name="Note 2 2 3 3" xfId="12110"/>
    <cellStyle name="Note 2 2 3 3 2" xfId="52364"/>
    <cellStyle name="Note 2 2 3 4" xfId="3583"/>
    <cellStyle name="Note 2 2 3 4 2" xfId="48276"/>
    <cellStyle name="Note 2 2 3 5" xfId="42603"/>
    <cellStyle name="Note 2 2 3 5 2" xfId="57730"/>
    <cellStyle name="Note 2 2 3 6" xfId="46530"/>
    <cellStyle name="Note 2 2 4" xfId="1511"/>
    <cellStyle name="Note 2 2 4 2" xfId="5860"/>
    <cellStyle name="Note 2 2 4 2 2" xfId="50545"/>
    <cellStyle name="Note 2 2 4 3" xfId="12321"/>
    <cellStyle name="Note 2 2 4 3 2" xfId="52575"/>
    <cellStyle name="Note 2 2 4 4" xfId="3810"/>
    <cellStyle name="Note 2 2 4 4 2" xfId="48503"/>
    <cellStyle name="Note 2 2 4 5" xfId="46741"/>
    <cellStyle name="Note 2 2 5" xfId="666"/>
    <cellStyle name="Note 2 2 5 2" xfId="5015"/>
    <cellStyle name="Note 2 2 5 2 2" xfId="49700"/>
    <cellStyle name="Note 2 2 5 3" xfId="11476"/>
    <cellStyle name="Note 2 2 5 3 2" xfId="51730"/>
    <cellStyle name="Note 2 2 5 4" xfId="4169"/>
    <cellStyle name="Note 2 2 5 4 2" xfId="48859"/>
    <cellStyle name="Note 2 2 5 5" xfId="45896"/>
    <cellStyle name="Note 2 2 6" xfId="4593"/>
    <cellStyle name="Note 2 2 6 2" xfId="49280"/>
    <cellStyle name="Note 2 2 7" xfId="11056"/>
    <cellStyle name="Note 2 2 7 2" xfId="51310"/>
    <cellStyle name="Note 2 2 8" xfId="2900"/>
    <cellStyle name="Note 2 2 8 2" xfId="47594"/>
    <cellStyle name="Note 2 2 9" xfId="40323"/>
    <cellStyle name="Note 2 2 9 2" xfId="55451"/>
    <cellStyle name="Note 2 3" xfId="335"/>
    <cellStyle name="Note 2 3 2" xfId="1389"/>
    <cellStyle name="Note 2 3 2 2" xfId="5738"/>
    <cellStyle name="Note 2 3 2 2 2" xfId="50423"/>
    <cellStyle name="Note 2 3 2 3" xfId="12199"/>
    <cellStyle name="Note 2 3 2 3 2" xfId="52453"/>
    <cellStyle name="Note 2 3 2 4" xfId="3672"/>
    <cellStyle name="Note 2 3 2 4 2" xfId="48365"/>
    <cellStyle name="Note 2 3 2 5" xfId="46619"/>
    <cellStyle name="Note 2 3 3" xfId="1600"/>
    <cellStyle name="Note 2 3 3 2" xfId="5949"/>
    <cellStyle name="Note 2 3 3 2 2" xfId="50634"/>
    <cellStyle name="Note 2 3 3 3" xfId="12410"/>
    <cellStyle name="Note 2 3 3 3 2" xfId="52664"/>
    <cellStyle name="Note 2 3 3 4" xfId="3899"/>
    <cellStyle name="Note 2 3 3 4 2" xfId="48592"/>
    <cellStyle name="Note 2 3 3 5" xfId="46830"/>
    <cellStyle name="Note 2 3 4" xfId="1087"/>
    <cellStyle name="Note 2 3 4 2" xfId="5436"/>
    <cellStyle name="Note 2 3 4 2 2" xfId="50121"/>
    <cellStyle name="Note 2 3 4 3" xfId="11897"/>
    <cellStyle name="Note 2 3 4 3 2" xfId="52151"/>
    <cellStyle name="Note 2 3 4 4" xfId="4258"/>
    <cellStyle name="Note 2 3 4 4 2" xfId="48948"/>
    <cellStyle name="Note 2 3 4 5" xfId="46317"/>
    <cellStyle name="Note 2 3 5" xfId="4684"/>
    <cellStyle name="Note 2 3 5 2" xfId="49369"/>
    <cellStyle name="Note 2 3 6" xfId="11145"/>
    <cellStyle name="Note 2 3 6 2" xfId="51399"/>
    <cellStyle name="Note 2 3 7" xfId="3322"/>
    <cellStyle name="Note 2 3 7 2" xfId="48016"/>
    <cellStyle name="Note 2 3 8" xfId="43273"/>
    <cellStyle name="Note 2 3 8 2" xfId="58399"/>
    <cellStyle name="Note 2 3 9" xfId="45565"/>
    <cellStyle name="Note 2 4" xfId="456"/>
    <cellStyle name="Note 2 4 2" xfId="1721"/>
    <cellStyle name="Note 2 4 2 2" xfId="6070"/>
    <cellStyle name="Note 2 4 2 2 2" xfId="50755"/>
    <cellStyle name="Note 2 4 2 3" xfId="12531"/>
    <cellStyle name="Note 2 4 2 3 2" xfId="52785"/>
    <cellStyle name="Note 2 4 2 4" xfId="4020"/>
    <cellStyle name="Note 2 4 2 4 2" xfId="48713"/>
    <cellStyle name="Note 2 4 2 5" xfId="46951"/>
    <cellStyle name="Note 2 4 3" xfId="1208"/>
    <cellStyle name="Note 2 4 3 2" xfId="5557"/>
    <cellStyle name="Note 2 4 3 2 2" xfId="50242"/>
    <cellStyle name="Note 2 4 3 3" xfId="12018"/>
    <cellStyle name="Note 2 4 3 3 2" xfId="52272"/>
    <cellStyle name="Note 2 4 3 4" xfId="4379"/>
    <cellStyle name="Note 2 4 3 4 2" xfId="49069"/>
    <cellStyle name="Note 2 4 3 5" xfId="46438"/>
    <cellStyle name="Note 2 4 4" xfId="4805"/>
    <cellStyle name="Note 2 4 4 2" xfId="49490"/>
    <cellStyle name="Note 2 4 5" xfId="11266"/>
    <cellStyle name="Note 2 4 5 2" xfId="51520"/>
    <cellStyle name="Note 2 4 6" xfId="3443"/>
    <cellStyle name="Note 2 4 6 2" xfId="48137"/>
    <cellStyle name="Note 2 4 7" xfId="41037"/>
    <cellStyle name="Note 2 4 7 2" xfId="56164"/>
    <cellStyle name="Note 2 4 8" xfId="45686"/>
    <cellStyle name="Note 2 5" xfId="863"/>
    <cellStyle name="Note 2 5 2" xfId="5212"/>
    <cellStyle name="Note 2 5 2 2" xfId="49897"/>
    <cellStyle name="Note 2 5 3" xfId="11673"/>
    <cellStyle name="Note 2 5 3 2" xfId="51927"/>
    <cellStyle name="Note 2 5 4" xfId="3098"/>
    <cellStyle name="Note 2 5 4 2" xfId="47792"/>
    <cellStyle name="Note 2 5 5" xfId="46093"/>
    <cellStyle name="Note 2 6" xfId="787"/>
    <cellStyle name="Note 2 6 2" xfId="5136"/>
    <cellStyle name="Note 2 6 2 2" xfId="49821"/>
    <cellStyle name="Note 2 6 3" xfId="11597"/>
    <cellStyle name="Note 2 6 3 2" xfId="51851"/>
    <cellStyle name="Note 2 6 4" xfId="3022"/>
    <cellStyle name="Note 2 6 4 2" xfId="47716"/>
    <cellStyle name="Note 2 6 5" xfId="46017"/>
    <cellStyle name="Note 2 7" xfId="577"/>
    <cellStyle name="Note 2 7 2" xfId="4926"/>
    <cellStyle name="Note 2 7 2 2" xfId="49611"/>
    <cellStyle name="Note 2 7 3" xfId="11387"/>
    <cellStyle name="Note 2 7 3 2" xfId="51641"/>
    <cellStyle name="Note 2 7 4" xfId="3510"/>
    <cellStyle name="Note 2 7 4 2" xfId="48203"/>
    <cellStyle name="Note 2 7 5" xfId="45807"/>
    <cellStyle name="Note 2 8" xfId="2652"/>
    <cellStyle name="Note 2 8 2" xfId="4455"/>
    <cellStyle name="Note 2 8 2 2" xfId="49145"/>
    <cellStyle name="Note 2 8 3" xfId="47384"/>
    <cellStyle name="Note 2 9" xfId="10921"/>
    <cellStyle name="Note 2 9 2" xfId="51175"/>
    <cellStyle name="Note 3" xfId="1240"/>
    <cellStyle name="Note 3 2" xfId="5589"/>
    <cellStyle name="Note 3 2 2" xfId="44488"/>
    <cellStyle name="Note 3 2 2 2" xfId="59614"/>
    <cellStyle name="Note 3 2 3" xfId="42252"/>
    <cellStyle name="Note 3 2 3 2" xfId="57379"/>
    <cellStyle name="Note 3 2 4" xfId="39972"/>
    <cellStyle name="Note 3 2 4 2" xfId="55100"/>
    <cellStyle name="Note 3 2 5" xfId="50274"/>
    <cellStyle name="Note 3 3" xfId="12050"/>
    <cellStyle name="Note 3 3 2" xfId="43624"/>
    <cellStyle name="Note 3 3 2 2" xfId="58750"/>
    <cellStyle name="Note 3 3 3" xfId="52304"/>
    <cellStyle name="Note 3 4" xfId="3486"/>
    <cellStyle name="Note 3 4 2" xfId="41388"/>
    <cellStyle name="Note 3 4 2 2" xfId="56515"/>
    <cellStyle name="Note 3 4 3" xfId="48180"/>
    <cellStyle name="Note 3 5" xfId="38808"/>
    <cellStyle name="Note 3 5 2" xfId="53961"/>
    <cellStyle name="Note 3 6" xfId="46470"/>
    <cellStyle name="Note 3 7" xfId="60011"/>
    <cellStyle name="Note 4" xfId="18318"/>
    <cellStyle name="Note 4 2" xfId="40368"/>
    <cellStyle name="Note 4 2 2" xfId="55496"/>
    <cellStyle name="Note 4 3" xfId="53161"/>
    <cellStyle name="Note 4 4" xfId="60012"/>
    <cellStyle name="Note 5" xfId="45291"/>
    <cellStyle name="Note 5 2" xfId="60013"/>
    <cellStyle name="Output" xfId="58" builtinId="21" customBuiltin="1"/>
    <cellStyle name="Percent" xfId="2" builtinId="5"/>
    <cellStyle name="Percent 10" xfId="1753"/>
    <cellStyle name="Percent 10 2" xfId="12563"/>
    <cellStyle name="Percent 10 2 2" xfId="52817"/>
    <cellStyle name="Percent 10 3" xfId="6102"/>
    <cellStyle name="Percent 10 3 2" xfId="50787"/>
    <cellStyle name="Percent 10 4" xfId="46983"/>
    <cellStyle name="Percent 11" xfId="45305"/>
    <cellStyle name="Percent 12" xfId="60014"/>
    <cellStyle name="Percent 2" xfId="5"/>
    <cellStyle name="Percent 2 10" xfId="367"/>
    <cellStyle name="Percent 2 10 2" xfId="1632"/>
    <cellStyle name="Percent 2 10 2 2" xfId="5981"/>
    <cellStyle name="Percent 2 10 2 2 2" xfId="44801"/>
    <cellStyle name="Percent 2 10 2 2 2 2" xfId="59927"/>
    <cellStyle name="Percent 2 10 2 2 3" xfId="42565"/>
    <cellStyle name="Percent 2 10 2 2 3 2" xfId="57692"/>
    <cellStyle name="Percent 2 10 2 2 4" xfId="40285"/>
    <cellStyle name="Percent 2 10 2 2 4 2" xfId="55413"/>
    <cellStyle name="Percent 2 10 2 2 5" xfId="50666"/>
    <cellStyle name="Percent 2 10 2 3" xfId="12442"/>
    <cellStyle name="Percent 2 10 2 3 2" xfId="43235"/>
    <cellStyle name="Percent 2 10 2 3 2 2" xfId="58361"/>
    <cellStyle name="Percent 2 10 2 3 3" xfId="52696"/>
    <cellStyle name="Percent 2 10 2 4" xfId="3931"/>
    <cellStyle name="Percent 2 10 2 4 2" xfId="40999"/>
    <cellStyle name="Percent 2 10 2 4 2 2" xfId="56126"/>
    <cellStyle name="Percent 2 10 2 4 3" xfId="48624"/>
    <cellStyle name="Percent 2 10 2 5" xfId="39143"/>
    <cellStyle name="Percent 2 10 2 5 2" xfId="54274"/>
    <cellStyle name="Percent 2 10 2 6" xfId="46862"/>
    <cellStyle name="Percent 2 10 3" xfId="1119"/>
    <cellStyle name="Percent 2 10 3 2" xfId="5468"/>
    <cellStyle name="Percent 2 10 3 2 2" xfId="44450"/>
    <cellStyle name="Percent 2 10 3 2 2 2" xfId="59576"/>
    <cellStyle name="Percent 2 10 3 2 3" xfId="42214"/>
    <cellStyle name="Percent 2 10 3 2 3 2" xfId="57341"/>
    <cellStyle name="Percent 2 10 3 2 4" xfId="39934"/>
    <cellStyle name="Percent 2 10 3 2 4 2" xfId="55062"/>
    <cellStyle name="Percent 2 10 3 2 5" xfId="50153"/>
    <cellStyle name="Percent 2 10 3 3" xfId="11929"/>
    <cellStyle name="Percent 2 10 3 3 2" xfId="43586"/>
    <cellStyle name="Percent 2 10 3 3 2 2" xfId="58712"/>
    <cellStyle name="Percent 2 10 3 3 3" xfId="52183"/>
    <cellStyle name="Percent 2 10 3 4" xfId="4290"/>
    <cellStyle name="Percent 2 10 3 4 2" xfId="41350"/>
    <cellStyle name="Percent 2 10 3 4 2 2" xfId="56477"/>
    <cellStyle name="Percent 2 10 3 4 3" xfId="48980"/>
    <cellStyle name="Percent 2 10 3 5" xfId="38770"/>
    <cellStyle name="Percent 2 10 3 5 2" xfId="53923"/>
    <cellStyle name="Percent 2 10 3 6" xfId="46349"/>
    <cellStyle name="Percent 2 10 4" xfId="2070"/>
    <cellStyle name="Percent 2 10 4 2" xfId="12876"/>
    <cellStyle name="Percent 2 10 4 2 2" xfId="44012"/>
    <cellStyle name="Percent 2 10 4 2 2 2" xfId="59138"/>
    <cellStyle name="Percent 2 10 4 2 3" xfId="53129"/>
    <cellStyle name="Percent 2 10 4 3" xfId="6416"/>
    <cellStyle name="Percent 2 10 4 3 2" xfId="41776"/>
    <cellStyle name="Percent 2 10 4 3 2 2" xfId="56903"/>
    <cellStyle name="Percent 2 10 4 3 3" xfId="51099"/>
    <cellStyle name="Percent 2 10 4 4" xfId="39496"/>
    <cellStyle name="Percent 2 10 4 4 2" xfId="54624"/>
    <cellStyle name="Percent 2 10 4 5" xfId="47295"/>
    <cellStyle name="Percent 2 10 5" xfId="4716"/>
    <cellStyle name="Percent 2 10 5 2" xfId="42884"/>
    <cellStyle name="Percent 2 10 5 2 2" xfId="58011"/>
    <cellStyle name="Percent 2 10 5 3" xfId="49401"/>
    <cellStyle name="Percent 2 10 6" xfId="11177"/>
    <cellStyle name="Percent 2 10 6 2" xfId="40649"/>
    <cellStyle name="Percent 2 10 6 2 2" xfId="55776"/>
    <cellStyle name="Percent 2 10 6 3" xfId="51431"/>
    <cellStyle name="Percent 2 10 7" xfId="3354"/>
    <cellStyle name="Percent 2 10 7 2" xfId="48048"/>
    <cellStyle name="Percent 2 10 8" xfId="38285"/>
    <cellStyle name="Percent 2 10 8 2" xfId="53485"/>
    <cellStyle name="Percent 2 10 9" xfId="45597"/>
    <cellStyle name="Percent 2 11" xfId="819"/>
    <cellStyle name="Percent 2 11 2" xfId="5168"/>
    <cellStyle name="Percent 2 11 2 2" xfId="40316"/>
    <cellStyle name="Percent 2 11 2 2 2" xfId="44832"/>
    <cellStyle name="Percent 2 11 2 2 2 2" xfId="59958"/>
    <cellStyle name="Percent 2 11 2 2 3" xfId="42596"/>
    <cellStyle name="Percent 2 11 2 2 3 2" xfId="57723"/>
    <cellStyle name="Percent 2 11 2 2 4" xfId="55444"/>
    <cellStyle name="Percent 2 11 2 3" xfId="43266"/>
    <cellStyle name="Percent 2 11 2 3 2" xfId="58392"/>
    <cellStyle name="Percent 2 11 2 4" xfId="41030"/>
    <cellStyle name="Percent 2 11 2 4 2" xfId="56157"/>
    <cellStyle name="Percent 2 11 2 5" xfId="39175"/>
    <cellStyle name="Percent 2 11 2 5 2" xfId="54305"/>
    <cellStyle name="Percent 2 11 2 6" xfId="49853"/>
    <cellStyle name="Percent 2 11 3" xfId="11629"/>
    <cellStyle name="Percent 2 11 3 2" xfId="39965"/>
    <cellStyle name="Percent 2 11 3 2 2" xfId="44481"/>
    <cellStyle name="Percent 2 11 3 2 2 2" xfId="59607"/>
    <cellStyle name="Percent 2 11 3 2 3" xfId="42245"/>
    <cellStyle name="Percent 2 11 3 2 3 2" xfId="57372"/>
    <cellStyle name="Percent 2 11 3 2 4" xfId="55093"/>
    <cellStyle name="Percent 2 11 3 3" xfId="43617"/>
    <cellStyle name="Percent 2 11 3 3 2" xfId="58743"/>
    <cellStyle name="Percent 2 11 3 4" xfId="41381"/>
    <cellStyle name="Percent 2 11 3 4 2" xfId="56508"/>
    <cellStyle name="Percent 2 11 3 5" xfId="38801"/>
    <cellStyle name="Percent 2 11 3 5 2" xfId="53954"/>
    <cellStyle name="Percent 2 11 3 6" xfId="51883"/>
    <cellStyle name="Percent 2 11 4" xfId="3054"/>
    <cellStyle name="Percent 2 11 4 2" xfId="44043"/>
    <cellStyle name="Percent 2 11 4 2 2" xfId="59169"/>
    <cellStyle name="Percent 2 11 4 3" xfId="41807"/>
    <cellStyle name="Percent 2 11 4 3 2" xfId="56934"/>
    <cellStyle name="Percent 2 11 4 4" xfId="39527"/>
    <cellStyle name="Percent 2 11 4 4 2" xfId="54655"/>
    <cellStyle name="Percent 2 11 4 5" xfId="47748"/>
    <cellStyle name="Percent 2 11 5" xfId="42915"/>
    <cellStyle name="Percent 2 11 5 2" xfId="58042"/>
    <cellStyle name="Percent 2 11 6" xfId="40680"/>
    <cellStyle name="Percent 2 11 6 2" xfId="55807"/>
    <cellStyle name="Percent 2 11 7" xfId="38357"/>
    <cellStyle name="Percent 2 11 7 2" xfId="53516"/>
    <cellStyle name="Percent 2 11 8" xfId="46049"/>
    <cellStyle name="Percent 2 12" xfId="698"/>
    <cellStyle name="Percent 2 12 2" xfId="5047"/>
    <cellStyle name="Percent 2 12 2 2" xfId="39975"/>
    <cellStyle name="Percent 2 12 2 2 2" xfId="44491"/>
    <cellStyle name="Percent 2 12 2 2 2 2" xfId="59617"/>
    <cellStyle name="Percent 2 12 2 2 3" xfId="42255"/>
    <cellStyle name="Percent 2 12 2 2 3 2" xfId="57382"/>
    <cellStyle name="Percent 2 12 2 2 4" xfId="55103"/>
    <cellStyle name="Percent 2 12 2 3" xfId="43626"/>
    <cellStyle name="Percent 2 12 2 3 2" xfId="58752"/>
    <cellStyle name="Percent 2 12 2 4" xfId="41390"/>
    <cellStyle name="Percent 2 12 2 4 2" xfId="56517"/>
    <cellStyle name="Percent 2 12 2 5" xfId="38832"/>
    <cellStyle name="Percent 2 12 2 5 2" xfId="53964"/>
    <cellStyle name="Percent 2 12 2 6" xfId="49732"/>
    <cellStyle name="Percent 2 12 3" xfId="11508"/>
    <cellStyle name="Percent 2 12 3 2" xfId="44096"/>
    <cellStyle name="Percent 2 12 3 2 2" xfId="59222"/>
    <cellStyle name="Percent 2 12 3 3" xfId="41860"/>
    <cellStyle name="Percent 2 12 3 3 2" xfId="56987"/>
    <cellStyle name="Percent 2 12 3 4" xfId="39580"/>
    <cellStyle name="Percent 2 12 3 4 2" xfId="54708"/>
    <cellStyle name="Percent 2 12 3 5" xfId="51762"/>
    <cellStyle name="Percent 2 12 4" xfId="2932"/>
    <cellStyle name="Percent 2 12 4 2" xfId="42925"/>
    <cellStyle name="Percent 2 12 4 2 2" xfId="58051"/>
    <cellStyle name="Percent 2 12 4 3" xfId="47626"/>
    <cellStyle name="Percent 2 12 5" xfId="40689"/>
    <cellStyle name="Percent 2 12 5 2" xfId="55816"/>
    <cellStyle name="Percent 2 12 6" xfId="38410"/>
    <cellStyle name="Percent 2 12 6 2" xfId="53569"/>
    <cellStyle name="Percent 2 12 7" xfId="45928"/>
    <cellStyle name="Percent 2 13" xfId="488"/>
    <cellStyle name="Percent 2 13 2" xfId="4837"/>
    <cellStyle name="Percent 2 13 2 2" xfId="44140"/>
    <cellStyle name="Percent 2 13 2 2 2" xfId="59266"/>
    <cellStyle name="Percent 2 13 2 3" xfId="41904"/>
    <cellStyle name="Percent 2 13 2 3 2" xfId="57031"/>
    <cellStyle name="Percent 2 13 2 4" xfId="39624"/>
    <cellStyle name="Percent 2 13 2 4 2" xfId="54752"/>
    <cellStyle name="Percent 2 13 2 5" xfId="49522"/>
    <cellStyle name="Percent 2 13 3" xfId="11298"/>
    <cellStyle name="Percent 2 13 3 2" xfId="43276"/>
    <cellStyle name="Percent 2 13 3 2 2" xfId="58402"/>
    <cellStyle name="Percent 2 13 3 3" xfId="51552"/>
    <cellStyle name="Percent 2 13 4" xfId="3511"/>
    <cellStyle name="Percent 2 13 4 2" xfId="41040"/>
    <cellStyle name="Percent 2 13 4 2 2" xfId="56167"/>
    <cellStyle name="Percent 2 13 4 3" xfId="48204"/>
    <cellStyle name="Percent 2 13 5" xfId="38457"/>
    <cellStyle name="Percent 2 13 5 2" xfId="53613"/>
    <cellStyle name="Percent 2 13 6" xfId="45718"/>
    <cellStyle name="Percent 2 14" xfId="1755"/>
    <cellStyle name="Percent 2 14 2" xfId="12565"/>
    <cellStyle name="Percent 2 14 2 2" xfId="43702"/>
    <cellStyle name="Percent 2 14 2 2 2" xfId="58828"/>
    <cellStyle name="Percent 2 14 2 3" xfId="52819"/>
    <cellStyle name="Percent 2 14 3" xfId="6104"/>
    <cellStyle name="Percent 2 14 3 2" xfId="41466"/>
    <cellStyle name="Percent 2 14 3 2 2" xfId="56593"/>
    <cellStyle name="Percent 2 14 3 3" xfId="50789"/>
    <cellStyle name="Percent 2 14 4" xfId="39186"/>
    <cellStyle name="Percent 2 14 4 2" xfId="54314"/>
    <cellStyle name="Percent 2 14 5" xfId="46985"/>
    <cellStyle name="Percent 2 15" xfId="2653"/>
    <cellStyle name="Percent 2 15 2" xfId="4411"/>
    <cellStyle name="Percent 2 15 2 2" xfId="49101"/>
    <cellStyle name="Percent 2 15 3" xfId="40326"/>
    <cellStyle name="Percent 2 15 3 2" xfId="55454"/>
    <cellStyle name="Percent 2 15 4" xfId="47385"/>
    <cellStyle name="Percent 2 16" xfId="10876"/>
    <cellStyle name="Percent 2 16 2" xfId="51131"/>
    <cellStyle name="Percent 2 17" xfId="2687"/>
    <cellStyle name="Percent 2 17 2" xfId="47416"/>
    <cellStyle name="Percent 2 18" xfId="37974"/>
    <cellStyle name="Percent 2 18 2" xfId="53175"/>
    <cellStyle name="Percent 2 19" xfId="45308"/>
    <cellStyle name="Percent 2 2" xfId="19"/>
    <cellStyle name="Percent 2 2 10" xfId="704"/>
    <cellStyle name="Percent 2 2 10 2" xfId="5053"/>
    <cellStyle name="Percent 2 2 10 2 2" xfId="39981"/>
    <cellStyle name="Percent 2 2 10 2 2 2" xfId="44497"/>
    <cellStyle name="Percent 2 2 10 2 2 2 2" xfId="59623"/>
    <cellStyle name="Percent 2 2 10 2 2 3" xfId="42261"/>
    <cellStyle name="Percent 2 2 10 2 2 3 2" xfId="57388"/>
    <cellStyle name="Percent 2 2 10 2 2 4" xfId="55109"/>
    <cellStyle name="Percent 2 2 10 2 3" xfId="43632"/>
    <cellStyle name="Percent 2 2 10 2 3 2" xfId="58758"/>
    <cellStyle name="Percent 2 2 10 2 4" xfId="41396"/>
    <cellStyle name="Percent 2 2 10 2 4 2" xfId="56523"/>
    <cellStyle name="Percent 2 2 10 2 5" xfId="38838"/>
    <cellStyle name="Percent 2 2 10 2 5 2" xfId="53970"/>
    <cellStyle name="Percent 2 2 10 2 6" xfId="49738"/>
    <cellStyle name="Percent 2 2 10 3" xfId="11514"/>
    <cellStyle name="Percent 2 2 10 3 2" xfId="44097"/>
    <cellStyle name="Percent 2 2 10 3 2 2" xfId="59223"/>
    <cellStyle name="Percent 2 2 10 3 3" xfId="41861"/>
    <cellStyle name="Percent 2 2 10 3 3 2" xfId="56988"/>
    <cellStyle name="Percent 2 2 10 3 4" xfId="39581"/>
    <cellStyle name="Percent 2 2 10 3 4 2" xfId="54709"/>
    <cellStyle name="Percent 2 2 10 3 5" xfId="51768"/>
    <cellStyle name="Percent 2 2 10 4" xfId="2938"/>
    <cellStyle name="Percent 2 2 10 4 2" xfId="42931"/>
    <cellStyle name="Percent 2 2 10 4 2 2" xfId="58057"/>
    <cellStyle name="Percent 2 2 10 4 3" xfId="47632"/>
    <cellStyle name="Percent 2 2 10 5" xfId="40695"/>
    <cellStyle name="Percent 2 2 10 5 2" xfId="55822"/>
    <cellStyle name="Percent 2 2 10 6" xfId="38411"/>
    <cellStyle name="Percent 2 2 10 6 2" xfId="53570"/>
    <cellStyle name="Percent 2 2 10 7" xfId="45934"/>
    <cellStyle name="Percent 2 2 11" xfId="494"/>
    <cellStyle name="Percent 2 2 11 2" xfId="4843"/>
    <cellStyle name="Percent 2 2 11 2 2" xfId="44146"/>
    <cellStyle name="Percent 2 2 11 2 2 2" xfId="59272"/>
    <cellStyle name="Percent 2 2 11 2 3" xfId="41910"/>
    <cellStyle name="Percent 2 2 11 2 3 2" xfId="57037"/>
    <cellStyle name="Percent 2 2 11 2 4" xfId="39630"/>
    <cellStyle name="Percent 2 2 11 2 4 2" xfId="54758"/>
    <cellStyle name="Percent 2 2 11 2 5" xfId="49528"/>
    <cellStyle name="Percent 2 2 11 3" xfId="11304"/>
    <cellStyle name="Percent 2 2 11 3 2" xfId="43282"/>
    <cellStyle name="Percent 2 2 11 3 2 2" xfId="58408"/>
    <cellStyle name="Percent 2 2 11 3 3" xfId="51558"/>
    <cellStyle name="Percent 2 2 11 4" xfId="3512"/>
    <cellStyle name="Percent 2 2 11 4 2" xfId="41046"/>
    <cellStyle name="Percent 2 2 11 4 2 2" xfId="56173"/>
    <cellStyle name="Percent 2 2 11 4 3" xfId="48205"/>
    <cellStyle name="Percent 2 2 11 5" xfId="38463"/>
    <cellStyle name="Percent 2 2 11 5 2" xfId="53619"/>
    <cellStyle name="Percent 2 2 11 6" xfId="45724"/>
    <cellStyle name="Percent 2 2 12" xfId="1761"/>
    <cellStyle name="Percent 2 2 12 2" xfId="12571"/>
    <cellStyle name="Percent 2 2 12 2 2" xfId="43708"/>
    <cellStyle name="Percent 2 2 12 2 2 2" xfId="58834"/>
    <cellStyle name="Percent 2 2 12 2 3" xfId="52825"/>
    <cellStyle name="Percent 2 2 12 3" xfId="6110"/>
    <cellStyle name="Percent 2 2 12 3 2" xfId="41472"/>
    <cellStyle name="Percent 2 2 12 3 2 2" xfId="56599"/>
    <cellStyle name="Percent 2 2 12 3 3" xfId="50795"/>
    <cellStyle name="Percent 2 2 12 4" xfId="39192"/>
    <cellStyle name="Percent 2 2 12 4 2" xfId="54320"/>
    <cellStyle name="Percent 2 2 12 5" xfId="46991"/>
    <cellStyle name="Percent 2 2 13" xfId="2654"/>
    <cellStyle name="Percent 2 2 13 2" xfId="4417"/>
    <cellStyle name="Percent 2 2 13 2 2" xfId="49107"/>
    <cellStyle name="Percent 2 2 13 3" xfId="40333"/>
    <cellStyle name="Percent 2 2 13 3 2" xfId="55461"/>
    <cellStyle name="Percent 2 2 13 4" xfId="47386"/>
    <cellStyle name="Percent 2 2 14" xfId="10882"/>
    <cellStyle name="Percent 2 2 14 2" xfId="51137"/>
    <cellStyle name="Percent 2 2 15" xfId="2697"/>
    <cellStyle name="Percent 2 2 15 2" xfId="47422"/>
    <cellStyle name="Percent 2 2 16" xfId="37980"/>
    <cellStyle name="Percent 2 2 16 2" xfId="53181"/>
    <cellStyle name="Percent 2 2 17" xfId="45315"/>
    <cellStyle name="Percent 2 2 2" xfId="30"/>
    <cellStyle name="Percent 2 2 2 10" xfId="502"/>
    <cellStyle name="Percent 2 2 2 10 2" xfId="4851"/>
    <cellStyle name="Percent 2 2 2 10 2 2" xfId="43716"/>
    <cellStyle name="Percent 2 2 2 10 2 2 2" xfId="58842"/>
    <cellStyle name="Percent 2 2 2 10 2 3" xfId="49536"/>
    <cellStyle name="Percent 2 2 2 10 3" xfId="11312"/>
    <cellStyle name="Percent 2 2 2 10 3 2" xfId="41480"/>
    <cellStyle name="Percent 2 2 2 10 3 2 2" xfId="56607"/>
    <cellStyle name="Percent 2 2 2 10 3 3" xfId="51566"/>
    <cellStyle name="Percent 2 2 2 10 4" xfId="3517"/>
    <cellStyle name="Percent 2 2 2 10 4 2" xfId="48210"/>
    <cellStyle name="Percent 2 2 2 10 5" xfId="39200"/>
    <cellStyle name="Percent 2 2 2 10 5 2" xfId="54328"/>
    <cellStyle name="Percent 2 2 2 10 6" xfId="45732"/>
    <cellStyle name="Percent 2 2 2 11" xfId="1769"/>
    <cellStyle name="Percent 2 2 2 11 2" xfId="12579"/>
    <cellStyle name="Percent 2 2 2 11 2 2" xfId="52833"/>
    <cellStyle name="Percent 2 2 2 11 3" xfId="6118"/>
    <cellStyle name="Percent 2 2 2 11 3 2" xfId="50803"/>
    <cellStyle name="Percent 2 2 2 11 4" xfId="40342"/>
    <cellStyle name="Percent 2 2 2 11 4 2" xfId="55470"/>
    <cellStyle name="Percent 2 2 2 11 5" xfId="46999"/>
    <cellStyle name="Percent 2 2 2 12" xfId="2655"/>
    <cellStyle name="Percent 2 2 2 12 2" xfId="4425"/>
    <cellStyle name="Percent 2 2 2 12 2 2" xfId="49115"/>
    <cellStyle name="Percent 2 2 2 12 3" xfId="47387"/>
    <cellStyle name="Percent 2 2 2 13" xfId="10890"/>
    <cellStyle name="Percent 2 2 2 13 2" xfId="51145"/>
    <cellStyle name="Percent 2 2 2 14" xfId="2706"/>
    <cellStyle name="Percent 2 2 2 14 2" xfId="47430"/>
    <cellStyle name="Percent 2 2 2 15" xfId="37988"/>
    <cellStyle name="Percent 2 2 2 15 2" xfId="53189"/>
    <cellStyle name="Percent 2 2 2 16" xfId="45323"/>
    <cellStyle name="Percent 2 2 2 2" xfId="47"/>
    <cellStyle name="Percent 2 2 2 2 10" xfId="1787"/>
    <cellStyle name="Percent 2 2 2 2 10 2" xfId="12597"/>
    <cellStyle name="Percent 2 2 2 2 10 2 2" xfId="52851"/>
    <cellStyle name="Percent 2 2 2 2 10 3" xfId="6136"/>
    <cellStyle name="Percent 2 2 2 2 10 3 2" xfId="50821"/>
    <cellStyle name="Percent 2 2 2 2 10 4" xfId="40358"/>
    <cellStyle name="Percent 2 2 2 2 10 4 2" xfId="55486"/>
    <cellStyle name="Percent 2 2 2 2 10 5" xfId="47017"/>
    <cellStyle name="Percent 2 2 2 2 11" xfId="2656"/>
    <cellStyle name="Percent 2 2 2 2 11 2" xfId="4441"/>
    <cellStyle name="Percent 2 2 2 2 11 2 2" xfId="49131"/>
    <cellStyle name="Percent 2 2 2 2 11 3" xfId="47388"/>
    <cellStyle name="Percent 2 2 2 2 12" xfId="10906"/>
    <cellStyle name="Percent 2 2 2 2 12 2" xfId="51161"/>
    <cellStyle name="Percent 2 2 2 2 13" xfId="2722"/>
    <cellStyle name="Percent 2 2 2 2 13 2" xfId="47446"/>
    <cellStyle name="Percent 2 2 2 2 14" xfId="38006"/>
    <cellStyle name="Percent 2 2 2 2 14 2" xfId="53207"/>
    <cellStyle name="Percent 2 2 2 2 15" xfId="45339"/>
    <cellStyle name="Percent 2 2 2 2 2" xfId="150"/>
    <cellStyle name="Percent 2 2 2 2 2 10" xfId="10972"/>
    <cellStyle name="Percent 2 2 2 2 2 10 2" xfId="51226"/>
    <cellStyle name="Percent 2 2 2 2 2 11" xfId="2812"/>
    <cellStyle name="Percent 2 2 2 2 2 11 2" xfId="47510"/>
    <cellStyle name="Percent 2 2 2 2 2 12" xfId="38061"/>
    <cellStyle name="Percent 2 2 2 2 2 12 2" xfId="53261"/>
    <cellStyle name="Percent 2 2 2 2 2 13" xfId="45392"/>
    <cellStyle name="Percent 2 2 2 2 2 2" xfId="249"/>
    <cellStyle name="Percent 2 2 2 2 2 2 10" xfId="38137"/>
    <cellStyle name="Percent 2 2 2 2 2 2 10 2" xfId="53337"/>
    <cellStyle name="Percent 2 2 2 2 2 2 11" xfId="45481"/>
    <cellStyle name="Percent 2 2 2 2 2 2 2" xfId="1003"/>
    <cellStyle name="Percent 2 2 2 2 2 2 2 2" xfId="5352"/>
    <cellStyle name="Percent 2 2 2 2 2 2 2 2 2" xfId="44653"/>
    <cellStyle name="Percent 2 2 2 2 2 2 2 2 2 2" xfId="59779"/>
    <cellStyle name="Percent 2 2 2 2 2 2 2 2 3" xfId="42417"/>
    <cellStyle name="Percent 2 2 2 2 2 2 2 2 3 2" xfId="57544"/>
    <cellStyle name="Percent 2 2 2 2 2 2 2 2 4" xfId="40137"/>
    <cellStyle name="Percent 2 2 2 2 2 2 2 2 4 2" xfId="55265"/>
    <cellStyle name="Percent 2 2 2 2 2 2 2 2 5" xfId="50037"/>
    <cellStyle name="Percent 2 2 2 2 2 2 2 3" xfId="11813"/>
    <cellStyle name="Percent 2 2 2 2 2 2 2 3 2" xfId="43087"/>
    <cellStyle name="Percent 2 2 2 2 2 2 2 3 2 2" xfId="58213"/>
    <cellStyle name="Percent 2 2 2 2 2 2 2 3 3" xfId="52067"/>
    <cellStyle name="Percent 2 2 2 2 2 2 2 4" xfId="3238"/>
    <cellStyle name="Percent 2 2 2 2 2 2 2 4 2" xfId="40851"/>
    <cellStyle name="Percent 2 2 2 2 2 2 2 4 2 2" xfId="55978"/>
    <cellStyle name="Percent 2 2 2 2 2 2 2 4 3" xfId="47932"/>
    <cellStyle name="Percent 2 2 2 2 2 2 2 5" xfId="38995"/>
    <cellStyle name="Percent 2 2 2 2 2 2 2 5 2" xfId="54126"/>
    <cellStyle name="Percent 2 2 2 2 2 2 2 6" xfId="46233"/>
    <cellStyle name="Percent 2 2 2 2 2 2 3" xfId="1305"/>
    <cellStyle name="Percent 2 2 2 2 2 2 3 2" xfId="5654"/>
    <cellStyle name="Percent 2 2 2 2 2 2 3 2 2" xfId="44302"/>
    <cellStyle name="Percent 2 2 2 2 2 2 3 2 2 2" xfId="59428"/>
    <cellStyle name="Percent 2 2 2 2 2 2 3 2 3" xfId="42066"/>
    <cellStyle name="Percent 2 2 2 2 2 2 3 2 3 2" xfId="57193"/>
    <cellStyle name="Percent 2 2 2 2 2 2 3 2 4" xfId="39786"/>
    <cellStyle name="Percent 2 2 2 2 2 2 3 2 4 2" xfId="54914"/>
    <cellStyle name="Percent 2 2 2 2 2 2 3 2 5" xfId="50339"/>
    <cellStyle name="Percent 2 2 2 2 2 2 3 3" xfId="12115"/>
    <cellStyle name="Percent 2 2 2 2 2 2 3 3 2" xfId="43438"/>
    <cellStyle name="Percent 2 2 2 2 2 2 3 3 2 2" xfId="58564"/>
    <cellStyle name="Percent 2 2 2 2 2 2 3 3 3" xfId="52369"/>
    <cellStyle name="Percent 2 2 2 2 2 2 3 4" xfId="3588"/>
    <cellStyle name="Percent 2 2 2 2 2 2 3 4 2" xfId="41202"/>
    <cellStyle name="Percent 2 2 2 2 2 2 3 4 2 2" xfId="56329"/>
    <cellStyle name="Percent 2 2 2 2 2 2 3 4 3" xfId="48281"/>
    <cellStyle name="Percent 2 2 2 2 2 2 3 5" xfId="38622"/>
    <cellStyle name="Percent 2 2 2 2 2 2 3 5 2" xfId="53775"/>
    <cellStyle name="Percent 2 2 2 2 2 2 3 6" xfId="46535"/>
    <cellStyle name="Percent 2 2 2 2 2 2 4" xfId="1516"/>
    <cellStyle name="Percent 2 2 2 2 2 2 4 2" xfId="5865"/>
    <cellStyle name="Percent 2 2 2 2 2 2 4 2 2" xfId="43864"/>
    <cellStyle name="Percent 2 2 2 2 2 2 4 2 2 2" xfId="58990"/>
    <cellStyle name="Percent 2 2 2 2 2 2 4 2 3" xfId="50550"/>
    <cellStyle name="Percent 2 2 2 2 2 2 4 3" xfId="12326"/>
    <cellStyle name="Percent 2 2 2 2 2 2 4 3 2" xfId="41628"/>
    <cellStyle name="Percent 2 2 2 2 2 2 4 3 2 2" xfId="56755"/>
    <cellStyle name="Percent 2 2 2 2 2 2 4 3 3" xfId="52580"/>
    <cellStyle name="Percent 2 2 2 2 2 2 4 4" xfId="3815"/>
    <cellStyle name="Percent 2 2 2 2 2 2 4 4 2" xfId="48508"/>
    <cellStyle name="Percent 2 2 2 2 2 2 4 5" xfId="39348"/>
    <cellStyle name="Percent 2 2 2 2 2 2 4 5 2" xfId="54476"/>
    <cellStyle name="Percent 2 2 2 2 2 2 4 6" xfId="46746"/>
    <cellStyle name="Percent 2 2 2 2 2 2 5" xfId="671"/>
    <cellStyle name="Percent 2 2 2 2 2 2 5 2" xfId="5020"/>
    <cellStyle name="Percent 2 2 2 2 2 2 5 2 2" xfId="49705"/>
    <cellStyle name="Percent 2 2 2 2 2 2 5 3" xfId="11481"/>
    <cellStyle name="Percent 2 2 2 2 2 2 5 3 2" xfId="51735"/>
    <cellStyle name="Percent 2 2 2 2 2 2 5 4" xfId="4174"/>
    <cellStyle name="Percent 2 2 2 2 2 2 5 4 2" xfId="48864"/>
    <cellStyle name="Percent 2 2 2 2 2 2 5 5" xfId="42736"/>
    <cellStyle name="Percent 2 2 2 2 2 2 5 5 2" xfId="57863"/>
    <cellStyle name="Percent 2 2 2 2 2 2 5 6" xfId="45901"/>
    <cellStyle name="Percent 2 2 2 2 2 2 6" xfId="1921"/>
    <cellStyle name="Percent 2 2 2 2 2 2 6 2" xfId="12728"/>
    <cellStyle name="Percent 2 2 2 2 2 2 6 2 2" xfId="52981"/>
    <cellStyle name="Percent 2 2 2 2 2 2 6 3" xfId="6268"/>
    <cellStyle name="Percent 2 2 2 2 2 2 6 3 2" xfId="50951"/>
    <cellStyle name="Percent 2 2 2 2 2 2 6 4" xfId="40501"/>
    <cellStyle name="Percent 2 2 2 2 2 2 6 4 2" xfId="55628"/>
    <cellStyle name="Percent 2 2 2 2 2 2 6 5" xfId="47147"/>
    <cellStyle name="Percent 2 2 2 2 2 2 7" xfId="4598"/>
    <cellStyle name="Percent 2 2 2 2 2 2 7 2" xfId="49285"/>
    <cellStyle name="Percent 2 2 2 2 2 2 8" xfId="11061"/>
    <cellStyle name="Percent 2 2 2 2 2 2 8 2" xfId="51315"/>
    <cellStyle name="Percent 2 2 2 2 2 2 9" xfId="2905"/>
    <cellStyle name="Percent 2 2 2 2 2 2 9 2" xfId="47599"/>
    <cellStyle name="Percent 2 2 2 2 2 3" xfId="340"/>
    <cellStyle name="Percent 2 2 2 2 2 3 10" xfId="45570"/>
    <cellStyle name="Percent 2 2 2 2 2 3 2" xfId="1394"/>
    <cellStyle name="Percent 2 2 2 2 2 3 2 2" xfId="5743"/>
    <cellStyle name="Percent 2 2 2 2 2 3 2 2 2" xfId="44729"/>
    <cellStyle name="Percent 2 2 2 2 2 3 2 2 2 2" xfId="59855"/>
    <cellStyle name="Percent 2 2 2 2 2 3 2 2 3" xfId="42493"/>
    <cellStyle name="Percent 2 2 2 2 2 3 2 2 3 2" xfId="57620"/>
    <cellStyle name="Percent 2 2 2 2 2 3 2 2 4" xfId="40213"/>
    <cellStyle name="Percent 2 2 2 2 2 3 2 2 4 2" xfId="55341"/>
    <cellStyle name="Percent 2 2 2 2 2 3 2 2 5" xfId="50428"/>
    <cellStyle name="Percent 2 2 2 2 2 3 2 3" xfId="12204"/>
    <cellStyle name="Percent 2 2 2 2 2 3 2 3 2" xfId="43163"/>
    <cellStyle name="Percent 2 2 2 2 2 3 2 3 2 2" xfId="58289"/>
    <cellStyle name="Percent 2 2 2 2 2 3 2 3 3" xfId="52458"/>
    <cellStyle name="Percent 2 2 2 2 2 3 2 4" xfId="3677"/>
    <cellStyle name="Percent 2 2 2 2 2 3 2 4 2" xfId="40927"/>
    <cellStyle name="Percent 2 2 2 2 2 3 2 4 2 2" xfId="56054"/>
    <cellStyle name="Percent 2 2 2 2 2 3 2 4 3" xfId="48370"/>
    <cellStyle name="Percent 2 2 2 2 2 3 2 5" xfId="39071"/>
    <cellStyle name="Percent 2 2 2 2 2 3 2 5 2" xfId="54202"/>
    <cellStyle name="Percent 2 2 2 2 2 3 2 6" xfId="46624"/>
    <cellStyle name="Percent 2 2 2 2 2 3 3" xfId="1605"/>
    <cellStyle name="Percent 2 2 2 2 2 3 3 2" xfId="5954"/>
    <cellStyle name="Percent 2 2 2 2 2 3 3 2 2" xfId="44378"/>
    <cellStyle name="Percent 2 2 2 2 2 3 3 2 2 2" xfId="59504"/>
    <cellStyle name="Percent 2 2 2 2 2 3 3 2 3" xfId="42142"/>
    <cellStyle name="Percent 2 2 2 2 2 3 3 2 3 2" xfId="57269"/>
    <cellStyle name="Percent 2 2 2 2 2 3 3 2 4" xfId="39862"/>
    <cellStyle name="Percent 2 2 2 2 2 3 3 2 4 2" xfId="54990"/>
    <cellStyle name="Percent 2 2 2 2 2 3 3 2 5" xfId="50639"/>
    <cellStyle name="Percent 2 2 2 2 2 3 3 3" xfId="12415"/>
    <cellStyle name="Percent 2 2 2 2 2 3 3 3 2" xfId="43514"/>
    <cellStyle name="Percent 2 2 2 2 2 3 3 3 2 2" xfId="58640"/>
    <cellStyle name="Percent 2 2 2 2 2 3 3 3 3" xfId="52669"/>
    <cellStyle name="Percent 2 2 2 2 2 3 3 4" xfId="3904"/>
    <cellStyle name="Percent 2 2 2 2 2 3 3 4 2" xfId="41278"/>
    <cellStyle name="Percent 2 2 2 2 2 3 3 4 2 2" xfId="56405"/>
    <cellStyle name="Percent 2 2 2 2 2 3 3 4 3" xfId="48597"/>
    <cellStyle name="Percent 2 2 2 2 2 3 3 5" xfId="38698"/>
    <cellStyle name="Percent 2 2 2 2 2 3 3 5 2" xfId="53851"/>
    <cellStyle name="Percent 2 2 2 2 2 3 3 6" xfId="46835"/>
    <cellStyle name="Percent 2 2 2 2 2 3 4" xfId="1092"/>
    <cellStyle name="Percent 2 2 2 2 2 3 4 2" xfId="5441"/>
    <cellStyle name="Percent 2 2 2 2 2 3 4 2 2" xfId="43940"/>
    <cellStyle name="Percent 2 2 2 2 2 3 4 2 2 2" xfId="59066"/>
    <cellStyle name="Percent 2 2 2 2 2 3 4 2 3" xfId="50126"/>
    <cellStyle name="Percent 2 2 2 2 2 3 4 3" xfId="11902"/>
    <cellStyle name="Percent 2 2 2 2 2 3 4 3 2" xfId="41704"/>
    <cellStyle name="Percent 2 2 2 2 2 3 4 3 2 2" xfId="56831"/>
    <cellStyle name="Percent 2 2 2 2 2 3 4 3 3" xfId="52156"/>
    <cellStyle name="Percent 2 2 2 2 2 3 4 4" xfId="4263"/>
    <cellStyle name="Percent 2 2 2 2 2 3 4 4 2" xfId="48953"/>
    <cellStyle name="Percent 2 2 2 2 2 3 4 5" xfId="39424"/>
    <cellStyle name="Percent 2 2 2 2 2 3 4 5 2" xfId="54552"/>
    <cellStyle name="Percent 2 2 2 2 2 3 4 6" xfId="46322"/>
    <cellStyle name="Percent 2 2 2 2 2 3 5" xfId="1997"/>
    <cellStyle name="Percent 2 2 2 2 2 3 5 2" xfId="12804"/>
    <cellStyle name="Percent 2 2 2 2 2 3 5 2 2" xfId="53057"/>
    <cellStyle name="Percent 2 2 2 2 2 3 5 3" xfId="6344"/>
    <cellStyle name="Percent 2 2 2 2 2 3 5 3 2" xfId="51027"/>
    <cellStyle name="Percent 2 2 2 2 2 3 5 4" xfId="42812"/>
    <cellStyle name="Percent 2 2 2 2 2 3 5 4 2" xfId="57939"/>
    <cellStyle name="Percent 2 2 2 2 2 3 5 5" xfId="47223"/>
    <cellStyle name="Percent 2 2 2 2 2 3 6" xfId="4689"/>
    <cellStyle name="Percent 2 2 2 2 2 3 6 2" xfId="40577"/>
    <cellStyle name="Percent 2 2 2 2 2 3 6 2 2" xfId="55704"/>
    <cellStyle name="Percent 2 2 2 2 2 3 6 3" xfId="49374"/>
    <cellStyle name="Percent 2 2 2 2 2 3 7" xfId="11150"/>
    <cellStyle name="Percent 2 2 2 2 2 3 7 2" xfId="51404"/>
    <cellStyle name="Percent 2 2 2 2 2 3 8" xfId="3327"/>
    <cellStyle name="Percent 2 2 2 2 2 3 8 2" xfId="48021"/>
    <cellStyle name="Percent 2 2 2 2 2 3 9" xfId="38213"/>
    <cellStyle name="Percent 2 2 2 2 2 3 9 2" xfId="53413"/>
    <cellStyle name="Percent 2 2 2 2 2 4" xfId="461"/>
    <cellStyle name="Percent 2 2 2 2 2 4 2" xfId="1726"/>
    <cellStyle name="Percent 2 2 2 2 2 4 2 2" xfId="6075"/>
    <cellStyle name="Percent 2 2 2 2 2 4 2 2 2" xfId="44805"/>
    <cellStyle name="Percent 2 2 2 2 2 4 2 2 2 2" xfId="59931"/>
    <cellStyle name="Percent 2 2 2 2 2 4 2 2 3" xfId="42569"/>
    <cellStyle name="Percent 2 2 2 2 2 4 2 2 3 2" xfId="57696"/>
    <cellStyle name="Percent 2 2 2 2 2 4 2 2 4" xfId="40289"/>
    <cellStyle name="Percent 2 2 2 2 2 4 2 2 4 2" xfId="55417"/>
    <cellStyle name="Percent 2 2 2 2 2 4 2 2 5" xfId="50760"/>
    <cellStyle name="Percent 2 2 2 2 2 4 2 3" xfId="12536"/>
    <cellStyle name="Percent 2 2 2 2 2 4 2 3 2" xfId="43239"/>
    <cellStyle name="Percent 2 2 2 2 2 4 2 3 2 2" xfId="58365"/>
    <cellStyle name="Percent 2 2 2 2 2 4 2 3 3" xfId="52790"/>
    <cellStyle name="Percent 2 2 2 2 2 4 2 4" xfId="4025"/>
    <cellStyle name="Percent 2 2 2 2 2 4 2 4 2" xfId="41003"/>
    <cellStyle name="Percent 2 2 2 2 2 4 2 4 2 2" xfId="56130"/>
    <cellStyle name="Percent 2 2 2 2 2 4 2 4 3" xfId="48718"/>
    <cellStyle name="Percent 2 2 2 2 2 4 2 5" xfId="39147"/>
    <cellStyle name="Percent 2 2 2 2 2 4 2 5 2" xfId="54278"/>
    <cellStyle name="Percent 2 2 2 2 2 4 2 6" xfId="46956"/>
    <cellStyle name="Percent 2 2 2 2 2 4 3" xfId="1213"/>
    <cellStyle name="Percent 2 2 2 2 2 4 3 2" xfId="5562"/>
    <cellStyle name="Percent 2 2 2 2 2 4 3 2 2" xfId="44454"/>
    <cellStyle name="Percent 2 2 2 2 2 4 3 2 2 2" xfId="59580"/>
    <cellStyle name="Percent 2 2 2 2 2 4 3 2 3" xfId="42218"/>
    <cellStyle name="Percent 2 2 2 2 2 4 3 2 3 2" xfId="57345"/>
    <cellStyle name="Percent 2 2 2 2 2 4 3 2 4" xfId="39938"/>
    <cellStyle name="Percent 2 2 2 2 2 4 3 2 4 2" xfId="55066"/>
    <cellStyle name="Percent 2 2 2 2 2 4 3 2 5" xfId="50247"/>
    <cellStyle name="Percent 2 2 2 2 2 4 3 3" xfId="12023"/>
    <cellStyle name="Percent 2 2 2 2 2 4 3 3 2" xfId="43590"/>
    <cellStyle name="Percent 2 2 2 2 2 4 3 3 2 2" xfId="58716"/>
    <cellStyle name="Percent 2 2 2 2 2 4 3 3 3" xfId="52277"/>
    <cellStyle name="Percent 2 2 2 2 2 4 3 4" xfId="4384"/>
    <cellStyle name="Percent 2 2 2 2 2 4 3 4 2" xfId="41354"/>
    <cellStyle name="Percent 2 2 2 2 2 4 3 4 2 2" xfId="56481"/>
    <cellStyle name="Percent 2 2 2 2 2 4 3 4 3" xfId="49074"/>
    <cellStyle name="Percent 2 2 2 2 2 4 3 5" xfId="38774"/>
    <cellStyle name="Percent 2 2 2 2 2 4 3 5 2" xfId="53927"/>
    <cellStyle name="Percent 2 2 2 2 2 4 3 6" xfId="46443"/>
    <cellStyle name="Percent 2 2 2 2 2 4 4" xfId="2074"/>
    <cellStyle name="Percent 2 2 2 2 2 4 4 2" xfId="12880"/>
    <cellStyle name="Percent 2 2 2 2 2 4 4 2 2" xfId="44016"/>
    <cellStyle name="Percent 2 2 2 2 2 4 4 2 2 2" xfId="59142"/>
    <cellStyle name="Percent 2 2 2 2 2 4 4 2 3" xfId="53133"/>
    <cellStyle name="Percent 2 2 2 2 2 4 4 3" xfId="6420"/>
    <cellStyle name="Percent 2 2 2 2 2 4 4 3 2" xfId="41780"/>
    <cellStyle name="Percent 2 2 2 2 2 4 4 3 2 2" xfId="56907"/>
    <cellStyle name="Percent 2 2 2 2 2 4 4 3 3" xfId="51103"/>
    <cellStyle name="Percent 2 2 2 2 2 4 4 4" xfId="39500"/>
    <cellStyle name="Percent 2 2 2 2 2 4 4 4 2" xfId="54628"/>
    <cellStyle name="Percent 2 2 2 2 2 4 4 5" xfId="47299"/>
    <cellStyle name="Percent 2 2 2 2 2 4 5" xfId="4810"/>
    <cellStyle name="Percent 2 2 2 2 2 4 5 2" xfId="42888"/>
    <cellStyle name="Percent 2 2 2 2 2 4 5 2 2" xfId="58015"/>
    <cellStyle name="Percent 2 2 2 2 2 4 5 3" xfId="49495"/>
    <cellStyle name="Percent 2 2 2 2 2 4 6" xfId="11271"/>
    <cellStyle name="Percent 2 2 2 2 2 4 6 2" xfId="40653"/>
    <cellStyle name="Percent 2 2 2 2 2 4 6 2 2" xfId="55780"/>
    <cellStyle name="Percent 2 2 2 2 2 4 6 3" xfId="51525"/>
    <cellStyle name="Percent 2 2 2 2 2 4 7" xfId="3448"/>
    <cellStyle name="Percent 2 2 2 2 2 4 7 2" xfId="48142"/>
    <cellStyle name="Percent 2 2 2 2 2 4 8" xfId="38289"/>
    <cellStyle name="Percent 2 2 2 2 2 4 8 2" xfId="53489"/>
    <cellStyle name="Percent 2 2 2 2 2 4 9" xfId="45691"/>
    <cellStyle name="Percent 2 2 2 2 2 5" xfId="914"/>
    <cellStyle name="Percent 2 2 2 2 2 5 2" xfId="5263"/>
    <cellStyle name="Percent 2 2 2 2 2 5 2 2" xfId="40061"/>
    <cellStyle name="Percent 2 2 2 2 2 5 2 2 2" xfId="44577"/>
    <cellStyle name="Percent 2 2 2 2 2 5 2 2 2 2" xfId="59703"/>
    <cellStyle name="Percent 2 2 2 2 2 5 2 2 3" xfId="42341"/>
    <cellStyle name="Percent 2 2 2 2 2 5 2 2 3 2" xfId="57468"/>
    <cellStyle name="Percent 2 2 2 2 2 5 2 2 4" xfId="55189"/>
    <cellStyle name="Percent 2 2 2 2 2 5 2 3" xfId="43686"/>
    <cellStyle name="Percent 2 2 2 2 2 5 2 3 2" xfId="58812"/>
    <cellStyle name="Percent 2 2 2 2 2 5 2 4" xfId="41450"/>
    <cellStyle name="Percent 2 2 2 2 2 5 2 4 2" xfId="56577"/>
    <cellStyle name="Percent 2 2 2 2 2 5 2 5" xfId="38918"/>
    <cellStyle name="Percent 2 2 2 2 2 5 2 5 2" xfId="54050"/>
    <cellStyle name="Percent 2 2 2 2 2 5 2 6" xfId="49948"/>
    <cellStyle name="Percent 2 2 2 2 2 5 3" xfId="11724"/>
    <cellStyle name="Percent 2 2 2 2 2 5 3 2" xfId="44100"/>
    <cellStyle name="Percent 2 2 2 2 2 5 3 2 2" xfId="59226"/>
    <cellStyle name="Percent 2 2 2 2 2 5 3 3" xfId="41864"/>
    <cellStyle name="Percent 2 2 2 2 2 5 3 3 2" xfId="56991"/>
    <cellStyle name="Percent 2 2 2 2 2 5 3 4" xfId="39584"/>
    <cellStyle name="Percent 2 2 2 2 2 5 3 4 2" xfId="54712"/>
    <cellStyle name="Percent 2 2 2 2 2 5 3 5" xfId="51978"/>
    <cellStyle name="Percent 2 2 2 2 2 5 4" xfId="3149"/>
    <cellStyle name="Percent 2 2 2 2 2 5 4 2" xfId="43011"/>
    <cellStyle name="Percent 2 2 2 2 2 5 4 2 2" xfId="58137"/>
    <cellStyle name="Percent 2 2 2 2 2 5 4 3" xfId="47843"/>
    <cellStyle name="Percent 2 2 2 2 2 5 5" xfId="40775"/>
    <cellStyle name="Percent 2 2 2 2 2 5 5 2" xfId="55902"/>
    <cellStyle name="Percent 2 2 2 2 2 5 6" xfId="38414"/>
    <cellStyle name="Percent 2 2 2 2 2 5 6 2" xfId="53573"/>
    <cellStyle name="Percent 2 2 2 2 2 5 7" xfId="46144"/>
    <cellStyle name="Percent 2 2 2 2 2 6" xfId="792"/>
    <cellStyle name="Percent 2 2 2 2 2 6 2" xfId="5141"/>
    <cellStyle name="Percent 2 2 2 2 2 6 2 2" xfId="44226"/>
    <cellStyle name="Percent 2 2 2 2 2 6 2 2 2" xfId="59352"/>
    <cellStyle name="Percent 2 2 2 2 2 6 2 3" xfId="41990"/>
    <cellStyle name="Percent 2 2 2 2 2 6 2 3 2" xfId="57117"/>
    <cellStyle name="Percent 2 2 2 2 2 6 2 4" xfId="39710"/>
    <cellStyle name="Percent 2 2 2 2 2 6 2 4 2" xfId="54838"/>
    <cellStyle name="Percent 2 2 2 2 2 6 2 5" xfId="49826"/>
    <cellStyle name="Percent 2 2 2 2 2 6 3" xfId="11602"/>
    <cellStyle name="Percent 2 2 2 2 2 6 3 2" xfId="43362"/>
    <cellStyle name="Percent 2 2 2 2 2 6 3 2 2" xfId="58488"/>
    <cellStyle name="Percent 2 2 2 2 2 6 3 3" xfId="51856"/>
    <cellStyle name="Percent 2 2 2 2 2 6 4" xfId="3027"/>
    <cellStyle name="Percent 2 2 2 2 2 6 4 2" xfId="41126"/>
    <cellStyle name="Percent 2 2 2 2 2 6 4 2 2" xfId="56253"/>
    <cellStyle name="Percent 2 2 2 2 2 6 4 3" xfId="47721"/>
    <cellStyle name="Percent 2 2 2 2 2 6 5" xfId="38544"/>
    <cellStyle name="Percent 2 2 2 2 2 6 5 2" xfId="53699"/>
    <cellStyle name="Percent 2 2 2 2 2 6 6" xfId="46022"/>
    <cellStyle name="Percent 2 2 2 2 2 7" xfId="582"/>
    <cellStyle name="Percent 2 2 2 2 2 7 2" xfId="4931"/>
    <cellStyle name="Percent 2 2 2 2 2 7 2 2" xfId="43788"/>
    <cellStyle name="Percent 2 2 2 2 2 7 2 2 2" xfId="58914"/>
    <cellStyle name="Percent 2 2 2 2 2 7 2 3" xfId="49616"/>
    <cellStyle name="Percent 2 2 2 2 2 7 3" xfId="11392"/>
    <cellStyle name="Percent 2 2 2 2 2 7 3 2" xfId="41552"/>
    <cellStyle name="Percent 2 2 2 2 2 7 3 2 2" xfId="56679"/>
    <cellStyle name="Percent 2 2 2 2 2 7 3 3" xfId="51646"/>
    <cellStyle name="Percent 2 2 2 2 2 7 4" xfId="3477"/>
    <cellStyle name="Percent 2 2 2 2 2 7 4 2" xfId="48171"/>
    <cellStyle name="Percent 2 2 2 2 2 7 5" xfId="39272"/>
    <cellStyle name="Percent 2 2 2 2 2 7 5 2" xfId="54400"/>
    <cellStyle name="Percent 2 2 2 2 2 7 6" xfId="45812"/>
    <cellStyle name="Percent 2 2 2 2 2 8" xfId="1842"/>
    <cellStyle name="Percent 2 2 2 2 2 8 2" xfId="12651"/>
    <cellStyle name="Percent 2 2 2 2 2 8 2 2" xfId="52905"/>
    <cellStyle name="Percent 2 2 2 2 2 8 3" xfId="6190"/>
    <cellStyle name="Percent 2 2 2 2 2 8 3 2" xfId="50875"/>
    <cellStyle name="Percent 2 2 2 2 2 8 4" xfId="42660"/>
    <cellStyle name="Percent 2 2 2 2 2 8 4 2" xfId="57787"/>
    <cellStyle name="Percent 2 2 2 2 2 8 5" xfId="47071"/>
    <cellStyle name="Percent 2 2 2 2 2 9" xfId="2657"/>
    <cellStyle name="Percent 2 2 2 2 2 9 2" xfId="4506"/>
    <cellStyle name="Percent 2 2 2 2 2 9 2 2" xfId="49196"/>
    <cellStyle name="Percent 2 2 2 2 2 9 3" xfId="40425"/>
    <cellStyle name="Percent 2 2 2 2 2 9 3 2" xfId="55552"/>
    <cellStyle name="Percent 2 2 2 2 2 9 4" xfId="47389"/>
    <cellStyle name="Percent 2 2 2 2 3" xfId="149"/>
    <cellStyle name="Percent 2 2 2 2 3 10" xfId="38060"/>
    <cellStyle name="Percent 2 2 2 2 3 10 2" xfId="53260"/>
    <cellStyle name="Percent 2 2 2 2 3 11" xfId="45391"/>
    <cellStyle name="Percent 2 2 2 2 3 2" xfId="460"/>
    <cellStyle name="Percent 2 2 2 2 3 2 2" xfId="1443"/>
    <cellStyle name="Percent 2 2 2 2 3 2 2 2" xfId="5792"/>
    <cellStyle name="Percent 2 2 2 2 3 2 2 2 2" xfId="44576"/>
    <cellStyle name="Percent 2 2 2 2 3 2 2 2 2 2" xfId="59702"/>
    <cellStyle name="Percent 2 2 2 2 3 2 2 2 3" xfId="50477"/>
    <cellStyle name="Percent 2 2 2 2 3 2 2 3" xfId="12253"/>
    <cellStyle name="Percent 2 2 2 2 3 2 2 3 2" xfId="42340"/>
    <cellStyle name="Percent 2 2 2 2 3 2 2 3 2 2" xfId="57467"/>
    <cellStyle name="Percent 2 2 2 2 3 2 2 3 3" xfId="52507"/>
    <cellStyle name="Percent 2 2 2 2 3 2 2 4" xfId="3726"/>
    <cellStyle name="Percent 2 2 2 2 3 2 2 4 2" xfId="48419"/>
    <cellStyle name="Percent 2 2 2 2 3 2 2 5" xfId="40060"/>
    <cellStyle name="Percent 2 2 2 2 3 2 2 5 2" xfId="55188"/>
    <cellStyle name="Percent 2 2 2 2 3 2 2 6" xfId="46673"/>
    <cellStyle name="Percent 2 2 2 2 3 2 3" xfId="1725"/>
    <cellStyle name="Percent 2 2 2 2 3 2 3 2" xfId="6074"/>
    <cellStyle name="Percent 2 2 2 2 3 2 3 2 2" xfId="50759"/>
    <cellStyle name="Percent 2 2 2 2 3 2 3 3" xfId="12535"/>
    <cellStyle name="Percent 2 2 2 2 3 2 3 3 2" xfId="52789"/>
    <cellStyle name="Percent 2 2 2 2 3 2 3 4" xfId="4024"/>
    <cellStyle name="Percent 2 2 2 2 3 2 3 4 2" xfId="48717"/>
    <cellStyle name="Percent 2 2 2 2 3 2 3 5" xfId="43010"/>
    <cellStyle name="Percent 2 2 2 2 3 2 3 5 2" xfId="58136"/>
    <cellStyle name="Percent 2 2 2 2 3 2 3 6" xfId="46955"/>
    <cellStyle name="Percent 2 2 2 2 3 2 4" xfId="1212"/>
    <cellStyle name="Percent 2 2 2 2 3 2 4 2" xfId="5561"/>
    <cellStyle name="Percent 2 2 2 2 3 2 4 2 2" xfId="50246"/>
    <cellStyle name="Percent 2 2 2 2 3 2 4 3" xfId="12022"/>
    <cellStyle name="Percent 2 2 2 2 3 2 4 3 2" xfId="52276"/>
    <cellStyle name="Percent 2 2 2 2 3 2 4 4" xfId="4383"/>
    <cellStyle name="Percent 2 2 2 2 3 2 4 4 2" xfId="49073"/>
    <cellStyle name="Percent 2 2 2 2 3 2 4 5" xfId="40774"/>
    <cellStyle name="Percent 2 2 2 2 3 2 4 5 2" xfId="55901"/>
    <cellStyle name="Percent 2 2 2 2 3 2 4 6" xfId="46442"/>
    <cellStyle name="Percent 2 2 2 2 3 2 5" xfId="4809"/>
    <cellStyle name="Percent 2 2 2 2 3 2 5 2" xfId="49494"/>
    <cellStyle name="Percent 2 2 2 2 3 2 6" xfId="11270"/>
    <cellStyle name="Percent 2 2 2 2 3 2 6 2" xfId="51524"/>
    <cellStyle name="Percent 2 2 2 2 3 2 7" xfId="3447"/>
    <cellStyle name="Percent 2 2 2 2 3 2 7 2" xfId="48141"/>
    <cellStyle name="Percent 2 2 2 2 3 2 8" xfId="38917"/>
    <cellStyle name="Percent 2 2 2 2 3 2 8 2" xfId="54049"/>
    <cellStyle name="Percent 2 2 2 2 3 2 9" xfId="45690"/>
    <cellStyle name="Percent 2 2 2 2 3 3" xfId="913"/>
    <cellStyle name="Percent 2 2 2 2 3 3 2" xfId="5262"/>
    <cellStyle name="Percent 2 2 2 2 3 3 2 2" xfId="44225"/>
    <cellStyle name="Percent 2 2 2 2 3 3 2 2 2" xfId="59351"/>
    <cellStyle name="Percent 2 2 2 2 3 3 2 3" xfId="41989"/>
    <cellStyle name="Percent 2 2 2 2 3 3 2 3 2" xfId="57116"/>
    <cellStyle name="Percent 2 2 2 2 3 3 2 4" xfId="39709"/>
    <cellStyle name="Percent 2 2 2 2 3 3 2 4 2" xfId="54837"/>
    <cellStyle name="Percent 2 2 2 2 3 3 2 5" xfId="49947"/>
    <cellStyle name="Percent 2 2 2 2 3 3 3" xfId="11723"/>
    <cellStyle name="Percent 2 2 2 2 3 3 3 2" xfId="43361"/>
    <cellStyle name="Percent 2 2 2 2 3 3 3 2 2" xfId="58487"/>
    <cellStyle name="Percent 2 2 2 2 3 3 3 3" xfId="51977"/>
    <cellStyle name="Percent 2 2 2 2 3 3 4" xfId="3148"/>
    <cellStyle name="Percent 2 2 2 2 3 3 4 2" xfId="41125"/>
    <cellStyle name="Percent 2 2 2 2 3 3 4 2 2" xfId="56252"/>
    <cellStyle name="Percent 2 2 2 2 3 3 4 3" xfId="47842"/>
    <cellStyle name="Percent 2 2 2 2 3 3 5" xfId="38543"/>
    <cellStyle name="Percent 2 2 2 2 3 3 5 2" xfId="53698"/>
    <cellStyle name="Percent 2 2 2 2 3 3 6" xfId="46143"/>
    <cellStyle name="Percent 2 2 2 2 3 4" xfId="791"/>
    <cellStyle name="Percent 2 2 2 2 3 4 2" xfId="5140"/>
    <cellStyle name="Percent 2 2 2 2 3 4 2 2" xfId="43787"/>
    <cellStyle name="Percent 2 2 2 2 3 4 2 2 2" xfId="58913"/>
    <cellStyle name="Percent 2 2 2 2 3 4 2 3" xfId="49825"/>
    <cellStyle name="Percent 2 2 2 2 3 4 3" xfId="11601"/>
    <cellStyle name="Percent 2 2 2 2 3 4 3 2" xfId="41551"/>
    <cellStyle name="Percent 2 2 2 2 3 4 3 2 2" xfId="56678"/>
    <cellStyle name="Percent 2 2 2 2 3 4 3 3" xfId="51855"/>
    <cellStyle name="Percent 2 2 2 2 3 4 4" xfId="3026"/>
    <cellStyle name="Percent 2 2 2 2 3 4 4 2" xfId="47720"/>
    <cellStyle name="Percent 2 2 2 2 3 4 5" xfId="39271"/>
    <cellStyle name="Percent 2 2 2 2 3 4 5 2" xfId="54399"/>
    <cellStyle name="Percent 2 2 2 2 3 4 6" xfId="46021"/>
    <cellStyle name="Percent 2 2 2 2 3 5" xfId="581"/>
    <cellStyle name="Percent 2 2 2 2 3 5 2" xfId="4930"/>
    <cellStyle name="Percent 2 2 2 2 3 5 2 2" xfId="49615"/>
    <cellStyle name="Percent 2 2 2 2 3 5 3" xfId="11391"/>
    <cellStyle name="Percent 2 2 2 2 3 5 3 2" xfId="51645"/>
    <cellStyle name="Percent 2 2 2 2 3 5 4" xfId="3505"/>
    <cellStyle name="Percent 2 2 2 2 3 5 4 2" xfId="48199"/>
    <cellStyle name="Percent 2 2 2 2 3 5 5" xfId="42659"/>
    <cellStyle name="Percent 2 2 2 2 3 5 5 2" xfId="57786"/>
    <cellStyle name="Percent 2 2 2 2 3 5 6" xfId="45811"/>
    <cellStyle name="Percent 2 2 2 2 3 6" xfId="1841"/>
    <cellStyle name="Percent 2 2 2 2 3 6 2" xfId="12650"/>
    <cellStyle name="Percent 2 2 2 2 3 6 2 2" xfId="52904"/>
    <cellStyle name="Percent 2 2 2 2 3 6 3" xfId="6189"/>
    <cellStyle name="Percent 2 2 2 2 3 6 3 2" xfId="50874"/>
    <cellStyle name="Percent 2 2 2 2 3 6 4" xfId="40424"/>
    <cellStyle name="Percent 2 2 2 2 3 6 4 2" xfId="55551"/>
    <cellStyle name="Percent 2 2 2 2 3 6 5" xfId="47070"/>
    <cellStyle name="Percent 2 2 2 2 3 7" xfId="4505"/>
    <cellStyle name="Percent 2 2 2 2 3 7 2" xfId="49195"/>
    <cellStyle name="Percent 2 2 2 2 3 8" xfId="10971"/>
    <cellStyle name="Percent 2 2 2 2 3 8 2" xfId="51225"/>
    <cellStyle name="Percent 2 2 2 2 3 9" xfId="2811"/>
    <cellStyle name="Percent 2 2 2 2 3 9 2" xfId="47509"/>
    <cellStyle name="Percent 2 2 2 2 4" xfId="248"/>
    <cellStyle name="Percent 2 2 2 2 4 10" xfId="38136"/>
    <cellStyle name="Percent 2 2 2 2 4 10 2" xfId="53336"/>
    <cellStyle name="Percent 2 2 2 2 4 11" xfId="45480"/>
    <cellStyle name="Percent 2 2 2 2 4 2" xfId="1002"/>
    <cellStyle name="Percent 2 2 2 2 4 2 2" xfId="5351"/>
    <cellStyle name="Percent 2 2 2 2 4 2 2 2" xfId="44652"/>
    <cellStyle name="Percent 2 2 2 2 4 2 2 2 2" xfId="59778"/>
    <cellStyle name="Percent 2 2 2 2 4 2 2 3" xfId="42416"/>
    <cellStyle name="Percent 2 2 2 2 4 2 2 3 2" xfId="57543"/>
    <cellStyle name="Percent 2 2 2 2 4 2 2 4" xfId="40136"/>
    <cellStyle name="Percent 2 2 2 2 4 2 2 4 2" xfId="55264"/>
    <cellStyle name="Percent 2 2 2 2 4 2 2 5" xfId="50036"/>
    <cellStyle name="Percent 2 2 2 2 4 2 3" xfId="11812"/>
    <cellStyle name="Percent 2 2 2 2 4 2 3 2" xfId="43086"/>
    <cellStyle name="Percent 2 2 2 2 4 2 3 2 2" xfId="58212"/>
    <cellStyle name="Percent 2 2 2 2 4 2 3 3" xfId="52066"/>
    <cellStyle name="Percent 2 2 2 2 4 2 4" xfId="3237"/>
    <cellStyle name="Percent 2 2 2 2 4 2 4 2" xfId="40850"/>
    <cellStyle name="Percent 2 2 2 2 4 2 4 2 2" xfId="55977"/>
    <cellStyle name="Percent 2 2 2 2 4 2 4 3" xfId="47931"/>
    <cellStyle name="Percent 2 2 2 2 4 2 5" xfId="38994"/>
    <cellStyle name="Percent 2 2 2 2 4 2 5 2" xfId="54125"/>
    <cellStyle name="Percent 2 2 2 2 4 2 6" xfId="46232"/>
    <cellStyle name="Percent 2 2 2 2 4 3" xfId="1304"/>
    <cellStyle name="Percent 2 2 2 2 4 3 2" xfId="5653"/>
    <cellStyle name="Percent 2 2 2 2 4 3 2 2" xfId="44301"/>
    <cellStyle name="Percent 2 2 2 2 4 3 2 2 2" xfId="59427"/>
    <cellStyle name="Percent 2 2 2 2 4 3 2 3" xfId="42065"/>
    <cellStyle name="Percent 2 2 2 2 4 3 2 3 2" xfId="57192"/>
    <cellStyle name="Percent 2 2 2 2 4 3 2 4" xfId="39785"/>
    <cellStyle name="Percent 2 2 2 2 4 3 2 4 2" xfId="54913"/>
    <cellStyle name="Percent 2 2 2 2 4 3 2 5" xfId="50338"/>
    <cellStyle name="Percent 2 2 2 2 4 3 3" xfId="12114"/>
    <cellStyle name="Percent 2 2 2 2 4 3 3 2" xfId="43437"/>
    <cellStyle name="Percent 2 2 2 2 4 3 3 2 2" xfId="58563"/>
    <cellStyle name="Percent 2 2 2 2 4 3 3 3" xfId="52368"/>
    <cellStyle name="Percent 2 2 2 2 4 3 4" xfId="3587"/>
    <cellStyle name="Percent 2 2 2 2 4 3 4 2" xfId="41201"/>
    <cellStyle name="Percent 2 2 2 2 4 3 4 2 2" xfId="56328"/>
    <cellStyle name="Percent 2 2 2 2 4 3 4 3" xfId="48280"/>
    <cellStyle name="Percent 2 2 2 2 4 3 5" xfId="38621"/>
    <cellStyle name="Percent 2 2 2 2 4 3 5 2" xfId="53774"/>
    <cellStyle name="Percent 2 2 2 2 4 3 6" xfId="46534"/>
    <cellStyle name="Percent 2 2 2 2 4 4" xfId="1515"/>
    <cellStyle name="Percent 2 2 2 2 4 4 2" xfId="5864"/>
    <cellStyle name="Percent 2 2 2 2 4 4 2 2" xfId="43863"/>
    <cellStyle name="Percent 2 2 2 2 4 4 2 2 2" xfId="58989"/>
    <cellStyle name="Percent 2 2 2 2 4 4 2 3" xfId="50549"/>
    <cellStyle name="Percent 2 2 2 2 4 4 3" xfId="12325"/>
    <cellStyle name="Percent 2 2 2 2 4 4 3 2" xfId="41627"/>
    <cellStyle name="Percent 2 2 2 2 4 4 3 2 2" xfId="56754"/>
    <cellStyle name="Percent 2 2 2 2 4 4 3 3" xfId="52579"/>
    <cellStyle name="Percent 2 2 2 2 4 4 4" xfId="3814"/>
    <cellStyle name="Percent 2 2 2 2 4 4 4 2" xfId="48507"/>
    <cellStyle name="Percent 2 2 2 2 4 4 5" xfId="39347"/>
    <cellStyle name="Percent 2 2 2 2 4 4 5 2" xfId="54475"/>
    <cellStyle name="Percent 2 2 2 2 4 4 6" xfId="46745"/>
    <cellStyle name="Percent 2 2 2 2 4 5" xfId="670"/>
    <cellStyle name="Percent 2 2 2 2 4 5 2" xfId="5019"/>
    <cellStyle name="Percent 2 2 2 2 4 5 2 2" xfId="49704"/>
    <cellStyle name="Percent 2 2 2 2 4 5 3" xfId="11480"/>
    <cellStyle name="Percent 2 2 2 2 4 5 3 2" xfId="51734"/>
    <cellStyle name="Percent 2 2 2 2 4 5 4" xfId="4173"/>
    <cellStyle name="Percent 2 2 2 2 4 5 4 2" xfId="48863"/>
    <cellStyle name="Percent 2 2 2 2 4 5 5" xfId="42735"/>
    <cellStyle name="Percent 2 2 2 2 4 5 5 2" xfId="57862"/>
    <cellStyle name="Percent 2 2 2 2 4 5 6" xfId="45900"/>
    <cellStyle name="Percent 2 2 2 2 4 6" xfId="1920"/>
    <cellStyle name="Percent 2 2 2 2 4 6 2" xfId="12727"/>
    <cellStyle name="Percent 2 2 2 2 4 6 2 2" xfId="52980"/>
    <cellStyle name="Percent 2 2 2 2 4 6 3" xfId="6267"/>
    <cellStyle name="Percent 2 2 2 2 4 6 3 2" xfId="50950"/>
    <cellStyle name="Percent 2 2 2 2 4 6 4" xfId="40500"/>
    <cellStyle name="Percent 2 2 2 2 4 6 4 2" xfId="55627"/>
    <cellStyle name="Percent 2 2 2 2 4 6 5" xfId="47146"/>
    <cellStyle name="Percent 2 2 2 2 4 7" xfId="4597"/>
    <cellStyle name="Percent 2 2 2 2 4 7 2" xfId="49284"/>
    <cellStyle name="Percent 2 2 2 2 4 8" xfId="11060"/>
    <cellStyle name="Percent 2 2 2 2 4 8 2" xfId="51314"/>
    <cellStyle name="Percent 2 2 2 2 4 9" xfId="2904"/>
    <cellStyle name="Percent 2 2 2 2 4 9 2" xfId="47598"/>
    <cellStyle name="Percent 2 2 2 2 5" xfId="339"/>
    <cellStyle name="Percent 2 2 2 2 5 10" xfId="45569"/>
    <cellStyle name="Percent 2 2 2 2 5 2" xfId="1393"/>
    <cellStyle name="Percent 2 2 2 2 5 2 2" xfId="5742"/>
    <cellStyle name="Percent 2 2 2 2 5 2 2 2" xfId="44728"/>
    <cellStyle name="Percent 2 2 2 2 5 2 2 2 2" xfId="59854"/>
    <cellStyle name="Percent 2 2 2 2 5 2 2 3" xfId="42492"/>
    <cellStyle name="Percent 2 2 2 2 5 2 2 3 2" xfId="57619"/>
    <cellStyle name="Percent 2 2 2 2 5 2 2 4" xfId="40212"/>
    <cellStyle name="Percent 2 2 2 2 5 2 2 4 2" xfId="55340"/>
    <cellStyle name="Percent 2 2 2 2 5 2 2 5" xfId="50427"/>
    <cellStyle name="Percent 2 2 2 2 5 2 3" xfId="12203"/>
    <cellStyle name="Percent 2 2 2 2 5 2 3 2" xfId="43162"/>
    <cellStyle name="Percent 2 2 2 2 5 2 3 2 2" xfId="58288"/>
    <cellStyle name="Percent 2 2 2 2 5 2 3 3" xfId="52457"/>
    <cellStyle name="Percent 2 2 2 2 5 2 4" xfId="3676"/>
    <cellStyle name="Percent 2 2 2 2 5 2 4 2" xfId="40926"/>
    <cellStyle name="Percent 2 2 2 2 5 2 4 2 2" xfId="56053"/>
    <cellStyle name="Percent 2 2 2 2 5 2 4 3" xfId="48369"/>
    <cellStyle name="Percent 2 2 2 2 5 2 5" xfId="39070"/>
    <cellStyle name="Percent 2 2 2 2 5 2 5 2" xfId="54201"/>
    <cellStyle name="Percent 2 2 2 2 5 2 6" xfId="46623"/>
    <cellStyle name="Percent 2 2 2 2 5 3" xfId="1604"/>
    <cellStyle name="Percent 2 2 2 2 5 3 2" xfId="5953"/>
    <cellStyle name="Percent 2 2 2 2 5 3 2 2" xfId="44377"/>
    <cellStyle name="Percent 2 2 2 2 5 3 2 2 2" xfId="59503"/>
    <cellStyle name="Percent 2 2 2 2 5 3 2 3" xfId="42141"/>
    <cellStyle name="Percent 2 2 2 2 5 3 2 3 2" xfId="57268"/>
    <cellStyle name="Percent 2 2 2 2 5 3 2 4" xfId="39861"/>
    <cellStyle name="Percent 2 2 2 2 5 3 2 4 2" xfId="54989"/>
    <cellStyle name="Percent 2 2 2 2 5 3 2 5" xfId="50638"/>
    <cellStyle name="Percent 2 2 2 2 5 3 3" xfId="12414"/>
    <cellStyle name="Percent 2 2 2 2 5 3 3 2" xfId="43513"/>
    <cellStyle name="Percent 2 2 2 2 5 3 3 2 2" xfId="58639"/>
    <cellStyle name="Percent 2 2 2 2 5 3 3 3" xfId="52668"/>
    <cellStyle name="Percent 2 2 2 2 5 3 4" xfId="3903"/>
    <cellStyle name="Percent 2 2 2 2 5 3 4 2" xfId="41277"/>
    <cellStyle name="Percent 2 2 2 2 5 3 4 2 2" xfId="56404"/>
    <cellStyle name="Percent 2 2 2 2 5 3 4 3" xfId="48596"/>
    <cellStyle name="Percent 2 2 2 2 5 3 5" xfId="38697"/>
    <cellStyle name="Percent 2 2 2 2 5 3 5 2" xfId="53850"/>
    <cellStyle name="Percent 2 2 2 2 5 3 6" xfId="46834"/>
    <cellStyle name="Percent 2 2 2 2 5 4" xfId="1091"/>
    <cellStyle name="Percent 2 2 2 2 5 4 2" xfId="5440"/>
    <cellStyle name="Percent 2 2 2 2 5 4 2 2" xfId="43939"/>
    <cellStyle name="Percent 2 2 2 2 5 4 2 2 2" xfId="59065"/>
    <cellStyle name="Percent 2 2 2 2 5 4 2 3" xfId="50125"/>
    <cellStyle name="Percent 2 2 2 2 5 4 3" xfId="11901"/>
    <cellStyle name="Percent 2 2 2 2 5 4 3 2" xfId="41703"/>
    <cellStyle name="Percent 2 2 2 2 5 4 3 2 2" xfId="56830"/>
    <cellStyle name="Percent 2 2 2 2 5 4 3 3" xfId="52155"/>
    <cellStyle name="Percent 2 2 2 2 5 4 4" xfId="4262"/>
    <cellStyle name="Percent 2 2 2 2 5 4 4 2" xfId="48952"/>
    <cellStyle name="Percent 2 2 2 2 5 4 5" xfId="39423"/>
    <cellStyle name="Percent 2 2 2 2 5 4 5 2" xfId="54551"/>
    <cellStyle name="Percent 2 2 2 2 5 4 6" xfId="46321"/>
    <cellStyle name="Percent 2 2 2 2 5 5" xfId="1996"/>
    <cellStyle name="Percent 2 2 2 2 5 5 2" xfId="12803"/>
    <cellStyle name="Percent 2 2 2 2 5 5 2 2" xfId="53056"/>
    <cellStyle name="Percent 2 2 2 2 5 5 3" xfId="6343"/>
    <cellStyle name="Percent 2 2 2 2 5 5 3 2" xfId="51026"/>
    <cellStyle name="Percent 2 2 2 2 5 5 4" xfId="42811"/>
    <cellStyle name="Percent 2 2 2 2 5 5 4 2" xfId="57938"/>
    <cellStyle name="Percent 2 2 2 2 5 5 5" xfId="47222"/>
    <cellStyle name="Percent 2 2 2 2 5 6" xfId="4688"/>
    <cellStyle name="Percent 2 2 2 2 5 6 2" xfId="40576"/>
    <cellStyle name="Percent 2 2 2 2 5 6 2 2" xfId="55703"/>
    <cellStyle name="Percent 2 2 2 2 5 6 3" xfId="49373"/>
    <cellStyle name="Percent 2 2 2 2 5 7" xfId="11149"/>
    <cellStyle name="Percent 2 2 2 2 5 7 2" xfId="51403"/>
    <cellStyle name="Percent 2 2 2 2 5 8" xfId="3326"/>
    <cellStyle name="Percent 2 2 2 2 5 8 2" xfId="48020"/>
    <cellStyle name="Percent 2 2 2 2 5 9" xfId="38212"/>
    <cellStyle name="Percent 2 2 2 2 5 9 2" xfId="53412"/>
    <cellStyle name="Percent 2 2 2 2 6" xfId="397"/>
    <cellStyle name="Percent 2 2 2 2 6 2" xfId="1662"/>
    <cellStyle name="Percent 2 2 2 2 6 2 2" xfId="6011"/>
    <cellStyle name="Percent 2 2 2 2 6 2 2 2" xfId="44804"/>
    <cellStyle name="Percent 2 2 2 2 6 2 2 2 2" xfId="59930"/>
    <cellStyle name="Percent 2 2 2 2 6 2 2 3" xfId="42568"/>
    <cellStyle name="Percent 2 2 2 2 6 2 2 3 2" xfId="57695"/>
    <cellStyle name="Percent 2 2 2 2 6 2 2 4" xfId="40288"/>
    <cellStyle name="Percent 2 2 2 2 6 2 2 4 2" xfId="55416"/>
    <cellStyle name="Percent 2 2 2 2 6 2 2 5" xfId="50696"/>
    <cellStyle name="Percent 2 2 2 2 6 2 3" xfId="12472"/>
    <cellStyle name="Percent 2 2 2 2 6 2 3 2" xfId="43238"/>
    <cellStyle name="Percent 2 2 2 2 6 2 3 2 2" xfId="58364"/>
    <cellStyle name="Percent 2 2 2 2 6 2 3 3" xfId="52726"/>
    <cellStyle name="Percent 2 2 2 2 6 2 4" xfId="3961"/>
    <cellStyle name="Percent 2 2 2 2 6 2 4 2" xfId="41002"/>
    <cellStyle name="Percent 2 2 2 2 6 2 4 2 2" xfId="56129"/>
    <cellStyle name="Percent 2 2 2 2 6 2 4 3" xfId="48654"/>
    <cellStyle name="Percent 2 2 2 2 6 2 5" xfId="39146"/>
    <cellStyle name="Percent 2 2 2 2 6 2 5 2" xfId="54277"/>
    <cellStyle name="Percent 2 2 2 2 6 2 6" xfId="46892"/>
    <cellStyle name="Percent 2 2 2 2 6 3" xfId="1149"/>
    <cellStyle name="Percent 2 2 2 2 6 3 2" xfId="5498"/>
    <cellStyle name="Percent 2 2 2 2 6 3 2 2" xfId="44453"/>
    <cellStyle name="Percent 2 2 2 2 6 3 2 2 2" xfId="59579"/>
    <cellStyle name="Percent 2 2 2 2 6 3 2 3" xfId="42217"/>
    <cellStyle name="Percent 2 2 2 2 6 3 2 3 2" xfId="57344"/>
    <cellStyle name="Percent 2 2 2 2 6 3 2 4" xfId="39937"/>
    <cellStyle name="Percent 2 2 2 2 6 3 2 4 2" xfId="55065"/>
    <cellStyle name="Percent 2 2 2 2 6 3 2 5" xfId="50183"/>
    <cellStyle name="Percent 2 2 2 2 6 3 3" xfId="11959"/>
    <cellStyle name="Percent 2 2 2 2 6 3 3 2" xfId="43589"/>
    <cellStyle name="Percent 2 2 2 2 6 3 3 2 2" xfId="58715"/>
    <cellStyle name="Percent 2 2 2 2 6 3 3 3" xfId="52213"/>
    <cellStyle name="Percent 2 2 2 2 6 3 4" xfId="4320"/>
    <cellStyle name="Percent 2 2 2 2 6 3 4 2" xfId="41353"/>
    <cellStyle name="Percent 2 2 2 2 6 3 4 2 2" xfId="56480"/>
    <cellStyle name="Percent 2 2 2 2 6 3 4 3" xfId="49010"/>
    <cellStyle name="Percent 2 2 2 2 6 3 5" xfId="38773"/>
    <cellStyle name="Percent 2 2 2 2 6 3 5 2" xfId="53926"/>
    <cellStyle name="Percent 2 2 2 2 6 3 6" xfId="46379"/>
    <cellStyle name="Percent 2 2 2 2 6 4" xfId="2073"/>
    <cellStyle name="Percent 2 2 2 2 6 4 2" xfId="12879"/>
    <cellStyle name="Percent 2 2 2 2 6 4 2 2" xfId="44015"/>
    <cellStyle name="Percent 2 2 2 2 6 4 2 2 2" xfId="59141"/>
    <cellStyle name="Percent 2 2 2 2 6 4 2 3" xfId="53132"/>
    <cellStyle name="Percent 2 2 2 2 6 4 3" xfId="6419"/>
    <cellStyle name="Percent 2 2 2 2 6 4 3 2" xfId="41779"/>
    <cellStyle name="Percent 2 2 2 2 6 4 3 2 2" xfId="56906"/>
    <cellStyle name="Percent 2 2 2 2 6 4 3 3" xfId="51102"/>
    <cellStyle name="Percent 2 2 2 2 6 4 4" xfId="39499"/>
    <cellStyle name="Percent 2 2 2 2 6 4 4 2" xfId="54627"/>
    <cellStyle name="Percent 2 2 2 2 6 4 5" xfId="47298"/>
    <cellStyle name="Percent 2 2 2 2 6 5" xfId="4746"/>
    <cellStyle name="Percent 2 2 2 2 6 5 2" xfId="42887"/>
    <cellStyle name="Percent 2 2 2 2 6 5 2 2" xfId="58014"/>
    <cellStyle name="Percent 2 2 2 2 6 5 3" xfId="49431"/>
    <cellStyle name="Percent 2 2 2 2 6 6" xfId="11207"/>
    <cellStyle name="Percent 2 2 2 2 6 6 2" xfId="40652"/>
    <cellStyle name="Percent 2 2 2 2 6 6 2 2" xfId="55779"/>
    <cellStyle name="Percent 2 2 2 2 6 6 3" xfId="51461"/>
    <cellStyle name="Percent 2 2 2 2 6 7" xfId="3384"/>
    <cellStyle name="Percent 2 2 2 2 6 7 2" xfId="48078"/>
    <cellStyle name="Percent 2 2 2 2 6 8" xfId="38288"/>
    <cellStyle name="Percent 2 2 2 2 6 8 2" xfId="53488"/>
    <cellStyle name="Percent 2 2 2 2 6 9" xfId="45627"/>
    <cellStyle name="Percent 2 2 2 2 7" xfId="849"/>
    <cellStyle name="Percent 2 2 2 2 7 2" xfId="5198"/>
    <cellStyle name="Percent 2 2 2 2 7 2 2" xfId="40007"/>
    <cellStyle name="Percent 2 2 2 2 7 2 2 2" xfId="44523"/>
    <cellStyle name="Percent 2 2 2 2 7 2 2 2 2" xfId="59649"/>
    <cellStyle name="Percent 2 2 2 2 7 2 2 3" xfId="42287"/>
    <cellStyle name="Percent 2 2 2 2 7 2 2 3 2" xfId="57414"/>
    <cellStyle name="Percent 2 2 2 2 7 2 2 4" xfId="55135"/>
    <cellStyle name="Percent 2 2 2 2 7 2 3" xfId="43658"/>
    <cellStyle name="Percent 2 2 2 2 7 2 3 2" xfId="58784"/>
    <cellStyle name="Percent 2 2 2 2 7 2 4" xfId="41422"/>
    <cellStyle name="Percent 2 2 2 2 7 2 4 2" xfId="56549"/>
    <cellStyle name="Percent 2 2 2 2 7 2 5" xfId="38864"/>
    <cellStyle name="Percent 2 2 2 2 7 2 5 2" xfId="53996"/>
    <cellStyle name="Percent 2 2 2 2 7 2 6" xfId="49883"/>
    <cellStyle name="Percent 2 2 2 2 7 3" xfId="11659"/>
    <cellStyle name="Percent 2 2 2 2 7 3 2" xfId="44099"/>
    <cellStyle name="Percent 2 2 2 2 7 3 2 2" xfId="59225"/>
    <cellStyle name="Percent 2 2 2 2 7 3 3" xfId="41863"/>
    <cellStyle name="Percent 2 2 2 2 7 3 3 2" xfId="56990"/>
    <cellStyle name="Percent 2 2 2 2 7 3 4" xfId="39583"/>
    <cellStyle name="Percent 2 2 2 2 7 3 4 2" xfId="54711"/>
    <cellStyle name="Percent 2 2 2 2 7 3 5" xfId="51913"/>
    <cellStyle name="Percent 2 2 2 2 7 4" xfId="3084"/>
    <cellStyle name="Percent 2 2 2 2 7 4 2" xfId="42957"/>
    <cellStyle name="Percent 2 2 2 2 7 4 2 2" xfId="58083"/>
    <cellStyle name="Percent 2 2 2 2 7 4 3" xfId="47778"/>
    <cellStyle name="Percent 2 2 2 2 7 5" xfId="40721"/>
    <cellStyle name="Percent 2 2 2 2 7 5 2" xfId="55848"/>
    <cellStyle name="Percent 2 2 2 2 7 6" xfId="38413"/>
    <cellStyle name="Percent 2 2 2 2 7 6 2" xfId="53572"/>
    <cellStyle name="Percent 2 2 2 2 7 7" xfId="46079"/>
    <cellStyle name="Percent 2 2 2 2 8" xfId="728"/>
    <cellStyle name="Percent 2 2 2 2 8 2" xfId="5077"/>
    <cellStyle name="Percent 2 2 2 2 8 2 2" xfId="44172"/>
    <cellStyle name="Percent 2 2 2 2 8 2 2 2" xfId="59298"/>
    <cellStyle name="Percent 2 2 2 2 8 2 3" xfId="41936"/>
    <cellStyle name="Percent 2 2 2 2 8 2 3 2" xfId="57063"/>
    <cellStyle name="Percent 2 2 2 2 8 2 4" xfId="39656"/>
    <cellStyle name="Percent 2 2 2 2 8 2 4 2" xfId="54784"/>
    <cellStyle name="Percent 2 2 2 2 8 2 5" xfId="49762"/>
    <cellStyle name="Percent 2 2 2 2 8 3" xfId="11538"/>
    <cellStyle name="Percent 2 2 2 2 8 3 2" xfId="43308"/>
    <cellStyle name="Percent 2 2 2 2 8 3 2 2" xfId="58434"/>
    <cellStyle name="Percent 2 2 2 2 8 3 3" xfId="51792"/>
    <cellStyle name="Percent 2 2 2 2 8 4" xfId="2962"/>
    <cellStyle name="Percent 2 2 2 2 8 4 2" xfId="41072"/>
    <cellStyle name="Percent 2 2 2 2 8 4 2 2" xfId="56199"/>
    <cellStyle name="Percent 2 2 2 2 8 4 3" xfId="47656"/>
    <cellStyle name="Percent 2 2 2 2 8 5" xfId="38489"/>
    <cellStyle name="Percent 2 2 2 2 8 5 2" xfId="53645"/>
    <cellStyle name="Percent 2 2 2 2 8 6" xfId="45958"/>
    <cellStyle name="Percent 2 2 2 2 9" xfId="518"/>
    <cellStyle name="Percent 2 2 2 2 9 2" xfId="4867"/>
    <cellStyle name="Percent 2 2 2 2 9 2 2" xfId="43734"/>
    <cellStyle name="Percent 2 2 2 2 9 2 2 2" xfId="58860"/>
    <cellStyle name="Percent 2 2 2 2 9 2 3" xfId="49552"/>
    <cellStyle name="Percent 2 2 2 2 9 3" xfId="11328"/>
    <cellStyle name="Percent 2 2 2 2 9 3 2" xfId="41498"/>
    <cellStyle name="Percent 2 2 2 2 9 3 2 2" xfId="56625"/>
    <cellStyle name="Percent 2 2 2 2 9 3 3" xfId="51582"/>
    <cellStyle name="Percent 2 2 2 2 9 4" xfId="3488"/>
    <cellStyle name="Percent 2 2 2 2 9 4 2" xfId="48182"/>
    <cellStyle name="Percent 2 2 2 2 9 5" xfId="39218"/>
    <cellStyle name="Percent 2 2 2 2 9 5 2" xfId="54346"/>
    <cellStyle name="Percent 2 2 2 2 9 6" xfId="45748"/>
    <cellStyle name="Percent 2 2 2 3" xfId="151"/>
    <cellStyle name="Percent 2 2 2 3 10" xfId="10973"/>
    <cellStyle name="Percent 2 2 2 3 10 2" xfId="51227"/>
    <cellStyle name="Percent 2 2 2 3 11" xfId="2813"/>
    <cellStyle name="Percent 2 2 2 3 11 2" xfId="47511"/>
    <cellStyle name="Percent 2 2 2 3 12" xfId="38062"/>
    <cellStyle name="Percent 2 2 2 3 12 2" xfId="53262"/>
    <cellStyle name="Percent 2 2 2 3 13" xfId="45393"/>
    <cellStyle name="Percent 2 2 2 3 2" xfId="250"/>
    <cellStyle name="Percent 2 2 2 3 2 10" xfId="38138"/>
    <cellStyle name="Percent 2 2 2 3 2 10 2" xfId="53338"/>
    <cellStyle name="Percent 2 2 2 3 2 11" xfId="45482"/>
    <cellStyle name="Percent 2 2 2 3 2 2" xfId="1004"/>
    <cellStyle name="Percent 2 2 2 3 2 2 2" xfId="5353"/>
    <cellStyle name="Percent 2 2 2 3 2 2 2 2" xfId="44654"/>
    <cellStyle name="Percent 2 2 2 3 2 2 2 2 2" xfId="59780"/>
    <cellStyle name="Percent 2 2 2 3 2 2 2 3" xfId="42418"/>
    <cellStyle name="Percent 2 2 2 3 2 2 2 3 2" xfId="57545"/>
    <cellStyle name="Percent 2 2 2 3 2 2 2 4" xfId="40138"/>
    <cellStyle name="Percent 2 2 2 3 2 2 2 4 2" xfId="55266"/>
    <cellStyle name="Percent 2 2 2 3 2 2 2 5" xfId="50038"/>
    <cellStyle name="Percent 2 2 2 3 2 2 3" xfId="11814"/>
    <cellStyle name="Percent 2 2 2 3 2 2 3 2" xfId="43088"/>
    <cellStyle name="Percent 2 2 2 3 2 2 3 2 2" xfId="58214"/>
    <cellStyle name="Percent 2 2 2 3 2 2 3 3" xfId="52068"/>
    <cellStyle name="Percent 2 2 2 3 2 2 4" xfId="3239"/>
    <cellStyle name="Percent 2 2 2 3 2 2 4 2" xfId="40852"/>
    <cellStyle name="Percent 2 2 2 3 2 2 4 2 2" xfId="55979"/>
    <cellStyle name="Percent 2 2 2 3 2 2 4 3" xfId="47933"/>
    <cellStyle name="Percent 2 2 2 3 2 2 5" xfId="38996"/>
    <cellStyle name="Percent 2 2 2 3 2 2 5 2" xfId="54127"/>
    <cellStyle name="Percent 2 2 2 3 2 2 6" xfId="46234"/>
    <cellStyle name="Percent 2 2 2 3 2 3" xfId="1306"/>
    <cellStyle name="Percent 2 2 2 3 2 3 2" xfId="5655"/>
    <cellStyle name="Percent 2 2 2 3 2 3 2 2" xfId="44303"/>
    <cellStyle name="Percent 2 2 2 3 2 3 2 2 2" xfId="59429"/>
    <cellStyle name="Percent 2 2 2 3 2 3 2 3" xfId="42067"/>
    <cellStyle name="Percent 2 2 2 3 2 3 2 3 2" xfId="57194"/>
    <cellStyle name="Percent 2 2 2 3 2 3 2 4" xfId="39787"/>
    <cellStyle name="Percent 2 2 2 3 2 3 2 4 2" xfId="54915"/>
    <cellStyle name="Percent 2 2 2 3 2 3 2 5" xfId="50340"/>
    <cellStyle name="Percent 2 2 2 3 2 3 3" xfId="12116"/>
    <cellStyle name="Percent 2 2 2 3 2 3 3 2" xfId="43439"/>
    <cellStyle name="Percent 2 2 2 3 2 3 3 2 2" xfId="58565"/>
    <cellStyle name="Percent 2 2 2 3 2 3 3 3" xfId="52370"/>
    <cellStyle name="Percent 2 2 2 3 2 3 4" xfId="3589"/>
    <cellStyle name="Percent 2 2 2 3 2 3 4 2" xfId="41203"/>
    <cellStyle name="Percent 2 2 2 3 2 3 4 2 2" xfId="56330"/>
    <cellStyle name="Percent 2 2 2 3 2 3 4 3" xfId="48282"/>
    <cellStyle name="Percent 2 2 2 3 2 3 5" xfId="38623"/>
    <cellStyle name="Percent 2 2 2 3 2 3 5 2" xfId="53776"/>
    <cellStyle name="Percent 2 2 2 3 2 3 6" xfId="46536"/>
    <cellStyle name="Percent 2 2 2 3 2 4" xfId="1517"/>
    <cellStyle name="Percent 2 2 2 3 2 4 2" xfId="5866"/>
    <cellStyle name="Percent 2 2 2 3 2 4 2 2" xfId="43865"/>
    <cellStyle name="Percent 2 2 2 3 2 4 2 2 2" xfId="58991"/>
    <cellStyle name="Percent 2 2 2 3 2 4 2 3" xfId="50551"/>
    <cellStyle name="Percent 2 2 2 3 2 4 3" xfId="12327"/>
    <cellStyle name="Percent 2 2 2 3 2 4 3 2" xfId="41629"/>
    <cellStyle name="Percent 2 2 2 3 2 4 3 2 2" xfId="56756"/>
    <cellStyle name="Percent 2 2 2 3 2 4 3 3" xfId="52581"/>
    <cellStyle name="Percent 2 2 2 3 2 4 4" xfId="3816"/>
    <cellStyle name="Percent 2 2 2 3 2 4 4 2" xfId="48509"/>
    <cellStyle name="Percent 2 2 2 3 2 4 5" xfId="39349"/>
    <cellStyle name="Percent 2 2 2 3 2 4 5 2" xfId="54477"/>
    <cellStyle name="Percent 2 2 2 3 2 4 6" xfId="46747"/>
    <cellStyle name="Percent 2 2 2 3 2 5" xfId="672"/>
    <cellStyle name="Percent 2 2 2 3 2 5 2" xfId="5021"/>
    <cellStyle name="Percent 2 2 2 3 2 5 2 2" xfId="49706"/>
    <cellStyle name="Percent 2 2 2 3 2 5 3" xfId="11482"/>
    <cellStyle name="Percent 2 2 2 3 2 5 3 2" xfId="51736"/>
    <cellStyle name="Percent 2 2 2 3 2 5 4" xfId="4175"/>
    <cellStyle name="Percent 2 2 2 3 2 5 4 2" xfId="48865"/>
    <cellStyle name="Percent 2 2 2 3 2 5 5" xfId="42737"/>
    <cellStyle name="Percent 2 2 2 3 2 5 5 2" xfId="57864"/>
    <cellStyle name="Percent 2 2 2 3 2 5 6" xfId="45902"/>
    <cellStyle name="Percent 2 2 2 3 2 6" xfId="1922"/>
    <cellStyle name="Percent 2 2 2 3 2 6 2" xfId="12729"/>
    <cellStyle name="Percent 2 2 2 3 2 6 2 2" xfId="52982"/>
    <cellStyle name="Percent 2 2 2 3 2 6 3" xfId="6269"/>
    <cellStyle name="Percent 2 2 2 3 2 6 3 2" xfId="50952"/>
    <cellStyle name="Percent 2 2 2 3 2 6 4" xfId="40502"/>
    <cellStyle name="Percent 2 2 2 3 2 6 4 2" xfId="55629"/>
    <cellStyle name="Percent 2 2 2 3 2 6 5" xfId="47148"/>
    <cellStyle name="Percent 2 2 2 3 2 7" xfId="4599"/>
    <cellStyle name="Percent 2 2 2 3 2 7 2" xfId="49286"/>
    <cellStyle name="Percent 2 2 2 3 2 8" xfId="11062"/>
    <cellStyle name="Percent 2 2 2 3 2 8 2" xfId="51316"/>
    <cellStyle name="Percent 2 2 2 3 2 9" xfId="2906"/>
    <cellStyle name="Percent 2 2 2 3 2 9 2" xfId="47600"/>
    <cellStyle name="Percent 2 2 2 3 3" xfId="341"/>
    <cellStyle name="Percent 2 2 2 3 3 10" xfId="45571"/>
    <cellStyle name="Percent 2 2 2 3 3 2" xfId="1395"/>
    <cellStyle name="Percent 2 2 2 3 3 2 2" xfId="5744"/>
    <cellStyle name="Percent 2 2 2 3 3 2 2 2" xfId="44730"/>
    <cellStyle name="Percent 2 2 2 3 3 2 2 2 2" xfId="59856"/>
    <cellStyle name="Percent 2 2 2 3 3 2 2 3" xfId="42494"/>
    <cellStyle name="Percent 2 2 2 3 3 2 2 3 2" xfId="57621"/>
    <cellStyle name="Percent 2 2 2 3 3 2 2 4" xfId="40214"/>
    <cellStyle name="Percent 2 2 2 3 3 2 2 4 2" xfId="55342"/>
    <cellStyle name="Percent 2 2 2 3 3 2 2 5" xfId="50429"/>
    <cellStyle name="Percent 2 2 2 3 3 2 3" xfId="12205"/>
    <cellStyle name="Percent 2 2 2 3 3 2 3 2" xfId="43164"/>
    <cellStyle name="Percent 2 2 2 3 3 2 3 2 2" xfId="58290"/>
    <cellStyle name="Percent 2 2 2 3 3 2 3 3" xfId="52459"/>
    <cellStyle name="Percent 2 2 2 3 3 2 4" xfId="3678"/>
    <cellStyle name="Percent 2 2 2 3 3 2 4 2" xfId="40928"/>
    <cellStyle name="Percent 2 2 2 3 3 2 4 2 2" xfId="56055"/>
    <cellStyle name="Percent 2 2 2 3 3 2 4 3" xfId="48371"/>
    <cellStyle name="Percent 2 2 2 3 3 2 5" xfId="39072"/>
    <cellStyle name="Percent 2 2 2 3 3 2 5 2" xfId="54203"/>
    <cellStyle name="Percent 2 2 2 3 3 2 6" xfId="46625"/>
    <cellStyle name="Percent 2 2 2 3 3 3" xfId="1606"/>
    <cellStyle name="Percent 2 2 2 3 3 3 2" xfId="5955"/>
    <cellStyle name="Percent 2 2 2 3 3 3 2 2" xfId="44379"/>
    <cellStyle name="Percent 2 2 2 3 3 3 2 2 2" xfId="59505"/>
    <cellStyle name="Percent 2 2 2 3 3 3 2 3" xfId="42143"/>
    <cellStyle name="Percent 2 2 2 3 3 3 2 3 2" xfId="57270"/>
    <cellStyle name="Percent 2 2 2 3 3 3 2 4" xfId="39863"/>
    <cellStyle name="Percent 2 2 2 3 3 3 2 4 2" xfId="54991"/>
    <cellStyle name="Percent 2 2 2 3 3 3 2 5" xfId="50640"/>
    <cellStyle name="Percent 2 2 2 3 3 3 3" xfId="12416"/>
    <cellStyle name="Percent 2 2 2 3 3 3 3 2" xfId="43515"/>
    <cellStyle name="Percent 2 2 2 3 3 3 3 2 2" xfId="58641"/>
    <cellStyle name="Percent 2 2 2 3 3 3 3 3" xfId="52670"/>
    <cellStyle name="Percent 2 2 2 3 3 3 4" xfId="3905"/>
    <cellStyle name="Percent 2 2 2 3 3 3 4 2" xfId="41279"/>
    <cellStyle name="Percent 2 2 2 3 3 3 4 2 2" xfId="56406"/>
    <cellStyle name="Percent 2 2 2 3 3 3 4 3" xfId="48598"/>
    <cellStyle name="Percent 2 2 2 3 3 3 5" xfId="38699"/>
    <cellStyle name="Percent 2 2 2 3 3 3 5 2" xfId="53852"/>
    <cellStyle name="Percent 2 2 2 3 3 3 6" xfId="46836"/>
    <cellStyle name="Percent 2 2 2 3 3 4" xfId="1093"/>
    <cellStyle name="Percent 2 2 2 3 3 4 2" xfId="5442"/>
    <cellStyle name="Percent 2 2 2 3 3 4 2 2" xfId="43941"/>
    <cellStyle name="Percent 2 2 2 3 3 4 2 2 2" xfId="59067"/>
    <cellStyle name="Percent 2 2 2 3 3 4 2 3" xfId="50127"/>
    <cellStyle name="Percent 2 2 2 3 3 4 3" xfId="11903"/>
    <cellStyle name="Percent 2 2 2 3 3 4 3 2" xfId="41705"/>
    <cellStyle name="Percent 2 2 2 3 3 4 3 2 2" xfId="56832"/>
    <cellStyle name="Percent 2 2 2 3 3 4 3 3" xfId="52157"/>
    <cellStyle name="Percent 2 2 2 3 3 4 4" xfId="4264"/>
    <cellStyle name="Percent 2 2 2 3 3 4 4 2" xfId="48954"/>
    <cellStyle name="Percent 2 2 2 3 3 4 5" xfId="39425"/>
    <cellStyle name="Percent 2 2 2 3 3 4 5 2" xfId="54553"/>
    <cellStyle name="Percent 2 2 2 3 3 4 6" xfId="46323"/>
    <cellStyle name="Percent 2 2 2 3 3 5" xfId="1998"/>
    <cellStyle name="Percent 2 2 2 3 3 5 2" xfId="12805"/>
    <cellStyle name="Percent 2 2 2 3 3 5 2 2" xfId="53058"/>
    <cellStyle name="Percent 2 2 2 3 3 5 3" xfId="6345"/>
    <cellStyle name="Percent 2 2 2 3 3 5 3 2" xfId="51028"/>
    <cellStyle name="Percent 2 2 2 3 3 5 4" xfId="42813"/>
    <cellStyle name="Percent 2 2 2 3 3 5 4 2" xfId="57940"/>
    <cellStyle name="Percent 2 2 2 3 3 5 5" xfId="47224"/>
    <cellStyle name="Percent 2 2 2 3 3 6" xfId="4690"/>
    <cellStyle name="Percent 2 2 2 3 3 6 2" xfId="40578"/>
    <cellStyle name="Percent 2 2 2 3 3 6 2 2" xfId="55705"/>
    <cellStyle name="Percent 2 2 2 3 3 6 3" xfId="49375"/>
    <cellStyle name="Percent 2 2 2 3 3 7" xfId="11151"/>
    <cellStyle name="Percent 2 2 2 3 3 7 2" xfId="51405"/>
    <cellStyle name="Percent 2 2 2 3 3 8" xfId="3328"/>
    <cellStyle name="Percent 2 2 2 3 3 8 2" xfId="48022"/>
    <cellStyle name="Percent 2 2 2 3 3 9" xfId="38214"/>
    <cellStyle name="Percent 2 2 2 3 3 9 2" xfId="53414"/>
    <cellStyle name="Percent 2 2 2 3 4" xfId="462"/>
    <cellStyle name="Percent 2 2 2 3 4 2" xfId="1727"/>
    <cellStyle name="Percent 2 2 2 3 4 2 2" xfId="6076"/>
    <cellStyle name="Percent 2 2 2 3 4 2 2 2" xfId="44806"/>
    <cellStyle name="Percent 2 2 2 3 4 2 2 2 2" xfId="59932"/>
    <cellStyle name="Percent 2 2 2 3 4 2 2 3" xfId="42570"/>
    <cellStyle name="Percent 2 2 2 3 4 2 2 3 2" xfId="57697"/>
    <cellStyle name="Percent 2 2 2 3 4 2 2 4" xfId="40290"/>
    <cellStyle name="Percent 2 2 2 3 4 2 2 4 2" xfId="55418"/>
    <cellStyle name="Percent 2 2 2 3 4 2 2 5" xfId="50761"/>
    <cellStyle name="Percent 2 2 2 3 4 2 3" xfId="12537"/>
    <cellStyle name="Percent 2 2 2 3 4 2 3 2" xfId="43240"/>
    <cellStyle name="Percent 2 2 2 3 4 2 3 2 2" xfId="58366"/>
    <cellStyle name="Percent 2 2 2 3 4 2 3 3" xfId="52791"/>
    <cellStyle name="Percent 2 2 2 3 4 2 4" xfId="4026"/>
    <cellStyle name="Percent 2 2 2 3 4 2 4 2" xfId="41004"/>
    <cellStyle name="Percent 2 2 2 3 4 2 4 2 2" xfId="56131"/>
    <cellStyle name="Percent 2 2 2 3 4 2 4 3" xfId="48719"/>
    <cellStyle name="Percent 2 2 2 3 4 2 5" xfId="39148"/>
    <cellStyle name="Percent 2 2 2 3 4 2 5 2" xfId="54279"/>
    <cellStyle name="Percent 2 2 2 3 4 2 6" xfId="46957"/>
    <cellStyle name="Percent 2 2 2 3 4 3" xfId="1214"/>
    <cellStyle name="Percent 2 2 2 3 4 3 2" xfId="5563"/>
    <cellStyle name="Percent 2 2 2 3 4 3 2 2" xfId="44455"/>
    <cellStyle name="Percent 2 2 2 3 4 3 2 2 2" xfId="59581"/>
    <cellStyle name="Percent 2 2 2 3 4 3 2 3" xfId="42219"/>
    <cellStyle name="Percent 2 2 2 3 4 3 2 3 2" xfId="57346"/>
    <cellStyle name="Percent 2 2 2 3 4 3 2 4" xfId="39939"/>
    <cellStyle name="Percent 2 2 2 3 4 3 2 4 2" xfId="55067"/>
    <cellStyle name="Percent 2 2 2 3 4 3 2 5" xfId="50248"/>
    <cellStyle name="Percent 2 2 2 3 4 3 3" xfId="12024"/>
    <cellStyle name="Percent 2 2 2 3 4 3 3 2" xfId="43591"/>
    <cellStyle name="Percent 2 2 2 3 4 3 3 2 2" xfId="58717"/>
    <cellStyle name="Percent 2 2 2 3 4 3 3 3" xfId="52278"/>
    <cellStyle name="Percent 2 2 2 3 4 3 4" xfId="4385"/>
    <cellStyle name="Percent 2 2 2 3 4 3 4 2" xfId="41355"/>
    <cellStyle name="Percent 2 2 2 3 4 3 4 2 2" xfId="56482"/>
    <cellStyle name="Percent 2 2 2 3 4 3 4 3" xfId="49075"/>
    <cellStyle name="Percent 2 2 2 3 4 3 5" xfId="38775"/>
    <cellStyle name="Percent 2 2 2 3 4 3 5 2" xfId="53928"/>
    <cellStyle name="Percent 2 2 2 3 4 3 6" xfId="46444"/>
    <cellStyle name="Percent 2 2 2 3 4 4" xfId="2075"/>
    <cellStyle name="Percent 2 2 2 3 4 4 2" xfId="12881"/>
    <cellStyle name="Percent 2 2 2 3 4 4 2 2" xfId="44017"/>
    <cellStyle name="Percent 2 2 2 3 4 4 2 2 2" xfId="59143"/>
    <cellStyle name="Percent 2 2 2 3 4 4 2 3" xfId="53134"/>
    <cellStyle name="Percent 2 2 2 3 4 4 3" xfId="6421"/>
    <cellStyle name="Percent 2 2 2 3 4 4 3 2" xfId="41781"/>
    <cellStyle name="Percent 2 2 2 3 4 4 3 2 2" xfId="56908"/>
    <cellStyle name="Percent 2 2 2 3 4 4 3 3" xfId="51104"/>
    <cellStyle name="Percent 2 2 2 3 4 4 4" xfId="39501"/>
    <cellStyle name="Percent 2 2 2 3 4 4 4 2" xfId="54629"/>
    <cellStyle name="Percent 2 2 2 3 4 4 5" xfId="47300"/>
    <cellStyle name="Percent 2 2 2 3 4 5" xfId="4811"/>
    <cellStyle name="Percent 2 2 2 3 4 5 2" xfId="42889"/>
    <cellStyle name="Percent 2 2 2 3 4 5 2 2" xfId="58016"/>
    <cellStyle name="Percent 2 2 2 3 4 5 3" xfId="49496"/>
    <cellStyle name="Percent 2 2 2 3 4 6" xfId="11272"/>
    <cellStyle name="Percent 2 2 2 3 4 6 2" xfId="40654"/>
    <cellStyle name="Percent 2 2 2 3 4 6 2 2" xfId="55781"/>
    <cellStyle name="Percent 2 2 2 3 4 6 3" xfId="51526"/>
    <cellStyle name="Percent 2 2 2 3 4 7" xfId="3449"/>
    <cellStyle name="Percent 2 2 2 3 4 7 2" xfId="48143"/>
    <cellStyle name="Percent 2 2 2 3 4 8" xfId="38290"/>
    <cellStyle name="Percent 2 2 2 3 4 8 2" xfId="53490"/>
    <cellStyle name="Percent 2 2 2 3 4 9" xfId="45692"/>
    <cellStyle name="Percent 2 2 2 3 5" xfId="915"/>
    <cellStyle name="Percent 2 2 2 3 5 2" xfId="5264"/>
    <cellStyle name="Percent 2 2 2 3 5 2 2" xfId="40062"/>
    <cellStyle name="Percent 2 2 2 3 5 2 2 2" xfId="44578"/>
    <cellStyle name="Percent 2 2 2 3 5 2 2 2 2" xfId="59704"/>
    <cellStyle name="Percent 2 2 2 3 5 2 2 3" xfId="42342"/>
    <cellStyle name="Percent 2 2 2 3 5 2 2 3 2" xfId="57469"/>
    <cellStyle name="Percent 2 2 2 3 5 2 2 4" xfId="55190"/>
    <cellStyle name="Percent 2 2 2 3 5 2 3" xfId="43687"/>
    <cellStyle name="Percent 2 2 2 3 5 2 3 2" xfId="58813"/>
    <cellStyle name="Percent 2 2 2 3 5 2 4" xfId="41451"/>
    <cellStyle name="Percent 2 2 2 3 5 2 4 2" xfId="56578"/>
    <cellStyle name="Percent 2 2 2 3 5 2 5" xfId="38919"/>
    <cellStyle name="Percent 2 2 2 3 5 2 5 2" xfId="54051"/>
    <cellStyle name="Percent 2 2 2 3 5 2 6" xfId="49949"/>
    <cellStyle name="Percent 2 2 2 3 5 3" xfId="11725"/>
    <cellStyle name="Percent 2 2 2 3 5 3 2" xfId="44101"/>
    <cellStyle name="Percent 2 2 2 3 5 3 2 2" xfId="59227"/>
    <cellStyle name="Percent 2 2 2 3 5 3 3" xfId="41865"/>
    <cellStyle name="Percent 2 2 2 3 5 3 3 2" xfId="56992"/>
    <cellStyle name="Percent 2 2 2 3 5 3 4" xfId="39585"/>
    <cellStyle name="Percent 2 2 2 3 5 3 4 2" xfId="54713"/>
    <cellStyle name="Percent 2 2 2 3 5 3 5" xfId="51979"/>
    <cellStyle name="Percent 2 2 2 3 5 4" xfId="3150"/>
    <cellStyle name="Percent 2 2 2 3 5 4 2" xfId="43012"/>
    <cellStyle name="Percent 2 2 2 3 5 4 2 2" xfId="58138"/>
    <cellStyle name="Percent 2 2 2 3 5 4 3" xfId="47844"/>
    <cellStyle name="Percent 2 2 2 3 5 5" xfId="40776"/>
    <cellStyle name="Percent 2 2 2 3 5 5 2" xfId="55903"/>
    <cellStyle name="Percent 2 2 2 3 5 6" xfId="38415"/>
    <cellStyle name="Percent 2 2 2 3 5 6 2" xfId="53574"/>
    <cellStyle name="Percent 2 2 2 3 5 7" xfId="46145"/>
    <cellStyle name="Percent 2 2 2 3 6" xfId="793"/>
    <cellStyle name="Percent 2 2 2 3 6 2" xfId="5142"/>
    <cellStyle name="Percent 2 2 2 3 6 2 2" xfId="44227"/>
    <cellStyle name="Percent 2 2 2 3 6 2 2 2" xfId="59353"/>
    <cellStyle name="Percent 2 2 2 3 6 2 3" xfId="41991"/>
    <cellStyle name="Percent 2 2 2 3 6 2 3 2" xfId="57118"/>
    <cellStyle name="Percent 2 2 2 3 6 2 4" xfId="39711"/>
    <cellStyle name="Percent 2 2 2 3 6 2 4 2" xfId="54839"/>
    <cellStyle name="Percent 2 2 2 3 6 2 5" xfId="49827"/>
    <cellStyle name="Percent 2 2 2 3 6 3" xfId="11603"/>
    <cellStyle name="Percent 2 2 2 3 6 3 2" xfId="43363"/>
    <cellStyle name="Percent 2 2 2 3 6 3 2 2" xfId="58489"/>
    <cellStyle name="Percent 2 2 2 3 6 3 3" xfId="51857"/>
    <cellStyle name="Percent 2 2 2 3 6 4" xfId="3028"/>
    <cellStyle name="Percent 2 2 2 3 6 4 2" xfId="41127"/>
    <cellStyle name="Percent 2 2 2 3 6 4 2 2" xfId="56254"/>
    <cellStyle name="Percent 2 2 2 3 6 4 3" xfId="47722"/>
    <cellStyle name="Percent 2 2 2 3 6 5" xfId="38545"/>
    <cellStyle name="Percent 2 2 2 3 6 5 2" xfId="53700"/>
    <cellStyle name="Percent 2 2 2 3 6 6" xfId="46023"/>
    <cellStyle name="Percent 2 2 2 3 7" xfId="583"/>
    <cellStyle name="Percent 2 2 2 3 7 2" xfId="4932"/>
    <cellStyle name="Percent 2 2 2 3 7 2 2" xfId="43789"/>
    <cellStyle name="Percent 2 2 2 3 7 2 2 2" xfId="58915"/>
    <cellStyle name="Percent 2 2 2 3 7 2 3" xfId="49617"/>
    <cellStyle name="Percent 2 2 2 3 7 3" xfId="11393"/>
    <cellStyle name="Percent 2 2 2 3 7 3 2" xfId="41553"/>
    <cellStyle name="Percent 2 2 2 3 7 3 2 2" xfId="56680"/>
    <cellStyle name="Percent 2 2 2 3 7 3 3" xfId="51647"/>
    <cellStyle name="Percent 2 2 2 3 7 4" xfId="3487"/>
    <cellStyle name="Percent 2 2 2 3 7 4 2" xfId="48181"/>
    <cellStyle name="Percent 2 2 2 3 7 5" xfId="39273"/>
    <cellStyle name="Percent 2 2 2 3 7 5 2" xfId="54401"/>
    <cellStyle name="Percent 2 2 2 3 7 6" xfId="45813"/>
    <cellStyle name="Percent 2 2 2 3 8" xfId="1843"/>
    <cellStyle name="Percent 2 2 2 3 8 2" xfId="12652"/>
    <cellStyle name="Percent 2 2 2 3 8 2 2" xfId="52906"/>
    <cellStyle name="Percent 2 2 2 3 8 3" xfId="6191"/>
    <cellStyle name="Percent 2 2 2 3 8 3 2" xfId="50876"/>
    <cellStyle name="Percent 2 2 2 3 8 4" xfId="42661"/>
    <cellStyle name="Percent 2 2 2 3 8 4 2" xfId="57788"/>
    <cellStyle name="Percent 2 2 2 3 8 5" xfId="47072"/>
    <cellStyle name="Percent 2 2 2 3 9" xfId="2658"/>
    <cellStyle name="Percent 2 2 2 3 9 2" xfId="4507"/>
    <cellStyle name="Percent 2 2 2 3 9 2 2" xfId="49197"/>
    <cellStyle name="Percent 2 2 2 3 9 3" xfId="40426"/>
    <cellStyle name="Percent 2 2 2 3 9 3 2" xfId="55553"/>
    <cellStyle name="Percent 2 2 2 3 9 4" xfId="47390"/>
    <cellStyle name="Percent 2 2 2 4" xfId="148"/>
    <cellStyle name="Percent 2 2 2 4 10" xfId="38059"/>
    <cellStyle name="Percent 2 2 2 4 10 2" xfId="53259"/>
    <cellStyle name="Percent 2 2 2 4 11" xfId="45390"/>
    <cellStyle name="Percent 2 2 2 4 2" xfId="459"/>
    <cellStyle name="Percent 2 2 2 4 2 2" xfId="1442"/>
    <cellStyle name="Percent 2 2 2 4 2 2 2" xfId="5791"/>
    <cellStyle name="Percent 2 2 2 4 2 2 2 2" xfId="44575"/>
    <cellStyle name="Percent 2 2 2 4 2 2 2 2 2" xfId="59701"/>
    <cellStyle name="Percent 2 2 2 4 2 2 2 3" xfId="50476"/>
    <cellStyle name="Percent 2 2 2 4 2 2 3" xfId="12252"/>
    <cellStyle name="Percent 2 2 2 4 2 2 3 2" xfId="42339"/>
    <cellStyle name="Percent 2 2 2 4 2 2 3 2 2" xfId="57466"/>
    <cellStyle name="Percent 2 2 2 4 2 2 3 3" xfId="52506"/>
    <cellStyle name="Percent 2 2 2 4 2 2 4" xfId="3725"/>
    <cellStyle name="Percent 2 2 2 4 2 2 4 2" xfId="48418"/>
    <cellStyle name="Percent 2 2 2 4 2 2 5" xfId="40059"/>
    <cellStyle name="Percent 2 2 2 4 2 2 5 2" xfId="55187"/>
    <cellStyle name="Percent 2 2 2 4 2 2 6" xfId="46672"/>
    <cellStyle name="Percent 2 2 2 4 2 3" xfId="1724"/>
    <cellStyle name="Percent 2 2 2 4 2 3 2" xfId="6073"/>
    <cellStyle name="Percent 2 2 2 4 2 3 2 2" xfId="50758"/>
    <cellStyle name="Percent 2 2 2 4 2 3 3" xfId="12534"/>
    <cellStyle name="Percent 2 2 2 4 2 3 3 2" xfId="52788"/>
    <cellStyle name="Percent 2 2 2 4 2 3 4" xfId="4023"/>
    <cellStyle name="Percent 2 2 2 4 2 3 4 2" xfId="48716"/>
    <cellStyle name="Percent 2 2 2 4 2 3 5" xfId="43009"/>
    <cellStyle name="Percent 2 2 2 4 2 3 5 2" xfId="58135"/>
    <cellStyle name="Percent 2 2 2 4 2 3 6" xfId="46954"/>
    <cellStyle name="Percent 2 2 2 4 2 4" xfId="1211"/>
    <cellStyle name="Percent 2 2 2 4 2 4 2" xfId="5560"/>
    <cellStyle name="Percent 2 2 2 4 2 4 2 2" xfId="50245"/>
    <cellStyle name="Percent 2 2 2 4 2 4 3" xfId="12021"/>
    <cellStyle name="Percent 2 2 2 4 2 4 3 2" xfId="52275"/>
    <cellStyle name="Percent 2 2 2 4 2 4 4" xfId="4382"/>
    <cellStyle name="Percent 2 2 2 4 2 4 4 2" xfId="49072"/>
    <cellStyle name="Percent 2 2 2 4 2 4 5" xfId="40773"/>
    <cellStyle name="Percent 2 2 2 4 2 4 5 2" xfId="55900"/>
    <cellStyle name="Percent 2 2 2 4 2 4 6" xfId="46441"/>
    <cellStyle name="Percent 2 2 2 4 2 5" xfId="4808"/>
    <cellStyle name="Percent 2 2 2 4 2 5 2" xfId="49493"/>
    <cellStyle name="Percent 2 2 2 4 2 6" xfId="11269"/>
    <cellStyle name="Percent 2 2 2 4 2 6 2" xfId="51523"/>
    <cellStyle name="Percent 2 2 2 4 2 7" xfId="3446"/>
    <cellStyle name="Percent 2 2 2 4 2 7 2" xfId="48140"/>
    <cellStyle name="Percent 2 2 2 4 2 8" xfId="38916"/>
    <cellStyle name="Percent 2 2 2 4 2 8 2" xfId="54048"/>
    <cellStyle name="Percent 2 2 2 4 2 9" xfId="45689"/>
    <cellStyle name="Percent 2 2 2 4 3" xfId="912"/>
    <cellStyle name="Percent 2 2 2 4 3 2" xfId="5261"/>
    <cellStyle name="Percent 2 2 2 4 3 2 2" xfId="44224"/>
    <cellStyle name="Percent 2 2 2 4 3 2 2 2" xfId="59350"/>
    <cellStyle name="Percent 2 2 2 4 3 2 3" xfId="41988"/>
    <cellStyle name="Percent 2 2 2 4 3 2 3 2" xfId="57115"/>
    <cellStyle name="Percent 2 2 2 4 3 2 4" xfId="39708"/>
    <cellStyle name="Percent 2 2 2 4 3 2 4 2" xfId="54836"/>
    <cellStyle name="Percent 2 2 2 4 3 2 5" xfId="49946"/>
    <cellStyle name="Percent 2 2 2 4 3 3" xfId="11722"/>
    <cellStyle name="Percent 2 2 2 4 3 3 2" xfId="43360"/>
    <cellStyle name="Percent 2 2 2 4 3 3 2 2" xfId="58486"/>
    <cellStyle name="Percent 2 2 2 4 3 3 3" xfId="51976"/>
    <cellStyle name="Percent 2 2 2 4 3 4" xfId="3147"/>
    <cellStyle name="Percent 2 2 2 4 3 4 2" xfId="41124"/>
    <cellStyle name="Percent 2 2 2 4 3 4 2 2" xfId="56251"/>
    <cellStyle name="Percent 2 2 2 4 3 4 3" xfId="47841"/>
    <cellStyle name="Percent 2 2 2 4 3 5" xfId="38542"/>
    <cellStyle name="Percent 2 2 2 4 3 5 2" xfId="53697"/>
    <cellStyle name="Percent 2 2 2 4 3 6" xfId="46142"/>
    <cellStyle name="Percent 2 2 2 4 4" xfId="790"/>
    <cellStyle name="Percent 2 2 2 4 4 2" xfId="5139"/>
    <cellStyle name="Percent 2 2 2 4 4 2 2" xfId="43786"/>
    <cellStyle name="Percent 2 2 2 4 4 2 2 2" xfId="58912"/>
    <cellStyle name="Percent 2 2 2 4 4 2 3" xfId="49824"/>
    <cellStyle name="Percent 2 2 2 4 4 3" xfId="11600"/>
    <cellStyle name="Percent 2 2 2 4 4 3 2" xfId="41550"/>
    <cellStyle name="Percent 2 2 2 4 4 3 2 2" xfId="56677"/>
    <cellStyle name="Percent 2 2 2 4 4 3 3" xfId="51854"/>
    <cellStyle name="Percent 2 2 2 4 4 4" xfId="3025"/>
    <cellStyle name="Percent 2 2 2 4 4 4 2" xfId="47719"/>
    <cellStyle name="Percent 2 2 2 4 4 5" xfId="39270"/>
    <cellStyle name="Percent 2 2 2 4 4 5 2" xfId="54398"/>
    <cellStyle name="Percent 2 2 2 4 4 6" xfId="46020"/>
    <cellStyle name="Percent 2 2 2 4 5" xfId="580"/>
    <cellStyle name="Percent 2 2 2 4 5 2" xfId="4929"/>
    <cellStyle name="Percent 2 2 2 4 5 2 2" xfId="49614"/>
    <cellStyle name="Percent 2 2 2 4 5 3" xfId="11390"/>
    <cellStyle name="Percent 2 2 2 4 5 3 2" xfId="51644"/>
    <cellStyle name="Percent 2 2 2 4 5 4" xfId="4075"/>
    <cellStyle name="Percent 2 2 2 4 5 4 2" xfId="48767"/>
    <cellStyle name="Percent 2 2 2 4 5 5" xfId="42658"/>
    <cellStyle name="Percent 2 2 2 4 5 5 2" xfId="57785"/>
    <cellStyle name="Percent 2 2 2 4 5 6" xfId="45810"/>
    <cellStyle name="Percent 2 2 2 4 6" xfId="1840"/>
    <cellStyle name="Percent 2 2 2 4 6 2" xfId="12649"/>
    <cellStyle name="Percent 2 2 2 4 6 2 2" xfId="52903"/>
    <cellStyle name="Percent 2 2 2 4 6 3" xfId="6188"/>
    <cellStyle name="Percent 2 2 2 4 6 3 2" xfId="50873"/>
    <cellStyle name="Percent 2 2 2 4 6 4" xfId="40423"/>
    <cellStyle name="Percent 2 2 2 4 6 4 2" xfId="55550"/>
    <cellStyle name="Percent 2 2 2 4 6 5" xfId="47069"/>
    <cellStyle name="Percent 2 2 2 4 7" xfId="4504"/>
    <cellStyle name="Percent 2 2 2 4 7 2" xfId="49194"/>
    <cellStyle name="Percent 2 2 2 4 8" xfId="10970"/>
    <cellStyle name="Percent 2 2 2 4 8 2" xfId="51224"/>
    <cellStyle name="Percent 2 2 2 4 9" xfId="2810"/>
    <cellStyle name="Percent 2 2 2 4 9 2" xfId="47508"/>
    <cellStyle name="Percent 2 2 2 5" xfId="247"/>
    <cellStyle name="Percent 2 2 2 5 10" xfId="38135"/>
    <cellStyle name="Percent 2 2 2 5 10 2" xfId="53335"/>
    <cellStyle name="Percent 2 2 2 5 11" xfId="45479"/>
    <cellStyle name="Percent 2 2 2 5 2" xfId="1001"/>
    <cellStyle name="Percent 2 2 2 5 2 2" xfId="5350"/>
    <cellStyle name="Percent 2 2 2 5 2 2 2" xfId="44651"/>
    <cellStyle name="Percent 2 2 2 5 2 2 2 2" xfId="59777"/>
    <cellStyle name="Percent 2 2 2 5 2 2 3" xfId="42415"/>
    <cellStyle name="Percent 2 2 2 5 2 2 3 2" xfId="57542"/>
    <cellStyle name="Percent 2 2 2 5 2 2 4" xfId="40135"/>
    <cellStyle name="Percent 2 2 2 5 2 2 4 2" xfId="55263"/>
    <cellStyle name="Percent 2 2 2 5 2 2 5" xfId="50035"/>
    <cellStyle name="Percent 2 2 2 5 2 3" xfId="11811"/>
    <cellStyle name="Percent 2 2 2 5 2 3 2" xfId="43085"/>
    <cellStyle name="Percent 2 2 2 5 2 3 2 2" xfId="58211"/>
    <cellStyle name="Percent 2 2 2 5 2 3 3" xfId="52065"/>
    <cellStyle name="Percent 2 2 2 5 2 4" xfId="3236"/>
    <cellStyle name="Percent 2 2 2 5 2 4 2" xfId="40849"/>
    <cellStyle name="Percent 2 2 2 5 2 4 2 2" xfId="55976"/>
    <cellStyle name="Percent 2 2 2 5 2 4 3" xfId="47930"/>
    <cellStyle name="Percent 2 2 2 5 2 5" xfId="38993"/>
    <cellStyle name="Percent 2 2 2 5 2 5 2" xfId="54124"/>
    <cellStyle name="Percent 2 2 2 5 2 6" xfId="46231"/>
    <cellStyle name="Percent 2 2 2 5 3" xfId="1303"/>
    <cellStyle name="Percent 2 2 2 5 3 2" xfId="5652"/>
    <cellStyle name="Percent 2 2 2 5 3 2 2" xfId="44300"/>
    <cellStyle name="Percent 2 2 2 5 3 2 2 2" xfId="59426"/>
    <cellStyle name="Percent 2 2 2 5 3 2 3" xfId="42064"/>
    <cellStyle name="Percent 2 2 2 5 3 2 3 2" xfId="57191"/>
    <cellStyle name="Percent 2 2 2 5 3 2 4" xfId="39784"/>
    <cellStyle name="Percent 2 2 2 5 3 2 4 2" xfId="54912"/>
    <cellStyle name="Percent 2 2 2 5 3 2 5" xfId="50337"/>
    <cellStyle name="Percent 2 2 2 5 3 3" xfId="12113"/>
    <cellStyle name="Percent 2 2 2 5 3 3 2" xfId="43436"/>
    <cellStyle name="Percent 2 2 2 5 3 3 2 2" xfId="58562"/>
    <cellStyle name="Percent 2 2 2 5 3 3 3" xfId="52367"/>
    <cellStyle name="Percent 2 2 2 5 3 4" xfId="3586"/>
    <cellStyle name="Percent 2 2 2 5 3 4 2" xfId="41200"/>
    <cellStyle name="Percent 2 2 2 5 3 4 2 2" xfId="56327"/>
    <cellStyle name="Percent 2 2 2 5 3 4 3" xfId="48279"/>
    <cellStyle name="Percent 2 2 2 5 3 5" xfId="38620"/>
    <cellStyle name="Percent 2 2 2 5 3 5 2" xfId="53773"/>
    <cellStyle name="Percent 2 2 2 5 3 6" xfId="46533"/>
    <cellStyle name="Percent 2 2 2 5 4" xfId="1514"/>
    <cellStyle name="Percent 2 2 2 5 4 2" xfId="5863"/>
    <cellStyle name="Percent 2 2 2 5 4 2 2" xfId="43862"/>
    <cellStyle name="Percent 2 2 2 5 4 2 2 2" xfId="58988"/>
    <cellStyle name="Percent 2 2 2 5 4 2 3" xfId="50548"/>
    <cellStyle name="Percent 2 2 2 5 4 3" xfId="12324"/>
    <cellStyle name="Percent 2 2 2 5 4 3 2" xfId="41626"/>
    <cellStyle name="Percent 2 2 2 5 4 3 2 2" xfId="56753"/>
    <cellStyle name="Percent 2 2 2 5 4 3 3" xfId="52578"/>
    <cellStyle name="Percent 2 2 2 5 4 4" xfId="3813"/>
    <cellStyle name="Percent 2 2 2 5 4 4 2" xfId="48506"/>
    <cellStyle name="Percent 2 2 2 5 4 5" xfId="39346"/>
    <cellStyle name="Percent 2 2 2 5 4 5 2" xfId="54474"/>
    <cellStyle name="Percent 2 2 2 5 4 6" xfId="46744"/>
    <cellStyle name="Percent 2 2 2 5 5" xfId="669"/>
    <cellStyle name="Percent 2 2 2 5 5 2" xfId="5018"/>
    <cellStyle name="Percent 2 2 2 5 5 2 2" xfId="49703"/>
    <cellStyle name="Percent 2 2 2 5 5 3" xfId="11479"/>
    <cellStyle name="Percent 2 2 2 5 5 3 2" xfId="51733"/>
    <cellStyle name="Percent 2 2 2 5 5 4" xfId="4172"/>
    <cellStyle name="Percent 2 2 2 5 5 4 2" xfId="48862"/>
    <cellStyle name="Percent 2 2 2 5 5 5" xfId="42734"/>
    <cellStyle name="Percent 2 2 2 5 5 5 2" xfId="57861"/>
    <cellStyle name="Percent 2 2 2 5 5 6" xfId="45899"/>
    <cellStyle name="Percent 2 2 2 5 6" xfId="1919"/>
    <cellStyle name="Percent 2 2 2 5 6 2" xfId="12726"/>
    <cellStyle name="Percent 2 2 2 5 6 2 2" xfId="52979"/>
    <cellStyle name="Percent 2 2 2 5 6 3" xfId="6266"/>
    <cellStyle name="Percent 2 2 2 5 6 3 2" xfId="50949"/>
    <cellStyle name="Percent 2 2 2 5 6 4" xfId="40499"/>
    <cellStyle name="Percent 2 2 2 5 6 4 2" xfId="55626"/>
    <cellStyle name="Percent 2 2 2 5 6 5" xfId="47145"/>
    <cellStyle name="Percent 2 2 2 5 7" xfId="4596"/>
    <cellStyle name="Percent 2 2 2 5 7 2" xfId="49283"/>
    <cellStyle name="Percent 2 2 2 5 8" xfId="11059"/>
    <cellStyle name="Percent 2 2 2 5 8 2" xfId="51313"/>
    <cellStyle name="Percent 2 2 2 5 9" xfId="2903"/>
    <cellStyle name="Percent 2 2 2 5 9 2" xfId="47597"/>
    <cellStyle name="Percent 2 2 2 6" xfId="338"/>
    <cellStyle name="Percent 2 2 2 6 10" xfId="45568"/>
    <cellStyle name="Percent 2 2 2 6 2" xfId="1392"/>
    <cellStyle name="Percent 2 2 2 6 2 2" xfId="5741"/>
    <cellStyle name="Percent 2 2 2 6 2 2 2" xfId="44727"/>
    <cellStyle name="Percent 2 2 2 6 2 2 2 2" xfId="59853"/>
    <cellStyle name="Percent 2 2 2 6 2 2 3" xfId="42491"/>
    <cellStyle name="Percent 2 2 2 6 2 2 3 2" xfId="57618"/>
    <cellStyle name="Percent 2 2 2 6 2 2 4" xfId="40211"/>
    <cellStyle name="Percent 2 2 2 6 2 2 4 2" xfId="55339"/>
    <cellStyle name="Percent 2 2 2 6 2 2 5" xfId="50426"/>
    <cellStyle name="Percent 2 2 2 6 2 3" xfId="12202"/>
    <cellStyle name="Percent 2 2 2 6 2 3 2" xfId="43161"/>
    <cellStyle name="Percent 2 2 2 6 2 3 2 2" xfId="58287"/>
    <cellStyle name="Percent 2 2 2 6 2 3 3" xfId="52456"/>
    <cellStyle name="Percent 2 2 2 6 2 4" xfId="3675"/>
    <cellStyle name="Percent 2 2 2 6 2 4 2" xfId="40925"/>
    <cellStyle name="Percent 2 2 2 6 2 4 2 2" xfId="56052"/>
    <cellStyle name="Percent 2 2 2 6 2 4 3" xfId="48368"/>
    <cellStyle name="Percent 2 2 2 6 2 5" xfId="39069"/>
    <cellStyle name="Percent 2 2 2 6 2 5 2" xfId="54200"/>
    <cellStyle name="Percent 2 2 2 6 2 6" xfId="46622"/>
    <cellStyle name="Percent 2 2 2 6 3" xfId="1603"/>
    <cellStyle name="Percent 2 2 2 6 3 2" xfId="5952"/>
    <cellStyle name="Percent 2 2 2 6 3 2 2" xfId="44376"/>
    <cellStyle name="Percent 2 2 2 6 3 2 2 2" xfId="59502"/>
    <cellStyle name="Percent 2 2 2 6 3 2 3" xfId="42140"/>
    <cellStyle name="Percent 2 2 2 6 3 2 3 2" xfId="57267"/>
    <cellStyle name="Percent 2 2 2 6 3 2 4" xfId="39860"/>
    <cellStyle name="Percent 2 2 2 6 3 2 4 2" xfId="54988"/>
    <cellStyle name="Percent 2 2 2 6 3 2 5" xfId="50637"/>
    <cellStyle name="Percent 2 2 2 6 3 3" xfId="12413"/>
    <cellStyle name="Percent 2 2 2 6 3 3 2" xfId="43512"/>
    <cellStyle name="Percent 2 2 2 6 3 3 2 2" xfId="58638"/>
    <cellStyle name="Percent 2 2 2 6 3 3 3" xfId="52667"/>
    <cellStyle name="Percent 2 2 2 6 3 4" xfId="3902"/>
    <cellStyle name="Percent 2 2 2 6 3 4 2" xfId="41276"/>
    <cellStyle name="Percent 2 2 2 6 3 4 2 2" xfId="56403"/>
    <cellStyle name="Percent 2 2 2 6 3 4 3" xfId="48595"/>
    <cellStyle name="Percent 2 2 2 6 3 5" xfId="38696"/>
    <cellStyle name="Percent 2 2 2 6 3 5 2" xfId="53849"/>
    <cellStyle name="Percent 2 2 2 6 3 6" xfId="46833"/>
    <cellStyle name="Percent 2 2 2 6 4" xfId="1090"/>
    <cellStyle name="Percent 2 2 2 6 4 2" xfId="5439"/>
    <cellStyle name="Percent 2 2 2 6 4 2 2" xfId="43938"/>
    <cellStyle name="Percent 2 2 2 6 4 2 2 2" xfId="59064"/>
    <cellStyle name="Percent 2 2 2 6 4 2 3" xfId="50124"/>
    <cellStyle name="Percent 2 2 2 6 4 3" xfId="11900"/>
    <cellStyle name="Percent 2 2 2 6 4 3 2" xfId="41702"/>
    <cellStyle name="Percent 2 2 2 6 4 3 2 2" xfId="56829"/>
    <cellStyle name="Percent 2 2 2 6 4 3 3" xfId="52154"/>
    <cellStyle name="Percent 2 2 2 6 4 4" xfId="4261"/>
    <cellStyle name="Percent 2 2 2 6 4 4 2" xfId="48951"/>
    <cellStyle name="Percent 2 2 2 6 4 5" xfId="39422"/>
    <cellStyle name="Percent 2 2 2 6 4 5 2" xfId="54550"/>
    <cellStyle name="Percent 2 2 2 6 4 6" xfId="46320"/>
    <cellStyle name="Percent 2 2 2 6 5" xfId="1995"/>
    <cellStyle name="Percent 2 2 2 6 5 2" xfId="12802"/>
    <cellStyle name="Percent 2 2 2 6 5 2 2" xfId="53055"/>
    <cellStyle name="Percent 2 2 2 6 5 3" xfId="6342"/>
    <cellStyle name="Percent 2 2 2 6 5 3 2" xfId="51025"/>
    <cellStyle name="Percent 2 2 2 6 5 4" xfId="42810"/>
    <cellStyle name="Percent 2 2 2 6 5 4 2" xfId="57937"/>
    <cellStyle name="Percent 2 2 2 6 5 5" xfId="47221"/>
    <cellStyle name="Percent 2 2 2 6 6" xfId="4687"/>
    <cellStyle name="Percent 2 2 2 6 6 2" xfId="40575"/>
    <cellStyle name="Percent 2 2 2 6 6 2 2" xfId="55702"/>
    <cellStyle name="Percent 2 2 2 6 6 3" xfId="49372"/>
    <cellStyle name="Percent 2 2 2 6 7" xfId="11148"/>
    <cellStyle name="Percent 2 2 2 6 7 2" xfId="51402"/>
    <cellStyle name="Percent 2 2 2 6 8" xfId="3325"/>
    <cellStyle name="Percent 2 2 2 6 8 2" xfId="48019"/>
    <cellStyle name="Percent 2 2 2 6 9" xfId="38211"/>
    <cellStyle name="Percent 2 2 2 6 9 2" xfId="53411"/>
    <cellStyle name="Percent 2 2 2 7" xfId="381"/>
    <cellStyle name="Percent 2 2 2 7 2" xfId="1646"/>
    <cellStyle name="Percent 2 2 2 7 2 2" xfId="5995"/>
    <cellStyle name="Percent 2 2 2 7 2 2 2" xfId="44803"/>
    <cellStyle name="Percent 2 2 2 7 2 2 2 2" xfId="59929"/>
    <cellStyle name="Percent 2 2 2 7 2 2 3" xfId="42567"/>
    <cellStyle name="Percent 2 2 2 7 2 2 3 2" xfId="57694"/>
    <cellStyle name="Percent 2 2 2 7 2 2 4" xfId="40287"/>
    <cellStyle name="Percent 2 2 2 7 2 2 4 2" xfId="55415"/>
    <cellStyle name="Percent 2 2 2 7 2 2 5" xfId="50680"/>
    <cellStyle name="Percent 2 2 2 7 2 3" xfId="12456"/>
    <cellStyle name="Percent 2 2 2 7 2 3 2" xfId="43237"/>
    <cellStyle name="Percent 2 2 2 7 2 3 2 2" xfId="58363"/>
    <cellStyle name="Percent 2 2 2 7 2 3 3" xfId="52710"/>
    <cellStyle name="Percent 2 2 2 7 2 4" xfId="3945"/>
    <cellStyle name="Percent 2 2 2 7 2 4 2" xfId="41001"/>
    <cellStyle name="Percent 2 2 2 7 2 4 2 2" xfId="56128"/>
    <cellStyle name="Percent 2 2 2 7 2 4 3" xfId="48638"/>
    <cellStyle name="Percent 2 2 2 7 2 5" xfId="39145"/>
    <cellStyle name="Percent 2 2 2 7 2 5 2" xfId="54276"/>
    <cellStyle name="Percent 2 2 2 7 2 6" xfId="46876"/>
    <cellStyle name="Percent 2 2 2 7 3" xfId="1133"/>
    <cellStyle name="Percent 2 2 2 7 3 2" xfId="5482"/>
    <cellStyle name="Percent 2 2 2 7 3 2 2" xfId="44452"/>
    <cellStyle name="Percent 2 2 2 7 3 2 2 2" xfId="59578"/>
    <cellStyle name="Percent 2 2 2 7 3 2 3" xfId="42216"/>
    <cellStyle name="Percent 2 2 2 7 3 2 3 2" xfId="57343"/>
    <cellStyle name="Percent 2 2 2 7 3 2 4" xfId="39936"/>
    <cellStyle name="Percent 2 2 2 7 3 2 4 2" xfId="55064"/>
    <cellStyle name="Percent 2 2 2 7 3 2 5" xfId="50167"/>
    <cellStyle name="Percent 2 2 2 7 3 3" xfId="11943"/>
    <cellStyle name="Percent 2 2 2 7 3 3 2" xfId="43588"/>
    <cellStyle name="Percent 2 2 2 7 3 3 2 2" xfId="58714"/>
    <cellStyle name="Percent 2 2 2 7 3 3 3" xfId="52197"/>
    <cellStyle name="Percent 2 2 2 7 3 4" xfId="4304"/>
    <cellStyle name="Percent 2 2 2 7 3 4 2" xfId="41352"/>
    <cellStyle name="Percent 2 2 2 7 3 4 2 2" xfId="56479"/>
    <cellStyle name="Percent 2 2 2 7 3 4 3" xfId="48994"/>
    <cellStyle name="Percent 2 2 2 7 3 5" xfId="38772"/>
    <cellStyle name="Percent 2 2 2 7 3 5 2" xfId="53925"/>
    <cellStyle name="Percent 2 2 2 7 3 6" xfId="46363"/>
    <cellStyle name="Percent 2 2 2 7 4" xfId="2072"/>
    <cellStyle name="Percent 2 2 2 7 4 2" xfId="12878"/>
    <cellStyle name="Percent 2 2 2 7 4 2 2" xfId="44014"/>
    <cellStyle name="Percent 2 2 2 7 4 2 2 2" xfId="59140"/>
    <cellStyle name="Percent 2 2 2 7 4 2 3" xfId="53131"/>
    <cellStyle name="Percent 2 2 2 7 4 3" xfId="6418"/>
    <cellStyle name="Percent 2 2 2 7 4 3 2" xfId="41778"/>
    <cellStyle name="Percent 2 2 2 7 4 3 2 2" xfId="56905"/>
    <cellStyle name="Percent 2 2 2 7 4 3 3" xfId="51101"/>
    <cellStyle name="Percent 2 2 2 7 4 4" xfId="39498"/>
    <cellStyle name="Percent 2 2 2 7 4 4 2" xfId="54626"/>
    <cellStyle name="Percent 2 2 2 7 4 5" xfId="47297"/>
    <cellStyle name="Percent 2 2 2 7 5" xfId="4730"/>
    <cellStyle name="Percent 2 2 2 7 5 2" xfId="42886"/>
    <cellStyle name="Percent 2 2 2 7 5 2 2" xfId="58013"/>
    <cellStyle name="Percent 2 2 2 7 5 3" xfId="49415"/>
    <cellStyle name="Percent 2 2 2 7 6" xfId="11191"/>
    <cellStyle name="Percent 2 2 2 7 6 2" xfId="40651"/>
    <cellStyle name="Percent 2 2 2 7 6 2 2" xfId="55778"/>
    <cellStyle name="Percent 2 2 2 7 6 3" xfId="51445"/>
    <cellStyle name="Percent 2 2 2 7 7" xfId="3368"/>
    <cellStyle name="Percent 2 2 2 7 7 2" xfId="48062"/>
    <cellStyle name="Percent 2 2 2 7 8" xfId="38287"/>
    <cellStyle name="Percent 2 2 2 7 8 2" xfId="53487"/>
    <cellStyle name="Percent 2 2 2 7 9" xfId="45611"/>
    <cellStyle name="Percent 2 2 2 8" xfId="833"/>
    <cellStyle name="Percent 2 2 2 8 2" xfId="5182"/>
    <cellStyle name="Percent 2 2 2 8 2 2" xfId="39989"/>
    <cellStyle name="Percent 2 2 2 8 2 2 2" xfId="44505"/>
    <cellStyle name="Percent 2 2 2 8 2 2 2 2" xfId="59631"/>
    <cellStyle name="Percent 2 2 2 8 2 2 3" xfId="42269"/>
    <cellStyle name="Percent 2 2 2 8 2 2 3 2" xfId="57396"/>
    <cellStyle name="Percent 2 2 2 8 2 2 4" xfId="55117"/>
    <cellStyle name="Percent 2 2 2 8 2 3" xfId="43640"/>
    <cellStyle name="Percent 2 2 2 8 2 3 2" xfId="58766"/>
    <cellStyle name="Percent 2 2 2 8 2 4" xfId="41404"/>
    <cellStyle name="Percent 2 2 2 8 2 4 2" xfId="56531"/>
    <cellStyle name="Percent 2 2 2 8 2 5" xfId="38846"/>
    <cellStyle name="Percent 2 2 2 8 2 5 2" xfId="53978"/>
    <cellStyle name="Percent 2 2 2 8 2 6" xfId="49867"/>
    <cellStyle name="Percent 2 2 2 8 3" xfId="11643"/>
    <cellStyle name="Percent 2 2 2 8 3 2" xfId="44098"/>
    <cellStyle name="Percent 2 2 2 8 3 2 2" xfId="59224"/>
    <cellStyle name="Percent 2 2 2 8 3 3" xfId="41862"/>
    <cellStyle name="Percent 2 2 2 8 3 3 2" xfId="56989"/>
    <cellStyle name="Percent 2 2 2 8 3 4" xfId="39582"/>
    <cellStyle name="Percent 2 2 2 8 3 4 2" xfId="54710"/>
    <cellStyle name="Percent 2 2 2 8 3 5" xfId="51897"/>
    <cellStyle name="Percent 2 2 2 8 4" xfId="3068"/>
    <cellStyle name="Percent 2 2 2 8 4 2" xfId="42939"/>
    <cellStyle name="Percent 2 2 2 8 4 2 2" xfId="58065"/>
    <cellStyle name="Percent 2 2 2 8 4 3" xfId="47762"/>
    <cellStyle name="Percent 2 2 2 8 5" xfId="40703"/>
    <cellStyle name="Percent 2 2 2 8 5 2" xfId="55830"/>
    <cellStyle name="Percent 2 2 2 8 6" xfId="38412"/>
    <cellStyle name="Percent 2 2 2 8 6 2" xfId="53571"/>
    <cellStyle name="Percent 2 2 2 8 7" xfId="46063"/>
    <cellStyle name="Percent 2 2 2 9" xfId="712"/>
    <cellStyle name="Percent 2 2 2 9 2" xfId="5061"/>
    <cellStyle name="Percent 2 2 2 9 2 2" xfId="44154"/>
    <cellStyle name="Percent 2 2 2 9 2 2 2" xfId="59280"/>
    <cellStyle name="Percent 2 2 2 9 2 3" xfId="41918"/>
    <cellStyle name="Percent 2 2 2 9 2 3 2" xfId="57045"/>
    <cellStyle name="Percent 2 2 2 9 2 4" xfId="39638"/>
    <cellStyle name="Percent 2 2 2 9 2 4 2" xfId="54766"/>
    <cellStyle name="Percent 2 2 2 9 2 5" xfId="49746"/>
    <cellStyle name="Percent 2 2 2 9 3" xfId="11522"/>
    <cellStyle name="Percent 2 2 2 9 3 2" xfId="43290"/>
    <cellStyle name="Percent 2 2 2 9 3 2 2" xfId="58416"/>
    <cellStyle name="Percent 2 2 2 9 3 3" xfId="51776"/>
    <cellStyle name="Percent 2 2 2 9 4" xfId="2946"/>
    <cellStyle name="Percent 2 2 2 9 4 2" xfId="41054"/>
    <cellStyle name="Percent 2 2 2 9 4 2 2" xfId="56181"/>
    <cellStyle name="Percent 2 2 2 9 4 3" xfId="47640"/>
    <cellStyle name="Percent 2 2 2 9 5" xfId="38471"/>
    <cellStyle name="Percent 2 2 2 9 5 2" xfId="53627"/>
    <cellStyle name="Percent 2 2 2 9 6" xfId="45942"/>
    <cellStyle name="Percent 2 2 3" xfId="39"/>
    <cellStyle name="Percent 2 2 3 10" xfId="1779"/>
    <cellStyle name="Percent 2 2 3 10 2" xfId="12589"/>
    <cellStyle name="Percent 2 2 3 10 2 2" xfId="52843"/>
    <cellStyle name="Percent 2 2 3 10 3" xfId="6128"/>
    <cellStyle name="Percent 2 2 3 10 3 2" xfId="50813"/>
    <cellStyle name="Percent 2 2 3 10 4" xfId="40350"/>
    <cellStyle name="Percent 2 2 3 10 4 2" xfId="55478"/>
    <cellStyle name="Percent 2 2 3 10 5" xfId="47009"/>
    <cellStyle name="Percent 2 2 3 11" xfId="2659"/>
    <cellStyle name="Percent 2 2 3 11 2" xfId="4433"/>
    <cellStyle name="Percent 2 2 3 11 2 2" xfId="49123"/>
    <cellStyle name="Percent 2 2 3 11 3" xfId="47391"/>
    <cellStyle name="Percent 2 2 3 12" xfId="10898"/>
    <cellStyle name="Percent 2 2 3 12 2" xfId="51153"/>
    <cellStyle name="Percent 2 2 3 13" xfId="2714"/>
    <cellStyle name="Percent 2 2 3 13 2" xfId="47438"/>
    <cellStyle name="Percent 2 2 3 14" xfId="37998"/>
    <cellStyle name="Percent 2 2 3 14 2" xfId="53199"/>
    <cellStyle name="Percent 2 2 3 15" xfId="45331"/>
    <cellStyle name="Percent 2 2 3 2" xfId="153"/>
    <cellStyle name="Percent 2 2 3 2 10" xfId="10975"/>
    <cellStyle name="Percent 2 2 3 2 10 2" xfId="51229"/>
    <cellStyle name="Percent 2 2 3 2 11" xfId="2815"/>
    <cellStyle name="Percent 2 2 3 2 11 2" xfId="47513"/>
    <cellStyle name="Percent 2 2 3 2 12" xfId="38064"/>
    <cellStyle name="Percent 2 2 3 2 12 2" xfId="53264"/>
    <cellStyle name="Percent 2 2 3 2 13" xfId="45395"/>
    <cellStyle name="Percent 2 2 3 2 2" xfId="252"/>
    <cellStyle name="Percent 2 2 3 2 2 10" xfId="38140"/>
    <cellStyle name="Percent 2 2 3 2 2 10 2" xfId="53340"/>
    <cellStyle name="Percent 2 2 3 2 2 11" xfId="45484"/>
    <cellStyle name="Percent 2 2 3 2 2 2" xfId="1006"/>
    <cellStyle name="Percent 2 2 3 2 2 2 2" xfId="5355"/>
    <cellStyle name="Percent 2 2 3 2 2 2 2 2" xfId="44656"/>
    <cellStyle name="Percent 2 2 3 2 2 2 2 2 2" xfId="59782"/>
    <cellStyle name="Percent 2 2 3 2 2 2 2 3" xfId="42420"/>
    <cellStyle name="Percent 2 2 3 2 2 2 2 3 2" xfId="57547"/>
    <cellStyle name="Percent 2 2 3 2 2 2 2 4" xfId="40140"/>
    <cellStyle name="Percent 2 2 3 2 2 2 2 4 2" xfId="55268"/>
    <cellStyle name="Percent 2 2 3 2 2 2 2 5" xfId="50040"/>
    <cellStyle name="Percent 2 2 3 2 2 2 3" xfId="11816"/>
    <cellStyle name="Percent 2 2 3 2 2 2 3 2" xfId="43090"/>
    <cellStyle name="Percent 2 2 3 2 2 2 3 2 2" xfId="58216"/>
    <cellStyle name="Percent 2 2 3 2 2 2 3 3" xfId="52070"/>
    <cellStyle name="Percent 2 2 3 2 2 2 4" xfId="3241"/>
    <cellStyle name="Percent 2 2 3 2 2 2 4 2" xfId="40854"/>
    <cellStyle name="Percent 2 2 3 2 2 2 4 2 2" xfId="55981"/>
    <cellStyle name="Percent 2 2 3 2 2 2 4 3" xfId="47935"/>
    <cellStyle name="Percent 2 2 3 2 2 2 5" xfId="38998"/>
    <cellStyle name="Percent 2 2 3 2 2 2 5 2" xfId="54129"/>
    <cellStyle name="Percent 2 2 3 2 2 2 6" xfId="46236"/>
    <cellStyle name="Percent 2 2 3 2 2 3" xfId="1308"/>
    <cellStyle name="Percent 2 2 3 2 2 3 2" xfId="5657"/>
    <cellStyle name="Percent 2 2 3 2 2 3 2 2" xfId="44305"/>
    <cellStyle name="Percent 2 2 3 2 2 3 2 2 2" xfId="59431"/>
    <cellStyle name="Percent 2 2 3 2 2 3 2 3" xfId="42069"/>
    <cellStyle name="Percent 2 2 3 2 2 3 2 3 2" xfId="57196"/>
    <cellStyle name="Percent 2 2 3 2 2 3 2 4" xfId="39789"/>
    <cellStyle name="Percent 2 2 3 2 2 3 2 4 2" xfId="54917"/>
    <cellStyle name="Percent 2 2 3 2 2 3 2 5" xfId="50342"/>
    <cellStyle name="Percent 2 2 3 2 2 3 3" xfId="12118"/>
    <cellStyle name="Percent 2 2 3 2 2 3 3 2" xfId="43441"/>
    <cellStyle name="Percent 2 2 3 2 2 3 3 2 2" xfId="58567"/>
    <cellStyle name="Percent 2 2 3 2 2 3 3 3" xfId="52372"/>
    <cellStyle name="Percent 2 2 3 2 2 3 4" xfId="3591"/>
    <cellStyle name="Percent 2 2 3 2 2 3 4 2" xfId="41205"/>
    <cellStyle name="Percent 2 2 3 2 2 3 4 2 2" xfId="56332"/>
    <cellStyle name="Percent 2 2 3 2 2 3 4 3" xfId="48284"/>
    <cellStyle name="Percent 2 2 3 2 2 3 5" xfId="38625"/>
    <cellStyle name="Percent 2 2 3 2 2 3 5 2" xfId="53778"/>
    <cellStyle name="Percent 2 2 3 2 2 3 6" xfId="46538"/>
    <cellStyle name="Percent 2 2 3 2 2 4" xfId="1519"/>
    <cellStyle name="Percent 2 2 3 2 2 4 2" xfId="5868"/>
    <cellStyle name="Percent 2 2 3 2 2 4 2 2" xfId="43867"/>
    <cellStyle name="Percent 2 2 3 2 2 4 2 2 2" xfId="58993"/>
    <cellStyle name="Percent 2 2 3 2 2 4 2 3" xfId="50553"/>
    <cellStyle name="Percent 2 2 3 2 2 4 3" xfId="12329"/>
    <cellStyle name="Percent 2 2 3 2 2 4 3 2" xfId="41631"/>
    <cellStyle name="Percent 2 2 3 2 2 4 3 2 2" xfId="56758"/>
    <cellStyle name="Percent 2 2 3 2 2 4 3 3" xfId="52583"/>
    <cellStyle name="Percent 2 2 3 2 2 4 4" xfId="3818"/>
    <cellStyle name="Percent 2 2 3 2 2 4 4 2" xfId="48511"/>
    <cellStyle name="Percent 2 2 3 2 2 4 5" xfId="39351"/>
    <cellStyle name="Percent 2 2 3 2 2 4 5 2" xfId="54479"/>
    <cellStyle name="Percent 2 2 3 2 2 4 6" xfId="46749"/>
    <cellStyle name="Percent 2 2 3 2 2 5" xfId="674"/>
    <cellStyle name="Percent 2 2 3 2 2 5 2" xfId="5023"/>
    <cellStyle name="Percent 2 2 3 2 2 5 2 2" xfId="49708"/>
    <cellStyle name="Percent 2 2 3 2 2 5 3" xfId="11484"/>
    <cellStyle name="Percent 2 2 3 2 2 5 3 2" xfId="51738"/>
    <cellStyle name="Percent 2 2 3 2 2 5 4" xfId="4177"/>
    <cellStyle name="Percent 2 2 3 2 2 5 4 2" xfId="48867"/>
    <cellStyle name="Percent 2 2 3 2 2 5 5" xfId="42739"/>
    <cellStyle name="Percent 2 2 3 2 2 5 5 2" xfId="57866"/>
    <cellStyle name="Percent 2 2 3 2 2 5 6" xfId="45904"/>
    <cellStyle name="Percent 2 2 3 2 2 6" xfId="1924"/>
    <cellStyle name="Percent 2 2 3 2 2 6 2" xfId="12731"/>
    <cellStyle name="Percent 2 2 3 2 2 6 2 2" xfId="52984"/>
    <cellStyle name="Percent 2 2 3 2 2 6 3" xfId="6271"/>
    <cellStyle name="Percent 2 2 3 2 2 6 3 2" xfId="50954"/>
    <cellStyle name="Percent 2 2 3 2 2 6 4" xfId="40504"/>
    <cellStyle name="Percent 2 2 3 2 2 6 4 2" xfId="55631"/>
    <cellStyle name="Percent 2 2 3 2 2 6 5" xfId="47150"/>
    <cellStyle name="Percent 2 2 3 2 2 7" xfId="4601"/>
    <cellStyle name="Percent 2 2 3 2 2 7 2" xfId="49288"/>
    <cellStyle name="Percent 2 2 3 2 2 8" xfId="11064"/>
    <cellStyle name="Percent 2 2 3 2 2 8 2" xfId="51318"/>
    <cellStyle name="Percent 2 2 3 2 2 9" xfId="2908"/>
    <cellStyle name="Percent 2 2 3 2 2 9 2" xfId="47602"/>
    <cellStyle name="Percent 2 2 3 2 3" xfId="343"/>
    <cellStyle name="Percent 2 2 3 2 3 10" xfId="45573"/>
    <cellStyle name="Percent 2 2 3 2 3 2" xfId="1397"/>
    <cellStyle name="Percent 2 2 3 2 3 2 2" xfId="5746"/>
    <cellStyle name="Percent 2 2 3 2 3 2 2 2" xfId="44732"/>
    <cellStyle name="Percent 2 2 3 2 3 2 2 2 2" xfId="59858"/>
    <cellStyle name="Percent 2 2 3 2 3 2 2 3" xfId="42496"/>
    <cellStyle name="Percent 2 2 3 2 3 2 2 3 2" xfId="57623"/>
    <cellStyle name="Percent 2 2 3 2 3 2 2 4" xfId="40216"/>
    <cellStyle name="Percent 2 2 3 2 3 2 2 4 2" xfId="55344"/>
    <cellStyle name="Percent 2 2 3 2 3 2 2 5" xfId="50431"/>
    <cellStyle name="Percent 2 2 3 2 3 2 3" xfId="12207"/>
    <cellStyle name="Percent 2 2 3 2 3 2 3 2" xfId="43166"/>
    <cellStyle name="Percent 2 2 3 2 3 2 3 2 2" xfId="58292"/>
    <cellStyle name="Percent 2 2 3 2 3 2 3 3" xfId="52461"/>
    <cellStyle name="Percent 2 2 3 2 3 2 4" xfId="3680"/>
    <cellStyle name="Percent 2 2 3 2 3 2 4 2" xfId="40930"/>
    <cellStyle name="Percent 2 2 3 2 3 2 4 2 2" xfId="56057"/>
    <cellStyle name="Percent 2 2 3 2 3 2 4 3" xfId="48373"/>
    <cellStyle name="Percent 2 2 3 2 3 2 5" xfId="39074"/>
    <cellStyle name="Percent 2 2 3 2 3 2 5 2" xfId="54205"/>
    <cellStyle name="Percent 2 2 3 2 3 2 6" xfId="46627"/>
    <cellStyle name="Percent 2 2 3 2 3 3" xfId="1608"/>
    <cellStyle name="Percent 2 2 3 2 3 3 2" xfId="5957"/>
    <cellStyle name="Percent 2 2 3 2 3 3 2 2" xfId="44381"/>
    <cellStyle name="Percent 2 2 3 2 3 3 2 2 2" xfId="59507"/>
    <cellStyle name="Percent 2 2 3 2 3 3 2 3" xfId="42145"/>
    <cellStyle name="Percent 2 2 3 2 3 3 2 3 2" xfId="57272"/>
    <cellStyle name="Percent 2 2 3 2 3 3 2 4" xfId="39865"/>
    <cellStyle name="Percent 2 2 3 2 3 3 2 4 2" xfId="54993"/>
    <cellStyle name="Percent 2 2 3 2 3 3 2 5" xfId="50642"/>
    <cellStyle name="Percent 2 2 3 2 3 3 3" xfId="12418"/>
    <cellStyle name="Percent 2 2 3 2 3 3 3 2" xfId="43517"/>
    <cellStyle name="Percent 2 2 3 2 3 3 3 2 2" xfId="58643"/>
    <cellStyle name="Percent 2 2 3 2 3 3 3 3" xfId="52672"/>
    <cellStyle name="Percent 2 2 3 2 3 3 4" xfId="3907"/>
    <cellStyle name="Percent 2 2 3 2 3 3 4 2" xfId="41281"/>
    <cellStyle name="Percent 2 2 3 2 3 3 4 2 2" xfId="56408"/>
    <cellStyle name="Percent 2 2 3 2 3 3 4 3" xfId="48600"/>
    <cellStyle name="Percent 2 2 3 2 3 3 5" xfId="38701"/>
    <cellStyle name="Percent 2 2 3 2 3 3 5 2" xfId="53854"/>
    <cellStyle name="Percent 2 2 3 2 3 3 6" xfId="46838"/>
    <cellStyle name="Percent 2 2 3 2 3 4" xfId="1095"/>
    <cellStyle name="Percent 2 2 3 2 3 4 2" xfId="5444"/>
    <cellStyle name="Percent 2 2 3 2 3 4 2 2" xfId="43943"/>
    <cellStyle name="Percent 2 2 3 2 3 4 2 2 2" xfId="59069"/>
    <cellStyle name="Percent 2 2 3 2 3 4 2 3" xfId="50129"/>
    <cellStyle name="Percent 2 2 3 2 3 4 3" xfId="11905"/>
    <cellStyle name="Percent 2 2 3 2 3 4 3 2" xfId="41707"/>
    <cellStyle name="Percent 2 2 3 2 3 4 3 2 2" xfId="56834"/>
    <cellStyle name="Percent 2 2 3 2 3 4 3 3" xfId="52159"/>
    <cellStyle name="Percent 2 2 3 2 3 4 4" xfId="4266"/>
    <cellStyle name="Percent 2 2 3 2 3 4 4 2" xfId="48956"/>
    <cellStyle name="Percent 2 2 3 2 3 4 5" xfId="39427"/>
    <cellStyle name="Percent 2 2 3 2 3 4 5 2" xfId="54555"/>
    <cellStyle name="Percent 2 2 3 2 3 4 6" xfId="46325"/>
    <cellStyle name="Percent 2 2 3 2 3 5" xfId="2000"/>
    <cellStyle name="Percent 2 2 3 2 3 5 2" xfId="12807"/>
    <cellStyle name="Percent 2 2 3 2 3 5 2 2" xfId="53060"/>
    <cellStyle name="Percent 2 2 3 2 3 5 3" xfId="6347"/>
    <cellStyle name="Percent 2 2 3 2 3 5 3 2" xfId="51030"/>
    <cellStyle name="Percent 2 2 3 2 3 5 4" xfId="42815"/>
    <cellStyle name="Percent 2 2 3 2 3 5 4 2" xfId="57942"/>
    <cellStyle name="Percent 2 2 3 2 3 5 5" xfId="47226"/>
    <cellStyle name="Percent 2 2 3 2 3 6" xfId="4692"/>
    <cellStyle name="Percent 2 2 3 2 3 6 2" xfId="40580"/>
    <cellStyle name="Percent 2 2 3 2 3 6 2 2" xfId="55707"/>
    <cellStyle name="Percent 2 2 3 2 3 6 3" xfId="49377"/>
    <cellStyle name="Percent 2 2 3 2 3 7" xfId="11153"/>
    <cellStyle name="Percent 2 2 3 2 3 7 2" xfId="51407"/>
    <cellStyle name="Percent 2 2 3 2 3 8" xfId="3330"/>
    <cellStyle name="Percent 2 2 3 2 3 8 2" xfId="48024"/>
    <cellStyle name="Percent 2 2 3 2 3 9" xfId="38216"/>
    <cellStyle name="Percent 2 2 3 2 3 9 2" xfId="53416"/>
    <cellStyle name="Percent 2 2 3 2 4" xfId="464"/>
    <cellStyle name="Percent 2 2 3 2 4 2" xfId="1729"/>
    <cellStyle name="Percent 2 2 3 2 4 2 2" xfId="6078"/>
    <cellStyle name="Percent 2 2 3 2 4 2 2 2" xfId="44808"/>
    <cellStyle name="Percent 2 2 3 2 4 2 2 2 2" xfId="59934"/>
    <cellStyle name="Percent 2 2 3 2 4 2 2 3" xfId="42572"/>
    <cellStyle name="Percent 2 2 3 2 4 2 2 3 2" xfId="57699"/>
    <cellStyle name="Percent 2 2 3 2 4 2 2 4" xfId="40292"/>
    <cellStyle name="Percent 2 2 3 2 4 2 2 4 2" xfId="55420"/>
    <cellStyle name="Percent 2 2 3 2 4 2 2 5" xfId="50763"/>
    <cellStyle name="Percent 2 2 3 2 4 2 3" xfId="12539"/>
    <cellStyle name="Percent 2 2 3 2 4 2 3 2" xfId="43242"/>
    <cellStyle name="Percent 2 2 3 2 4 2 3 2 2" xfId="58368"/>
    <cellStyle name="Percent 2 2 3 2 4 2 3 3" xfId="52793"/>
    <cellStyle name="Percent 2 2 3 2 4 2 4" xfId="4028"/>
    <cellStyle name="Percent 2 2 3 2 4 2 4 2" xfId="41006"/>
    <cellStyle name="Percent 2 2 3 2 4 2 4 2 2" xfId="56133"/>
    <cellStyle name="Percent 2 2 3 2 4 2 4 3" xfId="48721"/>
    <cellStyle name="Percent 2 2 3 2 4 2 5" xfId="39150"/>
    <cellStyle name="Percent 2 2 3 2 4 2 5 2" xfId="54281"/>
    <cellStyle name="Percent 2 2 3 2 4 2 6" xfId="46959"/>
    <cellStyle name="Percent 2 2 3 2 4 3" xfId="1216"/>
    <cellStyle name="Percent 2 2 3 2 4 3 2" xfId="5565"/>
    <cellStyle name="Percent 2 2 3 2 4 3 2 2" xfId="44457"/>
    <cellStyle name="Percent 2 2 3 2 4 3 2 2 2" xfId="59583"/>
    <cellStyle name="Percent 2 2 3 2 4 3 2 3" xfId="42221"/>
    <cellStyle name="Percent 2 2 3 2 4 3 2 3 2" xfId="57348"/>
    <cellStyle name="Percent 2 2 3 2 4 3 2 4" xfId="39941"/>
    <cellStyle name="Percent 2 2 3 2 4 3 2 4 2" xfId="55069"/>
    <cellStyle name="Percent 2 2 3 2 4 3 2 5" xfId="50250"/>
    <cellStyle name="Percent 2 2 3 2 4 3 3" xfId="12026"/>
    <cellStyle name="Percent 2 2 3 2 4 3 3 2" xfId="43593"/>
    <cellStyle name="Percent 2 2 3 2 4 3 3 2 2" xfId="58719"/>
    <cellStyle name="Percent 2 2 3 2 4 3 3 3" xfId="52280"/>
    <cellStyle name="Percent 2 2 3 2 4 3 4" xfId="4387"/>
    <cellStyle name="Percent 2 2 3 2 4 3 4 2" xfId="41357"/>
    <cellStyle name="Percent 2 2 3 2 4 3 4 2 2" xfId="56484"/>
    <cellStyle name="Percent 2 2 3 2 4 3 4 3" xfId="49077"/>
    <cellStyle name="Percent 2 2 3 2 4 3 5" xfId="38777"/>
    <cellStyle name="Percent 2 2 3 2 4 3 5 2" xfId="53930"/>
    <cellStyle name="Percent 2 2 3 2 4 3 6" xfId="46446"/>
    <cellStyle name="Percent 2 2 3 2 4 4" xfId="2077"/>
    <cellStyle name="Percent 2 2 3 2 4 4 2" xfId="12883"/>
    <cellStyle name="Percent 2 2 3 2 4 4 2 2" xfId="44019"/>
    <cellStyle name="Percent 2 2 3 2 4 4 2 2 2" xfId="59145"/>
    <cellStyle name="Percent 2 2 3 2 4 4 2 3" xfId="53136"/>
    <cellStyle name="Percent 2 2 3 2 4 4 3" xfId="6423"/>
    <cellStyle name="Percent 2 2 3 2 4 4 3 2" xfId="41783"/>
    <cellStyle name="Percent 2 2 3 2 4 4 3 2 2" xfId="56910"/>
    <cellStyle name="Percent 2 2 3 2 4 4 3 3" xfId="51106"/>
    <cellStyle name="Percent 2 2 3 2 4 4 4" xfId="39503"/>
    <cellStyle name="Percent 2 2 3 2 4 4 4 2" xfId="54631"/>
    <cellStyle name="Percent 2 2 3 2 4 4 5" xfId="47302"/>
    <cellStyle name="Percent 2 2 3 2 4 5" xfId="4813"/>
    <cellStyle name="Percent 2 2 3 2 4 5 2" xfId="42891"/>
    <cellStyle name="Percent 2 2 3 2 4 5 2 2" xfId="58018"/>
    <cellStyle name="Percent 2 2 3 2 4 5 3" xfId="49498"/>
    <cellStyle name="Percent 2 2 3 2 4 6" xfId="11274"/>
    <cellStyle name="Percent 2 2 3 2 4 6 2" xfId="40656"/>
    <cellStyle name="Percent 2 2 3 2 4 6 2 2" xfId="55783"/>
    <cellStyle name="Percent 2 2 3 2 4 6 3" xfId="51528"/>
    <cellStyle name="Percent 2 2 3 2 4 7" xfId="3451"/>
    <cellStyle name="Percent 2 2 3 2 4 7 2" xfId="48145"/>
    <cellStyle name="Percent 2 2 3 2 4 8" xfId="38292"/>
    <cellStyle name="Percent 2 2 3 2 4 8 2" xfId="53492"/>
    <cellStyle name="Percent 2 2 3 2 4 9" xfId="45694"/>
    <cellStyle name="Percent 2 2 3 2 5" xfId="917"/>
    <cellStyle name="Percent 2 2 3 2 5 2" xfId="5266"/>
    <cellStyle name="Percent 2 2 3 2 5 2 2" xfId="40064"/>
    <cellStyle name="Percent 2 2 3 2 5 2 2 2" xfId="44580"/>
    <cellStyle name="Percent 2 2 3 2 5 2 2 2 2" xfId="59706"/>
    <cellStyle name="Percent 2 2 3 2 5 2 2 3" xfId="42344"/>
    <cellStyle name="Percent 2 2 3 2 5 2 2 3 2" xfId="57471"/>
    <cellStyle name="Percent 2 2 3 2 5 2 2 4" xfId="55192"/>
    <cellStyle name="Percent 2 2 3 2 5 2 3" xfId="43688"/>
    <cellStyle name="Percent 2 2 3 2 5 2 3 2" xfId="58814"/>
    <cellStyle name="Percent 2 2 3 2 5 2 4" xfId="41452"/>
    <cellStyle name="Percent 2 2 3 2 5 2 4 2" xfId="56579"/>
    <cellStyle name="Percent 2 2 3 2 5 2 5" xfId="38921"/>
    <cellStyle name="Percent 2 2 3 2 5 2 5 2" xfId="54053"/>
    <cellStyle name="Percent 2 2 3 2 5 2 6" xfId="49951"/>
    <cellStyle name="Percent 2 2 3 2 5 3" xfId="11727"/>
    <cellStyle name="Percent 2 2 3 2 5 3 2" xfId="44103"/>
    <cellStyle name="Percent 2 2 3 2 5 3 2 2" xfId="59229"/>
    <cellStyle name="Percent 2 2 3 2 5 3 3" xfId="41867"/>
    <cellStyle name="Percent 2 2 3 2 5 3 3 2" xfId="56994"/>
    <cellStyle name="Percent 2 2 3 2 5 3 4" xfId="39587"/>
    <cellStyle name="Percent 2 2 3 2 5 3 4 2" xfId="54715"/>
    <cellStyle name="Percent 2 2 3 2 5 3 5" xfId="51981"/>
    <cellStyle name="Percent 2 2 3 2 5 4" xfId="3152"/>
    <cellStyle name="Percent 2 2 3 2 5 4 2" xfId="43014"/>
    <cellStyle name="Percent 2 2 3 2 5 4 2 2" xfId="58140"/>
    <cellStyle name="Percent 2 2 3 2 5 4 3" xfId="47846"/>
    <cellStyle name="Percent 2 2 3 2 5 5" xfId="40778"/>
    <cellStyle name="Percent 2 2 3 2 5 5 2" xfId="55905"/>
    <cellStyle name="Percent 2 2 3 2 5 6" xfId="38417"/>
    <cellStyle name="Percent 2 2 3 2 5 6 2" xfId="53576"/>
    <cellStyle name="Percent 2 2 3 2 5 7" xfId="46147"/>
    <cellStyle name="Percent 2 2 3 2 6" xfId="795"/>
    <cellStyle name="Percent 2 2 3 2 6 2" xfId="5144"/>
    <cellStyle name="Percent 2 2 3 2 6 2 2" xfId="44229"/>
    <cellStyle name="Percent 2 2 3 2 6 2 2 2" xfId="59355"/>
    <cellStyle name="Percent 2 2 3 2 6 2 3" xfId="41993"/>
    <cellStyle name="Percent 2 2 3 2 6 2 3 2" xfId="57120"/>
    <cellStyle name="Percent 2 2 3 2 6 2 4" xfId="39713"/>
    <cellStyle name="Percent 2 2 3 2 6 2 4 2" xfId="54841"/>
    <cellStyle name="Percent 2 2 3 2 6 2 5" xfId="49829"/>
    <cellStyle name="Percent 2 2 3 2 6 3" xfId="11605"/>
    <cellStyle name="Percent 2 2 3 2 6 3 2" xfId="43365"/>
    <cellStyle name="Percent 2 2 3 2 6 3 2 2" xfId="58491"/>
    <cellStyle name="Percent 2 2 3 2 6 3 3" xfId="51859"/>
    <cellStyle name="Percent 2 2 3 2 6 4" xfId="3030"/>
    <cellStyle name="Percent 2 2 3 2 6 4 2" xfId="41129"/>
    <cellStyle name="Percent 2 2 3 2 6 4 2 2" xfId="56256"/>
    <cellStyle name="Percent 2 2 3 2 6 4 3" xfId="47724"/>
    <cellStyle name="Percent 2 2 3 2 6 5" xfId="38547"/>
    <cellStyle name="Percent 2 2 3 2 6 5 2" xfId="53702"/>
    <cellStyle name="Percent 2 2 3 2 6 6" xfId="46025"/>
    <cellStyle name="Percent 2 2 3 2 7" xfId="585"/>
    <cellStyle name="Percent 2 2 3 2 7 2" xfId="4934"/>
    <cellStyle name="Percent 2 2 3 2 7 2 2" xfId="43791"/>
    <cellStyle name="Percent 2 2 3 2 7 2 2 2" xfId="58917"/>
    <cellStyle name="Percent 2 2 3 2 7 2 3" xfId="49619"/>
    <cellStyle name="Percent 2 2 3 2 7 3" xfId="11395"/>
    <cellStyle name="Percent 2 2 3 2 7 3 2" xfId="41555"/>
    <cellStyle name="Percent 2 2 3 2 7 3 2 2" xfId="56682"/>
    <cellStyle name="Percent 2 2 3 2 7 3 3" xfId="51649"/>
    <cellStyle name="Percent 2 2 3 2 7 4" xfId="4084"/>
    <cellStyle name="Percent 2 2 3 2 7 4 2" xfId="48776"/>
    <cellStyle name="Percent 2 2 3 2 7 5" xfId="39275"/>
    <cellStyle name="Percent 2 2 3 2 7 5 2" xfId="54403"/>
    <cellStyle name="Percent 2 2 3 2 7 6" xfId="45815"/>
    <cellStyle name="Percent 2 2 3 2 8" xfId="1845"/>
    <cellStyle name="Percent 2 2 3 2 8 2" xfId="12654"/>
    <cellStyle name="Percent 2 2 3 2 8 2 2" xfId="52908"/>
    <cellStyle name="Percent 2 2 3 2 8 3" xfId="6193"/>
    <cellStyle name="Percent 2 2 3 2 8 3 2" xfId="50878"/>
    <cellStyle name="Percent 2 2 3 2 8 4" xfId="42663"/>
    <cellStyle name="Percent 2 2 3 2 8 4 2" xfId="57790"/>
    <cellStyle name="Percent 2 2 3 2 8 5" xfId="47074"/>
    <cellStyle name="Percent 2 2 3 2 9" xfId="2660"/>
    <cellStyle name="Percent 2 2 3 2 9 2" xfId="4509"/>
    <cellStyle name="Percent 2 2 3 2 9 2 2" xfId="49199"/>
    <cellStyle name="Percent 2 2 3 2 9 3" xfId="40428"/>
    <cellStyle name="Percent 2 2 3 2 9 3 2" xfId="55555"/>
    <cellStyle name="Percent 2 2 3 2 9 4" xfId="47392"/>
    <cellStyle name="Percent 2 2 3 3" xfId="152"/>
    <cellStyle name="Percent 2 2 3 3 10" xfId="38063"/>
    <cellStyle name="Percent 2 2 3 3 10 2" xfId="53263"/>
    <cellStyle name="Percent 2 2 3 3 11" xfId="45394"/>
    <cellStyle name="Percent 2 2 3 3 2" xfId="463"/>
    <cellStyle name="Percent 2 2 3 3 2 2" xfId="1444"/>
    <cellStyle name="Percent 2 2 3 3 2 2 2" xfId="5793"/>
    <cellStyle name="Percent 2 2 3 3 2 2 2 2" xfId="44579"/>
    <cellStyle name="Percent 2 2 3 3 2 2 2 2 2" xfId="59705"/>
    <cellStyle name="Percent 2 2 3 3 2 2 2 3" xfId="50478"/>
    <cellStyle name="Percent 2 2 3 3 2 2 3" xfId="12254"/>
    <cellStyle name="Percent 2 2 3 3 2 2 3 2" xfId="42343"/>
    <cellStyle name="Percent 2 2 3 3 2 2 3 2 2" xfId="57470"/>
    <cellStyle name="Percent 2 2 3 3 2 2 3 3" xfId="52508"/>
    <cellStyle name="Percent 2 2 3 3 2 2 4" xfId="3727"/>
    <cellStyle name="Percent 2 2 3 3 2 2 4 2" xfId="48420"/>
    <cellStyle name="Percent 2 2 3 3 2 2 5" xfId="40063"/>
    <cellStyle name="Percent 2 2 3 3 2 2 5 2" xfId="55191"/>
    <cellStyle name="Percent 2 2 3 3 2 2 6" xfId="46674"/>
    <cellStyle name="Percent 2 2 3 3 2 3" xfId="1728"/>
    <cellStyle name="Percent 2 2 3 3 2 3 2" xfId="6077"/>
    <cellStyle name="Percent 2 2 3 3 2 3 2 2" xfId="50762"/>
    <cellStyle name="Percent 2 2 3 3 2 3 3" xfId="12538"/>
    <cellStyle name="Percent 2 2 3 3 2 3 3 2" xfId="52792"/>
    <cellStyle name="Percent 2 2 3 3 2 3 4" xfId="4027"/>
    <cellStyle name="Percent 2 2 3 3 2 3 4 2" xfId="48720"/>
    <cellStyle name="Percent 2 2 3 3 2 3 5" xfId="43013"/>
    <cellStyle name="Percent 2 2 3 3 2 3 5 2" xfId="58139"/>
    <cellStyle name="Percent 2 2 3 3 2 3 6" xfId="46958"/>
    <cellStyle name="Percent 2 2 3 3 2 4" xfId="1215"/>
    <cellStyle name="Percent 2 2 3 3 2 4 2" xfId="5564"/>
    <cellStyle name="Percent 2 2 3 3 2 4 2 2" xfId="50249"/>
    <cellStyle name="Percent 2 2 3 3 2 4 3" xfId="12025"/>
    <cellStyle name="Percent 2 2 3 3 2 4 3 2" xfId="52279"/>
    <cellStyle name="Percent 2 2 3 3 2 4 4" xfId="4386"/>
    <cellStyle name="Percent 2 2 3 3 2 4 4 2" xfId="49076"/>
    <cellStyle name="Percent 2 2 3 3 2 4 5" xfId="40777"/>
    <cellStyle name="Percent 2 2 3 3 2 4 5 2" xfId="55904"/>
    <cellStyle name="Percent 2 2 3 3 2 4 6" xfId="46445"/>
    <cellStyle name="Percent 2 2 3 3 2 5" xfId="4812"/>
    <cellStyle name="Percent 2 2 3 3 2 5 2" xfId="49497"/>
    <cellStyle name="Percent 2 2 3 3 2 6" xfId="11273"/>
    <cellStyle name="Percent 2 2 3 3 2 6 2" xfId="51527"/>
    <cellStyle name="Percent 2 2 3 3 2 7" xfId="3450"/>
    <cellStyle name="Percent 2 2 3 3 2 7 2" xfId="48144"/>
    <cellStyle name="Percent 2 2 3 3 2 8" xfId="38920"/>
    <cellStyle name="Percent 2 2 3 3 2 8 2" xfId="54052"/>
    <cellStyle name="Percent 2 2 3 3 2 9" xfId="45693"/>
    <cellStyle name="Percent 2 2 3 3 3" xfId="916"/>
    <cellStyle name="Percent 2 2 3 3 3 2" xfId="5265"/>
    <cellStyle name="Percent 2 2 3 3 3 2 2" xfId="44228"/>
    <cellStyle name="Percent 2 2 3 3 3 2 2 2" xfId="59354"/>
    <cellStyle name="Percent 2 2 3 3 3 2 3" xfId="41992"/>
    <cellStyle name="Percent 2 2 3 3 3 2 3 2" xfId="57119"/>
    <cellStyle name="Percent 2 2 3 3 3 2 4" xfId="39712"/>
    <cellStyle name="Percent 2 2 3 3 3 2 4 2" xfId="54840"/>
    <cellStyle name="Percent 2 2 3 3 3 2 5" xfId="49950"/>
    <cellStyle name="Percent 2 2 3 3 3 3" xfId="11726"/>
    <cellStyle name="Percent 2 2 3 3 3 3 2" xfId="43364"/>
    <cellStyle name="Percent 2 2 3 3 3 3 2 2" xfId="58490"/>
    <cellStyle name="Percent 2 2 3 3 3 3 3" xfId="51980"/>
    <cellStyle name="Percent 2 2 3 3 3 4" xfId="3151"/>
    <cellStyle name="Percent 2 2 3 3 3 4 2" xfId="41128"/>
    <cellStyle name="Percent 2 2 3 3 3 4 2 2" xfId="56255"/>
    <cellStyle name="Percent 2 2 3 3 3 4 3" xfId="47845"/>
    <cellStyle name="Percent 2 2 3 3 3 5" xfId="38546"/>
    <cellStyle name="Percent 2 2 3 3 3 5 2" xfId="53701"/>
    <cellStyle name="Percent 2 2 3 3 3 6" xfId="46146"/>
    <cellStyle name="Percent 2 2 3 3 4" xfId="794"/>
    <cellStyle name="Percent 2 2 3 3 4 2" xfId="5143"/>
    <cellStyle name="Percent 2 2 3 3 4 2 2" xfId="43790"/>
    <cellStyle name="Percent 2 2 3 3 4 2 2 2" xfId="58916"/>
    <cellStyle name="Percent 2 2 3 3 4 2 3" xfId="49828"/>
    <cellStyle name="Percent 2 2 3 3 4 3" xfId="11604"/>
    <cellStyle name="Percent 2 2 3 3 4 3 2" xfId="41554"/>
    <cellStyle name="Percent 2 2 3 3 4 3 2 2" xfId="56681"/>
    <cellStyle name="Percent 2 2 3 3 4 3 3" xfId="51858"/>
    <cellStyle name="Percent 2 2 3 3 4 4" xfId="3029"/>
    <cellStyle name="Percent 2 2 3 3 4 4 2" xfId="47723"/>
    <cellStyle name="Percent 2 2 3 3 4 5" xfId="39274"/>
    <cellStyle name="Percent 2 2 3 3 4 5 2" xfId="54402"/>
    <cellStyle name="Percent 2 2 3 3 4 6" xfId="46024"/>
    <cellStyle name="Percent 2 2 3 3 5" xfId="584"/>
    <cellStyle name="Percent 2 2 3 3 5 2" xfId="4933"/>
    <cellStyle name="Percent 2 2 3 3 5 2 2" xfId="49618"/>
    <cellStyle name="Percent 2 2 3 3 5 3" xfId="11394"/>
    <cellStyle name="Percent 2 2 3 3 5 3 2" xfId="51648"/>
    <cellStyle name="Percent 2 2 3 3 5 4" xfId="4097"/>
    <cellStyle name="Percent 2 2 3 3 5 4 2" xfId="48788"/>
    <cellStyle name="Percent 2 2 3 3 5 5" xfId="42662"/>
    <cellStyle name="Percent 2 2 3 3 5 5 2" xfId="57789"/>
    <cellStyle name="Percent 2 2 3 3 5 6" xfId="45814"/>
    <cellStyle name="Percent 2 2 3 3 6" xfId="1844"/>
    <cellStyle name="Percent 2 2 3 3 6 2" xfId="12653"/>
    <cellStyle name="Percent 2 2 3 3 6 2 2" xfId="52907"/>
    <cellStyle name="Percent 2 2 3 3 6 3" xfId="6192"/>
    <cellStyle name="Percent 2 2 3 3 6 3 2" xfId="50877"/>
    <cellStyle name="Percent 2 2 3 3 6 4" xfId="40427"/>
    <cellStyle name="Percent 2 2 3 3 6 4 2" xfId="55554"/>
    <cellStyle name="Percent 2 2 3 3 6 5" xfId="47073"/>
    <cellStyle name="Percent 2 2 3 3 7" xfId="4508"/>
    <cellStyle name="Percent 2 2 3 3 7 2" xfId="49198"/>
    <cellStyle name="Percent 2 2 3 3 8" xfId="10974"/>
    <cellStyle name="Percent 2 2 3 3 8 2" xfId="51228"/>
    <cellStyle name="Percent 2 2 3 3 9" xfId="2814"/>
    <cellStyle name="Percent 2 2 3 3 9 2" xfId="47512"/>
    <cellStyle name="Percent 2 2 3 4" xfId="251"/>
    <cellStyle name="Percent 2 2 3 4 10" xfId="38139"/>
    <cellStyle name="Percent 2 2 3 4 10 2" xfId="53339"/>
    <cellStyle name="Percent 2 2 3 4 11" xfId="45483"/>
    <cellStyle name="Percent 2 2 3 4 2" xfId="1005"/>
    <cellStyle name="Percent 2 2 3 4 2 2" xfId="5354"/>
    <cellStyle name="Percent 2 2 3 4 2 2 2" xfId="44655"/>
    <cellStyle name="Percent 2 2 3 4 2 2 2 2" xfId="59781"/>
    <cellStyle name="Percent 2 2 3 4 2 2 3" xfId="42419"/>
    <cellStyle name="Percent 2 2 3 4 2 2 3 2" xfId="57546"/>
    <cellStyle name="Percent 2 2 3 4 2 2 4" xfId="40139"/>
    <cellStyle name="Percent 2 2 3 4 2 2 4 2" xfId="55267"/>
    <cellStyle name="Percent 2 2 3 4 2 2 5" xfId="50039"/>
    <cellStyle name="Percent 2 2 3 4 2 3" xfId="11815"/>
    <cellStyle name="Percent 2 2 3 4 2 3 2" xfId="43089"/>
    <cellStyle name="Percent 2 2 3 4 2 3 2 2" xfId="58215"/>
    <cellStyle name="Percent 2 2 3 4 2 3 3" xfId="52069"/>
    <cellStyle name="Percent 2 2 3 4 2 4" xfId="3240"/>
    <cellStyle name="Percent 2 2 3 4 2 4 2" xfId="40853"/>
    <cellStyle name="Percent 2 2 3 4 2 4 2 2" xfId="55980"/>
    <cellStyle name="Percent 2 2 3 4 2 4 3" xfId="47934"/>
    <cellStyle name="Percent 2 2 3 4 2 5" xfId="38997"/>
    <cellStyle name="Percent 2 2 3 4 2 5 2" xfId="54128"/>
    <cellStyle name="Percent 2 2 3 4 2 6" xfId="46235"/>
    <cellStyle name="Percent 2 2 3 4 3" xfId="1307"/>
    <cellStyle name="Percent 2 2 3 4 3 2" xfId="5656"/>
    <cellStyle name="Percent 2 2 3 4 3 2 2" xfId="44304"/>
    <cellStyle name="Percent 2 2 3 4 3 2 2 2" xfId="59430"/>
    <cellStyle name="Percent 2 2 3 4 3 2 3" xfId="42068"/>
    <cellStyle name="Percent 2 2 3 4 3 2 3 2" xfId="57195"/>
    <cellStyle name="Percent 2 2 3 4 3 2 4" xfId="39788"/>
    <cellStyle name="Percent 2 2 3 4 3 2 4 2" xfId="54916"/>
    <cellStyle name="Percent 2 2 3 4 3 2 5" xfId="50341"/>
    <cellStyle name="Percent 2 2 3 4 3 3" xfId="12117"/>
    <cellStyle name="Percent 2 2 3 4 3 3 2" xfId="43440"/>
    <cellStyle name="Percent 2 2 3 4 3 3 2 2" xfId="58566"/>
    <cellStyle name="Percent 2 2 3 4 3 3 3" xfId="52371"/>
    <cellStyle name="Percent 2 2 3 4 3 4" xfId="3590"/>
    <cellStyle name="Percent 2 2 3 4 3 4 2" xfId="41204"/>
    <cellStyle name="Percent 2 2 3 4 3 4 2 2" xfId="56331"/>
    <cellStyle name="Percent 2 2 3 4 3 4 3" xfId="48283"/>
    <cellStyle name="Percent 2 2 3 4 3 5" xfId="38624"/>
    <cellStyle name="Percent 2 2 3 4 3 5 2" xfId="53777"/>
    <cellStyle name="Percent 2 2 3 4 3 6" xfId="46537"/>
    <cellStyle name="Percent 2 2 3 4 4" xfId="1518"/>
    <cellStyle name="Percent 2 2 3 4 4 2" xfId="5867"/>
    <cellStyle name="Percent 2 2 3 4 4 2 2" xfId="43866"/>
    <cellStyle name="Percent 2 2 3 4 4 2 2 2" xfId="58992"/>
    <cellStyle name="Percent 2 2 3 4 4 2 3" xfId="50552"/>
    <cellStyle name="Percent 2 2 3 4 4 3" xfId="12328"/>
    <cellStyle name="Percent 2 2 3 4 4 3 2" xfId="41630"/>
    <cellStyle name="Percent 2 2 3 4 4 3 2 2" xfId="56757"/>
    <cellStyle name="Percent 2 2 3 4 4 3 3" xfId="52582"/>
    <cellStyle name="Percent 2 2 3 4 4 4" xfId="3817"/>
    <cellStyle name="Percent 2 2 3 4 4 4 2" xfId="48510"/>
    <cellStyle name="Percent 2 2 3 4 4 5" xfId="39350"/>
    <cellStyle name="Percent 2 2 3 4 4 5 2" xfId="54478"/>
    <cellStyle name="Percent 2 2 3 4 4 6" xfId="46748"/>
    <cellStyle name="Percent 2 2 3 4 5" xfId="673"/>
    <cellStyle name="Percent 2 2 3 4 5 2" xfId="5022"/>
    <cellStyle name="Percent 2 2 3 4 5 2 2" xfId="49707"/>
    <cellStyle name="Percent 2 2 3 4 5 3" xfId="11483"/>
    <cellStyle name="Percent 2 2 3 4 5 3 2" xfId="51737"/>
    <cellStyle name="Percent 2 2 3 4 5 4" xfId="4176"/>
    <cellStyle name="Percent 2 2 3 4 5 4 2" xfId="48866"/>
    <cellStyle name="Percent 2 2 3 4 5 5" xfId="42738"/>
    <cellStyle name="Percent 2 2 3 4 5 5 2" xfId="57865"/>
    <cellStyle name="Percent 2 2 3 4 5 6" xfId="45903"/>
    <cellStyle name="Percent 2 2 3 4 6" xfId="1923"/>
    <cellStyle name="Percent 2 2 3 4 6 2" xfId="12730"/>
    <cellStyle name="Percent 2 2 3 4 6 2 2" xfId="52983"/>
    <cellStyle name="Percent 2 2 3 4 6 3" xfId="6270"/>
    <cellStyle name="Percent 2 2 3 4 6 3 2" xfId="50953"/>
    <cellStyle name="Percent 2 2 3 4 6 4" xfId="40503"/>
    <cellStyle name="Percent 2 2 3 4 6 4 2" xfId="55630"/>
    <cellStyle name="Percent 2 2 3 4 6 5" xfId="47149"/>
    <cellStyle name="Percent 2 2 3 4 7" xfId="4600"/>
    <cellStyle name="Percent 2 2 3 4 7 2" xfId="49287"/>
    <cellStyle name="Percent 2 2 3 4 8" xfId="11063"/>
    <cellStyle name="Percent 2 2 3 4 8 2" xfId="51317"/>
    <cellStyle name="Percent 2 2 3 4 9" xfId="2907"/>
    <cellStyle name="Percent 2 2 3 4 9 2" xfId="47601"/>
    <cellStyle name="Percent 2 2 3 5" xfId="342"/>
    <cellStyle name="Percent 2 2 3 5 10" xfId="45572"/>
    <cellStyle name="Percent 2 2 3 5 2" xfId="1396"/>
    <cellStyle name="Percent 2 2 3 5 2 2" xfId="5745"/>
    <cellStyle name="Percent 2 2 3 5 2 2 2" xfId="44731"/>
    <cellStyle name="Percent 2 2 3 5 2 2 2 2" xfId="59857"/>
    <cellStyle name="Percent 2 2 3 5 2 2 3" xfId="42495"/>
    <cellStyle name="Percent 2 2 3 5 2 2 3 2" xfId="57622"/>
    <cellStyle name="Percent 2 2 3 5 2 2 4" xfId="40215"/>
    <cellStyle name="Percent 2 2 3 5 2 2 4 2" xfId="55343"/>
    <cellStyle name="Percent 2 2 3 5 2 2 5" xfId="50430"/>
    <cellStyle name="Percent 2 2 3 5 2 3" xfId="12206"/>
    <cellStyle name="Percent 2 2 3 5 2 3 2" xfId="43165"/>
    <cellStyle name="Percent 2 2 3 5 2 3 2 2" xfId="58291"/>
    <cellStyle name="Percent 2 2 3 5 2 3 3" xfId="52460"/>
    <cellStyle name="Percent 2 2 3 5 2 4" xfId="3679"/>
    <cellStyle name="Percent 2 2 3 5 2 4 2" xfId="40929"/>
    <cellStyle name="Percent 2 2 3 5 2 4 2 2" xfId="56056"/>
    <cellStyle name="Percent 2 2 3 5 2 4 3" xfId="48372"/>
    <cellStyle name="Percent 2 2 3 5 2 5" xfId="39073"/>
    <cellStyle name="Percent 2 2 3 5 2 5 2" xfId="54204"/>
    <cellStyle name="Percent 2 2 3 5 2 6" xfId="46626"/>
    <cellStyle name="Percent 2 2 3 5 3" xfId="1607"/>
    <cellStyle name="Percent 2 2 3 5 3 2" xfId="5956"/>
    <cellStyle name="Percent 2 2 3 5 3 2 2" xfId="44380"/>
    <cellStyle name="Percent 2 2 3 5 3 2 2 2" xfId="59506"/>
    <cellStyle name="Percent 2 2 3 5 3 2 3" xfId="42144"/>
    <cellStyle name="Percent 2 2 3 5 3 2 3 2" xfId="57271"/>
    <cellStyle name="Percent 2 2 3 5 3 2 4" xfId="39864"/>
    <cellStyle name="Percent 2 2 3 5 3 2 4 2" xfId="54992"/>
    <cellStyle name="Percent 2 2 3 5 3 2 5" xfId="50641"/>
    <cellStyle name="Percent 2 2 3 5 3 3" xfId="12417"/>
    <cellStyle name="Percent 2 2 3 5 3 3 2" xfId="43516"/>
    <cellStyle name="Percent 2 2 3 5 3 3 2 2" xfId="58642"/>
    <cellStyle name="Percent 2 2 3 5 3 3 3" xfId="52671"/>
    <cellStyle name="Percent 2 2 3 5 3 4" xfId="3906"/>
    <cellStyle name="Percent 2 2 3 5 3 4 2" xfId="41280"/>
    <cellStyle name="Percent 2 2 3 5 3 4 2 2" xfId="56407"/>
    <cellStyle name="Percent 2 2 3 5 3 4 3" xfId="48599"/>
    <cellStyle name="Percent 2 2 3 5 3 5" xfId="38700"/>
    <cellStyle name="Percent 2 2 3 5 3 5 2" xfId="53853"/>
    <cellStyle name="Percent 2 2 3 5 3 6" xfId="46837"/>
    <cellStyle name="Percent 2 2 3 5 4" xfId="1094"/>
    <cellStyle name="Percent 2 2 3 5 4 2" xfId="5443"/>
    <cellStyle name="Percent 2 2 3 5 4 2 2" xfId="43942"/>
    <cellStyle name="Percent 2 2 3 5 4 2 2 2" xfId="59068"/>
    <cellStyle name="Percent 2 2 3 5 4 2 3" xfId="50128"/>
    <cellStyle name="Percent 2 2 3 5 4 3" xfId="11904"/>
    <cellStyle name="Percent 2 2 3 5 4 3 2" xfId="41706"/>
    <cellStyle name="Percent 2 2 3 5 4 3 2 2" xfId="56833"/>
    <cellStyle name="Percent 2 2 3 5 4 3 3" xfId="52158"/>
    <cellStyle name="Percent 2 2 3 5 4 4" xfId="4265"/>
    <cellStyle name="Percent 2 2 3 5 4 4 2" xfId="48955"/>
    <cellStyle name="Percent 2 2 3 5 4 5" xfId="39426"/>
    <cellStyle name="Percent 2 2 3 5 4 5 2" xfId="54554"/>
    <cellStyle name="Percent 2 2 3 5 4 6" xfId="46324"/>
    <cellStyle name="Percent 2 2 3 5 5" xfId="1999"/>
    <cellStyle name="Percent 2 2 3 5 5 2" xfId="12806"/>
    <cellStyle name="Percent 2 2 3 5 5 2 2" xfId="53059"/>
    <cellStyle name="Percent 2 2 3 5 5 3" xfId="6346"/>
    <cellStyle name="Percent 2 2 3 5 5 3 2" xfId="51029"/>
    <cellStyle name="Percent 2 2 3 5 5 4" xfId="42814"/>
    <cellStyle name="Percent 2 2 3 5 5 4 2" xfId="57941"/>
    <cellStyle name="Percent 2 2 3 5 5 5" xfId="47225"/>
    <cellStyle name="Percent 2 2 3 5 6" xfId="4691"/>
    <cellStyle name="Percent 2 2 3 5 6 2" xfId="40579"/>
    <cellStyle name="Percent 2 2 3 5 6 2 2" xfId="55706"/>
    <cellStyle name="Percent 2 2 3 5 6 3" xfId="49376"/>
    <cellStyle name="Percent 2 2 3 5 7" xfId="11152"/>
    <cellStyle name="Percent 2 2 3 5 7 2" xfId="51406"/>
    <cellStyle name="Percent 2 2 3 5 8" xfId="3329"/>
    <cellStyle name="Percent 2 2 3 5 8 2" xfId="48023"/>
    <cellStyle name="Percent 2 2 3 5 9" xfId="38215"/>
    <cellStyle name="Percent 2 2 3 5 9 2" xfId="53415"/>
    <cellStyle name="Percent 2 2 3 6" xfId="389"/>
    <cellStyle name="Percent 2 2 3 6 2" xfId="1654"/>
    <cellStyle name="Percent 2 2 3 6 2 2" xfId="6003"/>
    <cellStyle name="Percent 2 2 3 6 2 2 2" xfId="44807"/>
    <cellStyle name="Percent 2 2 3 6 2 2 2 2" xfId="59933"/>
    <cellStyle name="Percent 2 2 3 6 2 2 3" xfId="42571"/>
    <cellStyle name="Percent 2 2 3 6 2 2 3 2" xfId="57698"/>
    <cellStyle name="Percent 2 2 3 6 2 2 4" xfId="40291"/>
    <cellStyle name="Percent 2 2 3 6 2 2 4 2" xfId="55419"/>
    <cellStyle name="Percent 2 2 3 6 2 2 5" xfId="50688"/>
    <cellStyle name="Percent 2 2 3 6 2 3" xfId="12464"/>
    <cellStyle name="Percent 2 2 3 6 2 3 2" xfId="43241"/>
    <cellStyle name="Percent 2 2 3 6 2 3 2 2" xfId="58367"/>
    <cellStyle name="Percent 2 2 3 6 2 3 3" xfId="52718"/>
    <cellStyle name="Percent 2 2 3 6 2 4" xfId="3953"/>
    <cellStyle name="Percent 2 2 3 6 2 4 2" xfId="41005"/>
    <cellStyle name="Percent 2 2 3 6 2 4 2 2" xfId="56132"/>
    <cellStyle name="Percent 2 2 3 6 2 4 3" xfId="48646"/>
    <cellStyle name="Percent 2 2 3 6 2 5" xfId="39149"/>
    <cellStyle name="Percent 2 2 3 6 2 5 2" xfId="54280"/>
    <cellStyle name="Percent 2 2 3 6 2 6" xfId="46884"/>
    <cellStyle name="Percent 2 2 3 6 3" xfId="1141"/>
    <cellStyle name="Percent 2 2 3 6 3 2" xfId="5490"/>
    <cellStyle name="Percent 2 2 3 6 3 2 2" xfId="44456"/>
    <cellStyle name="Percent 2 2 3 6 3 2 2 2" xfId="59582"/>
    <cellStyle name="Percent 2 2 3 6 3 2 3" xfId="42220"/>
    <cellStyle name="Percent 2 2 3 6 3 2 3 2" xfId="57347"/>
    <cellStyle name="Percent 2 2 3 6 3 2 4" xfId="39940"/>
    <cellStyle name="Percent 2 2 3 6 3 2 4 2" xfId="55068"/>
    <cellStyle name="Percent 2 2 3 6 3 2 5" xfId="50175"/>
    <cellStyle name="Percent 2 2 3 6 3 3" xfId="11951"/>
    <cellStyle name="Percent 2 2 3 6 3 3 2" xfId="43592"/>
    <cellStyle name="Percent 2 2 3 6 3 3 2 2" xfId="58718"/>
    <cellStyle name="Percent 2 2 3 6 3 3 3" xfId="52205"/>
    <cellStyle name="Percent 2 2 3 6 3 4" xfId="4312"/>
    <cellStyle name="Percent 2 2 3 6 3 4 2" xfId="41356"/>
    <cellStyle name="Percent 2 2 3 6 3 4 2 2" xfId="56483"/>
    <cellStyle name="Percent 2 2 3 6 3 4 3" xfId="49002"/>
    <cellStyle name="Percent 2 2 3 6 3 5" xfId="38776"/>
    <cellStyle name="Percent 2 2 3 6 3 5 2" xfId="53929"/>
    <cellStyle name="Percent 2 2 3 6 3 6" xfId="46371"/>
    <cellStyle name="Percent 2 2 3 6 4" xfId="2076"/>
    <cellStyle name="Percent 2 2 3 6 4 2" xfId="12882"/>
    <cellStyle name="Percent 2 2 3 6 4 2 2" xfId="44018"/>
    <cellStyle name="Percent 2 2 3 6 4 2 2 2" xfId="59144"/>
    <cellStyle name="Percent 2 2 3 6 4 2 3" xfId="53135"/>
    <cellStyle name="Percent 2 2 3 6 4 3" xfId="6422"/>
    <cellStyle name="Percent 2 2 3 6 4 3 2" xfId="41782"/>
    <cellStyle name="Percent 2 2 3 6 4 3 2 2" xfId="56909"/>
    <cellStyle name="Percent 2 2 3 6 4 3 3" xfId="51105"/>
    <cellStyle name="Percent 2 2 3 6 4 4" xfId="39502"/>
    <cellStyle name="Percent 2 2 3 6 4 4 2" xfId="54630"/>
    <cellStyle name="Percent 2 2 3 6 4 5" xfId="47301"/>
    <cellStyle name="Percent 2 2 3 6 5" xfId="4738"/>
    <cellStyle name="Percent 2 2 3 6 5 2" xfId="42890"/>
    <cellStyle name="Percent 2 2 3 6 5 2 2" xfId="58017"/>
    <cellStyle name="Percent 2 2 3 6 5 3" xfId="49423"/>
    <cellStyle name="Percent 2 2 3 6 6" xfId="11199"/>
    <cellStyle name="Percent 2 2 3 6 6 2" xfId="40655"/>
    <cellStyle name="Percent 2 2 3 6 6 2 2" xfId="55782"/>
    <cellStyle name="Percent 2 2 3 6 6 3" xfId="51453"/>
    <cellStyle name="Percent 2 2 3 6 7" xfId="3376"/>
    <cellStyle name="Percent 2 2 3 6 7 2" xfId="48070"/>
    <cellStyle name="Percent 2 2 3 6 8" xfId="38291"/>
    <cellStyle name="Percent 2 2 3 6 8 2" xfId="53491"/>
    <cellStyle name="Percent 2 2 3 6 9" xfId="45619"/>
    <cellStyle name="Percent 2 2 3 7" xfId="841"/>
    <cellStyle name="Percent 2 2 3 7 2" xfId="5190"/>
    <cellStyle name="Percent 2 2 3 7 2 2" xfId="39999"/>
    <cellStyle name="Percent 2 2 3 7 2 2 2" xfId="44515"/>
    <cellStyle name="Percent 2 2 3 7 2 2 2 2" xfId="59641"/>
    <cellStyle name="Percent 2 2 3 7 2 2 3" xfId="42279"/>
    <cellStyle name="Percent 2 2 3 7 2 2 3 2" xfId="57406"/>
    <cellStyle name="Percent 2 2 3 7 2 2 4" xfId="55127"/>
    <cellStyle name="Percent 2 2 3 7 2 3" xfId="43650"/>
    <cellStyle name="Percent 2 2 3 7 2 3 2" xfId="58776"/>
    <cellStyle name="Percent 2 2 3 7 2 4" xfId="41414"/>
    <cellStyle name="Percent 2 2 3 7 2 4 2" xfId="56541"/>
    <cellStyle name="Percent 2 2 3 7 2 5" xfId="38856"/>
    <cellStyle name="Percent 2 2 3 7 2 5 2" xfId="53988"/>
    <cellStyle name="Percent 2 2 3 7 2 6" xfId="49875"/>
    <cellStyle name="Percent 2 2 3 7 3" xfId="11651"/>
    <cellStyle name="Percent 2 2 3 7 3 2" xfId="44102"/>
    <cellStyle name="Percent 2 2 3 7 3 2 2" xfId="59228"/>
    <cellStyle name="Percent 2 2 3 7 3 3" xfId="41866"/>
    <cellStyle name="Percent 2 2 3 7 3 3 2" xfId="56993"/>
    <cellStyle name="Percent 2 2 3 7 3 4" xfId="39586"/>
    <cellStyle name="Percent 2 2 3 7 3 4 2" xfId="54714"/>
    <cellStyle name="Percent 2 2 3 7 3 5" xfId="51905"/>
    <cellStyle name="Percent 2 2 3 7 4" xfId="3076"/>
    <cellStyle name="Percent 2 2 3 7 4 2" xfId="42949"/>
    <cellStyle name="Percent 2 2 3 7 4 2 2" xfId="58075"/>
    <cellStyle name="Percent 2 2 3 7 4 3" xfId="47770"/>
    <cellStyle name="Percent 2 2 3 7 5" xfId="40713"/>
    <cellStyle name="Percent 2 2 3 7 5 2" xfId="55840"/>
    <cellStyle name="Percent 2 2 3 7 6" xfId="38416"/>
    <cellStyle name="Percent 2 2 3 7 6 2" xfId="53575"/>
    <cellStyle name="Percent 2 2 3 7 7" xfId="46071"/>
    <cellStyle name="Percent 2 2 3 8" xfId="720"/>
    <cellStyle name="Percent 2 2 3 8 2" xfId="5069"/>
    <cellStyle name="Percent 2 2 3 8 2 2" xfId="44164"/>
    <cellStyle name="Percent 2 2 3 8 2 2 2" xfId="59290"/>
    <cellStyle name="Percent 2 2 3 8 2 3" xfId="41928"/>
    <cellStyle name="Percent 2 2 3 8 2 3 2" xfId="57055"/>
    <cellStyle name="Percent 2 2 3 8 2 4" xfId="39648"/>
    <cellStyle name="Percent 2 2 3 8 2 4 2" xfId="54776"/>
    <cellStyle name="Percent 2 2 3 8 2 5" xfId="49754"/>
    <cellStyle name="Percent 2 2 3 8 3" xfId="11530"/>
    <cellStyle name="Percent 2 2 3 8 3 2" xfId="43300"/>
    <cellStyle name="Percent 2 2 3 8 3 2 2" xfId="58426"/>
    <cellStyle name="Percent 2 2 3 8 3 3" xfId="51784"/>
    <cellStyle name="Percent 2 2 3 8 4" xfId="2954"/>
    <cellStyle name="Percent 2 2 3 8 4 2" xfId="41064"/>
    <cellStyle name="Percent 2 2 3 8 4 2 2" xfId="56191"/>
    <cellStyle name="Percent 2 2 3 8 4 3" xfId="47648"/>
    <cellStyle name="Percent 2 2 3 8 5" xfId="38481"/>
    <cellStyle name="Percent 2 2 3 8 5 2" xfId="53637"/>
    <cellStyle name="Percent 2 2 3 8 6" xfId="45950"/>
    <cellStyle name="Percent 2 2 3 9" xfId="510"/>
    <cellStyle name="Percent 2 2 3 9 2" xfId="4859"/>
    <cellStyle name="Percent 2 2 3 9 2 2" xfId="43726"/>
    <cellStyle name="Percent 2 2 3 9 2 2 2" xfId="58852"/>
    <cellStyle name="Percent 2 2 3 9 2 3" xfId="49544"/>
    <cellStyle name="Percent 2 2 3 9 3" xfId="11320"/>
    <cellStyle name="Percent 2 2 3 9 3 2" xfId="41490"/>
    <cellStyle name="Percent 2 2 3 9 3 2 2" xfId="56617"/>
    <cellStyle name="Percent 2 2 3 9 3 3" xfId="51574"/>
    <cellStyle name="Percent 2 2 3 9 4" xfId="4059"/>
    <cellStyle name="Percent 2 2 3 9 4 2" xfId="48751"/>
    <cellStyle name="Percent 2 2 3 9 5" xfId="39210"/>
    <cellStyle name="Percent 2 2 3 9 5 2" xfId="54338"/>
    <cellStyle name="Percent 2 2 3 9 6" xfId="45740"/>
    <cellStyle name="Percent 2 2 4" xfId="154"/>
    <cellStyle name="Percent 2 2 4 10" xfId="10976"/>
    <cellStyle name="Percent 2 2 4 10 2" xfId="51230"/>
    <cellStyle name="Percent 2 2 4 11" xfId="2816"/>
    <cellStyle name="Percent 2 2 4 11 2" xfId="47514"/>
    <cellStyle name="Percent 2 2 4 12" xfId="38065"/>
    <cellStyle name="Percent 2 2 4 12 2" xfId="53265"/>
    <cellStyle name="Percent 2 2 4 13" xfId="45396"/>
    <cellStyle name="Percent 2 2 4 2" xfId="253"/>
    <cellStyle name="Percent 2 2 4 2 10" xfId="38141"/>
    <cellStyle name="Percent 2 2 4 2 10 2" xfId="53341"/>
    <cellStyle name="Percent 2 2 4 2 11" xfId="45485"/>
    <cellStyle name="Percent 2 2 4 2 2" xfId="1007"/>
    <cellStyle name="Percent 2 2 4 2 2 2" xfId="5356"/>
    <cellStyle name="Percent 2 2 4 2 2 2 2" xfId="44657"/>
    <cellStyle name="Percent 2 2 4 2 2 2 2 2" xfId="59783"/>
    <cellStyle name="Percent 2 2 4 2 2 2 3" xfId="42421"/>
    <cellStyle name="Percent 2 2 4 2 2 2 3 2" xfId="57548"/>
    <cellStyle name="Percent 2 2 4 2 2 2 4" xfId="40141"/>
    <cellStyle name="Percent 2 2 4 2 2 2 4 2" xfId="55269"/>
    <cellStyle name="Percent 2 2 4 2 2 2 5" xfId="50041"/>
    <cellStyle name="Percent 2 2 4 2 2 3" xfId="11817"/>
    <cellStyle name="Percent 2 2 4 2 2 3 2" xfId="43091"/>
    <cellStyle name="Percent 2 2 4 2 2 3 2 2" xfId="58217"/>
    <cellStyle name="Percent 2 2 4 2 2 3 3" xfId="52071"/>
    <cellStyle name="Percent 2 2 4 2 2 4" xfId="3242"/>
    <cellStyle name="Percent 2 2 4 2 2 4 2" xfId="40855"/>
    <cellStyle name="Percent 2 2 4 2 2 4 2 2" xfId="55982"/>
    <cellStyle name="Percent 2 2 4 2 2 4 3" xfId="47936"/>
    <cellStyle name="Percent 2 2 4 2 2 5" xfId="38999"/>
    <cellStyle name="Percent 2 2 4 2 2 5 2" xfId="54130"/>
    <cellStyle name="Percent 2 2 4 2 2 6" xfId="46237"/>
    <cellStyle name="Percent 2 2 4 2 3" xfId="1309"/>
    <cellStyle name="Percent 2 2 4 2 3 2" xfId="5658"/>
    <cellStyle name="Percent 2 2 4 2 3 2 2" xfId="44306"/>
    <cellStyle name="Percent 2 2 4 2 3 2 2 2" xfId="59432"/>
    <cellStyle name="Percent 2 2 4 2 3 2 3" xfId="42070"/>
    <cellStyle name="Percent 2 2 4 2 3 2 3 2" xfId="57197"/>
    <cellStyle name="Percent 2 2 4 2 3 2 4" xfId="39790"/>
    <cellStyle name="Percent 2 2 4 2 3 2 4 2" xfId="54918"/>
    <cellStyle name="Percent 2 2 4 2 3 2 5" xfId="50343"/>
    <cellStyle name="Percent 2 2 4 2 3 3" xfId="12119"/>
    <cellStyle name="Percent 2 2 4 2 3 3 2" xfId="43442"/>
    <cellStyle name="Percent 2 2 4 2 3 3 2 2" xfId="58568"/>
    <cellStyle name="Percent 2 2 4 2 3 3 3" xfId="52373"/>
    <cellStyle name="Percent 2 2 4 2 3 4" xfId="3592"/>
    <cellStyle name="Percent 2 2 4 2 3 4 2" xfId="41206"/>
    <cellStyle name="Percent 2 2 4 2 3 4 2 2" xfId="56333"/>
    <cellStyle name="Percent 2 2 4 2 3 4 3" xfId="48285"/>
    <cellStyle name="Percent 2 2 4 2 3 5" xfId="38626"/>
    <cellStyle name="Percent 2 2 4 2 3 5 2" xfId="53779"/>
    <cellStyle name="Percent 2 2 4 2 3 6" xfId="46539"/>
    <cellStyle name="Percent 2 2 4 2 4" xfId="1520"/>
    <cellStyle name="Percent 2 2 4 2 4 2" xfId="5869"/>
    <cellStyle name="Percent 2 2 4 2 4 2 2" xfId="43868"/>
    <cellStyle name="Percent 2 2 4 2 4 2 2 2" xfId="58994"/>
    <cellStyle name="Percent 2 2 4 2 4 2 3" xfId="50554"/>
    <cellStyle name="Percent 2 2 4 2 4 3" xfId="12330"/>
    <cellStyle name="Percent 2 2 4 2 4 3 2" xfId="41632"/>
    <cellStyle name="Percent 2 2 4 2 4 3 2 2" xfId="56759"/>
    <cellStyle name="Percent 2 2 4 2 4 3 3" xfId="52584"/>
    <cellStyle name="Percent 2 2 4 2 4 4" xfId="3819"/>
    <cellStyle name="Percent 2 2 4 2 4 4 2" xfId="48512"/>
    <cellStyle name="Percent 2 2 4 2 4 5" xfId="39352"/>
    <cellStyle name="Percent 2 2 4 2 4 5 2" xfId="54480"/>
    <cellStyle name="Percent 2 2 4 2 4 6" xfId="46750"/>
    <cellStyle name="Percent 2 2 4 2 5" xfId="675"/>
    <cellStyle name="Percent 2 2 4 2 5 2" xfId="5024"/>
    <cellStyle name="Percent 2 2 4 2 5 2 2" xfId="49709"/>
    <cellStyle name="Percent 2 2 4 2 5 3" xfId="11485"/>
    <cellStyle name="Percent 2 2 4 2 5 3 2" xfId="51739"/>
    <cellStyle name="Percent 2 2 4 2 5 4" xfId="4178"/>
    <cellStyle name="Percent 2 2 4 2 5 4 2" xfId="48868"/>
    <cellStyle name="Percent 2 2 4 2 5 5" xfId="42740"/>
    <cellStyle name="Percent 2 2 4 2 5 5 2" xfId="57867"/>
    <cellStyle name="Percent 2 2 4 2 5 6" xfId="45905"/>
    <cellStyle name="Percent 2 2 4 2 6" xfId="1925"/>
    <cellStyle name="Percent 2 2 4 2 6 2" xfId="12732"/>
    <cellStyle name="Percent 2 2 4 2 6 2 2" xfId="52985"/>
    <cellStyle name="Percent 2 2 4 2 6 3" xfId="6272"/>
    <cellStyle name="Percent 2 2 4 2 6 3 2" xfId="50955"/>
    <cellStyle name="Percent 2 2 4 2 6 4" xfId="40505"/>
    <cellStyle name="Percent 2 2 4 2 6 4 2" xfId="55632"/>
    <cellStyle name="Percent 2 2 4 2 6 5" xfId="47151"/>
    <cellStyle name="Percent 2 2 4 2 7" xfId="4602"/>
    <cellStyle name="Percent 2 2 4 2 7 2" xfId="49289"/>
    <cellStyle name="Percent 2 2 4 2 8" xfId="11065"/>
    <cellStyle name="Percent 2 2 4 2 8 2" xfId="51319"/>
    <cellStyle name="Percent 2 2 4 2 9" xfId="2909"/>
    <cellStyle name="Percent 2 2 4 2 9 2" xfId="47603"/>
    <cellStyle name="Percent 2 2 4 3" xfId="344"/>
    <cellStyle name="Percent 2 2 4 3 10" xfId="45574"/>
    <cellStyle name="Percent 2 2 4 3 2" xfId="1398"/>
    <cellStyle name="Percent 2 2 4 3 2 2" xfId="5747"/>
    <cellStyle name="Percent 2 2 4 3 2 2 2" xfId="44733"/>
    <cellStyle name="Percent 2 2 4 3 2 2 2 2" xfId="59859"/>
    <cellStyle name="Percent 2 2 4 3 2 2 3" xfId="42497"/>
    <cellStyle name="Percent 2 2 4 3 2 2 3 2" xfId="57624"/>
    <cellStyle name="Percent 2 2 4 3 2 2 4" xfId="40217"/>
    <cellStyle name="Percent 2 2 4 3 2 2 4 2" xfId="55345"/>
    <cellStyle name="Percent 2 2 4 3 2 2 5" xfId="50432"/>
    <cellStyle name="Percent 2 2 4 3 2 3" xfId="12208"/>
    <cellStyle name="Percent 2 2 4 3 2 3 2" xfId="43167"/>
    <cellStyle name="Percent 2 2 4 3 2 3 2 2" xfId="58293"/>
    <cellStyle name="Percent 2 2 4 3 2 3 3" xfId="52462"/>
    <cellStyle name="Percent 2 2 4 3 2 4" xfId="3681"/>
    <cellStyle name="Percent 2 2 4 3 2 4 2" xfId="40931"/>
    <cellStyle name="Percent 2 2 4 3 2 4 2 2" xfId="56058"/>
    <cellStyle name="Percent 2 2 4 3 2 4 3" xfId="48374"/>
    <cellStyle name="Percent 2 2 4 3 2 5" xfId="39075"/>
    <cellStyle name="Percent 2 2 4 3 2 5 2" xfId="54206"/>
    <cellStyle name="Percent 2 2 4 3 2 6" xfId="46628"/>
    <cellStyle name="Percent 2 2 4 3 3" xfId="1609"/>
    <cellStyle name="Percent 2 2 4 3 3 2" xfId="5958"/>
    <cellStyle name="Percent 2 2 4 3 3 2 2" xfId="44382"/>
    <cellStyle name="Percent 2 2 4 3 3 2 2 2" xfId="59508"/>
    <cellStyle name="Percent 2 2 4 3 3 2 3" xfId="42146"/>
    <cellStyle name="Percent 2 2 4 3 3 2 3 2" xfId="57273"/>
    <cellStyle name="Percent 2 2 4 3 3 2 4" xfId="39866"/>
    <cellStyle name="Percent 2 2 4 3 3 2 4 2" xfId="54994"/>
    <cellStyle name="Percent 2 2 4 3 3 2 5" xfId="50643"/>
    <cellStyle name="Percent 2 2 4 3 3 3" xfId="12419"/>
    <cellStyle name="Percent 2 2 4 3 3 3 2" xfId="43518"/>
    <cellStyle name="Percent 2 2 4 3 3 3 2 2" xfId="58644"/>
    <cellStyle name="Percent 2 2 4 3 3 3 3" xfId="52673"/>
    <cellStyle name="Percent 2 2 4 3 3 4" xfId="3908"/>
    <cellStyle name="Percent 2 2 4 3 3 4 2" xfId="41282"/>
    <cellStyle name="Percent 2 2 4 3 3 4 2 2" xfId="56409"/>
    <cellStyle name="Percent 2 2 4 3 3 4 3" xfId="48601"/>
    <cellStyle name="Percent 2 2 4 3 3 5" xfId="38702"/>
    <cellStyle name="Percent 2 2 4 3 3 5 2" xfId="53855"/>
    <cellStyle name="Percent 2 2 4 3 3 6" xfId="46839"/>
    <cellStyle name="Percent 2 2 4 3 4" xfId="1096"/>
    <cellStyle name="Percent 2 2 4 3 4 2" xfId="5445"/>
    <cellStyle name="Percent 2 2 4 3 4 2 2" xfId="43944"/>
    <cellStyle name="Percent 2 2 4 3 4 2 2 2" xfId="59070"/>
    <cellStyle name="Percent 2 2 4 3 4 2 3" xfId="50130"/>
    <cellStyle name="Percent 2 2 4 3 4 3" xfId="11906"/>
    <cellStyle name="Percent 2 2 4 3 4 3 2" xfId="41708"/>
    <cellStyle name="Percent 2 2 4 3 4 3 2 2" xfId="56835"/>
    <cellStyle name="Percent 2 2 4 3 4 3 3" xfId="52160"/>
    <cellStyle name="Percent 2 2 4 3 4 4" xfId="4267"/>
    <cellStyle name="Percent 2 2 4 3 4 4 2" xfId="48957"/>
    <cellStyle name="Percent 2 2 4 3 4 5" xfId="39428"/>
    <cellStyle name="Percent 2 2 4 3 4 5 2" xfId="54556"/>
    <cellStyle name="Percent 2 2 4 3 4 6" xfId="46326"/>
    <cellStyle name="Percent 2 2 4 3 5" xfId="2001"/>
    <cellStyle name="Percent 2 2 4 3 5 2" xfId="12808"/>
    <cellStyle name="Percent 2 2 4 3 5 2 2" xfId="53061"/>
    <cellStyle name="Percent 2 2 4 3 5 3" xfId="6348"/>
    <cellStyle name="Percent 2 2 4 3 5 3 2" xfId="51031"/>
    <cellStyle name="Percent 2 2 4 3 5 4" xfId="42816"/>
    <cellStyle name="Percent 2 2 4 3 5 4 2" xfId="57943"/>
    <cellStyle name="Percent 2 2 4 3 5 5" xfId="47227"/>
    <cellStyle name="Percent 2 2 4 3 6" xfId="4693"/>
    <cellStyle name="Percent 2 2 4 3 6 2" xfId="40581"/>
    <cellStyle name="Percent 2 2 4 3 6 2 2" xfId="55708"/>
    <cellStyle name="Percent 2 2 4 3 6 3" xfId="49378"/>
    <cellStyle name="Percent 2 2 4 3 7" xfId="11154"/>
    <cellStyle name="Percent 2 2 4 3 7 2" xfId="51408"/>
    <cellStyle name="Percent 2 2 4 3 8" xfId="3331"/>
    <cellStyle name="Percent 2 2 4 3 8 2" xfId="48025"/>
    <cellStyle name="Percent 2 2 4 3 9" xfId="38217"/>
    <cellStyle name="Percent 2 2 4 3 9 2" xfId="53417"/>
    <cellStyle name="Percent 2 2 4 4" xfId="465"/>
    <cellStyle name="Percent 2 2 4 4 2" xfId="1730"/>
    <cellStyle name="Percent 2 2 4 4 2 2" xfId="6079"/>
    <cellStyle name="Percent 2 2 4 4 2 2 2" xfId="44809"/>
    <cellStyle name="Percent 2 2 4 4 2 2 2 2" xfId="59935"/>
    <cellStyle name="Percent 2 2 4 4 2 2 3" xfId="42573"/>
    <cellStyle name="Percent 2 2 4 4 2 2 3 2" xfId="57700"/>
    <cellStyle name="Percent 2 2 4 4 2 2 4" xfId="40293"/>
    <cellStyle name="Percent 2 2 4 4 2 2 4 2" xfId="55421"/>
    <cellStyle name="Percent 2 2 4 4 2 2 5" xfId="50764"/>
    <cellStyle name="Percent 2 2 4 4 2 3" xfId="12540"/>
    <cellStyle name="Percent 2 2 4 4 2 3 2" xfId="43243"/>
    <cellStyle name="Percent 2 2 4 4 2 3 2 2" xfId="58369"/>
    <cellStyle name="Percent 2 2 4 4 2 3 3" xfId="52794"/>
    <cellStyle name="Percent 2 2 4 4 2 4" xfId="4029"/>
    <cellStyle name="Percent 2 2 4 4 2 4 2" xfId="41007"/>
    <cellStyle name="Percent 2 2 4 4 2 4 2 2" xfId="56134"/>
    <cellStyle name="Percent 2 2 4 4 2 4 3" xfId="48722"/>
    <cellStyle name="Percent 2 2 4 4 2 5" xfId="39151"/>
    <cellStyle name="Percent 2 2 4 4 2 5 2" xfId="54282"/>
    <cellStyle name="Percent 2 2 4 4 2 6" xfId="46960"/>
    <cellStyle name="Percent 2 2 4 4 3" xfId="1217"/>
    <cellStyle name="Percent 2 2 4 4 3 2" xfId="5566"/>
    <cellStyle name="Percent 2 2 4 4 3 2 2" xfId="44458"/>
    <cellStyle name="Percent 2 2 4 4 3 2 2 2" xfId="59584"/>
    <cellStyle name="Percent 2 2 4 4 3 2 3" xfId="42222"/>
    <cellStyle name="Percent 2 2 4 4 3 2 3 2" xfId="57349"/>
    <cellStyle name="Percent 2 2 4 4 3 2 4" xfId="39942"/>
    <cellStyle name="Percent 2 2 4 4 3 2 4 2" xfId="55070"/>
    <cellStyle name="Percent 2 2 4 4 3 2 5" xfId="50251"/>
    <cellStyle name="Percent 2 2 4 4 3 3" xfId="12027"/>
    <cellStyle name="Percent 2 2 4 4 3 3 2" xfId="43594"/>
    <cellStyle name="Percent 2 2 4 4 3 3 2 2" xfId="58720"/>
    <cellStyle name="Percent 2 2 4 4 3 3 3" xfId="52281"/>
    <cellStyle name="Percent 2 2 4 4 3 4" xfId="4388"/>
    <cellStyle name="Percent 2 2 4 4 3 4 2" xfId="41358"/>
    <cellStyle name="Percent 2 2 4 4 3 4 2 2" xfId="56485"/>
    <cellStyle name="Percent 2 2 4 4 3 4 3" xfId="49078"/>
    <cellStyle name="Percent 2 2 4 4 3 5" xfId="38778"/>
    <cellStyle name="Percent 2 2 4 4 3 5 2" xfId="53931"/>
    <cellStyle name="Percent 2 2 4 4 3 6" xfId="46447"/>
    <cellStyle name="Percent 2 2 4 4 4" xfId="2078"/>
    <cellStyle name="Percent 2 2 4 4 4 2" xfId="12884"/>
    <cellStyle name="Percent 2 2 4 4 4 2 2" xfId="44020"/>
    <cellStyle name="Percent 2 2 4 4 4 2 2 2" xfId="59146"/>
    <cellStyle name="Percent 2 2 4 4 4 2 3" xfId="53137"/>
    <cellStyle name="Percent 2 2 4 4 4 3" xfId="6424"/>
    <cellStyle name="Percent 2 2 4 4 4 3 2" xfId="41784"/>
    <cellStyle name="Percent 2 2 4 4 4 3 2 2" xfId="56911"/>
    <cellStyle name="Percent 2 2 4 4 4 3 3" xfId="51107"/>
    <cellStyle name="Percent 2 2 4 4 4 4" xfId="39504"/>
    <cellStyle name="Percent 2 2 4 4 4 4 2" xfId="54632"/>
    <cellStyle name="Percent 2 2 4 4 4 5" xfId="47303"/>
    <cellStyle name="Percent 2 2 4 4 5" xfId="4814"/>
    <cellStyle name="Percent 2 2 4 4 5 2" xfId="42892"/>
    <cellStyle name="Percent 2 2 4 4 5 2 2" xfId="58019"/>
    <cellStyle name="Percent 2 2 4 4 5 3" xfId="49499"/>
    <cellStyle name="Percent 2 2 4 4 6" xfId="11275"/>
    <cellStyle name="Percent 2 2 4 4 6 2" xfId="40657"/>
    <cellStyle name="Percent 2 2 4 4 6 2 2" xfId="55784"/>
    <cellStyle name="Percent 2 2 4 4 6 3" xfId="51529"/>
    <cellStyle name="Percent 2 2 4 4 7" xfId="3452"/>
    <cellStyle name="Percent 2 2 4 4 7 2" xfId="48146"/>
    <cellStyle name="Percent 2 2 4 4 8" xfId="38293"/>
    <cellStyle name="Percent 2 2 4 4 8 2" xfId="53493"/>
    <cellStyle name="Percent 2 2 4 4 9" xfId="45695"/>
    <cellStyle name="Percent 2 2 4 5" xfId="918"/>
    <cellStyle name="Percent 2 2 4 5 2" xfId="5267"/>
    <cellStyle name="Percent 2 2 4 5 2 2" xfId="40065"/>
    <cellStyle name="Percent 2 2 4 5 2 2 2" xfId="44581"/>
    <cellStyle name="Percent 2 2 4 5 2 2 2 2" xfId="59707"/>
    <cellStyle name="Percent 2 2 4 5 2 2 3" xfId="42345"/>
    <cellStyle name="Percent 2 2 4 5 2 2 3 2" xfId="57472"/>
    <cellStyle name="Percent 2 2 4 5 2 2 4" xfId="55193"/>
    <cellStyle name="Percent 2 2 4 5 2 3" xfId="43689"/>
    <cellStyle name="Percent 2 2 4 5 2 3 2" xfId="58815"/>
    <cellStyle name="Percent 2 2 4 5 2 4" xfId="41453"/>
    <cellStyle name="Percent 2 2 4 5 2 4 2" xfId="56580"/>
    <cellStyle name="Percent 2 2 4 5 2 5" xfId="38922"/>
    <cellStyle name="Percent 2 2 4 5 2 5 2" xfId="54054"/>
    <cellStyle name="Percent 2 2 4 5 2 6" xfId="49952"/>
    <cellStyle name="Percent 2 2 4 5 3" xfId="11728"/>
    <cellStyle name="Percent 2 2 4 5 3 2" xfId="44104"/>
    <cellStyle name="Percent 2 2 4 5 3 2 2" xfId="59230"/>
    <cellStyle name="Percent 2 2 4 5 3 3" xfId="41868"/>
    <cellStyle name="Percent 2 2 4 5 3 3 2" xfId="56995"/>
    <cellStyle name="Percent 2 2 4 5 3 4" xfId="39588"/>
    <cellStyle name="Percent 2 2 4 5 3 4 2" xfId="54716"/>
    <cellStyle name="Percent 2 2 4 5 3 5" xfId="51982"/>
    <cellStyle name="Percent 2 2 4 5 4" xfId="3153"/>
    <cellStyle name="Percent 2 2 4 5 4 2" xfId="43015"/>
    <cellStyle name="Percent 2 2 4 5 4 2 2" xfId="58141"/>
    <cellStyle name="Percent 2 2 4 5 4 3" xfId="47847"/>
    <cellStyle name="Percent 2 2 4 5 5" xfId="40779"/>
    <cellStyle name="Percent 2 2 4 5 5 2" xfId="55906"/>
    <cellStyle name="Percent 2 2 4 5 6" xfId="38418"/>
    <cellStyle name="Percent 2 2 4 5 6 2" xfId="53577"/>
    <cellStyle name="Percent 2 2 4 5 7" xfId="46148"/>
    <cellStyle name="Percent 2 2 4 6" xfId="796"/>
    <cellStyle name="Percent 2 2 4 6 2" xfId="5145"/>
    <cellStyle name="Percent 2 2 4 6 2 2" xfId="44230"/>
    <cellStyle name="Percent 2 2 4 6 2 2 2" xfId="59356"/>
    <cellStyle name="Percent 2 2 4 6 2 3" xfId="41994"/>
    <cellStyle name="Percent 2 2 4 6 2 3 2" xfId="57121"/>
    <cellStyle name="Percent 2 2 4 6 2 4" xfId="39714"/>
    <cellStyle name="Percent 2 2 4 6 2 4 2" xfId="54842"/>
    <cellStyle name="Percent 2 2 4 6 2 5" xfId="49830"/>
    <cellStyle name="Percent 2 2 4 6 3" xfId="11606"/>
    <cellStyle name="Percent 2 2 4 6 3 2" xfId="43366"/>
    <cellStyle name="Percent 2 2 4 6 3 2 2" xfId="58492"/>
    <cellStyle name="Percent 2 2 4 6 3 3" xfId="51860"/>
    <cellStyle name="Percent 2 2 4 6 4" xfId="3031"/>
    <cellStyle name="Percent 2 2 4 6 4 2" xfId="41130"/>
    <cellStyle name="Percent 2 2 4 6 4 2 2" xfId="56257"/>
    <cellStyle name="Percent 2 2 4 6 4 3" xfId="47725"/>
    <cellStyle name="Percent 2 2 4 6 5" xfId="38548"/>
    <cellStyle name="Percent 2 2 4 6 5 2" xfId="53703"/>
    <cellStyle name="Percent 2 2 4 6 6" xfId="46026"/>
    <cellStyle name="Percent 2 2 4 7" xfId="586"/>
    <cellStyle name="Percent 2 2 4 7 2" xfId="4935"/>
    <cellStyle name="Percent 2 2 4 7 2 2" xfId="43792"/>
    <cellStyle name="Percent 2 2 4 7 2 2 2" xfId="58918"/>
    <cellStyle name="Percent 2 2 4 7 2 3" xfId="49620"/>
    <cellStyle name="Percent 2 2 4 7 3" xfId="11396"/>
    <cellStyle name="Percent 2 2 4 7 3 2" xfId="41556"/>
    <cellStyle name="Percent 2 2 4 7 3 2 2" xfId="56683"/>
    <cellStyle name="Percent 2 2 4 7 3 3" xfId="51650"/>
    <cellStyle name="Percent 2 2 4 7 4" xfId="3507"/>
    <cellStyle name="Percent 2 2 4 7 4 2" xfId="48201"/>
    <cellStyle name="Percent 2 2 4 7 5" xfId="39276"/>
    <cellStyle name="Percent 2 2 4 7 5 2" xfId="54404"/>
    <cellStyle name="Percent 2 2 4 7 6" xfId="45816"/>
    <cellStyle name="Percent 2 2 4 8" xfId="1846"/>
    <cellStyle name="Percent 2 2 4 8 2" xfId="12655"/>
    <cellStyle name="Percent 2 2 4 8 2 2" xfId="52909"/>
    <cellStyle name="Percent 2 2 4 8 3" xfId="6194"/>
    <cellStyle name="Percent 2 2 4 8 3 2" xfId="50879"/>
    <cellStyle name="Percent 2 2 4 8 4" xfId="42664"/>
    <cellStyle name="Percent 2 2 4 8 4 2" xfId="57791"/>
    <cellStyle name="Percent 2 2 4 8 5" xfId="47075"/>
    <cellStyle name="Percent 2 2 4 9" xfId="2661"/>
    <cellStyle name="Percent 2 2 4 9 2" xfId="4510"/>
    <cellStyle name="Percent 2 2 4 9 2 2" xfId="49200"/>
    <cellStyle name="Percent 2 2 4 9 3" xfId="40429"/>
    <cellStyle name="Percent 2 2 4 9 3 2" xfId="55556"/>
    <cellStyle name="Percent 2 2 4 9 4" xfId="47393"/>
    <cellStyle name="Percent 2 2 5" xfId="147"/>
    <cellStyle name="Percent 2 2 5 10" xfId="38058"/>
    <cellStyle name="Percent 2 2 5 10 2" xfId="53258"/>
    <cellStyle name="Percent 2 2 5 11" xfId="45389"/>
    <cellStyle name="Percent 2 2 5 2" xfId="458"/>
    <cellStyle name="Percent 2 2 5 2 2" xfId="1441"/>
    <cellStyle name="Percent 2 2 5 2 2 2" xfId="5790"/>
    <cellStyle name="Percent 2 2 5 2 2 2 2" xfId="44574"/>
    <cellStyle name="Percent 2 2 5 2 2 2 2 2" xfId="59700"/>
    <cellStyle name="Percent 2 2 5 2 2 2 3" xfId="50475"/>
    <cellStyle name="Percent 2 2 5 2 2 3" xfId="12251"/>
    <cellStyle name="Percent 2 2 5 2 2 3 2" xfId="42338"/>
    <cellStyle name="Percent 2 2 5 2 2 3 2 2" xfId="57465"/>
    <cellStyle name="Percent 2 2 5 2 2 3 3" xfId="52505"/>
    <cellStyle name="Percent 2 2 5 2 2 4" xfId="3724"/>
    <cellStyle name="Percent 2 2 5 2 2 4 2" xfId="48417"/>
    <cellStyle name="Percent 2 2 5 2 2 5" xfId="40058"/>
    <cellStyle name="Percent 2 2 5 2 2 5 2" xfId="55186"/>
    <cellStyle name="Percent 2 2 5 2 2 6" xfId="46671"/>
    <cellStyle name="Percent 2 2 5 2 3" xfId="1723"/>
    <cellStyle name="Percent 2 2 5 2 3 2" xfId="6072"/>
    <cellStyle name="Percent 2 2 5 2 3 2 2" xfId="50757"/>
    <cellStyle name="Percent 2 2 5 2 3 3" xfId="12533"/>
    <cellStyle name="Percent 2 2 5 2 3 3 2" xfId="52787"/>
    <cellStyle name="Percent 2 2 5 2 3 4" xfId="4022"/>
    <cellStyle name="Percent 2 2 5 2 3 4 2" xfId="48715"/>
    <cellStyle name="Percent 2 2 5 2 3 5" xfId="43008"/>
    <cellStyle name="Percent 2 2 5 2 3 5 2" xfId="58134"/>
    <cellStyle name="Percent 2 2 5 2 3 6" xfId="46953"/>
    <cellStyle name="Percent 2 2 5 2 4" xfId="1210"/>
    <cellStyle name="Percent 2 2 5 2 4 2" xfId="5559"/>
    <cellStyle name="Percent 2 2 5 2 4 2 2" xfId="50244"/>
    <cellStyle name="Percent 2 2 5 2 4 3" xfId="12020"/>
    <cellStyle name="Percent 2 2 5 2 4 3 2" xfId="52274"/>
    <cellStyle name="Percent 2 2 5 2 4 4" xfId="4381"/>
    <cellStyle name="Percent 2 2 5 2 4 4 2" xfId="49071"/>
    <cellStyle name="Percent 2 2 5 2 4 5" xfId="40772"/>
    <cellStyle name="Percent 2 2 5 2 4 5 2" xfId="55899"/>
    <cellStyle name="Percent 2 2 5 2 4 6" xfId="46440"/>
    <cellStyle name="Percent 2 2 5 2 5" xfId="4807"/>
    <cellStyle name="Percent 2 2 5 2 5 2" xfId="49492"/>
    <cellStyle name="Percent 2 2 5 2 6" xfId="11268"/>
    <cellStyle name="Percent 2 2 5 2 6 2" xfId="51522"/>
    <cellStyle name="Percent 2 2 5 2 7" xfId="3445"/>
    <cellStyle name="Percent 2 2 5 2 7 2" xfId="48139"/>
    <cellStyle name="Percent 2 2 5 2 8" xfId="38915"/>
    <cellStyle name="Percent 2 2 5 2 8 2" xfId="54047"/>
    <cellStyle name="Percent 2 2 5 2 9" xfId="45688"/>
    <cellStyle name="Percent 2 2 5 3" xfId="911"/>
    <cellStyle name="Percent 2 2 5 3 2" xfId="5260"/>
    <cellStyle name="Percent 2 2 5 3 2 2" xfId="44223"/>
    <cellStyle name="Percent 2 2 5 3 2 2 2" xfId="59349"/>
    <cellStyle name="Percent 2 2 5 3 2 3" xfId="41987"/>
    <cellStyle name="Percent 2 2 5 3 2 3 2" xfId="57114"/>
    <cellStyle name="Percent 2 2 5 3 2 4" xfId="39707"/>
    <cellStyle name="Percent 2 2 5 3 2 4 2" xfId="54835"/>
    <cellStyle name="Percent 2 2 5 3 2 5" xfId="49945"/>
    <cellStyle name="Percent 2 2 5 3 3" xfId="11721"/>
    <cellStyle name="Percent 2 2 5 3 3 2" xfId="43359"/>
    <cellStyle name="Percent 2 2 5 3 3 2 2" xfId="58485"/>
    <cellStyle name="Percent 2 2 5 3 3 3" xfId="51975"/>
    <cellStyle name="Percent 2 2 5 3 4" xfId="3146"/>
    <cellStyle name="Percent 2 2 5 3 4 2" xfId="41123"/>
    <cellStyle name="Percent 2 2 5 3 4 2 2" xfId="56250"/>
    <cellStyle name="Percent 2 2 5 3 4 3" xfId="47840"/>
    <cellStyle name="Percent 2 2 5 3 5" xfId="38541"/>
    <cellStyle name="Percent 2 2 5 3 5 2" xfId="53696"/>
    <cellStyle name="Percent 2 2 5 3 6" xfId="46141"/>
    <cellStyle name="Percent 2 2 5 4" xfId="789"/>
    <cellStyle name="Percent 2 2 5 4 2" xfId="5138"/>
    <cellStyle name="Percent 2 2 5 4 2 2" xfId="43785"/>
    <cellStyle name="Percent 2 2 5 4 2 2 2" xfId="58911"/>
    <cellStyle name="Percent 2 2 5 4 2 3" xfId="49823"/>
    <cellStyle name="Percent 2 2 5 4 3" xfId="11599"/>
    <cellStyle name="Percent 2 2 5 4 3 2" xfId="41549"/>
    <cellStyle name="Percent 2 2 5 4 3 2 2" xfId="56676"/>
    <cellStyle name="Percent 2 2 5 4 3 3" xfId="51853"/>
    <cellStyle name="Percent 2 2 5 4 4" xfId="3024"/>
    <cellStyle name="Percent 2 2 5 4 4 2" xfId="47718"/>
    <cellStyle name="Percent 2 2 5 4 5" xfId="39269"/>
    <cellStyle name="Percent 2 2 5 4 5 2" xfId="54397"/>
    <cellStyle name="Percent 2 2 5 4 6" xfId="46019"/>
    <cellStyle name="Percent 2 2 5 5" xfId="579"/>
    <cellStyle name="Percent 2 2 5 5 2" xfId="4928"/>
    <cellStyle name="Percent 2 2 5 5 2 2" xfId="49613"/>
    <cellStyle name="Percent 2 2 5 5 3" xfId="11389"/>
    <cellStyle name="Percent 2 2 5 5 3 2" xfId="51643"/>
    <cellStyle name="Percent 2 2 5 5 4" xfId="3492"/>
    <cellStyle name="Percent 2 2 5 5 4 2" xfId="48186"/>
    <cellStyle name="Percent 2 2 5 5 5" xfId="42657"/>
    <cellStyle name="Percent 2 2 5 5 5 2" xfId="57784"/>
    <cellStyle name="Percent 2 2 5 5 6" xfId="45809"/>
    <cellStyle name="Percent 2 2 5 6" xfId="1839"/>
    <cellStyle name="Percent 2 2 5 6 2" xfId="12648"/>
    <cellStyle name="Percent 2 2 5 6 2 2" xfId="52902"/>
    <cellStyle name="Percent 2 2 5 6 3" xfId="6187"/>
    <cellStyle name="Percent 2 2 5 6 3 2" xfId="50872"/>
    <cellStyle name="Percent 2 2 5 6 4" xfId="40422"/>
    <cellStyle name="Percent 2 2 5 6 4 2" xfId="55549"/>
    <cellStyle name="Percent 2 2 5 6 5" xfId="47068"/>
    <cellStyle name="Percent 2 2 5 7" xfId="4503"/>
    <cellStyle name="Percent 2 2 5 7 2" xfId="49193"/>
    <cellStyle name="Percent 2 2 5 8" xfId="10969"/>
    <cellStyle name="Percent 2 2 5 8 2" xfId="51223"/>
    <cellStyle name="Percent 2 2 5 9" xfId="2809"/>
    <cellStyle name="Percent 2 2 5 9 2" xfId="47507"/>
    <cellStyle name="Percent 2 2 6" xfId="246"/>
    <cellStyle name="Percent 2 2 6 10" xfId="38134"/>
    <cellStyle name="Percent 2 2 6 10 2" xfId="53334"/>
    <cellStyle name="Percent 2 2 6 11" xfId="45478"/>
    <cellStyle name="Percent 2 2 6 2" xfId="1000"/>
    <cellStyle name="Percent 2 2 6 2 2" xfId="5349"/>
    <cellStyle name="Percent 2 2 6 2 2 2" xfId="44650"/>
    <cellStyle name="Percent 2 2 6 2 2 2 2" xfId="59776"/>
    <cellStyle name="Percent 2 2 6 2 2 3" xfId="42414"/>
    <cellStyle name="Percent 2 2 6 2 2 3 2" xfId="57541"/>
    <cellStyle name="Percent 2 2 6 2 2 4" xfId="40134"/>
    <cellStyle name="Percent 2 2 6 2 2 4 2" xfId="55262"/>
    <cellStyle name="Percent 2 2 6 2 2 5" xfId="50034"/>
    <cellStyle name="Percent 2 2 6 2 3" xfId="11810"/>
    <cellStyle name="Percent 2 2 6 2 3 2" xfId="43084"/>
    <cellStyle name="Percent 2 2 6 2 3 2 2" xfId="58210"/>
    <cellStyle name="Percent 2 2 6 2 3 3" xfId="52064"/>
    <cellStyle name="Percent 2 2 6 2 4" xfId="3235"/>
    <cellStyle name="Percent 2 2 6 2 4 2" xfId="40848"/>
    <cellStyle name="Percent 2 2 6 2 4 2 2" xfId="55975"/>
    <cellStyle name="Percent 2 2 6 2 4 3" xfId="47929"/>
    <cellStyle name="Percent 2 2 6 2 5" xfId="38992"/>
    <cellStyle name="Percent 2 2 6 2 5 2" xfId="54123"/>
    <cellStyle name="Percent 2 2 6 2 6" xfId="46230"/>
    <cellStyle name="Percent 2 2 6 3" xfId="1302"/>
    <cellStyle name="Percent 2 2 6 3 2" xfId="5651"/>
    <cellStyle name="Percent 2 2 6 3 2 2" xfId="44299"/>
    <cellStyle name="Percent 2 2 6 3 2 2 2" xfId="59425"/>
    <cellStyle name="Percent 2 2 6 3 2 3" xfId="42063"/>
    <cellStyle name="Percent 2 2 6 3 2 3 2" xfId="57190"/>
    <cellStyle name="Percent 2 2 6 3 2 4" xfId="39783"/>
    <cellStyle name="Percent 2 2 6 3 2 4 2" xfId="54911"/>
    <cellStyle name="Percent 2 2 6 3 2 5" xfId="50336"/>
    <cellStyle name="Percent 2 2 6 3 3" xfId="12112"/>
    <cellStyle name="Percent 2 2 6 3 3 2" xfId="43435"/>
    <cellStyle name="Percent 2 2 6 3 3 2 2" xfId="58561"/>
    <cellStyle name="Percent 2 2 6 3 3 3" xfId="52366"/>
    <cellStyle name="Percent 2 2 6 3 4" xfId="3585"/>
    <cellStyle name="Percent 2 2 6 3 4 2" xfId="41199"/>
    <cellStyle name="Percent 2 2 6 3 4 2 2" xfId="56326"/>
    <cellStyle name="Percent 2 2 6 3 4 3" xfId="48278"/>
    <cellStyle name="Percent 2 2 6 3 5" xfId="38619"/>
    <cellStyle name="Percent 2 2 6 3 5 2" xfId="53772"/>
    <cellStyle name="Percent 2 2 6 3 6" xfId="46532"/>
    <cellStyle name="Percent 2 2 6 4" xfId="1513"/>
    <cellStyle name="Percent 2 2 6 4 2" xfId="5862"/>
    <cellStyle name="Percent 2 2 6 4 2 2" xfId="43861"/>
    <cellStyle name="Percent 2 2 6 4 2 2 2" xfId="58987"/>
    <cellStyle name="Percent 2 2 6 4 2 3" xfId="50547"/>
    <cellStyle name="Percent 2 2 6 4 3" xfId="12323"/>
    <cellStyle name="Percent 2 2 6 4 3 2" xfId="41625"/>
    <cellStyle name="Percent 2 2 6 4 3 2 2" xfId="56752"/>
    <cellStyle name="Percent 2 2 6 4 3 3" xfId="52577"/>
    <cellStyle name="Percent 2 2 6 4 4" xfId="3812"/>
    <cellStyle name="Percent 2 2 6 4 4 2" xfId="48505"/>
    <cellStyle name="Percent 2 2 6 4 5" xfId="39345"/>
    <cellStyle name="Percent 2 2 6 4 5 2" xfId="54473"/>
    <cellStyle name="Percent 2 2 6 4 6" xfId="46743"/>
    <cellStyle name="Percent 2 2 6 5" xfId="668"/>
    <cellStyle name="Percent 2 2 6 5 2" xfId="5017"/>
    <cellStyle name="Percent 2 2 6 5 2 2" xfId="49702"/>
    <cellStyle name="Percent 2 2 6 5 3" xfId="11478"/>
    <cellStyle name="Percent 2 2 6 5 3 2" xfId="51732"/>
    <cellStyle name="Percent 2 2 6 5 4" xfId="4171"/>
    <cellStyle name="Percent 2 2 6 5 4 2" xfId="48861"/>
    <cellStyle name="Percent 2 2 6 5 5" xfId="42733"/>
    <cellStyle name="Percent 2 2 6 5 5 2" xfId="57860"/>
    <cellStyle name="Percent 2 2 6 5 6" xfId="45898"/>
    <cellStyle name="Percent 2 2 6 6" xfId="1918"/>
    <cellStyle name="Percent 2 2 6 6 2" xfId="12725"/>
    <cellStyle name="Percent 2 2 6 6 2 2" xfId="52978"/>
    <cellStyle name="Percent 2 2 6 6 3" xfId="6265"/>
    <cellStyle name="Percent 2 2 6 6 3 2" xfId="50948"/>
    <cellStyle name="Percent 2 2 6 6 4" xfId="40498"/>
    <cellStyle name="Percent 2 2 6 6 4 2" xfId="55625"/>
    <cellStyle name="Percent 2 2 6 6 5" xfId="47144"/>
    <cellStyle name="Percent 2 2 6 7" xfId="4595"/>
    <cellStyle name="Percent 2 2 6 7 2" xfId="49282"/>
    <cellStyle name="Percent 2 2 6 8" xfId="11058"/>
    <cellStyle name="Percent 2 2 6 8 2" xfId="51312"/>
    <cellStyle name="Percent 2 2 6 9" xfId="2902"/>
    <cellStyle name="Percent 2 2 6 9 2" xfId="47596"/>
    <cellStyle name="Percent 2 2 7" xfId="337"/>
    <cellStyle name="Percent 2 2 7 10" xfId="45567"/>
    <cellStyle name="Percent 2 2 7 2" xfId="1391"/>
    <cellStyle name="Percent 2 2 7 2 2" xfId="5740"/>
    <cellStyle name="Percent 2 2 7 2 2 2" xfId="44726"/>
    <cellStyle name="Percent 2 2 7 2 2 2 2" xfId="59852"/>
    <cellStyle name="Percent 2 2 7 2 2 3" xfId="42490"/>
    <cellStyle name="Percent 2 2 7 2 2 3 2" xfId="57617"/>
    <cellStyle name="Percent 2 2 7 2 2 4" xfId="40210"/>
    <cellStyle name="Percent 2 2 7 2 2 4 2" xfId="55338"/>
    <cellStyle name="Percent 2 2 7 2 2 5" xfId="50425"/>
    <cellStyle name="Percent 2 2 7 2 3" xfId="12201"/>
    <cellStyle name="Percent 2 2 7 2 3 2" xfId="43160"/>
    <cellStyle name="Percent 2 2 7 2 3 2 2" xfId="58286"/>
    <cellStyle name="Percent 2 2 7 2 3 3" xfId="52455"/>
    <cellStyle name="Percent 2 2 7 2 4" xfId="3674"/>
    <cellStyle name="Percent 2 2 7 2 4 2" xfId="40924"/>
    <cellStyle name="Percent 2 2 7 2 4 2 2" xfId="56051"/>
    <cellStyle name="Percent 2 2 7 2 4 3" xfId="48367"/>
    <cellStyle name="Percent 2 2 7 2 5" xfId="39068"/>
    <cellStyle name="Percent 2 2 7 2 5 2" xfId="54199"/>
    <cellStyle name="Percent 2 2 7 2 6" xfId="46621"/>
    <cellStyle name="Percent 2 2 7 3" xfId="1602"/>
    <cellStyle name="Percent 2 2 7 3 2" xfId="5951"/>
    <cellStyle name="Percent 2 2 7 3 2 2" xfId="44375"/>
    <cellStyle name="Percent 2 2 7 3 2 2 2" xfId="59501"/>
    <cellStyle name="Percent 2 2 7 3 2 3" xfId="42139"/>
    <cellStyle name="Percent 2 2 7 3 2 3 2" xfId="57266"/>
    <cellStyle name="Percent 2 2 7 3 2 4" xfId="39859"/>
    <cellStyle name="Percent 2 2 7 3 2 4 2" xfId="54987"/>
    <cellStyle name="Percent 2 2 7 3 2 5" xfId="50636"/>
    <cellStyle name="Percent 2 2 7 3 3" xfId="12412"/>
    <cellStyle name="Percent 2 2 7 3 3 2" xfId="43511"/>
    <cellStyle name="Percent 2 2 7 3 3 2 2" xfId="58637"/>
    <cellStyle name="Percent 2 2 7 3 3 3" xfId="52666"/>
    <cellStyle name="Percent 2 2 7 3 4" xfId="3901"/>
    <cellStyle name="Percent 2 2 7 3 4 2" xfId="41275"/>
    <cellStyle name="Percent 2 2 7 3 4 2 2" xfId="56402"/>
    <cellStyle name="Percent 2 2 7 3 4 3" xfId="48594"/>
    <cellStyle name="Percent 2 2 7 3 5" xfId="38695"/>
    <cellStyle name="Percent 2 2 7 3 5 2" xfId="53848"/>
    <cellStyle name="Percent 2 2 7 3 6" xfId="46832"/>
    <cellStyle name="Percent 2 2 7 4" xfId="1089"/>
    <cellStyle name="Percent 2 2 7 4 2" xfId="5438"/>
    <cellStyle name="Percent 2 2 7 4 2 2" xfId="43937"/>
    <cellStyle name="Percent 2 2 7 4 2 2 2" xfId="59063"/>
    <cellStyle name="Percent 2 2 7 4 2 3" xfId="50123"/>
    <cellStyle name="Percent 2 2 7 4 3" xfId="11899"/>
    <cellStyle name="Percent 2 2 7 4 3 2" xfId="41701"/>
    <cellStyle name="Percent 2 2 7 4 3 2 2" xfId="56828"/>
    <cellStyle name="Percent 2 2 7 4 3 3" xfId="52153"/>
    <cellStyle name="Percent 2 2 7 4 4" xfId="4260"/>
    <cellStyle name="Percent 2 2 7 4 4 2" xfId="48950"/>
    <cellStyle name="Percent 2 2 7 4 5" xfId="39421"/>
    <cellStyle name="Percent 2 2 7 4 5 2" xfId="54549"/>
    <cellStyle name="Percent 2 2 7 4 6" xfId="46319"/>
    <cellStyle name="Percent 2 2 7 5" xfId="1994"/>
    <cellStyle name="Percent 2 2 7 5 2" xfId="12801"/>
    <cellStyle name="Percent 2 2 7 5 2 2" xfId="53054"/>
    <cellStyle name="Percent 2 2 7 5 3" xfId="6341"/>
    <cellStyle name="Percent 2 2 7 5 3 2" xfId="51024"/>
    <cellStyle name="Percent 2 2 7 5 4" xfId="42809"/>
    <cellStyle name="Percent 2 2 7 5 4 2" xfId="57936"/>
    <cellStyle name="Percent 2 2 7 5 5" xfId="47220"/>
    <cellStyle name="Percent 2 2 7 6" xfId="4686"/>
    <cellStyle name="Percent 2 2 7 6 2" xfId="40574"/>
    <cellStyle name="Percent 2 2 7 6 2 2" xfId="55701"/>
    <cellStyle name="Percent 2 2 7 6 3" xfId="49371"/>
    <cellStyle name="Percent 2 2 7 7" xfId="11147"/>
    <cellStyle name="Percent 2 2 7 7 2" xfId="51401"/>
    <cellStyle name="Percent 2 2 7 8" xfId="3324"/>
    <cellStyle name="Percent 2 2 7 8 2" xfId="48018"/>
    <cellStyle name="Percent 2 2 7 9" xfId="38210"/>
    <cellStyle name="Percent 2 2 7 9 2" xfId="53410"/>
    <cellStyle name="Percent 2 2 8" xfId="373"/>
    <cellStyle name="Percent 2 2 8 2" xfId="1638"/>
    <cellStyle name="Percent 2 2 8 2 2" xfId="5987"/>
    <cellStyle name="Percent 2 2 8 2 2 2" xfId="44802"/>
    <cellStyle name="Percent 2 2 8 2 2 2 2" xfId="59928"/>
    <cellStyle name="Percent 2 2 8 2 2 3" xfId="42566"/>
    <cellStyle name="Percent 2 2 8 2 2 3 2" xfId="57693"/>
    <cellStyle name="Percent 2 2 8 2 2 4" xfId="40286"/>
    <cellStyle name="Percent 2 2 8 2 2 4 2" xfId="55414"/>
    <cellStyle name="Percent 2 2 8 2 2 5" xfId="50672"/>
    <cellStyle name="Percent 2 2 8 2 3" xfId="12448"/>
    <cellStyle name="Percent 2 2 8 2 3 2" xfId="43236"/>
    <cellStyle name="Percent 2 2 8 2 3 2 2" xfId="58362"/>
    <cellStyle name="Percent 2 2 8 2 3 3" xfId="52702"/>
    <cellStyle name="Percent 2 2 8 2 4" xfId="3937"/>
    <cellStyle name="Percent 2 2 8 2 4 2" xfId="41000"/>
    <cellStyle name="Percent 2 2 8 2 4 2 2" xfId="56127"/>
    <cellStyle name="Percent 2 2 8 2 4 3" xfId="48630"/>
    <cellStyle name="Percent 2 2 8 2 5" xfId="39144"/>
    <cellStyle name="Percent 2 2 8 2 5 2" xfId="54275"/>
    <cellStyle name="Percent 2 2 8 2 6" xfId="46868"/>
    <cellStyle name="Percent 2 2 8 3" xfId="1125"/>
    <cellStyle name="Percent 2 2 8 3 2" xfId="5474"/>
    <cellStyle name="Percent 2 2 8 3 2 2" xfId="44451"/>
    <cellStyle name="Percent 2 2 8 3 2 2 2" xfId="59577"/>
    <cellStyle name="Percent 2 2 8 3 2 3" xfId="42215"/>
    <cellStyle name="Percent 2 2 8 3 2 3 2" xfId="57342"/>
    <cellStyle name="Percent 2 2 8 3 2 4" xfId="39935"/>
    <cellStyle name="Percent 2 2 8 3 2 4 2" xfId="55063"/>
    <cellStyle name="Percent 2 2 8 3 2 5" xfId="50159"/>
    <cellStyle name="Percent 2 2 8 3 3" xfId="11935"/>
    <cellStyle name="Percent 2 2 8 3 3 2" xfId="43587"/>
    <cellStyle name="Percent 2 2 8 3 3 2 2" xfId="58713"/>
    <cellStyle name="Percent 2 2 8 3 3 3" xfId="52189"/>
    <cellStyle name="Percent 2 2 8 3 4" xfId="4296"/>
    <cellStyle name="Percent 2 2 8 3 4 2" xfId="41351"/>
    <cellStyle name="Percent 2 2 8 3 4 2 2" xfId="56478"/>
    <cellStyle name="Percent 2 2 8 3 4 3" xfId="48986"/>
    <cellStyle name="Percent 2 2 8 3 5" xfId="38771"/>
    <cellStyle name="Percent 2 2 8 3 5 2" xfId="53924"/>
    <cellStyle name="Percent 2 2 8 3 6" xfId="46355"/>
    <cellStyle name="Percent 2 2 8 4" xfId="2071"/>
    <cellStyle name="Percent 2 2 8 4 2" xfId="12877"/>
    <cellStyle name="Percent 2 2 8 4 2 2" xfId="44013"/>
    <cellStyle name="Percent 2 2 8 4 2 2 2" xfId="59139"/>
    <cellStyle name="Percent 2 2 8 4 2 3" xfId="53130"/>
    <cellStyle name="Percent 2 2 8 4 3" xfId="6417"/>
    <cellStyle name="Percent 2 2 8 4 3 2" xfId="41777"/>
    <cellStyle name="Percent 2 2 8 4 3 2 2" xfId="56904"/>
    <cellStyle name="Percent 2 2 8 4 3 3" xfId="51100"/>
    <cellStyle name="Percent 2 2 8 4 4" xfId="39497"/>
    <cellStyle name="Percent 2 2 8 4 4 2" xfId="54625"/>
    <cellStyle name="Percent 2 2 8 4 5" xfId="47296"/>
    <cellStyle name="Percent 2 2 8 5" xfId="4722"/>
    <cellStyle name="Percent 2 2 8 5 2" xfId="42885"/>
    <cellStyle name="Percent 2 2 8 5 2 2" xfId="58012"/>
    <cellStyle name="Percent 2 2 8 5 3" xfId="49407"/>
    <cellStyle name="Percent 2 2 8 6" xfId="11183"/>
    <cellStyle name="Percent 2 2 8 6 2" xfId="40650"/>
    <cellStyle name="Percent 2 2 8 6 2 2" xfId="55777"/>
    <cellStyle name="Percent 2 2 8 6 3" xfId="51437"/>
    <cellStyle name="Percent 2 2 8 7" xfId="3360"/>
    <cellStyle name="Percent 2 2 8 7 2" xfId="48054"/>
    <cellStyle name="Percent 2 2 8 8" xfId="38286"/>
    <cellStyle name="Percent 2 2 8 8 2" xfId="53486"/>
    <cellStyle name="Percent 2 2 8 9" xfId="45603"/>
    <cellStyle name="Percent 2 2 9" xfId="825"/>
    <cellStyle name="Percent 2 2 9 2" xfId="5174"/>
    <cellStyle name="Percent 2 2 9 2 2" xfId="40322"/>
    <cellStyle name="Percent 2 2 9 2 2 2" xfId="44838"/>
    <cellStyle name="Percent 2 2 9 2 2 2 2" xfId="59964"/>
    <cellStyle name="Percent 2 2 9 2 2 3" xfId="42602"/>
    <cellStyle name="Percent 2 2 9 2 2 3 2" xfId="57729"/>
    <cellStyle name="Percent 2 2 9 2 2 4" xfId="55450"/>
    <cellStyle name="Percent 2 2 9 2 3" xfId="43272"/>
    <cellStyle name="Percent 2 2 9 2 3 2" xfId="58398"/>
    <cellStyle name="Percent 2 2 9 2 4" xfId="41036"/>
    <cellStyle name="Percent 2 2 9 2 4 2" xfId="56163"/>
    <cellStyle name="Percent 2 2 9 2 5" xfId="39181"/>
    <cellStyle name="Percent 2 2 9 2 5 2" xfId="54311"/>
    <cellStyle name="Percent 2 2 9 2 6" xfId="49859"/>
    <cellStyle name="Percent 2 2 9 3" xfId="11635"/>
    <cellStyle name="Percent 2 2 9 3 2" xfId="39971"/>
    <cellStyle name="Percent 2 2 9 3 2 2" xfId="44487"/>
    <cellStyle name="Percent 2 2 9 3 2 2 2" xfId="59613"/>
    <cellStyle name="Percent 2 2 9 3 2 3" xfId="42251"/>
    <cellStyle name="Percent 2 2 9 3 2 3 2" xfId="57378"/>
    <cellStyle name="Percent 2 2 9 3 2 4" xfId="55099"/>
    <cellStyle name="Percent 2 2 9 3 3" xfId="43623"/>
    <cellStyle name="Percent 2 2 9 3 3 2" xfId="58749"/>
    <cellStyle name="Percent 2 2 9 3 4" xfId="41387"/>
    <cellStyle name="Percent 2 2 9 3 4 2" xfId="56514"/>
    <cellStyle name="Percent 2 2 9 3 5" xfId="38807"/>
    <cellStyle name="Percent 2 2 9 3 5 2" xfId="53960"/>
    <cellStyle name="Percent 2 2 9 3 6" xfId="51889"/>
    <cellStyle name="Percent 2 2 9 4" xfId="3060"/>
    <cellStyle name="Percent 2 2 9 4 2" xfId="44049"/>
    <cellStyle name="Percent 2 2 9 4 2 2" xfId="59175"/>
    <cellStyle name="Percent 2 2 9 4 3" xfId="41813"/>
    <cellStyle name="Percent 2 2 9 4 3 2" xfId="56940"/>
    <cellStyle name="Percent 2 2 9 4 4" xfId="39533"/>
    <cellStyle name="Percent 2 2 9 4 4 2" xfId="54661"/>
    <cellStyle name="Percent 2 2 9 4 5" xfId="47754"/>
    <cellStyle name="Percent 2 2 9 5" xfId="42921"/>
    <cellStyle name="Percent 2 2 9 5 2" xfId="58048"/>
    <cellStyle name="Percent 2 2 9 6" xfId="40686"/>
    <cellStyle name="Percent 2 2 9 6 2" xfId="55813"/>
    <cellStyle name="Percent 2 2 9 7" xfId="38363"/>
    <cellStyle name="Percent 2 2 9 7 2" xfId="53522"/>
    <cellStyle name="Percent 2 2 9 8" xfId="46055"/>
    <cellStyle name="Percent 2 3" xfId="24"/>
    <cellStyle name="Percent 2 3 10" xfId="496"/>
    <cellStyle name="Percent 2 3 10 2" xfId="4845"/>
    <cellStyle name="Percent 2 3 10 2 2" xfId="43710"/>
    <cellStyle name="Percent 2 3 10 2 2 2" xfId="58836"/>
    <cellStyle name="Percent 2 3 10 2 3" xfId="49530"/>
    <cellStyle name="Percent 2 3 10 3" xfId="11306"/>
    <cellStyle name="Percent 2 3 10 3 2" xfId="41474"/>
    <cellStyle name="Percent 2 3 10 3 2 2" xfId="56601"/>
    <cellStyle name="Percent 2 3 10 3 3" xfId="51560"/>
    <cellStyle name="Percent 2 3 10 4" xfId="3520"/>
    <cellStyle name="Percent 2 3 10 4 2" xfId="48213"/>
    <cellStyle name="Percent 2 3 10 5" xfId="39194"/>
    <cellStyle name="Percent 2 3 10 5 2" xfId="54322"/>
    <cellStyle name="Percent 2 3 10 6" xfId="45726"/>
    <cellStyle name="Percent 2 3 11" xfId="1763"/>
    <cellStyle name="Percent 2 3 11 2" xfId="12573"/>
    <cellStyle name="Percent 2 3 11 2 2" xfId="52827"/>
    <cellStyle name="Percent 2 3 11 3" xfId="6112"/>
    <cellStyle name="Percent 2 3 11 3 2" xfId="50797"/>
    <cellStyle name="Percent 2 3 11 4" xfId="40336"/>
    <cellStyle name="Percent 2 3 11 4 2" xfId="55464"/>
    <cellStyle name="Percent 2 3 11 5" xfId="46993"/>
    <cellStyle name="Percent 2 3 12" xfId="2662"/>
    <cellStyle name="Percent 2 3 12 2" xfId="4419"/>
    <cellStyle name="Percent 2 3 12 2 2" xfId="49109"/>
    <cellStyle name="Percent 2 3 12 3" xfId="47394"/>
    <cellStyle name="Percent 2 3 13" xfId="10884"/>
    <cellStyle name="Percent 2 3 13 2" xfId="51139"/>
    <cellStyle name="Percent 2 3 14" xfId="2700"/>
    <cellStyle name="Percent 2 3 14 2" xfId="47424"/>
    <cellStyle name="Percent 2 3 15" xfId="37982"/>
    <cellStyle name="Percent 2 3 15 2" xfId="53183"/>
    <cellStyle name="Percent 2 3 16" xfId="45317"/>
    <cellStyle name="Percent 2 3 2" xfId="41"/>
    <cellStyle name="Percent 2 3 2 10" xfId="1781"/>
    <cellStyle name="Percent 2 3 2 10 2" xfId="12591"/>
    <cellStyle name="Percent 2 3 2 10 2 2" xfId="52845"/>
    <cellStyle name="Percent 2 3 2 10 3" xfId="6130"/>
    <cellStyle name="Percent 2 3 2 10 3 2" xfId="50815"/>
    <cellStyle name="Percent 2 3 2 10 4" xfId="40352"/>
    <cellStyle name="Percent 2 3 2 10 4 2" xfId="55480"/>
    <cellStyle name="Percent 2 3 2 10 5" xfId="47011"/>
    <cellStyle name="Percent 2 3 2 11" xfId="2663"/>
    <cellStyle name="Percent 2 3 2 11 2" xfId="4435"/>
    <cellStyle name="Percent 2 3 2 11 2 2" xfId="49125"/>
    <cellStyle name="Percent 2 3 2 11 3" xfId="47395"/>
    <cellStyle name="Percent 2 3 2 12" xfId="10900"/>
    <cellStyle name="Percent 2 3 2 12 2" xfId="51155"/>
    <cellStyle name="Percent 2 3 2 13" xfId="2716"/>
    <cellStyle name="Percent 2 3 2 13 2" xfId="47440"/>
    <cellStyle name="Percent 2 3 2 14" xfId="38000"/>
    <cellStyle name="Percent 2 3 2 14 2" xfId="53201"/>
    <cellStyle name="Percent 2 3 2 15" xfId="45333"/>
    <cellStyle name="Percent 2 3 2 2" xfId="157"/>
    <cellStyle name="Percent 2 3 2 2 10" xfId="10979"/>
    <cellStyle name="Percent 2 3 2 2 10 2" xfId="51233"/>
    <cellStyle name="Percent 2 3 2 2 11" xfId="2819"/>
    <cellStyle name="Percent 2 3 2 2 11 2" xfId="47517"/>
    <cellStyle name="Percent 2 3 2 2 12" xfId="38068"/>
    <cellStyle name="Percent 2 3 2 2 12 2" xfId="53268"/>
    <cellStyle name="Percent 2 3 2 2 13" xfId="45399"/>
    <cellStyle name="Percent 2 3 2 2 2" xfId="256"/>
    <cellStyle name="Percent 2 3 2 2 2 10" xfId="38144"/>
    <cellStyle name="Percent 2 3 2 2 2 10 2" xfId="53344"/>
    <cellStyle name="Percent 2 3 2 2 2 11" xfId="45488"/>
    <cellStyle name="Percent 2 3 2 2 2 2" xfId="1010"/>
    <cellStyle name="Percent 2 3 2 2 2 2 2" xfId="5359"/>
    <cellStyle name="Percent 2 3 2 2 2 2 2 2" xfId="44660"/>
    <cellStyle name="Percent 2 3 2 2 2 2 2 2 2" xfId="59786"/>
    <cellStyle name="Percent 2 3 2 2 2 2 2 3" xfId="42424"/>
    <cellStyle name="Percent 2 3 2 2 2 2 2 3 2" xfId="57551"/>
    <cellStyle name="Percent 2 3 2 2 2 2 2 4" xfId="40144"/>
    <cellStyle name="Percent 2 3 2 2 2 2 2 4 2" xfId="55272"/>
    <cellStyle name="Percent 2 3 2 2 2 2 2 5" xfId="50044"/>
    <cellStyle name="Percent 2 3 2 2 2 2 3" xfId="11820"/>
    <cellStyle name="Percent 2 3 2 2 2 2 3 2" xfId="43094"/>
    <cellStyle name="Percent 2 3 2 2 2 2 3 2 2" xfId="58220"/>
    <cellStyle name="Percent 2 3 2 2 2 2 3 3" xfId="52074"/>
    <cellStyle name="Percent 2 3 2 2 2 2 4" xfId="3245"/>
    <cellStyle name="Percent 2 3 2 2 2 2 4 2" xfId="40858"/>
    <cellStyle name="Percent 2 3 2 2 2 2 4 2 2" xfId="55985"/>
    <cellStyle name="Percent 2 3 2 2 2 2 4 3" xfId="47939"/>
    <cellStyle name="Percent 2 3 2 2 2 2 5" xfId="39002"/>
    <cellStyle name="Percent 2 3 2 2 2 2 5 2" xfId="54133"/>
    <cellStyle name="Percent 2 3 2 2 2 2 6" xfId="46240"/>
    <cellStyle name="Percent 2 3 2 2 2 3" xfId="1312"/>
    <cellStyle name="Percent 2 3 2 2 2 3 2" xfId="5661"/>
    <cellStyle name="Percent 2 3 2 2 2 3 2 2" xfId="44309"/>
    <cellStyle name="Percent 2 3 2 2 2 3 2 2 2" xfId="59435"/>
    <cellStyle name="Percent 2 3 2 2 2 3 2 3" xfId="42073"/>
    <cellStyle name="Percent 2 3 2 2 2 3 2 3 2" xfId="57200"/>
    <cellStyle name="Percent 2 3 2 2 2 3 2 4" xfId="39793"/>
    <cellStyle name="Percent 2 3 2 2 2 3 2 4 2" xfId="54921"/>
    <cellStyle name="Percent 2 3 2 2 2 3 2 5" xfId="50346"/>
    <cellStyle name="Percent 2 3 2 2 2 3 3" xfId="12122"/>
    <cellStyle name="Percent 2 3 2 2 2 3 3 2" xfId="43445"/>
    <cellStyle name="Percent 2 3 2 2 2 3 3 2 2" xfId="58571"/>
    <cellStyle name="Percent 2 3 2 2 2 3 3 3" xfId="52376"/>
    <cellStyle name="Percent 2 3 2 2 2 3 4" xfId="3595"/>
    <cellStyle name="Percent 2 3 2 2 2 3 4 2" xfId="41209"/>
    <cellStyle name="Percent 2 3 2 2 2 3 4 2 2" xfId="56336"/>
    <cellStyle name="Percent 2 3 2 2 2 3 4 3" xfId="48288"/>
    <cellStyle name="Percent 2 3 2 2 2 3 5" xfId="38629"/>
    <cellStyle name="Percent 2 3 2 2 2 3 5 2" xfId="53782"/>
    <cellStyle name="Percent 2 3 2 2 2 3 6" xfId="46542"/>
    <cellStyle name="Percent 2 3 2 2 2 4" xfId="1523"/>
    <cellStyle name="Percent 2 3 2 2 2 4 2" xfId="5872"/>
    <cellStyle name="Percent 2 3 2 2 2 4 2 2" xfId="43871"/>
    <cellStyle name="Percent 2 3 2 2 2 4 2 2 2" xfId="58997"/>
    <cellStyle name="Percent 2 3 2 2 2 4 2 3" xfId="50557"/>
    <cellStyle name="Percent 2 3 2 2 2 4 3" xfId="12333"/>
    <cellStyle name="Percent 2 3 2 2 2 4 3 2" xfId="41635"/>
    <cellStyle name="Percent 2 3 2 2 2 4 3 2 2" xfId="56762"/>
    <cellStyle name="Percent 2 3 2 2 2 4 3 3" xfId="52587"/>
    <cellStyle name="Percent 2 3 2 2 2 4 4" xfId="3822"/>
    <cellStyle name="Percent 2 3 2 2 2 4 4 2" xfId="48515"/>
    <cellStyle name="Percent 2 3 2 2 2 4 5" xfId="39355"/>
    <cellStyle name="Percent 2 3 2 2 2 4 5 2" xfId="54483"/>
    <cellStyle name="Percent 2 3 2 2 2 4 6" xfId="46753"/>
    <cellStyle name="Percent 2 3 2 2 2 5" xfId="678"/>
    <cellStyle name="Percent 2 3 2 2 2 5 2" xfId="5027"/>
    <cellStyle name="Percent 2 3 2 2 2 5 2 2" xfId="49712"/>
    <cellStyle name="Percent 2 3 2 2 2 5 3" xfId="11488"/>
    <cellStyle name="Percent 2 3 2 2 2 5 3 2" xfId="51742"/>
    <cellStyle name="Percent 2 3 2 2 2 5 4" xfId="4181"/>
    <cellStyle name="Percent 2 3 2 2 2 5 4 2" xfId="48871"/>
    <cellStyle name="Percent 2 3 2 2 2 5 5" xfId="42743"/>
    <cellStyle name="Percent 2 3 2 2 2 5 5 2" xfId="57870"/>
    <cellStyle name="Percent 2 3 2 2 2 5 6" xfId="45908"/>
    <cellStyle name="Percent 2 3 2 2 2 6" xfId="1928"/>
    <cellStyle name="Percent 2 3 2 2 2 6 2" xfId="12735"/>
    <cellStyle name="Percent 2 3 2 2 2 6 2 2" xfId="52988"/>
    <cellStyle name="Percent 2 3 2 2 2 6 3" xfId="6275"/>
    <cellStyle name="Percent 2 3 2 2 2 6 3 2" xfId="50958"/>
    <cellStyle name="Percent 2 3 2 2 2 6 4" xfId="40508"/>
    <cellStyle name="Percent 2 3 2 2 2 6 4 2" xfId="55635"/>
    <cellStyle name="Percent 2 3 2 2 2 6 5" xfId="47154"/>
    <cellStyle name="Percent 2 3 2 2 2 7" xfId="4605"/>
    <cellStyle name="Percent 2 3 2 2 2 7 2" xfId="49292"/>
    <cellStyle name="Percent 2 3 2 2 2 8" xfId="11068"/>
    <cellStyle name="Percent 2 3 2 2 2 8 2" xfId="51322"/>
    <cellStyle name="Percent 2 3 2 2 2 9" xfId="2912"/>
    <cellStyle name="Percent 2 3 2 2 2 9 2" xfId="47606"/>
    <cellStyle name="Percent 2 3 2 2 3" xfId="347"/>
    <cellStyle name="Percent 2 3 2 2 3 10" xfId="45577"/>
    <cellStyle name="Percent 2 3 2 2 3 2" xfId="1401"/>
    <cellStyle name="Percent 2 3 2 2 3 2 2" xfId="5750"/>
    <cellStyle name="Percent 2 3 2 2 3 2 2 2" xfId="44736"/>
    <cellStyle name="Percent 2 3 2 2 3 2 2 2 2" xfId="59862"/>
    <cellStyle name="Percent 2 3 2 2 3 2 2 3" xfId="42500"/>
    <cellStyle name="Percent 2 3 2 2 3 2 2 3 2" xfId="57627"/>
    <cellStyle name="Percent 2 3 2 2 3 2 2 4" xfId="40220"/>
    <cellStyle name="Percent 2 3 2 2 3 2 2 4 2" xfId="55348"/>
    <cellStyle name="Percent 2 3 2 2 3 2 2 5" xfId="50435"/>
    <cellStyle name="Percent 2 3 2 2 3 2 3" xfId="12211"/>
    <cellStyle name="Percent 2 3 2 2 3 2 3 2" xfId="43170"/>
    <cellStyle name="Percent 2 3 2 2 3 2 3 2 2" xfId="58296"/>
    <cellStyle name="Percent 2 3 2 2 3 2 3 3" xfId="52465"/>
    <cellStyle name="Percent 2 3 2 2 3 2 4" xfId="3684"/>
    <cellStyle name="Percent 2 3 2 2 3 2 4 2" xfId="40934"/>
    <cellStyle name="Percent 2 3 2 2 3 2 4 2 2" xfId="56061"/>
    <cellStyle name="Percent 2 3 2 2 3 2 4 3" xfId="48377"/>
    <cellStyle name="Percent 2 3 2 2 3 2 5" xfId="39078"/>
    <cellStyle name="Percent 2 3 2 2 3 2 5 2" xfId="54209"/>
    <cellStyle name="Percent 2 3 2 2 3 2 6" xfId="46631"/>
    <cellStyle name="Percent 2 3 2 2 3 3" xfId="1612"/>
    <cellStyle name="Percent 2 3 2 2 3 3 2" xfId="5961"/>
    <cellStyle name="Percent 2 3 2 2 3 3 2 2" xfId="44385"/>
    <cellStyle name="Percent 2 3 2 2 3 3 2 2 2" xfId="59511"/>
    <cellStyle name="Percent 2 3 2 2 3 3 2 3" xfId="42149"/>
    <cellStyle name="Percent 2 3 2 2 3 3 2 3 2" xfId="57276"/>
    <cellStyle name="Percent 2 3 2 2 3 3 2 4" xfId="39869"/>
    <cellStyle name="Percent 2 3 2 2 3 3 2 4 2" xfId="54997"/>
    <cellStyle name="Percent 2 3 2 2 3 3 2 5" xfId="50646"/>
    <cellStyle name="Percent 2 3 2 2 3 3 3" xfId="12422"/>
    <cellStyle name="Percent 2 3 2 2 3 3 3 2" xfId="43521"/>
    <cellStyle name="Percent 2 3 2 2 3 3 3 2 2" xfId="58647"/>
    <cellStyle name="Percent 2 3 2 2 3 3 3 3" xfId="52676"/>
    <cellStyle name="Percent 2 3 2 2 3 3 4" xfId="3911"/>
    <cellStyle name="Percent 2 3 2 2 3 3 4 2" xfId="41285"/>
    <cellStyle name="Percent 2 3 2 2 3 3 4 2 2" xfId="56412"/>
    <cellStyle name="Percent 2 3 2 2 3 3 4 3" xfId="48604"/>
    <cellStyle name="Percent 2 3 2 2 3 3 5" xfId="38705"/>
    <cellStyle name="Percent 2 3 2 2 3 3 5 2" xfId="53858"/>
    <cellStyle name="Percent 2 3 2 2 3 3 6" xfId="46842"/>
    <cellStyle name="Percent 2 3 2 2 3 4" xfId="1099"/>
    <cellStyle name="Percent 2 3 2 2 3 4 2" xfId="5448"/>
    <cellStyle name="Percent 2 3 2 2 3 4 2 2" xfId="43947"/>
    <cellStyle name="Percent 2 3 2 2 3 4 2 2 2" xfId="59073"/>
    <cellStyle name="Percent 2 3 2 2 3 4 2 3" xfId="50133"/>
    <cellStyle name="Percent 2 3 2 2 3 4 3" xfId="11909"/>
    <cellStyle name="Percent 2 3 2 2 3 4 3 2" xfId="41711"/>
    <cellStyle name="Percent 2 3 2 2 3 4 3 2 2" xfId="56838"/>
    <cellStyle name="Percent 2 3 2 2 3 4 3 3" xfId="52163"/>
    <cellStyle name="Percent 2 3 2 2 3 4 4" xfId="4270"/>
    <cellStyle name="Percent 2 3 2 2 3 4 4 2" xfId="48960"/>
    <cellStyle name="Percent 2 3 2 2 3 4 5" xfId="39431"/>
    <cellStyle name="Percent 2 3 2 2 3 4 5 2" xfId="54559"/>
    <cellStyle name="Percent 2 3 2 2 3 4 6" xfId="46329"/>
    <cellStyle name="Percent 2 3 2 2 3 5" xfId="2004"/>
    <cellStyle name="Percent 2 3 2 2 3 5 2" xfId="12811"/>
    <cellStyle name="Percent 2 3 2 2 3 5 2 2" xfId="53064"/>
    <cellStyle name="Percent 2 3 2 2 3 5 3" xfId="6351"/>
    <cellStyle name="Percent 2 3 2 2 3 5 3 2" xfId="51034"/>
    <cellStyle name="Percent 2 3 2 2 3 5 4" xfId="42819"/>
    <cellStyle name="Percent 2 3 2 2 3 5 4 2" xfId="57946"/>
    <cellStyle name="Percent 2 3 2 2 3 5 5" xfId="47230"/>
    <cellStyle name="Percent 2 3 2 2 3 6" xfId="4696"/>
    <cellStyle name="Percent 2 3 2 2 3 6 2" xfId="40584"/>
    <cellStyle name="Percent 2 3 2 2 3 6 2 2" xfId="55711"/>
    <cellStyle name="Percent 2 3 2 2 3 6 3" xfId="49381"/>
    <cellStyle name="Percent 2 3 2 2 3 7" xfId="11157"/>
    <cellStyle name="Percent 2 3 2 2 3 7 2" xfId="51411"/>
    <cellStyle name="Percent 2 3 2 2 3 8" xfId="3334"/>
    <cellStyle name="Percent 2 3 2 2 3 8 2" xfId="48028"/>
    <cellStyle name="Percent 2 3 2 2 3 9" xfId="38220"/>
    <cellStyle name="Percent 2 3 2 2 3 9 2" xfId="53420"/>
    <cellStyle name="Percent 2 3 2 2 4" xfId="468"/>
    <cellStyle name="Percent 2 3 2 2 4 2" xfId="1733"/>
    <cellStyle name="Percent 2 3 2 2 4 2 2" xfId="6082"/>
    <cellStyle name="Percent 2 3 2 2 4 2 2 2" xfId="44812"/>
    <cellStyle name="Percent 2 3 2 2 4 2 2 2 2" xfId="59938"/>
    <cellStyle name="Percent 2 3 2 2 4 2 2 3" xfId="42576"/>
    <cellStyle name="Percent 2 3 2 2 4 2 2 3 2" xfId="57703"/>
    <cellStyle name="Percent 2 3 2 2 4 2 2 4" xfId="40296"/>
    <cellStyle name="Percent 2 3 2 2 4 2 2 4 2" xfId="55424"/>
    <cellStyle name="Percent 2 3 2 2 4 2 2 5" xfId="50767"/>
    <cellStyle name="Percent 2 3 2 2 4 2 3" xfId="12543"/>
    <cellStyle name="Percent 2 3 2 2 4 2 3 2" xfId="43246"/>
    <cellStyle name="Percent 2 3 2 2 4 2 3 2 2" xfId="58372"/>
    <cellStyle name="Percent 2 3 2 2 4 2 3 3" xfId="52797"/>
    <cellStyle name="Percent 2 3 2 2 4 2 4" xfId="4032"/>
    <cellStyle name="Percent 2 3 2 2 4 2 4 2" xfId="41010"/>
    <cellStyle name="Percent 2 3 2 2 4 2 4 2 2" xfId="56137"/>
    <cellStyle name="Percent 2 3 2 2 4 2 4 3" xfId="48725"/>
    <cellStyle name="Percent 2 3 2 2 4 2 5" xfId="39154"/>
    <cellStyle name="Percent 2 3 2 2 4 2 5 2" xfId="54285"/>
    <cellStyle name="Percent 2 3 2 2 4 2 6" xfId="46963"/>
    <cellStyle name="Percent 2 3 2 2 4 3" xfId="1220"/>
    <cellStyle name="Percent 2 3 2 2 4 3 2" xfId="5569"/>
    <cellStyle name="Percent 2 3 2 2 4 3 2 2" xfId="44461"/>
    <cellStyle name="Percent 2 3 2 2 4 3 2 2 2" xfId="59587"/>
    <cellStyle name="Percent 2 3 2 2 4 3 2 3" xfId="42225"/>
    <cellStyle name="Percent 2 3 2 2 4 3 2 3 2" xfId="57352"/>
    <cellStyle name="Percent 2 3 2 2 4 3 2 4" xfId="39945"/>
    <cellStyle name="Percent 2 3 2 2 4 3 2 4 2" xfId="55073"/>
    <cellStyle name="Percent 2 3 2 2 4 3 2 5" xfId="50254"/>
    <cellStyle name="Percent 2 3 2 2 4 3 3" xfId="12030"/>
    <cellStyle name="Percent 2 3 2 2 4 3 3 2" xfId="43597"/>
    <cellStyle name="Percent 2 3 2 2 4 3 3 2 2" xfId="58723"/>
    <cellStyle name="Percent 2 3 2 2 4 3 3 3" xfId="52284"/>
    <cellStyle name="Percent 2 3 2 2 4 3 4" xfId="4391"/>
    <cellStyle name="Percent 2 3 2 2 4 3 4 2" xfId="41361"/>
    <cellStyle name="Percent 2 3 2 2 4 3 4 2 2" xfId="56488"/>
    <cellStyle name="Percent 2 3 2 2 4 3 4 3" xfId="49081"/>
    <cellStyle name="Percent 2 3 2 2 4 3 5" xfId="38781"/>
    <cellStyle name="Percent 2 3 2 2 4 3 5 2" xfId="53934"/>
    <cellStyle name="Percent 2 3 2 2 4 3 6" xfId="46450"/>
    <cellStyle name="Percent 2 3 2 2 4 4" xfId="2081"/>
    <cellStyle name="Percent 2 3 2 2 4 4 2" xfId="12887"/>
    <cellStyle name="Percent 2 3 2 2 4 4 2 2" xfId="44023"/>
    <cellStyle name="Percent 2 3 2 2 4 4 2 2 2" xfId="59149"/>
    <cellStyle name="Percent 2 3 2 2 4 4 2 3" xfId="53140"/>
    <cellStyle name="Percent 2 3 2 2 4 4 3" xfId="6427"/>
    <cellStyle name="Percent 2 3 2 2 4 4 3 2" xfId="41787"/>
    <cellStyle name="Percent 2 3 2 2 4 4 3 2 2" xfId="56914"/>
    <cellStyle name="Percent 2 3 2 2 4 4 3 3" xfId="51110"/>
    <cellStyle name="Percent 2 3 2 2 4 4 4" xfId="39507"/>
    <cellStyle name="Percent 2 3 2 2 4 4 4 2" xfId="54635"/>
    <cellStyle name="Percent 2 3 2 2 4 4 5" xfId="47306"/>
    <cellStyle name="Percent 2 3 2 2 4 5" xfId="4817"/>
    <cellStyle name="Percent 2 3 2 2 4 5 2" xfId="42895"/>
    <cellStyle name="Percent 2 3 2 2 4 5 2 2" xfId="58022"/>
    <cellStyle name="Percent 2 3 2 2 4 5 3" xfId="49502"/>
    <cellStyle name="Percent 2 3 2 2 4 6" xfId="11278"/>
    <cellStyle name="Percent 2 3 2 2 4 6 2" xfId="40660"/>
    <cellStyle name="Percent 2 3 2 2 4 6 2 2" xfId="55787"/>
    <cellStyle name="Percent 2 3 2 2 4 6 3" xfId="51532"/>
    <cellStyle name="Percent 2 3 2 2 4 7" xfId="3455"/>
    <cellStyle name="Percent 2 3 2 2 4 7 2" xfId="48149"/>
    <cellStyle name="Percent 2 3 2 2 4 8" xfId="38296"/>
    <cellStyle name="Percent 2 3 2 2 4 8 2" xfId="53496"/>
    <cellStyle name="Percent 2 3 2 2 4 9" xfId="45698"/>
    <cellStyle name="Percent 2 3 2 2 5" xfId="921"/>
    <cellStyle name="Percent 2 3 2 2 5 2" xfId="5270"/>
    <cellStyle name="Percent 2 3 2 2 5 2 2" xfId="40068"/>
    <cellStyle name="Percent 2 3 2 2 5 2 2 2" xfId="44584"/>
    <cellStyle name="Percent 2 3 2 2 5 2 2 2 2" xfId="59710"/>
    <cellStyle name="Percent 2 3 2 2 5 2 2 3" xfId="42348"/>
    <cellStyle name="Percent 2 3 2 2 5 2 2 3 2" xfId="57475"/>
    <cellStyle name="Percent 2 3 2 2 5 2 2 4" xfId="55196"/>
    <cellStyle name="Percent 2 3 2 2 5 2 3" xfId="43690"/>
    <cellStyle name="Percent 2 3 2 2 5 2 3 2" xfId="58816"/>
    <cellStyle name="Percent 2 3 2 2 5 2 4" xfId="41454"/>
    <cellStyle name="Percent 2 3 2 2 5 2 4 2" xfId="56581"/>
    <cellStyle name="Percent 2 3 2 2 5 2 5" xfId="38925"/>
    <cellStyle name="Percent 2 3 2 2 5 2 5 2" xfId="54057"/>
    <cellStyle name="Percent 2 3 2 2 5 2 6" xfId="49955"/>
    <cellStyle name="Percent 2 3 2 2 5 3" xfId="11731"/>
    <cellStyle name="Percent 2 3 2 2 5 3 2" xfId="44107"/>
    <cellStyle name="Percent 2 3 2 2 5 3 2 2" xfId="59233"/>
    <cellStyle name="Percent 2 3 2 2 5 3 3" xfId="41871"/>
    <cellStyle name="Percent 2 3 2 2 5 3 3 2" xfId="56998"/>
    <cellStyle name="Percent 2 3 2 2 5 3 4" xfId="39591"/>
    <cellStyle name="Percent 2 3 2 2 5 3 4 2" xfId="54719"/>
    <cellStyle name="Percent 2 3 2 2 5 3 5" xfId="51985"/>
    <cellStyle name="Percent 2 3 2 2 5 4" xfId="3156"/>
    <cellStyle name="Percent 2 3 2 2 5 4 2" xfId="43018"/>
    <cellStyle name="Percent 2 3 2 2 5 4 2 2" xfId="58144"/>
    <cellStyle name="Percent 2 3 2 2 5 4 3" xfId="47850"/>
    <cellStyle name="Percent 2 3 2 2 5 5" xfId="40782"/>
    <cellStyle name="Percent 2 3 2 2 5 5 2" xfId="55909"/>
    <cellStyle name="Percent 2 3 2 2 5 6" xfId="38421"/>
    <cellStyle name="Percent 2 3 2 2 5 6 2" xfId="53580"/>
    <cellStyle name="Percent 2 3 2 2 5 7" xfId="46151"/>
    <cellStyle name="Percent 2 3 2 2 6" xfId="799"/>
    <cellStyle name="Percent 2 3 2 2 6 2" xfId="5148"/>
    <cellStyle name="Percent 2 3 2 2 6 2 2" xfId="44233"/>
    <cellStyle name="Percent 2 3 2 2 6 2 2 2" xfId="59359"/>
    <cellStyle name="Percent 2 3 2 2 6 2 3" xfId="41997"/>
    <cellStyle name="Percent 2 3 2 2 6 2 3 2" xfId="57124"/>
    <cellStyle name="Percent 2 3 2 2 6 2 4" xfId="39717"/>
    <cellStyle name="Percent 2 3 2 2 6 2 4 2" xfId="54845"/>
    <cellStyle name="Percent 2 3 2 2 6 2 5" xfId="49833"/>
    <cellStyle name="Percent 2 3 2 2 6 3" xfId="11609"/>
    <cellStyle name="Percent 2 3 2 2 6 3 2" xfId="43369"/>
    <cellStyle name="Percent 2 3 2 2 6 3 2 2" xfId="58495"/>
    <cellStyle name="Percent 2 3 2 2 6 3 3" xfId="51863"/>
    <cellStyle name="Percent 2 3 2 2 6 4" xfId="3034"/>
    <cellStyle name="Percent 2 3 2 2 6 4 2" xfId="41133"/>
    <cellStyle name="Percent 2 3 2 2 6 4 2 2" xfId="56260"/>
    <cellStyle name="Percent 2 3 2 2 6 4 3" xfId="47728"/>
    <cellStyle name="Percent 2 3 2 2 6 5" xfId="38551"/>
    <cellStyle name="Percent 2 3 2 2 6 5 2" xfId="53706"/>
    <cellStyle name="Percent 2 3 2 2 6 6" xfId="46029"/>
    <cellStyle name="Percent 2 3 2 2 7" xfId="589"/>
    <cellStyle name="Percent 2 3 2 2 7 2" xfId="4938"/>
    <cellStyle name="Percent 2 3 2 2 7 2 2" xfId="43795"/>
    <cellStyle name="Percent 2 3 2 2 7 2 2 2" xfId="58921"/>
    <cellStyle name="Percent 2 3 2 2 7 2 3" xfId="49623"/>
    <cellStyle name="Percent 2 3 2 2 7 3" xfId="11399"/>
    <cellStyle name="Percent 2 3 2 2 7 3 2" xfId="41559"/>
    <cellStyle name="Percent 2 3 2 2 7 3 2 2" xfId="56686"/>
    <cellStyle name="Percent 2 3 2 2 7 3 3" xfId="51653"/>
    <cellStyle name="Percent 2 3 2 2 7 4" xfId="4092"/>
    <cellStyle name="Percent 2 3 2 2 7 4 2" xfId="48783"/>
    <cellStyle name="Percent 2 3 2 2 7 5" xfId="39279"/>
    <cellStyle name="Percent 2 3 2 2 7 5 2" xfId="54407"/>
    <cellStyle name="Percent 2 3 2 2 7 6" xfId="45819"/>
    <cellStyle name="Percent 2 3 2 2 8" xfId="1849"/>
    <cellStyle name="Percent 2 3 2 2 8 2" xfId="12658"/>
    <cellStyle name="Percent 2 3 2 2 8 2 2" xfId="52912"/>
    <cellStyle name="Percent 2 3 2 2 8 3" xfId="6197"/>
    <cellStyle name="Percent 2 3 2 2 8 3 2" xfId="50882"/>
    <cellStyle name="Percent 2 3 2 2 8 4" xfId="42667"/>
    <cellStyle name="Percent 2 3 2 2 8 4 2" xfId="57794"/>
    <cellStyle name="Percent 2 3 2 2 8 5" xfId="47078"/>
    <cellStyle name="Percent 2 3 2 2 9" xfId="2664"/>
    <cellStyle name="Percent 2 3 2 2 9 2" xfId="4513"/>
    <cellStyle name="Percent 2 3 2 2 9 2 2" xfId="49203"/>
    <cellStyle name="Percent 2 3 2 2 9 3" xfId="40432"/>
    <cellStyle name="Percent 2 3 2 2 9 3 2" xfId="55559"/>
    <cellStyle name="Percent 2 3 2 2 9 4" xfId="47396"/>
    <cellStyle name="Percent 2 3 2 3" xfId="156"/>
    <cellStyle name="Percent 2 3 2 3 10" xfId="38067"/>
    <cellStyle name="Percent 2 3 2 3 10 2" xfId="53267"/>
    <cellStyle name="Percent 2 3 2 3 11" xfId="45398"/>
    <cellStyle name="Percent 2 3 2 3 2" xfId="467"/>
    <cellStyle name="Percent 2 3 2 3 2 2" xfId="1446"/>
    <cellStyle name="Percent 2 3 2 3 2 2 2" xfId="5795"/>
    <cellStyle name="Percent 2 3 2 3 2 2 2 2" xfId="44583"/>
    <cellStyle name="Percent 2 3 2 3 2 2 2 2 2" xfId="59709"/>
    <cellStyle name="Percent 2 3 2 3 2 2 2 3" xfId="50480"/>
    <cellStyle name="Percent 2 3 2 3 2 2 3" xfId="12256"/>
    <cellStyle name="Percent 2 3 2 3 2 2 3 2" xfId="42347"/>
    <cellStyle name="Percent 2 3 2 3 2 2 3 2 2" xfId="57474"/>
    <cellStyle name="Percent 2 3 2 3 2 2 3 3" xfId="52510"/>
    <cellStyle name="Percent 2 3 2 3 2 2 4" xfId="3729"/>
    <cellStyle name="Percent 2 3 2 3 2 2 4 2" xfId="48422"/>
    <cellStyle name="Percent 2 3 2 3 2 2 5" xfId="40067"/>
    <cellStyle name="Percent 2 3 2 3 2 2 5 2" xfId="55195"/>
    <cellStyle name="Percent 2 3 2 3 2 2 6" xfId="46676"/>
    <cellStyle name="Percent 2 3 2 3 2 3" xfId="1732"/>
    <cellStyle name="Percent 2 3 2 3 2 3 2" xfId="6081"/>
    <cellStyle name="Percent 2 3 2 3 2 3 2 2" xfId="50766"/>
    <cellStyle name="Percent 2 3 2 3 2 3 3" xfId="12542"/>
    <cellStyle name="Percent 2 3 2 3 2 3 3 2" xfId="52796"/>
    <cellStyle name="Percent 2 3 2 3 2 3 4" xfId="4031"/>
    <cellStyle name="Percent 2 3 2 3 2 3 4 2" xfId="48724"/>
    <cellStyle name="Percent 2 3 2 3 2 3 5" xfId="43017"/>
    <cellStyle name="Percent 2 3 2 3 2 3 5 2" xfId="58143"/>
    <cellStyle name="Percent 2 3 2 3 2 3 6" xfId="46962"/>
    <cellStyle name="Percent 2 3 2 3 2 4" xfId="1219"/>
    <cellStyle name="Percent 2 3 2 3 2 4 2" xfId="5568"/>
    <cellStyle name="Percent 2 3 2 3 2 4 2 2" xfId="50253"/>
    <cellStyle name="Percent 2 3 2 3 2 4 3" xfId="12029"/>
    <cellStyle name="Percent 2 3 2 3 2 4 3 2" xfId="52283"/>
    <cellStyle name="Percent 2 3 2 3 2 4 4" xfId="4390"/>
    <cellStyle name="Percent 2 3 2 3 2 4 4 2" xfId="49080"/>
    <cellStyle name="Percent 2 3 2 3 2 4 5" xfId="40781"/>
    <cellStyle name="Percent 2 3 2 3 2 4 5 2" xfId="55908"/>
    <cellStyle name="Percent 2 3 2 3 2 4 6" xfId="46449"/>
    <cellStyle name="Percent 2 3 2 3 2 5" xfId="4816"/>
    <cellStyle name="Percent 2 3 2 3 2 5 2" xfId="49501"/>
    <cellStyle name="Percent 2 3 2 3 2 6" xfId="11277"/>
    <cellStyle name="Percent 2 3 2 3 2 6 2" xfId="51531"/>
    <cellStyle name="Percent 2 3 2 3 2 7" xfId="3454"/>
    <cellStyle name="Percent 2 3 2 3 2 7 2" xfId="48148"/>
    <cellStyle name="Percent 2 3 2 3 2 8" xfId="38924"/>
    <cellStyle name="Percent 2 3 2 3 2 8 2" xfId="54056"/>
    <cellStyle name="Percent 2 3 2 3 2 9" xfId="45697"/>
    <cellStyle name="Percent 2 3 2 3 3" xfId="920"/>
    <cellStyle name="Percent 2 3 2 3 3 2" xfId="5269"/>
    <cellStyle name="Percent 2 3 2 3 3 2 2" xfId="44232"/>
    <cellStyle name="Percent 2 3 2 3 3 2 2 2" xfId="59358"/>
    <cellStyle name="Percent 2 3 2 3 3 2 3" xfId="41996"/>
    <cellStyle name="Percent 2 3 2 3 3 2 3 2" xfId="57123"/>
    <cellStyle name="Percent 2 3 2 3 3 2 4" xfId="39716"/>
    <cellStyle name="Percent 2 3 2 3 3 2 4 2" xfId="54844"/>
    <cellStyle name="Percent 2 3 2 3 3 2 5" xfId="49954"/>
    <cellStyle name="Percent 2 3 2 3 3 3" xfId="11730"/>
    <cellStyle name="Percent 2 3 2 3 3 3 2" xfId="43368"/>
    <cellStyle name="Percent 2 3 2 3 3 3 2 2" xfId="58494"/>
    <cellStyle name="Percent 2 3 2 3 3 3 3" xfId="51984"/>
    <cellStyle name="Percent 2 3 2 3 3 4" xfId="3155"/>
    <cellStyle name="Percent 2 3 2 3 3 4 2" xfId="41132"/>
    <cellStyle name="Percent 2 3 2 3 3 4 2 2" xfId="56259"/>
    <cellStyle name="Percent 2 3 2 3 3 4 3" xfId="47849"/>
    <cellStyle name="Percent 2 3 2 3 3 5" xfId="38550"/>
    <cellStyle name="Percent 2 3 2 3 3 5 2" xfId="53705"/>
    <cellStyle name="Percent 2 3 2 3 3 6" xfId="46150"/>
    <cellStyle name="Percent 2 3 2 3 4" xfId="798"/>
    <cellStyle name="Percent 2 3 2 3 4 2" xfId="5147"/>
    <cellStyle name="Percent 2 3 2 3 4 2 2" xfId="43794"/>
    <cellStyle name="Percent 2 3 2 3 4 2 2 2" xfId="58920"/>
    <cellStyle name="Percent 2 3 2 3 4 2 3" xfId="49832"/>
    <cellStyle name="Percent 2 3 2 3 4 3" xfId="11608"/>
    <cellStyle name="Percent 2 3 2 3 4 3 2" xfId="41558"/>
    <cellStyle name="Percent 2 3 2 3 4 3 2 2" xfId="56685"/>
    <cellStyle name="Percent 2 3 2 3 4 3 3" xfId="51862"/>
    <cellStyle name="Percent 2 3 2 3 4 4" xfId="3033"/>
    <cellStyle name="Percent 2 3 2 3 4 4 2" xfId="47727"/>
    <cellStyle name="Percent 2 3 2 3 4 5" xfId="39278"/>
    <cellStyle name="Percent 2 3 2 3 4 5 2" xfId="54406"/>
    <cellStyle name="Percent 2 3 2 3 4 6" xfId="46028"/>
    <cellStyle name="Percent 2 3 2 3 5" xfId="588"/>
    <cellStyle name="Percent 2 3 2 3 5 2" xfId="4937"/>
    <cellStyle name="Percent 2 3 2 3 5 2 2" xfId="49622"/>
    <cellStyle name="Percent 2 3 2 3 5 3" xfId="11398"/>
    <cellStyle name="Percent 2 3 2 3 5 3 2" xfId="51652"/>
    <cellStyle name="Percent 2 3 2 3 5 4" xfId="4055"/>
    <cellStyle name="Percent 2 3 2 3 5 4 2" xfId="48747"/>
    <cellStyle name="Percent 2 3 2 3 5 5" xfId="42666"/>
    <cellStyle name="Percent 2 3 2 3 5 5 2" xfId="57793"/>
    <cellStyle name="Percent 2 3 2 3 5 6" xfId="45818"/>
    <cellStyle name="Percent 2 3 2 3 6" xfId="1848"/>
    <cellStyle name="Percent 2 3 2 3 6 2" xfId="12657"/>
    <cellStyle name="Percent 2 3 2 3 6 2 2" xfId="52911"/>
    <cellStyle name="Percent 2 3 2 3 6 3" xfId="6196"/>
    <cellStyle name="Percent 2 3 2 3 6 3 2" xfId="50881"/>
    <cellStyle name="Percent 2 3 2 3 6 4" xfId="40431"/>
    <cellStyle name="Percent 2 3 2 3 6 4 2" xfId="55558"/>
    <cellStyle name="Percent 2 3 2 3 6 5" xfId="47077"/>
    <cellStyle name="Percent 2 3 2 3 7" xfId="4512"/>
    <cellStyle name="Percent 2 3 2 3 7 2" xfId="49202"/>
    <cellStyle name="Percent 2 3 2 3 8" xfId="10978"/>
    <cellStyle name="Percent 2 3 2 3 8 2" xfId="51232"/>
    <cellStyle name="Percent 2 3 2 3 9" xfId="2818"/>
    <cellStyle name="Percent 2 3 2 3 9 2" xfId="47516"/>
    <cellStyle name="Percent 2 3 2 4" xfId="255"/>
    <cellStyle name="Percent 2 3 2 4 10" xfId="38143"/>
    <cellStyle name="Percent 2 3 2 4 10 2" xfId="53343"/>
    <cellStyle name="Percent 2 3 2 4 11" xfId="45487"/>
    <cellStyle name="Percent 2 3 2 4 2" xfId="1009"/>
    <cellStyle name="Percent 2 3 2 4 2 2" xfId="5358"/>
    <cellStyle name="Percent 2 3 2 4 2 2 2" xfId="44659"/>
    <cellStyle name="Percent 2 3 2 4 2 2 2 2" xfId="59785"/>
    <cellStyle name="Percent 2 3 2 4 2 2 3" xfId="42423"/>
    <cellStyle name="Percent 2 3 2 4 2 2 3 2" xfId="57550"/>
    <cellStyle name="Percent 2 3 2 4 2 2 4" xfId="40143"/>
    <cellStyle name="Percent 2 3 2 4 2 2 4 2" xfId="55271"/>
    <cellStyle name="Percent 2 3 2 4 2 2 5" xfId="50043"/>
    <cellStyle name="Percent 2 3 2 4 2 3" xfId="11819"/>
    <cellStyle name="Percent 2 3 2 4 2 3 2" xfId="43093"/>
    <cellStyle name="Percent 2 3 2 4 2 3 2 2" xfId="58219"/>
    <cellStyle name="Percent 2 3 2 4 2 3 3" xfId="52073"/>
    <cellStyle name="Percent 2 3 2 4 2 4" xfId="3244"/>
    <cellStyle name="Percent 2 3 2 4 2 4 2" xfId="40857"/>
    <cellStyle name="Percent 2 3 2 4 2 4 2 2" xfId="55984"/>
    <cellStyle name="Percent 2 3 2 4 2 4 3" xfId="47938"/>
    <cellStyle name="Percent 2 3 2 4 2 5" xfId="39001"/>
    <cellStyle name="Percent 2 3 2 4 2 5 2" xfId="54132"/>
    <cellStyle name="Percent 2 3 2 4 2 6" xfId="46239"/>
    <cellStyle name="Percent 2 3 2 4 3" xfId="1311"/>
    <cellStyle name="Percent 2 3 2 4 3 2" xfId="5660"/>
    <cellStyle name="Percent 2 3 2 4 3 2 2" xfId="44308"/>
    <cellStyle name="Percent 2 3 2 4 3 2 2 2" xfId="59434"/>
    <cellStyle name="Percent 2 3 2 4 3 2 3" xfId="42072"/>
    <cellStyle name="Percent 2 3 2 4 3 2 3 2" xfId="57199"/>
    <cellStyle name="Percent 2 3 2 4 3 2 4" xfId="39792"/>
    <cellStyle name="Percent 2 3 2 4 3 2 4 2" xfId="54920"/>
    <cellStyle name="Percent 2 3 2 4 3 2 5" xfId="50345"/>
    <cellStyle name="Percent 2 3 2 4 3 3" xfId="12121"/>
    <cellStyle name="Percent 2 3 2 4 3 3 2" xfId="43444"/>
    <cellStyle name="Percent 2 3 2 4 3 3 2 2" xfId="58570"/>
    <cellStyle name="Percent 2 3 2 4 3 3 3" xfId="52375"/>
    <cellStyle name="Percent 2 3 2 4 3 4" xfId="3594"/>
    <cellStyle name="Percent 2 3 2 4 3 4 2" xfId="41208"/>
    <cellStyle name="Percent 2 3 2 4 3 4 2 2" xfId="56335"/>
    <cellStyle name="Percent 2 3 2 4 3 4 3" xfId="48287"/>
    <cellStyle name="Percent 2 3 2 4 3 5" xfId="38628"/>
    <cellStyle name="Percent 2 3 2 4 3 5 2" xfId="53781"/>
    <cellStyle name="Percent 2 3 2 4 3 6" xfId="46541"/>
    <cellStyle name="Percent 2 3 2 4 4" xfId="1522"/>
    <cellStyle name="Percent 2 3 2 4 4 2" xfId="5871"/>
    <cellStyle name="Percent 2 3 2 4 4 2 2" xfId="43870"/>
    <cellStyle name="Percent 2 3 2 4 4 2 2 2" xfId="58996"/>
    <cellStyle name="Percent 2 3 2 4 4 2 3" xfId="50556"/>
    <cellStyle name="Percent 2 3 2 4 4 3" xfId="12332"/>
    <cellStyle name="Percent 2 3 2 4 4 3 2" xfId="41634"/>
    <cellStyle name="Percent 2 3 2 4 4 3 2 2" xfId="56761"/>
    <cellStyle name="Percent 2 3 2 4 4 3 3" xfId="52586"/>
    <cellStyle name="Percent 2 3 2 4 4 4" xfId="3821"/>
    <cellStyle name="Percent 2 3 2 4 4 4 2" xfId="48514"/>
    <cellStyle name="Percent 2 3 2 4 4 5" xfId="39354"/>
    <cellStyle name="Percent 2 3 2 4 4 5 2" xfId="54482"/>
    <cellStyle name="Percent 2 3 2 4 4 6" xfId="46752"/>
    <cellStyle name="Percent 2 3 2 4 5" xfId="677"/>
    <cellStyle name="Percent 2 3 2 4 5 2" xfId="5026"/>
    <cellStyle name="Percent 2 3 2 4 5 2 2" xfId="49711"/>
    <cellStyle name="Percent 2 3 2 4 5 3" xfId="11487"/>
    <cellStyle name="Percent 2 3 2 4 5 3 2" xfId="51741"/>
    <cellStyle name="Percent 2 3 2 4 5 4" xfId="4180"/>
    <cellStyle name="Percent 2 3 2 4 5 4 2" xfId="48870"/>
    <cellStyle name="Percent 2 3 2 4 5 5" xfId="42742"/>
    <cellStyle name="Percent 2 3 2 4 5 5 2" xfId="57869"/>
    <cellStyle name="Percent 2 3 2 4 5 6" xfId="45907"/>
    <cellStyle name="Percent 2 3 2 4 6" xfId="1927"/>
    <cellStyle name="Percent 2 3 2 4 6 2" xfId="12734"/>
    <cellStyle name="Percent 2 3 2 4 6 2 2" xfId="52987"/>
    <cellStyle name="Percent 2 3 2 4 6 3" xfId="6274"/>
    <cellStyle name="Percent 2 3 2 4 6 3 2" xfId="50957"/>
    <cellStyle name="Percent 2 3 2 4 6 4" xfId="40507"/>
    <cellStyle name="Percent 2 3 2 4 6 4 2" xfId="55634"/>
    <cellStyle name="Percent 2 3 2 4 6 5" xfId="47153"/>
    <cellStyle name="Percent 2 3 2 4 7" xfId="4604"/>
    <cellStyle name="Percent 2 3 2 4 7 2" xfId="49291"/>
    <cellStyle name="Percent 2 3 2 4 8" xfId="11067"/>
    <cellStyle name="Percent 2 3 2 4 8 2" xfId="51321"/>
    <cellStyle name="Percent 2 3 2 4 9" xfId="2911"/>
    <cellStyle name="Percent 2 3 2 4 9 2" xfId="47605"/>
    <cellStyle name="Percent 2 3 2 5" xfId="346"/>
    <cellStyle name="Percent 2 3 2 5 10" xfId="45576"/>
    <cellStyle name="Percent 2 3 2 5 2" xfId="1400"/>
    <cellStyle name="Percent 2 3 2 5 2 2" xfId="5749"/>
    <cellStyle name="Percent 2 3 2 5 2 2 2" xfId="44735"/>
    <cellStyle name="Percent 2 3 2 5 2 2 2 2" xfId="59861"/>
    <cellStyle name="Percent 2 3 2 5 2 2 3" xfId="42499"/>
    <cellStyle name="Percent 2 3 2 5 2 2 3 2" xfId="57626"/>
    <cellStyle name="Percent 2 3 2 5 2 2 4" xfId="40219"/>
    <cellStyle name="Percent 2 3 2 5 2 2 4 2" xfId="55347"/>
    <cellStyle name="Percent 2 3 2 5 2 2 5" xfId="50434"/>
    <cellStyle name="Percent 2 3 2 5 2 3" xfId="12210"/>
    <cellStyle name="Percent 2 3 2 5 2 3 2" xfId="43169"/>
    <cellStyle name="Percent 2 3 2 5 2 3 2 2" xfId="58295"/>
    <cellStyle name="Percent 2 3 2 5 2 3 3" xfId="52464"/>
    <cellStyle name="Percent 2 3 2 5 2 4" xfId="3683"/>
    <cellStyle name="Percent 2 3 2 5 2 4 2" xfId="40933"/>
    <cellStyle name="Percent 2 3 2 5 2 4 2 2" xfId="56060"/>
    <cellStyle name="Percent 2 3 2 5 2 4 3" xfId="48376"/>
    <cellStyle name="Percent 2 3 2 5 2 5" xfId="39077"/>
    <cellStyle name="Percent 2 3 2 5 2 5 2" xfId="54208"/>
    <cellStyle name="Percent 2 3 2 5 2 6" xfId="46630"/>
    <cellStyle name="Percent 2 3 2 5 3" xfId="1611"/>
    <cellStyle name="Percent 2 3 2 5 3 2" xfId="5960"/>
    <cellStyle name="Percent 2 3 2 5 3 2 2" xfId="44384"/>
    <cellStyle name="Percent 2 3 2 5 3 2 2 2" xfId="59510"/>
    <cellStyle name="Percent 2 3 2 5 3 2 3" xfId="42148"/>
    <cellStyle name="Percent 2 3 2 5 3 2 3 2" xfId="57275"/>
    <cellStyle name="Percent 2 3 2 5 3 2 4" xfId="39868"/>
    <cellStyle name="Percent 2 3 2 5 3 2 4 2" xfId="54996"/>
    <cellStyle name="Percent 2 3 2 5 3 2 5" xfId="50645"/>
    <cellStyle name="Percent 2 3 2 5 3 3" xfId="12421"/>
    <cellStyle name="Percent 2 3 2 5 3 3 2" xfId="43520"/>
    <cellStyle name="Percent 2 3 2 5 3 3 2 2" xfId="58646"/>
    <cellStyle name="Percent 2 3 2 5 3 3 3" xfId="52675"/>
    <cellStyle name="Percent 2 3 2 5 3 4" xfId="3910"/>
    <cellStyle name="Percent 2 3 2 5 3 4 2" xfId="41284"/>
    <cellStyle name="Percent 2 3 2 5 3 4 2 2" xfId="56411"/>
    <cellStyle name="Percent 2 3 2 5 3 4 3" xfId="48603"/>
    <cellStyle name="Percent 2 3 2 5 3 5" xfId="38704"/>
    <cellStyle name="Percent 2 3 2 5 3 5 2" xfId="53857"/>
    <cellStyle name="Percent 2 3 2 5 3 6" xfId="46841"/>
    <cellStyle name="Percent 2 3 2 5 4" xfId="1098"/>
    <cellStyle name="Percent 2 3 2 5 4 2" xfId="5447"/>
    <cellStyle name="Percent 2 3 2 5 4 2 2" xfId="43946"/>
    <cellStyle name="Percent 2 3 2 5 4 2 2 2" xfId="59072"/>
    <cellStyle name="Percent 2 3 2 5 4 2 3" xfId="50132"/>
    <cellStyle name="Percent 2 3 2 5 4 3" xfId="11908"/>
    <cellStyle name="Percent 2 3 2 5 4 3 2" xfId="41710"/>
    <cellStyle name="Percent 2 3 2 5 4 3 2 2" xfId="56837"/>
    <cellStyle name="Percent 2 3 2 5 4 3 3" xfId="52162"/>
    <cellStyle name="Percent 2 3 2 5 4 4" xfId="4269"/>
    <cellStyle name="Percent 2 3 2 5 4 4 2" xfId="48959"/>
    <cellStyle name="Percent 2 3 2 5 4 5" xfId="39430"/>
    <cellStyle name="Percent 2 3 2 5 4 5 2" xfId="54558"/>
    <cellStyle name="Percent 2 3 2 5 4 6" xfId="46328"/>
    <cellStyle name="Percent 2 3 2 5 5" xfId="2003"/>
    <cellStyle name="Percent 2 3 2 5 5 2" xfId="12810"/>
    <cellStyle name="Percent 2 3 2 5 5 2 2" xfId="53063"/>
    <cellStyle name="Percent 2 3 2 5 5 3" xfId="6350"/>
    <cellStyle name="Percent 2 3 2 5 5 3 2" xfId="51033"/>
    <cellStyle name="Percent 2 3 2 5 5 4" xfId="42818"/>
    <cellStyle name="Percent 2 3 2 5 5 4 2" xfId="57945"/>
    <cellStyle name="Percent 2 3 2 5 5 5" xfId="47229"/>
    <cellStyle name="Percent 2 3 2 5 6" xfId="4695"/>
    <cellStyle name="Percent 2 3 2 5 6 2" xfId="40583"/>
    <cellStyle name="Percent 2 3 2 5 6 2 2" xfId="55710"/>
    <cellStyle name="Percent 2 3 2 5 6 3" xfId="49380"/>
    <cellStyle name="Percent 2 3 2 5 7" xfId="11156"/>
    <cellStyle name="Percent 2 3 2 5 7 2" xfId="51410"/>
    <cellStyle name="Percent 2 3 2 5 8" xfId="3333"/>
    <cellStyle name="Percent 2 3 2 5 8 2" xfId="48027"/>
    <cellStyle name="Percent 2 3 2 5 9" xfId="38219"/>
    <cellStyle name="Percent 2 3 2 5 9 2" xfId="53419"/>
    <cellStyle name="Percent 2 3 2 6" xfId="391"/>
    <cellStyle name="Percent 2 3 2 6 2" xfId="1656"/>
    <cellStyle name="Percent 2 3 2 6 2 2" xfId="6005"/>
    <cellStyle name="Percent 2 3 2 6 2 2 2" xfId="44811"/>
    <cellStyle name="Percent 2 3 2 6 2 2 2 2" xfId="59937"/>
    <cellStyle name="Percent 2 3 2 6 2 2 3" xfId="42575"/>
    <cellStyle name="Percent 2 3 2 6 2 2 3 2" xfId="57702"/>
    <cellStyle name="Percent 2 3 2 6 2 2 4" xfId="40295"/>
    <cellStyle name="Percent 2 3 2 6 2 2 4 2" xfId="55423"/>
    <cellStyle name="Percent 2 3 2 6 2 2 5" xfId="50690"/>
    <cellStyle name="Percent 2 3 2 6 2 3" xfId="12466"/>
    <cellStyle name="Percent 2 3 2 6 2 3 2" xfId="43245"/>
    <cellStyle name="Percent 2 3 2 6 2 3 2 2" xfId="58371"/>
    <cellStyle name="Percent 2 3 2 6 2 3 3" xfId="52720"/>
    <cellStyle name="Percent 2 3 2 6 2 4" xfId="3955"/>
    <cellStyle name="Percent 2 3 2 6 2 4 2" xfId="41009"/>
    <cellStyle name="Percent 2 3 2 6 2 4 2 2" xfId="56136"/>
    <cellStyle name="Percent 2 3 2 6 2 4 3" xfId="48648"/>
    <cellStyle name="Percent 2 3 2 6 2 5" xfId="39153"/>
    <cellStyle name="Percent 2 3 2 6 2 5 2" xfId="54284"/>
    <cellStyle name="Percent 2 3 2 6 2 6" xfId="46886"/>
    <cellStyle name="Percent 2 3 2 6 3" xfId="1143"/>
    <cellStyle name="Percent 2 3 2 6 3 2" xfId="5492"/>
    <cellStyle name="Percent 2 3 2 6 3 2 2" xfId="44460"/>
    <cellStyle name="Percent 2 3 2 6 3 2 2 2" xfId="59586"/>
    <cellStyle name="Percent 2 3 2 6 3 2 3" xfId="42224"/>
    <cellStyle name="Percent 2 3 2 6 3 2 3 2" xfId="57351"/>
    <cellStyle name="Percent 2 3 2 6 3 2 4" xfId="39944"/>
    <cellStyle name="Percent 2 3 2 6 3 2 4 2" xfId="55072"/>
    <cellStyle name="Percent 2 3 2 6 3 2 5" xfId="50177"/>
    <cellStyle name="Percent 2 3 2 6 3 3" xfId="11953"/>
    <cellStyle name="Percent 2 3 2 6 3 3 2" xfId="43596"/>
    <cellStyle name="Percent 2 3 2 6 3 3 2 2" xfId="58722"/>
    <cellStyle name="Percent 2 3 2 6 3 3 3" xfId="52207"/>
    <cellStyle name="Percent 2 3 2 6 3 4" xfId="4314"/>
    <cellStyle name="Percent 2 3 2 6 3 4 2" xfId="41360"/>
    <cellStyle name="Percent 2 3 2 6 3 4 2 2" xfId="56487"/>
    <cellStyle name="Percent 2 3 2 6 3 4 3" xfId="49004"/>
    <cellStyle name="Percent 2 3 2 6 3 5" xfId="38780"/>
    <cellStyle name="Percent 2 3 2 6 3 5 2" xfId="53933"/>
    <cellStyle name="Percent 2 3 2 6 3 6" xfId="46373"/>
    <cellStyle name="Percent 2 3 2 6 4" xfId="2080"/>
    <cellStyle name="Percent 2 3 2 6 4 2" xfId="12886"/>
    <cellStyle name="Percent 2 3 2 6 4 2 2" xfId="44022"/>
    <cellStyle name="Percent 2 3 2 6 4 2 2 2" xfId="59148"/>
    <cellStyle name="Percent 2 3 2 6 4 2 3" xfId="53139"/>
    <cellStyle name="Percent 2 3 2 6 4 3" xfId="6426"/>
    <cellStyle name="Percent 2 3 2 6 4 3 2" xfId="41786"/>
    <cellStyle name="Percent 2 3 2 6 4 3 2 2" xfId="56913"/>
    <cellStyle name="Percent 2 3 2 6 4 3 3" xfId="51109"/>
    <cellStyle name="Percent 2 3 2 6 4 4" xfId="39506"/>
    <cellStyle name="Percent 2 3 2 6 4 4 2" xfId="54634"/>
    <cellStyle name="Percent 2 3 2 6 4 5" xfId="47305"/>
    <cellStyle name="Percent 2 3 2 6 5" xfId="4740"/>
    <cellStyle name="Percent 2 3 2 6 5 2" xfId="42894"/>
    <cellStyle name="Percent 2 3 2 6 5 2 2" xfId="58021"/>
    <cellStyle name="Percent 2 3 2 6 5 3" xfId="49425"/>
    <cellStyle name="Percent 2 3 2 6 6" xfId="11201"/>
    <cellStyle name="Percent 2 3 2 6 6 2" xfId="40659"/>
    <cellStyle name="Percent 2 3 2 6 6 2 2" xfId="55786"/>
    <cellStyle name="Percent 2 3 2 6 6 3" xfId="51455"/>
    <cellStyle name="Percent 2 3 2 6 7" xfId="3378"/>
    <cellStyle name="Percent 2 3 2 6 7 2" xfId="48072"/>
    <cellStyle name="Percent 2 3 2 6 8" xfId="38295"/>
    <cellStyle name="Percent 2 3 2 6 8 2" xfId="53495"/>
    <cellStyle name="Percent 2 3 2 6 9" xfId="45621"/>
    <cellStyle name="Percent 2 3 2 7" xfId="843"/>
    <cellStyle name="Percent 2 3 2 7 2" xfId="5192"/>
    <cellStyle name="Percent 2 3 2 7 2 2" xfId="40001"/>
    <cellStyle name="Percent 2 3 2 7 2 2 2" xfId="44517"/>
    <cellStyle name="Percent 2 3 2 7 2 2 2 2" xfId="59643"/>
    <cellStyle name="Percent 2 3 2 7 2 2 3" xfId="42281"/>
    <cellStyle name="Percent 2 3 2 7 2 2 3 2" xfId="57408"/>
    <cellStyle name="Percent 2 3 2 7 2 2 4" xfId="55129"/>
    <cellStyle name="Percent 2 3 2 7 2 3" xfId="43652"/>
    <cellStyle name="Percent 2 3 2 7 2 3 2" xfId="58778"/>
    <cellStyle name="Percent 2 3 2 7 2 4" xfId="41416"/>
    <cellStyle name="Percent 2 3 2 7 2 4 2" xfId="56543"/>
    <cellStyle name="Percent 2 3 2 7 2 5" xfId="38858"/>
    <cellStyle name="Percent 2 3 2 7 2 5 2" xfId="53990"/>
    <cellStyle name="Percent 2 3 2 7 2 6" xfId="49877"/>
    <cellStyle name="Percent 2 3 2 7 3" xfId="11653"/>
    <cellStyle name="Percent 2 3 2 7 3 2" xfId="44106"/>
    <cellStyle name="Percent 2 3 2 7 3 2 2" xfId="59232"/>
    <cellStyle name="Percent 2 3 2 7 3 3" xfId="41870"/>
    <cellStyle name="Percent 2 3 2 7 3 3 2" xfId="56997"/>
    <cellStyle name="Percent 2 3 2 7 3 4" xfId="39590"/>
    <cellStyle name="Percent 2 3 2 7 3 4 2" xfId="54718"/>
    <cellStyle name="Percent 2 3 2 7 3 5" xfId="51907"/>
    <cellStyle name="Percent 2 3 2 7 4" xfId="3078"/>
    <cellStyle name="Percent 2 3 2 7 4 2" xfId="42951"/>
    <cellStyle name="Percent 2 3 2 7 4 2 2" xfId="58077"/>
    <cellStyle name="Percent 2 3 2 7 4 3" xfId="47772"/>
    <cellStyle name="Percent 2 3 2 7 5" xfId="40715"/>
    <cellStyle name="Percent 2 3 2 7 5 2" xfId="55842"/>
    <cellStyle name="Percent 2 3 2 7 6" xfId="38420"/>
    <cellStyle name="Percent 2 3 2 7 6 2" xfId="53579"/>
    <cellStyle name="Percent 2 3 2 7 7" xfId="46073"/>
    <cellStyle name="Percent 2 3 2 8" xfId="722"/>
    <cellStyle name="Percent 2 3 2 8 2" xfId="5071"/>
    <cellStyle name="Percent 2 3 2 8 2 2" xfId="44166"/>
    <cellStyle name="Percent 2 3 2 8 2 2 2" xfId="59292"/>
    <cellStyle name="Percent 2 3 2 8 2 3" xfId="41930"/>
    <cellStyle name="Percent 2 3 2 8 2 3 2" xfId="57057"/>
    <cellStyle name="Percent 2 3 2 8 2 4" xfId="39650"/>
    <cellStyle name="Percent 2 3 2 8 2 4 2" xfId="54778"/>
    <cellStyle name="Percent 2 3 2 8 2 5" xfId="49756"/>
    <cellStyle name="Percent 2 3 2 8 3" xfId="11532"/>
    <cellStyle name="Percent 2 3 2 8 3 2" xfId="43302"/>
    <cellStyle name="Percent 2 3 2 8 3 2 2" xfId="58428"/>
    <cellStyle name="Percent 2 3 2 8 3 3" xfId="51786"/>
    <cellStyle name="Percent 2 3 2 8 4" xfId="2956"/>
    <cellStyle name="Percent 2 3 2 8 4 2" xfId="41066"/>
    <cellStyle name="Percent 2 3 2 8 4 2 2" xfId="56193"/>
    <cellStyle name="Percent 2 3 2 8 4 3" xfId="47650"/>
    <cellStyle name="Percent 2 3 2 8 5" xfId="38483"/>
    <cellStyle name="Percent 2 3 2 8 5 2" xfId="53639"/>
    <cellStyle name="Percent 2 3 2 8 6" xfId="45952"/>
    <cellStyle name="Percent 2 3 2 9" xfId="512"/>
    <cellStyle name="Percent 2 3 2 9 2" xfId="4861"/>
    <cellStyle name="Percent 2 3 2 9 2 2" xfId="43728"/>
    <cellStyle name="Percent 2 3 2 9 2 2 2" xfId="58854"/>
    <cellStyle name="Percent 2 3 2 9 2 3" xfId="49546"/>
    <cellStyle name="Percent 2 3 2 9 3" xfId="11322"/>
    <cellStyle name="Percent 2 3 2 9 3 2" xfId="41492"/>
    <cellStyle name="Percent 2 3 2 9 3 2 2" xfId="56619"/>
    <cellStyle name="Percent 2 3 2 9 3 3" xfId="51576"/>
    <cellStyle name="Percent 2 3 2 9 4" xfId="4091"/>
    <cellStyle name="Percent 2 3 2 9 4 2" xfId="48782"/>
    <cellStyle name="Percent 2 3 2 9 5" xfId="39212"/>
    <cellStyle name="Percent 2 3 2 9 5 2" xfId="54340"/>
    <cellStyle name="Percent 2 3 2 9 6" xfId="45742"/>
    <cellStyle name="Percent 2 3 3" xfId="158"/>
    <cellStyle name="Percent 2 3 3 10" xfId="10980"/>
    <cellStyle name="Percent 2 3 3 10 2" xfId="51234"/>
    <cellStyle name="Percent 2 3 3 11" xfId="2820"/>
    <cellStyle name="Percent 2 3 3 11 2" xfId="47518"/>
    <cellStyle name="Percent 2 3 3 12" xfId="38069"/>
    <cellStyle name="Percent 2 3 3 12 2" xfId="53269"/>
    <cellStyle name="Percent 2 3 3 13" xfId="45400"/>
    <cellStyle name="Percent 2 3 3 2" xfId="257"/>
    <cellStyle name="Percent 2 3 3 2 10" xfId="38145"/>
    <cellStyle name="Percent 2 3 3 2 10 2" xfId="53345"/>
    <cellStyle name="Percent 2 3 3 2 11" xfId="45489"/>
    <cellStyle name="Percent 2 3 3 2 2" xfId="1011"/>
    <cellStyle name="Percent 2 3 3 2 2 2" xfId="5360"/>
    <cellStyle name="Percent 2 3 3 2 2 2 2" xfId="44661"/>
    <cellStyle name="Percent 2 3 3 2 2 2 2 2" xfId="59787"/>
    <cellStyle name="Percent 2 3 3 2 2 2 3" xfId="42425"/>
    <cellStyle name="Percent 2 3 3 2 2 2 3 2" xfId="57552"/>
    <cellStyle name="Percent 2 3 3 2 2 2 4" xfId="40145"/>
    <cellStyle name="Percent 2 3 3 2 2 2 4 2" xfId="55273"/>
    <cellStyle name="Percent 2 3 3 2 2 2 5" xfId="50045"/>
    <cellStyle name="Percent 2 3 3 2 2 3" xfId="11821"/>
    <cellStyle name="Percent 2 3 3 2 2 3 2" xfId="43095"/>
    <cellStyle name="Percent 2 3 3 2 2 3 2 2" xfId="58221"/>
    <cellStyle name="Percent 2 3 3 2 2 3 3" xfId="52075"/>
    <cellStyle name="Percent 2 3 3 2 2 4" xfId="3246"/>
    <cellStyle name="Percent 2 3 3 2 2 4 2" xfId="40859"/>
    <cellStyle name="Percent 2 3 3 2 2 4 2 2" xfId="55986"/>
    <cellStyle name="Percent 2 3 3 2 2 4 3" xfId="47940"/>
    <cellStyle name="Percent 2 3 3 2 2 5" xfId="39003"/>
    <cellStyle name="Percent 2 3 3 2 2 5 2" xfId="54134"/>
    <cellStyle name="Percent 2 3 3 2 2 6" xfId="46241"/>
    <cellStyle name="Percent 2 3 3 2 3" xfId="1313"/>
    <cellStyle name="Percent 2 3 3 2 3 2" xfId="5662"/>
    <cellStyle name="Percent 2 3 3 2 3 2 2" xfId="44310"/>
    <cellStyle name="Percent 2 3 3 2 3 2 2 2" xfId="59436"/>
    <cellStyle name="Percent 2 3 3 2 3 2 3" xfId="42074"/>
    <cellStyle name="Percent 2 3 3 2 3 2 3 2" xfId="57201"/>
    <cellStyle name="Percent 2 3 3 2 3 2 4" xfId="39794"/>
    <cellStyle name="Percent 2 3 3 2 3 2 4 2" xfId="54922"/>
    <cellStyle name="Percent 2 3 3 2 3 2 5" xfId="50347"/>
    <cellStyle name="Percent 2 3 3 2 3 3" xfId="12123"/>
    <cellStyle name="Percent 2 3 3 2 3 3 2" xfId="43446"/>
    <cellStyle name="Percent 2 3 3 2 3 3 2 2" xfId="58572"/>
    <cellStyle name="Percent 2 3 3 2 3 3 3" xfId="52377"/>
    <cellStyle name="Percent 2 3 3 2 3 4" xfId="3596"/>
    <cellStyle name="Percent 2 3 3 2 3 4 2" xfId="41210"/>
    <cellStyle name="Percent 2 3 3 2 3 4 2 2" xfId="56337"/>
    <cellStyle name="Percent 2 3 3 2 3 4 3" xfId="48289"/>
    <cellStyle name="Percent 2 3 3 2 3 5" xfId="38630"/>
    <cellStyle name="Percent 2 3 3 2 3 5 2" xfId="53783"/>
    <cellStyle name="Percent 2 3 3 2 3 6" xfId="46543"/>
    <cellStyle name="Percent 2 3 3 2 4" xfId="1524"/>
    <cellStyle name="Percent 2 3 3 2 4 2" xfId="5873"/>
    <cellStyle name="Percent 2 3 3 2 4 2 2" xfId="43872"/>
    <cellStyle name="Percent 2 3 3 2 4 2 2 2" xfId="58998"/>
    <cellStyle name="Percent 2 3 3 2 4 2 3" xfId="50558"/>
    <cellStyle name="Percent 2 3 3 2 4 3" xfId="12334"/>
    <cellStyle name="Percent 2 3 3 2 4 3 2" xfId="41636"/>
    <cellStyle name="Percent 2 3 3 2 4 3 2 2" xfId="56763"/>
    <cellStyle name="Percent 2 3 3 2 4 3 3" xfId="52588"/>
    <cellStyle name="Percent 2 3 3 2 4 4" xfId="3823"/>
    <cellStyle name="Percent 2 3 3 2 4 4 2" xfId="48516"/>
    <cellStyle name="Percent 2 3 3 2 4 5" xfId="39356"/>
    <cellStyle name="Percent 2 3 3 2 4 5 2" xfId="54484"/>
    <cellStyle name="Percent 2 3 3 2 4 6" xfId="46754"/>
    <cellStyle name="Percent 2 3 3 2 5" xfId="679"/>
    <cellStyle name="Percent 2 3 3 2 5 2" xfId="5028"/>
    <cellStyle name="Percent 2 3 3 2 5 2 2" xfId="49713"/>
    <cellStyle name="Percent 2 3 3 2 5 3" xfId="11489"/>
    <cellStyle name="Percent 2 3 3 2 5 3 2" xfId="51743"/>
    <cellStyle name="Percent 2 3 3 2 5 4" xfId="4182"/>
    <cellStyle name="Percent 2 3 3 2 5 4 2" xfId="48872"/>
    <cellStyle name="Percent 2 3 3 2 5 5" xfId="42744"/>
    <cellStyle name="Percent 2 3 3 2 5 5 2" xfId="57871"/>
    <cellStyle name="Percent 2 3 3 2 5 6" xfId="45909"/>
    <cellStyle name="Percent 2 3 3 2 6" xfId="1929"/>
    <cellStyle name="Percent 2 3 3 2 6 2" xfId="12736"/>
    <cellStyle name="Percent 2 3 3 2 6 2 2" xfId="52989"/>
    <cellStyle name="Percent 2 3 3 2 6 3" xfId="6276"/>
    <cellStyle name="Percent 2 3 3 2 6 3 2" xfId="50959"/>
    <cellStyle name="Percent 2 3 3 2 6 4" xfId="40509"/>
    <cellStyle name="Percent 2 3 3 2 6 4 2" xfId="55636"/>
    <cellStyle name="Percent 2 3 3 2 6 5" xfId="47155"/>
    <cellStyle name="Percent 2 3 3 2 7" xfId="4606"/>
    <cellStyle name="Percent 2 3 3 2 7 2" xfId="49293"/>
    <cellStyle name="Percent 2 3 3 2 8" xfId="11069"/>
    <cellStyle name="Percent 2 3 3 2 8 2" xfId="51323"/>
    <cellStyle name="Percent 2 3 3 2 9" xfId="2913"/>
    <cellStyle name="Percent 2 3 3 2 9 2" xfId="47607"/>
    <cellStyle name="Percent 2 3 3 3" xfId="348"/>
    <cellStyle name="Percent 2 3 3 3 10" xfId="45578"/>
    <cellStyle name="Percent 2 3 3 3 2" xfId="1402"/>
    <cellStyle name="Percent 2 3 3 3 2 2" xfId="5751"/>
    <cellStyle name="Percent 2 3 3 3 2 2 2" xfId="44737"/>
    <cellStyle name="Percent 2 3 3 3 2 2 2 2" xfId="59863"/>
    <cellStyle name="Percent 2 3 3 3 2 2 3" xfId="42501"/>
    <cellStyle name="Percent 2 3 3 3 2 2 3 2" xfId="57628"/>
    <cellStyle name="Percent 2 3 3 3 2 2 4" xfId="40221"/>
    <cellStyle name="Percent 2 3 3 3 2 2 4 2" xfId="55349"/>
    <cellStyle name="Percent 2 3 3 3 2 2 5" xfId="50436"/>
    <cellStyle name="Percent 2 3 3 3 2 3" xfId="12212"/>
    <cellStyle name="Percent 2 3 3 3 2 3 2" xfId="43171"/>
    <cellStyle name="Percent 2 3 3 3 2 3 2 2" xfId="58297"/>
    <cellStyle name="Percent 2 3 3 3 2 3 3" xfId="52466"/>
    <cellStyle name="Percent 2 3 3 3 2 4" xfId="3685"/>
    <cellStyle name="Percent 2 3 3 3 2 4 2" xfId="40935"/>
    <cellStyle name="Percent 2 3 3 3 2 4 2 2" xfId="56062"/>
    <cellStyle name="Percent 2 3 3 3 2 4 3" xfId="48378"/>
    <cellStyle name="Percent 2 3 3 3 2 5" xfId="39079"/>
    <cellStyle name="Percent 2 3 3 3 2 5 2" xfId="54210"/>
    <cellStyle name="Percent 2 3 3 3 2 6" xfId="46632"/>
    <cellStyle name="Percent 2 3 3 3 3" xfId="1613"/>
    <cellStyle name="Percent 2 3 3 3 3 2" xfId="5962"/>
    <cellStyle name="Percent 2 3 3 3 3 2 2" xfId="44386"/>
    <cellStyle name="Percent 2 3 3 3 3 2 2 2" xfId="59512"/>
    <cellStyle name="Percent 2 3 3 3 3 2 3" xfId="42150"/>
    <cellStyle name="Percent 2 3 3 3 3 2 3 2" xfId="57277"/>
    <cellStyle name="Percent 2 3 3 3 3 2 4" xfId="39870"/>
    <cellStyle name="Percent 2 3 3 3 3 2 4 2" xfId="54998"/>
    <cellStyle name="Percent 2 3 3 3 3 2 5" xfId="50647"/>
    <cellStyle name="Percent 2 3 3 3 3 3" xfId="12423"/>
    <cellStyle name="Percent 2 3 3 3 3 3 2" xfId="43522"/>
    <cellStyle name="Percent 2 3 3 3 3 3 2 2" xfId="58648"/>
    <cellStyle name="Percent 2 3 3 3 3 3 3" xfId="52677"/>
    <cellStyle name="Percent 2 3 3 3 3 4" xfId="3912"/>
    <cellStyle name="Percent 2 3 3 3 3 4 2" xfId="41286"/>
    <cellStyle name="Percent 2 3 3 3 3 4 2 2" xfId="56413"/>
    <cellStyle name="Percent 2 3 3 3 3 4 3" xfId="48605"/>
    <cellStyle name="Percent 2 3 3 3 3 5" xfId="38706"/>
    <cellStyle name="Percent 2 3 3 3 3 5 2" xfId="53859"/>
    <cellStyle name="Percent 2 3 3 3 3 6" xfId="46843"/>
    <cellStyle name="Percent 2 3 3 3 4" xfId="1100"/>
    <cellStyle name="Percent 2 3 3 3 4 2" xfId="5449"/>
    <cellStyle name="Percent 2 3 3 3 4 2 2" xfId="43948"/>
    <cellStyle name="Percent 2 3 3 3 4 2 2 2" xfId="59074"/>
    <cellStyle name="Percent 2 3 3 3 4 2 3" xfId="50134"/>
    <cellStyle name="Percent 2 3 3 3 4 3" xfId="11910"/>
    <cellStyle name="Percent 2 3 3 3 4 3 2" xfId="41712"/>
    <cellStyle name="Percent 2 3 3 3 4 3 2 2" xfId="56839"/>
    <cellStyle name="Percent 2 3 3 3 4 3 3" xfId="52164"/>
    <cellStyle name="Percent 2 3 3 3 4 4" xfId="4271"/>
    <cellStyle name="Percent 2 3 3 3 4 4 2" xfId="48961"/>
    <cellStyle name="Percent 2 3 3 3 4 5" xfId="39432"/>
    <cellStyle name="Percent 2 3 3 3 4 5 2" xfId="54560"/>
    <cellStyle name="Percent 2 3 3 3 4 6" xfId="46330"/>
    <cellStyle name="Percent 2 3 3 3 5" xfId="2005"/>
    <cellStyle name="Percent 2 3 3 3 5 2" xfId="12812"/>
    <cellStyle name="Percent 2 3 3 3 5 2 2" xfId="53065"/>
    <cellStyle name="Percent 2 3 3 3 5 3" xfId="6352"/>
    <cellStyle name="Percent 2 3 3 3 5 3 2" xfId="51035"/>
    <cellStyle name="Percent 2 3 3 3 5 4" xfId="42820"/>
    <cellStyle name="Percent 2 3 3 3 5 4 2" xfId="57947"/>
    <cellStyle name="Percent 2 3 3 3 5 5" xfId="47231"/>
    <cellStyle name="Percent 2 3 3 3 6" xfId="4697"/>
    <cellStyle name="Percent 2 3 3 3 6 2" xfId="40585"/>
    <cellStyle name="Percent 2 3 3 3 6 2 2" xfId="55712"/>
    <cellStyle name="Percent 2 3 3 3 6 3" xfId="49382"/>
    <cellStyle name="Percent 2 3 3 3 7" xfId="11158"/>
    <cellStyle name="Percent 2 3 3 3 7 2" xfId="51412"/>
    <cellStyle name="Percent 2 3 3 3 8" xfId="3335"/>
    <cellStyle name="Percent 2 3 3 3 8 2" xfId="48029"/>
    <cellStyle name="Percent 2 3 3 3 9" xfId="38221"/>
    <cellStyle name="Percent 2 3 3 3 9 2" xfId="53421"/>
    <cellStyle name="Percent 2 3 3 4" xfId="469"/>
    <cellStyle name="Percent 2 3 3 4 2" xfId="1734"/>
    <cellStyle name="Percent 2 3 3 4 2 2" xfId="6083"/>
    <cellStyle name="Percent 2 3 3 4 2 2 2" xfId="44813"/>
    <cellStyle name="Percent 2 3 3 4 2 2 2 2" xfId="59939"/>
    <cellStyle name="Percent 2 3 3 4 2 2 3" xfId="42577"/>
    <cellStyle name="Percent 2 3 3 4 2 2 3 2" xfId="57704"/>
    <cellStyle name="Percent 2 3 3 4 2 2 4" xfId="40297"/>
    <cellStyle name="Percent 2 3 3 4 2 2 4 2" xfId="55425"/>
    <cellStyle name="Percent 2 3 3 4 2 2 5" xfId="50768"/>
    <cellStyle name="Percent 2 3 3 4 2 3" xfId="12544"/>
    <cellStyle name="Percent 2 3 3 4 2 3 2" xfId="43247"/>
    <cellStyle name="Percent 2 3 3 4 2 3 2 2" xfId="58373"/>
    <cellStyle name="Percent 2 3 3 4 2 3 3" xfId="52798"/>
    <cellStyle name="Percent 2 3 3 4 2 4" xfId="4033"/>
    <cellStyle name="Percent 2 3 3 4 2 4 2" xfId="41011"/>
    <cellStyle name="Percent 2 3 3 4 2 4 2 2" xfId="56138"/>
    <cellStyle name="Percent 2 3 3 4 2 4 3" xfId="48726"/>
    <cellStyle name="Percent 2 3 3 4 2 5" xfId="39155"/>
    <cellStyle name="Percent 2 3 3 4 2 5 2" xfId="54286"/>
    <cellStyle name="Percent 2 3 3 4 2 6" xfId="46964"/>
    <cellStyle name="Percent 2 3 3 4 3" xfId="1221"/>
    <cellStyle name="Percent 2 3 3 4 3 2" xfId="5570"/>
    <cellStyle name="Percent 2 3 3 4 3 2 2" xfId="44462"/>
    <cellStyle name="Percent 2 3 3 4 3 2 2 2" xfId="59588"/>
    <cellStyle name="Percent 2 3 3 4 3 2 3" xfId="42226"/>
    <cellStyle name="Percent 2 3 3 4 3 2 3 2" xfId="57353"/>
    <cellStyle name="Percent 2 3 3 4 3 2 4" xfId="39946"/>
    <cellStyle name="Percent 2 3 3 4 3 2 4 2" xfId="55074"/>
    <cellStyle name="Percent 2 3 3 4 3 2 5" xfId="50255"/>
    <cellStyle name="Percent 2 3 3 4 3 3" xfId="12031"/>
    <cellStyle name="Percent 2 3 3 4 3 3 2" xfId="43598"/>
    <cellStyle name="Percent 2 3 3 4 3 3 2 2" xfId="58724"/>
    <cellStyle name="Percent 2 3 3 4 3 3 3" xfId="52285"/>
    <cellStyle name="Percent 2 3 3 4 3 4" xfId="4392"/>
    <cellStyle name="Percent 2 3 3 4 3 4 2" xfId="41362"/>
    <cellStyle name="Percent 2 3 3 4 3 4 2 2" xfId="56489"/>
    <cellStyle name="Percent 2 3 3 4 3 4 3" xfId="49082"/>
    <cellStyle name="Percent 2 3 3 4 3 5" xfId="38782"/>
    <cellStyle name="Percent 2 3 3 4 3 5 2" xfId="53935"/>
    <cellStyle name="Percent 2 3 3 4 3 6" xfId="46451"/>
    <cellStyle name="Percent 2 3 3 4 4" xfId="2082"/>
    <cellStyle name="Percent 2 3 3 4 4 2" xfId="12888"/>
    <cellStyle name="Percent 2 3 3 4 4 2 2" xfId="44024"/>
    <cellStyle name="Percent 2 3 3 4 4 2 2 2" xfId="59150"/>
    <cellStyle name="Percent 2 3 3 4 4 2 3" xfId="53141"/>
    <cellStyle name="Percent 2 3 3 4 4 3" xfId="6428"/>
    <cellStyle name="Percent 2 3 3 4 4 3 2" xfId="41788"/>
    <cellStyle name="Percent 2 3 3 4 4 3 2 2" xfId="56915"/>
    <cellStyle name="Percent 2 3 3 4 4 3 3" xfId="51111"/>
    <cellStyle name="Percent 2 3 3 4 4 4" xfId="39508"/>
    <cellStyle name="Percent 2 3 3 4 4 4 2" xfId="54636"/>
    <cellStyle name="Percent 2 3 3 4 4 5" xfId="47307"/>
    <cellStyle name="Percent 2 3 3 4 5" xfId="4818"/>
    <cellStyle name="Percent 2 3 3 4 5 2" xfId="42896"/>
    <cellStyle name="Percent 2 3 3 4 5 2 2" xfId="58023"/>
    <cellStyle name="Percent 2 3 3 4 5 3" xfId="49503"/>
    <cellStyle name="Percent 2 3 3 4 6" xfId="11279"/>
    <cellStyle name="Percent 2 3 3 4 6 2" xfId="40661"/>
    <cellStyle name="Percent 2 3 3 4 6 2 2" xfId="55788"/>
    <cellStyle name="Percent 2 3 3 4 6 3" xfId="51533"/>
    <cellStyle name="Percent 2 3 3 4 7" xfId="3456"/>
    <cellStyle name="Percent 2 3 3 4 7 2" xfId="48150"/>
    <cellStyle name="Percent 2 3 3 4 8" xfId="38297"/>
    <cellStyle name="Percent 2 3 3 4 8 2" xfId="53497"/>
    <cellStyle name="Percent 2 3 3 4 9" xfId="45699"/>
    <cellStyle name="Percent 2 3 3 5" xfId="922"/>
    <cellStyle name="Percent 2 3 3 5 2" xfId="5271"/>
    <cellStyle name="Percent 2 3 3 5 2 2" xfId="40069"/>
    <cellStyle name="Percent 2 3 3 5 2 2 2" xfId="44585"/>
    <cellStyle name="Percent 2 3 3 5 2 2 2 2" xfId="59711"/>
    <cellStyle name="Percent 2 3 3 5 2 2 3" xfId="42349"/>
    <cellStyle name="Percent 2 3 3 5 2 2 3 2" xfId="57476"/>
    <cellStyle name="Percent 2 3 3 5 2 2 4" xfId="55197"/>
    <cellStyle name="Percent 2 3 3 5 2 3" xfId="43691"/>
    <cellStyle name="Percent 2 3 3 5 2 3 2" xfId="58817"/>
    <cellStyle name="Percent 2 3 3 5 2 4" xfId="41455"/>
    <cellStyle name="Percent 2 3 3 5 2 4 2" xfId="56582"/>
    <cellStyle name="Percent 2 3 3 5 2 5" xfId="38926"/>
    <cellStyle name="Percent 2 3 3 5 2 5 2" xfId="54058"/>
    <cellStyle name="Percent 2 3 3 5 2 6" xfId="49956"/>
    <cellStyle name="Percent 2 3 3 5 3" xfId="11732"/>
    <cellStyle name="Percent 2 3 3 5 3 2" xfId="44108"/>
    <cellStyle name="Percent 2 3 3 5 3 2 2" xfId="59234"/>
    <cellStyle name="Percent 2 3 3 5 3 3" xfId="41872"/>
    <cellStyle name="Percent 2 3 3 5 3 3 2" xfId="56999"/>
    <cellStyle name="Percent 2 3 3 5 3 4" xfId="39592"/>
    <cellStyle name="Percent 2 3 3 5 3 4 2" xfId="54720"/>
    <cellStyle name="Percent 2 3 3 5 3 5" xfId="51986"/>
    <cellStyle name="Percent 2 3 3 5 4" xfId="3157"/>
    <cellStyle name="Percent 2 3 3 5 4 2" xfId="43019"/>
    <cellStyle name="Percent 2 3 3 5 4 2 2" xfId="58145"/>
    <cellStyle name="Percent 2 3 3 5 4 3" xfId="47851"/>
    <cellStyle name="Percent 2 3 3 5 5" xfId="40783"/>
    <cellStyle name="Percent 2 3 3 5 5 2" xfId="55910"/>
    <cellStyle name="Percent 2 3 3 5 6" xfId="38422"/>
    <cellStyle name="Percent 2 3 3 5 6 2" xfId="53581"/>
    <cellStyle name="Percent 2 3 3 5 7" xfId="46152"/>
    <cellStyle name="Percent 2 3 3 6" xfId="800"/>
    <cellStyle name="Percent 2 3 3 6 2" xfId="5149"/>
    <cellStyle name="Percent 2 3 3 6 2 2" xfId="44234"/>
    <cellStyle name="Percent 2 3 3 6 2 2 2" xfId="59360"/>
    <cellStyle name="Percent 2 3 3 6 2 3" xfId="41998"/>
    <cellStyle name="Percent 2 3 3 6 2 3 2" xfId="57125"/>
    <cellStyle name="Percent 2 3 3 6 2 4" xfId="39718"/>
    <cellStyle name="Percent 2 3 3 6 2 4 2" xfId="54846"/>
    <cellStyle name="Percent 2 3 3 6 2 5" xfId="49834"/>
    <cellStyle name="Percent 2 3 3 6 3" xfId="11610"/>
    <cellStyle name="Percent 2 3 3 6 3 2" xfId="43370"/>
    <cellStyle name="Percent 2 3 3 6 3 2 2" xfId="58496"/>
    <cellStyle name="Percent 2 3 3 6 3 3" xfId="51864"/>
    <cellStyle name="Percent 2 3 3 6 4" xfId="3035"/>
    <cellStyle name="Percent 2 3 3 6 4 2" xfId="41134"/>
    <cellStyle name="Percent 2 3 3 6 4 2 2" xfId="56261"/>
    <cellStyle name="Percent 2 3 3 6 4 3" xfId="47729"/>
    <cellStyle name="Percent 2 3 3 6 5" xfId="38552"/>
    <cellStyle name="Percent 2 3 3 6 5 2" xfId="53707"/>
    <cellStyle name="Percent 2 3 3 6 6" xfId="46030"/>
    <cellStyle name="Percent 2 3 3 7" xfId="590"/>
    <cellStyle name="Percent 2 3 3 7 2" xfId="4939"/>
    <cellStyle name="Percent 2 3 3 7 2 2" xfId="43796"/>
    <cellStyle name="Percent 2 3 3 7 2 2 2" xfId="58922"/>
    <cellStyle name="Percent 2 3 3 7 2 3" xfId="49624"/>
    <cellStyle name="Percent 2 3 3 7 3" xfId="11400"/>
    <cellStyle name="Percent 2 3 3 7 3 2" xfId="41560"/>
    <cellStyle name="Percent 2 3 3 7 3 2 2" xfId="56687"/>
    <cellStyle name="Percent 2 3 3 7 3 3" xfId="51654"/>
    <cellStyle name="Percent 2 3 3 7 4" xfId="4094"/>
    <cellStyle name="Percent 2 3 3 7 4 2" xfId="48785"/>
    <cellStyle name="Percent 2 3 3 7 5" xfId="39280"/>
    <cellStyle name="Percent 2 3 3 7 5 2" xfId="54408"/>
    <cellStyle name="Percent 2 3 3 7 6" xfId="45820"/>
    <cellStyle name="Percent 2 3 3 8" xfId="1850"/>
    <cellStyle name="Percent 2 3 3 8 2" xfId="12659"/>
    <cellStyle name="Percent 2 3 3 8 2 2" xfId="52913"/>
    <cellStyle name="Percent 2 3 3 8 3" xfId="6198"/>
    <cellStyle name="Percent 2 3 3 8 3 2" xfId="50883"/>
    <cellStyle name="Percent 2 3 3 8 4" xfId="42668"/>
    <cellStyle name="Percent 2 3 3 8 4 2" xfId="57795"/>
    <cellStyle name="Percent 2 3 3 8 5" xfId="47079"/>
    <cellStyle name="Percent 2 3 3 9" xfId="2665"/>
    <cellStyle name="Percent 2 3 3 9 2" xfId="4514"/>
    <cellStyle name="Percent 2 3 3 9 2 2" xfId="49204"/>
    <cellStyle name="Percent 2 3 3 9 3" xfId="40433"/>
    <cellStyle name="Percent 2 3 3 9 3 2" xfId="55560"/>
    <cellStyle name="Percent 2 3 3 9 4" xfId="47397"/>
    <cellStyle name="Percent 2 3 4" xfId="155"/>
    <cellStyle name="Percent 2 3 4 10" xfId="38066"/>
    <cellStyle name="Percent 2 3 4 10 2" xfId="53266"/>
    <cellStyle name="Percent 2 3 4 11" xfId="45397"/>
    <cellStyle name="Percent 2 3 4 2" xfId="466"/>
    <cellStyle name="Percent 2 3 4 2 2" xfId="1445"/>
    <cellStyle name="Percent 2 3 4 2 2 2" xfId="5794"/>
    <cellStyle name="Percent 2 3 4 2 2 2 2" xfId="44582"/>
    <cellStyle name="Percent 2 3 4 2 2 2 2 2" xfId="59708"/>
    <cellStyle name="Percent 2 3 4 2 2 2 3" xfId="50479"/>
    <cellStyle name="Percent 2 3 4 2 2 3" xfId="12255"/>
    <cellStyle name="Percent 2 3 4 2 2 3 2" xfId="42346"/>
    <cellStyle name="Percent 2 3 4 2 2 3 2 2" xfId="57473"/>
    <cellStyle name="Percent 2 3 4 2 2 3 3" xfId="52509"/>
    <cellStyle name="Percent 2 3 4 2 2 4" xfId="3728"/>
    <cellStyle name="Percent 2 3 4 2 2 4 2" xfId="48421"/>
    <cellStyle name="Percent 2 3 4 2 2 5" xfId="40066"/>
    <cellStyle name="Percent 2 3 4 2 2 5 2" xfId="55194"/>
    <cellStyle name="Percent 2 3 4 2 2 6" xfId="46675"/>
    <cellStyle name="Percent 2 3 4 2 3" xfId="1731"/>
    <cellStyle name="Percent 2 3 4 2 3 2" xfId="6080"/>
    <cellStyle name="Percent 2 3 4 2 3 2 2" xfId="50765"/>
    <cellStyle name="Percent 2 3 4 2 3 3" xfId="12541"/>
    <cellStyle name="Percent 2 3 4 2 3 3 2" xfId="52795"/>
    <cellStyle name="Percent 2 3 4 2 3 4" xfId="4030"/>
    <cellStyle name="Percent 2 3 4 2 3 4 2" xfId="48723"/>
    <cellStyle name="Percent 2 3 4 2 3 5" xfId="43016"/>
    <cellStyle name="Percent 2 3 4 2 3 5 2" xfId="58142"/>
    <cellStyle name="Percent 2 3 4 2 3 6" xfId="46961"/>
    <cellStyle name="Percent 2 3 4 2 4" xfId="1218"/>
    <cellStyle name="Percent 2 3 4 2 4 2" xfId="5567"/>
    <cellStyle name="Percent 2 3 4 2 4 2 2" xfId="50252"/>
    <cellStyle name="Percent 2 3 4 2 4 3" xfId="12028"/>
    <cellStyle name="Percent 2 3 4 2 4 3 2" xfId="52282"/>
    <cellStyle name="Percent 2 3 4 2 4 4" xfId="4389"/>
    <cellStyle name="Percent 2 3 4 2 4 4 2" xfId="49079"/>
    <cellStyle name="Percent 2 3 4 2 4 5" xfId="40780"/>
    <cellStyle name="Percent 2 3 4 2 4 5 2" xfId="55907"/>
    <cellStyle name="Percent 2 3 4 2 4 6" xfId="46448"/>
    <cellStyle name="Percent 2 3 4 2 5" xfId="4815"/>
    <cellStyle name="Percent 2 3 4 2 5 2" xfId="49500"/>
    <cellStyle name="Percent 2 3 4 2 6" xfId="11276"/>
    <cellStyle name="Percent 2 3 4 2 6 2" xfId="51530"/>
    <cellStyle name="Percent 2 3 4 2 7" xfId="3453"/>
    <cellStyle name="Percent 2 3 4 2 7 2" xfId="48147"/>
    <cellStyle name="Percent 2 3 4 2 8" xfId="38923"/>
    <cellStyle name="Percent 2 3 4 2 8 2" xfId="54055"/>
    <cellStyle name="Percent 2 3 4 2 9" xfId="45696"/>
    <cellStyle name="Percent 2 3 4 3" xfId="919"/>
    <cellStyle name="Percent 2 3 4 3 2" xfId="5268"/>
    <cellStyle name="Percent 2 3 4 3 2 2" xfId="44231"/>
    <cellStyle name="Percent 2 3 4 3 2 2 2" xfId="59357"/>
    <cellStyle name="Percent 2 3 4 3 2 3" xfId="41995"/>
    <cellStyle name="Percent 2 3 4 3 2 3 2" xfId="57122"/>
    <cellStyle name="Percent 2 3 4 3 2 4" xfId="39715"/>
    <cellStyle name="Percent 2 3 4 3 2 4 2" xfId="54843"/>
    <cellStyle name="Percent 2 3 4 3 2 5" xfId="49953"/>
    <cellStyle name="Percent 2 3 4 3 3" xfId="11729"/>
    <cellStyle name="Percent 2 3 4 3 3 2" xfId="43367"/>
    <cellStyle name="Percent 2 3 4 3 3 2 2" xfId="58493"/>
    <cellStyle name="Percent 2 3 4 3 3 3" xfId="51983"/>
    <cellStyle name="Percent 2 3 4 3 4" xfId="3154"/>
    <cellStyle name="Percent 2 3 4 3 4 2" xfId="41131"/>
    <cellStyle name="Percent 2 3 4 3 4 2 2" xfId="56258"/>
    <cellStyle name="Percent 2 3 4 3 4 3" xfId="47848"/>
    <cellStyle name="Percent 2 3 4 3 5" xfId="38549"/>
    <cellStyle name="Percent 2 3 4 3 5 2" xfId="53704"/>
    <cellStyle name="Percent 2 3 4 3 6" xfId="46149"/>
    <cellStyle name="Percent 2 3 4 4" xfId="797"/>
    <cellStyle name="Percent 2 3 4 4 2" xfId="5146"/>
    <cellStyle name="Percent 2 3 4 4 2 2" xfId="43793"/>
    <cellStyle name="Percent 2 3 4 4 2 2 2" xfId="58919"/>
    <cellStyle name="Percent 2 3 4 4 2 3" xfId="49831"/>
    <cellStyle name="Percent 2 3 4 4 3" xfId="11607"/>
    <cellStyle name="Percent 2 3 4 4 3 2" xfId="41557"/>
    <cellStyle name="Percent 2 3 4 4 3 2 2" xfId="56684"/>
    <cellStyle name="Percent 2 3 4 4 3 3" xfId="51861"/>
    <cellStyle name="Percent 2 3 4 4 4" xfId="3032"/>
    <cellStyle name="Percent 2 3 4 4 4 2" xfId="47726"/>
    <cellStyle name="Percent 2 3 4 4 5" xfId="39277"/>
    <cellStyle name="Percent 2 3 4 4 5 2" xfId="54405"/>
    <cellStyle name="Percent 2 3 4 4 6" xfId="46027"/>
    <cellStyle name="Percent 2 3 4 5" xfId="587"/>
    <cellStyle name="Percent 2 3 4 5 2" xfId="4936"/>
    <cellStyle name="Percent 2 3 4 5 2 2" xfId="49621"/>
    <cellStyle name="Percent 2 3 4 5 3" xfId="11397"/>
    <cellStyle name="Percent 2 3 4 5 3 2" xfId="51651"/>
    <cellStyle name="Percent 2 3 4 5 4" xfId="3514"/>
    <cellStyle name="Percent 2 3 4 5 4 2" xfId="48207"/>
    <cellStyle name="Percent 2 3 4 5 5" xfId="42665"/>
    <cellStyle name="Percent 2 3 4 5 5 2" xfId="57792"/>
    <cellStyle name="Percent 2 3 4 5 6" xfId="45817"/>
    <cellStyle name="Percent 2 3 4 6" xfId="1847"/>
    <cellStyle name="Percent 2 3 4 6 2" xfId="12656"/>
    <cellStyle name="Percent 2 3 4 6 2 2" xfId="52910"/>
    <cellStyle name="Percent 2 3 4 6 3" xfId="6195"/>
    <cellStyle name="Percent 2 3 4 6 3 2" xfId="50880"/>
    <cellStyle name="Percent 2 3 4 6 4" xfId="40430"/>
    <cellStyle name="Percent 2 3 4 6 4 2" xfId="55557"/>
    <cellStyle name="Percent 2 3 4 6 5" xfId="47076"/>
    <cellStyle name="Percent 2 3 4 7" xfId="4511"/>
    <cellStyle name="Percent 2 3 4 7 2" xfId="49201"/>
    <cellStyle name="Percent 2 3 4 8" xfId="10977"/>
    <cellStyle name="Percent 2 3 4 8 2" xfId="51231"/>
    <cellStyle name="Percent 2 3 4 9" xfId="2817"/>
    <cellStyle name="Percent 2 3 4 9 2" xfId="47515"/>
    <cellStyle name="Percent 2 3 5" xfId="254"/>
    <cellStyle name="Percent 2 3 5 10" xfId="38142"/>
    <cellStyle name="Percent 2 3 5 10 2" xfId="53342"/>
    <cellStyle name="Percent 2 3 5 11" xfId="45486"/>
    <cellStyle name="Percent 2 3 5 2" xfId="1008"/>
    <cellStyle name="Percent 2 3 5 2 2" xfId="5357"/>
    <cellStyle name="Percent 2 3 5 2 2 2" xfId="44658"/>
    <cellStyle name="Percent 2 3 5 2 2 2 2" xfId="59784"/>
    <cellStyle name="Percent 2 3 5 2 2 3" xfId="42422"/>
    <cellStyle name="Percent 2 3 5 2 2 3 2" xfId="57549"/>
    <cellStyle name="Percent 2 3 5 2 2 4" xfId="40142"/>
    <cellStyle name="Percent 2 3 5 2 2 4 2" xfId="55270"/>
    <cellStyle name="Percent 2 3 5 2 2 5" xfId="50042"/>
    <cellStyle name="Percent 2 3 5 2 3" xfId="11818"/>
    <cellStyle name="Percent 2 3 5 2 3 2" xfId="43092"/>
    <cellStyle name="Percent 2 3 5 2 3 2 2" xfId="58218"/>
    <cellStyle name="Percent 2 3 5 2 3 3" xfId="52072"/>
    <cellStyle name="Percent 2 3 5 2 4" xfId="3243"/>
    <cellStyle name="Percent 2 3 5 2 4 2" xfId="40856"/>
    <cellStyle name="Percent 2 3 5 2 4 2 2" xfId="55983"/>
    <cellStyle name="Percent 2 3 5 2 4 3" xfId="47937"/>
    <cellStyle name="Percent 2 3 5 2 5" xfId="39000"/>
    <cellStyle name="Percent 2 3 5 2 5 2" xfId="54131"/>
    <cellStyle name="Percent 2 3 5 2 6" xfId="46238"/>
    <cellStyle name="Percent 2 3 5 3" xfId="1310"/>
    <cellStyle name="Percent 2 3 5 3 2" xfId="5659"/>
    <cellStyle name="Percent 2 3 5 3 2 2" xfId="44307"/>
    <cellStyle name="Percent 2 3 5 3 2 2 2" xfId="59433"/>
    <cellStyle name="Percent 2 3 5 3 2 3" xfId="42071"/>
    <cellStyle name="Percent 2 3 5 3 2 3 2" xfId="57198"/>
    <cellStyle name="Percent 2 3 5 3 2 4" xfId="39791"/>
    <cellStyle name="Percent 2 3 5 3 2 4 2" xfId="54919"/>
    <cellStyle name="Percent 2 3 5 3 2 5" xfId="50344"/>
    <cellStyle name="Percent 2 3 5 3 3" xfId="12120"/>
    <cellStyle name="Percent 2 3 5 3 3 2" xfId="43443"/>
    <cellStyle name="Percent 2 3 5 3 3 2 2" xfId="58569"/>
    <cellStyle name="Percent 2 3 5 3 3 3" xfId="52374"/>
    <cellStyle name="Percent 2 3 5 3 4" xfId="3593"/>
    <cellStyle name="Percent 2 3 5 3 4 2" xfId="41207"/>
    <cellStyle name="Percent 2 3 5 3 4 2 2" xfId="56334"/>
    <cellStyle name="Percent 2 3 5 3 4 3" xfId="48286"/>
    <cellStyle name="Percent 2 3 5 3 5" xfId="38627"/>
    <cellStyle name="Percent 2 3 5 3 5 2" xfId="53780"/>
    <cellStyle name="Percent 2 3 5 3 6" xfId="46540"/>
    <cellStyle name="Percent 2 3 5 4" xfId="1521"/>
    <cellStyle name="Percent 2 3 5 4 2" xfId="5870"/>
    <cellStyle name="Percent 2 3 5 4 2 2" xfId="43869"/>
    <cellStyle name="Percent 2 3 5 4 2 2 2" xfId="58995"/>
    <cellStyle name="Percent 2 3 5 4 2 3" xfId="50555"/>
    <cellStyle name="Percent 2 3 5 4 3" xfId="12331"/>
    <cellStyle name="Percent 2 3 5 4 3 2" xfId="41633"/>
    <cellStyle name="Percent 2 3 5 4 3 2 2" xfId="56760"/>
    <cellStyle name="Percent 2 3 5 4 3 3" xfId="52585"/>
    <cellStyle name="Percent 2 3 5 4 4" xfId="3820"/>
    <cellStyle name="Percent 2 3 5 4 4 2" xfId="48513"/>
    <cellStyle name="Percent 2 3 5 4 5" xfId="39353"/>
    <cellStyle name="Percent 2 3 5 4 5 2" xfId="54481"/>
    <cellStyle name="Percent 2 3 5 4 6" xfId="46751"/>
    <cellStyle name="Percent 2 3 5 5" xfId="676"/>
    <cellStyle name="Percent 2 3 5 5 2" xfId="5025"/>
    <cellStyle name="Percent 2 3 5 5 2 2" xfId="49710"/>
    <cellStyle name="Percent 2 3 5 5 3" xfId="11486"/>
    <cellStyle name="Percent 2 3 5 5 3 2" xfId="51740"/>
    <cellStyle name="Percent 2 3 5 5 4" xfId="4179"/>
    <cellStyle name="Percent 2 3 5 5 4 2" xfId="48869"/>
    <cellStyle name="Percent 2 3 5 5 5" xfId="42741"/>
    <cellStyle name="Percent 2 3 5 5 5 2" xfId="57868"/>
    <cellStyle name="Percent 2 3 5 5 6" xfId="45906"/>
    <cellStyle name="Percent 2 3 5 6" xfId="1926"/>
    <cellStyle name="Percent 2 3 5 6 2" xfId="12733"/>
    <cellStyle name="Percent 2 3 5 6 2 2" xfId="52986"/>
    <cellStyle name="Percent 2 3 5 6 3" xfId="6273"/>
    <cellStyle name="Percent 2 3 5 6 3 2" xfId="50956"/>
    <cellStyle name="Percent 2 3 5 6 4" xfId="40506"/>
    <cellStyle name="Percent 2 3 5 6 4 2" xfId="55633"/>
    <cellStyle name="Percent 2 3 5 6 5" xfId="47152"/>
    <cellStyle name="Percent 2 3 5 7" xfId="4603"/>
    <cellStyle name="Percent 2 3 5 7 2" xfId="49290"/>
    <cellStyle name="Percent 2 3 5 8" xfId="11066"/>
    <cellStyle name="Percent 2 3 5 8 2" xfId="51320"/>
    <cellStyle name="Percent 2 3 5 9" xfId="2910"/>
    <cellStyle name="Percent 2 3 5 9 2" xfId="47604"/>
    <cellStyle name="Percent 2 3 6" xfId="345"/>
    <cellStyle name="Percent 2 3 6 10" xfId="45575"/>
    <cellStyle name="Percent 2 3 6 2" xfId="1399"/>
    <cellStyle name="Percent 2 3 6 2 2" xfId="5748"/>
    <cellStyle name="Percent 2 3 6 2 2 2" xfId="44734"/>
    <cellStyle name="Percent 2 3 6 2 2 2 2" xfId="59860"/>
    <cellStyle name="Percent 2 3 6 2 2 3" xfId="42498"/>
    <cellStyle name="Percent 2 3 6 2 2 3 2" xfId="57625"/>
    <cellStyle name="Percent 2 3 6 2 2 4" xfId="40218"/>
    <cellStyle name="Percent 2 3 6 2 2 4 2" xfId="55346"/>
    <cellStyle name="Percent 2 3 6 2 2 5" xfId="50433"/>
    <cellStyle name="Percent 2 3 6 2 3" xfId="12209"/>
    <cellStyle name="Percent 2 3 6 2 3 2" xfId="43168"/>
    <cellStyle name="Percent 2 3 6 2 3 2 2" xfId="58294"/>
    <cellStyle name="Percent 2 3 6 2 3 3" xfId="52463"/>
    <cellStyle name="Percent 2 3 6 2 4" xfId="3682"/>
    <cellStyle name="Percent 2 3 6 2 4 2" xfId="40932"/>
    <cellStyle name="Percent 2 3 6 2 4 2 2" xfId="56059"/>
    <cellStyle name="Percent 2 3 6 2 4 3" xfId="48375"/>
    <cellStyle name="Percent 2 3 6 2 5" xfId="39076"/>
    <cellStyle name="Percent 2 3 6 2 5 2" xfId="54207"/>
    <cellStyle name="Percent 2 3 6 2 6" xfId="46629"/>
    <cellStyle name="Percent 2 3 6 3" xfId="1610"/>
    <cellStyle name="Percent 2 3 6 3 2" xfId="5959"/>
    <cellStyle name="Percent 2 3 6 3 2 2" xfId="44383"/>
    <cellStyle name="Percent 2 3 6 3 2 2 2" xfId="59509"/>
    <cellStyle name="Percent 2 3 6 3 2 3" xfId="42147"/>
    <cellStyle name="Percent 2 3 6 3 2 3 2" xfId="57274"/>
    <cellStyle name="Percent 2 3 6 3 2 4" xfId="39867"/>
    <cellStyle name="Percent 2 3 6 3 2 4 2" xfId="54995"/>
    <cellStyle name="Percent 2 3 6 3 2 5" xfId="50644"/>
    <cellStyle name="Percent 2 3 6 3 3" xfId="12420"/>
    <cellStyle name="Percent 2 3 6 3 3 2" xfId="43519"/>
    <cellStyle name="Percent 2 3 6 3 3 2 2" xfId="58645"/>
    <cellStyle name="Percent 2 3 6 3 3 3" xfId="52674"/>
    <cellStyle name="Percent 2 3 6 3 4" xfId="3909"/>
    <cellStyle name="Percent 2 3 6 3 4 2" xfId="41283"/>
    <cellStyle name="Percent 2 3 6 3 4 2 2" xfId="56410"/>
    <cellStyle name="Percent 2 3 6 3 4 3" xfId="48602"/>
    <cellStyle name="Percent 2 3 6 3 5" xfId="38703"/>
    <cellStyle name="Percent 2 3 6 3 5 2" xfId="53856"/>
    <cellStyle name="Percent 2 3 6 3 6" xfId="46840"/>
    <cellStyle name="Percent 2 3 6 4" xfId="1097"/>
    <cellStyle name="Percent 2 3 6 4 2" xfId="5446"/>
    <cellStyle name="Percent 2 3 6 4 2 2" xfId="43945"/>
    <cellStyle name="Percent 2 3 6 4 2 2 2" xfId="59071"/>
    <cellStyle name="Percent 2 3 6 4 2 3" xfId="50131"/>
    <cellStyle name="Percent 2 3 6 4 3" xfId="11907"/>
    <cellStyle name="Percent 2 3 6 4 3 2" xfId="41709"/>
    <cellStyle name="Percent 2 3 6 4 3 2 2" xfId="56836"/>
    <cellStyle name="Percent 2 3 6 4 3 3" xfId="52161"/>
    <cellStyle name="Percent 2 3 6 4 4" xfId="4268"/>
    <cellStyle name="Percent 2 3 6 4 4 2" xfId="48958"/>
    <cellStyle name="Percent 2 3 6 4 5" xfId="39429"/>
    <cellStyle name="Percent 2 3 6 4 5 2" xfId="54557"/>
    <cellStyle name="Percent 2 3 6 4 6" xfId="46327"/>
    <cellStyle name="Percent 2 3 6 5" xfId="2002"/>
    <cellStyle name="Percent 2 3 6 5 2" xfId="12809"/>
    <cellStyle name="Percent 2 3 6 5 2 2" xfId="53062"/>
    <cellStyle name="Percent 2 3 6 5 3" xfId="6349"/>
    <cellStyle name="Percent 2 3 6 5 3 2" xfId="51032"/>
    <cellStyle name="Percent 2 3 6 5 4" xfId="42817"/>
    <cellStyle name="Percent 2 3 6 5 4 2" xfId="57944"/>
    <cellStyle name="Percent 2 3 6 5 5" xfId="47228"/>
    <cellStyle name="Percent 2 3 6 6" xfId="4694"/>
    <cellStyle name="Percent 2 3 6 6 2" xfId="40582"/>
    <cellStyle name="Percent 2 3 6 6 2 2" xfId="55709"/>
    <cellStyle name="Percent 2 3 6 6 3" xfId="49379"/>
    <cellStyle name="Percent 2 3 6 7" xfId="11155"/>
    <cellStyle name="Percent 2 3 6 7 2" xfId="51409"/>
    <cellStyle name="Percent 2 3 6 8" xfId="3332"/>
    <cellStyle name="Percent 2 3 6 8 2" xfId="48026"/>
    <cellStyle name="Percent 2 3 6 9" xfId="38218"/>
    <cellStyle name="Percent 2 3 6 9 2" xfId="53418"/>
    <cellStyle name="Percent 2 3 7" xfId="375"/>
    <cellStyle name="Percent 2 3 7 2" xfId="1640"/>
    <cellStyle name="Percent 2 3 7 2 2" xfId="5989"/>
    <cellStyle name="Percent 2 3 7 2 2 2" xfId="44810"/>
    <cellStyle name="Percent 2 3 7 2 2 2 2" xfId="59936"/>
    <cellStyle name="Percent 2 3 7 2 2 3" xfId="42574"/>
    <cellStyle name="Percent 2 3 7 2 2 3 2" xfId="57701"/>
    <cellStyle name="Percent 2 3 7 2 2 4" xfId="40294"/>
    <cellStyle name="Percent 2 3 7 2 2 4 2" xfId="55422"/>
    <cellStyle name="Percent 2 3 7 2 2 5" xfId="50674"/>
    <cellStyle name="Percent 2 3 7 2 3" xfId="12450"/>
    <cellStyle name="Percent 2 3 7 2 3 2" xfId="43244"/>
    <cellStyle name="Percent 2 3 7 2 3 2 2" xfId="58370"/>
    <cellStyle name="Percent 2 3 7 2 3 3" xfId="52704"/>
    <cellStyle name="Percent 2 3 7 2 4" xfId="3939"/>
    <cellStyle name="Percent 2 3 7 2 4 2" xfId="41008"/>
    <cellStyle name="Percent 2 3 7 2 4 2 2" xfId="56135"/>
    <cellStyle name="Percent 2 3 7 2 4 3" xfId="48632"/>
    <cellStyle name="Percent 2 3 7 2 5" xfId="39152"/>
    <cellStyle name="Percent 2 3 7 2 5 2" xfId="54283"/>
    <cellStyle name="Percent 2 3 7 2 6" xfId="46870"/>
    <cellStyle name="Percent 2 3 7 3" xfId="1127"/>
    <cellStyle name="Percent 2 3 7 3 2" xfId="5476"/>
    <cellStyle name="Percent 2 3 7 3 2 2" xfId="44459"/>
    <cellStyle name="Percent 2 3 7 3 2 2 2" xfId="59585"/>
    <cellStyle name="Percent 2 3 7 3 2 3" xfId="42223"/>
    <cellStyle name="Percent 2 3 7 3 2 3 2" xfId="57350"/>
    <cellStyle name="Percent 2 3 7 3 2 4" xfId="39943"/>
    <cellStyle name="Percent 2 3 7 3 2 4 2" xfId="55071"/>
    <cellStyle name="Percent 2 3 7 3 2 5" xfId="50161"/>
    <cellStyle name="Percent 2 3 7 3 3" xfId="11937"/>
    <cellStyle name="Percent 2 3 7 3 3 2" xfId="43595"/>
    <cellStyle name="Percent 2 3 7 3 3 2 2" xfId="58721"/>
    <cellStyle name="Percent 2 3 7 3 3 3" xfId="52191"/>
    <cellStyle name="Percent 2 3 7 3 4" xfId="4298"/>
    <cellStyle name="Percent 2 3 7 3 4 2" xfId="41359"/>
    <cellStyle name="Percent 2 3 7 3 4 2 2" xfId="56486"/>
    <cellStyle name="Percent 2 3 7 3 4 3" xfId="48988"/>
    <cellStyle name="Percent 2 3 7 3 5" xfId="38779"/>
    <cellStyle name="Percent 2 3 7 3 5 2" xfId="53932"/>
    <cellStyle name="Percent 2 3 7 3 6" xfId="46357"/>
    <cellStyle name="Percent 2 3 7 4" xfId="2079"/>
    <cellStyle name="Percent 2 3 7 4 2" xfId="12885"/>
    <cellStyle name="Percent 2 3 7 4 2 2" xfId="44021"/>
    <cellStyle name="Percent 2 3 7 4 2 2 2" xfId="59147"/>
    <cellStyle name="Percent 2 3 7 4 2 3" xfId="53138"/>
    <cellStyle name="Percent 2 3 7 4 3" xfId="6425"/>
    <cellStyle name="Percent 2 3 7 4 3 2" xfId="41785"/>
    <cellStyle name="Percent 2 3 7 4 3 2 2" xfId="56912"/>
    <cellStyle name="Percent 2 3 7 4 3 3" xfId="51108"/>
    <cellStyle name="Percent 2 3 7 4 4" xfId="39505"/>
    <cellStyle name="Percent 2 3 7 4 4 2" xfId="54633"/>
    <cellStyle name="Percent 2 3 7 4 5" xfId="47304"/>
    <cellStyle name="Percent 2 3 7 5" xfId="4724"/>
    <cellStyle name="Percent 2 3 7 5 2" xfId="42893"/>
    <cellStyle name="Percent 2 3 7 5 2 2" xfId="58020"/>
    <cellStyle name="Percent 2 3 7 5 3" xfId="49409"/>
    <cellStyle name="Percent 2 3 7 6" xfId="11185"/>
    <cellStyle name="Percent 2 3 7 6 2" xfId="40658"/>
    <cellStyle name="Percent 2 3 7 6 2 2" xfId="55785"/>
    <cellStyle name="Percent 2 3 7 6 3" xfId="51439"/>
    <cellStyle name="Percent 2 3 7 7" xfId="3362"/>
    <cellStyle name="Percent 2 3 7 7 2" xfId="48056"/>
    <cellStyle name="Percent 2 3 7 8" xfId="38294"/>
    <cellStyle name="Percent 2 3 7 8 2" xfId="53494"/>
    <cellStyle name="Percent 2 3 7 9" xfId="45605"/>
    <cellStyle name="Percent 2 3 8" xfId="827"/>
    <cellStyle name="Percent 2 3 8 2" xfId="5176"/>
    <cellStyle name="Percent 2 3 8 2 2" xfId="39983"/>
    <cellStyle name="Percent 2 3 8 2 2 2" xfId="44499"/>
    <cellStyle name="Percent 2 3 8 2 2 2 2" xfId="59625"/>
    <cellStyle name="Percent 2 3 8 2 2 3" xfId="42263"/>
    <cellStyle name="Percent 2 3 8 2 2 3 2" xfId="57390"/>
    <cellStyle name="Percent 2 3 8 2 2 4" xfId="55111"/>
    <cellStyle name="Percent 2 3 8 2 3" xfId="43634"/>
    <cellStyle name="Percent 2 3 8 2 3 2" xfId="58760"/>
    <cellStyle name="Percent 2 3 8 2 4" xfId="41398"/>
    <cellStyle name="Percent 2 3 8 2 4 2" xfId="56525"/>
    <cellStyle name="Percent 2 3 8 2 5" xfId="38840"/>
    <cellStyle name="Percent 2 3 8 2 5 2" xfId="53972"/>
    <cellStyle name="Percent 2 3 8 2 6" xfId="49861"/>
    <cellStyle name="Percent 2 3 8 3" xfId="11637"/>
    <cellStyle name="Percent 2 3 8 3 2" xfId="44105"/>
    <cellStyle name="Percent 2 3 8 3 2 2" xfId="59231"/>
    <cellStyle name="Percent 2 3 8 3 3" xfId="41869"/>
    <cellStyle name="Percent 2 3 8 3 3 2" xfId="56996"/>
    <cellStyle name="Percent 2 3 8 3 4" xfId="39589"/>
    <cellStyle name="Percent 2 3 8 3 4 2" xfId="54717"/>
    <cellStyle name="Percent 2 3 8 3 5" xfId="51891"/>
    <cellStyle name="Percent 2 3 8 4" xfId="3062"/>
    <cellStyle name="Percent 2 3 8 4 2" xfId="42933"/>
    <cellStyle name="Percent 2 3 8 4 2 2" xfId="58059"/>
    <cellStyle name="Percent 2 3 8 4 3" xfId="47756"/>
    <cellStyle name="Percent 2 3 8 5" xfId="40697"/>
    <cellStyle name="Percent 2 3 8 5 2" xfId="55824"/>
    <cellStyle name="Percent 2 3 8 6" xfId="38419"/>
    <cellStyle name="Percent 2 3 8 6 2" xfId="53578"/>
    <cellStyle name="Percent 2 3 8 7" xfId="46057"/>
    <cellStyle name="Percent 2 3 9" xfId="706"/>
    <cellStyle name="Percent 2 3 9 2" xfId="5055"/>
    <cellStyle name="Percent 2 3 9 2 2" xfId="44148"/>
    <cellStyle name="Percent 2 3 9 2 2 2" xfId="59274"/>
    <cellStyle name="Percent 2 3 9 2 3" xfId="41912"/>
    <cellStyle name="Percent 2 3 9 2 3 2" xfId="57039"/>
    <cellStyle name="Percent 2 3 9 2 4" xfId="39632"/>
    <cellStyle name="Percent 2 3 9 2 4 2" xfId="54760"/>
    <cellStyle name="Percent 2 3 9 2 5" xfId="49740"/>
    <cellStyle name="Percent 2 3 9 3" xfId="11516"/>
    <cellStyle name="Percent 2 3 9 3 2" xfId="43284"/>
    <cellStyle name="Percent 2 3 9 3 2 2" xfId="58410"/>
    <cellStyle name="Percent 2 3 9 3 3" xfId="51770"/>
    <cellStyle name="Percent 2 3 9 4" xfId="2940"/>
    <cellStyle name="Percent 2 3 9 4 2" xfId="41048"/>
    <cellStyle name="Percent 2 3 9 4 2 2" xfId="56175"/>
    <cellStyle name="Percent 2 3 9 4 3" xfId="47634"/>
    <cellStyle name="Percent 2 3 9 5" xfId="38465"/>
    <cellStyle name="Percent 2 3 9 5 2" xfId="53621"/>
    <cellStyle name="Percent 2 3 9 6" xfId="45936"/>
    <cellStyle name="Percent 2 4" xfId="33"/>
    <cellStyle name="Percent 2 4 10" xfId="1773"/>
    <cellStyle name="Percent 2 4 10 2" xfId="12583"/>
    <cellStyle name="Percent 2 4 10 2 2" xfId="52837"/>
    <cellStyle name="Percent 2 4 10 3" xfId="6122"/>
    <cellStyle name="Percent 2 4 10 3 2" xfId="50807"/>
    <cellStyle name="Percent 2 4 10 4" xfId="40344"/>
    <cellStyle name="Percent 2 4 10 4 2" xfId="55472"/>
    <cellStyle name="Percent 2 4 10 5" xfId="47003"/>
    <cellStyle name="Percent 2 4 11" xfId="2666"/>
    <cellStyle name="Percent 2 4 11 2" xfId="4427"/>
    <cellStyle name="Percent 2 4 11 2 2" xfId="49117"/>
    <cellStyle name="Percent 2 4 11 3" xfId="47398"/>
    <cellStyle name="Percent 2 4 12" xfId="10892"/>
    <cellStyle name="Percent 2 4 12 2" xfId="51147"/>
    <cellStyle name="Percent 2 4 13" xfId="2708"/>
    <cellStyle name="Percent 2 4 13 2" xfId="47432"/>
    <cellStyle name="Percent 2 4 14" xfId="37992"/>
    <cellStyle name="Percent 2 4 14 2" xfId="53193"/>
    <cellStyle name="Percent 2 4 15" xfId="45325"/>
    <cellStyle name="Percent 2 4 2" xfId="160"/>
    <cellStyle name="Percent 2 4 2 10" xfId="10982"/>
    <cellStyle name="Percent 2 4 2 10 2" xfId="51236"/>
    <cellStyle name="Percent 2 4 2 11" xfId="2822"/>
    <cellStyle name="Percent 2 4 2 11 2" xfId="47520"/>
    <cellStyle name="Percent 2 4 2 12" xfId="38071"/>
    <cellStyle name="Percent 2 4 2 12 2" xfId="53271"/>
    <cellStyle name="Percent 2 4 2 13" xfId="45402"/>
    <cellStyle name="Percent 2 4 2 2" xfId="259"/>
    <cellStyle name="Percent 2 4 2 2 10" xfId="38147"/>
    <cellStyle name="Percent 2 4 2 2 10 2" xfId="53347"/>
    <cellStyle name="Percent 2 4 2 2 11" xfId="45491"/>
    <cellStyle name="Percent 2 4 2 2 2" xfId="1013"/>
    <cellStyle name="Percent 2 4 2 2 2 2" xfId="5362"/>
    <cellStyle name="Percent 2 4 2 2 2 2 2" xfId="44663"/>
    <cellStyle name="Percent 2 4 2 2 2 2 2 2" xfId="59789"/>
    <cellStyle name="Percent 2 4 2 2 2 2 3" xfId="42427"/>
    <cellStyle name="Percent 2 4 2 2 2 2 3 2" xfId="57554"/>
    <cellStyle name="Percent 2 4 2 2 2 2 4" xfId="40147"/>
    <cellStyle name="Percent 2 4 2 2 2 2 4 2" xfId="55275"/>
    <cellStyle name="Percent 2 4 2 2 2 2 5" xfId="50047"/>
    <cellStyle name="Percent 2 4 2 2 2 3" xfId="11823"/>
    <cellStyle name="Percent 2 4 2 2 2 3 2" xfId="43097"/>
    <cellStyle name="Percent 2 4 2 2 2 3 2 2" xfId="58223"/>
    <cellStyle name="Percent 2 4 2 2 2 3 3" xfId="52077"/>
    <cellStyle name="Percent 2 4 2 2 2 4" xfId="3248"/>
    <cellStyle name="Percent 2 4 2 2 2 4 2" xfId="40861"/>
    <cellStyle name="Percent 2 4 2 2 2 4 2 2" xfId="55988"/>
    <cellStyle name="Percent 2 4 2 2 2 4 3" xfId="47942"/>
    <cellStyle name="Percent 2 4 2 2 2 5" xfId="39005"/>
    <cellStyle name="Percent 2 4 2 2 2 5 2" xfId="54136"/>
    <cellStyle name="Percent 2 4 2 2 2 6" xfId="46243"/>
    <cellStyle name="Percent 2 4 2 2 3" xfId="1315"/>
    <cellStyle name="Percent 2 4 2 2 3 2" xfId="5664"/>
    <cellStyle name="Percent 2 4 2 2 3 2 2" xfId="44312"/>
    <cellStyle name="Percent 2 4 2 2 3 2 2 2" xfId="59438"/>
    <cellStyle name="Percent 2 4 2 2 3 2 3" xfId="42076"/>
    <cellStyle name="Percent 2 4 2 2 3 2 3 2" xfId="57203"/>
    <cellStyle name="Percent 2 4 2 2 3 2 4" xfId="39796"/>
    <cellStyle name="Percent 2 4 2 2 3 2 4 2" xfId="54924"/>
    <cellStyle name="Percent 2 4 2 2 3 2 5" xfId="50349"/>
    <cellStyle name="Percent 2 4 2 2 3 3" xfId="12125"/>
    <cellStyle name="Percent 2 4 2 2 3 3 2" xfId="43448"/>
    <cellStyle name="Percent 2 4 2 2 3 3 2 2" xfId="58574"/>
    <cellStyle name="Percent 2 4 2 2 3 3 3" xfId="52379"/>
    <cellStyle name="Percent 2 4 2 2 3 4" xfId="3598"/>
    <cellStyle name="Percent 2 4 2 2 3 4 2" xfId="41212"/>
    <cellStyle name="Percent 2 4 2 2 3 4 2 2" xfId="56339"/>
    <cellStyle name="Percent 2 4 2 2 3 4 3" xfId="48291"/>
    <cellStyle name="Percent 2 4 2 2 3 5" xfId="38632"/>
    <cellStyle name="Percent 2 4 2 2 3 5 2" xfId="53785"/>
    <cellStyle name="Percent 2 4 2 2 3 6" xfId="46545"/>
    <cellStyle name="Percent 2 4 2 2 4" xfId="1526"/>
    <cellStyle name="Percent 2 4 2 2 4 2" xfId="5875"/>
    <cellStyle name="Percent 2 4 2 2 4 2 2" xfId="43874"/>
    <cellStyle name="Percent 2 4 2 2 4 2 2 2" xfId="59000"/>
    <cellStyle name="Percent 2 4 2 2 4 2 3" xfId="50560"/>
    <cellStyle name="Percent 2 4 2 2 4 3" xfId="12336"/>
    <cellStyle name="Percent 2 4 2 2 4 3 2" xfId="41638"/>
    <cellStyle name="Percent 2 4 2 2 4 3 2 2" xfId="56765"/>
    <cellStyle name="Percent 2 4 2 2 4 3 3" xfId="52590"/>
    <cellStyle name="Percent 2 4 2 2 4 4" xfId="3825"/>
    <cellStyle name="Percent 2 4 2 2 4 4 2" xfId="48518"/>
    <cellStyle name="Percent 2 4 2 2 4 5" xfId="39358"/>
    <cellStyle name="Percent 2 4 2 2 4 5 2" xfId="54486"/>
    <cellStyle name="Percent 2 4 2 2 4 6" xfId="46756"/>
    <cellStyle name="Percent 2 4 2 2 5" xfId="681"/>
    <cellStyle name="Percent 2 4 2 2 5 2" xfId="5030"/>
    <cellStyle name="Percent 2 4 2 2 5 2 2" xfId="49715"/>
    <cellStyle name="Percent 2 4 2 2 5 3" xfId="11491"/>
    <cellStyle name="Percent 2 4 2 2 5 3 2" xfId="51745"/>
    <cellStyle name="Percent 2 4 2 2 5 4" xfId="4184"/>
    <cellStyle name="Percent 2 4 2 2 5 4 2" xfId="48874"/>
    <cellStyle name="Percent 2 4 2 2 5 5" xfId="42746"/>
    <cellStyle name="Percent 2 4 2 2 5 5 2" xfId="57873"/>
    <cellStyle name="Percent 2 4 2 2 5 6" xfId="45911"/>
    <cellStyle name="Percent 2 4 2 2 6" xfId="1931"/>
    <cellStyle name="Percent 2 4 2 2 6 2" xfId="12738"/>
    <cellStyle name="Percent 2 4 2 2 6 2 2" xfId="52991"/>
    <cellStyle name="Percent 2 4 2 2 6 3" xfId="6278"/>
    <cellStyle name="Percent 2 4 2 2 6 3 2" xfId="50961"/>
    <cellStyle name="Percent 2 4 2 2 6 4" xfId="40511"/>
    <cellStyle name="Percent 2 4 2 2 6 4 2" xfId="55638"/>
    <cellStyle name="Percent 2 4 2 2 6 5" xfId="47157"/>
    <cellStyle name="Percent 2 4 2 2 7" xfId="4608"/>
    <cellStyle name="Percent 2 4 2 2 7 2" xfId="49295"/>
    <cellStyle name="Percent 2 4 2 2 8" xfId="11071"/>
    <cellStyle name="Percent 2 4 2 2 8 2" xfId="51325"/>
    <cellStyle name="Percent 2 4 2 2 9" xfId="2915"/>
    <cellStyle name="Percent 2 4 2 2 9 2" xfId="47609"/>
    <cellStyle name="Percent 2 4 2 3" xfId="350"/>
    <cellStyle name="Percent 2 4 2 3 10" xfId="45580"/>
    <cellStyle name="Percent 2 4 2 3 2" xfId="1404"/>
    <cellStyle name="Percent 2 4 2 3 2 2" xfId="5753"/>
    <cellStyle name="Percent 2 4 2 3 2 2 2" xfId="44739"/>
    <cellStyle name="Percent 2 4 2 3 2 2 2 2" xfId="59865"/>
    <cellStyle name="Percent 2 4 2 3 2 2 3" xfId="42503"/>
    <cellStyle name="Percent 2 4 2 3 2 2 3 2" xfId="57630"/>
    <cellStyle name="Percent 2 4 2 3 2 2 4" xfId="40223"/>
    <cellStyle name="Percent 2 4 2 3 2 2 4 2" xfId="55351"/>
    <cellStyle name="Percent 2 4 2 3 2 2 5" xfId="50438"/>
    <cellStyle name="Percent 2 4 2 3 2 3" xfId="12214"/>
    <cellStyle name="Percent 2 4 2 3 2 3 2" xfId="43173"/>
    <cellStyle name="Percent 2 4 2 3 2 3 2 2" xfId="58299"/>
    <cellStyle name="Percent 2 4 2 3 2 3 3" xfId="52468"/>
    <cellStyle name="Percent 2 4 2 3 2 4" xfId="3687"/>
    <cellStyle name="Percent 2 4 2 3 2 4 2" xfId="40937"/>
    <cellStyle name="Percent 2 4 2 3 2 4 2 2" xfId="56064"/>
    <cellStyle name="Percent 2 4 2 3 2 4 3" xfId="48380"/>
    <cellStyle name="Percent 2 4 2 3 2 5" xfId="39081"/>
    <cellStyle name="Percent 2 4 2 3 2 5 2" xfId="54212"/>
    <cellStyle name="Percent 2 4 2 3 2 6" xfId="46634"/>
    <cellStyle name="Percent 2 4 2 3 3" xfId="1615"/>
    <cellStyle name="Percent 2 4 2 3 3 2" xfId="5964"/>
    <cellStyle name="Percent 2 4 2 3 3 2 2" xfId="44388"/>
    <cellStyle name="Percent 2 4 2 3 3 2 2 2" xfId="59514"/>
    <cellStyle name="Percent 2 4 2 3 3 2 3" xfId="42152"/>
    <cellStyle name="Percent 2 4 2 3 3 2 3 2" xfId="57279"/>
    <cellStyle name="Percent 2 4 2 3 3 2 4" xfId="39872"/>
    <cellStyle name="Percent 2 4 2 3 3 2 4 2" xfId="55000"/>
    <cellStyle name="Percent 2 4 2 3 3 2 5" xfId="50649"/>
    <cellStyle name="Percent 2 4 2 3 3 3" xfId="12425"/>
    <cellStyle name="Percent 2 4 2 3 3 3 2" xfId="43524"/>
    <cellStyle name="Percent 2 4 2 3 3 3 2 2" xfId="58650"/>
    <cellStyle name="Percent 2 4 2 3 3 3 3" xfId="52679"/>
    <cellStyle name="Percent 2 4 2 3 3 4" xfId="3914"/>
    <cellStyle name="Percent 2 4 2 3 3 4 2" xfId="41288"/>
    <cellStyle name="Percent 2 4 2 3 3 4 2 2" xfId="56415"/>
    <cellStyle name="Percent 2 4 2 3 3 4 3" xfId="48607"/>
    <cellStyle name="Percent 2 4 2 3 3 5" xfId="38708"/>
    <cellStyle name="Percent 2 4 2 3 3 5 2" xfId="53861"/>
    <cellStyle name="Percent 2 4 2 3 3 6" xfId="46845"/>
    <cellStyle name="Percent 2 4 2 3 4" xfId="1102"/>
    <cellStyle name="Percent 2 4 2 3 4 2" xfId="5451"/>
    <cellStyle name="Percent 2 4 2 3 4 2 2" xfId="43950"/>
    <cellStyle name="Percent 2 4 2 3 4 2 2 2" xfId="59076"/>
    <cellStyle name="Percent 2 4 2 3 4 2 3" xfId="50136"/>
    <cellStyle name="Percent 2 4 2 3 4 3" xfId="11912"/>
    <cellStyle name="Percent 2 4 2 3 4 3 2" xfId="41714"/>
    <cellStyle name="Percent 2 4 2 3 4 3 2 2" xfId="56841"/>
    <cellStyle name="Percent 2 4 2 3 4 3 3" xfId="52166"/>
    <cellStyle name="Percent 2 4 2 3 4 4" xfId="4273"/>
    <cellStyle name="Percent 2 4 2 3 4 4 2" xfId="48963"/>
    <cellStyle name="Percent 2 4 2 3 4 5" xfId="39434"/>
    <cellStyle name="Percent 2 4 2 3 4 5 2" xfId="54562"/>
    <cellStyle name="Percent 2 4 2 3 4 6" xfId="46332"/>
    <cellStyle name="Percent 2 4 2 3 5" xfId="2007"/>
    <cellStyle name="Percent 2 4 2 3 5 2" xfId="12814"/>
    <cellStyle name="Percent 2 4 2 3 5 2 2" xfId="53067"/>
    <cellStyle name="Percent 2 4 2 3 5 3" xfId="6354"/>
    <cellStyle name="Percent 2 4 2 3 5 3 2" xfId="51037"/>
    <cellStyle name="Percent 2 4 2 3 5 4" xfId="42822"/>
    <cellStyle name="Percent 2 4 2 3 5 4 2" xfId="57949"/>
    <cellStyle name="Percent 2 4 2 3 5 5" xfId="47233"/>
    <cellStyle name="Percent 2 4 2 3 6" xfId="4699"/>
    <cellStyle name="Percent 2 4 2 3 6 2" xfId="40587"/>
    <cellStyle name="Percent 2 4 2 3 6 2 2" xfId="55714"/>
    <cellStyle name="Percent 2 4 2 3 6 3" xfId="49384"/>
    <cellStyle name="Percent 2 4 2 3 7" xfId="11160"/>
    <cellStyle name="Percent 2 4 2 3 7 2" xfId="51414"/>
    <cellStyle name="Percent 2 4 2 3 8" xfId="3337"/>
    <cellStyle name="Percent 2 4 2 3 8 2" xfId="48031"/>
    <cellStyle name="Percent 2 4 2 3 9" xfId="38223"/>
    <cellStyle name="Percent 2 4 2 3 9 2" xfId="53423"/>
    <cellStyle name="Percent 2 4 2 4" xfId="471"/>
    <cellStyle name="Percent 2 4 2 4 2" xfId="1736"/>
    <cellStyle name="Percent 2 4 2 4 2 2" xfId="6085"/>
    <cellStyle name="Percent 2 4 2 4 2 2 2" xfId="44815"/>
    <cellStyle name="Percent 2 4 2 4 2 2 2 2" xfId="59941"/>
    <cellStyle name="Percent 2 4 2 4 2 2 3" xfId="42579"/>
    <cellStyle name="Percent 2 4 2 4 2 2 3 2" xfId="57706"/>
    <cellStyle name="Percent 2 4 2 4 2 2 4" xfId="40299"/>
    <cellStyle name="Percent 2 4 2 4 2 2 4 2" xfId="55427"/>
    <cellStyle name="Percent 2 4 2 4 2 2 5" xfId="50770"/>
    <cellStyle name="Percent 2 4 2 4 2 3" xfId="12546"/>
    <cellStyle name="Percent 2 4 2 4 2 3 2" xfId="43249"/>
    <cellStyle name="Percent 2 4 2 4 2 3 2 2" xfId="58375"/>
    <cellStyle name="Percent 2 4 2 4 2 3 3" xfId="52800"/>
    <cellStyle name="Percent 2 4 2 4 2 4" xfId="4035"/>
    <cellStyle name="Percent 2 4 2 4 2 4 2" xfId="41013"/>
    <cellStyle name="Percent 2 4 2 4 2 4 2 2" xfId="56140"/>
    <cellStyle name="Percent 2 4 2 4 2 4 3" xfId="48728"/>
    <cellStyle name="Percent 2 4 2 4 2 5" xfId="39157"/>
    <cellStyle name="Percent 2 4 2 4 2 5 2" xfId="54288"/>
    <cellStyle name="Percent 2 4 2 4 2 6" xfId="46966"/>
    <cellStyle name="Percent 2 4 2 4 3" xfId="1223"/>
    <cellStyle name="Percent 2 4 2 4 3 2" xfId="5572"/>
    <cellStyle name="Percent 2 4 2 4 3 2 2" xfId="44464"/>
    <cellStyle name="Percent 2 4 2 4 3 2 2 2" xfId="59590"/>
    <cellStyle name="Percent 2 4 2 4 3 2 3" xfId="42228"/>
    <cellStyle name="Percent 2 4 2 4 3 2 3 2" xfId="57355"/>
    <cellStyle name="Percent 2 4 2 4 3 2 4" xfId="39948"/>
    <cellStyle name="Percent 2 4 2 4 3 2 4 2" xfId="55076"/>
    <cellStyle name="Percent 2 4 2 4 3 2 5" xfId="50257"/>
    <cellStyle name="Percent 2 4 2 4 3 3" xfId="12033"/>
    <cellStyle name="Percent 2 4 2 4 3 3 2" xfId="43600"/>
    <cellStyle name="Percent 2 4 2 4 3 3 2 2" xfId="58726"/>
    <cellStyle name="Percent 2 4 2 4 3 3 3" xfId="52287"/>
    <cellStyle name="Percent 2 4 2 4 3 4" xfId="4394"/>
    <cellStyle name="Percent 2 4 2 4 3 4 2" xfId="41364"/>
    <cellStyle name="Percent 2 4 2 4 3 4 2 2" xfId="56491"/>
    <cellStyle name="Percent 2 4 2 4 3 4 3" xfId="49084"/>
    <cellStyle name="Percent 2 4 2 4 3 5" xfId="38784"/>
    <cellStyle name="Percent 2 4 2 4 3 5 2" xfId="53937"/>
    <cellStyle name="Percent 2 4 2 4 3 6" xfId="46453"/>
    <cellStyle name="Percent 2 4 2 4 4" xfId="2084"/>
    <cellStyle name="Percent 2 4 2 4 4 2" xfId="12890"/>
    <cellStyle name="Percent 2 4 2 4 4 2 2" xfId="44026"/>
    <cellStyle name="Percent 2 4 2 4 4 2 2 2" xfId="59152"/>
    <cellStyle name="Percent 2 4 2 4 4 2 3" xfId="53143"/>
    <cellStyle name="Percent 2 4 2 4 4 3" xfId="6430"/>
    <cellStyle name="Percent 2 4 2 4 4 3 2" xfId="41790"/>
    <cellStyle name="Percent 2 4 2 4 4 3 2 2" xfId="56917"/>
    <cellStyle name="Percent 2 4 2 4 4 3 3" xfId="51113"/>
    <cellStyle name="Percent 2 4 2 4 4 4" xfId="39510"/>
    <cellStyle name="Percent 2 4 2 4 4 4 2" xfId="54638"/>
    <cellStyle name="Percent 2 4 2 4 4 5" xfId="47309"/>
    <cellStyle name="Percent 2 4 2 4 5" xfId="4820"/>
    <cellStyle name="Percent 2 4 2 4 5 2" xfId="42898"/>
    <cellStyle name="Percent 2 4 2 4 5 2 2" xfId="58025"/>
    <cellStyle name="Percent 2 4 2 4 5 3" xfId="49505"/>
    <cellStyle name="Percent 2 4 2 4 6" xfId="11281"/>
    <cellStyle name="Percent 2 4 2 4 6 2" xfId="40663"/>
    <cellStyle name="Percent 2 4 2 4 6 2 2" xfId="55790"/>
    <cellStyle name="Percent 2 4 2 4 6 3" xfId="51535"/>
    <cellStyle name="Percent 2 4 2 4 7" xfId="3458"/>
    <cellStyle name="Percent 2 4 2 4 7 2" xfId="48152"/>
    <cellStyle name="Percent 2 4 2 4 8" xfId="38299"/>
    <cellStyle name="Percent 2 4 2 4 8 2" xfId="53499"/>
    <cellStyle name="Percent 2 4 2 4 9" xfId="45701"/>
    <cellStyle name="Percent 2 4 2 5" xfId="924"/>
    <cellStyle name="Percent 2 4 2 5 2" xfId="5273"/>
    <cellStyle name="Percent 2 4 2 5 2 2" xfId="40071"/>
    <cellStyle name="Percent 2 4 2 5 2 2 2" xfId="44587"/>
    <cellStyle name="Percent 2 4 2 5 2 2 2 2" xfId="59713"/>
    <cellStyle name="Percent 2 4 2 5 2 2 3" xfId="42351"/>
    <cellStyle name="Percent 2 4 2 5 2 2 3 2" xfId="57478"/>
    <cellStyle name="Percent 2 4 2 5 2 2 4" xfId="55199"/>
    <cellStyle name="Percent 2 4 2 5 2 3" xfId="43692"/>
    <cellStyle name="Percent 2 4 2 5 2 3 2" xfId="58818"/>
    <cellStyle name="Percent 2 4 2 5 2 4" xfId="41456"/>
    <cellStyle name="Percent 2 4 2 5 2 4 2" xfId="56583"/>
    <cellStyle name="Percent 2 4 2 5 2 5" xfId="38928"/>
    <cellStyle name="Percent 2 4 2 5 2 5 2" xfId="54060"/>
    <cellStyle name="Percent 2 4 2 5 2 6" xfId="49958"/>
    <cellStyle name="Percent 2 4 2 5 3" xfId="11734"/>
    <cellStyle name="Percent 2 4 2 5 3 2" xfId="44110"/>
    <cellStyle name="Percent 2 4 2 5 3 2 2" xfId="59236"/>
    <cellStyle name="Percent 2 4 2 5 3 3" xfId="41874"/>
    <cellStyle name="Percent 2 4 2 5 3 3 2" xfId="57001"/>
    <cellStyle name="Percent 2 4 2 5 3 4" xfId="39594"/>
    <cellStyle name="Percent 2 4 2 5 3 4 2" xfId="54722"/>
    <cellStyle name="Percent 2 4 2 5 3 5" xfId="51988"/>
    <cellStyle name="Percent 2 4 2 5 4" xfId="3159"/>
    <cellStyle name="Percent 2 4 2 5 4 2" xfId="43021"/>
    <cellStyle name="Percent 2 4 2 5 4 2 2" xfId="58147"/>
    <cellStyle name="Percent 2 4 2 5 4 3" xfId="47853"/>
    <cellStyle name="Percent 2 4 2 5 5" xfId="40785"/>
    <cellStyle name="Percent 2 4 2 5 5 2" xfId="55912"/>
    <cellStyle name="Percent 2 4 2 5 6" xfId="38424"/>
    <cellStyle name="Percent 2 4 2 5 6 2" xfId="53583"/>
    <cellStyle name="Percent 2 4 2 5 7" xfId="46154"/>
    <cellStyle name="Percent 2 4 2 6" xfId="802"/>
    <cellStyle name="Percent 2 4 2 6 2" xfId="5151"/>
    <cellStyle name="Percent 2 4 2 6 2 2" xfId="44236"/>
    <cellStyle name="Percent 2 4 2 6 2 2 2" xfId="59362"/>
    <cellStyle name="Percent 2 4 2 6 2 3" xfId="42000"/>
    <cellStyle name="Percent 2 4 2 6 2 3 2" xfId="57127"/>
    <cellStyle name="Percent 2 4 2 6 2 4" xfId="39720"/>
    <cellStyle name="Percent 2 4 2 6 2 4 2" xfId="54848"/>
    <cellStyle name="Percent 2 4 2 6 2 5" xfId="49836"/>
    <cellStyle name="Percent 2 4 2 6 3" xfId="11612"/>
    <cellStyle name="Percent 2 4 2 6 3 2" xfId="43372"/>
    <cellStyle name="Percent 2 4 2 6 3 2 2" xfId="58498"/>
    <cellStyle name="Percent 2 4 2 6 3 3" xfId="51866"/>
    <cellStyle name="Percent 2 4 2 6 4" xfId="3037"/>
    <cellStyle name="Percent 2 4 2 6 4 2" xfId="41136"/>
    <cellStyle name="Percent 2 4 2 6 4 2 2" xfId="56263"/>
    <cellStyle name="Percent 2 4 2 6 4 3" xfId="47731"/>
    <cellStyle name="Percent 2 4 2 6 5" xfId="38554"/>
    <cellStyle name="Percent 2 4 2 6 5 2" xfId="53709"/>
    <cellStyle name="Percent 2 4 2 6 6" xfId="46032"/>
    <cellStyle name="Percent 2 4 2 7" xfId="592"/>
    <cellStyle name="Percent 2 4 2 7 2" xfId="4941"/>
    <cellStyle name="Percent 2 4 2 7 2 2" xfId="43798"/>
    <cellStyle name="Percent 2 4 2 7 2 2 2" xfId="58924"/>
    <cellStyle name="Percent 2 4 2 7 2 3" xfId="49626"/>
    <cellStyle name="Percent 2 4 2 7 3" xfId="11402"/>
    <cellStyle name="Percent 2 4 2 7 3 2" xfId="41562"/>
    <cellStyle name="Percent 2 4 2 7 3 2 2" xfId="56689"/>
    <cellStyle name="Percent 2 4 2 7 3 3" xfId="51656"/>
    <cellStyle name="Percent 2 4 2 7 4" xfId="3522"/>
    <cellStyle name="Percent 2 4 2 7 4 2" xfId="48215"/>
    <cellStyle name="Percent 2 4 2 7 5" xfId="39282"/>
    <cellStyle name="Percent 2 4 2 7 5 2" xfId="54410"/>
    <cellStyle name="Percent 2 4 2 7 6" xfId="45822"/>
    <cellStyle name="Percent 2 4 2 8" xfId="1852"/>
    <cellStyle name="Percent 2 4 2 8 2" xfId="12661"/>
    <cellStyle name="Percent 2 4 2 8 2 2" xfId="52915"/>
    <cellStyle name="Percent 2 4 2 8 3" xfId="6200"/>
    <cellStyle name="Percent 2 4 2 8 3 2" xfId="50885"/>
    <cellStyle name="Percent 2 4 2 8 4" xfId="42670"/>
    <cellStyle name="Percent 2 4 2 8 4 2" xfId="57797"/>
    <cellStyle name="Percent 2 4 2 8 5" xfId="47081"/>
    <cellStyle name="Percent 2 4 2 9" xfId="2667"/>
    <cellStyle name="Percent 2 4 2 9 2" xfId="4516"/>
    <cellStyle name="Percent 2 4 2 9 2 2" xfId="49206"/>
    <cellStyle name="Percent 2 4 2 9 3" xfId="40435"/>
    <cellStyle name="Percent 2 4 2 9 3 2" xfId="55562"/>
    <cellStyle name="Percent 2 4 2 9 4" xfId="47399"/>
    <cellStyle name="Percent 2 4 3" xfId="159"/>
    <cellStyle name="Percent 2 4 3 10" xfId="38070"/>
    <cellStyle name="Percent 2 4 3 10 2" xfId="53270"/>
    <cellStyle name="Percent 2 4 3 11" xfId="45401"/>
    <cellStyle name="Percent 2 4 3 2" xfId="470"/>
    <cellStyle name="Percent 2 4 3 2 2" xfId="1447"/>
    <cellStyle name="Percent 2 4 3 2 2 2" xfId="5796"/>
    <cellStyle name="Percent 2 4 3 2 2 2 2" xfId="44586"/>
    <cellStyle name="Percent 2 4 3 2 2 2 2 2" xfId="59712"/>
    <cellStyle name="Percent 2 4 3 2 2 2 3" xfId="50481"/>
    <cellStyle name="Percent 2 4 3 2 2 3" xfId="12257"/>
    <cellStyle name="Percent 2 4 3 2 2 3 2" xfId="42350"/>
    <cellStyle name="Percent 2 4 3 2 2 3 2 2" xfId="57477"/>
    <cellStyle name="Percent 2 4 3 2 2 3 3" xfId="52511"/>
    <cellStyle name="Percent 2 4 3 2 2 4" xfId="3730"/>
    <cellStyle name="Percent 2 4 3 2 2 4 2" xfId="48423"/>
    <cellStyle name="Percent 2 4 3 2 2 5" xfId="40070"/>
    <cellStyle name="Percent 2 4 3 2 2 5 2" xfId="55198"/>
    <cellStyle name="Percent 2 4 3 2 2 6" xfId="46677"/>
    <cellStyle name="Percent 2 4 3 2 3" xfId="1735"/>
    <cellStyle name="Percent 2 4 3 2 3 2" xfId="6084"/>
    <cellStyle name="Percent 2 4 3 2 3 2 2" xfId="50769"/>
    <cellStyle name="Percent 2 4 3 2 3 3" xfId="12545"/>
    <cellStyle name="Percent 2 4 3 2 3 3 2" xfId="52799"/>
    <cellStyle name="Percent 2 4 3 2 3 4" xfId="4034"/>
    <cellStyle name="Percent 2 4 3 2 3 4 2" xfId="48727"/>
    <cellStyle name="Percent 2 4 3 2 3 5" xfId="43020"/>
    <cellStyle name="Percent 2 4 3 2 3 5 2" xfId="58146"/>
    <cellStyle name="Percent 2 4 3 2 3 6" xfId="46965"/>
    <cellStyle name="Percent 2 4 3 2 4" xfId="1222"/>
    <cellStyle name="Percent 2 4 3 2 4 2" xfId="5571"/>
    <cellStyle name="Percent 2 4 3 2 4 2 2" xfId="50256"/>
    <cellStyle name="Percent 2 4 3 2 4 3" xfId="12032"/>
    <cellStyle name="Percent 2 4 3 2 4 3 2" xfId="52286"/>
    <cellStyle name="Percent 2 4 3 2 4 4" xfId="4393"/>
    <cellStyle name="Percent 2 4 3 2 4 4 2" xfId="49083"/>
    <cellStyle name="Percent 2 4 3 2 4 5" xfId="40784"/>
    <cellStyle name="Percent 2 4 3 2 4 5 2" xfId="55911"/>
    <cellStyle name="Percent 2 4 3 2 4 6" xfId="46452"/>
    <cellStyle name="Percent 2 4 3 2 5" xfId="4819"/>
    <cellStyle name="Percent 2 4 3 2 5 2" xfId="49504"/>
    <cellStyle name="Percent 2 4 3 2 6" xfId="11280"/>
    <cellStyle name="Percent 2 4 3 2 6 2" xfId="51534"/>
    <cellStyle name="Percent 2 4 3 2 7" xfId="3457"/>
    <cellStyle name="Percent 2 4 3 2 7 2" xfId="48151"/>
    <cellStyle name="Percent 2 4 3 2 8" xfId="38927"/>
    <cellStyle name="Percent 2 4 3 2 8 2" xfId="54059"/>
    <cellStyle name="Percent 2 4 3 2 9" xfId="45700"/>
    <cellStyle name="Percent 2 4 3 3" xfId="923"/>
    <cellStyle name="Percent 2 4 3 3 2" xfId="5272"/>
    <cellStyle name="Percent 2 4 3 3 2 2" xfId="44235"/>
    <cellStyle name="Percent 2 4 3 3 2 2 2" xfId="59361"/>
    <cellStyle name="Percent 2 4 3 3 2 3" xfId="41999"/>
    <cellStyle name="Percent 2 4 3 3 2 3 2" xfId="57126"/>
    <cellStyle name="Percent 2 4 3 3 2 4" xfId="39719"/>
    <cellStyle name="Percent 2 4 3 3 2 4 2" xfId="54847"/>
    <cellStyle name="Percent 2 4 3 3 2 5" xfId="49957"/>
    <cellStyle name="Percent 2 4 3 3 3" xfId="11733"/>
    <cellStyle name="Percent 2 4 3 3 3 2" xfId="43371"/>
    <cellStyle name="Percent 2 4 3 3 3 2 2" xfId="58497"/>
    <cellStyle name="Percent 2 4 3 3 3 3" xfId="51987"/>
    <cellStyle name="Percent 2 4 3 3 4" xfId="3158"/>
    <cellStyle name="Percent 2 4 3 3 4 2" xfId="41135"/>
    <cellStyle name="Percent 2 4 3 3 4 2 2" xfId="56262"/>
    <cellStyle name="Percent 2 4 3 3 4 3" xfId="47852"/>
    <cellStyle name="Percent 2 4 3 3 5" xfId="38553"/>
    <cellStyle name="Percent 2 4 3 3 5 2" xfId="53708"/>
    <cellStyle name="Percent 2 4 3 3 6" xfId="46153"/>
    <cellStyle name="Percent 2 4 3 4" xfId="801"/>
    <cellStyle name="Percent 2 4 3 4 2" xfId="5150"/>
    <cellStyle name="Percent 2 4 3 4 2 2" xfId="43797"/>
    <cellStyle name="Percent 2 4 3 4 2 2 2" xfId="58923"/>
    <cellStyle name="Percent 2 4 3 4 2 3" xfId="49835"/>
    <cellStyle name="Percent 2 4 3 4 3" xfId="11611"/>
    <cellStyle name="Percent 2 4 3 4 3 2" xfId="41561"/>
    <cellStyle name="Percent 2 4 3 4 3 2 2" xfId="56688"/>
    <cellStyle name="Percent 2 4 3 4 3 3" xfId="51865"/>
    <cellStyle name="Percent 2 4 3 4 4" xfId="3036"/>
    <cellStyle name="Percent 2 4 3 4 4 2" xfId="47730"/>
    <cellStyle name="Percent 2 4 3 4 5" xfId="39281"/>
    <cellStyle name="Percent 2 4 3 4 5 2" xfId="54409"/>
    <cellStyle name="Percent 2 4 3 4 6" xfId="46031"/>
    <cellStyle name="Percent 2 4 3 5" xfId="591"/>
    <cellStyle name="Percent 2 4 3 5 2" xfId="4940"/>
    <cellStyle name="Percent 2 4 3 5 2 2" xfId="49625"/>
    <cellStyle name="Percent 2 4 3 5 3" xfId="11401"/>
    <cellStyle name="Percent 2 4 3 5 3 2" xfId="51655"/>
    <cellStyle name="Percent 2 4 3 5 4" xfId="3750"/>
    <cellStyle name="Percent 2 4 3 5 4 2" xfId="48443"/>
    <cellStyle name="Percent 2 4 3 5 5" xfId="42669"/>
    <cellStyle name="Percent 2 4 3 5 5 2" xfId="57796"/>
    <cellStyle name="Percent 2 4 3 5 6" xfId="45821"/>
    <cellStyle name="Percent 2 4 3 6" xfId="1851"/>
    <cellStyle name="Percent 2 4 3 6 2" xfId="12660"/>
    <cellStyle name="Percent 2 4 3 6 2 2" xfId="52914"/>
    <cellStyle name="Percent 2 4 3 6 3" xfId="6199"/>
    <cellStyle name="Percent 2 4 3 6 3 2" xfId="50884"/>
    <cellStyle name="Percent 2 4 3 6 4" xfId="40434"/>
    <cellStyle name="Percent 2 4 3 6 4 2" xfId="55561"/>
    <cellStyle name="Percent 2 4 3 6 5" xfId="47080"/>
    <cellStyle name="Percent 2 4 3 7" xfId="4515"/>
    <cellStyle name="Percent 2 4 3 7 2" xfId="49205"/>
    <cellStyle name="Percent 2 4 3 8" xfId="10981"/>
    <cellStyle name="Percent 2 4 3 8 2" xfId="51235"/>
    <cellStyle name="Percent 2 4 3 9" xfId="2821"/>
    <cellStyle name="Percent 2 4 3 9 2" xfId="47519"/>
    <cellStyle name="Percent 2 4 4" xfId="258"/>
    <cellStyle name="Percent 2 4 4 10" xfId="38146"/>
    <cellStyle name="Percent 2 4 4 10 2" xfId="53346"/>
    <cellStyle name="Percent 2 4 4 11" xfId="45490"/>
    <cellStyle name="Percent 2 4 4 2" xfId="1012"/>
    <cellStyle name="Percent 2 4 4 2 2" xfId="5361"/>
    <cellStyle name="Percent 2 4 4 2 2 2" xfId="44662"/>
    <cellStyle name="Percent 2 4 4 2 2 2 2" xfId="59788"/>
    <cellStyle name="Percent 2 4 4 2 2 3" xfId="42426"/>
    <cellStyle name="Percent 2 4 4 2 2 3 2" xfId="57553"/>
    <cellStyle name="Percent 2 4 4 2 2 4" xfId="40146"/>
    <cellStyle name="Percent 2 4 4 2 2 4 2" xfId="55274"/>
    <cellStyle name="Percent 2 4 4 2 2 5" xfId="50046"/>
    <cellStyle name="Percent 2 4 4 2 3" xfId="11822"/>
    <cellStyle name="Percent 2 4 4 2 3 2" xfId="43096"/>
    <cellStyle name="Percent 2 4 4 2 3 2 2" xfId="58222"/>
    <cellStyle name="Percent 2 4 4 2 3 3" xfId="52076"/>
    <cellStyle name="Percent 2 4 4 2 4" xfId="3247"/>
    <cellStyle name="Percent 2 4 4 2 4 2" xfId="40860"/>
    <cellStyle name="Percent 2 4 4 2 4 2 2" xfId="55987"/>
    <cellStyle name="Percent 2 4 4 2 4 3" xfId="47941"/>
    <cellStyle name="Percent 2 4 4 2 5" xfId="39004"/>
    <cellStyle name="Percent 2 4 4 2 5 2" xfId="54135"/>
    <cellStyle name="Percent 2 4 4 2 6" xfId="46242"/>
    <cellStyle name="Percent 2 4 4 3" xfId="1314"/>
    <cellStyle name="Percent 2 4 4 3 2" xfId="5663"/>
    <cellStyle name="Percent 2 4 4 3 2 2" xfId="44311"/>
    <cellStyle name="Percent 2 4 4 3 2 2 2" xfId="59437"/>
    <cellStyle name="Percent 2 4 4 3 2 3" xfId="42075"/>
    <cellStyle name="Percent 2 4 4 3 2 3 2" xfId="57202"/>
    <cellStyle name="Percent 2 4 4 3 2 4" xfId="39795"/>
    <cellStyle name="Percent 2 4 4 3 2 4 2" xfId="54923"/>
    <cellStyle name="Percent 2 4 4 3 2 5" xfId="50348"/>
    <cellStyle name="Percent 2 4 4 3 3" xfId="12124"/>
    <cellStyle name="Percent 2 4 4 3 3 2" xfId="43447"/>
    <cellStyle name="Percent 2 4 4 3 3 2 2" xfId="58573"/>
    <cellStyle name="Percent 2 4 4 3 3 3" xfId="52378"/>
    <cellStyle name="Percent 2 4 4 3 4" xfId="3597"/>
    <cellStyle name="Percent 2 4 4 3 4 2" xfId="41211"/>
    <cellStyle name="Percent 2 4 4 3 4 2 2" xfId="56338"/>
    <cellStyle name="Percent 2 4 4 3 4 3" xfId="48290"/>
    <cellStyle name="Percent 2 4 4 3 5" xfId="38631"/>
    <cellStyle name="Percent 2 4 4 3 5 2" xfId="53784"/>
    <cellStyle name="Percent 2 4 4 3 6" xfId="46544"/>
    <cellStyle name="Percent 2 4 4 4" xfId="1525"/>
    <cellStyle name="Percent 2 4 4 4 2" xfId="5874"/>
    <cellStyle name="Percent 2 4 4 4 2 2" xfId="43873"/>
    <cellStyle name="Percent 2 4 4 4 2 2 2" xfId="58999"/>
    <cellStyle name="Percent 2 4 4 4 2 3" xfId="50559"/>
    <cellStyle name="Percent 2 4 4 4 3" xfId="12335"/>
    <cellStyle name="Percent 2 4 4 4 3 2" xfId="41637"/>
    <cellStyle name="Percent 2 4 4 4 3 2 2" xfId="56764"/>
    <cellStyle name="Percent 2 4 4 4 3 3" xfId="52589"/>
    <cellStyle name="Percent 2 4 4 4 4" xfId="3824"/>
    <cellStyle name="Percent 2 4 4 4 4 2" xfId="48517"/>
    <cellStyle name="Percent 2 4 4 4 5" xfId="39357"/>
    <cellStyle name="Percent 2 4 4 4 5 2" xfId="54485"/>
    <cellStyle name="Percent 2 4 4 4 6" xfId="46755"/>
    <cellStyle name="Percent 2 4 4 5" xfId="680"/>
    <cellStyle name="Percent 2 4 4 5 2" xfId="5029"/>
    <cellStyle name="Percent 2 4 4 5 2 2" xfId="49714"/>
    <cellStyle name="Percent 2 4 4 5 3" xfId="11490"/>
    <cellStyle name="Percent 2 4 4 5 3 2" xfId="51744"/>
    <cellStyle name="Percent 2 4 4 5 4" xfId="4183"/>
    <cellStyle name="Percent 2 4 4 5 4 2" xfId="48873"/>
    <cellStyle name="Percent 2 4 4 5 5" xfId="42745"/>
    <cellStyle name="Percent 2 4 4 5 5 2" xfId="57872"/>
    <cellStyle name="Percent 2 4 4 5 6" xfId="45910"/>
    <cellStyle name="Percent 2 4 4 6" xfId="1930"/>
    <cellStyle name="Percent 2 4 4 6 2" xfId="12737"/>
    <cellStyle name="Percent 2 4 4 6 2 2" xfId="52990"/>
    <cellStyle name="Percent 2 4 4 6 3" xfId="6277"/>
    <cellStyle name="Percent 2 4 4 6 3 2" xfId="50960"/>
    <cellStyle name="Percent 2 4 4 6 4" xfId="40510"/>
    <cellStyle name="Percent 2 4 4 6 4 2" xfId="55637"/>
    <cellStyle name="Percent 2 4 4 6 5" xfId="47156"/>
    <cellStyle name="Percent 2 4 4 7" xfId="4607"/>
    <cellStyle name="Percent 2 4 4 7 2" xfId="49294"/>
    <cellStyle name="Percent 2 4 4 8" xfId="11070"/>
    <cellStyle name="Percent 2 4 4 8 2" xfId="51324"/>
    <cellStyle name="Percent 2 4 4 9" xfId="2914"/>
    <cellStyle name="Percent 2 4 4 9 2" xfId="47608"/>
    <cellStyle name="Percent 2 4 5" xfId="349"/>
    <cellStyle name="Percent 2 4 5 10" xfId="45579"/>
    <cellStyle name="Percent 2 4 5 2" xfId="1403"/>
    <cellStyle name="Percent 2 4 5 2 2" xfId="5752"/>
    <cellStyle name="Percent 2 4 5 2 2 2" xfId="44738"/>
    <cellStyle name="Percent 2 4 5 2 2 2 2" xfId="59864"/>
    <cellStyle name="Percent 2 4 5 2 2 3" xfId="42502"/>
    <cellStyle name="Percent 2 4 5 2 2 3 2" xfId="57629"/>
    <cellStyle name="Percent 2 4 5 2 2 4" xfId="40222"/>
    <cellStyle name="Percent 2 4 5 2 2 4 2" xfId="55350"/>
    <cellStyle name="Percent 2 4 5 2 2 5" xfId="50437"/>
    <cellStyle name="Percent 2 4 5 2 3" xfId="12213"/>
    <cellStyle name="Percent 2 4 5 2 3 2" xfId="43172"/>
    <cellStyle name="Percent 2 4 5 2 3 2 2" xfId="58298"/>
    <cellStyle name="Percent 2 4 5 2 3 3" xfId="52467"/>
    <cellStyle name="Percent 2 4 5 2 4" xfId="3686"/>
    <cellStyle name="Percent 2 4 5 2 4 2" xfId="40936"/>
    <cellStyle name="Percent 2 4 5 2 4 2 2" xfId="56063"/>
    <cellStyle name="Percent 2 4 5 2 4 3" xfId="48379"/>
    <cellStyle name="Percent 2 4 5 2 5" xfId="39080"/>
    <cellStyle name="Percent 2 4 5 2 5 2" xfId="54211"/>
    <cellStyle name="Percent 2 4 5 2 6" xfId="46633"/>
    <cellStyle name="Percent 2 4 5 3" xfId="1614"/>
    <cellStyle name="Percent 2 4 5 3 2" xfId="5963"/>
    <cellStyle name="Percent 2 4 5 3 2 2" xfId="44387"/>
    <cellStyle name="Percent 2 4 5 3 2 2 2" xfId="59513"/>
    <cellStyle name="Percent 2 4 5 3 2 3" xfId="42151"/>
    <cellStyle name="Percent 2 4 5 3 2 3 2" xfId="57278"/>
    <cellStyle name="Percent 2 4 5 3 2 4" xfId="39871"/>
    <cellStyle name="Percent 2 4 5 3 2 4 2" xfId="54999"/>
    <cellStyle name="Percent 2 4 5 3 2 5" xfId="50648"/>
    <cellStyle name="Percent 2 4 5 3 3" xfId="12424"/>
    <cellStyle name="Percent 2 4 5 3 3 2" xfId="43523"/>
    <cellStyle name="Percent 2 4 5 3 3 2 2" xfId="58649"/>
    <cellStyle name="Percent 2 4 5 3 3 3" xfId="52678"/>
    <cellStyle name="Percent 2 4 5 3 4" xfId="3913"/>
    <cellStyle name="Percent 2 4 5 3 4 2" xfId="41287"/>
    <cellStyle name="Percent 2 4 5 3 4 2 2" xfId="56414"/>
    <cellStyle name="Percent 2 4 5 3 4 3" xfId="48606"/>
    <cellStyle name="Percent 2 4 5 3 5" xfId="38707"/>
    <cellStyle name="Percent 2 4 5 3 5 2" xfId="53860"/>
    <cellStyle name="Percent 2 4 5 3 6" xfId="46844"/>
    <cellStyle name="Percent 2 4 5 4" xfId="1101"/>
    <cellStyle name="Percent 2 4 5 4 2" xfId="5450"/>
    <cellStyle name="Percent 2 4 5 4 2 2" xfId="43949"/>
    <cellStyle name="Percent 2 4 5 4 2 2 2" xfId="59075"/>
    <cellStyle name="Percent 2 4 5 4 2 3" xfId="50135"/>
    <cellStyle name="Percent 2 4 5 4 3" xfId="11911"/>
    <cellStyle name="Percent 2 4 5 4 3 2" xfId="41713"/>
    <cellStyle name="Percent 2 4 5 4 3 2 2" xfId="56840"/>
    <cellStyle name="Percent 2 4 5 4 3 3" xfId="52165"/>
    <cellStyle name="Percent 2 4 5 4 4" xfId="4272"/>
    <cellStyle name="Percent 2 4 5 4 4 2" xfId="48962"/>
    <cellStyle name="Percent 2 4 5 4 5" xfId="39433"/>
    <cellStyle name="Percent 2 4 5 4 5 2" xfId="54561"/>
    <cellStyle name="Percent 2 4 5 4 6" xfId="46331"/>
    <cellStyle name="Percent 2 4 5 5" xfId="2006"/>
    <cellStyle name="Percent 2 4 5 5 2" xfId="12813"/>
    <cellStyle name="Percent 2 4 5 5 2 2" xfId="53066"/>
    <cellStyle name="Percent 2 4 5 5 3" xfId="6353"/>
    <cellStyle name="Percent 2 4 5 5 3 2" xfId="51036"/>
    <cellStyle name="Percent 2 4 5 5 4" xfId="42821"/>
    <cellStyle name="Percent 2 4 5 5 4 2" xfId="57948"/>
    <cellStyle name="Percent 2 4 5 5 5" xfId="47232"/>
    <cellStyle name="Percent 2 4 5 6" xfId="4698"/>
    <cellStyle name="Percent 2 4 5 6 2" xfId="40586"/>
    <cellStyle name="Percent 2 4 5 6 2 2" xfId="55713"/>
    <cellStyle name="Percent 2 4 5 6 3" xfId="49383"/>
    <cellStyle name="Percent 2 4 5 7" xfId="11159"/>
    <cellStyle name="Percent 2 4 5 7 2" xfId="51413"/>
    <cellStyle name="Percent 2 4 5 8" xfId="3336"/>
    <cellStyle name="Percent 2 4 5 8 2" xfId="48030"/>
    <cellStyle name="Percent 2 4 5 9" xfId="38222"/>
    <cellStyle name="Percent 2 4 5 9 2" xfId="53422"/>
    <cellStyle name="Percent 2 4 6" xfId="383"/>
    <cellStyle name="Percent 2 4 6 2" xfId="1648"/>
    <cellStyle name="Percent 2 4 6 2 2" xfId="5997"/>
    <cellStyle name="Percent 2 4 6 2 2 2" xfId="44814"/>
    <cellStyle name="Percent 2 4 6 2 2 2 2" xfId="59940"/>
    <cellStyle name="Percent 2 4 6 2 2 3" xfId="42578"/>
    <cellStyle name="Percent 2 4 6 2 2 3 2" xfId="57705"/>
    <cellStyle name="Percent 2 4 6 2 2 4" xfId="40298"/>
    <cellStyle name="Percent 2 4 6 2 2 4 2" xfId="55426"/>
    <cellStyle name="Percent 2 4 6 2 2 5" xfId="50682"/>
    <cellStyle name="Percent 2 4 6 2 3" xfId="12458"/>
    <cellStyle name="Percent 2 4 6 2 3 2" xfId="43248"/>
    <cellStyle name="Percent 2 4 6 2 3 2 2" xfId="58374"/>
    <cellStyle name="Percent 2 4 6 2 3 3" xfId="52712"/>
    <cellStyle name="Percent 2 4 6 2 4" xfId="3947"/>
    <cellStyle name="Percent 2 4 6 2 4 2" xfId="41012"/>
    <cellStyle name="Percent 2 4 6 2 4 2 2" xfId="56139"/>
    <cellStyle name="Percent 2 4 6 2 4 3" xfId="48640"/>
    <cellStyle name="Percent 2 4 6 2 5" xfId="39156"/>
    <cellStyle name="Percent 2 4 6 2 5 2" xfId="54287"/>
    <cellStyle name="Percent 2 4 6 2 6" xfId="46878"/>
    <cellStyle name="Percent 2 4 6 3" xfId="1135"/>
    <cellStyle name="Percent 2 4 6 3 2" xfId="5484"/>
    <cellStyle name="Percent 2 4 6 3 2 2" xfId="44463"/>
    <cellStyle name="Percent 2 4 6 3 2 2 2" xfId="59589"/>
    <cellStyle name="Percent 2 4 6 3 2 3" xfId="42227"/>
    <cellStyle name="Percent 2 4 6 3 2 3 2" xfId="57354"/>
    <cellStyle name="Percent 2 4 6 3 2 4" xfId="39947"/>
    <cellStyle name="Percent 2 4 6 3 2 4 2" xfId="55075"/>
    <cellStyle name="Percent 2 4 6 3 2 5" xfId="50169"/>
    <cellStyle name="Percent 2 4 6 3 3" xfId="11945"/>
    <cellStyle name="Percent 2 4 6 3 3 2" xfId="43599"/>
    <cellStyle name="Percent 2 4 6 3 3 2 2" xfId="58725"/>
    <cellStyle name="Percent 2 4 6 3 3 3" xfId="52199"/>
    <cellStyle name="Percent 2 4 6 3 4" xfId="4306"/>
    <cellStyle name="Percent 2 4 6 3 4 2" xfId="41363"/>
    <cellStyle name="Percent 2 4 6 3 4 2 2" xfId="56490"/>
    <cellStyle name="Percent 2 4 6 3 4 3" xfId="48996"/>
    <cellStyle name="Percent 2 4 6 3 5" xfId="38783"/>
    <cellStyle name="Percent 2 4 6 3 5 2" xfId="53936"/>
    <cellStyle name="Percent 2 4 6 3 6" xfId="46365"/>
    <cellStyle name="Percent 2 4 6 4" xfId="2083"/>
    <cellStyle name="Percent 2 4 6 4 2" xfId="12889"/>
    <cellStyle name="Percent 2 4 6 4 2 2" xfId="44025"/>
    <cellStyle name="Percent 2 4 6 4 2 2 2" xfId="59151"/>
    <cellStyle name="Percent 2 4 6 4 2 3" xfId="53142"/>
    <cellStyle name="Percent 2 4 6 4 3" xfId="6429"/>
    <cellStyle name="Percent 2 4 6 4 3 2" xfId="41789"/>
    <cellStyle name="Percent 2 4 6 4 3 2 2" xfId="56916"/>
    <cellStyle name="Percent 2 4 6 4 3 3" xfId="51112"/>
    <cellStyle name="Percent 2 4 6 4 4" xfId="39509"/>
    <cellStyle name="Percent 2 4 6 4 4 2" xfId="54637"/>
    <cellStyle name="Percent 2 4 6 4 5" xfId="47308"/>
    <cellStyle name="Percent 2 4 6 5" xfId="4732"/>
    <cellStyle name="Percent 2 4 6 5 2" xfId="42897"/>
    <cellStyle name="Percent 2 4 6 5 2 2" xfId="58024"/>
    <cellStyle name="Percent 2 4 6 5 3" xfId="49417"/>
    <cellStyle name="Percent 2 4 6 6" xfId="11193"/>
    <cellStyle name="Percent 2 4 6 6 2" xfId="40662"/>
    <cellStyle name="Percent 2 4 6 6 2 2" xfId="55789"/>
    <cellStyle name="Percent 2 4 6 6 3" xfId="51447"/>
    <cellStyle name="Percent 2 4 6 7" xfId="3370"/>
    <cellStyle name="Percent 2 4 6 7 2" xfId="48064"/>
    <cellStyle name="Percent 2 4 6 8" xfId="38298"/>
    <cellStyle name="Percent 2 4 6 8 2" xfId="53498"/>
    <cellStyle name="Percent 2 4 6 9" xfId="45613"/>
    <cellStyle name="Percent 2 4 7" xfId="835"/>
    <cellStyle name="Percent 2 4 7 2" xfId="5184"/>
    <cellStyle name="Percent 2 4 7 2 2" xfId="39993"/>
    <cellStyle name="Percent 2 4 7 2 2 2" xfId="44509"/>
    <cellStyle name="Percent 2 4 7 2 2 2 2" xfId="59635"/>
    <cellStyle name="Percent 2 4 7 2 2 3" xfId="42273"/>
    <cellStyle name="Percent 2 4 7 2 2 3 2" xfId="57400"/>
    <cellStyle name="Percent 2 4 7 2 2 4" xfId="55121"/>
    <cellStyle name="Percent 2 4 7 2 3" xfId="43644"/>
    <cellStyle name="Percent 2 4 7 2 3 2" xfId="58770"/>
    <cellStyle name="Percent 2 4 7 2 4" xfId="41408"/>
    <cellStyle name="Percent 2 4 7 2 4 2" xfId="56535"/>
    <cellStyle name="Percent 2 4 7 2 5" xfId="38850"/>
    <cellStyle name="Percent 2 4 7 2 5 2" xfId="53982"/>
    <cellStyle name="Percent 2 4 7 2 6" xfId="49869"/>
    <cellStyle name="Percent 2 4 7 3" xfId="11645"/>
    <cellStyle name="Percent 2 4 7 3 2" xfId="44109"/>
    <cellStyle name="Percent 2 4 7 3 2 2" xfId="59235"/>
    <cellStyle name="Percent 2 4 7 3 3" xfId="41873"/>
    <cellStyle name="Percent 2 4 7 3 3 2" xfId="57000"/>
    <cellStyle name="Percent 2 4 7 3 4" xfId="39593"/>
    <cellStyle name="Percent 2 4 7 3 4 2" xfId="54721"/>
    <cellStyle name="Percent 2 4 7 3 5" xfId="51899"/>
    <cellStyle name="Percent 2 4 7 4" xfId="3070"/>
    <cellStyle name="Percent 2 4 7 4 2" xfId="42943"/>
    <cellStyle name="Percent 2 4 7 4 2 2" xfId="58069"/>
    <cellStyle name="Percent 2 4 7 4 3" xfId="47764"/>
    <cellStyle name="Percent 2 4 7 5" xfId="40707"/>
    <cellStyle name="Percent 2 4 7 5 2" xfId="55834"/>
    <cellStyle name="Percent 2 4 7 6" xfId="38423"/>
    <cellStyle name="Percent 2 4 7 6 2" xfId="53582"/>
    <cellStyle name="Percent 2 4 7 7" xfId="46065"/>
    <cellStyle name="Percent 2 4 8" xfId="714"/>
    <cellStyle name="Percent 2 4 8 2" xfId="5063"/>
    <cellStyle name="Percent 2 4 8 2 2" xfId="44158"/>
    <cellStyle name="Percent 2 4 8 2 2 2" xfId="59284"/>
    <cellStyle name="Percent 2 4 8 2 3" xfId="41922"/>
    <cellStyle name="Percent 2 4 8 2 3 2" xfId="57049"/>
    <cellStyle name="Percent 2 4 8 2 4" xfId="39642"/>
    <cellStyle name="Percent 2 4 8 2 4 2" xfId="54770"/>
    <cellStyle name="Percent 2 4 8 2 5" xfId="49748"/>
    <cellStyle name="Percent 2 4 8 3" xfId="11524"/>
    <cellStyle name="Percent 2 4 8 3 2" xfId="43294"/>
    <cellStyle name="Percent 2 4 8 3 2 2" xfId="58420"/>
    <cellStyle name="Percent 2 4 8 3 3" xfId="51778"/>
    <cellStyle name="Percent 2 4 8 4" xfId="2948"/>
    <cellStyle name="Percent 2 4 8 4 2" xfId="41058"/>
    <cellStyle name="Percent 2 4 8 4 2 2" xfId="56185"/>
    <cellStyle name="Percent 2 4 8 4 3" xfId="47642"/>
    <cellStyle name="Percent 2 4 8 5" xfId="38475"/>
    <cellStyle name="Percent 2 4 8 5 2" xfId="53631"/>
    <cellStyle name="Percent 2 4 8 6" xfId="45944"/>
    <cellStyle name="Percent 2 4 9" xfId="504"/>
    <cellStyle name="Percent 2 4 9 2" xfId="4853"/>
    <cellStyle name="Percent 2 4 9 2 2" xfId="43720"/>
    <cellStyle name="Percent 2 4 9 2 2 2" xfId="58846"/>
    <cellStyle name="Percent 2 4 9 2 3" xfId="49538"/>
    <cellStyle name="Percent 2 4 9 3" xfId="11314"/>
    <cellStyle name="Percent 2 4 9 3 2" xfId="41484"/>
    <cellStyle name="Percent 2 4 9 3 2 2" xfId="56611"/>
    <cellStyle name="Percent 2 4 9 3 3" xfId="51568"/>
    <cellStyle name="Percent 2 4 9 4" xfId="3474"/>
    <cellStyle name="Percent 2 4 9 4 2" xfId="48168"/>
    <cellStyle name="Percent 2 4 9 5" xfId="39204"/>
    <cellStyle name="Percent 2 4 9 5 2" xfId="54332"/>
    <cellStyle name="Percent 2 4 9 6" xfId="45734"/>
    <cellStyle name="Percent 2 5" xfId="161"/>
    <cellStyle name="Percent 2 5 2" xfId="162"/>
    <cellStyle name="Percent 2 5 2 2" xfId="38824"/>
    <cellStyle name="Percent 2 5 3" xfId="163"/>
    <cellStyle name="Percent 2 5 3 2" xfId="38825"/>
    <cellStyle name="Percent 2 5 4" xfId="276"/>
    <cellStyle name="Percent 2 5 4 2" xfId="1853"/>
    <cellStyle name="Percent 2 5 4 2 2" xfId="39182"/>
    <cellStyle name="Percent 2 5 4 3" xfId="4625"/>
    <cellStyle name="Percent 2 5 4 4" xfId="38555"/>
    <cellStyle name="Percent 2 6" xfId="164"/>
    <cellStyle name="Percent 2 6 10" xfId="10983"/>
    <cellStyle name="Percent 2 6 10 2" xfId="51237"/>
    <cellStyle name="Percent 2 6 11" xfId="2823"/>
    <cellStyle name="Percent 2 6 11 2" xfId="47521"/>
    <cellStyle name="Percent 2 6 12" xfId="38072"/>
    <cellStyle name="Percent 2 6 12 2" xfId="53272"/>
    <cellStyle name="Percent 2 6 13" xfId="45403"/>
    <cellStyle name="Percent 2 6 2" xfId="260"/>
    <cellStyle name="Percent 2 6 2 10" xfId="38148"/>
    <cellStyle name="Percent 2 6 2 10 2" xfId="53348"/>
    <cellStyle name="Percent 2 6 2 11" xfId="45492"/>
    <cellStyle name="Percent 2 6 2 2" xfId="1014"/>
    <cellStyle name="Percent 2 6 2 2 2" xfId="5363"/>
    <cellStyle name="Percent 2 6 2 2 2 2" xfId="44664"/>
    <cellStyle name="Percent 2 6 2 2 2 2 2" xfId="59790"/>
    <cellStyle name="Percent 2 6 2 2 2 3" xfId="42428"/>
    <cellStyle name="Percent 2 6 2 2 2 3 2" xfId="57555"/>
    <cellStyle name="Percent 2 6 2 2 2 4" xfId="40148"/>
    <cellStyle name="Percent 2 6 2 2 2 4 2" xfId="55276"/>
    <cellStyle name="Percent 2 6 2 2 2 5" xfId="50048"/>
    <cellStyle name="Percent 2 6 2 2 3" xfId="11824"/>
    <cellStyle name="Percent 2 6 2 2 3 2" xfId="43098"/>
    <cellStyle name="Percent 2 6 2 2 3 2 2" xfId="58224"/>
    <cellStyle name="Percent 2 6 2 2 3 3" xfId="52078"/>
    <cellStyle name="Percent 2 6 2 2 4" xfId="3249"/>
    <cellStyle name="Percent 2 6 2 2 4 2" xfId="40862"/>
    <cellStyle name="Percent 2 6 2 2 4 2 2" xfId="55989"/>
    <cellStyle name="Percent 2 6 2 2 4 3" xfId="47943"/>
    <cellStyle name="Percent 2 6 2 2 5" xfId="39006"/>
    <cellStyle name="Percent 2 6 2 2 5 2" xfId="54137"/>
    <cellStyle name="Percent 2 6 2 2 6" xfId="46244"/>
    <cellStyle name="Percent 2 6 2 3" xfId="1316"/>
    <cellStyle name="Percent 2 6 2 3 2" xfId="5665"/>
    <cellStyle name="Percent 2 6 2 3 2 2" xfId="44313"/>
    <cellStyle name="Percent 2 6 2 3 2 2 2" xfId="59439"/>
    <cellStyle name="Percent 2 6 2 3 2 3" xfId="42077"/>
    <cellStyle name="Percent 2 6 2 3 2 3 2" xfId="57204"/>
    <cellStyle name="Percent 2 6 2 3 2 4" xfId="39797"/>
    <cellStyle name="Percent 2 6 2 3 2 4 2" xfId="54925"/>
    <cellStyle name="Percent 2 6 2 3 2 5" xfId="50350"/>
    <cellStyle name="Percent 2 6 2 3 3" xfId="12126"/>
    <cellStyle name="Percent 2 6 2 3 3 2" xfId="43449"/>
    <cellStyle name="Percent 2 6 2 3 3 2 2" xfId="58575"/>
    <cellStyle name="Percent 2 6 2 3 3 3" xfId="52380"/>
    <cellStyle name="Percent 2 6 2 3 4" xfId="3599"/>
    <cellStyle name="Percent 2 6 2 3 4 2" xfId="41213"/>
    <cellStyle name="Percent 2 6 2 3 4 2 2" xfId="56340"/>
    <cellStyle name="Percent 2 6 2 3 4 3" xfId="48292"/>
    <cellStyle name="Percent 2 6 2 3 5" xfId="38633"/>
    <cellStyle name="Percent 2 6 2 3 5 2" xfId="53786"/>
    <cellStyle name="Percent 2 6 2 3 6" xfId="46546"/>
    <cellStyle name="Percent 2 6 2 4" xfId="1527"/>
    <cellStyle name="Percent 2 6 2 4 2" xfId="5876"/>
    <cellStyle name="Percent 2 6 2 4 2 2" xfId="43875"/>
    <cellStyle name="Percent 2 6 2 4 2 2 2" xfId="59001"/>
    <cellStyle name="Percent 2 6 2 4 2 3" xfId="50561"/>
    <cellStyle name="Percent 2 6 2 4 3" xfId="12337"/>
    <cellStyle name="Percent 2 6 2 4 3 2" xfId="41639"/>
    <cellStyle name="Percent 2 6 2 4 3 2 2" xfId="56766"/>
    <cellStyle name="Percent 2 6 2 4 3 3" xfId="52591"/>
    <cellStyle name="Percent 2 6 2 4 4" xfId="3826"/>
    <cellStyle name="Percent 2 6 2 4 4 2" xfId="48519"/>
    <cellStyle name="Percent 2 6 2 4 5" xfId="39359"/>
    <cellStyle name="Percent 2 6 2 4 5 2" xfId="54487"/>
    <cellStyle name="Percent 2 6 2 4 6" xfId="46757"/>
    <cellStyle name="Percent 2 6 2 5" xfId="682"/>
    <cellStyle name="Percent 2 6 2 5 2" xfId="5031"/>
    <cellStyle name="Percent 2 6 2 5 2 2" xfId="49716"/>
    <cellStyle name="Percent 2 6 2 5 3" xfId="11492"/>
    <cellStyle name="Percent 2 6 2 5 3 2" xfId="51746"/>
    <cellStyle name="Percent 2 6 2 5 4" xfId="4185"/>
    <cellStyle name="Percent 2 6 2 5 4 2" xfId="48875"/>
    <cellStyle name="Percent 2 6 2 5 5" xfId="42747"/>
    <cellStyle name="Percent 2 6 2 5 5 2" xfId="57874"/>
    <cellStyle name="Percent 2 6 2 5 6" xfId="45912"/>
    <cellStyle name="Percent 2 6 2 6" xfId="1932"/>
    <cellStyle name="Percent 2 6 2 6 2" xfId="12739"/>
    <cellStyle name="Percent 2 6 2 6 2 2" xfId="52992"/>
    <cellStyle name="Percent 2 6 2 6 3" xfId="6279"/>
    <cellStyle name="Percent 2 6 2 6 3 2" xfId="50962"/>
    <cellStyle name="Percent 2 6 2 6 4" xfId="40512"/>
    <cellStyle name="Percent 2 6 2 6 4 2" xfId="55639"/>
    <cellStyle name="Percent 2 6 2 6 5" xfId="47158"/>
    <cellStyle name="Percent 2 6 2 7" xfId="4609"/>
    <cellStyle name="Percent 2 6 2 7 2" xfId="49296"/>
    <cellStyle name="Percent 2 6 2 8" xfId="11072"/>
    <cellStyle name="Percent 2 6 2 8 2" xfId="51326"/>
    <cellStyle name="Percent 2 6 2 9" xfId="2916"/>
    <cellStyle name="Percent 2 6 2 9 2" xfId="47610"/>
    <cellStyle name="Percent 2 6 3" xfId="351"/>
    <cellStyle name="Percent 2 6 3 10" xfId="45581"/>
    <cellStyle name="Percent 2 6 3 2" xfId="1405"/>
    <cellStyle name="Percent 2 6 3 2 2" xfId="5754"/>
    <cellStyle name="Percent 2 6 3 2 2 2" xfId="44740"/>
    <cellStyle name="Percent 2 6 3 2 2 2 2" xfId="59866"/>
    <cellStyle name="Percent 2 6 3 2 2 3" xfId="42504"/>
    <cellStyle name="Percent 2 6 3 2 2 3 2" xfId="57631"/>
    <cellStyle name="Percent 2 6 3 2 2 4" xfId="40224"/>
    <cellStyle name="Percent 2 6 3 2 2 4 2" xfId="55352"/>
    <cellStyle name="Percent 2 6 3 2 2 5" xfId="50439"/>
    <cellStyle name="Percent 2 6 3 2 3" xfId="12215"/>
    <cellStyle name="Percent 2 6 3 2 3 2" xfId="43174"/>
    <cellStyle name="Percent 2 6 3 2 3 2 2" xfId="58300"/>
    <cellStyle name="Percent 2 6 3 2 3 3" xfId="52469"/>
    <cellStyle name="Percent 2 6 3 2 4" xfId="3688"/>
    <cellStyle name="Percent 2 6 3 2 4 2" xfId="40938"/>
    <cellStyle name="Percent 2 6 3 2 4 2 2" xfId="56065"/>
    <cellStyle name="Percent 2 6 3 2 4 3" xfId="48381"/>
    <cellStyle name="Percent 2 6 3 2 5" xfId="39082"/>
    <cellStyle name="Percent 2 6 3 2 5 2" xfId="54213"/>
    <cellStyle name="Percent 2 6 3 2 6" xfId="46635"/>
    <cellStyle name="Percent 2 6 3 3" xfId="1616"/>
    <cellStyle name="Percent 2 6 3 3 2" xfId="5965"/>
    <cellStyle name="Percent 2 6 3 3 2 2" xfId="44389"/>
    <cellStyle name="Percent 2 6 3 3 2 2 2" xfId="59515"/>
    <cellStyle name="Percent 2 6 3 3 2 3" xfId="42153"/>
    <cellStyle name="Percent 2 6 3 3 2 3 2" xfId="57280"/>
    <cellStyle name="Percent 2 6 3 3 2 4" xfId="39873"/>
    <cellStyle name="Percent 2 6 3 3 2 4 2" xfId="55001"/>
    <cellStyle name="Percent 2 6 3 3 2 5" xfId="50650"/>
    <cellStyle name="Percent 2 6 3 3 3" xfId="12426"/>
    <cellStyle name="Percent 2 6 3 3 3 2" xfId="43525"/>
    <cellStyle name="Percent 2 6 3 3 3 2 2" xfId="58651"/>
    <cellStyle name="Percent 2 6 3 3 3 3" xfId="52680"/>
    <cellStyle name="Percent 2 6 3 3 4" xfId="3915"/>
    <cellStyle name="Percent 2 6 3 3 4 2" xfId="41289"/>
    <cellStyle name="Percent 2 6 3 3 4 2 2" xfId="56416"/>
    <cellStyle name="Percent 2 6 3 3 4 3" xfId="48608"/>
    <cellStyle name="Percent 2 6 3 3 5" xfId="38709"/>
    <cellStyle name="Percent 2 6 3 3 5 2" xfId="53862"/>
    <cellStyle name="Percent 2 6 3 3 6" xfId="46846"/>
    <cellStyle name="Percent 2 6 3 4" xfId="1103"/>
    <cellStyle name="Percent 2 6 3 4 2" xfId="5452"/>
    <cellStyle name="Percent 2 6 3 4 2 2" xfId="43951"/>
    <cellStyle name="Percent 2 6 3 4 2 2 2" xfId="59077"/>
    <cellStyle name="Percent 2 6 3 4 2 3" xfId="50137"/>
    <cellStyle name="Percent 2 6 3 4 3" xfId="11913"/>
    <cellStyle name="Percent 2 6 3 4 3 2" xfId="41715"/>
    <cellStyle name="Percent 2 6 3 4 3 2 2" xfId="56842"/>
    <cellStyle name="Percent 2 6 3 4 3 3" xfId="52167"/>
    <cellStyle name="Percent 2 6 3 4 4" xfId="4274"/>
    <cellStyle name="Percent 2 6 3 4 4 2" xfId="48964"/>
    <cellStyle name="Percent 2 6 3 4 5" xfId="39435"/>
    <cellStyle name="Percent 2 6 3 4 5 2" xfId="54563"/>
    <cellStyle name="Percent 2 6 3 4 6" xfId="46333"/>
    <cellStyle name="Percent 2 6 3 5" xfId="2008"/>
    <cellStyle name="Percent 2 6 3 5 2" xfId="12815"/>
    <cellStyle name="Percent 2 6 3 5 2 2" xfId="53068"/>
    <cellStyle name="Percent 2 6 3 5 3" xfId="6355"/>
    <cellStyle name="Percent 2 6 3 5 3 2" xfId="51038"/>
    <cellStyle name="Percent 2 6 3 5 4" xfId="42823"/>
    <cellStyle name="Percent 2 6 3 5 4 2" xfId="57950"/>
    <cellStyle name="Percent 2 6 3 5 5" xfId="47234"/>
    <cellStyle name="Percent 2 6 3 6" xfId="4700"/>
    <cellStyle name="Percent 2 6 3 6 2" xfId="40588"/>
    <cellStyle name="Percent 2 6 3 6 2 2" xfId="55715"/>
    <cellStyle name="Percent 2 6 3 6 3" xfId="49385"/>
    <cellStyle name="Percent 2 6 3 7" xfId="11161"/>
    <cellStyle name="Percent 2 6 3 7 2" xfId="51415"/>
    <cellStyle name="Percent 2 6 3 8" xfId="3338"/>
    <cellStyle name="Percent 2 6 3 8 2" xfId="48032"/>
    <cellStyle name="Percent 2 6 3 9" xfId="38224"/>
    <cellStyle name="Percent 2 6 3 9 2" xfId="53424"/>
    <cellStyle name="Percent 2 6 4" xfId="472"/>
    <cellStyle name="Percent 2 6 4 2" xfId="1737"/>
    <cellStyle name="Percent 2 6 4 2 2" xfId="6086"/>
    <cellStyle name="Percent 2 6 4 2 2 2" xfId="44816"/>
    <cellStyle name="Percent 2 6 4 2 2 2 2" xfId="59942"/>
    <cellStyle name="Percent 2 6 4 2 2 3" xfId="42580"/>
    <cellStyle name="Percent 2 6 4 2 2 3 2" xfId="57707"/>
    <cellStyle name="Percent 2 6 4 2 2 4" xfId="40300"/>
    <cellStyle name="Percent 2 6 4 2 2 4 2" xfId="55428"/>
    <cellStyle name="Percent 2 6 4 2 2 5" xfId="50771"/>
    <cellStyle name="Percent 2 6 4 2 3" xfId="12547"/>
    <cellStyle name="Percent 2 6 4 2 3 2" xfId="43250"/>
    <cellStyle name="Percent 2 6 4 2 3 2 2" xfId="58376"/>
    <cellStyle name="Percent 2 6 4 2 3 3" xfId="52801"/>
    <cellStyle name="Percent 2 6 4 2 4" xfId="4036"/>
    <cellStyle name="Percent 2 6 4 2 4 2" xfId="41014"/>
    <cellStyle name="Percent 2 6 4 2 4 2 2" xfId="56141"/>
    <cellStyle name="Percent 2 6 4 2 4 3" xfId="48729"/>
    <cellStyle name="Percent 2 6 4 2 5" xfId="39158"/>
    <cellStyle name="Percent 2 6 4 2 5 2" xfId="54289"/>
    <cellStyle name="Percent 2 6 4 2 6" xfId="46967"/>
    <cellStyle name="Percent 2 6 4 3" xfId="1224"/>
    <cellStyle name="Percent 2 6 4 3 2" xfId="5573"/>
    <cellStyle name="Percent 2 6 4 3 2 2" xfId="44465"/>
    <cellStyle name="Percent 2 6 4 3 2 2 2" xfId="59591"/>
    <cellStyle name="Percent 2 6 4 3 2 3" xfId="42229"/>
    <cellStyle name="Percent 2 6 4 3 2 3 2" xfId="57356"/>
    <cellStyle name="Percent 2 6 4 3 2 4" xfId="39949"/>
    <cellStyle name="Percent 2 6 4 3 2 4 2" xfId="55077"/>
    <cellStyle name="Percent 2 6 4 3 2 5" xfId="50258"/>
    <cellStyle name="Percent 2 6 4 3 3" xfId="12034"/>
    <cellStyle name="Percent 2 6 4 3 3 2" xfId="43601"/>
    <cellStyle name="Percent 2 6 4 3 3 2 2" xfId="58727"/>
    <cellStyle name="Percent 2 6 4 3 3 3" xfId="52288"/>
    <cellStyle name="Percent 2 6 4 3 4" xfId="4395"/>
    <cellStyle name="Percent 2 6 4 3 4 2" xfId="41365"/>
    <cellStyle name="Percent 2 6 4 3 4 2 2" xfId="56492"/>
    <cellStyle name="Percent 2 6 4 3 4 3" xfId="49085"/>
    <cellStyle name="Percent 2 6 4 3 5" xfId="38785"/>
    <cellStyle name="Percent 2 6 4 3 5 2" xfId="53938"/>
    <cellStyle name="Percent 2 6 4 3 6" xfId="46454"/>
    <cellStyle name="Percent 2 6 4 4" xfId="2085"/>
    <cellStyle name="Percent 2 6 4 4 2" xfId="12891"/>
    <cellStyle name="Percent 2 6 4 4 2 2" xfId="44027"/>
    <cellStyle name="Percent 2 6 4 4 2 2 2" xfId="59153"/>
    <cellStyle name="Percent 2 6 4 4 2 3" xfId="53144"/>
    <cellStyle name="Percent 2 6 4 4 3" xfId="6431"/>
    <cellStyle name="Percent 2 6 4 4 3 2" xfId="41791"/>
    <cellStyle name="Percent 2 6 4 4 3 2 2" xfId="56918"/>
    <cellStyle name="Percent 2 6 4 4 3 3" xfId="51114"/>
    <cellStyle name="Percent 2 6 4 4 4" xfId="39511"/>
    <cellStyle name="Percent 2 6 4 4 4 2" xfId="54639"/>
    <cellStyle name="Percent 2 6 4 4 5" xfId="47310"/>
    <cellStyle name="Percent 2 6 4 5" xfId="4821"/>
    <cellStyle name="Percent 2 6 4 5 2" xfId="42899"/>
    <cellStyle name="Percent 2 6 4 5 2 2" xfId="58026"/>
    <cellStyle name="Percent 2 6 4 5 3" xfId="49506"/>
    <cellStyle name="Percent 2 6 4 6" xfId="11282"/>
    <cellStyle name="Percent 2 6 4 6 2" xfId="40664"/>
    <cellStyle name="Percent 2 6 4 6 2 2" xfId="55791"/>
    <cellStyle name="Percent 2 6 4 6 3" xfId="51536"/>
    <cellStyle name="Percent 2 6 4 7" xfId="3459"/>
    <cellStyle name="Percent 2 6 4 7 2" xfId="48153"/>
    <cellStyle name="Percent 2 6 4 8" xfId="38300"/>
    <cellStyle name="Percent 2 6 4 8 2" xfId="53500"/>
    <cellStyle name="Percent 2 6 4 9" xfId="45702"/>
    <cellStyle name="Percent 2 6 5" xfId="925"/>
    <cellStyle name="Percent 2 6 5 2" xfId="5274"/>
    <cellStyle name="Percent 2 6 5 2 2" xfId="40072"/>
    <cellStyle name="Percent 2 6 5 2 2 2" xfId="44588"/>
    <cellStyle name="Percent 2 6 5 2 2 2 2" xfId="59714"/>
    <cellStyle name="Percent 2 6 5 2 2 3" xfId="42352"/>
    <cellStyle name="Percent 2 6 5 2 2 3 2" xfId="57479"/>
    <cellStyle name="Percent 2 6 5 2 2 4" xfId="55200"/>
    <cellStyle name="Percent 2 6 5 2 3" xfId="43693"/>
    <cellStyle name="Percent 2 6 5 2 3 2" xfId="58819"/>
    <cellStyle name="Percent 2 6 5 2 4" xfId="41457"/>
    <cellStyle name="Percent 2 6 5 2 4 2" xfId="56584"/>
    <cellStyle name="Percent 2 6 5 2 5" xfId="38929"/>
    <cellStyle name="Percent 2 6 5 2 5 2" xfId="54061"/>
    <cellStyle name="Percent 2 6 5 2 6" xfId="49959"/>
    <cellStyle name="Percent 2 6 5 3" xfId="11735"/>
    <cellStyle name="Percent 2 6 5 3 2" xfId="44111"/>
    <cellStyle name="Percent 2 6 5 3 2 2" xfId="59237"/>
    <cellStyle name="Percent 2 6 5 3 3" xfId="41875"/>
    <cellStyle name="Percent 2 6 5 3 3 2" xfId="57002"/>
    <cellStyle name="Percent 2 6 5 3 4" xfId="39595"/>
    <cellStyle name="Percent 2 6 5 3 4 2" xfId="54723"/>
    <cellStyle name="Percent 2 6 5 3 5" xfId="51989"/>
    <cellStyle name="Percent 2 6 5 4" xfId="3160"/>
    <cellStyle name="Percent 2 6 5 4 2" xfId="43022"/>
    <cellStyle name="Percent 2 6 5 4 2 2" xfId="58148"/>
    <cellStyle name="Percent 2 6 5 4 3" xfId="47854"/>
    <cellStyle name="Percent 2 6 5 5" xfId="40786"/>
    <cellStyle name="Percent 2 6 5 5 2" xfId="55913"/>
    <cellStyle name="Percent 2 6 5 6" xfId="38425"/>
    <cellStyle name="Percent 2 6 5 6 2" xfId="53584"/>
    <cellStyle name="Percent 2 6 5 7" xfId="46155"/>
    <cellStyle name="Percent 2 6 6" xfId="803"/>
    <cellStyle name="Percent 2 6 6 2" xfId="5152"/>
    <cellStyle name="Percent 2 6 6 2 2" xfId="44237"/>
    <cellStyle name="Percent 2 6 6 2 2 2" xfId="59363"/>
    <cellStyle name="Percent 2 6 6 2 3" xfId="42001"/>
    <cellStyle name="Percent 2 6 6 2 3 2" xfId="57128"/>
    <cellStyle name="Percent 2 6 6 2 4" xfId="39721"/>
    <cellStyle name="Percent 2 6 6 2 4 2" xfId="54849"/>
    <cellStyle name="Percent 2 6 6 2 5" xfId="49837"/>
    <cellStyle name="Percent 2 6 6 3" xfId="11613"/>
    <cellStyle name="Percent 2 6 6 3 2" xfId="43373"/>
    <cellStyle name="Percent 2 6 6 3 2 2" xfId="58499"/>
    <cellStyle name="Percent 2 6 6 3 3" xfId="51867"/>
    <cellStyle name="Percent 2 6 6 4" xfId="3038"/>
    <cellStyle name="Percent 2 6 6 4 2" xfId="41137"/>
    <cellStyle name="Percent 2 6 6 4 2 2" xfId="56264"/>
    <cellStyle name="Percent 2 6 6 4 3" xfId="47732"/>
    <cellStyle name="Percent 2 6 6 5" xfId="38556"/>
    <cellStyle name="Percent 2 6 6 5 2" xfId="53710"/>
    <cellStyle name="Percent 2 6 6 6" xfId="46033"/>
    <cellStyle name="Percent 2 6 7" xfId="593"/>
    <cellStyle name="Percent 2 6 7 2" xfId="4942"/>
    <cellStyle name="Percent 2 6 7 2 2" xfId="43799"/>
    <cellStyle name="Percent 2 6 7 2 2 2" xfId="58925"/>
    <cellStyle name="Percent 2 6 7 2 3" xfId="49627"/>
    <cellStyle name="Percent 2 6 7 3" xfId="11403"/>
    <cellStyle name="Percent 2 6 7 3 2" xfId="41563"/>
    <cellStyle name="Percent 2 6 7 3 2 2" xfId="56690"/>
    <cellStyle name="Percent 2 6 7 3 3" xfId="51657"/>
    <cellStyle name="Percent 2 6 7 4" xfId="4076"/>
    <cellStyle name="Percent 2 6 7 4 2" xfId="48768"/>
    <cellStyle name="Percent 2 6 7 5" xfId="39283"/>
    <cellStyle name="Percent 2 6 7 5 2" xfId="54411"/>
    <cellStyle name="Percent 2 6 7 6" xfId="45823"/>
    <cellStyle name="Percent 2 6 8" xfId="1854"/>
    <cellStyle name="Percent 2 6 8 2" xfId="12662"/>
    <cellStyle name="Percent 2 6 8 2 2" xfId="52916"/>
    <cellStyle name="Percent 2 6 8 3" xfId="6201"/>
    <cellStyle name="Percent 2 6 8 3 2" xfId="50886"/>
    <cellStyle name="Percent 2 6 8 4" xfId="42671"/>
    <cellStyle name="Percent 2 6 8 4 2" xfId="57798"/>
    <cellStyle name="Percent 2 6 8 5" xfId="47082"/>
    <cellStyle name="Percent 2 6 9" xfId="2668"/>
    <cellStyle name="Percent 2 6 9 2" xfId="4517"/>
    <cellStyle name="Percent 2 6 9 2 2" xfId="49207"/>
    <cellStyle name="Percent 2 6 9 3" xfId="40436"/>
    <cellStyle name="Percent 2 6 9 3 2" xfId="55563"/>
    <cellStyle name="Percent 2 6 9 4" xfId="47400"/>
    <cellStyle name="Percent 2 7" xfId="146"/>
    <cellStyle name="Percent 2 7 10" xfId="38057"/>
    <cellStyle name="Percent 2 7 10 2" xfId="53257"/>
    <cellStyle name="Percent 2 7 11" xfId="45388"/>
    <cellStyle name="Percent 2 7 2" xfId="457"/>
    <cellStyle name="Percent 2 7 2 2" xfId="1440"/>
    <cellStyle name="Percent 2 7 2 2 2" xfId="5789"/>
    <cellStyle name="Percent 2 7 2 2 2 2" xfId="44573"/>
    <cellStyle name="Percent 2 7 2 2 2 2 2" xfId="59699"/>
    <cellStyle name="Percent 2 7 2 2 2 3" xfId="50474"/>
    <cellStyle name="Percent 2 7 2 2 3" xfId="12250"/>
    <cellStyle name="Percent 2 7 2 2 3 2" xfId="42337"/>
    <cellStyle name="Percent 2 7 2 2 3 2 2" xfId="57464"/>
    <cellStyle name="Percent 2 7 2 2 3 3" xfId="52504"/>
    <cellStyle name="Percent 2 7 2 2 4" xfId="3723"/>
    <cellStyle name="Percent 2 7 2 2 4 2" xfId="48416"/>
    <cellStyle name="Percent 2 7 2 2 5" xfId="40057"/>
    <cellStyle name="Percent 2 7 2 2 5 2" xfId="55185"/>
    <cellStyle name="Percent 2 7 2 2 6" xfId="46670"/>
    <cellStyle name="Percent 2 7 2 3" xfId="1722"/>
    <cellStyle name="Percent 2 7 2 3 2" xfId="6071"/>
    <cellStyle name="Percent 2 7 2 3 2 2" xfId="50756"/>
    <cellStyle name="Percent 2 7 2 3 3" xfId="12532"/>
    <cellStyle name="Percent 2 7 2 3 3 2" xfId="52786"/>
    <cellStyle name="Percent 2 7 2 3 4" xfId="4021"/>
    <cellStyle name="Percent 2 7 2 3 4 2" xfId="48714"/>
    <cellStyle name="Percent 2 7 2 3 5" xfId="43007"/>
    <cellStyle name="Percent 2 7 2 3 5 2" xfId="58133"/>
    <cellStyle name="Percent 2 7 2 3 6" xfId="46952"/>
    <cellStyle name="Percent 2 7 2 4" xfId="1209"/>
    <cellStyle name="Percent 2 7 2 4 2" xfId="5558"/>
    <cellStyle name="Percent 2 7 2 4 2 2" xfId="50243"/>
    <cellStyle name="Percent 2 7 2 4 3" xfId="12019"/>
    <cellStyle name="Percent 2 7 2 4 3 2" xfId="52273"/>
    <cellStyle name="Percent 2 7 2 4 4" xfId="4380"/>
    <cellStyle name="Percent 2 7 2 4 4 2" xfId="49070"/>
    <cellStyle name="Percent 2 7 2 4 5" xfId="40771"/>
    <cellStyle name="Percent 2 7 2 4 5 2" xfId="55898"/>
    <cellStyle name="Percent 2 7 2 4 6" xfId="46439"/>
    <cellStyle name="Percent 2 7 2 5" xfId="4806"/>
    <cellStyle name="Percent 2 7 2 5 2" xfId="49491"/>
    <cellStyle name="Percent 2 7 2 6" xfId="11267"/>
    <cellStyle name="Percent 2 7 2 6 2" xfId="51521"/>
    <cellStyle name="Percent 2 7 2 7" xfId="3444"/>
    <cellStyle name="Percent 2 7 2 7 2" xfId="48138"/>
    <cellStyle name="Percent 2 7 2 8" xfId="38914"/>
    <cellStyle name="Percent 2 7 2 8 2" xfId="54046"/>
    <cellStyle name="Percent 2 7 2 9" xfId="45687"/>
    <cellStyle name="Percent 2 7 3" xfId="910"/>
    <cellStyle name="Percent 2 7 3 2" xfId="5259"/>
    <cellStyle name="Percent 2 7 3 2 2" xfId="44222"/>
    <cellStyle name="Percent 2 7 3 2 2 2" xfId="59348"/>
    <cellStyle name="Percent 2 7 3 2 3" xfId="41986"/>
    <cellStyle name="Percent 2 7 3 2 3 2" xfId="57113"/>
    <cellStyle name="Percent 2 7 3 2 4" xfId="39706"/>
    <cellStyle name="Percent 2 7 3 2 4 2" xfId="54834"/>
    <cellStyle name="Percent 2 7 3 2 5" xfId="49944"/>
    <cellStyle name="Percent 2 7 3 3" xfId="11720"/>
    <cellStyle name="Percent 2 7 3 3 2" xfId="43358"/>
    <cellStyle name="Percent 2 7 3 3 2 2" xfId="58484"/>
    <cellStyle name="Percent 2 7 3 3 3" xfId="51974"/>
    <cellStyle name="Percent 2 7 3 4" xfId="3145"/>
    <cellStyle name="Percent 2 7 3 4 2" xfId="41122"/>
    <cellStyle name="Percent 2 7 3 4 2 2" xfId="56249"/>
    <cellStyle name="Percent 2 7 3 4 3" xfId="47839"/>
    <cellStyle name="Percent 2 7 3 5" xfId="38540"/>
    <cellStyle name="Percent 2 7 3 5 2" xfId="53695"/>
    <cellStyle name="Percent 2 7 3 6" xfId="46140"/>
    <cellStyle name="Percent 2 7 4" xfId="788"/>
    <cellStyle name="Percent 2 7 4 2" xfId="5137"/>
    <cellStyle name="Percent 2 7 4 2 2" xfId="43784"/>
    <cellStyle name="Percent 2 7 4 2 2 2" xfId="58910"/>
    <cellStyle name="Percent 2 7 4 2 3" xfId="49822"/>
    <cellStyle name="Percent 2 7 4 3" xfId="11598"/>
    <cellStyle name="Percent 2 7 4 3 2" xfId="41548"/>
    <cellStyle name="Percent 2 7 4 3 2 2" xfId="56675"/>
    <cellStyle name="Percent 2 7 4 3 3" xfId="51852"/>
    <cellStyle name="Percent 2 7 4 4" xfId="3023"/>
    <cellStyle name="Percent 2 7 4 4 2" xfId="47717"/>
    <cellStyle name="Percent 2 7 4 5" xfId="39268"/>
    <cellStyle name="Percent 2 7 4 5 2" xfId="54396"/>
    <cellStyle name="Percent 2 7 4 6" xfId="46018"/>
    <cellStyle name="Percent 2 7 5" xfId="578"/>
    <cellStyle name="Percent 2 7 5 2" xfId="4927"/>
    <cellStyle name="Percent 2 7 5 2 2" xfId="49612"/>
    <cellStyle name="Percent 2 7 5 3" xfId="11388"/>
    <cellStyle name="Percent 2 7 5 3 2" xfId="51642"/>
    <cellStyle name="Percent 2 7 5 4" xfId="3500"/>
    <cellStyle name="Percent 2 7 5 4 2" xfId="48194"/>
    <cellStyle name="Percent 2 7 5 5" xfId="42656"/>
    <cellStyle name="Percent 2 7 5 5 2" xfId="57783"/>
    <cellStyle name="Percent 2 7 5 6" xfId="45808"/>
    <cellStyle name="Percent 2 7 6" xfId="1838"/>
    <cellStyle name="Percent 2 7 6 2" xfId="12647"/>
    <cellStyle name="Percent 2 7 6 2 2" xfId="52901"/>
    <cellStyle name="Percent 2 7 6 3" xfId="6186"/>
    <cellStyle name="Percent 2 7 6 3 2" xfId="50871"/>
    <cellStyle name="Percent 2 7 6 4" xfId="40421"/>
    <cellStyle name="Percent 2 7 6 4 2" xfId="55548"/>
    <cellStyle name="Percent 2 7 6 5" xfId="47067"/>
    <cellStyle name="Percent 2 7 7" xfId="4502"/>
    <cellStyle name="Percent 2 7 7 2" xfId="49192"/>
    <cellStyle name="Percent 2 7 8" xfId="10968"/>
    <cellStyle name="Percent 2 7 8 2" xfId="51222"/>
    <cellStyle name="Percent 2 7 9" xfId="2808"/>
    <cellStyle name="Percent 2 7 9 2" xfId="47506"/>
    <cellStyle name="Percent 2 8" xfId="245"/>
    <cellStyle name="Percent 2 8 10" xfId="38133"/>
    <cellStyle name="Percent 2 8 10 2" xfId="53333"/>
    <cellStyle name="Percent 2 8 11" xfId="45477"/>
    <cellStyle name="Percent 2 8 2" xfId="999"/>
    <cellStyle name="Percent 2 8 2 2" xfId="5348"/>
    <cellStyle name="Percent 2 8 2 2 2" xfId="44649"/>
    <cellStyle name="Percent 2 8 2 2 2 2" xfId="59775"/>
    <cellStyle name="Percent 2 8 2 2 3" xfId="42413"/>
    <cellStyle name="Percent 2 8 2 2 3 2" xfId="57540"/>
    <cellStyle name="Percent 2 8 2 2 4" xfId="40133"/>
    <cellStyle name="Percent 2 8 2 2 4 2" xfId="55261"/>
    <cellStyle name="Percent 2 8 2 2 5" xfId="50033"/>
    <cellStyle name="Percent 2 8 2 3" xfId="11809"/>
    <cellStyle name="Percent 2 8 2 3 2" xfId="43083"/>
    <cellStyle name="Percent 2 8 2 3 2 2" xfId="58209"/>
    <cellStyle name="Percent 2 8 2 3 3" xfId="52063"/>
    <cellStyle name="Percent 2 8 2 4" xfId="3234"/>
    <cellStyle name="Percent 2 8 2 4 2" xfId="40847"/>
    <cellStyle name="Percent 2 8 2 4 2 2" xfId="55974"/>
    <cellStyle name="Percent 2 8 2 4 3" xfId="47928"/>
    <cellStyle name="Percent 2 8 2 5" xfId="38991"/>
    <cellStyle name="Percent 2 8 2 5 2" xfId="54122"/>
    <cellStyle name="Percent 2 8 2 6" xfId="46229"/>
    <cellStyle name="Percent 2 8 3" xfId="1301"/>
    <cellStyle name="Percent 2 8 3 2" xfId="5650"/>
    <cellStyle name="Percent 2 8 3 2 2" xfId="44298"/>
    <cellStyle name="Percent 2 8 3 2 2 2" xfId="59424"/>
    <cellStyle name="Percent 2 8 3 2 3" xfId="42062"/>
    <cellStyle name="Percent 2 8 3 2 3 2" xfId="57189"/>
    <cellStyle name="Percent 2 8 3 2 4" xfId="39782"/>
    <cellStyle name="Percent 2 8 3 2 4 2" xfId="54910"/>
    <cellStyle name="Percent 2 8 3 2 5" xfId="50335"/>
    <cellStyle name="Percent 2 8 3 3" xfId="12111"/>
    <cellStyle name="Percent 2 8 3 3 2" xfId="43434"/>
    <cellStyle name="Percent 2 8 3 3 2 2" xfId="58560"/>
    <cellStyle name="Percent 2 8 3 3 3" xfId="52365"/>
    <cellStyle name="Percent 2 8 3 4" xfId="3584"/>
    <cellStyle name="Percent 2 8 3 4 2" xfId="41198"/>
    <cellStyle name="Percent 2 8 3 4 2 2" xfId="56325"/>
    <cellStyle name="Percent 2 8 3 4 3" xfId="48277"/>
    <cellStyle name="Percent 2 8 3 5" xfId="38618"/>
    <cellStyle name="Percent 2 8 3 5 2" xfId="53771"/>
    <cellStyle name="Percent 2 8 3 6" xfId="46531"/>
    <cellStyle name="Percent 2 8 4" xfId="1512"/>
    <cellStyle name="Percent 2 8 4 2" xfId="5861"/>
    <cellStyle name="Percent 2 8 4 2 2" xfId="43860"/>
    <cellStyle name="Percent 2 8 4 2 2 2" xfId="58986"/>
    <cellStyle name="Percent 2 8 4 2 3" xfId="50546"/>
    <cellStyle name="Percent 2 8 4 3" xfId="12322"/>
    <cellStyle name="Percent 2 8 4 3 2" xfId="41624"/>
    <cellStyle name="Percent 2 8 4 3 2 2" xfId="56751"/>
    <cellStyle name="Percent 2 8 4 3 3" xfId="52576"/>
    <cellStyle name="Percent 2 8 4 4" xfId="3811"/>
    <cellStyle name="Percent 2 8 4 4 2" xfId="48504"/>
    <cellStyle name="Percent 2 8 4 5" xfId="39344"/>
    <cellStyle name="Percent 2 8 4 5 2" xfId="54472"/>
    <cellStyle name="Percent 2 8 4 6" xfId="46742"/>
    <cellStyle name="Percent 2 8 5" xfId="667"/>
    <cellStyle name="Percent 2 8 5 2" xfId="5016"/>
    <cellStyle name="Percent 2 8 5 2 2" xfId="49701"/>
    <cellStyle name="Percent 2 8 5 3" xfId="11477"/>
    <cellStyle name="Percent 2 8 5 3 2" xfId="51731"/>
    <cellStyle name="Percent 2 8 5 4" xfId="4170"/>
    <cellStyle name="Percent 2 8 5 4 2" xfId="48860"/>
    <cellStyle name="Percent 2 8 5 5" xfId="42732"/>
    <cellStyle name="Percent 2 8 5 5 2" xfId="57859"/>
    <cellStyle name="Percent 2 8 5 6" xfId="45897"/>
    <cellStyle name="Percent 2 8 6" xfId="1917"/>
    <cellStyle name="Percent 2 8 6 2" xfId="12724"/>
    <cellStyle name="Percent 2 8 6 2 2" xfId="52977"/>
    <cellStyle name="Percent 2 8 6 3" xfId="6264"/>
    <cellStyle name="Percent 2 8 6 3 2" xfId="50947"/>
    <cellStyle name="Percent 2 8 6 4" xfId="40497"/>
    <cellStyle name="Percent 2 8 6 4 2" xfId="55624"/>
    <cellStyle name="Percent 2 8 6 5" xfId="47143"/>
    <cellStyle name="Percent 2 8 7" xfId="4594"/>
    <cellStyle name="Percent 2 8 7 2" xfId="49281"/>
    <cellStyle name="Percent 2 8 8" xfId="11057"/>
    <cellStyle name="Percent 2 8 8 2" xfId="51311"/>
    <cellStyle name="Percent 2 8 9" xfId="2901"/>
    <cellStyle name="Percent 2 8 9 2" xfId="47595"/>
    <cellStyle name="Percent 2 9" xfId="336"/>
    <cellStyle name="Percent 2 9 10" xfId="45566"/>
    <cellStyle name="Percent 2 9 2" xfId="1390"/>
    <cellStyle name="Percent 2 9 2 2" xfId="5739"/>
    <cellStyle name="Percent 2 9 2 2 2" xfId="44725"/>
    <cellStyle name="Percent 2 9 2 2 2 2" xfId="59851"/>
    <cellStyle name="Percent 2 9 2 2 3" xfId="42489"/>
    <cellStyle name="Percent 2 9 2 2 3 2" xfId="57616"/>
    <cellStyle name="Percent 2 9 2 2 4" xfId="40209"/>
    <cellStyle name="Percent 2 9 2 2 4 2" xfId="55337"/>
    <cellStyle name="Percent 2 9 2 2 5" xfId="50424"/>
    <cellStyle name="Percent 2 9 2 3" xfId="12200"/>
    <cellStyle name="Percent 2 9 2 3 2" xfId="43159"/>
    <cellStyle name="Percent 2 9 2 3 2 2" xfId="58285"/>
    <cellStyle name="Percent 2 9 2 3 3" xfId="52454"/>
    <cellStyle name="Percent 2 9 2 4" xfId="3673"/>
    <cellStyle name="Percent 2 9 2 4 2" xfId="40923"/>
    <cellStyle name="Percent 2 9 2 4 2 2" xfId="56050"/>
    <cellStyle name="Percent 2 9 2 4 3" xfId="48366"/>
    <cellStyle name="Percent 2 9 2 5" xfId="39067"/>
    <cellStyle name="Percent 2 9 2 5 2" xfId="54198"/>
    <cellStyle name="Percent 2 9 2 6" xfId="46620"/>
    <cellStyle name="Percent 2 9 3" xfId="1601"/>
    <cellStyle name="Percent 2 9 3 2" xfId="5950"/>
    <cellStyle name="Percent 2 9 3 2 2" xfId="44374"/>
    <cellStyle name="Percent 2 9 3 2 2 2" xfId="59500"/>
    <cellStyle name="Percent 2 9 3 2 3" xfId="42138"/>
    <cellStyle name="Percent 2 9 3 2 3 2" xfId="57265"/>
    <cellStyle name="Percent 2 9 3 2 4" xfId="39858"/>
    <cellStyle name="Percent 2 9 3 2 4 2" xfId="54986"/>
    <cellStyle name="Percent 2 9 3 2 5" xfId="50635"/>
    <cellStyle name="Percent 2 9 3 3" xfId="12411"/>
    <cellStyle name="Percent 2 9 3 3 2" xfId="43510"/>
    <cellStyle name="Percent 2 9 3 3 2 2" xfId="58636"/>
    <cellStyle name="Percent 2 9 3 3 3" xfId="52665"/>
    <cellStyle name="Percent 2 9 3 4" xfId="3900"/>
    <cellStyle name="Percent 2 9 3 4 2" xfId="41274"/>
    <cellStyle name="Percent 2 9 3 4 2 2" xfId="56401"/>
    <cellStyle name="Percent 2 9 3 4 3" xfId="48593"/>
    <cellStyle name="Percent 2 9 3 5" xfId="38694"/>
    <cellStyle name="Percent 2 9 3 5 2" xfId="53847"/>
    <cellStyle name="Percent 2 9 3 6" xfId="46831"/>
    <cellStyle name="Percent 2 9 4" xfId="1088"/>
    <cellStyle name="Percent 2 9 4 2" xfId="5437"/>
    <cellStyle name="Percent 2 9 4 2 2" xfId="43936"/>
    <cellStyle name="Percent 2 9 4 2 2 2" xfId="59062"/>
    <cellStyle name="Percent 2 9 4 2 3" xfId="50122"/>
    <cellStyle name="Percent 2 9 4 3" xfId="11898"/>
    <cellStyle name="Percent 2 9 4 3 2" xfId="41700"/>
    <cellStyle name="Percent 2 9 4 3 2 2" xfId="56827"/>
    <cellStyle name="Percent 2 9 4 3 3" xfId="52152"/>
    <cellStyle name="Percent 2 9 4 4" xfId="4259"/>
    <cellStyle name="Percent 2 9 4 4 2" xfId="48949"/>
    <cellStyle name="Percent 2 9 4 5" xfId="39420"/>
    <cellStyle name="Percent 2 9 4 5 2" xfId="54548"/>
    <cellStyle name="Percent 2 9 4 6" xfId="46318"/>
    <cellStyle name="Percent 2 9 5" xfId="1993"/>
    <cellStyle name="Percent 2 9 5 2" xfId="12800"/>
    <cellStyle name="Percent 2 9 5 2 2" xfId="53053"/>
    <cellStyle name="Percent 2 9 5 3" xfId="6340"/>
    <cellStyle name="Percent 2 9 5 3 2" xfId="51023"/>
    <cellStyle name="Percent 2 9 5 4" xfId="42808"/>
    <cellStyle name="Percent 2 9 5 4 2" xfId="57935"/>
    <cellStyle name="Percent 2 9 5 5" xfId="47219"/>
    <cellStyle name="Percent 2 9 6" xfId="4685"/>
    <cellStyle name="Percent 2 9 6 2" xfId="40573"/>
    <cellStyle name="Percent 2 9 6 2 2" xfId="55700"/>
    <cellStyle name="Percent 2 9 6 3" xfId="49370"/>
    <cellStyle name="Percent 2 9 7" xfId="11146"/>
    <cellStyle name="Percent 2 9 7 2" xfId="51400"/>
    <cellStyle name="Percent 2 9 8" xfId="3323"/>
    <cellStyle name="Percent 2 9 8 2" xfId="48017"/>
    <cellStyle name="Percent 2 9 9" xfId="38209"/>
    <cellStyle name="Percent 2 9 9 2" xfId="53409"/>
    <cellStyle name="Percent 3" xfId="14"/>
    <cellStyle name="Percent 3 10" xfId="701"/>
    <cellStyle name="Percent 3 10 2" xfId="5050"/>
    <cellStyle name="Percent 3 10 2 2" xfId="39978"/>
    <cellStyle name="Percent 3 10 2 2 2" xfId="44494"/>
    <cellStyle name="Percent 3 10 2 2 2 2" xfId="59620"/>
    <cellStyle name="Percent 3 10 2 2 3" xfId="42258"/>
    <cellStyle name="Percent 3 10 2 2 3 2" xfId="57385"/>
    <cellStyle name="Percent 3 10 2 2 4" xfId="55106"/>
    <cellStyle name="Percent 3 10 2 3" xfId="43629"/>
    <cellStyle name="Percent 3 10 2 3 2" xfId="58755"/>
    <cellStyle name="Percent 3 10 2 4" xfId="41393"/>
    <cellStyle name="Percent 3 10 2 4 2" xfId="56520"/>
    <cellStyle name="Percent 3 10 2 5" xfId="38835"/>
    <cellStyle name="Percent 3 10 2 5 2" xfId="53967"/>
    <cellStyle name="Percent 3 10 2 6" xfId="49735"/>
    <cellStyle name="Percent 3 10 3" xfId="11511"/>
    <cellStyle name="Percent 3 10 3 2" xfId="44112"/>
    <cellStyle name="Percent 3 10 3 2 2" xfId="59238"/>
    <cellStyle name="Percent 3 10 3 3" xfId="41876"/>
    <cellStyle name="Percent 3 10 3 3 2" xfId="57003"/>
    <cellStyle name="Percent 3 10 3 4" xfId="39596"/>
    <cellStyle name="Percent 3 10 3 4 2" xfId="54724"/>
    <cellStyle name="Percent 3 10 3 5" xfId="51765"/>
    <cellStyle name="Percent 3 10 4" xfId="2935"/>
    <cellStyle name="Percent 3 10 4 2" xfId="42928"/>
    <cellStyle name="Percent 3 10 4 2 2" xfId="58054"/>
    <cellStyle name="Percent 3 10 4 3" xfId="47629"/>
    <cellStyle name="Percent 3 10 5" xfId="40692"/>
    <cellStyle name="Percent 3 10 5 2" xfId="55819"/>
    <cellStyle name="Percent 3 10 6" xfId="38426"/>
    <cellStyle name="Percent 3 10 6 2" xfId="53585"/>
    <cellStyle name="Percent 3 10 7" xfId="45931"/>
    <cellStyle name="Percent 3 11" xfId="491"/>
    <cellStyle name="Percent 3 11 2" xfId="4840"/>
    <cellStyle name="Percent 3 11 2 2" xfId="44143"/>
    <cellStyle name="Percent 3 11 2 2 2" xfId="59269"/>
    <cellStyle name="Percent 3 11 2 3" xfId="41907"/>
    <cellStyle name="Percent 3 11 2 3 2" xfId="57034"/>
    <cellStyle name="Percent 3 11 2 4" xfId="39627"/>
    <cellStyle name="Percent 3 11 2 4 2" xfId="54755"/>
    <cellStyle name="Percent 3 11 2 5" xfId="49525"/>
    <cellStyle name="Percent 3 11 3" xfId="11301"/>
    <cellStyle name="Percent 3 11 3 2" xfId="43279"/>
    <cellStyle name="Percent 3 11 3 2 2" xfId="58405"/>
    <cellStyle name="Percent 3 11 3 3" xfId="51555"/>
    <cellStyle name="Percent 3 11 4" xfId="4060"/>
    <cellStyle name="Percent 3 11 4 2" xfId="41043"/>
    <cellStyle name="Percent 3 11 4 2 2" xfId="56170"/>
    <cellStyle name="Percent 3 11 4 3" xfId="48752"/>
    <cellStyle name="Percent 3 11 5" xfId="38460"/>
    <cellStyle name="Percent 3 11 5 2" xfId="53616"/>
    <cellStyle name="Percent 3 11 6" xfId="45721"/>
    <cellStyle name="Percent 3 12" xfId="1758"/>
    <cellStyle name="Percent 3 12 2" xfId="12568"/>
    <cellStyle name="Percent 3 12 2 2" xfId="43705"/>
    <cellStyle name="Percent 3 12 2 2 2" xfId="58831"/>
    <cellStyle name="Percent 3 12 2 3" xfId="52822"/>
    <cellStyle name="Percent 3 12 3" xfId="6107"/>
    <cellStyle name="Percent 3 12 3 2" xfId="41469"/>
    <cellStyle name="Percent 3 12 3 2 2" xfId="56596"/>
    <cellStyle name="Percent 3 12 3 3" xfId="50792"/>
    <cellStyle name="Percent 3 12 4" xfId="39189"/>
    <cellStyle name="Percent 3 12 4 2" xfId="54317"/>
    <cellStyle name="Percent 3 12 5" xfId="46988"/>
    <cellStyle name="Percent 3 13" xfId="2669"/>
    <cellStyle name="Percent 3 13 2" xfId="4414"/>
    <cellStyle name="Percent 3 13 2 2" xfId="49104"/>
    <cellStyle name="Percent 3 13 3" xfId="40330"/>
    <cellStyle name="Percent 3 13 3 2" xfId="55458"/>
    <cellStyle name="Percent 3 13 4" xfId="47401"/>
    <cellStyle name="Percent 3 14" xfId="10879"/>
    <cellStyle name="Percent 3 14 2" xfId="51134"/>
    <cellStyle name="Percent 3 15" xfId="2693"/>
    <cellStyle name="Percent 3 15 2" xfId="47419"/>
    <cellStyle name="Percent 3 16" xfId="37977"/>
    <cellStyle name="Percent 3 16 2" xfId="53178"/>
    <cellStyle name="Percent 3 17" xfId="45311"/>
    <cellStyle name="Percent 3 18" xfId="60015"/>
    <cellStyle name="Percent 3 2" xfId="27"/>
    <cellStyle name="Percent 3 2 10" xfId="499"/>
    <cellStyle name="Percent 3 2 10 2" xfId="4848"/>
    <cellStyle name="Percent 3 2 10 2 2" xfId="43713"/>
    <cellStyle name="Percent 3 2 10 2 2 2" xfId="58839"/>
    <cellStyle name="Percent 3 2 10 2 3" xfId="49533"/>
    <cellStyle name="Percent 3 2 10 3" xfId="11309"/>
    <cellStyle name="Percent 3 2 10 3 2" xfId="41477"/>
    <cellStyle name="Percent 3 2 10 3 2 2" xfId="56604"/>
    <cellStyle name="Percent 3 2 10 3 3" xfId="51563"/>
    <cellStyle name="Percent 3 2 10 4" xfId="4079"/>
    <cellStyle name="Percent 3 2 10 4 2" xfId="48771"/>
    <cellStyle name="Percent 3 2 10 5" xfId="39197"/>
    <cellStyle name="Percent 3 2 10 5 2" xfId="54325"/>
    <cellStyle name="Percent 3 2 10 6" xfId="45729"/>
    <cellStyle name="Percent 3 2 11" xfId="1766"/>
    <cellStyle name="Percent 3 2 11 2" xfId="12576"/>
    <cellStyle name="Percent 3 2 11 2 2" xfId="52830"/>
    <cellStyle name="Percent 3 2 11 3" xfId="6115"/>
    <cellStyle name="Percent 3 2 11 3 2" xfId="50800"/>
    <cellStyle name="Percent 3 2 11 4" xfId="40339"/>
    <cellStyle name="Percent 3 2 11 4 2" xfId="55467"/>
    <cellStyle name="Percent 3 2 11 5" xfId="46996"/>
    <cellStyle name="Percent 3 2 12" xfId="2670"/>
    <cellStyle name="Percent 3 2 12 2" xfId="4422"/>
    <cellStyle name="Percent 3 2 12 2 2" xfId="49112"/>
    <cellStyle name="Percent 3 2 12 3" xfId="47402"/>
    <cellStyle name="Percent 3 2 13" xfId="10887"/>
    <cellStyle name="Percent 3 2 13 2" xfId="51142"/>
    <cellStyle name="Percent 3 2 14" xfId="2703"/>
    <cellStyle name="Percent 3 2 14 2" xfId="47427"/>
    <cellStyle name="Percent 3 2 15" xfId="37985"/>
    <cellStyle name="Percent 3 2 15 2" xfId="53186"/>
    <cellStyle name="Percent 3 2 16" xfId="45320"/>
    <cellStyle name="Percent 3 2 2" xfId="44"/>
    <cellStyle name="Percent 3 2 2 10" xfId="1784"/>
    <cellStyle name="Percent 3 2 2 10 2" xfId="12594"/>
    <cellStyle name="Percent 3 2 2 10 2 2" xfId="52848"/>
    <cellStyle name="Percent 3 2 2 10 3" xfId="6133"/>
    <cellStyle name="Percent 3 2 2 10 3 2" xfId="50818"/>
    <cellStyle name="Percent 3 2 2 10 4" xfId="40355"/>
    <cellStyle name="Percent 3 2 2 10 4 2" xfId="55483"/>
    <cellStyle name="Percent 3 2 2 10 5" xfId="47014"/>
    <cellStyle name="Percent 3 2 2 11" xfId="2671"/>
    <cellStyle name="Percent 3 2 2 11 2" xfId="4438"/>
    <cellStyle name="Percent 3 2 2 11 2 2" xfId="49128"/>
    <cellStyle name="Percent 3 2 2 11 3" xfId="47403"/>
    <cellStyle name="Percent 3 2 2 12" xfId="10903"/>
    <cellStyle name="Percent 3 2 2 12 2" xfId="51158"/>
    <cellStyle name="Percent 3 2 2 13" xfId="2719"/>
    <cellStyle name="Percent 3 2 2 13 2" xfId="47443"/>
    <cellStyle name="Percent 3 2 2 14" xfId="38003"/>
    <cellStyle name="Percent 3 2 2 14 2" xfId="53204"/>
    <cellStyle name="Percent 3 2 2 15" xfId="45336"/>
    <cellStyle name="Percent 3 2 2 2" xfId="168"/>
    <cellStyle name="Percent 3 2 2 2 10" xfId="10987"/>
    <cellStyle name="Percent 3 2 2 2 10 2" xfId="51241"/>
    <cellStyle name="Percent 3 2 2 2 11" xfId="2827"/>
    <cellStyle name="Percent 3 2 2 2 11 2" xfId="47525"/>
    <cellStyle name="Percent 3 2 2 2 12" xfId="38076"/>
    <cellStyle name="Percent 3 2 2 2 12 2" xfId="53276"/>
    <cellStyle name="Percent 3 2 2 2 13" xfId="45407"/>
    <cellStyle name="Percent 3 2 2 2 2" xfId="264"/>
    <cellStyle name="Percent 3 2 2 2 2 10" xfId="38152"/>
    <cellStyle name="Percent 3 2 2 2 2 10 2" xfId="53352"/>
    <cellStyle name="Percent 3 2 2 2 2 11" xfId="45496"/>
    <cellStyle name="Percent 3 2 2 2 2 2" xfId="1018"/>
    <cellStyle name="Percent 3 2 2 2 2 2 2" xfId="5367"/>
    <cellStyle name="Percent 3 2 2 2 2 2 2 2" xfId="44668"/>
    <cellStyle name="Percent 3 2 2 2 2 2 2 2 2" xfId="59794"/>
    <cellStyle name="Percent 3 2 2 2 2 2 2 3" xfId="42432"/>
    <cellStyle name="Percent 3 2 2 2 2 2 2 3 2" xfId="57559"/>
    <cellStyle name="Percent 3 2 2 2 2 2 2 4" xfId="40152"/>
    <cellStyle name="Percent 3 2 2 2 2 2 2 4 2" xfId="55280"/>
    <cellStyle name="Percent 3 2 2 2 2 2 2 5" xfId="50052"/>
    <cellStyle name="Percent 3 2 2 2 2 2 3" xfId="11828"/>
    <cellStyle name="Percent 3 2 2 2 2 2 3 2" xfId="43102"/>
    <cellStyle name="Percent 3 2 2 2 2 2 3 2 2" xfId="58228"/>
    <cellStyle name="Percent 3 2 2 2 2 2 3 3" xfId="52082"/>
    <cellStyle name="Percent 3 2 2 2 2 2 4" xfId="3253"/>
    <cellStyle name="Percent 3 2 2 2 2 2 4 2" xfId="40866"/>
    <cellStyle name="Percent 3 2 2 2 2 2 4 2 2" xfId="55993"/>
    <cellStyle name="Percent 3 2 2 2 2 2 4 3" xfId="47947"/>
    <cellStyle name="Percent 3 2 2 2 2 2 5" xfId="39010"/>
    <cellStyle name="Percent 3 2 2 2 2 2 5 2" xfId="54141"/>
    <cellStyle name="Percent 3 2 2 2 2 2 6" xfId="46248"/>
    <cellStyle name="Percent 3 2 2 2 2 3" xfId="1320"/>
    <cellStyle name="Percent 3 2 2 2 2 3 2" xfId="5669"/>
    <cellStyle name="Percent 3 2 2 2 2 3 2 2" xfId="44317"/>
    <cellStyle name="Percent 3 2 2 2 2 3 2 2 2" xfId="59443"/>
    <cellStyle name="Percent 3 2 2 2 2 3 2 3" xfId="42081"/>
    <cellStyle name="Percent 3 2 2 2 2 3 2 3 2" xfId="57208"/>
    <cellStyle name="Percent 3 2 2 2 2 3 2 4" xfId="39801"/>
    <cellStyle name="Percent 3 2 2 2 2 3 2 4 2" xfId="54929"/>
    <cellStyle name="Percent 3 2 2 2 2 3 2 5" xfId="50354"/>
    <cellStyle name="Percent 3 2 2 2 2 3 3" xfId="12130"/>
    <cellStyle name="Percent 3 2 2 2 2 3 3 2" xfId="43453"/>
    <cellStyle name="Percent 3 2 2 2 2 3 3 2 2" xfId="58579"/>
    <cellStyle name="Percent 3 2 2 2 2 3 3 3" xfId="52384"/>
    <cellStyle name="Percent 3 2 2 2 2 3 4" xfId="3603"/>
    <cellStyle name="Percent 3 2 2 2 2 3 4 2" xfId="41217"/>
    <cellStyle name="Percent 3 2 2 2 2 3 4 2 2" xfId="56344"/>
    <cellStyle name="Percent 3 2 2 2 2 3 4 3" xfId="48296"/>
    <cellStyle name="Percent 3 2 2 2 2 3 5" xfId="38637"/>
    <cellStyle name="Percent 3 2 2 2 2 3 5 2" xfId="53790"/>
    <cellStyle name="Percent 3 2 2 2 2 3 6" xfId="46550"/>
    <cellStyle name="Percent 3 2 2 2 2 4" xfId="1531"/>
    <cellStyle name="Percent 3 2 2 2 2 4 2" xfId="5880"/>
    <cellStyle name="Percent 3 2 2 2 2 4 2 2" xfId="43879"/>
    <cellStyle name="Percent 3 2 2 2 2 4 2 2 2" xfId="59005"/>
    <cellStyle name="Percent 3 2 2 2 2 4 2 3" xfId="50565"/>
    <cellStyle name="Percent 3 2 2 2 2 4 3" xfId="12341"/>
    <cellStyle name="Percent 3 2 2 2 2 4 3 2" xfId="41643"/>
    <cellStyle name="Percent 3 2 2 2 2 4 3 2 2" xfId="56770"/>
    <cellStyle name="Percent 3 2 2 2 2 4 3 3" xfId="52595"/>
    <cellStyle name="Percent 3 2 2 2 2 4 4" xfId="3830"/>
    <cellStyle name="Percent 3 2 2 2 2 4 4 2" xfId="48523"/>
    <cellStyle name="Percent 3 2 2 2 2 4 5" xfId="39363"/>
    <cellStyle name="Percent 3 2 2 2 2 4 5 2" xfId="54491"/>
    <cellStyle name="Percent 3 2 2 2 2 4 6" xfId="46761"/>
    <cellStyle name="Percent 3 2 2 2 2 5" xfId="686"/>
    <cellStyle name="Percent 3 2 2 2 2 5 2" xfId="5035"/>
    <cellStyle name="Percent 3 2 2 2 2 5 2 2" xfId="49720"/>
    <cellStyle name="Percent 3 2 2 2 2 5 3" xfId="11496"/>
    <cellStyle name="Percent 3 2 2 2 2 5 3 2" xfId="51750"/>
    <cellStyle name="Percent 3 2 2 2 2 5 4" xfId="4189"/>
    <cellStyle name="Percent 3 2 2 2 2 5 4 2" xfId="48879"/>
    <cellStyle name="Percent 3 2 2 2 2 5 5" xfId="42751"/>
    <cellStyle name="Percent 3 2 2 2 2 5 5 2" xfId="57878"/>
    <cellStyle name="Percent 3 2 2 2 2 5 6" xfId="45916"/>
    <cellStyle name="Percent 3 2 2 2 2 6" xfId="1936"/>
    <cellStyle name="Percent 3 2 2 2 2 6 2" xfId="12743"/>
    <cellStyle name="Percent 3 2 2 2 2 6 2 2" xfId="52996"/>
    <cellStyle name="Percent 3 2 2 2 2 6 3" xfId="6283"/>
    <cellStyle name="Percent 3 2 2 2 2 6 3 2" xfId="50966"/>
    <cellStyle name="Percent 3 2 2 2 2 6 4" xfId="40516"/>
    <cellStyle name="Percent 3 2 2 2 2 6 4 2" xfId="55643"/>
    <cellStyle name="Percent 3 2 2 2 2 6 5" xfId="47162"/>
    <cellStyle name="Percent 3 2 2 2 2 7" xfId="4613"/>
    <cellStyle name="Percent 3 2 2 2 2 7 2" xfId="49300"/>
    <cellStyle name="Percent 3 2 2 2 2 8" xfId="11076"/>
    <cellStyle name="Percent 3 2 2 2 2 8 2" xfId="51330"/>
    <cellStyle name="Percent 3 2 2 2 2 9" xfId="2920"/>
    <cellStyle name="Percent 3 2 2 2 2 9 2" xfId="47614"/>
    <cellStyle name="Percent 3 2 2 2 3" xfId="355"/>
    <cellStyle name="Percent 3 2 2 2 3 10" xfId="45585"/>
    <cellStyle name="Percent 3 2 2 2 3 2" xfId="1409"/>
    <cellStyle name="Percent 3 2 2 2 3 2 2" xfId="5758"/>
    <cellStyle name="Percent 3 2 2 2 3 2 2 2" xfId="44744"/>
    <cellStyle name="Percent 3 2 2 2 3 2 2 2 2" xfId="59870"/>
    <cellStyle name="Percent 3 2 2 2 3 2 2 3" xfId="42508"/>
    <cellStyle name="Percent 3 2 2 2 3 2 2 3 2" xfId="57635"/>
    <cellStyle name="Percent 3 2 2 2 3 2 2 4" xfId="40228"/>
    <cellStyle name="Percent 3 2 2 2 3 2 2 4 2" xfId="55356"/>
    <cellStyle name="Percent 3 2 2 2 3 2 2 5" xfId="50443"/>
    <cellStyle name="Percent 3 2 2 2 3 2 3" xfId="12219"/>
    <cellStyle name="Percent 3 2 2 2 3 2 3 2" xfId="43178"/>
    <cellStyle name="Percent 3 2 2 2 3 2 3 2 2" xfId="58304"/>
    <cellStyle name="Percent 3 2 2 2 3 2 3 3" xfId="52473"/>
    <cellStyle name="Percent 3 2 2 2 3 2 4" xfId="3692"/>
    <cellStyle name="Percent 3 2 2 2 3 2 4 2" xfId="40942"/>
    <cellStyle name="Percent 3 2 2 2 3 2 4 2 2" xfId="56069"/>
    <cellStyle name="Percent 3 2 2 2 3 2 4 3" xfId="48385"/>
    <cellStyle name="Percent 3 2 2 2 3 2 5" xfId="39086"/>
    <cellStyle name="Percent 3 2 2 2 3 2 5 2" xfId="54217"/>
    <cellStyle name="Percent 3 2 2 2 3 2 6" xfId="46639"/>
    <cellStyle name="Percent 3 2 2 2 3 3" xfId="1620"/>
    <cellStyle name="Percent 3 2 2 2 3 3 2" xfId="5969"/>
    <cellStyle name="Percent 3 2 2 2 3 3 2 2" xfId="44393"/>
    <cellStyle name="Percent 3 2 2 2 3 3 2 2 2" xfId="59519"/>
    <cellStyle name="Percent 3 2 2 2 3 3 2 3" xfId="42157"/>
    <cellStyle name="Percent 3 2 2 2 3 3 2 3 2" xfId="57284"/>
    <cellStyle name="Percent 3 2 2 2 3 3 2 4" xfId="39877"/>
    <cellStyle name="Percent 3 2 2 2 3 3 2 4 2" xfId="55005"/>
    <cellStyle name="Percent 3 2 2 2 3 3 2 5" xfId="50654"/>
    <cellStyle name="Percent 3 2 2 2 3 3 3" xfId="12430"/>
    <cellStyle name="Percent 3 2 2 2 3 3 3 2" xfId="43529"/>
    <cellStyle name="Percent 3 2 2 2 3 3 3 2 2" xfId="58655"/>
    <cellStyle name="Percent 3 2 2 2 3 3 3 3" xfId="52684"/>
    <cellStyle name="Percent 3 2 2 2 3 3 4" xfId="3919"/>
    <cellStyle name="Percent 3 2 2 2 3 3 4 2" xfId="41293"/>
    <cellStyle name="Percent 3 2 2 2 3 3 4 2 2" xfId="56420"/>
    <cellStyle name="Percent 3 2 2 2 3 3 4 3" xfId="48612"/>
    <cellStyle name="Percent 3 2 2 2 3 3 5" xfId="38713"/>
    <cellStyle name="Percent 3 2 2 2 3 3 5 2" xfId="53866"/>
    <cellStyle name="Percent 3 2 2 2 3 3 6" xfId="46850"/>
    <cellStyle name="Percent 3 2 2 2 3 4" xfId="1107"/>
    <cellStyle name="Percent 3 2 2 2 3 4 2" xfId="5456"/>
    <cellStyle name="Percent 3 2 2 2 3 4 2 2" xfId="43955"/>
    <cellStyle name="Percent 3 2 2 2 3 4 2 2 2" xfId="59081"/>
    <cellStyle name="Percent 3 2 2 2 3 4 2 3" xfId="50141"/>
    <cellStyle name="Percent 3 2 2 2 3 4 3" xfId="11917"/>
    <cellStyle name="Percent 3 2 2 2 3 4 3 2" xfId="41719"/>
    <cellStyle name="Percent 3 2 2 2 3 4 3 2 2" xfId="56846"/>
    <cellStyle name="Percent 3 2 2 2 3 4 3 3" xfId="52171"/>
    <cellStyle name="Percent 3 2 2 2 3 4 4" xfId="4278"/>
    <cellStyle name="Percent 3 2 2 2 3 4 4 2" xfId="48968"/>
    <cellStyle name="Percent 3 2 2 2 3 4 5" xfId="39439"/>
    <cellStyle name="Percent 3 2 2 2 3 4 5 2" xfId="54567"/>
    <cellStyle name="Percent 3 2 2 2 3 4 6" xfId="46337"/>
    <cellStyle name="Percent 3 2 2 2 3 5" xfId="2012"/>
    <cellStyle name="Percent 3 2 2 2 3 5 2" xfId="12819"/>
    <cellStyle name="Percent 3 2 2 2 3 5 2 2" xfId="53072"/>
    <cellStyle name="Percent 3 2 2 2 3 5 3" xfId="6359"/>
    <cellStyle name="Percent 3 2 2 2 3 5 3 2" xfId="51042"/>
    <cellStyle name="Percent 3 2 2 2 3 5 4" xfId="42827"/>
    <cellStyle name="Percent 3 2 2 2 3 5 4 2" xfId="57954"/>
    <cellStyle name="Percent 3 2 2 2 3 5 5" xfId="47238"/>
    <cellStyle name="Percent 3 2 2 2 3 6" xfId="4704"/>
    <cellStyle name="Percent 3 2 2 2 3 6 2" xfId="40592"/>
    <cellStyle name="Percent 3 2 2 2 3 6 2 2" xfId="55719"/>
    <cellStyle name="Percent 3 2 2 2 3 6 3" xfId="49389"/>
    <cellStyle name="Percent 3 2 2 2 3 7" xfId="11165"/>
    <cellStyle name="Percent 3 2 2 2 3 7 2" xfId="51419"/>
    <cellStyle name="Percent 3 2 2 2 3 8" xfId="3342"/>
    <cellStyle name="Percent 3 2 2 2 3 8 2" xfId="48036"/>
    <cellStyle name="Percent 3 2 2 2 3 9" xfId="38228"/>
    <cellStyle name="Percent 3 2 2 2 3 9 2" xfId="53428"/>
    <cellStyle name="Percent 3 2 2 2 4" xfId="476"/>
    <cellStyle name="Percent 3 2 2 2 4 2" xfId="1741"/>
    <cellStyle name="Percent 3 2 2 2 4 2 2" xfId="6090"/>
    <cellStyle name="Percent 3 2 2 2 4 2 2 2" xfId="44820"/>
    <cellStyle name="Percent 3 2 2 2 4 2 2 2 2" xfId="59946"/>
    <cellStyle name="Percent 3 2 2 2 4 2 2 3" xfId="42584"/>
    <cellStyle name="Percent 3 2 2 2 4 2 2 3 2" xfId="57711"/>
    <cellStyle name="Percent 3 2 2 2 4 2 2 4" xfId="40304"/>
    <cellStyle name="Percent 3 2 2 2 4 2 2 4 2" xfId="55432"/>
    <cellStyle name="Percent 3 2 2 2 4 2 2 5" xfId="50775"/>
    <cellStyle name="Percent 3 2 2 2 4 2 3" xfId="12551"/>
    <cellStyle name="Percent 3 2 2 2 4 2 3 2" xfId="43254"/>
    <cellStyle name="Percent 3 2 2 2 4 2 3 2 2" xfId="58380"/>
    <cellStyle name="Percent 3 2 2 2 4 2 3 3" xfId="52805"/>
    <cellStyle name="Percent 3 2 2 2 4 2 4" xfId="4040"/>
    <cellStyle name="Percent 3 2 2 2 4 2 4 2" xfId="41018"/>
    <cellStyle name="Percent 3 2 2 2 4 2 4 2 2" xfId="56145"/>
    <cellStyle name="Percent 3 2 2 2 4 2 4 3" xfId="48733"/>
    <cellStyle name="Percent 3 2 2 2 4 2 5" xfId="39162"/>
    <cellStyle name="Percent 3 2 2 2 4 2 5 2" xfId="54293"/>
    <cellStyle name="Percent 3 2 2 2 4 2 6" xfId="46971"/>
    <cellStyle name="Percent 3 2 2 2 4 3" xfId="1228"/>
    <cellStyle name="Percent 3 2 2 2 4 3 2" xfId="5577"/>
    <cellStyle name="Percent 3 2 2 2 4 3 2 2" xfId="44469"/>
    <cellStyle name="Percent 3 2 2 2 4 3 2 2 2" xfId="59595"/>
    <cellStyle name="Percent 3 2 2 2 4 3 2 3" xfId="42233"/>
    <cellStyle name="Percent 3 2 2 2 4 3 2 3 2" xfId="57360"/>
    <cellStyle name="Percent 3 2 2 2 4 3 2 4" xfId="39953"/>
    <cellStyle name="Percent 3 2 2 2 4 3 2 4 2" xfId="55081"/>
    <cellStyle name="Percent 3 2 2 2 4 3 2 5" xfId="50262"/>
    <cellStyle name="Percent 3 2 2 2 4 3 3" xfId="12038"/>
    <cellStyle name="Percent 3 2 2 2 4 3 3 2" xfId="43605"/>
    <cellStyle name="Percent 3 2 2 2 4 3 3 2 2" xfId="58731"/>
    <cellStyle name="Percent 3 2 2 2 4 3 3 3" xfId="52292"/>
    <cellStyle name="Percent 3 2 2 2 4 3 4" xfId="4399"/>
    <cellStyle name="Percent 3 2 2 2 4 3 4 2" xfId="41369"/>
    <cellStyle name="Percent 3 2 2 2 4 3 4 2 2" xfId="56496"/>
    <cellStyle name="Percent 3 2 2 2 4 3 4 3" xfId="49089"/>
    <cellStyle name="Percent 3 2 2 2 4 3 5" xfId="38789"/>
    <cellStyle name="Percent 3 2 2 2 4 3 5 2" xfId="53942"/>
    <cellStyle name="Percent 3 2 2 2 4 3 6" xfId="46458"/>
    <cellStyle name="Percent 3 2 2 2 4 4" xfId="2089"/>
    <cellStyle name="Percent 3 2 2 2 4 4 2" xfId="12895"/>
    <cellStyle name="Percent 3 2 2 2 4 4 2 2" xfId="44031"/>
    <cellStyle name="Percent 3 2 2 2 4 4 2 2 2" xfId="59157"/>
    <cellStyle name="Percent 3 2 2 2 4 4 2 3" xfId="53148"/>
    <cellStyle name="Percent 3 2 2 2 4 4 3" xfId="6435"/>
    <cellStyle name="Percent 3 2 2 2 4 4 3 2" xfId="41795"/>
    <cellStyle name="Percent 3 2 2 2 4 4 3 2 2" xfId="56922"/>
    <cellStyle name="Percent 3 2 2 2 4 4 3 3" xfId="51118"/>
    <cellStyle name="Percent 3 2 2 2 4 4 4" xfId="39515"/>
    <cellStyle name="Percent 3 2 2 2 4 4 4 2" xfId="54643"/>
    <cellStyle name="Percent 3 2 2 2 4 4 5" xfId="47314"/>
    <cellStyle name="Percent 3 2 2 2 4 5" xfId="4825"/>
    <cellStyle name="Percent 3 2 2 2 4 5 2" xfId="42903"/>
    <cellStyle name="Percent 3 2 2 2 4 5 2 2" xfId="58030"/>
    <cellStyle name="Percent 3 2 2 2 4 5 3" xfId="49510"/>
    <cellStyle name="Percent 3 2 2 2 4 6" xfId="11286"/>
    <cellStyle name="Percent 3 2 2 2 4 6 2" xfId="40668"/>
    <cellStyle name="Percent 3 2 2 2 4 6 2 2" xfId="55795"/>
    <cellStyle name="Percent 3 2 2 2 4 6 3" xfId="51540"/>
    <cellStyle name="Percent 3 2 2 2 4 7" xfId="3463"/>
    <cellStyle name="Percent 3 2 2 2 4 7 2" xfId="48157"/>
    <cellStyle name="Percent 3 2 2 2 4 8" xfId="38304"/>
    <cellStyle name="Percent 3 2 2 2 4 8 2" xfId="53504"/>
    <cellStyle name="Percent 3 2 2 2 4 9" xfId="45706"/>
    <cellStyle name="Percent 3 2 2 2 5" xfId="929"/>
    <cellStyle name="Percent 3 2 2 2 5 2" xfId="5278"/>
    <cellStyle name="Percent 3 2 2 2 5 2 2" xfId="40076"/>
    <cellStyle name="Percent 3 2 2 2 5 2 2 2" xfId="44592"/>
    <cellStyle name="Percent 3 2 2 2 5 2 2 2 2" xfId="59718"/>
    <cellStyle name="Percent 3 2 2 2 5 2 2 3" xfId="42356"/>
    <cellStyle name="Percent 3 2 2 2 5 2 2 3 2" xfId="57483"/>
    <cellStyle name="Percent 3 2 2 2 5 2 2 4" xfId="55204"/>
    <cellStyle name="Percent 3 2 2 2 5 2 3" xfId="43694"/>
    <cellStyle name="Percent 3 2 2 2 5 2 3 2" xfId="58820"/>
    <cellStyle name="Percent 3 2 2 2 5 2 4" xfId="41458"/>
    <cellStyle name="Percent 3 2 2 2 5 2 4 2" xfId="56585"/>
    <cellStyle name="Percent 3 2 2 2 5 2 5" xfId="38933"/>
    <cellStyle name="Percent 3 2 2 2 5 2 5 2" xfId="54065"/>
    <cellStyle name="Percent 3 2 2 2 5 2 6" xfId="49963"/>
    <cellStyle name="Percent 3 2 2 2 5 3" xfId="11739"/>
    <cellStyle name="Percent 3 2 2 2 5 3 2" xfId="44115"/>
    <cellStyle name="Percent 3 2 2 2 5 3 2 2" xfId="59241"/>
    <cellStyle name="Percent 3 2 2 2 5 3 3" xfId="41879"/>
    <cellStyle name="Percent 3 2 2 2 5 3 3 2" xfId="57006"/>
    <cellStyle name="Percent 3 2 2 2 5 3 4" xfId="39599"/>
    <cellStyle name="Percent 3 2 2 2 5 3 4 2" xfId="54727"/>
    <cellStyle name="Percent 3 2 2 2 5 3 5" xfId="51993"/>
    <cellStyle name="Percent 3 2 2 2 5 4" xfId="3164"/>
    <cellStyle name="Percent 3 2 2 2 5 4 2" xfId="43026"/>
    <cellStyle name="Percent 3 2 2 2 5 4 2 2" xfId="58152"/>
    <cellStyle name="Percent 3 2 2 2 5 4 3" xfId="47858"/>
    <cellStyle name="Percent 3 2 2 2 5 5" xfId="40790"/>
    <cellStyle name="Percent 3 2 2 2 5 5 2" xfId="55917"/>
    <cellStyle name="Percent 3 2 2 2 5 6" xfId="38429"/>
    <cellStyle name="Percent 3 2 2 2 5 6 2" xfId="53588"/>
    <cellStyle name="Percent 3 2 2 2 5 7" xfId="46159"/>
    <cellStyle name="Percent 3 2 2 2 6" xfId="807"/>
    <cellStyle name="Percent 3 2 2 2 6 2" xfId="5156"/>
    <cellStyle name="Percent 3 2 2 2 6 2 2" xfId="44241"/>
    <cellStyle name="Percent 3 2 2 2 6 2 2 2" xfId="59367"/>
    <cellStyle name="Percent 3 2 2 2 6 2 3" xfId="42005"/>
    <cellStyle name="Percent 3 2 2 2 6 2 3 2" xfId="57132"/>
    <cellStyle name="Percent 3 2 2 2 6 2 4" xfId="39725"/>
    <cellStyle name="Percent 3 2 2 2 6 2 4 2" xfId="54853"/>
    <cellStyle name="Percent 3 2 2 2 6 2 5" xfId="49841"/>
    <cellStyle name="Percent 3 2 2 2 6 3" xfId="11617"/>
    <cellStyle name="Percent 3 2 2 2 6 3 2" xfId="43377"/>
    <cellStyle name="Percent 3 2 2 2 6 3 2 2" xfId="58503"/>
    <cellStyle name="Percent 3 2 2 2 6 3 3" xfId="51871"/>
    <cellStyle name="Percent 3 2 2 2 6 4" xfId="3042"/>
    <cellStyle name="Percent 3 2 2 2 6 4 2" xfId="41141"/>
    <cellStyle name="Percent 3 2 2 2 6 4 2 2" xfId="56268"/>
    <cellStyle name="Percent 3 2 2 2 6 4 3" xfId="47736"/>
    <cellStyle name="Percent 3 2 2 2 6 5" xfId="38560"/>
    <cellStyle name="Percent 3 2 2 2 6 5 2" xfId="53714"/>
    <cellStyle name="Percent 3 2 2 2 6 6" xfId="46037"/>
    <cellStyle name="Percent 3 2 2 2 7" xfId="597"/>
    <cellStyle name="Percent 3 2 2 2 7 2" xfId="4946"/>
    <cellStyle name="Percent 3 2 2 2 7 2 2" xfId="43803"/>
    <cellStyle name="Percent 3 2 2 2 7 2 2 2" xfId="58929"/>
    <cellStyle name="Percent 3 2 2 2 7 2 3" xfId="49631"/>
    <cellStyle name="Percent 3 2 2 2 7 3" xfId="11407"/>
    <cellStyle name="Percent 3 2 2 2 7 3 2" xfId="41567"/>
    <cellStyle name="Percent 3 2 2 2 7 3 2 2" xfId="56694"/>
    <cellStyle name="Percent 3 2 2 2 7 3 3" xfId="51661"/>
    <cellStyle name="Percent 3 2 2 2 7 4" xfId="4056"/>
    <cellStyle name="Percent 3 2 2 2 7 4 2" xfId="48748"/>
    <cellStyle name="Percent 3 2 2 2 7 5" xfId="39287"/>
    <cellStyle name="Percent 3 2 2 2 7 5 2" xfId="54415"/>
    <cellStyle name="Percent 3 2 2 2 7 6" xfId="45827"/>
    <cellStyle name="Percent 3 2 2 2 8" xfId="1858"/>
    <cellStyle name="Percent 3 2 2 2 8 2" xfId="12666"/>
    <cellStyle name="Percent 3 2 2 2 8 2 2" xfId="52920"/>
    <cellStyle name="Percent 3 2 2 2 8 3" xfId="6205"/>
    <cellStyle name="Percent 3 2 2 2 8 3 2" xfId="50890"/>
    <cellStyle name="Percent 3 2 2 2 8 4" xfId="42675"/>
    <cellStyle name="Percent 3 2 2 2 8 4 2" xfId="57802"/>
    <cellStyle name="Percent 3 2 2 2 8 5" xfId="47086"/>
    <cellStyle name="Percent 3 2 2 2 9" xfId="2672"/>
    <cellStyle name="Percent 3 2 2 2 9 2" xfId="4521"/>
    <cellStyle name="Percent 3 2 2 2 9 2 2" xfId="49211"/>
    <cellStyle name="Percent 3 2 2 2 9 3" xfId="40440"/>
    <cellStyle name="Percent 3 2 2 2 9 3 2" xfId="55567"/>
    <cellStyle name="Percent 3 2 2 2 9 4" xfId="47404"/>
    <cellStyle name="Percent 3 2 2 3" xfId="167"/>
    <cellStyle name="Percent 3 2 2 3 10" xfId="38075"/>
    <cellStyle name="Percent 3 2 2 3 10 2" xfId="53275"/>
    <cellStyle name="Percent 3 2 2 3 11" xfId="45406"/>
    <cellStyle name="Percent 3 2 2 3 2" xfId="475"/>
    <cellStyle name="Percent 3 2 2 3 2 2" xfId="1450"/>
    <cellStyle name="Percent 3 2 2 3 2 2 2" xfId="5799"/>
    <cellStyle name="Percent 3 2 2 3 2 2 2 2" xfId="44591"/>
    <cellStyle name="Percent 3 2 2 3 2 2 2 2 2" xfId="59717"/>
    <cellStyle name="Percent 3 2 2 3 2 2 2 3" xfId="50484"/>
    <cellStyle name="Percent 3 2 2 3 2 2 3" xfId="12260"/>
    <cellStyle name="Percent 3 2 2 3 2 2 3 2" xfId="42355"/>
    <cellStyle name="Percent 3 2 2 3 2 2 3 2 2" xfId="57482"/>
    <cellStyle name="Percent 3 2 2 3 2 2 3 3" xfId="52514"/>
    <cellStyle name="Percent 3 2 2 3 2 2 4" xfId="3733"/>
    <cellStyle name="Percent 3 2 2 3 2 2 4 2" xfId="48426"/>
    <cellStyle name="Percent 3 2 2 3 2 2 5" xfId="40075"/>
    <cellStyle name="Percent 3 2 2 3 2 2 5 2" xfId="55203"/>
    <cellStyle name="Percent 3 2 2 3 2 2 6" xfId="46680"/>
    <cellStyle name="Percent 3 2 2 3 2 3" xfId="1740"/>
    <cellStyle name="Percent 3 2 2 3 2 3 2" xfId="6089"/>
    <cellStyle name="Percent 3 2 2 3 2 3 2 2" xfId="50774"/>
    <cellStyle name="Percent 3 2 2 3 2 3 3" xfId="12550"/>
    <cellStyle name="Percent 3 2 2 3 2 3 3 2" xfId="52804"/>
    <cellStyle name="Percent 3 2 2 3 2 3 4" xfId="4039"/>
    <cellStyle name="Percent 3 2 2 3 2 3 4 2" xfId="48732"/>
    <cellStyle name="Percent 3 2 2 3 2 3 5" xfId="43025"/>
    <cellStyle name="Percent 3 2 2 3 2 3 5 2" xfId="58151"/>
    <cellStyle name="Percent 3 2 2 3 2 3 6" xfId="46970"/>
    <cellStyle name="Percent 3 2 2 3 2 4" xfId="1227"/>
    <cellStyle name="Percent 3 2 2 3 2 4 2" xfId="5576"/>
    <cellStyle name="Percent 3 2 2 3 2 4 2 2" xfId="50261"/>
    <cellStyle name="Percent 3 2 2 3 2 4 3" xfId="12037"/>
    <cellStyle name="Percent 3 2 2 3 2 4 3 2" xfId="52291"/>
    <cellStyle name="Percent 3 2 2 3 2 4 4" xfId="4398"/>
    <cellStyle name="Percent 3 2 2 3 2 4 4 2" xfId="49088"/>
    <cellStyle name="Percent 3 2 2 3 2 4 5" xfId="40789"/>
    <cellStyle name="Percent 3 2 2 3 2 4 5 2" xfId="55916"/>
    <cellStyle name="Percent 3 2 2 3 2 4 6" xfId="46457"/>
    <cellStyle name="Percent 3 2 2 3 2 5" xfId="4824"/>
    <cellStyle name="Percent 3 2 2 3 2 5 2" xfId="49509"/>
    <cellStyle name="Percent 3 2 2 3 2 6" xfId="11285"/>
    <cellStyle name="Percent 3 2 2 3 2 6 2" xfId="51539"/>
    <cellStyle name="Percent 3 2 2 3 2 7" xfId="3462"/>
    <cellStyle name="Percent 3 2 2 3 2 7 2" xfId="48156"/>
    <cellStyle name="Percent 3 2 2 3 2 8" xfId="38932"/>
    <cellStyle name="Percent 3 2 2 3 2 8 2" xfId="54064"/>
    <cellStyle name="Percent 3 2 2 3 2 9" xfId="45705"/>
    <cellStyle name="Percent 3 2 2 3 3" xfId="928"/>
    <cellStyle name="Percent 3 2 2 3 3 2" xfId="5277"/>
    <cellStyle name="Percent 3 2 2 3 3 2 2" xfId="44240"/>
    <cellStyle name="Percent 3 2 2 3 3 2 2 2" xfId="59366"/>
    <cellStyle name="Percent 3 2 2 3 3 2 3" xfId="42004"/>
    <cellStyle name="Percent 3 2 2 3 3 2 3 2" xfId="57131"/>
    <cellStyle name="Percent 3 2 2 3 3 2 4" xfId="39724"/>
    <cellStyle name="Percent 3 2 2 3 3 2 4 2" xfId="54852"/>
    <cellStyle name="Percent 3 2 2 3 3 2 5" xfId="49962"/>
    <cellStyle name="Percent 3 2 2 3 3 3" xfId="11738"/>
    <cellStyle name="Percent 3 2 2 3 3 3 2" xfId="43376"/>
    <cellStyle name="Percent 3 2 2 3 3 3 2 2" xfId="58502"/>
    <cellStyle name="Percent 3 2 2 3 3 3 3" xfId="51992"/>
    <cellStyle name="Percent 3 2 2 3 3 4" xfId="3163"/>
    <cellStyle name="Percent 3 2 2 3 3 4 2" xfId="41140"/>
    <cellStyle name="Percent 3 2 2 3 3 4 2 2" xfId="56267"/>
    <cellStyle name="Percent 3 2 2 3 3 4 3" xfId="47857"/>
    <cellStyle name="Percent 3 2 2 3 3 5" xfId="38559"/>
    <cellStyle name="Percent 3 2 2 3 3 5 2" xfId="53713"/>
    <cellStyle name="Percent 3 2 2 3 3 6" xfId="46158"/>
    <cellStyle name="Percent 3 2 2 3 4" xfId="806"/>
    <cellStyle name="Percent 3 2 2 3 4 2" xfId="5155"/>
    <cellStyle name="Percent 3 2 2 3 4 2 2" xfId="43802"/>
    <cellStyle name="Percent 3 2 2 3 4 2 2 2" xfId="58928"/>
    <cellStyle name="Percent 3 2 2 3 4 2 3" xfId="49840"/>
    <cellStyle name="Percent 3 2 2 3 4 3" xfId="11616"/>
    <cellStyle name="Percent 3 2 2 3 4 3 2" xfId="41566"/>
    <cellStyle name="Percent 3 2 2 3 4 3 2 2" xfId="56693"/>
    <cellStyle name="Percent 3 2 2 3 4 3 3" xfId="51870"/>
    <cellStyle name="Percent 3 2 2 3 4 4" xfId="3041"/>
    <cellStyle name="Percent 3 2 2 3 4 4 2" xfId="47735"/>
    <cellStyle name="Percent 3 2 2 3 4 5" xfId="39286"/>
    <cellStyle name="Percent 3 2 2 3 4 5 2" xfId="54414"/>
    <cellStyle name="Percent 3 2 2 3 4 6" xfId="46036"/>
    <cellStyle name="Percent 3 2 2 3 5" xfId="596"/>
    <cellStyle name="Percent 3 2 2 3 5 2" xfId="4945"/>
    <cellStyle name="Percent 3 2 2 3 5 2 2" xfId="49630"/>
    <cellStyle name="Percent 3 2 2 3 5 3" xfId="11406"/>
    <cellStyle name="Percent 3 2 2 3 5 3 2" xfId="51660"/>
    <cellStyle name="Percent 3 2 2 3 5 4" xfId="4085"/>
    <cellStyle name="Percent 3 2 2 3 5 4 2" xfId="48777"/>
    <cellStyle name="Percent 3 2 2 3 5 5" xfId="42674"/>
    <cellStyle name="Percent 3 2 2 3 5 5 2" xfId="57801"/>
    <cellStyle name="Percent 3 2 2 3 5 6" xfId="45826"/>
    <cellStyle name="Percent 3 2 2 3 6" xfId="1857"/>
    <cellStyle name="Percent 3 2 2 3 6 2" xfId="12665"/>
    <cellStyle name="Percent 3 2 2 3 6 2 2" xfId="52919"/>
    <cellStyle name="Percent 3 2 2 3 6 3" xfId="6204"/>
    <cellStyle name="Percent 3 2 2 3 6 3 2" xfId="50889"/>
    <cellStyle name="Percent 3 2 2 3 6 4" xfId="40439"/>
    <cellStyle name="Percent 3 2 2 3 6 4 2" xfId="55566"/>
    <cellStyle name="Percent 3 2 2 3 6 5" xfId="47085"/>
    <cellStyle name="Percent 3 2 2 3 7" xfId="4520"/>
    <cellStyle name="Percent 3 2 2 3 7 2" xfId="49210"/>
    <cellStyle name="Percent 3 2 2 3 8" xfId="10986"/>
    <cellStyle name="Percent 3 2 2 3 8 2" xfId="51240"/>
    <cellStyle name="Percent 3 2 2 3 9" xfId="2826"/>
    <cellStyle name="Percent 3 2 2 3 9 2" xfId="47524"/>
    <cellStyle name="Percent 3 2 2 4" xfId="263"/>
    <cellStyle name="Percent 3 2 2 4 10" xfId="38151"/>
    <cellStyle name="Percent 3 2 2 4 10 2" xfId="53351"/>
    <cellStyle name="Percent 3 2 2 4 11" xfId="45495"/>
    <cellStyle name="Percent 3 2 2 4 2" xfId="1017"/>
    <cellStyle name="Percent 3 2 2 4 2 2" xfId="5366"/>
    <cellStyle name="Percent 3 2 2 4 2 2 2" xfId="44667"/>
    <cellStyle name="Percent 3 2 2 4 2 2 2 2" xfId="59793"/>
    <cellStyle name="Percent 3 2 2 4 2 2 3" xfId="42431"/>
    <cellStyle name="Percent 3 2 2 4 2 2 3 2" xfId="57558"/>
    <cellStyle name="Percent 3 2 2 4 2 2 4" xfId="40151"/>
    <cellStyle name="Percent 3 2 2 4 2 2 4 2" xfId="55279"/>
    <cellStyle name="Percent 3 2 2 4 2 2 5" xfId="50051"/>
    <cellStyle name="Percent 3 2 2 4 2 3" xfId="11827"/>
    <cellStyle name="Percent 3 2 2 4 2 3 2" xfId="43101"/>
    <cellStyle name="Percent 3 2 2 4 2 3 2 2" xfId="58227"/>
    <cellStyle name="Percent 3 2 2 4 2 3 3" xfId="52081"/>
    <cellStyle name="Percent 3 2 2 4 2 4" xfId="3252"/>
    <cellStyle name="Percent 3 2 2 4 2 4 2" xfId="40865"/>
    <cellStyle name="Percent 3 2 2 4 2 4 2 2" xfId="55992"/>
    <cellStyle name="Percent 3 2 2 4 2 4 3" xfId="47946"/>
    <cellStyle name="Percent 3 2 2 4 2 5" xfId="39009"/>
    <cellStyle name="Percent 3 2 2 4 2 5 2" xfId="54140"/>
    <cellStyle name="Percent 3 2 2 4 2 6" xfId="46247"/>
    <cellStyle name="Percent 3 2 2 4 3" xfId="1319"/>
    <cellStyle name="Percent 3 2 2 4 3 2" xfId="5668"/>
    <cellStyle name="Percent 3 2 2 4 3 2 2" xfId="44316"/>
    <cellStyle name="Percent 3 2 2 4 3 2 2 2" xfId="59442"/>
    <cellStyle name="Percent 3 2 2 4 3 2 3" xfId="42080"/>
    <cellStyle name="Percent 3 2 2 4 3 2 3 2" xfId="57207"/>
    <cellStyle name="Percent 3 2 2 4 3 2 4" xfId="39800"/>
    <cellStyle name="Percent 3 2 2 4 3 2 4 2" xfId="54928"/>
    <cellStyle name="Percent 3 2 2 4 3 2 5" xfId="50353"/>
    <cellStyle name="Percent 3 2 2 4 3 3" xfId="12129"/>
    <cellStyle name="Percent 3 2 2 4 3 3 2" xfId="43452"/>
    <cellStyle name="Percent 3 2 2 4 3 3 2 2" xfId="58578"/>
    <cellStyle name="Percent 3 2 2 4 3 3 3" xfId="52383"/>
    <cellStyle name="Percent 3 2 2 4 3 4" xfId="3602"/>
    <cellStyle name="Percent 3 2 2 4 3 4 2" xfId="41216"/>
    <cellStyle name="Percent 3 2 2 4 3 4 2 2" xfId="56343"/>
    <cellStyle name="Percent 3 2 2 4 3 4 3" xfId="48295"/>
    <cellStyle name="Percent 3 2 2 4 3 5" xfId="38636"/>
    <cellStyle name="Percent 3 2 2 4 3 5 2" xfId="53789"/>
    <cellStyle name="Percent 3 2 2 4 3 6" xfId="46549"/>
    <cellStyle name="Percent 3 2 2 4 4" xfId="1530"/>
    <cellStyle name="Percent 3 2 2 4 4 2" xfId="5879"/>
    <cellStyle name="Percent 3 2 2 4 4 2 2" xfId="43878"/>
    <cellStyle name="Percent 3 2 2 4 4 2 2 2" xfId="59004"/>
    <cellStyle name="Percent 3 2 2 4 4 2 3" xfId="50564"/>
    <cellStyle name="Percent 3 2 2 4 4 3" xfId="12340"/>
    <cellStyle name="Percent 3 2 2 4 4 3 2" xfId="41642"/>
    <cellStyle name="Percent 3 2 2 4 4 3 2 2" xfId="56769"/>
    <cellStyle name="Percent 3 2 2 4 4 3 3" xfId="52594"/>
    <cellStyle name="Percent 3 2 2 4 4 4" xfId="3829"/>
    <cellStyle name="Percent 3 2 2 4 4 4 2" xfId="48522"/>
    <cellStyle name="Percent 3 2 2 4 4 5" xfId="39362"/>
    <cellStyle name="Percent 3 2 2 4 4 5 2" xfId="54490"/>
    <cellStyle name="Percent 3 2 2 4 4 6" xfId="46760"/>
    <cellStyle name="Percent 3 2 2 4 5" xfId="685"/>
    <cellStyle name="Percent 3 2 2 4 5 2" xfId="5034"/>
    <cellStyle name="Percent 3 2 2 4 5 2 2" xfId="49719"/>
    <cellStyle name="Percent 3 2 2 4 5 3" xfId="11495"/>
    <cellStyle name="Percent 3 2 2 4 5 3 2" xfId="51749"/>
    <cellStyle name="Percent 3 2 2 4 5 4" xfId="4188"/>
    <cellStyle name="Percent 3 2 2 4 5 4 2" xfId="48878"/>
    <cellStyle name="Percent 3 2 2 4 5 5" xfId="42750"/>
    <cellStyle name="Percent 3 2 2 4 5 5 2" xfId="57877"/>
    <cellStyle name="Percent 3 2 2 4 5 6" xfId="45915"/>
    <cellStyle name="Percent 3 2 2 4 6" xfId="1935"/>
    <cellStyle name="Percent 3 2 2 4 6 2" xfId="12742"/>
    <cellStyle name="Percent 3 2 2 4 6 2 2" xfId="52995"/>
    <cellStyle name="Percent 3 2 2 4 6 3" xfId="6282"/>
    <cellStyle name="Percent 3 2 2 4 6 3 2" xfId="50965"/>
    <cellStyle name="Percent 3 2 2 4 6 4" xfId="40515"/>
    <cellStyle name="Percent 3 2 2 4 6 4 2" xfId="55642"/>
    <cellStyle name="Percent 3 2 2 4 6 5" xfId="47161"/>
    <cellStyle name="Percent 3 2 2 4 7" xfId="4612"/>
    <cellStyle name="Percent 3 2 2 4 7 2" xfId="49299"/>
    <cellStyle name="Percent 3 2 2 4 8" xfId="11075"/>
    <cellStyle name="Percent 3 2 2 4 8 2" xfId="51329"/>
    <cellStyle name="Percent 3 2 2 4 9" xfId="2919"/>
    <cellStyle name="Percent 3 2 2 4 9 2" xfId="47613"/>
    <cellStyle name="Percent 3 2 2 5" xfId="354"/>
    <cellStyle name="Percent 3 2 2 5 10" xfId="45584"/>
    <cellStyle name="Percent 3 2 2 5 2" xfId="1408"/>
    <cellStyle name="Percent 3 2 2 5 2 2" xfId="5757"/>
    <cellStyle name="Percent 3 2 2 5 2 2 2" xfId="44743"/>
    <cellStyle name="Percent 3 2 2 5 2 2 2 2" xfId="59869"/>
    <cellStyle name="Percent 3 2 2 5 2 2 3" xfId="42507"/>
    <cellStyle name="Percent 3 2 2 5 2 2 3 2" xfId="57634"/>
    <cellStyle name="Percent 3 2 2 5 2 2 4" xfId="40227"/>
    <cellStyle name="Percent 3 2 2 5 2 2 4 2" xfId="55355"/>
    <cellStyle name="Percent 3 2 2 5 2 2 5" xfId="50442"/>
    <cellStyle name="Percent 3 2 2 5 2 3" xfId="12218"/>
    <cellStyle name="Percent 3 2 2 5 2 3 2" xfId="43177"/>
    <cellStyle name="Percent 3 2 2 5 2 3 2 2" xfId="58303"/>
    <cellStyle name="Percent 3 2 2 5 2 3 3" xfId="52472"/>
    <cellStyle name="Percent 3 2 2 5 2 4" xfId="3691"/>
    <cellStyle name="Percent 3 2 2 5 2 4 2" xfId="40941"/>
    <cellStyle name="Percent 3 2 2 5 2 4 2 2" xfId="56068"/>
    <cellStyle name="Percent 3 2 2 5 2 4 3" xfId="48384"/>
    <cellStyle name="Percent 3 2 2 5 2 5" xfId="39085"/>
    <cellStyle name="Percent 3 2 2 5 2 5 2" xfId="54216"/>
    <cellStyle name="Percent 3 2 2 5 2 6" xfId="46638"/>
    <cellStyle name="Percent 3 2 2 5 3" xfId="1619"/>
    <cellStyle name="Percent 3 2 2 5 3 2" xfId="5968"/>
    <cellStyle name="Percent 3 2 2 5 3 2 2" xfId="44392"/>
    <cellStyle name="Percent 3 2 2 5 3 2 2 2" xfId="59518"/>
    <cellStyle name="Percent 3 2 2 5 3 2 3" xfId="42156"/>
    <cellStyle name="Percent 3 2 2 5 3 2 3 2" xfId="57283"/>
    <cellStyle name="Percent 3 2 2 5 3 2 4" xfId="39876"/>
    <cellStyle name="Percent 3 2 2 5 3 2 4 2" xfId="55004"/>
    <cellStyle name="Percent 3 2 2 5 3 2 5" xfId="50653"/>
    <cellStyle name="Percent 3 2 2 5 3 3" xfId="12429"/>
    <cellStyle name="Percent 3 2 2 5 3 3 2" xfId="43528"/>
    <cellStyle name="Percent 3 2 2 5 3 3 2 2" xfId="58654"/>
    <cellStyle name="Percent 3 2 2 5 3 3 3" xfId="52683"/>
    <cellStyle name="Percent 3 2 2 5 3 4" xfId="3918"/>
    <cellStyle name="Percent 3 2 2 5 3 4 2" xfId="41292"/>
    <cellStyle name="Percent 3 2 2 5 3 4 2 2" xfId="56419"/>
    <cellStyle name="Percent 3 2 2 5 3 4 3" xfId="48611"/>
    <cellStyle name="Percent 3 2 2 5 3 5" xfId="38712"/>
    <cellStyle name="Percent 3 2 2 5 3 5 2" xfId="53865"/>
    <cellStyle name="Percent 3 2 2 5 3 6" xfId="46849"/>
    <cellStyle name="Percent 3 2 2 5 4" xfId="1106"/>
    <cellStyle name="Percent 3 2 2 5 4 2" xfId="5455"/>
    <cellStyle name="Percent 3 2 2 5 4 2 2" xfId="43954"/>
    <cellStyle name="Percent 3 2 2 5 4 2 2 2" xfId="59080"/>
    <cellStyle name="Percent 3 2 2 5 4 2 3" xfId="50140"/>
    <cellStyle name="Percent 3 2 2 5 4 3" xfId="11916"/>
    <cellStyle name="Percent 3 2 2 5 4 3 2" xfId="41718"/>
    <cellStyle name="Percent 3 2 2 5 4 3 2 2" xfId="56845"/>
    <cellStyle name="Percent 3 2 2 5 4 3 3" xfId="52170"/>
    <cellStyle name="Percent 3 2 2 5 4 4" xfId="4277"/>
    <cellStyle name="Percent 3 2 2 5 4 4 2" xfId="48967"/>
    <cellStyle name="Percent 3 2 2 5 4 5" xfId="39438"/>
    <cellStyle name="Percent 3 2 2 5 4 5 2" xfId="54566"/>
    <cellStyle name="Percent 3 2 2 5 4 6" xfId="46336"/>
    <cellStyle name="Percent 3 2 2 5 5" xfId="2011"/>
    <cellStyle name="Percent 3 2 2 5 5 2" xfId="12818"/>
    <cellStyle name="Percent 3 2 2 5 5 2 2" xfId="53071"/>
    <cellStyle name="Percent 3 2 2 5 5 3" xfId="6358"/>
    <cellStyle name="Percent 3 2 2 5 5 3 2" xfId="51041"/>
    <cellStyle name="Percent 3 2 2 5 5 4" xfId="42826"/>
    <cellStyle name="Percent 3 2 2 5 5 4 2" xfId="57953"/>
    <cellStyle name="Percent 3 2 2 5 5 5" xfId="47237"/>
    <cellStyle name="Percent 3 2 2 5 6" xfId="4703"/>
    <cellStyle name="Percent 3 2 2 5 6 2" xfId="40591"/>
    <cellStyle name="Percent 3 2 2 5 6 2 2" xfId="55718"/>
    <cellStyle name="Percent 3 2 2 5 6 3" xfId="49388"/>
    <cellStyle name="Percent 3 2 2 5 7" xfId="11164"/>
    <cellStyle name="Percent 3 2 2 5 7 2" xfId="51418"/>
    <cellStyle name="Percent 3 2 2 5 8" xfId="3341"/>
    <cellStyle name="Percent 3 2 2 5 8 2" xfId="48035"/>
    <cellStyle name="Percent 3 2 2 5 9" xfId="38227"/>
    <cellStyle name="Percent 3 2 2 5 9 2" xfId="53427"/>
    <cellStyle name="Percent 3 2 2 6" xfId="394"/>
    <cellStyle name="Percent 3 2 2 6 2" xfId="1659"/>
    <cellStyle name="Percent 3 2 2 6 2 2" xfId="6008"/>
    <cellStyle name="Percent 3 2 2 6 2 2 2" xfId="44819"/>
    <cellStyle name="Percent 3 2 2 6 2 2 2 2" xfId="59945"/>
    <cellStyle name="Percent 3 2 2 6 2 2 3" xfId="42583"/>
    <cellStyle name="Percent 3 2 2 6 2 2 3 2" xfId="57710"/>
    <cellStyle name="Percent 3 2 2 6 2 2 4" xfId="40303"/>
    <cellStyle name="Percent 3 2 2 6 2 2 4 2" xfId="55431"/>
    <cellStyle name="Percent 3 2 2 6 2 2 5" xfId="50693"/>
    <cellStyle name="Percent 3 2 2 6 2 3" xfId="12469"/>
    <cellStyle name="Percent 3 2 2 6 2 3 2" xfId="43253"/>
    <cellStyle name="Percent 3 2 2 6 2 3 2 2" xfId="58379"/>
    <cellStyle name="Percent 3 2 2 6 2 3 3" xfId="52723"/>
    <cellStyle name="Percent 3 2 2 6 2 4" xfId="3958"/>
    <cellStyle name="Percent 3 2 2 6 2 4 2" xfId="41017"/>
    <cellStyle name="Percent 3 2 2 6 2 4 2 2" xfId="56144"/>
    <cellStyle name="Percent 3 2 2 6 2 4 3" xfId="48651"/>
    <cellStyle name="Percent 3 2 2 6 2 5" xfId="39161"/>
    <cellStyle name="Percent 3 2 2 6 2 5 2" xfId="54292"/>
    <cellStyle name="Percent 3 2 2 6 2 6" xfId="46889"/>
    <cellStyle name="Percent 3 2 2 6 3" xfId="1146"/>
    <cellStyle name="Percent 3 2 2 6 3 2" xfId="5495"/>
    <cellStyle name="Percent 3 2 2 6 3 2 2" xfId="44468"/>
    <cellStyle name="Percent 3 2 2 6 3 2 2 2" xfId="59594"/>
    <cellStyle name="Percent 3 2 2 6 3 2 3" xfId="42232"/>
    <cellStyle name="Percent 3 2 2 6 3 2 3 2" xfId="57359"/>
    <cellStyle name="Percent 3 2 2 6 3 2 4" xfId="39952"/>
    <cellStyle name="Percent 3 2 2 6 3 2 4 2" xfId="55080"/>
    <cellStyle name="Percent 3 2 2 6 3 2 5" xfId="50180"/>
    <cellStyle name="Percent 3 2 2 6 3 3" xfId="11956"/>
    <cellStyle name="Percent 3 2 2 6 3 3 2" xfId="43604"/>
    <cellStyle name="Percent 3 2 2 6 3 3 2 2" xfId="58730"/>
    <cellStyle name="Percent 3 2 2 6 3 3 3" xfId="52210"/>
    <cellStyle name="Percent 3 2 2 6 3 4" xfId="4317"/>
    <cellStyle name="Percent 3 2 2 6 3 4 2" xfId="41368"/>
    <cellStyle name="Percent 3 2 2 6 3 4 2 2" xfId="56495"/>
    <cellStyle name="Percent 3 2 2 6 3 4 3" xfId="49007"/>
    <cellStyle name="Percent 3 2 2 6 3 5" xfId="38788"/>
    <cellStyle name="Percent 3 2 2 6 3 5 2" xfId="53941"/>
    <cellStyle name="Percent 3 2 2 6 3 6" xfId="46376"/>
    <cellStyle name="Percent 3 2 2 6 4" xfId="2088"/>
    <cellStyle name="Percent 3 2 2 6 4 2" xfId="12894"/>
    <cellStyle name="Percent 3 2 2 6 4 2 2" xfId="44030"/>
    <cellStyle name="Percent 3 2 2 6 4 2 2 2" xfId="59156"/>
    <cellStyle name="Percent 3 2 2 6 4 2 3" xfId="53147"/>
    <cellStyle name="Percent 3 2 2 6 4 3" xfId="6434"/>
    <cellStyle name="Percent 3 2 2 6 4 3 2" xfId="41794"/>
    <cellStyle name="Percent 3 2 2 6 4 3 2 2" xfId="56921"/>
    <cellStyle name="Percent 3 2 2 6 4 3 3" xfId="51117"/>
    <cellStyle name="Percent 3 2 2 6 4 4" xfId="39514"/>
    <cellStyle name="Percent 3 2 2 6 4 4 2" xfId="54642"/>
    <cellStyle name="Percent 3 2 2 6 4 5" xfId="47313"/>
    <cellStyle name="Percent 3 2 2 6 5" xfId="4743"/>
    <cellStyle name="Percent 3 2 2 6 5 2" xfId="42902"/>
    <cellStyle name="Percent 3 2 2 6 5 2 2" xfId="58029"/>
    <cellStyle name="Percent 3 2 2 6 5 3" xfId="49428"/>
    <cellStyle name="Percent 3 2 2 6 6" xfId="11204"/>
    <cellStyle name="Percent 3 2 2 6 6 2" xfId="40667"/>
    <cellStyle name="Percent 3 2 2 6 6 2 2" xfId="55794"/>
    <cellStyle name="Percent 3 2 2 6 6 3" xfId="51458"/>
    <cellStyle name="Percent 3 2 2 6 7" xfId="3381"/>
    <cellStyle name="Percent 3 2 2 6 7 2" xfId="48075"/>
    <cellStyle name="Percent 3 2 2 6 8" xfId="38303"/>
    <cellStyle name="Percent 3 2 2 6 8 2" xfId="53503"/>
    <cellStyle name="Percent 3 2 2 6 9" xfId="45624"/>
    <cellStyle name="Percent 3 2 2 7" xfId="846"/>
    <cellStyle name="Percent 3 2 2 7 2" xfId="5195"/>
    <cellStyle name="Percent 3 2 2 7 2 2" xfId="40004"/>
    <cellStyle name="Percent 3 2 2 7 2 2 2" xfId="44520"/>
    <cellStyle name="Percent 3 2 2 7 2 2 2 2" xfId="59646"/>
    <cellStyle name="Percent 3 2 2 7 2 2 3" xfId="42284"/>
    <cellStyle name="Percent 3 2 2 7 2 2 3 2" xfId="57411"/>
    <cellStyle name="Percent 3 2 2 7 2 2 4" xfId="55132"/>
    <cellStyle name="Percent 3 2 2 7 2 3" xfId="43655"/>
    <cellStyle name="Percent 3 2 2 7 2 3 2" xfId="58781"/>
    <cellStyle name="Percent 3 2 2 7 2 4" xfId="41419"/>
    <cellStyle name="Percent 3 2 2 7 2 4 2" xfId="56546"/>
    <cellStyle name="Percent 3 2 2 7 2 5" xfId="38861"/>
    <cellStyle name="Percent 3 2 2 7 2 5 2" xfId="53993"/>
    <cellStyle name="Percent 3 2 2 7 2 6" xfId="49880"/>
    <cellStyle name="Percent 3 2 2 7 3" xfId="11656"/>
    <cellStyle name="Percent 3 2 2 7 3 2" xfId="44114"/>
    <cellStyle name="Percent 3 2 2 7 3 2 2" xfId="59240"/>
    <cellStyle name="Percent 3 2 2 7 3 3" xfId="41878"/>
    <cellStyle name="Percent 3 2 2 7 3 3 2" xfId="57005"/>
    <cellStyle name="Percent 3 2 2 7 3 4" xfId="39598"/>
    <cellStyle name="Percent 3 2 2 7 3 4 2" xfId="54726"/>
    <cellStyle name="Percent 3 2 2 7 3 5" xfId="51910"/>
    <cellStyle name="Percent 3 2 2 7 4" xfId="3081"/>
    <cellStyle name="Percent 3 2 2 7 4 2" xfId="42954"/>
    <cellStyle name="Percent 3 2 2 7 4 2 2" xfId="58080"/>
    <cellStyle name="Percent 3 2 2 7 4 3" xfId="47775"/>
    <cellStyle name="Percent 3 2 2 7 5" xfId="40718"/>
    <cellStyle name="Percent 3 2 2 7 5 2" xfId="55845"/>
    <cellStyle name="Percent 3 2 2 7 6" xfId="38428"/>
    <cellStyle name="Percent 3 2 2 7 6 2" xfId="53587"/>
    <cellStyle name="Percent 3 2 2 7 7" xfId="46076"/>
    <cellStyle name="Percent 3 2 2 8" xfId="725"/>
    <cellStyle name="Percent 3 2 2 8 2" xfId="5074"/>
    <cellStyle name="Percent 3 2 2 8 2 2" xfId="44169"/>
    <cellStyle name="Percent 3 2 2 8 2 2 2" xfId="59295"/>
    <cellStyle name="Percent 3 2 2 8 2 3" xfId="41933"/>
    <cellStyle name="Percent 3 2 2 8 2 3 2" xfId="57060"/>
    <cellStyle name="Percent 3 2 2 8 2 4" xfId="39653"/>
    <cellStyle name="Percent 3 2 2 8 2 4 2" xfId="54781"/>
    <cellStyle name="Percent 3 2 2 8 2 5" xfId="49759"/>
    <cellStyle name="Percent 3 2 2 8 3" xfId="11535"/>
    <cellStyle name="Percent 3 2 2 8 3 2" xfId="43305"/>
    <cellStyle name="Percent 3 2 2 8 3 2 2" xfId="58431"/>
    <cellStyle name="Percent 3 2 2 8 3 3" xfId="51789"/>
    <cellStyle name="Percent 3 2 2 8 4" xfId="2959"/>
    <cellStyle name="Percent 3 2 2 8 4 2" xfId="41069"/>
    <cellStyle name="Percent 3 2 2 8 4 2 2" xfId="56196"/>
    <cellStyle name="Percent 3 2 2 8 4 3" xfId="47653"/>
    <cellStyle name="Percent 3 2 2 8 5" xfId="38486"/>
    <cellStyle name="Percent 3 2 2 8 5 2" xfId="53642"/>
    <cellStyle name="Percent 3 2 2 8 6" xfId="45955"/>
    <cellStyle name="Percent 3 2 2 9" xfId="515"/>
    <cellStyle name="Percent 3 2 2 9 2" xfId="4864"/>
    <cellStyle name="Percent 3 2 2 9 2 2" xfId="43731"/>
    <cellStyle name="Percent 3 2 2 9 2 2 2" xfId="58857"/>
    <cellStyle name="Percent 3 2 2 9 2 3" xfId="49549"/>
    <cellStyle name="Percent 3 2 2 9 3" xfId="11325"/>
    <cellStyle name="Percent 3 2 2 9 3 2" xfId="41495"/>
    <cellStyle name="Percent 3 2 2 9 3 2 2" xfId="56622"/>
    <cellStyle name="Percent 3 2 2 9 3 3" xfId="51579"/>
    <cellStyle name="Percent 3 2 2 9 4" xfId="4096"/>
    <cellStyle name="Percent 3 2 2 9 4 2" xfId="48787"/>
    <cellStyle name="Percent 3 2 2 9 5" xfId="39215"/>
    <cellStyle name="Percent 3 2 2 9 5 2" xfId="54343"/>
    <cellStyle name="Percent 3 2 2 9 6" xfId="45745"/>
    <cellStyle name="Percent 3 2 3" xfId="169"/>
    <cellStyle name="Percent 3 2 3 10" xfId="10988"/>
    <cellStyle name="Percent 3 2 3 10 2" xfId="51242"/>
    <cellStyle name="Percent 3 2 3 11" xfId="2828"/>
    <cellStyle name="Percent 3 2 3 11 2" xfId="47526"/>
    <cellStyle name="Percent 3 2 3 12" xfId="38077"/>
    <cellStyle name="Percent 3 2 3 12 2" xfId="53277"/>
    <cellStyle name="Percent 3 2 3 13" xfId="45408"/>
    <cellStyle name="Percent 3 2 3 2" xfId="265"/>
    <cellStyle name="Percent 3 2 3 2 10" xfId="38153"/>
    <cellStyle name="Percent 3 2 3 2 10 2" xfId="53353"/>
    <cellStyle name="Percent 3 2 3 2 11" xfId="45497"/>
    <cellStyle name="Percent 3 2 3 2 2" xfId="1019"/>
    <cellStyle name="Percent 3 2 3 2 2 2" xfId="5368"/>
    <cellStyle name="Percent 3 2 3 2 2 2 2" xfId="44669"/>
    <cellStyle name="Percent 3 2 3 2 2 2 2 2" xfId="59795"/>
    <cellStyle name="Percent 3 2 3 2 2 2 3" xfId="42433"/>
    <cellStyle name="Percent 3 2 3 2 2 2 3 2" xfId="57560"/>
    <cellStyle name="Percent 3 2 3 2 2 2 4" xfId="40153"/>
    <cellStyle name="Percent 3 2 3 2 2 2 4 2" xfId="55281"/>
    <cellStyle name="Percent 3 2 3 2 2 2 5" xfId="50053"/>
    <cellStyle name="Percent 3 2 3 2 2 3" xfId="11829"/>
    <cellStyle name="Percent 3 2 3 2 2 3 2" xfId="43103"/>
    <cellStyle name="Percent 3 2 3 2 2 3 2 2" xfId="58229"/>
    <cellStyle name="Percent 3 2 3 2 2 3 3" xfId="52083"/>
    <cellStyle name="Percent 3 2 3 2 2 4" xfId="3254"/>
    <cellStyle name="Percent 3 2 3 2 2 4 2" xfId="40867"/>
    <cellStyle name="Percent 3 2 3 2 2 4 2 2" xfId="55994"/>
    <cellStyle name="Percent 3 2 3 2 2 4 3" xfId="47948"/>
    <cellStyle name="Percent 3 2 3 2 2 5" xfId="39011"/>
    <cellStyle name="Percent 3 2 3 2 2 5 2" xfId="54142"/>
    <cellStyle name="Percent 3 2 3 2 2 6" xfId="46249"/>
    <cellStyle name="Percent 3 2 3 2 3" xfId="1321"/>
    <cellStyle name="Percent 3 2 3 2 3 2" xfId="5670"/>
    <cellStyle name="Percent 3 2 3 2 3 2 2" xfId="44318"/>
    <cellStyle name="Percent 3 2 3 2 3 2 2 2" xfId="59444"/>
    <cellStyle name="Percent 3 2 3 2 3 2 3" xfId="42082"/>
    <cellStyle name="Percent 3 2 3 2 3 2 3 2" xfId="57209"/>
    <cellStyle name="Percent 3 2 3 2 3 2 4" xfId="39802"/>
    <cellStyle name="Percent 3 2 3 2 3 2 4 2" xfId="54930"/>
    <cellStyle name="Percent 3 2 3 2 3 2 5" xfId="50355"/>
    <cellStyle name="Percent 3 2 3 2 3 3" xfId="12131"/>
    <cellStyle name="Percent 3 2 3 2 3 3 2" xfId="43454"/>
    <cellStyle name="Percent 3 2 3 2 3 3 2 2" xfId="58580"/>
    <cellStyle name="Percent 3 2 3 2 3 3 3" xfId="52385"/>
    <cellStyle name="Percent 3 2 3 2 3 4" xfId="3604"/>
    <cellStyle name="Percent 3 2 3 2 3 4 2" xfId="41218"/>
    <cellStyle name="Percent 3 2 3 2 3 4 2 2" xfId="56345"/>
    <cellStyle name="Percent 3 2 3 2 3 4 3" xfId="48297"/>
    <cellStyle name="Percent 3 2 3 2 3 5" xfId="38638"/>
    <cellStyle name="Percent 3 2 3 2 3 5 2" xfId="53791"/>
    <cellStyle name="Percent 3 2 3 2 3 6" xfId="46551"/>
    <cellStyle name="Percent 3 2 3 2 4" xfId="1532"/>
    <cellStyle name="Percent 3 2 3 2 4 2" xfId="5881"/>
    <cellStyle name="Percent 3 2 3 2 4 2 2" xfId="43880"/>
    <cellStyle name="Percent 3 2 3 2 4 2 2 2" xfId="59006"/>
    <cellStyle name="Percent 3 2 3 2 4 2 3" xfId="50566"/>
    <cellStyle name="Percent 3 2 3 2 4 3" xfId="12342"/>
    <cellStyle name="Percent 3 2 3 2 4 3 2" xfId="41644"/>
    <cellStyle name="Percent 3 2 3 2 4 3 2 2" xfId="56771"/>
    <cellStyle name="Percent 3 2 3 2 4 3 3" xfId="52596"/>
    <cellStyle name="Percent 3 2 3 2 4 4" xfId="3831"/>
    <cellStyle name="Percent 3 2 3 2 4 4 2" xfId="48524"/>
    <cellStyle name="Percent 3 2 3 2 4 5" xfId="39364"/>
    <cellStyle name="Percent 3 2 3 2 4 5 2" xfId="54492"/>
    <cellStyle name="Percent 3 2 3 2 4 6" xfId="46762"/>
    <cellStyle name="Percent 3 2 3 2 5" xfId="687"/>
    <cellStyle name="Percent 3 2 3 2 5 2" xfId="5036"/>
    <cellStyle name="Percent 3 2 3 2 5 2 2" xfId="49721"/>
    <cellStyle name="Percent 3 2 3 2 5 3" xfId="11497"/>
    <cellStyle name="Percent 3 2 3 2 5 3 2" xfId="51751"/>
    <cellStyle name="Percent 3 2 3 2 5 4" xfId="4190"/>
    <cellStyle name="Percent 3 2 3 2 5 4 2" xfId="48880"/>
    <cellStyle name="Percent 3 2 3 2 5 5" xfId="42752"/>
    <cellStyle name="Percent 3 2 3 2 5 5 2" xfId="57879"/>
    <cellStyle name="Percent 3 2 3 2 5 6" xfId="45917"/>
    <cellStyle name="Percent 3 2 3 2 6" xfId="1937"/>
    <cellStyle name="Percent 3 2 3 2 6 2" xfId="12744"/>
    <cellStyle name="Percent 3 2 3 2 6 2 2" xfId="52997"/>
    <cellStyle name="Percent 3 2 3 2 6 3" xfId="6284"/>
    <cellStyle name="Percent 3 2 3 2 6 3 2" xfId="50967"/>
    <cellStyle name="Percent 3 2 3 2 6 4" xfId="40517"/>
    <cellStyle name="Percent 3 2 3 2 6 4 2" xfId="55644"/>
    <cellStyle name="Percent 3 2 3 2 6 5" xfId="47163"/>
    <cellStyle name="Percent 3 2 3 2 7" xfId="4614"/>
    <cellStyle name="Percent 3 2 3 2 7 2" xfId="49301"/>
    <cellStyle name="Percent 3 2 3 2 8" xfId="11077"/>
    <cellStyle name="Percent 3 2 3 2 8 2" xfId="51331"/>
    <cellStyle name="Percent 3 2 3 2 9" xfId="2921"/>
    <cellStyle name="Percent 3 2 3 2 9 2" xfId="47615"/>
    <cellStyle name="Percent 3 2 3 3" xfId="356"/>
    <cellStyle name="Percent 3 2 3 3 10" xfId="45586"/>
    <cellStyle name="Percent 3 2 3 3 2" xfId="1410"/>
    <cellStyle name="Percent 3 2 3 3 2 2" xfId="5759"/>
    <cellStyle name="Percent 3 2 3 3 2 2 2" xfId="44745"/>
    <cellStyle name="Percent 3 2 3 3 2 2 2 2" xfId="59871"/>
    <cellStyle name="Percent 3 2 3 3 2 2 3" xfId="42509"/>
    <cellStyle name="Percent 3 2 3 3 2 2 3 2" xfId="57636"/>
    <cellStyle name="Percent 3 2 3 3 2 2 4" xfId="40229"/>
    <cellStyle name="Percent 3 2 3 3 2 2 4 2" xfId="55357"/>
    <cellStyle name="Percent 3 2 3 3 2 2 5" xfId="50444"/>
    <cellStyle name="Percent 3 2 3 3 2 3" xfId="12220"/>
    <cellStyle name="Percent 3 2 3 3 2 3 2" xfId="43179"/>
    <cellStyle name="Percent 3 2 3 3 2 3 2 2" xfId="58305"/>
    <cellStyle name="Percent 3 2 3 3 2 3 3" xfId="52474"/>
    <cellStyle name="Percent 3 2 3 3 2 4" xfId="3693"/>
    <cellStyle name="Percent 3 2 3 3 2 4 2" xfId="40943"/>
    <cellStyle name="Percent 3 2 3 3 2 4 2 2" xfId="56070"/>
    <cellStyle name="Percent 3 2 3 3 2 4 3" xfId="48386"/>
    <cellStyle name="Percent 3 2 3 3 2 5" xfId="39087"/>
    <cellStyle name="Percent 3 2 3 3 2 5 2" xfId="54218"/>
    <cellStyle name="Percent 3 2 3 3 2 6" xfId="46640"/>
    <cellStyle name="Percent 3 2 3 3 3" xfId="1621"/>
    <cellStyle name="Percent 3 2 3 3 3 2" xfId="5970"/>
    <cellStyle name="Percent 3 2 3 3 3 2 2" xfId="44394"/>
    <cellStyle name="Percent 3 2 3 3 3 2 2 2" xfId="59520"/>
    <cellStyle name="Percent 3 2 3 3 3 2 3" xfId="42158"/>
    <cellStyle name="Percent 3 2 3 3 3 2 3 2" xfId="57285"/>
    <cellStyle name="Percent 3 2 3 3 3 2 4" xfId="39878"/>
    <cellStyle name="Percent 3 2 3 3 3 2 4 2" xfId="55006"/>
    <cellStyle name="Percent 3 2 3 3 3 2 5" xfId="50655"/>
    <cellStyle name="Percent 3 2 3 3 3 3" xfId="12431"/>
    <cellStyle name="Percent 3 2 3 3 3 3 2" xfId="43530"/>
    <cellStyle name="Percent 3 2 3 3 3 3 2 2" xfId="58656"/>
    <cellStyle name="Percent 3 2 3 3 3 3 3" xfId="52685"/>
    <cellStyle name="Percent 3 2 3 3 3 4" xfId="3920"/>
    <cellStyle name="Percent 3 2 3 3 3 4 2" xfId="41294"/>
    <cellStyle name="Percent 3 2 3 3 3 4 2 2" xfId="56421"/>
    <cellStyle name="Percent 3 2 3 3 3 4 3" xfId="48613"/>
    <cellStyle name="Percent 3 2 3 3 3 5" xfId="38714"/>
    <cellStyle name="Percent 3 2 3 3 3 5 2" xfId="53867"/>
    <cellStyle name="Percent 3 2 3 3 3 6" xfId="46851"/>
    <cellStyle name="Percent 3 2 3 3 4" xfId="1108"/>
    <cellStyle name="Percent 3 2 3 3 4 2" xfId="5457"/>
    <cellStyle name="Percent 3 2 3 3 4 2 2" xfId="43956"/>
    <cellStyle name="Percent 3 2 3 3 4 2 2 2" xfId="59082"/>
    <cellStyle name="Percent 3 2 3 3 4 2 3" xfId="50142"/>
    <cellStyle name="Percent 3 2 3 3 4 3" xfId="11918"/>
    <cellStyle name="Percent 3 2 3 3 4 3 2" xfId="41720"/>
    <cellStyle name="Percent 3 2 3 3 4 3 2 2" xfId="56847"/>
    <cellStyle name="Percent 3 2 3 3 4 3 3" xfId="52172"/>
    <cellStyle name="Percent 3 2 3 3 4 4" xfId="4279"/>
    <cellStyle name="Percent 3 2 3 3 4 4 2" xfId="48969"/>
    <cellStyle name="Percent 3 2 3 3 4 5" xfId="39440"/>
    <cellStyle name="Percent 3 2 3 3 4 5 2" xfId="54568"/>
    <cellStyle name="Percent 3 2 3 3 4 6" xfId="46338"/>
    <cellStyle name="Percent 3 2 3 3 5" xfId="2013"/>
    <cellStyle name="Percent 3 2 3 3 5 2" xfId="12820"/>
    <cellStyle name="Percent 3 2 3 3 5 2 2" xfId="53073"/>
    <cellStyle name="Percent 3 2 3 3 5 3" xfId="6360"/>
    <cellStyle name="Percent 3 2 3 3 5 3 2" xfId="51043"/>
    <cellStyle name="Percent 3 2 3 3 5 4" xfId="42828"/>
    <cellStyle name="Percent 3 2 3 3 5 4 2" xfId="57955"/>
    <cellStyle name="Percent 3 2 3 3 5 5" xfId="47239"/>
    <cellStyle name="Percent 3 2 3 3 6" xfId="4705"/>
    <cellStyle name="Percent 3 2 3 3 6 2" xfId="40593"/>
    <cellStyle name="Percent 3 2 3 3 6 2 2" xfId="55720"/>
    <cellStyle name="Percent 3 2 3 3 6 3" xfId="49390"/>
    <cellStyle name="Percent 3 2 3 3 7" xfId="11166"/>
    <cellStyle name="Percent 3 2 3 3 7 2" xfId="51420"/>
    <cellStyle name="Percent 3 2 3 3 8" xfId="3343"/>
    <cellStyle name="Percent 3 2 3 3 8 2" xfId="48037"/>
    <cellStyle name="Percent 3 2 3 3 9" xfId="38229"/>
    <cellStyle name="Percent 3 2 3 3 9 2" xfId="53429"/>
    <cellStyle name="Percent 3 2 3 4" xfId="477"/>
    <cellStyle name="Percent 3 2 3 4 2" xfId="1742"/>
    <cellStyle name="Percent 3 2 3 4 2 2" xfId="6091"/>
    <cellStyle name="Percent 3 2 3 4 2 2 2" xfId="44821"/>
    <cellStyle name="Percent 3 2 3 4 2 2 2 2" xfId="59947"/>
    <cellStyle name="Percent 3 2 3 4 2 2 3" xfId="42585"/>
    <cellStyle name="Percent 3 2 3 4 2 2 3 2" xfId="57712"/>
    <cellStyle name="Percent 3 2 3 4 2 2 4" xfId="40305"/>
    <cellStyle name="Percent 3 2 3 4 2 2 4 2" xfId="55433"/>
    <cellStyle name="Percent 3 2 3 4 2 2 5" xfId="50776"/>
    <cellStyle name="Percent 3 2 3 4 2 3" xfId="12552"/>
    <cellStyle name="Percent 3 2 3 4 2 3 2" xfId="43255"/>
    <cellStyle name="Percent 3 2 3 4 2 3 2 2" xfId="58381"/>
    <cellStyle name="Percent 3 2 3 4 2 3 3" xfId="52806"/>
    <cellStyle name="Percent 3 2 3 4 2 4" xfId="4041"/>
    <cellStyle name="Percent 3 2 3 4 2 4 2" xfId="41019"/>
    <cellStyle name="Percent 3 2 3 4 2 4 2 2" xfId="56146"/>
    <cellStyle name="Percent 3 2 3 4 2 4 3" xfId="48734"/>
    <cellStyle name="Percent 3 2 3 4 2 5" xfId="39163"/>
    <cellStyle name="Percent 3 2 3 4 2 5 2" xfId="54294"/>
    <cellStyle name="Percent 3 2 3 4 2 6" xfId="46972"/>
    <cellStyle name="Percent 3 2 3 4 3" xfId="1229"/>
    <cellStyle name="Percent 3 2 3 4 3 2" xfId="5578"/>
    <cellStyle name="Percent 3 2 3 4 3 2 2" xfId="44470"/>
    <cellStyle name="Percent 3 2 3 4 3 2 2 2" xfId="59596"/>
    <cellStyle name="Percent 3 2 3 4 3 2 3" xfId="42234"/>
    <cellStyle name="Percent 3 2 3 4 3 2 3 2" xfId="57361"/>
    <cellStyle name="Percent 3 2 3 4 3 2 4" xfId="39954"/>
    <cellStyle name="Percent 3 2 3 4 3 2 4 2" xfId="55082"/>
    <cellStyle name="Percent 3 2 3 4 3 2 5" xfId="50263"/>
    <cellStyle name="Percent 3 2 3 4 3 3" xfId="12039"/>
    <cellStyle name="Percent 3 2 3 4 3 3 2" xfId="43606"/>
    <cellStyle name="Percent 3 2 3 4 3 3 2 2" xfId="58732"/>
    <cellStyle name="Percent 3 2 3 4 3 3 3" xfId="52293"/>
    <cellStyle name="Percent 3 2 3 4 3 4" xfId="4400"/>
    <cellStyle name="Percent 3 2 3 4 3 4 2" xfId="41370"/>
    <cellStyle name="Percent 3 2 3 4 3 4 2 2" xfId="56497"/>
    <cellStyle name="Percent 3 2 3 4 3 4 3" xfId="49090"/>
    <cellStyle name="Percent 3 2 3 4 3 5" xfId="38790"/>
    <cellStyle name="Percent 3 2 3 4 3 5 2" xfId="53943"/>
    <cellStyle name="Percent 3 2 3 4 3 6" xfId="46459"/>
    <cellStyle name="Percent 3 2 3 4 4" xfId="2090"/>
    <cellStyle name="Percent 3 2 3 4 4 2" xfId="12896"/>
    <cellStyle name="Percent 3 2 3 4 4 2 2" xfId="44032"/>
    <cellStyle name="Percent 3 2 3 4 4 2 2 2" xfId="59158"/>
    <cellStyle name="Percent 3 2 3 4 4 2 3" xfId="53149"/>
    <cellStyle name="Percent 3 2 3 4 4 3" xfId="6436"/>
    <cellStyle name="Percent 3 2 3 4 4 3 2" xfId="41796"/>
    <cellStyle name="Percent 3 2 3 4 4 3 2 2" xfId="56923"/>
    <cellStyle name="Percent 3 2 3 4 4 3 3" xfId="51119"/>
    <cellStyle name="Percent 3 2 3 4 4 4" xfId="39516"/>
    <cellStyle name="Percent 3 2 3 4 4 4 2" xfId="54644"/>
    <cellStyle name="Percent 3 2 3 4 4 5" xfId="47315"/>
    <cellStyle name="Percent 3 2 3 4 5" xfId="4826"/>
    <cellStyle name="Percent 3 2 3 4 5 2" xfId="42904"/>
    <cellStyle name="Percent 3 2 3 4 5 2 2" xfId="58031"/>
    <cellStyle name="Percent 3 2 3 4 5 3" xfId="49511"/>
    <cellStyle name="Percent 3 2 3 4 6" xfId="11287"/>
    <cellStyle name="Percent 3 2 3 4 6 2" xfId="40669"/>
    <cellStyle name="Percent 3 2 3 4 6 2 2" xfId="55796"/>
    <cellStyle name="Percent 3 2 3 4 6 3" xfId="51541"/>
    <cellStyle name="Percent 3 2 3 4 7" xfId="3464"/>
    <cellStyle name="Percent 3 2 3 4 7 2" xfId="48158"/>
    <cellStyle name="Percent 3 2 3 4 8" xfId="38305"/>
    <cellStyle name="Percent 3 2 3 4 8 2" xfId="53505"/>
    <cellStyle name="Percent 3 2 3 4 9" xfId="45707"/>
    <cellStyle name="Percent 3 2 3 5" xfId="930"/>
    <cellStyle name="Percent 3 2 3 5 2" xfId="5279"/>
    <cellStyle name="Percent 3 2 3 5 2 2" xfId="40077"/>
    <cellStyle name="Percent 3 2 3 5 2 2 2" xfId="44593"/>
    <cellStyle name="Percent 3 2 3 5 2 2 2 2" xfId="59719"/>
    <cellStyle name="Percent 3 2 3 5 2 2 3" xfId="42357"/>
    <cellStyle name="Percent 3 2 3 5 2 2 3 2" xfId="57484"/>
    <cellStyle name="Percent 3 2 3 5 2 2 4" xfId="55205"/>
    <cellStyle name="Percent 3 2 3 5 2 3" xfId="43695"/>
    <cellStyle name="Percent 3 2 3 5 2 3 2" xfId="58821"/>
    <cellStyle name="Percent 3 2 3 5 2 4" xfId="41459"/>
    <cellStyle name="Percent 3 2 3 5 2 4 2" xfId="56586"/>
    <cellStyle name="Percent 3 2 3 5 2 5" xfId="38934"/>
    <cellStyle name="Percent 3 2 3 5 2 5 2" xfId="54066"/>
    <cellStyle name="Percent 3 2 3 5 2 6" xfId="49964"/>
    <cellStyle name="Percent 3 2 3 5 3" xfId="11740"/>
    <cellStyle name="Percent 3 2 3 5 3 2" xfId="44116"/>
    <cellStyle name="Percent 3 2 3 5 3 2 2" xfId="59242"/>
    <cellStyle name="Percent 3 2 3 5 3 3" xfId="41880"/>
    <cellStyle name="Percent 3 2 3 5 3 3 2" xfId="57007"/>
    <cellStyle name="Percent 3 2 3 5 3 4" xfId="39600"/>
    <cellStyle name="Percent 3 2 3 5 3 4 2" xfId="54728"/>
    <cellStyle name="Percent 3 2 3 5 3 5" xfId="51994"/>
    <cellStyle name="Percent 3 2 3 5 4" xfId="3165"/>
    <cellStyle name="Percent 3 2 3 5 4 2" xfId="43027"/>
    <cellStyle name="Percent 3 2 3 5 4 2 2" xfId="58153"/>
    <cellStyle name="Percent 3 2 3 5 4 3" xfId="47859"/>
    <cellStyle name="Percent 3 2 3 5 5" xfId="40791"/>
    <cellStyle name="Percent 3 2 3 5 5 2" xfId="55918"/>
    <cellStyle name="Percent 3 2 3 5 6" xfId="38430"/>
    <cellStyle name="Percent 3 2 3 5 6 2" xfId="53589"/>
    <cellStyle name="Percent 3 2 3 5 7" xfId="46160"/>
    <cellStyle name="Percent 3 2 3 6" xfId="808"/>
    <cellStyle name="Percent 3 2 3 6 2" xfId="5157"/>
    <cellStyle name="Percent 3 2 3 6 2 2" xfId="44242"/>
    <cellStyle name="Percent 3 2 3 6 2 2 2" xfId="59368"/>
    <cellStyle name="Percent 3 2 3 6 2 3" xfId="42006"/>
    <cellStyle name="Percent 3 2 3 6 2 3 2" xfId="57133"/>
    <cellStyle name="Percent 3 2 3 6 2 4" xfId="39726"/>
    <cellStyle name="Percent 3 2 3 6 2 4 2" xfId="54854"/>
    <cellStyle name="Percent 3 2 3 6 2 5" xfId="49842"/>
    <cellStyle name="Percent 3 2 3 6 3" xfId="11618"/>
    <cellStyle name="Percent 3 2 3 6 3 2" xfId="43378"/>
    <cellStyle name="Percent 3 2 3 6 3 2 2" xfId="58504"/>
    <cellStyle name="Percent 3 2 3 6 3 3" xfId="51872"/>
    <cellStyle name="Percent 3 2 3 6 4" xfId="3043"/>
    <cellStyle name="Percent 3 2 3 6 4 2" xfId="41142"/>
    <cellStyle name="Percent 3 2 3 6 4 2 2" xfId="56269"/>
    <cellStyle name="Percent 3 2 3 6 4 3" xfId="47737"/>
    <cellStyle name="Percent 3 2 3 6 5" xfId="38561"/>
    <cellStyle name="Percent 3 2 3 6 5 2" xfId="53715"/>
    <cellStyle name="Percent 3 2 3 6 6" xfId="46038"/>
    <cellStyle name="Percent 3 2 3 7" xfId="598"/>
    <cellStyle name="Percent 3 2 3 7 2" xfId="4947"/>
    <cellStyle name="Percent 3 2 3 7 2 2" xfId="43804"/>
    <cellStyle name="Percent 3 2 3 7 2 2 2" xfId="58930"/>
    <cellStyle name="Percent 3 2 3 7 2 3" xfId="49632"/>
    <cellStyle name="Percent 3 2 3 7 3" xfId="11408"/>
    <cellStyle name="Percent 3 2 3 7 3 2" xfId="41568"/>
    <cellStyle name="Percent 3 2 3 7 3 2 2" xfId="56695"/>
    <cellStyle name="Percent 3 2 3 7 3 3" xfId="51662"/>
    <cellStyle name="Percent 3 2 3 7 4" xfId="4077"/>
    <cellStyle name="Percent 3 2 3 7 4 2" xfId="48769"/>
    <cellStyle name="Percent 3 2 3 7 5" xfId="39288"/>
    <cellStyle name="Percent 3 2 3 7 5 2" xfId="54416"/>
    <cellStyle name="Percent 3 2 3 7 6" xfId="45828"/>
    <cellStyle name="Percent 3 2 3 8" xfId="1859"/>
    <cellStyle name="Percent 3 2 3 8 2" xfId="12667"/>
    <cellStyle name="Percent 3 2 3 8 2 2" xfId="52921"/>
    <cellStyle name="Percent 3 2 3 8 3" xfId="6206"/>
    <cellStyle name="Percent 3 2 3 8 3 2" xfId="50891"/>
    <cellStyle name="Percent 3 2 3 8 4" xfId="42676"/>
    <cellStyle name="Percent 3 2 3 8 4 2" xfId="57803"/>
    <cellStyle name="Percent 3 2 3 8 5" xfId="47087"/>
    <cellStyle name="Percent 3 2 3 9" xfId="2673"/>
    <cellStyle name="Percent 3 2 3 9 2" xfId="4522"/>
    <cellStyle name="Percent 3 2 3 9 2 2" xfId="49212"/>
    <cellStyle name="Percent 3 2 3 9 3" xfId="40441"/>
    <cellStyle name="Percent 3 2 3 9 3 2" xfId="55568"/>
    <cellStyle name="Percent 3 2 3 9 4" xfId="47405"/>
    <cellStyle name="Percent 3 2 4" xfId="166"/>
    <cellStyle name="Percent 3 2 4 10" xfId="38074"/>
    <cellStyle name="Percent 3 2 4 10 2" xfId="53274"/>
    <cellStyle name="Percent 3 2 4 11" xfId="45405"/>
    <cellStyle name="Percent 3 2 4 2" xfId="474"/>
    <cellStyle name="Percent 3 2 4 2 2" xfId="1449"/>
    <cellStyle name="Percent 3 2 4 2 2 2" xfId="5798"/>
    <cellStyle name="Percent 3 2 4 2 2 2 2" xfId="44590"/>
    <cellStyle name="Percent 3 2 4 2 2 2 2 2" xfId="59716"/>
    <cellStyle name="Percent 3 2 4 2 2 2 3" xfId="50483"/>
    <cellStyle name="Percent 3 2 4 2 2 3" xfId="12259"/>
    <cellStyle name="Percent 3 2 4 2 2 3 2" xfId="42354"/>
    <cellStyle name="Percent 3 2 4 2 2 3 2 2" xfId="57481"/>
    <cellStyle name="Percent 3 2 4 2 2 3 3" xfId="52513"/>
    <cellStyle name="Percent 3 2 4 2 2 4" xfId="3732"/>
    <cellStyle name="Percent 3 2 4 2 2 4 2" xfId="48425"/>
    <cellStyle name="Percent 3 2 4 2 2 5" xfId="40074"/>
    <cellStyle name="Percent 3 2 4 2 2 5 2" xfId="55202"/>
    <cellStyle name="Percent 3 2 4 2 2 6" xfId="46679"/>
    <cellStyle name="Percent 3 2 4 2 3" xfId="1739"/>
    <cellStyle name="Percent 3 2 4 2 3 2" xfId="6088"/>
    <cellStyle name="Percent 3 2 4 2 3 2 2" xfId="50773"/>
    <cellStyle name="Percent 3 2 4 2 3 3" xfId="12549"/>
    <cellStyle name="Percent 3 2 4 2 3 3 2" xfId="52803"/>
    <cellStyle name="Percent 3 2 4 2 3 4" xfId="4038"/>
    <cellStyle name="Percent 3 2 4 2 3 4 2" xfId="48731"/>
    <cellStyle name="Percent 3 2 4 2 3 5" xfId="43024"/>
    <cellStyle name="Percent 3 2 4 2 3 5 2" xfId="58150"/>
    <cellStyle name="Percent 3 2 4 2 3 6" xfId="46969"/>
    <cellStyle name="Percent 3 2 4 2 4" xfId="1226"/>
    <cellStyle name="Percent 3 2 4 2 4 2" xfId="5575"/>
    <cellStyle name="Percent 3 2 4 2 4 2 2" xfId="50260"/>
    <cellStyle name="Percent 3 2 4 2 4 3" xfId="12036"/>
    <cellStyle name="Percent 3 2 4 2 4 3 2" xfId="52290"/>
    <cellStyle name="Percent 3 2 4 2 4 4" xfId="4397"/>
    <cellStyle name="Percent 3 2 4 2 4 4 2" xfId="49087"/>
    <cellStyle name="Percent 3 2 4 2 4 5" xfId="40788"/>
    <cellStyle name="Percent 3 2 4 2 4 5 2" xfId="55915"/>
    <cellStyle name="Percent 3 2 4 2 4 6" xfId="46456"/>
    <cellStyle name="Percent 3 2 4 2 5" xfId="4823"/>
    <cellStyle name="Percent 3 2 4 2 5 2" xfId="49508"/>
    <cellStyle name="Percent 3 2 4 2 6" xfId="11284"/>
    <cellStyle name="Percent 3 2 4 2 6 2" xfId="51538"/>
    <cellStyle name="Percent 3 2 4 2 7" xfId="3461"/>
    <cellStyle name="Percent 3 2 4 2 7 2" xfId="48155"/>
    <cellStyle name="Percent 3 2 4 2 8" xfId="38931"/>
    <cellStyle name="Percent 3 2 4 2 8 2" xfId="54063"/>
    <cellStyle name="Percent 3 2 4 2 9" xfId="45704"/>
    <cellStyle name="Percent 3 2 4 3" xfId="927"/>
    <cellStyle name="Percent 3 2 4 3 2" xfId="5276"/>
    <cellStyle name="Percent 3 2 4 3 2 2" xfId="44239"/>
    <cellStyle name="Percent 3 2 4 3 2 2 2" xfId="59365"/>
    <cellStyle name="Percent 3 2 4 3 2 3" xfId="42003"/>
    <cellStyle name="Percent 3 2 4 3 2 3 2" xfId="57130"/>
    <cellStyle name="Percent 3 2 4 3 2 4" xfId="39723"/>
    <cellStyle name="Percent 3 2 4 3 2 4 2" xfId="54851"/>
    <cellStyle name="Percent 3 2 4 3 2 5" xfId="49961"/>
    <cellStyle name="Percent 3 2 4 3 3" xfId="11737"/>
    <cellStyle name="Percent 3 2 4 3 3 2" xfId="43375"/>
    <cellStyle name="Percent 3 2 4 3 3 2 2" xfId="58501"/>
    <cellStyle name="Percent 3 2 4 3 3 3" xfId="51991"/>
    <cellStyle name="Percent 3 2 4 3 4" xfId="3162"/>
    <cellStyle name="Percent 3 2 4 3 4 2" xfId="41139"/>
    <cellStyle name="Percent 3 2 4 3 4 2 2" xfId="56266"/>
    <cellStyle name="Percent 3 2 4 3 4 3" xfId="47856"/>
    <cellStyle name="Percent 3 2 4 3 5" xfId="38558"/>
    <cellStyle name="Percent 3 2 4 3 5 2" xfId="53712"/>
    <cellStyle name="Percent 3 2 4 3 6" xfId="46157"/>
    <cellStyle name="Percent 3 2 4 4" xfId="805"/>
    <cellStyle name="Percent 3 2 4 4 2" xfId="5154"/>
    <cellStyle name="Percent 3 2 4 4 2 2" xfId="43801"/>
    <cellStyle name="Percent 3 2 4 4 2 2 2" xfId="58927"/>
    <cellStyle name="Percent 3 2 4 4 2 3" xfId="49839"/>
    <cellStyle name="Percent 3 2 4 4 3" xfId="11615"/>
    <cellStyle name="Percent 3 2 4 4 3 2" xfId="41565"/>
    <cellStyle name="Percent 3 2 4 4 3 2 2" xfId="56692"/>
    <cellStyle name="Percent 3 2 4 4 3 3" xfId="51869"/>
    <cellStyle name="Percent 3 2 4 4 4" xfId="3040"/>
    <cellStyle name="Percent 3 2 4 4 4 2" xfId="47734"/>
    <cellStyle name="Percent 3 2 4 4 5" xfId="39285"/>
    <cellStyle name="Percent 3 2 4 4 5 2" xfId="54413"/>
    <cellStyle name="Percent 3 2 4 4 6" xfId="46035"/>
    <cellStyle name="Percent 3 2 4 5" xfId="595"/>
    <cellStyle name="Percent 3 2 4 5 2" xfId="4944"/>
    <cellStyle name="Percent 3 2 4 5 2 2" xfId="49629"/>
    <cellStyle name="Percent 3 2 4 5 3" xfId="11405"/>
    <cellStyle name="Percent 3 2 4 5 3 2" xfId="51659"/>
    <cellStyle name="Percent 3 2 4 5 4" xfId="4073"/>
    <cellStyle name="Percent 3 2 4 5 4 2" xfId="48765"/>
    <cellStyle name="Percent 3 2 4 5 5" xfId="42673"/>
    <cellStyle name="Percent 3 2 4 5 5 2" xfId="57800"/>
    <cellStyle name="Percent 3 2 4 5 6" xfId="45825"/>
    <cellStyle name="Percent 3 2 4 6" xfId="1856"/>
    <cellStyle name="Percent 3 2 4 6 2" xfId="12664"/>
    <cellStyle name="Percent 3 2 4 6 2 2" xfId="52918"/>
    <cellStyle name="Percent 3 2 4 6 3" xfId="6203"/>
    <cellStyle name="Percent 3 2 4 6 3 2" xfId="50888"/>
    <cellStyle name="Percent 3 2 4 6 4" xfId="40438"/>
    <cellStyle name="Percent 3 2 4 6 4 2" xfId="55565"/>
    <cellStyle name="Percent 3 2 4 6 5" xfId="47084"/>
    <cellStyle name="Percent 3 2 4 7" xfId="4519"/>
    <cellStyle name="Percent 3 2 4 7 2" xfId="49209"/>
    <cellStyle name="Percent 3 2 4 8" xfId="10985"/>
    <cellStyle name="Percent 3 2 4 8 2" xfId="51239"/>
    <cellStyle name="Percent 3 2 4 9" xfId="2825"/>
    <cellStyle name="Percent 3 2 4 9 2" xfId="47523"/>
    <cellStyle name="Percent 3 2 5" xfId="262"/>
    <cellStyle name="Percent 3 2 5 10" xfId="38150"/>
    <cellStyle name="Percent 3 2 5 10 2" xfId="53350"/>
    <cellStyle name="Percent 3 2 5 11" xfId="45494"/>
    <cellStyle name="Percent 3 2 5 2" xfId="1016"/>
    <cellStyle name="Percent 3 2 5 2 2" xfId="5365"/>
    <cellStyle name="Percent 3 2 5 2 2 2" xfId="44666"/>
    <cellStyle name="Percent 3 2 5 2 2 2 2" xfId="59792"/>
    <cellStyle name="Percent 3 2 5 2 2 3" xfId="42430"/>
    <cellStyle name="Percent 3 2 5 2 2 3 2" xfId="57557"/>
    <cellStyle name="Percent 3 2 5 2 2 4" xfId="40150"/>
    <cellStyle name="Percent 3 2 5 2 2 4 2" xfId="55278"/>
    <cellStyle name="Percent 3 2 5 2 2 5" xfId="50050"/>
    <cellStyle name="Percent 3 2 5 2 3" xfId="11826"/>
    <cellStyle name="Percent 3 2 5 2 3 2" xfId="43100"/>
    <cellStyle name="Percent 3 2 5 2 3 2 2" xfId="58226"/>
    <cellStyle name="Percent 3 2 5 2 3 3" xfId="52080"/>
    <cellStyle name="Percent 3 2 5 2 4" xfId="3251"/>
    <cellStyle name="Percent 3 2 5 2 4 2" xfId="40864"/>
    <cellStyle name="Percent 3 2 5 2 4 2 2" xfId="55991"/>
    <cellStyle name="Percent 3 2 5 2 4 3" xfId="47945"/>
    <cellStyle name="Percent 3 2 5 2 5" xfId="39008"/>
    <cellStyle name="Percent 3 2 5 2 5 2" xfId="54139"/>
    <cellStyle name="Percent 3 2 5 2 6" xfId="46246"/>
    <cellStyle name="Percent 3 2 5 3" xfId="1318"/>
    <cellStyle name="Percent 3 2 5 3 2" xfId="5667"/>
    <cellStyle name="Percent 3 2 5 3 2 2" xfId="44315"/>
    <cellStyle name="Percent 3 2 5 3 2 2 2" xfId="59441"/>
    <cellStyle name="Percent 3 2 5 3 2 3" xfId="42079"/>
    <cellStyle name="Percent 3 2 5 3 2 3 2" xfId="57206"/>
    <cellStyle name="Percent 3 2 5 3 2 4" xfId="39799"/>
    <cellStyle name="Percent 3 2 5 3 2 4 2" xfId="54927"/>
    <cellStyle name="Percent 3 2 5 3 2 5" xfId="50352"/>
    <cellStyle name="Percent 3 2 5 3 3" xfId="12128"/>
    <cellStyle name="Percent 3 2 5 3 3 2" xfId="43451"/>
    <cellStyle name="Percent 3 2 5 3 3 2 2" xfId="58577"/>
    <cellStyle name="Percent 3 2 5 3 3 3" xfId="52382"/>
    <cellStyle name="Percent 3 2 5 3 4" xfId="3601"/>
    <cellStyle name="Percent 3 2 5 3 4 2" xfId="41215"/>
    <cellStyle name="Percent 3 2 5 3 4 2 2" xfId="56342"/>
    <cellStyle name="Percent 3 2 5 3 4 3" xfId="48294"/>
    <cellStyle name="Percent 3 2 5 3 5" xfId="38635"/>
    <cellStyle name="Percent 3 2 5 3 5 2" xfId="53788"/>
    <cellStyle name="Percent 3 2 5 3 6" xfId="46548"/>
    <cellStyle name="Percent 3 2 5 4" xfId="1529"/>
    <cellStyle name="Percent 3 2 5 4 2" xfId="5878"/>
    <cellStyle name="Percent 3 2 5 4 2 2" xfId="43877"/>
    <cellStyle name="Percent 3 2 5 4 2 2 2" xfId="59003"/>
    <cellStyle name="Percent 3 2 5 4 2 3" xfId="50563"/>
    <cellStyle name="Percent 3 2 5 4 3" xfId="12339"/>
    <cellStyle name="Percent 3 2 5 4 3 2" xfId="41641"/>
    <cellStyle name="Percent 3 2 5 4 3 2 2" xfId="56768"/>
    <cellStyle name="Percent 3 2 5 4 3 3" xfId="52593"/>
    <cellStyle name="Percent 3 2 5 4 4" xfId="3828"/>
    <cellStyle name="Percent 3 2 5 4 4 2" xfId="48521"/>
    <cellStyle name="Percent 3 2 5 4 5" xfId="39361"/>
    <cellStyle name="Percent 3 2 5 4 5 2" xfId="54489"/>
    <cellStyle name="Percent 3 2 5 4 6" xfId="46759"/>
    <cellStyle name="Percent 3 2 5 5" xfId="684"/>
    <cellStyle name="Percent 3 2 5 5 2" xfId="5033"/>
    <cellStyle name="Percent 3 2 5 5 2 2" xfId="49718"/>
    <cellStyle name="Percent 3 2 5 5 3" xfId="11494"/>
    <cellStyle name="Percent 3 2 5 5 3 2" xfId="51748"/>
    <cellStyle name="Percent 3 2 5 5 4" xfId="4187"/>
    <cellStyle name="Percent 3 2 5 5 4 2" xfId="48877"/>
    <cellStyle name="Percent 3 2 5 5 5" xfId="42749"/>
    <cellStyle name="Percent 3 2 5 5 5 2" xfId="57876"/>
    <cellStyle name="Percent 3 2 5 5 6" xfId="45914"/>
    <cellStyle name="Percent 3 2 5 6" xfId="1934"/>
    <cellStyle name="Percent 3 2 5 6 2" xfId="12741"/>
    <cellStyle name="Percent 3 2 5 6 2 2" xfId="52994"/>
    <cellStyle name="Percent 3 2 5 6 3" xfId="6281"/>
    <cellStyle name="Percent 3 2 5 6 3 2" xfId="50964"/>
    <cellStyle name="Percent 3 2 5 6 4" xfId="40514"/>
    <cellStyle name="Percent 3 2 5 6 4 2" xfId="55641"/>
    <cellStyle name="Percent 3 2 5 6 5" xfId="47160"/>
    <cellStyle name="Percent 3 2 5 7" xfId="4611"/>
    <cellStyle name="Percent 3 2 5 7 2" xfId="49298"/>
    <cellStyle name="Percent 3 2 5 8" xfId="11074"/>
    <cellStyle name="Percent 3 2 5 8 2" xfId="51328"/>
    <cellStyle name="Percent 3 2 5 9" xfId="2918"/>
    <cellStyle name="Percent 3 2 5 9 2" xfId="47612"/>
    <cellStyle name="Percent 3 2 6" xfId="353"/>
    <cellStyle name="Percent 3 2 6 10" xfId="45583"/>
    <cellStyle name="Percent 3 2 6 2" xfId="1407"/>
    <cellStyle name="Percent 3 2 6 2 2" xfId="5756"/>
    <cellStyle name="Percent 3 2 6 2 2 2" xfId="44742"/>
    <cellStyle name="Percent 3 2 6 2 2 2 2" xfId="59868"/>
    <cellStyle name="Percent 3 2 6 2 2 3" xfId="42506"/>
    <cellStyle name="Percent 3 2 6 2 2 3 2" xfId="57633"/>
    <cellStyle name="Percent 3 2 6 2 2 4" xfId="40226"/>
    <cellStyle name="Percent 3 2 6 2 2 4 2" xfId="55354"/>
    <cellStyle name="Percent 3 2 6 2 2 5" xfId="50441"/>
    <cellStyle name="Percent 3 2 6 2 3" xfId="12217"/>
    <cellStyle name="Percent 3 2 6 2 3 2" xfId="43176"/>
    <cellStyle name="Percent 3 2 6 2 3 2 2" xfId="58302"/>
    <cellStyle name="Percent 3 2 6 2 3 3" xfId="52471"/>
    <cellStyle name="Percent 3 2 6 2 4" xfId="3690"/>
    <cellStyle name="Percent 3 2 6 2 4 2" xfId="40940"/>
    <cellStyle name="Percent 3 2 6 2 4 2 2" xfId="56067"/>
    <cellStyle name="Percent 3 2 6 2 4 3" xfId="48383"/>
    <cellStyle name="Percent 3 2 6 2 5" xfId="39084"/>
    <cellStyle name="Percent 3 2 6 2 5 2" xfId="54215"/>
    <cellStyle name="Percent 3 2 6 2 6" xfId="46637"/>
    <cellStyle name="Percent 3 2 6 3" xfId="1618"/>
    <cellStyle name="Percent 3 2 6 3 2" xfId="5967"/>
    <cellStyle name="Percent 3 2 6 3 2 2" xfId="44391"/>
    <cellStyle name="Percent 3 2 6 3 2 2 2" xfId="59517"/>
    <cellStyle name="Percent 3 2 6 3 2 3" xfId="42155"/>
    <cellStyle name="Percent 3 2 6 3 2 3 2" xfId="57282"/>
    <cellStyle name="Percent 3 2 6 3 2 4" xfId="39875"/>
    <cellStyle name="Percent 3 2 6 3 2 4 2" xfId="55003"/>
    <cellStyle name="Percent 3 2 6 3 2 5" xfId="50652"/>
    <cellStyle name="Percent 3 2 6 3 3" xfId="12428"/>
    <cellStyle name="Percent 3 2 6 3 3 2" xfId="43527"/>
    <cellStyle name="Percent 3 2 6 3 3 2 2" xfId="58653"/>
    <cellStyle name="Percent 3 2 6 3 3 3" xfId="52682"/>
    <cellStyle name="Percent 3 2 6 3 4" xfId="3917"/>
    <cellStyle name="Percent 3 2 6 3 4 2" xfId="41291"/>
    <cellStyle name="Percent 3 2 6 3 4 2 2" xfId="56418"/>
    <cellStyle name="Percent 3 2 6 3 4 3" xfId="48610"/>
    <cellStyle name="Percent 3 2 6 3 5" xfId="38711"/>
    <cellStyle name="Percent 3 2 6 3 5 2" xfId="53864"/>
    <cellStyle name="Percent 3 2 6 3 6" xfId="46848"/>
    <cellStyle name="Percent 3 2 6 4" xfId="1105"/>
    <cellStyle name="Percent 3 2 6 4 2" xfId="5454"/>
    <cellStyle name="Percent 3 2 6 4 2 2" xfId="43953"/>
    <cellStyle name="Percent 3 2 6 4 2 2 2" xfId="59079"/>
    <cellStyle name="Percent 3 2 6 4 2 3" xfId="50139"/>
    <cellStyle name="Percent 3 2 6 4 3" xfId="11915"/>
    <cellStyle name="Percent 3 2 6 4 3 2" xfId="41717"/>
    <cellStyle name="Percent 3 2 6 4 3 2 2" xfId="56844"/>
    <cellStyle name="Percent 3 2 6 4 3 3" xfId="52169"/>
    <cellStyle name="Percent 3 2 6 4 4" xfId="4276"/>
    <cellStyle name="Percent 3 2 6 4 4 2" xfId="48966"/>
    <cellStyle name="Percent 3 2 6 4 5" xfId="39437"/>
    <cellStyle name="Percent 3 2 6 4 5 2" xfId="54565"/>
    <cellStyle name="Percent 3 2 6 4 6" xfId="46335"/>
    <cellStyle name="Percent 3 2 6 5" xfId="2010"/>
    <cellStyle name="Percent 3 2 6 5 2" xfId="12817"/>
    <cellStyle name="Percent 3 2 6 5 2 2" xfId="53070"/>
    <cellStyle name="Percent 3 2 6 5 3" xfId="6357"/>
    <cellStyle name="Percent 3 2 6 5 3 2" xfId="51040"/>
    <cellStyle name="Percent 3 2 6 5 4" xfId="42825"/>
    <cellStyle name="Percent 3 2 6 5 4 2" xfId="57952"/>
    <cellStyle name="Percent 3 2 6 5 5" xfId="47236"/>
    <cellStyle name="Percent 3 2 6 6" xfId="4702"/>
    <cellStyle name="Percent 3 2 6 6 2" xfId="40590"/>
    <cellStyle name="Percent 3 2 6 6 2 2" xfId="55717"/>
    <cellStyle name="Percent 3 2 6 6 3" xfId="49387"/>
    <cellStyle name="Percent 3 2 6 7" xfId="11163"/>
    <cellStyle name="Percent 3 2 6 7 2" xfId="51417"/>
    <cellStyle name="Percent 3 2 6 8" xfId="3340"/>
    <cellStyle name="Percent 3 2 6 8 2" xfId="48034"/>
    <cellStyle name="Percent 3 2 6 9" xfId="38226"/>
    <cellStyle name="Percent 3 2 6 9 2" xfId="53426"/>
    <cellStyle name="Percent 3 2 7" xfId="378"/>
    <cellStyle name="Percent 3 2 7 2" xfId="1643"/>
    <cellStyle name="Percent 3 2 7 2 2" xfId="5992"/>
    <cellStyle name="Percent 3 2 7 2 2 2" xfId="44818"/>
    <cellStyle name="Percent 3 2 7 2 2 2 2" xfId="59944"/>
    <cellStyle name="Percent 3 2 7 2 2 3" xfId="42582"/>
    <cellStyle name="Percent 3 2 7 2 2 3 2" xfId="57709"/>
    <cellStyle name="Percent 3 2 7 2 2 4" xfId="40302"/>
    <cellStyle name="Percent 3 2 7 2 2 4 2" xfId="55430"/>
    <cellStyle name="Percent 3 2 7 2 2 5" xfId="50677"/>
    <cellStyle name="Percent 3 2 7 2 3" xfId="12453"/>
    <cellStyle name="Percent 3 2 7 2 3 2" xfId="43252"/>
    <cellStyle name="Percent 3 2 7 2 3 2 2" xfId="58378"/>
    <cellStyle name="Percent 3 2 7 2 3 3" xfId="52707"/>
    <cellStyle name="Percent 3 2 7 2 4" xfId="3942"/>
    <cellStyle name="Percent 3 2 7 2 4 2" xfId="41016"/>
    <cellStyle name="Percent 3 2 7 2 4 2 2" xfId="56143"/>
    <cellStyle name="Percent 3 2 7 2 4 3" xfId="48635"/>
    <cellStyle name="Percent 3 2 7 2 5" xfId="39160"/>
    <cellStyle name="Percent 3 2 7 2 5 2" xfId="54291"/>
    <cellStyle name="Percent 3 2 7 2 6" xfId="46873"/>
    <cellStyle name="Percent 3 2 7 3" xfId="1130"/>
    <cellStyle name="Percent 3 2 7 3 2" xfId="5479"/>
    <cellStyle name="Percent 3 2 7 3 2 2" xfId="44467"/>
    <cellStyle name="Percent 3 2 7 3 2 2 2" xfId="59593"/>
    <cellStyle name="Percent 3 2 7 3 2 3" xfId="42231"/>
    <cellStyle name="Percent 3 2 7 3 2 3 2" xfId="57358"/>
    <cellStyle name="Percent 3 2 7 3 2 4" xfId="39951"/>
    <cellStyle name="Percent 3 2 7 3 2 4 2" xfId="55079"/>
    <cellStyle name="Percent 3 2 7 3 2 5" xfId="50164"/>
    <cellStyle name="Percent 3 2 7 3 3" xfId="11940"/>
    <cellStyle name="Percent 3 2 7 3 3 2" xfId="43603"/>
    <cellStyle name="Percent 3 2 7 3 3 2 2" xfId="58729"/>
    <cellStyle name="Percent 3 2 7 3 3 3" xfId="52194"/>
    <cellStyle name="Percent 3 2 7 3 4" xfId="4301"/>
    <cellStyle name="Percent 3 2 7 3 4 2" xfId="41367"/>
    <cellStyle name="Percent 3 2 7 3 4 2 2" xfId="56494"/>
    <cellStyle name="Percent 3 2 7 3 4 3" xfId="48991"/>
    <cellStyle name="Percent 3 2 7 3 5" xfId="38787"/>
    <cellStyle name="Percent 3 2 7 3 5 2" xfId="53940"/>
    <cellStyle name="Percent 3 2 7 3 6" xfId="46360"/>
    <cellStyle name="Percent 3 2 7 4" xfId="2087"/>
    <cellStyle name="Percent 3 2 7 4 2" xfId="12893"/>
    <cellStyle name="Percent 3 2 7 4 2 2" xfId="44029"/>
    <cellStyle name="Percent 3 2 7 4 2 2 2" xfId="59155"/>
    <cellStyle name="Percent 3 2 7 4 2 3" xfId="53146"/>
    <cellStyle name="Percent 3 2 7 4 3" xfId="6433"/>
    <cellStyle name="Percent 3 2 7 4 3 2" xfId="41793"/>
    <cellStyle name="Percent 3 2 7 4 3 2 2" xfId="56920"/>
    <cellStyle name="Percent 3 2 7 4 3 3" xfId="51116"/>
    <cellStyle name="Percent 3 2 7 4 4" xfId="39513"/>
    <cellStyle name="Percent 3 2 7 4 4 2" xfId="54641"/>
    <cellStyle name="Percent 3 2 7 4 5" xfId="47312"/>
    <cellStyle name="Percent 3 2 7 5" xfId="4727"/>
    <cellStyle name="Percent 3 2 7 5 2" xfId="42901"/>
    <cellStyle name="Percent 3 2 7 5 2 2" xfId="58028"/>
    <cellStyle name="Percent 3 2 7 5 3" xfId="49412"/>
    <cellStyle name="Percent 3 2 7 6" xfId="11188"/>
    <cellStyle name="Percent 3 2 7 6 2" xfId="40666"/>
    <cellStyle name="Percent 3 2 7 6 2 2" xfId="55793"/>
    <cellStyle name="Percent 3 2 7 6 3" xfId="51442"/>
    <cellStyle name="Percent 3 2 7 7" xfId="3365"/>
    <cellStyle name="Percent 3 2 7 7 2" xfId="48059"/>
    <cellStyle name="Percent 3 2 7 8" xfId="38302"/>
    <cellStyle name="Percent 3 2 7 8 2" xfId="53502"/>
    <cellStyle name="Percent 3 2 7 9" xfId="45608"/>
    <cellStyle name="Percent 3 2 8" xfId="830"/>
    <cellStyle name="Percent 3 2 8 2" xfId="5179"/>
    <cellStyle name="Percent 3 2 8 2 2" xfId="39986"/>
    <cellStyle name="Percent 3 2 8 2 2 2" xfId="44502"/>
    <cellStyle name="Percent 3 2 8 2 2 2 2" xfId="59628"/>
    <cellStyle name="Percent 3 2 8 2 2 3" xfId="42266"/>
    <cellStyle name="Percent 3 2 8 2 2 3 2" xfId="57393"/>
    <cellStyle name="Percent 3 2 8 2 2 4" xfId="55114"/>
    <cellStyle name="Percent 3 2 8 2 3" xfId="43637"/>
    <cellStyle name="Percent 3 2 8 2 3 2" xfId="58763"/>
    <cellStyle name="Percent 3 2 8 2 4" xfId="41401"/>
    <cellStyle name="Percent 3 2 8 2 4 2" xfId="56528"/>
    <cellStyle name="Percent 3 2 8 2 5" xfId="38843"/>
    <cellStyle name="Percent 3 2 8 2 5 2" xfId="53975"/>
    <cellStyle name="Percent 3 2 8 2 6" xfId="49864"/>
    <cellStyle name="Percent 3 2 8 3" xfId="11640"/>
    <cellStyle name="Percent 3 2 8 3 2" xfId="44113"/>
    <cellStyle name="Percent 3 2 8 3 2 2" xfId="59239"/>
    <cellStyle name="Percent 3 2 8 3 3" xfId="41877"/>
    <cellStyle name="Percent 3 2 8 3 3 2" xfId="57004"/>
    <cellStyle name="Percent 3 2 8 3 4" xfId="39597"/>
    <cellStyle name="Percent 3 2 8 3 4 2" xfId="54725"/>
    <cellStyle name="Percent 3 2 8 3 5" xfId="51894"/>
    <cellStyle name="Percent 3 2 8 4" xfId="3065"/>
    <cellStyle name="Percent 3 2 8 4 2" xfId="42936"/>
    <cellStyle name="Percent 3 2 8 4 2 2" xfId="58062"/>
    <cellStyle name="Percent 3 2 8 4 3" xfId="47759"/>
    <cellStyle name="Percent 3 2 8 5" xfId="40700"/>
    <cellStyle name="Percent 3 2 8 5 2" xfId="55827"/>
    <cellStyle name="Percent 3 2 8 6" xfId="38427"/>
    <cellStyle name="Percent 3 2 8 6 2" xfId="53586"/>
    <cellStyle name="Percent 3 2 8 7" xfId="46060"/>
    <cellStyle name="Percent 3 2 9" xfId="709"/>
    <cellStyle name="Percent 3 2 9 2" xfId="5058"/>
    <cellStyle name="Percent 3 2 9 2 2" xfId="44151"/>
    <cellStyle name="Percent 3 2 9 2 2 2" xfId="59277"/>
    <cellStyle name="Percent 3 2 9 2 3" xfId="41915"/>
    <cellStyle name="Percent 3 2 9 2 3 2" xfId="57042"/>
    <cellStyle name="Percent 3 2 9 2 4" xfId="39635"/>
    <cellStyle name="Percent 3 2 9 2 4 2" xfId="54763"/>
    <cellStyle name="Percent 3 2 9 2 5" xfId="49743"/>
    <cellStyle name="Percent 3 2 9 3" xfId="11519"/>
    <cellStyle name="Percent 3 2 9 3 2" xfId="43287"/>
    <cellStyle name="Percent 3 2 9 3 2 2" xfId="58413"/>
    <cellStyle name="Percent 3 2 9 3 3" xfId="51773"/>
    <cellStyle name="Percent 3 2 9 4" xfId="2943"/>
    <cellStyle name="Percent 3 2 9 4 2" xfId="41051"/>
    <cellStyle name="Percent 3 2 9 4 2 2" xfId="56178"/>
    <cellStyle name="Percent 3 2 9 4 3" xfId="47637"/>
    <cellStyle name="Percent 3 2 9 5" xfId="38468"/>
    <cellStyle name="Percent 3 2 9 5 2" xfId="53624"/>
    <cellStyle name="Percent 3 2 9 6" xfId="45939"/>
    <cellStyle name="Percent 3 3" xfId="36"/>
    <cellStyle name="Percent 3 3 10" xfId="1776"/>
    <cellStyle name="Percent 3 3 10 2" xfId="12586"/>
    <cellStyle name="Percent 3 3 10 2 2" xfId="52840"/>
    <cellStyle name="Percent 3 3 10 3" xfId="6125"/>
    <cellStyle name="Percent 3 3 10 3 2" xfId="50810"/>
    <cellStyle name="Percent 3 3 10 4" xfId="40347"/>
    <cellStyle name="Percent 3 3 10 4 2" xfId="55475"/>
    <cellStyle name="Percent 3 3 10 5" xfId="47006"/>
    <cellStyle name="Percent 3 3 11" xfId="2674"/>
    <cellStyle name="Percent 3 3 11 2" xfId="4430"/>
    <cellStyle name="Percent 3 3 11 2 2" xfId="49120"/>
    <cellStyle name="Percent 3 3 11 3" xfId="47406"/>
    <cellStyle name="Percent 3 3 12" xfId="10895"/>
    <cellStyle name="Percent 3 3 12 2" xfId="51150"/>
    <cellStyle name="Percent 3 3 13" xfId="2711"/>
    <cellStyle name="Percent 3 3 13 2" xfId="47435"/>
    <cellStyle name="Percent 3 3 14" xfId="37995"/>
    <cellStyle name="Percent 3 3 14 2" xfId="53196"/>
    <cellStyle name="Percent 3 3 15" xfId="45328"/>
    <cellStyle name="Percent 3 3 2" xfId="171"/>
    <cellStyle name="Percent 3 3 2 10" xfId="10990"/>
    <cellStyle name="Percent 3 3 2 10 2" xfId="51244"/>
    <cellStyle name="Percent 3 3 2 11" xfId="2830"/>
    <cellStyle name="Percent 3 3 2 11 2" xfId="47528"/>
    <cellStyle name="Percent 3 3 2 12" xfId="38079"/>
    <cellStyle name="Percent 3 3 2 12 2" xfId="53279"/>
    <cellStyle name="Percent 3 3 2 13" xfId="45410"/>
    <cellStyle name="Percent 3 3 2 2" xfId="267"/>
    <cellStyle name="Percent 3 3 2 2 10" xfId="38155"/>
    <cellStyle name="Percent 3 3 2 2 10 2" xfId="53355"/>
    <cellStyle name="Percent 3 3 2 2 11" xfId="45499"/>
    <cellStyle name="Percent 3 3 2 2 2" xfId="1021"/>
    <cellStyle name="Percent 3 3 2 2 2 2" xfId="5370"/>
    <cellStyle name="Percent 3 3 2 2 2 2 2" xfId="44671"/>
    <cellStyle name="Percent 3 3 2 2 2 2 2 2" xfId="59797"/>
    <cellStyle name="Percent 3 3 2 2 2 2 3" xfId="42435"/>
    <cellStyle name="Percent 3 3 2 2 2 2 3 2" xfId="57562"/>
    <cellStyle name="Percent 3 3 2 2 2 2 4" xfId="40155"/>
    <cellStyle name="Percent 3 3 2 2 2 2 4 2" xfId="55283"/>
    <cellStyle name="Percent 3 3 2 2 2 2 5" xfId="50055"/>
    <cellStyle name="Percent 3 3 2 2 2 3" xfId="11831"/>
    <cellStyle name="Percent 3 3 2 2 2 3 2" xfId="43105"/>
    <cellStyle name="Percent 3 3 2 2 2 3 2 2" xfId="58231"/>
    <cellStyle name="Percent 3 3 2 2 2 3 3" xfId="52085"/>
    <cellStyle name="Percent 3 3 2 2 2 4" xfId="3256"/>
    <cellStyle name="Percent 3 3 2 2 2 4 2" xfId="40869"/>
    <cellStyle name="Percent 3 3 2 2 2 4 2 2" xfId="55996"/>
    <cellStyle name="Percent 3 3 2 2 2 4 3" xfId="47950"/>
    <cellStyle name="Percent 3 3 2 2 2 5" xfId="39013"/>
    <cellStyle name="Percent 3 3 2 2 2 5 2" xfId="54144"/>
    <cellStyle name="Percent 3 3 2 2 2 6" xfId="46251"/>
    <cellStyle name="Percent 3 3 2 2 3" xfId="1323"/>
    <cellStyle name="Percent 3 3 2 2 3 2" xfId="5672"/>
    <cellStyle name="Percent 3 3 2 2 3 2 2" xfId="44320"/>
    <cellStyle name="Percent 3 3 2 2 3 2 2 2" xfId="59446"/>
    <cellStyle name="Percent 3 3 2 2 3 2 3" xfId="42084"/>
    <cellStyle name="Percent 3 3 2 2 3 2 3 2" xfId="57211"/>
    <cellStyle name="Percent 3 3 2 2 3 2 4" xfId="39804"/>
    <cellStyle name="Percent 3 3 2 2 3 2 4 2" xfId="54932"/>
    <cellStyle name="Percent 3 3 2 2 3 2 5" xfId="50357"/>
    <cellStyle name="Percent 3 3 2 2 3 3" xfId="12133"/>
    <cellStyle name="Percent 3 3 2 2 3 3 2" xfId="43456"/>
    <cellStyle name="Percent 3 3 2 2 3 3 2 2" xfId="58582"/>
    <cellStyle name="Percent 3 3 2 2 3 3 3" xfId="52387"/>
    <cellStyle name="Percent 3 3 2 2 3 4" xfId="3606"/>
    <cellStyle name="Percent 3 3 2 2 3 4 2" xfId="41220"/>
    <cellStyle name="Percent 3 3 2 2 3 4 2 2" xfId="56347"/>
    <cellStyle name="Percent 3 3 2 2 3 4 3" xfId="48299"/>
    <cellStyle name="Percent 3 3 2 2 3 5" xfId="38640"/>
    <cellStyle name="Percent 3 3 2 2 3 5 2" xfId="53793"/>
    <cellStyle name="Percent 3 3 2 2 3 6" xfId="46553"/>
    <cellStyle name="Percent 3 3 2 2 4" xfId="1534"/>
    <cellStyle name="Percent 3 3 2 2 4 2" xfId="5883"/>
    <cellStyle name="Percent 3 3 2 2 4 2 2" xfId="43882"/>
    <cellStyle name="Percent 3 3 2 2 4 2 2 2" xfId="59008"/>
    <cellStyle name="Percent 3 3 2 2 4 2 3" xfId="50568"/>
    <cellStyle name="Percent 3 3 2 2 4 3" xfId="12344"/>
    <cellStyle name="Percent 3 3 2 2 4 3 2" xfId="41646"/>
    <cellStyle name="Percent 3 3 2 2 4 3 2 2" xfId="56773"/>
    <cellStyle name="Percent 3 3 2 2 4 3 3" xfId="52598"/>
    <cellStyle name="Percent 3 3 2 2 4 4" xfId="3833"/>
    <cellStyle name="Percent 3 3 2 2 4 4 2" xfId="48526"/>
    <cellStyle name="Percent 3 3 2 2 4 5" xfId="39366"/>
    <cellStyle name="Percent 3 3 2 2 4 5 2" xfId="54494"/>
    <cellStyle name="Percent 3 3 2 2 4 6" xfId="46764"/>
    <cellStyle name="Percent 3 3 2 2 5" xfId="689"/>
    <cellStyle name="Percent 3 3 2 2 5 2" xfId="5038"/>
    <cellStyle name="Percent 3 3 2 2 5 2 2" xfId="49723"/>
    <cellStyle name="Percent 3 3 2 2 5 3" xfId="11499"/>
    <cellStyle name="Percent 3 3 2 2 5 3 2" xfId="51753"/>
    <cellStyle name="Percent 3 3 2 2 5 4" xfId="4192"/>
    <cellStyle name="Percent 3 3 2 2 5 4 2" xfId="48882"/>
    <cellStyle name="Percent 3 3 2 2 5 5" xfId="42754"/>
    <cellStyle name="Percent 3 3 2 2 5 5 2" xfId="57881"/>
    <cellStyle name="Percent 3 3 2 2 5 6" xfId="45919"/>
    <cellStyle name="Percent 3 3 2 2 6" xfId="1939"/>
    <cellStyle name="Percent 3 3 2 2 6 2" xfId="12746"/>
    <cellStyle name="Percent 3 3 2 2 6 2 2" xfId="52999"/>
    <cellStyle name="Percent 3 3 2 2 6 3" xfId="6286"/>
    <cellStyle name="Percent 3 3 2 2 6 3 2" xfId="50969"/>
    <cellStyle name="Percent 3 3 2 2 6 4" xfId="40519"/>
    <cellStyle name="Percent 3 3 2 2 6 4 2" xfId="55646"/>
    <cellStyle name="Percent 3 3 2 2 6 5" xfId="47165"/>
    <cellStyle name="Percent 3 3 2 2 7" xfId="4616"/>
    <cellStyle name="Percent 3 3 2 2 7 2" xfId="49303"/>
    <cellStyle name="Percent 3 3 2 2 8" xfId="11079"/>
    <cellStyle name="Percent 3 3 2 2 8 2" xfId="51333"/>
    <cellStyle name="Percent 3 3 2 2 9" xfId="2923"/>
    <cellStyle name="Percent 3 3 2 2 9 2" xfId="47617"/>
    <cellStyle name="Percent 3 3 2 3" xfId="358"/>
    <cellStyle name="Percent 3 3 2 3 10" xfId="45588"/>
    <cellStyle name="Percent 3 3 2 3 2" xfId="1412"/>
    <cellStyle name="Percent 3 3 2 3 2 2" xfId="5761"/>
    <cellStyle name="Percent 3 3 2 3 2 2 2" xfId="44747"/>
    <cellStyle name="Percent 3 3 2 3 2 2 2 2" xfId="59873"/>
    <cellStyle name="Percent 3 3 2 3 2 2 3" xfId="42511"/>
    <cellStyle name="Percent 3 3 2 3 2 2 3 2" xfId="57638"/>
    <cellStyle name="Percent 3 3 2 3 2 2 4" xfId="40231"/>
    <cellStyle name="Percent 3 3 2 3 2 2 4 2" xfId="55359"/>
    <cellStyle name="Percent 3 3 2 3 2 2 5" xfId="50446"/>
    <cellStyle name="Percent 3 3 2 3 2 3" xfId="12222"/>
    <cellStyle name="Percent 3 3 2 3 2 3 2" xfId="43181"/>
    <cellStyle name="Percent 3 3 2 3 2 3 2 2" xfId="58307"/>
    <cellStyle name="Percent 3 3 2 3 2 3 3" xfId="52476"/>
    <cellStyle name="Percent 3 3 2 3 2 4" xfId="3695"/>
    <cellStyle name="Percent 3 3 2 3 2 4 2" xfId="40945"/>
    <cellStyle name="Percent 3 3 2 3 2 4 2 2" xfId="56072"/>
    <cellStyle name="Percent 3 3 2 3 2 4 3" xfId="48388"/>
    <cellStyle name="Percent 3 3 2 3 2 5" xfId="39089"/>
    <cellStyle name="Percent 3 3 2 3 2 5 2" xfId="54220"/>
    <cellStyle name="Percent 3 3 2 3 2 6" xfId="46642"/>
    <cellStyle name="Percent 3 3 2 3 3" xfId="1623"/>
    <cellStyle name="Percent 3 3 2 3 3 2" xfId="5972"/>
    <cellStyle name="Percent 3 3 2 3 3 2 2" xfId="44396"/>
    <cellStyle name="Percent 3 3 2 3 3 2 2 2" xfId="59522"/>
    <cellStyle name="Percent 3 3 2 3 3 2 3" xfId="42160"/>
    <cellStyle name="Percent 3 3 2 3 3 2 3 2" xfId="57287"/>
    <cellStyle name="Percent 3 3 2 3 3 2 4" xfId="39880"/>
    <cellStyle name="Percent 3 3 2 3 3 2 4 2" xfId="55008"/>
    <cellStyle name="Percent 3 3 2 3 3 2 5" xfId="50657"/>
    <cellStyle name="Percent 3 3 2 3 3 3" xfId="12433"/>
    <cellStyle name="Percent 3 3 2 3 3 3 2" xfId="43532"/>
    <cellStyle name="Percent 3 3 2 3 3 3 2 2" xfId="58658"/>
    <cellStyle name="Percent 3 3 2 3 3 3 3" xfId="52687"/>
    <cellStyle name="Percent 3 3 2 3 3 4" xfId="3922"/>
    <cellStyle name="Percent 3 3 2 3 3 4 2" xfId="41296"/>
    <cellStyle name="Percent 3 3 2 3 3 4 2 2" xfId="56423"/>
    <cellStyle name="Percent 3 3 2 3 3 4 3" xfId="48615"/>
    <cellStyle name="Percent 3 3 2 3 3 5" xfId="38716"/>
    <cellStyle name="Percent 3 3 2 3 3 5 2" xfId="53869"/>
    <cellStyle name="Percent 3 3 2 3 3 6" xfId="46853"/>
    <cellStyle name="Percent 3 3 2 3 4" xfId="1110"/>
    <cellStyle name="Percent 3 3 2 3 4 2" xfId="5459"/>
    <cellStyle name="Percent 3 3 2 3 4 2 2" xfId="43958"/>
    <cellStyle name="Percent 3 3 2 3 4 2 2 2" xfId="59084"/>
    <cellStyle name="Percent 3 3 2 3 4 2 3" xfId="50144"/>
    <cellStyle name="Percent 3 3 2 3 4 3" xfId="11920"/>
    <cellStyle name="Percent 3 3 2 3 4 3 2" xfId="41722"/>
    <cellStyle name="Percent 3 3 2 3 4 3 2 2" xfId="56849"/>
    <cellStyle name="Percent 3 3 2 3 4 3 3" xfId="52174"/>
    <cellStyle name="Percent 3 3 2 3 4 4" xfId="4281"/>
    <cellStyle name="Percent 3 3 2 3 4 4 2" xfId="48971"/>
    <cellStyle name="Percent 3 3 2 3 4 5" xfId="39442"/>
    <cellStyle name="Percent 3 3 2 3 4 5 2" xfId="54570"/>
    <cellStyle name="Percent 3 3 2 3 4 6" xfId="46340"/>
    <cellStyle name="Percent 3 3 2 3 5" xfId="2015"/>
    <cellStyle name="Percent 3 3 2 3 5 2" xfId="12822"/>
    <cellStyle name="Percent 3 3 2 3 5 2 2" xfId="53075"/>
    <cellStyle name="Percent 3 3 2 3 5 3" xfId="6362"/>
    <cellStyle name="Percent 3 3 2 3 5 3 2" xfId="51045"/>
    <cellStyle name="Percent 3 3 2 3 5 4" xfId="42830"/>
    <cellStyle name="Percent 3 3 2 3 5 4 2" xfId="57957"/>
    <cellStyle name="Percent 3 3 2 3 5 5" xfId="47241"/>
    <cellStyle name="Percent 3 3 2 3 6" xfId="4707"/>
    <cellStyle name="Percent 3 3 2 3 6 2" xfId="40595"/>
    <cellStyle name="Percent 3 3 2 3 6 2 2" xfId="55722"/>
    <cellStyle name="Percent 3 3 2 3 6 3" xfId="49392"/>
    <cellStyle name="Percent 3 3 2 3 7" xfId="11168"/>
    <cellStyle name="Percent 3 3 2 3 7 2" xfId="51422"/>
    <cellStyle name="Percent 3 3 2 3 8" xfId="3345"/>
    <cellStyle name="Percent 3 3 2 3 8 2" xfId="48039"/>
    <cellStyle name="Percent 3 3 2 3 9" xfId="38231"/>
    <cellStyle name="Percent 3 3 2 3 9 2" xfId="53431"/>
    <cellStyle name="Percent 3 3 2 4" xfId="479"/>
    <cellStyle name="Percent 3 3 2 4 2" xfId="1744"/>
    <cellStyle name="Percent 3 3 2 4 2 2" xfId="6093"/>
    <cellStyle name="Percent 3 3 2 4 2 2 2" xfId="44823"/>
    <cellStyle name="Percent 3 3 2 4 2 2 2 2" xfId="59949"/>
    <cellStyle name="Percent 3 3 2 4 2 2 3" xfId="42587"/>
    <cellStyle name="Percent 3 3 2 4 2 2 3 2" xfId="57714"/>
    <cellStyle name="Percent 3 3 2 4 2 2 4" xfId="40307"/>
    <cellStyle name="Percent 3 3 2 4 2 2 4 2" xfId="55435"/>
    <cellStyle name="Percent 3 3 2 4 2 2 5" xfId="50778"/>
    <cellStyle name="Percent 3 3 2 4 2 3" xfId="12554"/>
    <cellStyle name="Percent 3 3 2 4 2 3 2" xfId="43257"/>
    <cellStyle name="Percent 3 3 2 4 2 3 2 2" xfId="58383"/>
    <cellStyle name="Percent 3 3 2 4 2 3 3" xfId="52808"/>
    <cellStyle name="Percent 3 3 2 4 2 4" xfId="4043"/>
    <cellStyle name="Percent 3 3 2 4 2 4 2" xfId="41021"/>
    <cellStyle name="Percent 3 3 2 4 2 4 2 2" xfId="56148"/>
    <cellStyle name="Percent 3 3 2 4 2 4 3" xfId="48736"/>
    <cellStyle name="Percent 3 3 2 4 2 5" xfId="39165"/>
    <cellStyle name="Percent 3 3 2 4 2 5 2" xfId="54296"/>
    <cellStyle name="Percent 3 3 2 4 2 6" xfId="46974"/>
    <cellStyle name="Percent 3 3 2 4 3" xfId="1231"/>
    <cellStyle name="Percent 3 3 2 4 3 2" xfId="5580"/>
    <cellStyle name="Percent 3 3 2 4 3 2 2" xfId="44472"/>
    <cellStyle name="Percent 3 3 2 4 3 2 2 2" xfId="59598"/>
    <cellStyle name="Percent 3 3 2 4 3 2 3" xfId="42236"/>
    <cellStyle name="Percent 3 3 2 4 3 2 3 2" xfId="57363"/>
    <cellStyle name="Percent 3 3 2 4 3 2 4" xfId="39956"/>
    <cellStyle name="Percent 3 3 2 4 3 2 4 2" xfId="55084"/>
    <cellStyle name="Percent 3 3 2 4 3 2 5" xfId="50265"/>
    <cellStyle name="Percent 3 3 2 4 3 3" xfId="12041"/>
    <cellStyle name="Percent 3 3 2 4 3 3 2" xfId="43608"/>
    <cellStyle name="Percent 3 3 2 4 3 3 2 2" xfId="58734"/>
    <cellStyle name="Percent 3 3 2 4 3 3 3" xfId="52295"/>
    <cellStyle name="Percent 3 3 2 4 3 4" xfId="4402"/>
    <cellStyle name="Percent 3 3 2 4 3 4 2" xfId="41372"/>
    <cellStyle name="Percent 3 3 2 4 3 4 2 2" xfId="56499"/>
    <cellStyle name="Percent 3 3 2 4 3 4 3" xfId="49092"/>
    <cellStyle name="Percent 3 3 2 4 3 5" xfId="38792"/>
    <cellStyle name="Percent 3 3 2 4 3 5 2" xfId="53945"/>
    <cellStyle name="Percent 3 3 2 4 3 6" xfId="46461"/>
    <cellStyle name="Percent 3 3 2 4 4" xfId="2092"/>
    <cellStyle name="Percent 3 3 2 4 4 2" xfId="12898"/>
    <cellStyle name="Percent 3 3 2 4 4 2 2" xfId="44034"/>
    <cellStyle name="Percent 3 3 2 4 4 2 2 2" xfId="59160"/>
    <cellStyle name="Percent 3 3 2 4 4 2 3" xfId="53151"/>
    <cellStyle name="Percent 3 3 2 4 4 3" xfId="6438"/>
    <cellStyle name="Percent 3 3 2 4 4 3 2" xfId="41798"/>
    <cellStyle name="Percent 3 3 2 4 4 3 2 2" xfId="56925"/>
    <cellStyle name="Percent 3 3 2 4 4 3 3" xfId="51121"/>
    <cellStyle name="Percent 3 3 2 4 4 4" xfId="39518"/>
    <cellStyle name="Percent 3 3 2 4 4 4 2" xfId="54646"/>
    <cellStyle name="Percent 3 3 2 4 4 5" xfId="47317"/>
    <cellStyle name="Percent 3 3 2 4 5" xfId="4828"/>
    <cellStyle name="Percent 3 3 2 4 5 2" xfId="42906"/>
    <cellStyle name="Percent 3 3 2 4 5 2 2" xfId="58033"/>
    <cellStyle name="Percent 3 3 2 4 5 3" xfId="49513"/>
    <cellStyle name="Percent 3 3 2 4 6" xfId="11289"/>
    <cellStyle name="Percent 3 3 2 4 6 2" xfId="40671"/>
    <cellStyle name="Percent 3 3 2 4 6 2 2" xfId="55798"/>
    <cellStyle name="Percent 3 3 2 4 6 3" xfId="51543"/>
    <cellStyle name="Percent 3 3 2 4 7" xfId="3466"/>
    <cellStyle name="Percent 3 3 2 4 7 2" xfId="48160"/>
    <cellStyle name="Percent 3 3 2 4 8" xfId="38307"/>
    <cellStyle name="Percent 3 3 2 4 8 2" xfId="53507"/>
    <cellStyle name="Percent 3 3 2 4 9" xfId="45709"/>
    <cellStyle name="Percent 3 3 2 5" xfId="932"/>
    <cellStyle name="Percent 3 3 2 5 2" xfId="5281"/>
    <cellStyle name="Percent 3 3 2 5 2 2" xfId="40079"/>
    <cellStyle name="Percent 3 3 2 5 2 2 2" xfId="44595"/>
    <cellStyle name="Percent 3 3 2 5 2 2 2 2" xfId="59721"/>
    <cellStyle name="Percent 3 3 2 5 2 2 3" xfId="42359"/>
    <cellStyle name="Percent 3 3 2 5 2 2 3 2" xfId="57486"/>
    <cellStyle name="Percent 3 3 2 5 2 2 4" xfId="55207"/>
    <cellStyle name="Percent 3 3 2 5 2 3" xfId="43696"/>
    <cellStyle name="Percent 3 3 2 5 2 3 2" xfId="58822"/>
    <cellStyle name="Percent 3 3 2 5 2 4" xfId="41460"/>
    <cellStyle name="Percent 3 3 2 5 2 4 2" xfId="56587"/>
    <cellStyle name="Percent 3 3 2 5 2 5" xfId="38936"/>
    <cellStyle name="Percent 3 3 2 5 2 5 2" xfId="54068"/>
    <cellStyle name="Percent 3 3 2 5 2 6" xfId="49966"/>
    <cellStyle name="Percent 3 3 2 5 3" xfId="11742"/>
    <cellStyle name="Percent 3 3 2 5 3 2" xfId="44118"/>
    <cellStyle name="Percent 3 3 2 5 3 2 2" xfId="59244"/>
    <cellStyle name="Percent 3 3 2 5 3 3" xfId="41882"/>
    <cellStyle name="Percent 3 3 2 5 3 3 2" xfId="57009"/>
    <cellStyle name="Percent 3 3 2 5 3 4" xfId="39602"/>
    <cellStyle name="Percent 3 3 2 5 3 4 2" xfId="54730"/>
    <cellStyle name="Percent 3 3 2 5 3 5" xfId="51996"/>
    <cellStyle name="Percent 3 3 2 5 4" xfId="3167"/>
    <cellStyle name="Percent 3 3 2 5 4 2" xfId="43029"/>
    <cellStyle name="Percent 3 3 2 5 4 2 2" xfId="58155"/>
    <cellStyle name="Percent 3 3 2 5 4 3" xfId="47861"/>
    <cellStyle name="Percent 3 3 2 5 5" xfId="40793"/>
    <cellStyle name="Percent 3 3 2 5 5 2" xfId="55920"/>
    <cellStyle name="Percent 3 3 2 5 6" xfId="38432"/>
    <cellStyle name="Percent 3 3 2 5 6 2" xfId="53591"/>
    <cellStyle name="Percent 3 3 2 5 7" xfId="46162"/>
    <cellStyle name="Percent 3 3 2 6" xfId="810"/>
    <cellStyle name="Percent 3 3 2 6 2" xfId="5159"/>
    <cellStyle name="Percent 3 3 2 6 2 2" xfId="44244"/>
    <cellStyle name="Percent 3 3 2 6 2 2 2" xfId="59370"/>
    <cellStyle name="Percent 3 3 2 6 2 3" xfId="42008"/>
    <cellStyle name="Percent 3 3 2 6 2 3 2" xfId="57135"/>
    <cellStyle name="Percent 3 3 2 6 2 4" xfId="39728"/>
    <cellStyle name="Percent 3 3 2 6 2 4 2" xfId="54856"/>
    <cellStyle name="Percent 3 3 2 6 2 5" xfId="49844"/>
    <cellStyle name="Percent 3 3 2 6 3" xfId="11620"/>
    <cellStyle name="Percent 3 3 2 6 3 2" xfId="43380"/>
    <cellStyle name="Percent 3 3 2 6 3 2 2" xfId="58506"/>
    <cellStyle name="Percent 3 3 2 6 3 3" xfId="51874"/>
    <cellStyle name="Percent 3 3 2 6 4" xfId="3045"/>
    <cellStyle name="Percent 3 3 2 6 4 2" xfId="41144"/>
    <cellStyle name="Percent 3 3 2 6 4 2 2" xfId="56271"/>
    <cellStyle name="Percent 3 3 2 6 4 3" xfId="47739"/>
    <cellStyle name="Percent 3 3 2 6 5" xfId="38563"/>
    <cellStyle name="Percent 3 3 2 6 5 2" xfId="53717"/>
    <cellStyle name="Percent 3 3 2 6 6" xfId="46040"/>
    <cellStyle name="Percent 3 3 2 7" xfId="600"/>
    <cellStyle name="Percent 3 3 2 7 2" xfId="4949"/>
    <cellStyle name="Percent 3 3 2 7 2 2" xfId="43806"/>
    <cellStyle name="Percent 3 3 2 7 2 2 2" xfId="58932"/>
    <cellStyle name="Percent 3 3 2 7 2 3" xfId="49634"/>
    <cellStyle name="Percent 3 3 2 7 3" xfId="11410"/>
    <cellStyle name="Percent 3 3 2 7 3 2" xfId="41570"/>
    <cellStyle name="Percent 3 3 2 7 3 2 2" xfId="56697"/>
    <cellStyle name="Percent 3 3 2 7 3 3" xfId="51664"/>
    <cellStyle name="Percent 3 3 2 7 4" xfId="4103"/>
    <cellStyle name="Percent 3 3 2 7 4 2" xfId="48793"/>
    <cellStyle name="Percent 3 3 2 7 5" xfId="39290"/>
    <cellStyle name="Percent 3 3 2 7 5 2" xfId="54418"/>
    <cellStyle name="Percent 3 3 2 7 6" xfId="45830"/>
    <cellStyle name="Percent 3 3 2 8" xfId="1861"/>
    <cellStyle name="Percent 3 3 2 8 2" xfId="12669"/>
    <cellStyle name="Percent 3 3 2 8 2 2" xfId="52923"/>
    <cellStyle name="Percent 3 3 2 8 3" xfId="6208"/>
    <cellStyle name="Percent 3 3 2 8 3 2" xfId="50893"/>
    <cellStyle name="Percent 3 3 2 8 4" xfId="42678"/>
    <cellStyle name="Percent 3 3 2 8 4 2" xfId="57805"/>
    <cellStyle name="Percent 3 3 2 8 5" xfId="47089"/>
    <cellStyle name="Percent 3 3 2 9" xfId="2675"/>
    <cellStyle name="Percent 3 3 2 9 2" xfId="4524"/>
    <cellStyle name="Percent 3 3 2 9 2 2" xfId="49214"/>
    <cellStyle name="Percent 3 3 2 9 3" xfId="40443"/>
    <cellStyle name="Percent 3 3 2 9 3 2" xfId="55570"/>
    <cellStyle name="Percent 3 3 2 9 4" xfId="47407"/>
    <cellStyle name="Percent 3 3 3" xfId="170"/>
    <cellStyle name="Percent 3 3 3 10" xfId="38078"/>
    <cellStyle name="Percent 3 3 3 10 2" xfId="53278"/>
    <cellStyle name="Percent 3 3 3 11" xfId="45409"/>
    <cellStyle name="Percent 3 3 3 2" xfId="478"/>
    <cellStyle name="Percent 3 3 3 2 2" xfId="1451"/>
    <cellStyle name="Percent 3 3 3 2 2 2" xfId="5800"/>
    <cellStyle name="Percent 3 3 3 2 2 2 2" xfId="44594"/>
    <cellStyle name="Percent 3 3 3 2 2 2 2 2" xfId="59720"/>
    <cellStyle name="Percent 3 3 3 2 2 2 3" xfId="50485"/>
    <cellStyle name="Percent 3 3 3 2 2 3" xfId="12261"/>
    <cellStyle name="Percent 3 3 3 2 2 3 2" xfId="42358"/>
    <cellStyle name="Percent 3 3 3 2 2 3 2 2" xfId="57485"/>
    <cellStyle name="Percent 3 3 3 2 2 3 3" xfId="52515"/>
    <cellStyle name="Percent 3 3 3 2 2 4" xfId="3734"/>
    <cellStyle name="Percent 3 3 3 2 2 4 2" xfId="48427"/>
    <cellStyle name="Percent 3 3 3 2 2 5" xfId="40078"/>
    <cellStyle name="Percent 3 3 3 2 2 5 2" xfId="55206"/>
    <cellStyle name="Percent 3 3 3 2 2 6" xfId="46681"/>
    <cellStyle name="Percent 3 3 3 2 3" xfId="1743"/>
    <cellStyle name="Percent 3 3 3 2 3 2" xfId="6092"/>
    <cellStyle name="Percent 3 3 3 2 3 2 2" xfId="50777"/>
    <cellStyle name="Percent 3 3 3 2 3 3" xfId="12553"/>
    <cellStyle name="Percent 3 3 3 2 3 3 2" xfId="52807"/>
    <cellStyle name="Percent 3 3 3 2 3 4" xfId="4042"/>
    <cellStyle name="Percent 3 3 3 2 3 4 2" xfId="48735"/>
    <cellStyle name="Percent 3 3 3 2 3 5" xfId="43028"/>
    <cellStyle name="Percent 3 3 3 2 3 5 2" xfId="58154"/>
    <cellStyle name="Percent 3 3 3 2 3 6" xfId="46973"/>
    <cellStyle name="Percent 3 3 3 2 4" xfId="1230"/>
    <cellStyle name="Percent 3 3 3 2 4 2" xfId="5579"/>
    <cellStyle name="Percent 3 3 3 2 4 2 2" xfId="50264"/>
    <cellStyle name="Percent 3 3 3 2 4 3" xfId="12040"/>
    <cellStyle name="Percent 3 3 3 2 4 3 2" xfId="52294"/>
    <cellStyle name="Percent 3 3 3 2 4 4" xfId="4401"/>
    <cellStyle name="Percent 3 3 3 2 4 4 2" xfId="49091"/>
    <cellStyle name="Percent 3 3 3 2 4 5" xfId="40792"/>
    <cellStyle name="Percent 3 3 3 2 4 5 2" xfId="55919"/>
    <cellStyle name="Percent 3 3 3 2 4 6" xfId="46460"/>
    <cellStyle name="Percent 3 3 3 2 5" xfId="4827"/>
    <cellStyle name="Percent 3 3 3 2 5 2" xfId="49512"/>
    <cellStyle name="Percent 3 3 3 2 6" xfId="11288"/>
    <cellStyle name="Percent 3 3 3 2 6 2" xfId="51542"/>
    <cellStyle name="Percent 3 3 3 2 7" xfId="3465"/>
    <cellStyle name="Percent 3 3 3 2 7 2" xfId="48159"/>
    <cellStyle name="Percent 3 3 3 2 8" xfId="38935"/>
    <cellStyle name="Percent 3 3 3 2 8 2" xfId="54067"/>
    <cellStyle name="Percent 3 3 3 2 9" xfId="45708"/>
    <cellStyle name="Percent 3 3 3 3" xfId="931"/>
    <cellStyle name="Percent 3 3 3 3 2" xfId="5280"/>
    <cellStyle name="Percent 3 3 3 3 2 2" xfId="44243"/>
    <cellStyle name="Percent 3 3 3 3 2 2 2" xfId="59369"/>
    <cellStyle name="Percent 3 3 3 3 2 3" xfId="42007"/>
    <cellStyle name="Percent 3 3 3 3 2 3 2" xfId="57134"/>
    <cellStyle name="Percent 3 3 3 3 2 4" xfId="39727"/>
    <cellStyle name="Percent 3 3 3 3 2 4 2" xfId="54855"/>
    <cellStyle name="Percent 3 3 3 3 2 5" xfId="49965"/>
    <cellStyle name="Percent 3 3 3 3 3" xfId="11741"/>
    <cellStyle name="Percent 3 3 3 3 3 2" xfId="43379"/>
    <cellStyle name="Percent 3 3 3 3 3 2 2" xfId="58505"/>
    <cellStyle name="Percent 3 3 3 3 3 3" xfId="51995"/>
    <cellStyle name="Percent 3 3 3 3 4" xfId="3166"/>
    <cellStyle name="Percent 3 3 3 3 4 2" xfId="41143"/>
    <cellStyle name="Percent 3 3 3 3 4 2 2" xfId="56270"/>
    <cellStyle name="Percent 3 3 3 3 4 3" xfId="47860"/>
    <cellStyle name="Percent 3 3 3 3 5" xfId="38562"/>
    <cellStyle name="Percent 3 3 3 3 5 2" xfId="53716"/>
    <cellStyle name="Percent 3 3 3 3 6" xfId="46161"/>
    <cellStyle name="Percent 3 3 3 4" xfId="809"/>
    <cellStyle name="Percent 3 3 3 4 2" xfId="5158"/>
    <cellStyle name="Percent 3 3 3 4 2 2" xfId="43805"/>
    <cellStyle name="Percent 3 3 3 4 2 2 2" xfId="58931"/>
    <cellStyle name="Percent 3 3 3 4 2 3" xfId="49843"/>
    <cellStyle name="Percent 3 3 3 4 3" xfId="11619"/>
    <cellStyle name="Percent 3 3 3 4 3 2" xfId="41569"/>
    <cellStyle name="Percent 3 3 3 4 3 2 2" xfId="56696"/>
    <cellStyle name="Percent 3 3 3 4 3 3" xfId="51873"/>
    <cellStyle name="Percent 3 3 3 4 4" xfId="3044"/>
    <cellStyle name="Percent 3 3 3 4 4 2" xfId="47738"/>
    <cellStyle name="Percent 3 3 3 4 5" xfId="39289"/>
    <cellStyle name="Percent 3 3 3 4 5 2" xfId="54417"/>
    <cellStyle name="Percent 3 3 3 4 6" xfId="46039"/>
    <cellStyle name="Percent 3 3 3 5" xfId="599"/>
    <cellStyle name="Percent 3 3 3 5 2" xfId="4948"/>
    <cellStyle name="Percent 3 3 3 5 2 2" xfId="49633"/>
    <cellStyle name="Percent 3 3 3 5 3" xfId="11409"/>
    <cellStyle name="Percent 3 3 3 5 3 2" xfId="51663"/>
    <cellStyle name="Percent 3 3 3 5 4" xfId="4102"/>
    <cellStyle name="Percent 3 3 3 5 4 2" xfId="48792"/>
    <cellStyle name="Percent 3 3 3 5 5" xfId="42677"/>
    <cellStyle name="Percent 3 3 3 5 5 2" xfId="57804"/>
    <cellStyle name="Percent 3 3 3 5 6" xfId="45829"/>
    <cellStyle name="Percent 3 3 3 6" xfId="1860"/>
    <cellStyle name="Percent 3 3 3 6 2" xfId="12668"/>
    <cellStyle name="Percent 3 3 3 6 2 2" xfId="52922"/>
    <cellStyle name="Percent 3 3 3 6 3" xfId="6207"/>
    <cellStyle name="Percent 3 3 3 6 3 2" xfId="50892"/>
    <cellStyle name="Percent 3 3 3 6 4" xfId="40442"/>
    <cellStyle name="Percent 3 3 3 6 4 2" xfId="55569"/>
    <cellStyle name="Percent 3 3 3 6 5" xfId="47088"/>
    <cellStyle name="Percent 3 3 3 7" xfId="4523"/>
    <cellStyle name="Percent 3 3 3 7 2" xfId="49213"/>
    <cellStyle name="Percent 3 3 3 8" xfId="10989"/>
    <cellStyle name="Percent 3 3 3 8 2" xfId="51243"/>
    <cellStyle name="Percent 3 3 3 9" xfId="2829"/>
    <cellStyle name="Percent 3 3 3 9 2" xfId="47527"/>
    <cellStyle name="Percent 3 3 4" xfId="266"/>
    <cellStyle name="Percent 3 3 4 10" xfId="38154"/>
    <cellStyle name="Percent 3 3 4 10 2" xfId="53354"/>
    <cellStyle name="Percent 3 3 4 11" xfId="45498"/>
    <cellStyle name="Percent 3 3 4 2" xfId="1020"/>
    <cellStyle name="Percent 3 3 4 2 2" xfId="5369"/>
    <cellStyle name="Percent 3 3 4 2 2 2" xfId="44670"/>
    <cellStyle name="Percent 3 3 4 2 2 2 2" xfId="59796"/>
    <cellStyle name="Percent 3 3 4 2 2 3" xfId="42434"/>
    <cellStyle name="Percent 3 3 4 2 2 3 2" xfId="57561"/>
    <cellStyle name="Percent 3 3 4 2 2 4" xfId="40154"/>
    <cellStyle name="Percent 3 3 4 2 2 4 2" xfId="55282"/>
    <cellStyle name="Percent 3 3 4 2 2 5" xfId="50054"/>
    <cellStyle name="Percent 3 3 4 2 3" xfId="11830"/>
    <cellStyle name="Percent 3 3 4 2 3 2" xfId="43104"/>
    <cellStyle name="Percent 3 3 4 2 3 2 2" xfId="58230"/>
    <cellStyle name="Percent 3 3 4 2 3 3" xfId="52084"/>
    <cellStyle name="Percent 3 3 4 2 4" xfId="3255"/>
    <cellStyle name="Percent 3 3 4 2 4 2" xfId="40868"/>
    <cellStyle name="Percent 3 3 4 2 4 2 2" xfId="55995"/>
    <cellStyle name="Percent 3 3 4 2 4 3" xfId="47949"/>
    <cellStyle name="Percent 3 3 4 2 5" xfId="39012"/>
    <cellStyle name="Percent 3 3 4 2 5 2" xfId="54143"/>
    <cellStyle name="Percent 3 3 4 2 6" xfId="46250"/>
    <cellStyle name="Percent 3 3 4 3" xfId="1322"/>
    <cellStyle name="Percent 3 3 4 3 2" xfId="5671"/>
    <cellStyle name="Percent 3 3 4 3 2 2" xfId="44319"/>
    <cellStyle name="Percent 3 3 4 3 2 2 2" xfId="59445"/>
    <cellStyle name="Percent 3 3 4 3 2 3" xfId="42083"/>
    <cellStyle name="Percent 3 3 4 3 2 3 2" xfId="57210"/>
    <cellStyle name="Percent 3 3 4 3 2 4" xfId="39803"/>
    <cellStyle name="Percent 3 3 4 3 2 4 2" xfId="54931"/>
    <cellStyle name="Percent 3 3 4 3 2 5" xfId="50356"/>
    <cellStyle name="Percent 3 3 4 3 3" xfId="12132"/>
    <cellStyle name="Percent 3 3 4 3 3 2" xfId="43455"/>
    <cellStyle name="Percent 3 3 4 3 3 2 2" xfId="58581"/>
    <cellStyle name="Percent 3 3 4 3 3 3" xfId="52386"/>
    <cellStyle name="Percent 3 3 4 3 4" xfId="3605"/>
    <cellStyle name="Percent 3 3 4 3 4 2" xfId="41219"/>
    <cellStyle name="Percent 3 3 4 3 4 2 2" xfId="56346"/>
    <cellStyle name="Percent 3 3 4 3 4 3" xfId="48298"/>
    <cellStyle name="Percent 3 3 4 3 5" xfId="38639"/>
    <cellStyle name="Percent 3 3 4 3 5 2" xfId="53792"/>
    <cellStyle name="Percent 3 3 4 3 6" xfId="46552"/>
    <cellStyle name="Percent 3 3 4 4" xfId="1533"/>
    <cellStyle name="Percent 3 3 4 4 2" xfId="5882"/>
    <cellStyle name="Percent 3 3 4 4 2 2" xfId="43881"/>
    <cellStyle name="Percent 3 3 4 4 2 2 2" xfId="59007"/>
    <cellStyle name="Percent 3 3 4 4 2 3" xfId="50567"/>
    <cellStyle name="Percent 3 3 4 4 3" xfId="12343"/>
    <cellStyle name="Percent 3 3 4 4 3 2" xfId="41645"/>
    <cellStyle name="Percent 3 3 4 4 3 2 2" xfId="56772"/>
    <cellStyle name="Percent 3 3 4 4 3 3" xfId="52597"/>
    <cellStyle name="Percent 3 3 4 4 4" xfId="3832"/>
    <cellStyle name="Percent 3 3 4 4 4 2" xfId="48525"/>
    <cellStyle name="Percent 3 3 4 4 5" xfId="39365"/>
    <cellStyle name="Percent 3 3 4 4 5 2" xfId="54493"/>
    <cellStyle name="Percent 3 3 4 4 6" xfId="46763"/>
    <cellStyle name="Percent 3 3 4 5" xfId="688"/>
    <cellStyle name="Percent 3 3 4 5 2" xfId="5037"/>
    <cellStyle name="Percent 3 3 4 5 2 2" xfId="49722"/>
    <cellStyle name="Percent 3 3 4 5 3" xfId="11498"/>
    <cellStyle name="Percent 3 3 4 5 3 2" xfId="51752"/>
    <cellStyle name="Percent 3 3 4 5 4" xfId="4191"/>
    <cellStyle name="Percent 3 3 4 5 4 2" xfId="48881"/>
    <cellStyle name="Percent 3 3 4 5 5" xfId="42753"/>
    <cellStyle name="Percent 3 3 4 5 5 2" xfId="57880"/>
    <cellStyle name="Percent 3 3 4 5 6" xfId="45918"/>
    <cellStyle name="Percent 3 3 4 6" xfId="1938"/>
    <cellStyle name="Percent 3 3 4 6 2" xfId="12745"/>
    <cellStyle name="Percent 3 3 4 6 2 2" xfId="52998"/>
    <cellStyle name="Percent 3 3 4 6 3" xfId="6285"/>
    <cellStyle name="Percent 3 3 4 6 3 2" xfId="50968"/>
    <cellStyle name="Percent 3 3 4 6 4" xfId="40518"/>
    <cellStyle name="Percent 3 3 4 6 4 2" xfId="55645"/>
    <cellStyle name="Percent 3 3 4 6 5" xfId="47164"/>
    <cellStyle name="Percent 3 3 4 7" xfId="4615"/>
    <cellStyle name="Percent 3 3 4 7 2" xfId="49302"/>
    <cellStyle name="Percent 3 3 4 8" xfId="11078"/>
    <cellStyle name="Percent 3 3 4 8 2" xfId="51332"/>
    <cellStyle name="Percent 3 3 4 9" xfId="2922"/>
    <cellStyle name="Percent 3 3 4 9 2" xfId="47616"/>
    <cellStyle name="Percent 3 3 5" xfId="357"/>
    <cellStyle name="Percent 3 3 5 10" xfId="45587"/>
    <cellStyle name="Percent 3 3 5 2" xfId="1411"/>
    <cellStyle name="Percent 3 3 5 2 2" xfId="5760"/>
    <cellStyle name="Percent 3 3 5 2 2 2" xfId="44746"/>
    <cellStyle name="Percent 3 3 5 2 2 2 2" xfId="59872"/>
    <cellStyle name="Percent 3 3 5 2 2 3" xfId="42510"/>
    <cellStyle name="Percent 3 3 5 2 2 3 2" xfId="57637"/>
    <cellStyle name="Percent 3 3 5 2 2 4" xfId="40230"/>
    <cellStyle name="Percent 3 3 5 2 2 4 2" xfId="55358"/>
    <cellStyle name="Percent 3 3 5 2 2 5" xfId="50445"/>
    <cellStyle name="Percent 3 3 5 2 3" xfId="12221"/>
    <cellStyle name="Percent 3 3 5 2 3 2" xfId="43180"/>
    <cellStyle name="Percent 3 3 5 2 3 2 2" xfId="58306"/>
    <cellStyle name="Percent 3 3 5 2 3 3" xfId="52475"/>
    <cellStyle name="Percent 3 3 5 2 4" xfId="3694"/>
    <cellStyle name="Percent 3 3 5 2 4 2" xfId="40944"/>
    <cellStyle name="Percent 3 3 5 2 4 2 2" xfId="56071"/>
    <cellStyle name="Percent 3 3 5 2 4 3" xfId="48387"/>
    <cellStyle name="Percent 3 3 5 2 5" xfId="39088"/>
    <cellStyle name="Percent 3 3 5 2 5 2" xfId="54219"/>
    <cellStyle name="Percent 3 3 5 2 6" xfId="46641"/>
    <cellStyle name="Percent 3 3 5 3" xfId="1622"/>
    <cellStyle name="Percent 3 3 5 3 2" xfId="5971"/>
    <cellStyle name="Percent 3 3 5 3 2 2" xfId="44395"/>
    <cellStyle name="Percent 3 3 5 3 2 2 2" xfId="59521"/>
    <cellStyle name="Percent 3 3 5 3 2 3" xfId="42159"/>
    <cellStyle name="Percent 3 3 5 3 2 3 2" xfId="57286"/>
    <cellStyle name="Percent 3 3 5 3 2 4" xfId="39879"/>
    <cellStyle name="Percent 3 3 5 3 2 4 2" xfId="55007"/>
    <cellStyle name="Percent 3 3 5 3 2 5" xfId="50656"/>
    <cellStyle name="Percent 3 3 5 3 3" xfId="12432"/>
    <cellStyle name="Percent 3 3 5 3 3 2" xfId="43531"/>
    <cellStyle name="Percent 3 3 5 3 3 2 2" xfId="58657"/>
    <cellStyle name="Percent 3 3 5 3 3 3" xfId="52686"/>
    <cellStyle name="Percent 3 3 5 3 4" xfId="3921"/>
    <cellStyle name="Percent 3 3 5 3 4 2" xfId="41295"/>
    <cellStyle name="Percent 3 3 5 3 4 2 2" xfId="56422"/>
    <cellStyle name="Percent 3 3 5 3 4 3" xfId="48614"/>
    <cellStyle name="Percent 3 3 5 3 5" xfId="38715"/>
    <cellStyle name="Percent 3 3 5 3 5 2" xfId="53868"/>
    <cellStyle name="Percent 3 3 5 3 6" xfId="46852"/>
    <cellStyle name="Percent 3 3 5 4" xfId="1109"/>
    <cellStyle name="Percent 3 3 5 4 2" xfId="5458"/>
    <cellStyle name="Percent 3 3 5 4 2 2" xfId="43957"/>
    <cellStyle name="Percent 3 3 5 4 2 2 2" xfId="59083"/>
    <cellStyle name="Percent 3 3 5 4 2 3" xfId="50143"/>
    <cellStyle name="Percent 3 3 5 4 3" xfId="11919"/>
    <cellStyle name="Percent 3 3 5 4 3 2" xfId="41721"/>
    <cellStyle name="Percent 3 3 5 4 3 2 2" xfId="56848"/>
    <cellStyle name="Percent 3 3 5 4 3 3" xfId="52173"/>
    <cellStyle name="Percent 3 3 5 4 4" xfId="4280"/>
    <cellStyle name="Percent 3 3 5 4 4 2" xfId="48970"/>
    <cellStyle name="Percent 3 3 5 4 5" xfId="39441"/>
    <cellStyle name="Percent 3 3 5 4 5 2" xfId="54569"/>
    <cellStyle name="Percent 3 3 5 4 6" xfId="46339"/>
    <cellStyle name="Percent 3 3 5 5" xfId="2014"/>
    <cellStyle name="Percent 3 3 5 5 2" xfId="12821"/>
    <cellStyle name="Percent 3 3 5 5 2 2" xfId="53074"/>
    <cellStyle name="Percent 3 3 5 5 3" xfId="6361"/>
    <cellStyle name="Percent 3 3 5 5 3 2" xfId="51044"/>
    <cellStyle name="Percent 3 3 5 5 4" xfId="42829"/>
    <cellStyle name="Percent 3 3 5 5 4 2" xfId="57956"/>
    <cellStyle name="Percent 3 3 5 5 5" xfId="47240"/>
    <cellStyle name="Percent 3 3 5 6" xfId="4706"/>
    <cellStyle name="Percent 3 3 5 6 2" xfId="40594"/>
    <cellStyle name="Percent 3 3 5 6 2 2" xfId="55721"/>
    <cellStyle name="Percent 3 3 5 6 3" xfId="49391"/>
    <cellStyle name="Percent 3 3 5 7" xfId="11167"/>
    <cellStyle name="Percent 3 3 5 7 2" xfId="51421"/>
    <cellStyle name="Percent 3 3 5 8" xfId="3344"/>
    <cellStyle name="Percent 3 3 5 8 2" xfId="48038"/>
    <cellStyle name="Percent 3 3 5 9" xfId="38230"/>
    <cellStyle name="Percent 3 3 5 9 2" xfId="53430"/>
    <cellStyle name="Percent 3 3 6" xfId="386"/>
    <cellStyle name="Percent 3 3 6 2" xfId="1651"/>
    <cellStyle name="Percent 3 3 6 2 2" xfId="6000"/>
    <cellStyle name="Percent 3 3 6 2 2 2" xfId="44822"/>
    <cellStyle name="Percent 3 3 6 2 2 2 2" xfId="59948"/>
    <cellStyle name="Percent 3 3 6 2 2 3" xfId="42586"/>
    <cellStyle name="Percent 3 3 6 2 2 3 2" xfId="57713"/>
    <cellStyle name="Percent 3 3 6 2 2 4" xfId="40306"/>
    <cellStyle name="Percent 3 3 6 2 2 4 2" xfId="55434"/>
    <cellStyle name="Percent 3 3 6 2 2 5" xfId="50685"/>
    <cellStyle name="Percent 3 3 6 2 3" xfId="12461"/>
    <cellStyle name="Percent 3 3 6 2 3 2" xfId="43256"/>
    <cellStyle name="Percent 3 3 6 2 3 2 2" xfId="58382"/>
    <cellStyle name="Percent 3 3 6 2 3 3" xfId="52715"/>
    <cellStyle name="Percent 3 3 6 2 4" xfId="3950"/>
    <cellStyle name="Percent 3 3 6 2 4 2" xfId="41020"/>
    <cellStyle name="Percent 3 3 6 2 4 2 2" xfId="56147"/>
    <cellStyle name="Percent 3 3 6 2 4 3" xfId="48643"/>
    <cellStyle name="Percent 3 3 6 2 5" xfId="39164"/>
    <cellStyle name="Percent 3 3 6 2 5 2" xfId="54295"/>
    <cellStyle name="Percent 3 3 6 2 6" xfId="46881"/>
    <cellStyle name="Percent 3 3 6 3" xfId="1138"/>
    <cellStyle name="Percent 3 3 6 3 2" xfId="5487"/>
    <cellStyle name="Percent 3 3 6 3 2 2" xfId="44471"/>
    <cellStyle name="Percent 3 3 6 3 2 2 2" xfId="59597"/>
    <cellStyle name="Percent 3 3 6 3 2 3" xfId="42235"/>
    <cellStyle name="Percent 3 3 6 3 2 3 2" xfId="57362"/>
    <cellStyle name="Percent 3 3 6 3 2 4" xfId="39955"/>
    <cellStyle name="Percent 3 3 6 3 2 4 2" xfId="55083"/>
    <cellStyle name="Percent 3 3 6 3 2 5" xfId="50172"/>
    <cellStyle name="Percent 3 3 6 3 3" xfId="11948"/>
    <cellStyle name="Percent 3 3 6 3 3 2" xfId="43607"/>
    <cellStyle name="Percent 3 3 6 3 3 2 2" xfId="58733"/>
    <cellStyle name="Percent 3 3 6 3 3 3" xfId="52202"/>
    <cellStyle name="Percent 3 3 6 3 4" xfId="4309"/>
    <cellStyle name="Percent 3 3 6 3 4 2" xfId="41371"/>
    <cellStyle name="Percent 3 3 6 3 4 2 2" xfId="56498"/>
    <cellStyle name="Percent 3 3 6 3 4 3" xfId="48999"/>
    <cellStyle name="Percent 3 3 6 3 5" xfId="38791"/>
    <cellStyle name="Percent 3 3 6 3 5 2" xfId="53944"/>
    <cellStyle name="Percent 3 3 6 3 6" xfId="46368"/>
    <cellStyle name="Percent 3 3 6 4" xfId="2091"/>
    <cellStyle name="Percent 3 3 6 4 2" xfId="12897"/>
    <cellStyle name="Percent 3 3 6 4 2 2" xfId="44033"/>
    <cellStyle name="Percent 3 3 6 4 2 2 2" xfId="59159"/>
    <cellStyle name="Percent 3 3 6 4 2 3" xfId="53150"/>
    <cellStyle name="Percent 3 3 6 4 3" xfId="6437"/>
    <cellStyle name="Percent 3 3 6 4 3 2" xfId="41797"/>
    <cellStyle name="Percent 3 3 6 4 3 2 2" xfId="56924"/>
    <cellStyle name="Percent 3 3 6 4 3 3" xfId="51120"/>
    <cellStyle name="Percent 3 3 6 4 4" xfId="39517"/>
    <cellStyle name="Percent 3 3 6 4 4 2" xfId="54645"/>
    <cellStyle name="Percent 3 3 6 4 5" xfId="47316"/>
    <cellStyle name="Percent 3 3 6 5" xfId="4735"/>
    <cellStyle name="Percent 3 3 6 5 2" xfId="42905"/>
    <cellStyle name="Percent 3 3 6 5 2 2" xfId="58032"/>
    <cellStyle name="Percent 3 3 6 5 3" xfId="49420"/>
    <cellStyle name="Percent 3 3 6 6" xfId="11196"/>
    <cellStyle name="Percent 3 3 6 6 2" xfId="40670"/>
    <cellStyle name="Percent 3 3 6 6 2 2" xfId="55797"/>
    <cellStyle name="Percent 3 3 6 6 3" xfId="51450"/>
    <cellStyle name="Percent 3 3 6 7" xfId="3373"/>
    <cellStyle name="Percent 3 3 6 7 2" xfId="48067"/>
    <cellStyle name="Percent 3 3 6 8" xfId="38306"/>
    <cellStyle name="Percent 3 3 6 8 2" xfId="53506"/>
    <cellStyle name="Percent 3 3 6 9" xfId="45616"/>
    <cellStyle name="Percent 3 3 7" xfId="838"/>
    <cellStyle name="Percent 3 3 7 2" xfId="5187"/>
    <cellStyle name="Percent 3 3 7 2 2" xfId="39996"/>
    <cellStyle name="Percent 3 3 7 2 2 2" xfId="44512"/>
    <cellStyle name="Percent 3 3 7 2 2 2 2" xfId="59638"/>
    <cellStyle name="Percent 3 3 7 2 2 3" xfId="42276"/>
    <cellStyle name="Percent 3 3 7 2 2 3 2" xfId="57403"/>
    <cellStyle name="Percent 3 3 7 2 2 4" xfId="55124"/>
    <cellStyle name="Percent 3 3 7 2 3" xfId="43647"/>
    <cellStyle name="Percent 3 3 7 2 3 2" xfId="58773"/>
    <cellStyle name="Percent 3 3 7 2 4" xfId="41411"/>
    <cellStyle name="Percent 3 3 7 2 4 2" xfId="56538"/>
    <cellStyle name="Percent 3 3 7 2 5" xfId="38853"/>
    <cellStyle name="Percent 3 3 7 2 5 2" xfId="53985"/>
    <cellStyle name="Percent 3 3 7 2 6" xfId="49872"/>
    <cellStyle name="Percent 3 3 7 3" xfId="11648"/>
    <cellStyle name="Percent 3 3 7 3 2" xfId="44117"/>
    <cellStyle name="Percent 3 3 7 3 2 2" xfId="59243"/>
    <cellStyle name="Percent 3 3 7 3 3" xfId="41881"/>
    <cellStyle name="Percent 3 3 7 3 3 2" xfId="57008"/>
    <cellStyle name="Percent 3 3 7 3 4" xfId="39601"/>
    <cellStyle name="Percent 3 3 7 3 4 2" xfId="54729"/>
    <cellStyle name="Percent 3 3 7 3 5" xfId="51902"/>
    <cellStyle name="Percent 3 3 7 4" xfId="3073"/>
    <cellStyle name="Percent 3 3 7 4 2" xfId="42946"/>
    <cellStyle name="Percent 3 3 7 4 2 2" xfId="58072"/>
    <cellStyle name="Percent 3 3 7 4 3" xfId="47767"/>
    <cellStyle name="Percent 3 3 7 5" xfId="40710"/>
    <cellStyle name="Percent 3 3 7 5 2" xfId="55837"/>
    <cellStyle name="Percent 3 3 7 6" xfId="38431"/>
    <cellStyle name="Percent 3 3 7 6 2" xfId="53590"/>
    <cellStyle name="Percent 3 3 7 7" xfId="46068"/>
    <cellStyle name="Percent 3 3 8" xfId="717"/>
    <cellStyle name="Percent 3 3 8 2" xfId="5066"/>
    <cellStyle name="Percent 3 3 8 2 2" xfId="44161"/>
    <cellStyle name="Percent 3 3 8 2 2 2" xfId="59287"/>
    <cellStyle name="Percent 3 3 8 2 3" xfId="41925"/>
    <cellStyle name="Percent 3 3 8 2 3 2" xfId="57052"/>
    <cellStyle name="Percent 3 3 8 2 4" xfId="39645"/>
    <cellStyle name="Percent 3 3 8 2 4 2" xfId="54773"/>
    <cellStyle name="Percent 3 3 8 2 5" xfId="49751"/>
    <cellStyle name="Percent 3 3 8 3" xfId="11527"/>
    <cellStyle name="Percent 3 3 8 3 2" xfId="43297"/>
    <cellStyle name="Percent 3 3 8 3 2 2" xfId="58423"/>
    <cellStyle name="Percent 3 3 8 3 3" xfId="51781"/>
    <cellStyle name="Percent 3 3 8 4" xfId="2951"/>
    <cellStyle name="Percent 3 3 8 4 2" xfId="41061"/>
    <cellStyle name="Percent 3 3 8 4 2 2" xfId="56188"/>
    <cellStyle name="Percent 3 3 8 4 3" xfId="47645"/>
    <cellStyle name="Percent 3 3 8 5" xfId="38478"/>
    <cellStyle name="Percent 3 3 8 5 2" xfId="53634"/>
    <cellStyle name="Percent 3 3 8 6" xfId="45947"/>
    <cellStyle name="Percent 3 3 9" xfId="507"/>
    <cellStyle name="Percent 3 3 9 2" xfId="4856"/>
    <cellStyle name="Percent 3 3 9 2 2" xfId="43723"/>
    <cellStyle name="Percent 3 3 9 2 2 2" xfId="58849"/>
    <cellStyle name="Percent 3 3 9 2 3" xfId="49541"/>
    <cellStyle name="Percent 3 3 9 3" xfId="11317"/>
    <cellStyle name="Percent 3 3 9 3 2" xfId="41487"/>
    <cellStyle name="Percent 3 3 9 3 2 2" xfId="56614"/>
    <cellStyle name="Percent 3 3 9 3 3" xfId="51571"/>
    <cellStyle name="Percent 3 3 9 4" xfId="3493"/>
    <cellStyle name="Percent 3 3 9 4 2" xfId="48187"/>
    <cellStyle name="Percent 3 3 9 5" xfId="39207"/>
    <cellStyle name="Percent 3 3 9 5 2" xfId="54335"/>
    <cellStyle name="Percent 3 3 9 6" xfId="45737"/>
    <cellStyle name="Percent 3 4" xfId="172"/>
    <cellStyle name="Percent 3 4 10" xfId="10991"/>
    <cellStyle name="Percent 3 4 10 2" xfId="51245"/>
    <cellStyle name="Percent 3 4 11" xfId="2831"/>
    <cellStyle name="Percent 3 4 11 2" xfId="47529"/>
    <cellStyle name="Percent 3 4 12" xfId="38080"/>
    <cellStyle name="Percent 3 4 12 2" xfId="53280"/>
    <cellStyle name="Percent 3 4 13" xfId="45411"/>
    <cellStyle name="Percent 3 4 2" xfId="268"/>
    <cellStyle name="Percent 3 4 2 10" xfId="38156"/>
    <cellStyle name="Percent 3 4 2 10 2" xfId="53356"/>
    <cellStyle name="Percent 3 4 2 11" xfId="45500"/>
    <cellStyle name="Percent 3 4 2 2" xfId="1022"/>
    <cellStyle name="Percent 3 4 2 2 2" xfId="5371"/>
    <cellStyle name="Percent 3 4 2 2 2 2" xfId="44672"/>
    <cellStyle name="Percent 3 4 2 2 2 2 2" xfId="59798"/>
    <cellStyle name="Percent 3 4 2 2 2 3" xfId="42436"/>
    <cellStyle name="Percent 3 4 2 2 2 3 2" xfId="57563"/>
    <cellStyle name="Percent 3 4 2 2 2 4" xfId="40156"/>
    <cellStyle name="Percent 3 4 2 2 2 4 2" xfId="55284"/>
    <cellStyle name="Percent 3 4 2 2 2 5" xfId="50056"/>
    <cellStyle name="Percent 3 4 2 2 3" xfId="11832"/>
    <cellStyle name="Percent 3 4 2 2 3 2" xfId="43106"/>
    <cellStyle name="Percent 3 4 2 2 3 2 2" xfId="58232"/>
    <cellStyle name="Percent 3 4 2 2 3 3" xfId="52086"/>
    <cellStyle name="Percent 3 4 2 2 4" xfId="3257"/>
    <cellStyle name="Percent 3 4 2 2 4 2" xfId="40870"/>
    <cellStyle name="Percent 3 4 2 2 4 2 2" xfId="55997"/>
    <cellStyle name="Percent 3 4 2 2 4 3" xfId="47951"/>
    <cellStyle name="Percent 3 4 2 2 5" xfId="39014"/>
    <cellStyle name="Percent 3 4 2 2 5 2" xfId="54145"/>
    <cellStyle name="Percent 3 4 2 2 6" xfId="46252"/>
    <cellStyle name="Percent 3 4 2 3" xfId="1324"/>
    <cellStyle name="Percent 3 4 2 3 2" xfId="5673"/>
    <cellStyle name="Percent 3 4 2 3 2 2" xfId="44321"/>
    <cellStyle name="Percent 3 4 2 3 2 2 2" xfId="59447"/>
    <cellStyle name="Percent 3 4 2 3 2 3" xfId="42085"/>
    <cellStyle name="Percent 3 4 2 3 2 3 2" xfId="57212"/>
    <cellStyle name="Percent 3 4 2 3 2 4" xfId="39805"/>
    <cellStyle name="Percent 3 4 2 3 2 4 2" xfId="54933"/>
    <cellStyle name="Percent 3 4 2 3 2 5" xfId="50358"/>
    <cellStyle name="Percent 3 4 2 3 3" xfId="12134"/>
    <cellStyle name="Percent 3 4 2 3 3 2" xfId="43457"/>
    <cellStyle name="Percent 3 4 2 3 3 2 2" xfId="58583"/>
    <cellStyle name="Percent 3 4 2 3 3 3" xfId="52388"/>
    <cellStyle name="Percent 3 4 2 3 4" xfId="3607"/>
    <cellStyle name="Percent 3 4 2 3 4 2" xfId="41221"/>
    <cellStyle name="Percent 3 4 2 3 4 2 2" xfId="56348"/>
    <cellStyle name="Percent 3 4 2 3 4 3" xfId="48300"/>
    <cellStyle name="Percent 3 4 2 3 5" xfId="38641"/>
    <cellStyle name="Percent 3 4 2 3 5 2" xfId="53794"/>
    <cellStyle name="Percent 3 4 2 3 6" xfId="46554"/>
    <cellStyle name="Percent 3 4 2 4" xfId="1535"/>
    <cellStyle name="Percent 3 4 2 4 2" xfId="5884"/>
    <cellStyle name="Percent 3 4 2 4 2 2" xfId="43883"/>
    <cellStyle name="Percent 3 4 2 4 2 2 2" xfId="59009"/>
    <cellStyle name="Percent 3 4 2 4 2 3" xfId="50569"/>
    <cellStyle name="Percent 3 4 2 4 3" xfId="12345"/>
    <cellStyle name="Percent 3 4 2 4 3 2" xfId="41647"/>
    <cellStyle name="Percent 3 4 2 4 3 2 2" xfId="56774"/>
    <cellStyle name="Percent 3 4 2 4 3 3" xfId="52599"/>
    <cellStyle name="Percent 3 4 2 4 4" xfId="3834"/>
    <cellStyle name="Percent 3 4 2 4 4 2" xfId="48527"/>
    <cellStyle name="Percent 3 4 2 4 5" xfId="39367"/>
    <cellStyle name="Percent 3 4 2 4 5 2" xfId="54495"/>
    <cellStyle name="Percent 3 4 2 4 6" xfId="46765"/>
    <cellStyle name="Percent 3 4 2 5" xfId="690"/>
    <cellStyle name="Percent 3 4 2 5 2" xfId="5039"/>
    <cellStyle name="Percent 3 4 2 5 2 2" xfId="49724"/>
    <cellStyle name="Percent 3 4 2 5 3" xfId="11500"/>
    <cellStyle name="Percent 3 4 2 5 3 2" xfId="51754"/>
    <cellStyle name="Percent 3 4 2 5 4" xfId="4193"/>
    <cellStyle name="Percent 3 4 2 5 4 2" xfId="48883"/>
    <cellStyle name="Percent 3 4 2 5 5" xfId="42755"/>
    <cellStyle name="Percent 3 4 2 5 5 2" xfId="57882"/>
    <cellStyle name="Percent 3 4 2 5 6" xfId="45920"/>
    <cellStyle name="Percent 3 4 2 6" xfId="1940"/>
    <cellStyle name="Percent 3 4 2 6 2" xfId="12747"/>
    <cellStyle name="Percent 3 4 2 6 2 2" xfId="53000"/>
    <cellStyle name="Percent 3 4 2 6 3" xfId="6287"/>
    <cellStyle name="Percent 3 4 2 6 3 2" xfId="50970"/>
    <cellStyle name="Percent 3 4 2 6 4" xfId="40520"/>
    <cellStyle name="Percent 3 4 2 6 4 2" xfId="55647"/>
    <cellStyle name="Percent 3 4 2 6 5" xfId="47166"/>
    <cellStyle name="Percent 3 4 2 7" xfId="4617"/>
    <cellStyle name="Percent 3 4 2 7 2" xfId="49304"/>
    <cellStyle name="Percent 3 4 2 8" xfId="11080"/>
    <cellStyle name="Percent 3 4 2 8 2" xfId="51334"/>
    <cellStyle name="Percent 3 4 2 9" xfId="2924"/>
    <cellStyle name="Percent 3 4 2 9 2" xfId="47618"/>
    <cellStyle name="Percent 3 4 3" xfId="359"/>
    <cellStyle name="Percent 3 4 3 10" xfId="45589"/>
    <cellStyle name="Percent 3 4 3 2" xfId="1413"/>
    <cellStyle name="Percent 3 4 3 2 2" xfId="5762"/>
    <cellStyle name="Percent 3 4 3 2 2 2" xfId="44748"/>
    <cellStyle name="Percent 3 4 3 2 2 2 2" xfId="59874"/>
    <cellStyle name="Percent 3 4 3 2 2 3" xfId="42512"/>
    <cellStyle name="Percent 3 4 3 2 2 3 2" xfId="57639"/>
    <cellStyle name="Percent 3 4 3 2 2 4" xfId="40232"/>
    <cellStyle name="Percent 3 4 3 2 2 4 2" xfId="55360"/>
    <cellStyle name="Percent 3 4 3 2 2 5" xfId="50447"/>
    <cellStyle name="Percent 3 4 3 2 3" xfId="12223"/>
    <cellStyle name="Percent 3 4 3 2 3 2" xfId="43182"/>
    <cellStyle name="Percent 3 4 3 2 3 2 2" xfId="58308"/>
    <cellStyle name="Percent 3 4 3 2 3 3" xfId="52477"/>
    <cellStyle name="Percent 3 4 3 2 4" xfId="3696"/>
    <cellStyle name="Percent 3 4 3 2 4 2" xfId="40946"/>
    <cellStyle name="Percent 3 4 3 2 4 2 2" xfId="56073"/>
    <cellStyle name="Percent 3 4 3 2 4 3" xfId="48389"/>
    <cellStyle name="Percent 3 4 3 2 5" xfId="39090"/>
    <cellStyle name="Percent 3 4 3 2 5 2" xfId="54221"/>
    <cellStyle name="Percent 3 4 3 2 6" xfId="46643"/>
    <cellStyle name="Percent 3 4 3 3" xfId="1624"/>
    <cellStyle name="Percent 3 4 3 3 2" xfId="5973"/>
    <cellStyle name="Percent 3 4 3 3 2 2" xfId="44397"/>
    <cellStyle name="Percent 3 4 3 3 2 2 2" xfId="59523"/>
    <cellStyle name="Percent 3 4 3 3 2 3" xfId="42161"/>
    <cellStyle name="Percent 3 4 3 3 2 3 2" xfId="57288"/>
    <cellStyle name="Percent 3 4 3 3 2 4" xfId="39881"/>
    <cellStyle name="Percent 3 4 3 3 2 4 2" xfId="55009"/>
    <cellStyle name="Percent 3 4 3 3 2 5" xfId="50658"/>
    <cellStyle name="Percent 3 4 3 3 3" xfId="12434"/>
    <cellStyle name="Percent 3 4 3 3 3 2" xfId="43533"/>
    <cellStyle name="Percent 3 4 3 3 3 2 2" xfId="58659"/>
    <cellStyle name="Percent 3 4 3 3 3 3" xfId="52688"/>
    <cellStyle name="Percent 3 4 3 3 4" xfId="3923"/>
    <cellStyle name="Percent 3 4 3 3 4 2" xfId="41297"/>
    <cellStyle name="Percent 3 4 3 3 4 2 2" xfId="56424"/>
    <cellStyle name="Percent 3 4 3 3 4 3" xfId="48616"/>
    <cellStyle name="Percent 3 4 3 3 5" xfId="38717"/>
    <cellStyle name="Percent 3 4 3 3 5 2" xfId="53870"/>
    <cellStyle name="Percent 3 4 3 3 6" xfId="46854"/>
    <cellStyle name="Percent 3 4 3 4" xfId="1111"/>
    <cellStyle name="Percent 3 4 3 4 2" xfId="5460"/>
    <cellStyle name="Percent 3 4 3 4 2 2" xfId="43959"/>
    <cellStyle name="Percent 3 4 3 4 2 2 2" xfId="59085"/>
    <cellStyle name="Percent 3 4 3 4 2 3" xfId="50145"/>
    <cellStyle name="Percent 3 4 3 4 3" xfId="11921"/>
    <cellStyle name="Percent 3 4 3 4 3 2" xfId="41723"/>
    <cellStyle name="Percent 3 4 3 4 3 2 2" xfId="56850"/>
    <cellStyle name="Percent 3 4 3 4 3 3" xfId="52175"/>
    <cellStyle name="Percent 3 4 3 4 4" xfId="4282"/>
    <cellStyle name="Percent 3 4 3 4 4 2" xfId="48972"/>
    <cellStyle name="Percent 3 4 3 4 5" xfId="39443"/>
    <cellStyle name="Percent 3 4 3 4 5 2" xfId="54571"/>
    <cellStyle name="Percent 3 4 3 4 6" xfId="46341"/>
    <cellStyle name="Percent 3 4 3 5" xfId="2016"/>
    <cellStyle name="Percent 3 4 3 5 2" xfId="12823"/>
    <cellStyle name="Percent 3 4 3 5 2 2" xfId="53076"/>
    <cellStyle name="Percent 3 4 3 5 3" xfId="6363"/>
    <cellStyle name="Percent 3 4 3 5 3 2" xfId="51046"/>
    <cellStyle name="Percent 3 4 3 5 4" xfId="42831"/>
    <cellStyle name="Percent 3 4 3 5 4 2" xfId="57958"/>
    <cellStyle name="Percent 3 4 3 5 5" xfId="47242"/>
    <cellStyle name="Percent 3 4 3 6" xfId="4708"/>
    <cellStyle name="Percent 3 4 3 6 2" xfId="40596"/>
    <cellStyle name="Percent 3 4 3 6 2 2" xfId="55723"/>
    <cellStyle name="Percent 3 4 3 6 3" xfId="49393"/>
    <cellStyle name="Percent 3 4 3 7" xfId="11169"/>
    <cellStyle name="Percent 3 4 3 7 2" xfId="51423"/>
    <cellStyle name="Percent 3 4 3 8" xfId="3346"/>
    <cellStyle name="Percent 3 4 3 8 2" xfId="48040"/>
    <cellStyle name="Percent 3 4 3 9" xfId="38232"/>
    <cellStyle name="Percent 3 4 3 9 2" xfId="53432"/>
    <cellStyle name="Percent 3 4 4" xfId="480"/>
    <cellStyle name="Percent 3 4 4 2" xfId="1745"/>
    <cellStyle name="Percent 3 4 4 2 2" xfId="6094"/>
    <cellStyle name="Percent 3 4 4 2 2 2" xfId="44824"/>
    <cellStyle name="Percent 3 4 4 2 2 2 2" xfId="59950"/>
    <cellStyle name="Percent 3 4 4 2 2 3" xfId="42588"/>
    <cellStyle name="Percent 3 4 4 2 2 3 2" xfId="57715"/>
    <cellStyle name="Percent 3 4 4 2 2 4" xfId="40308"/>
    <cellStyle name="Percent 3 4 4 2 2 4 2" xfId="55436"/>
    <cellStyle name="Percent 3 4 4 2 2 5" xfId="50779"/>
    <cellStyle name="Percent 3 4 4 2 3" xfId="12555"/>
    <cellStyle name="Percent 3 4 4 2 3 2" xfId="43258"/>
    <cellStyle name="Percent 3 4 4 2 3 2 2" xfId="58384"/>
    <cellStyle name="Percent 3 4 4 2 3 3" xfId="52809"/>
    <cellStyle name="Percent 3 4 4 2 4" xfId="4044"/>
    <cellStyle name="Percent 3 4 4 2 4 2" xfId="41022"/>
    <cellStyle name="Percent 3 4 4 2 4 2 2" xfId="56149"/>
    <cellStyle name="Percent 3 4 4 2 4 3" xfId="48737"/>
    <cellStyle name="Percent 3 4 4 2 5" xfId="39166"/>
    <cellStyle name="Percent 3 4 4 2 5 2" xfId="54297"/>
    <cellStyle name="Percent 3 4 4 2 6" xfId="46975"/>
    <cellStyle name="Percent 3 4 4 3" xfId="1232"/>
    <cellStyle name="Percent 3 4 4 3 2" xfId="5581"/>
    <cellStyle name="Percent 3 4 4 3 2 2" xfId="44473"/>
    <cellStyle name="Percent 3 4 4 3 2 2 2" xfId="59599"/>
    <cellStyle name="Percent 3 4 4 3 2 3" xfId="42237"/>
    <cellStyle name="Percent 3 4 4 3 2 3 2" xfId="57364"/>
    <cellStyle name="Percent 3 4 4 3 2 4" xfId="39957"/>
    <cellStyle name="Percent 3 4 4 3 2 4 2" xfId="55085"/>
    <cellStyle name="Percent 3 4 4 3 2 5" xfId="50266"/>
    <cellStyle name="Percent 3 4 4 3 3" xfId="12042"/>
    <cellStyle name="Percent 3 4 4 3 3 2" xfId="43609"/>
    <cellStyle name="Percent 3 4 4 3 3 2 2" xfId="58735"/>
    <cellStyle name="Percent 3 4 4 3 3 3" xfId="52296"/>
    <cellStyle name="Percent 3 4 4 3 4" xfId="4403"/>
    <cellStyle name="Percent 3 4 4 3 4 2" xfId="41373"/>
    <cellStyle name="Percent 3 4 4 3 4 2 2" xfId="56500"/>
    <cellStyle name="Percent 3 4 4 3 4 3" xfId="49093"/>
    <cellStyle name="Percent 3 4 4 3 5" xfId="38793"/>
    <cellStyle name="Percent 3 4 4 3 5 2" xfId="53946"/>
    <cellStyle name="Percent 3 4 4 3 6" xfId="46462"/>
    <cellStyle name="Percent 3 4 4 4" xfId="2093"/>
    <cellStyle name="Percent 3 4 4 4 2" xfId="12899"/>
    <cellStyle name="Percent 3 4 4 4 2 2" xfId="44035"/>
    <cellStyle name="Percent 3 4 4 4 2 2 2" xfId="59161"/>
    <cellStyle name="Percent 3 4 4 4 2 3" xfId="53152"/>
    <cellStyle name="Percent 3 4 4 4 3" xfId="6439"/>
    <cellStyle name="Percent 3 4 4 4 3 2" xfId="41799"/>
    <cellStyle name="Percent 3 4 4 4 3 2 2" xfId="56926"/>
    <cellStyle name="Percent 3 4 4 4 3 3" xfId="51122"/>
    <cellStyle name="Percent 3 4 4 4 4" xfId="39519"/>
    <cellStyle name="Percent 3 4 4 4 4 2" xfId="54647"/>
    <cellStyle name="Percent 3 4 4 4 5" xfId="47318"/>
    <cellStyle name="Percent 3 4 4 5" xfId="4829"/>
    <cellStyle name="Percent 3 4 4 5 2" xfId="42907"/>
    <cellStyle name="Percent 3 4 4 5 2 2" xfId="58034"/>
    <cellStyle name="Percent 3 4 4 5 3" xfId="49514"/>
    <cellStyle name="Percent 3 4 4 6" xfId="11290"/>
    <cellStyle name="Percent 3 4 4 6 2" xfId="40672"/>
    <cellStyle name="Percent 3 4 4 6 2 2" xfId="55799"/>
    <cellStyle name="Percent 3 4 4 6 3" xfId="51544"/>
    <cellStyle name="Percent 3 4 4 7" xfId="3467"/>
    <cellStyle name="Percent 3 4 4 7 2" xfId="48161"/>
    <cellStyle name="Percent 3 4 4 8" xfId="38308"/>
    <cellStyle name="Percent 3 4 4 8 2" xfId="53508"/>
    <cellStyle name="Percent 3 4 4 9" xfId="45710"/>
    <cellStyle name="Percent 3 4 5" xfId="933"/>
    <cellStyle name="Percent 3 4 5 2" xfId="5282"/>
    <cellStyle name="Percent 3 4 5 2 2" xfId="40080"/>
    <cellStyle name="Percent 3 4 5 2 2 2" xfId="44596"/>
    <cellStyle name="Percent 3 4 5 2 2 2 2" xfId="59722"/>
    <cellStyle name="Percent 3 4 5 2 2 3" xfId="42360"/>
    <cellStyle name="Percent 3 4 5 2 2 3 2" xfId="57487"/>
    <cellStyle name="Percent 3 4 5 2 2 4" xfId="55208"/>
    <cellStyle name="Percent 3 4 5 2 3" xfId="43697"/>
    <cellStyle name="Percent 3 4 5 2 3 2" xfId="58823"/>
    <cellStyle name="Percent 3 4 5 2 4" xfId="41461"/>
    <cellStyle name="Percent 3 4 5 2 4 2" xfId="56588"/>
    <cellStyle name="Percent 3 4 5 2 5" xfId="38937"/>
    <cellStyle name="Percent 3 4 5 2 5 2" xfId="54069"/>
    <cellStyle name="Percent 3 4 5 2 6" xfId="49967"/>
    <cellStyle name="Percent 3 4 5 3" xfId="11743"/>
    <cellStyle name="Percent 3 4 5 3 2" xfId="44119"/>
    <cellStyle name="Percent 3 4 5 3 2 2" xfId="59245"/>
    <cellStyle name="Percent 3 4 5 3 3" xfId="41883"/>
    <cellStyle name="Percent 3 4 5 3 3 2" xfId="57010"/>
    <cellStyle name="Percent 3 4 5 3 4" xfId="39603"/>
    <cellStyle name="Percent 3 4 5 3 4 2" xfId="54731"/>
    <cellStyle name="Percent 3 4 5 3 5" xfId="51997"/>
    <cellStyle name="Percent 3 4 5 4" xfId="3168"/>
    <cellStyle name="Percent 3 4 5 4 2" xfId="43030"/>
    <cellStyle name="Percent 3 4 5 4 2 2" xfId="58156"/>
    <cellStyle name="Percent 3 4 5 4 3" xfId="47862"/>
    <cellStyle name="Percent 3 4 5 5" xfId="40794"/>
    <cellStyle name="Percent 3 4 5 5 2" xfId="55921"/>
    <cellStyle name="Percent 3 4 5 6" xfId="38433"/>
    <cellStyle name="Percent 3 4 5 6 2" xfId="53592"/>
    <cellStyle name="Percent 3 4 5 7" xfId="46163"/>
    <cellStyle name="Percent 3 4 6" xfId="811"/>
    <cellStyle name="Percent 3 4 6 2" xfId="5160"/>
    <cellStyle name="Percent 3 4 6 2 2" xfId="44245"/>
    <cellStyle name="Percent 3 4 6 2 2 2" xfId="59371"/>
    <cellStyle name="Percent 3 4 6 2 3" xfId="42009"/>
    <cellStyle name="Percent 3 4 6 2 3 2" xfId="57136"/>
    <cellStyle name="Percent 3 4 6 2 4" xfId="39729"/>
    <cellStyle name="Percent 3 4 6 2 4 2" xfId="54857"/>
    <cellStyle name="Percent 3 4 6 2 5" xfId="49845"/>
    <cellStyle name="Percent 3 4 6 3" xfId="11621"/>
    <cellStyle name="Percent 3 4 6 3 2" xfId="43381"/>
    <cellStyle name="Percent 3 4 6 3 2 2" xfId="58507"/>
    <cellStyle name="Percent 3 4 6 3 3" xfId="51875"/>
    <cellStyle name="Percent 3 4 6 4" xfId="3046"/>
    <cellStyle name="Percent 3 4 6 4 2" xfId="41145"/>
    <cellStyle name="Percent 3 4 6 4 2 2" xfId="56272"/>
    <cellStyle name="Percent 3 4 6 4 3" xfId="47740"/>
    <cellStyle name="Percent 3 4 6 5" xfId="38564"/>
    <cellStyle name="Percent 3 4 6 5 2" xfId="53718"/>
    <cellStyle name="Percent 3 4 6 6" xfId="46041"/>
    <cellStyle name="Percent 3 4 7" xfId="601"/>
    <cellStyle name="Percent 3 4 7 2" xfId="4950"/>
    <cellStyle name="Percent 3 4 7 2 2" xfId="43807"/>
    <cellStyle name="Percent 3 4 7 2 2 2" xfId="58933"/>
    <cellStyle name="Percent 3 4 7 2 3" xfId="49635"/>
    <cellStyle name="Percent 3 4 7 3" xfId="11411"/>
    <cellStyle name="Percent 3 4 7 3 2" xfId="41571"/>
    <cellStyle name="Percent 3 4 7 3 2 2" xfId="56698"/>
    <cellStyle name="Percent 3 4 7 3 3" xfId="51665"/>
    <cellStyle name="Percent 3 4 7 4" xfId="4104"/>
    <cellStyle name="Percent 3 4 7 4 2" xfId="48794"/>
    <cellStyle name="Percent 3 4 7 5" xfId="39291"/>
    <cellStyle name="Percent 3 4 7 5 2" xfId="54419"/>
    <cellStyle name="Percent 3 4 7 6" xfId="45831"/>
    <cellStyle name="Percent 3 4 8" xfId="1862"/>
    <cellStyle name="Percent 3 4 8 2" xfId="12670"/>
    <cellStyle name="Percent 3 4 8 2 2" xfId="52924"/>
    <cellStyle name="Percent 3 4 8 3" xfId="6209"/>
    <cellStyle name="Percent 3 4 8 3 2" xfId="50894"/>
    <cellStyle name="Percent 3 4 8 4" xfId="42679"/>
    <cellStyle name="Percent 3 4 8 4 2" xfId="57806"/>
    <cellStyle name="Percent 3 4 8 5" xfId="47090"/>
    <cellStyle name="Percent 3 4 9" xfId="2676"/>
    <cellStyle name="Percent 3 4 9 2" xfId="4525"/>
    <cellStyle name="Percent 3 4 9 2 2" xfId="49215"/>
    <cellStyle name="Percent 3 4 9 3" xfId="40444"/>
    <cellStyle name="Percent 3 4 9 3 2" xfId="55571"/>
    <cellStyle name="Percent 3 4 9 4" xfId="47408"/>
    <cellStyle name="Percent 3 5" xfId="165"/>
    <cellStyle name="Percent 3 5 10" xfId="38073"/>
    <cellStyle name="Percent 3 5 10 2" xfId="53273"/>
    <cellStyle name="Percent 3 5 11" xfId="45404"/>
    <cellStyle name="Percent 3 5 2" xfId="473"/>
    <cellStyle name="Percent 3 5 2 2" xfId="1448"/>
    <cellStyle name="Percent 3 5 2 2 2" xfId="5797"/>
    <cellStyle name="Percent 3 5 2 2 2 2" xfId="44589"/>
    <cellStyle name="Percent 3 5 2 2 2 2 2" xfId="59715"/>
    <cellStyle name="Percent 3 5 2 2 2 3" xfId="50482"/>
    <cellStyle name="Percent 3 5 2 2 3" xfId="12258"/>
    <cellStyle name="Percent 3 5 2 2 3 2" xfId="42353"/>
    <cellStyle name="Percent 3 5 2 2 3 2 2" xfId="57480"/>
    <cellStyle name="Percent 3 5 2 2 3 3" xfId="52512"/>
    <cellStyle name="Percent 3 5 2 2 4" xfId="3731"/>
    <cellStyle name="Percent 3 5 2 2 4 2" xfId="48424"/>
    <cellStyle name="Percent 3 5 2 2 5" xfId="40073"/>
    <cellStyle name="Percent 3 5 2 2 5 2" xfId="55201"/>
    <cellStyle name="Percent 3 5 2 2 6" xfId="46678"/>
    <cellStyle name="Percent 3 5 2 3" xfId="1738"/>
    <cellStyle name="Percent 3 5 2 3 2" xfId="6087"/>
    <cellStyle name="Percent 3 5 2 3 2 2" xfId="50772"/>
    <cellStyle name="Percent 3 5 2 3 3" xfId="12548"/>
    <cellStyle name="Percent 3 5 2 3 3 2" xfId="52802"/>
    <cellStyle name="Percent 3 5 2 3 4" xfId="4037"/>
    <cellStyle name="Percent 3 5 2 3 4 2" xfId="48730"/>
    <cellStyle name="Percent 3 5 2 3 5" xfId="43023"/>
    <cellStyle name="Percent 3 5 2 3 5 2" xfId="58149"/>
    <cellStyle name="Percent 3 5 2 3 6" xfId="46968"/>
    <cellStyle name="Percent 3 5 2 4" xfId="1225"/>
    <cellStyle name="Percent 3 5 2 4 2" xfId="5574"/>
    <cellStyle name="Percent 3 5 2 4 2 2" xfId="50259"/>
    <cellStyle name="Percent 3 5 2 4 3" xfId="12035"/>
    <cellStyle name="Percent 3 5 2 4 3 2" xfId="52289"/>
    <cellStyle name="Percent 3 5 2 4 4" xfId="4396"/>
    <cellStyle name="Percent 3 5 2 4 4 2" xfId="49086"/>
    <cellStyle name="Percent 3 5 2 4 5" xfId="40787"/>
    <cellStyle name="Percent 3 5 2 4 5 2" xfId="55914"/>
    <cellStyle name="Percent 3 5 2 4 6" xfId="46455"/>
    <cellStyle name="Percent 3 5 2 5" xfId="4822"/>
    <cellStyle name="Percent 3 5 2 5 2" xfId="49507"/>
    <cellStyle name="Percent 3 5 2 6" xfId="11283"/>
    <cellStyle name="Percent 3 5 2 6 2" xfId="51537"/>
    <cellStyle name="Percent 3 5 2 7" xfId="3460"/>
    <cellStyle name="Percent 3 5 2 7 2" xfId="48154"/>
    <cellStyle name="Percent 3 5 2 8" xfId="38930"/>
    <cellStyle name="Percent 3 5 2 8 2" xfId="54062"/>
    <cellStyle name="Percent 3 5 2 9" xfId="45703"/>
    <cellStyle name="Percent 3 5 3" xfId="926"/>
    <cellStyle name="Percent 3 5 3 2" xfId="5275"/>
    <cellStyle name="Percent 3 5 3 2 2" xfId="44238"/>
    <cellStyle name="Percent 3 5 3 2 2 2" xfId="59364"/>
    <cellStyle name="Percent 3 5 3 2 3" xfId="42002"/>
    <cellStyle name="Percent 3 5 3 2 3 2" xfId="57129"/>
    <cellStyle name="Percent 3 5 3 2 4" xfId="39722"/>
    <cellStyle name="Percent 3 5 3 2 4 2" xfId="54850"/>
    <cellStyle name="Percent 3 5 3 2 5" xfId="49960"/>
    <cellStyle name="Percent 3 5 3 3" xfId="11736"/>
    <cellStyle name="Percent 3 5 3 3 2" xfId="43374"/>
    <cellStyle name="Percent 3 5 3 3 2 2" xfId="58500"/>
    <cellStyle name="Percent 3 5 3 3 3" xfId="51990"/>
    <cellStyle name="Percent 3 5 3 4" xfId="3161"/>
    <cellStyle name="Percent 3 5 3 4 2" xfId="41138"/>
    <cellStyle name="Percent 3 5 3 4 2 2" xfId="56265"/>
    <cellStyle name="Percent 3 5 3 4 3" xfId="47855"/>
    <cellStyle name="Percent 3 5 3 5" xfId="38557"/>
    <cellStyle name="Percent 3 5 3 5 2" xfId="53711"/>
    <cellStyle name="Percent 3 5 3 6" xfId="46156"/>
    <cellStyle name="Percent 3 5 4" xfId="804"/>
    <cellStyle name="Percent 3 5 4 2" xfId="5153"/>
    <cellStyle name="Percent 3 5 4 2 2" xfId="43800"/>
    <cellStyle name="Percent 3 5 4 2 2 2" xfId="58926"/>
    <cellStyle name="Percent 3 5 4 2 3" xfId="49838"/>
    <cellStyle name="Percent 3 5 4 3" xfId="11614"/>
    <cellStyle name="Percent 3 5 4 3 2" xfId="41564"/>
    <cellStyle name="Percent 3 5 4 3 2 2" xfId="56691"/>
    <cellStyle name="Percent 3 5 4 3 3" xfId="51868"/>
    <cellStyle name="Percent 3 5 4 4" xfId="3039"/>
    <cellStyle name="Percent 3 5 4 4 2" xfId="47733"/>
    <cellStyle name="Percent 3 5 4 5" xfId="39284"/>
    <cellStyle name="Percent 3 5 4 5 2" xfId="54412"/>
    <cellStyle name="Percent 3 5 4 6" xfId="46034"/>
    <cellStyle name="Percent 3 5 5" xfId="594"/>
    <cellStyle name="Percent 3 5 5 2" xfId="4943"/>
    <cellStyle name="Percent 3 5 5 2 2" xfId="49628"/>
    <cellStyle name="Percent 3 5 5 3" xfId="11404"/>
    <cellStyle name="Percent 3 5 5 3 2" xfId="51658"/>
    <cellStyle name="Percent 3 5 5 4" xfId="3744"/>
    <cellStyle name="Percent 3 5 5 4 2" xfId="48437"/>
    <cellStyle name="Percent 3 5 5 5" xfId="42672"/>
    <cellStyle name="Percent 3 5 5 5 2" xfId="57799"/>
    <cellStyle name="Percent 3 5 5 6" xfId="45824"/>
    <cellStyle name="Percent 3 5 6" xfId="1855"/>
    <cellStyle name="Percent 3 5 6 2" xfId="12663"/>
    <cellStyle name="Percent 3 5 6 2 2" xfId="52917"/>
    <cellStyle name="Percent 3 5 6 3" xfId="6202"/>
    <cellStyle name="Percent 3 5 6 3 2" xfId="50887"/>
    <cellStyle name="Percent 3 5 6 4" xfId="40437"/>
    <cellStyle name="Percent 3 5 6 4 2" xfId="55564"/>
    <cellStyle name="Percent 3 5 6 5" xfId="47083"/>
    <cellStyle name="Percent 3 5 7" xfId="4518"/>
    <cellStyle name="Percent 3 5 7 2" xfId="49208"/>
    <cellStyle name="Percent 3 5 8" xfId="10984"/>
    <cellStyle name="Percent 3 5 8 2" xfId="51238"/>
    <cellStyle name="Percent 3 5 9" xfId="2824"/>
    <cellStyle name="Percent 3 5 9 2" xfId="47522"/>
    <cellStyle name="Percent 3 6" xfId="261"/>
    <cellStyle name="Percent 3 6 10" xfId="38149"/>
    <cellStyle name="Percent 3 6 10 2" xfId="53349"/>
    <cellStyle name="Percent 3 6 11" xfId="45493"/>
    <cellStyle name="Percent 3 6 2" xfId="1015"/>
    <cellStyle name="Percent 3 6 2 2" xfId="5364"/>
    <cellStyle name="Percent 3 6 2 2 2" xfId="44665"/>
    <cellStyle name="Percent 3 6 2 2 2 2" xfId="59791"/>
    <cellStyle name="Percent 3 6 2 2 3" xfId="42429"/>
    <cellStyle name="Percent 3 6 2 2 3 2" xfId="57556"/>
    <cellStyle name="Percent 3 6 2 2 4" xfId="40149"/>
    <cellStyle name="Percent 3 6 2 2 4 2" xfId="55277"/>
    <cellStyle name="Percent 3 6 2 2 5" xfId="50049"/>
    <cellStyle name="Percent 3 6 2 3" xfId="11825"/>
    <cellStyle name="Percent 3 6 2 3 2" xfId="43099"/>
    <cellStyle name="Percent 3 6 2 3 2 2" xfId="58225"/>
    <cellStyle name="Percent 3 6 2 3 3" xfId="52079"/>
    <cellStyle name="Percent 3 6 2 4" xfId="3250"/>
    <cellStyle name="Percent 3 6 2 4 2" xfId="40863"/>
    <cellStyle name="Percent 3 6 2 4 2 2" xfId="55990"/>
    <cellStyle name="Percent 3 6 2 4 3" xfId="47944"/>
    <cellStyle name="Percent 3 6 2 5" xfId="39007"/>
    <cellStyle name="Percent 3 6 2 5 2" xfId="54138"/>
    <cellStyle name="Percent 3 6 2 6" xfId="46245"/>
    <cellStyle name="Percent 3 6 3" xfId="1317"/>
    <cellStyle name="Percent 3 6 3 2" xfId="5666"/>
    <cellStyle name="Percent 3 6 3 2 2" xfId="44314"/>
    <cellStyle name="Percent 3 6 3 2 2 2" xfId="59440"/>
    <cellStyle name="Percent 3 6 3 2 3" xfId="42078"/>
    <cellStyle name="Percent 3 6 3 2 3 2" xfId="57205"/>
    <cellStyle name="Percent 3 6 3 2 4" xfId="39798"/>
    <cellStyle name="Percent 3 6 3 2 4 2" xfId="54926"/>
    <cellStyle name="Percent 3 6 3 2 5" xfId="50351"/>
    <cellStyle name="Percent 3 6 3 3" xfId="12127"/>
    <cellStyle name="Percent 3 6 3 3 2" xfId="43450"/>
    <cellStyle name="Percent 3 6 3 3 2 2" xfId="58576"/>
    <cellStyle name="Percent 3 6 3 3 3" xfId="52381"/>
    <cellStyle name="Percent 3 6 3 4" xfId="3600"/>
    <cellStyle name="Percent 3 6 3 4 2" xfId="41214"/>
    <cellStyle name="Percent 3 6 3 4 2 2" xfId="56341"/>
    <cellStyle name="Percent 3 6 3 4 3" xfId="48293"/>
    <cellStyle name="Percent 3 6 3 5" xfId="38634"/>
    <cellStyle name="Percent 3 6 3 5 2" xfId="53787"/>
    <cellStyle name="Percent 3 6 3 6" xfId="46547"/>
    <cellStyle name="Percent 3 6 4" xfId="1528"/>
    <cellStyle name="Percent 3 6 4 2" xfId="5877"/>
    <cellStyle name="Percent 3 6 4 2 2" xfId="43876"/>
    <cellStyle name="Percent 3 6 4 2 2 2" xfId="59002"/>
    <cellStyle name="Percent 3 6 4 2 3" xfId="50562"/>
    <cellStyle name="Percent 3 6 4 3" xfId="12338"/>
    <cellStyle name="Percent 3 6 4 3 2" xfId="41640"/>
    <cellStyle name="Percent 3 6 4 3 2 2" xfId="56767"/>
    <cellStyle name="Percent 3 6 4 3 3" xfId="52592"/>
    <cellStyle name="Percent 3 6 4 4" xfId="3827"/>
    <cellStyle name="Percent 3 6 4 4 2" xfId="48520"/>
    <cellStyle name="Percent 3 6 4 5" xfId="39360"/>
    <cellStyle name="Percent 3 6 4 5 2" xfId="54488"/>
    <cellStyle name="Percent 3 6 4 6" xfId="46758"/>
    <cellStyle name="Percent 3 6 5" xfId="683"/>
    <cellStyle name="Percent 3 6 5 2" xfId="5032"/>
    <cellStyle name="Percent 3 6 5 2 2" xfId="49717"/>
    <cellStyle name="Percent 3 6 5 3" xfId="11493"/>
    <cellStyle name="Percent 3 6 5 3 2" xfId="51747"/>
    <cellStyle name="Percent 3 6 5 4" xfId="4186"/>
    <cellStyle name="Percent 3 6 5 4 2" xfId="48876"/>
    <cellStyle name="Percent 3 6 5 5" xfId="42748"/>
    <cellStyle name="Percent 3 6 5 5 2" xfId="57875"/>
    <cellStyle name="Percent 3 6 5 6" xfId="45913"/>
    <cellStyle name="Percent 3 6 6" xfId="1933"/>
    <cellStyle name="Percent 3 6 6 2" xfId="12740"/>
    <cellStyle name="Percent 3 6 6 2 2" xfId="52993"/>
    <cellStyle name="Percent 3 6 6 3" xfId="6280"/>
    <cellStyle name="Percent 3 6 6 3 2" xfId="50963"/>
    <cellStyle name="Percent 3 6 6 4" xfId="40513"/>
    <cellStyle name="Percent 3 6 6 4 2" xfId="55640"/>
    <cellStyle name="Percent 3 6 6 5" xfId="47159"/>
    <cellStyle name="Percent 3 6 7" xfId="4610"/>
    <cellStyle name="Percent 3 6 7 2" xfId="49297"/>
    <cellStyle name="Percent 3 6 8" xfId="11073"/>
    <cellStyle name="Percent 3 6 8 2" xfId="51327"/>
    <cellStyle name="Percent 3 6 9" xfId="2917"/>
    <cellStyle name="Percent 3 6 9 2" xfId="47611"/>
    <cellStyle name="Percent 3 7" xfId="352"/>
    <cellStyle name="Percent 3 7 10" xfId="45582"/>
    <cellStyle name="Percent 3 7 2" xfId="1406"/>
    <cellStyle name="Percent 3 7 2 2" xfId="5755"/>
    <cellStyle name="Percent 3 7 2 2 2" xfId="44741"/>
    <cellStyle name="Percent 3 7 2 2 2 2" xfId="59867"/>
    <cellStyle name="Percent 3 7 2 2 3" xfId="42505"/>
    <cellStyle name="Percent 3 7 2 2 3 2" xfId="57632"/>
    <cellStyle name="Percent 3 7 2 2 4" xfId="40225"/>
    <cellStyle name="Percent 3 7 2 2 4 2" xfId="55353"/>
    <cellStyle name="Percent 3 7 2 2 5" xfId="50440"/>
    <cellStyle name="Percent 3 7 2 3" xfId="12216"/>
    <cellStyle name="Percent 3 7 2 3 2" xfId="43175"/>
    <cellStyle name="Percent 3 7 2 3 2 2" xfId="58301"/>
    <cellStyle name="Percent 3 7 2 3 3" xfId="52470"/>
    <cellStyle name="Percent 3 7 2 4" xfId="3689"/>
    <cellStyle name="Percent 3 7 2 4 2" xfId="40939"/>
    <cellStyle name="Percent 3 7 2 4 2 2" xfId="56066"/>
    <cellStyle name="Percent 3 7 2 4 3" xfId="48382"/>
    <cellStyle name="Percent 3 7 2 5" xfId="39083"/>
    <cellStyle name="Percent 3 7 2 5 2" xfId="54214"/>
    <cellStyle name="Percent 3 7 2 6" xfId="46636"/>
    <cellStyle name="Percent 3 7 3" xfId="1617"/>
    <cellStyle name="Percent 3 7 3 2" xfId="5966"/>
    <cellStyle name="Percent 3 7 3 2 2" xfId="44390"/>
    <cellStyle name="Percent 3 7 3 2 2 2" xfId="59516"/>
    <cellStyle name="Percent 3 7 3 2 3" xfId="42154"/>
    <cellStyle name="Percent 3 7 3 2 3 2" xfId="57281"/>
    <cellStyle name="Percent 3 7 3 2 4" xfId="39874"/>
    <cellStyle name="Percent 3 7 3 2 4 2" xfId="55002"/>
    <cellStyle name="Percent 3 7 3 2 5" xfId="50651"/>
    <cellStyle name="Percent 3 7 3 3" xfId="12427"/>
    <cellStyle name="Percent 3 7 3 3 2" xfId="43526"/>
    <cellStyle name="Percent 3 7 3 3 2 2" xfId="58652"/>
    <cellStyle name="Percent 3 7 3 3 3" xfId="52681"/>
    <cellStyle name="Percent 3 7 3 4" xfId="3916"/>
    <cellStyle name="Percent 3 7 3 4 2" xfId="41290"/>
    <cellStyle name="Percent 3 7 3 4 2 2" xfId="56417"/>
    <cellStyle name="Percent 3 7 3 4 3" xfId="48609"/>
    <cellStyle name="Percent 3 7 3 5" xfId="38710"/>
    <cellStyle name="Percent 3 7 3 5 2" xfId="53863"/>
    <cellStyle name="Percent 3 7 3 6" xfId="46847"/>
    <cellStyle name="Percent 3 7 4" xfId="1104"/>
    <cellStyle name="Percent 3 7 4 2" xfId="5453"/>
    <cellStyle name="Percent 3 7 4 2 2" xfId="43952"/>
    <cellStyle name="Percent 3 7 4 2 2 2" xfId="59078"/>
    <cellStyle name="Percent 3 7 4 2 3" xfId="50138"/>
    <cellStyle name="Percent 3 7 4 3" xfId="11914"/>
    <cellStyle name="Percent 3 7 4 3 2" xfId="41716"/>
    <cellStyle name="Percent 3 7 4 3 2 2" xfId="56843"/>
    <cellStyle name="Percent 3 7 4 3 3" xfId="52168"/>
    <cellStyle name="Percent 3 7 4 4" xfId="4275"/>
    <cellStyle name="Percent 3 7 4 4 2" xfId="48965"/>
    <cellStyle name="Percent 3 7 4 5" xfId="39436"/>
    <cellStyle name="Percent 3 7 4 5 2" xfId="54564"/>
    <cellStyle name="Percent 3 7 4 6" xfId="46334"/>
    <cellStyle name="Percent 3 7 5" xfId="2009"/>
    <cellStyle name="Percent 3 7 5 2" xfId="12816"/>
    <cellStyle name="Percent 3 7 5 2 2" xfId="53069"/>
    <cellStyle name="Percent 3 7 5 3" xfId="6356"/>
    <cellStyle name="Percent 3 7 5 3 2" xfId="51039"/>
    <cellStyle name="Percent 3 7 5 4" xfId="42824"/>
    <cellStyle name="Percent 3 7 5 4 2" xfId="57951"/>
    <cellStyle name="Percent 3 7 5 5" xfId="47235"/>
    <cellStyle name="Percent 3 7 6" xfId="4701"/>
    <cellStyle name="Percent 3 7 6 2" xfId="40589"/>
    <cellStyle name="Percent 3 7 6 2 2" xfId="55716"/>
    <cellStyle name="Percent 3 7 6 3" xfId="49386"/>
    <cellStyle name="Percent 3 7 7" xfId="11162"/>
    <cellStyle name="Percent 3 7 7 2" xfId="51416"/>
    <cellStyle name="Percent 3 7 8" xfId="3339"/>
    <cellStyle name="Percent 3 7 8 2" xfId="48033"/>
    <cellStyle name="Percent 3 7 9" xfId="38225"/>
    <cellStyle name="Percent 3 7 9 2" xfId="53425"/>
    <cellStyle name="Percent 3 8" xfId="370"/>
    <cellStyle name="Percent 3 8 2" xfId="1635"/>
    <cellStyle name="Percent 3 8 2 2" xfId="5984"/>
    <cellStyle name="Percent 3 8 2 2 2" xfId="44817"/>
    <cellStyle name="Percent 3 8 2 2 2 2" xfId="59943"/>
    <cellStyle name="Percent 3 8 2 2 3" xfId="42581"/>
    <cellStyle name="Percent 3 8 2 2 3 2" xfId="57708"/>
    <cellStyle name="Percent 3 8 2 2 4" xfId="40301"/>
    <cellStyle name="Percent 3 8 2 2 4 2" xfId="55429"/>
    <cellStyle name="Percent 3 8 2 2 5" xfId="50669"/>
    <cellStyle name="Percent 3 8 2 3" xfId="12445"/>
    <cellStyle name="Percent 3 8 2 3 2" xfId="43251"/>
    <cellStyle name="Percent 3 8 2 3 2 2" xfId="58377"/>
    <cellStyle name="Percent 3 8 2 3 3" xfId="52699"/>
    <cellStyle name="Percent 3 8 2 4" xfId="3934"/>
    <cellStyle name="Percent 3 8 2 4 2" xfId="41015"/>
    <cellStyle name="Percent 3 8 2 4 2 2" xfId="56142"/>
    <cellStyle name="Percent 3 8 2 4 3" xfId="48627"/>
    <cellStyle name="Percent 3 8 2 5" xfId="39159"/>
    <cellStyle name="Percent 3 8 2 5 2" xfId="54290"/>
    <cellStyle name="Percent 3 8 2 6" xfId="46865"/>
    <cellStyle name="Percent 3 8 3" xfId="1122"/>
    <cellStyle name="Percent 3 8 3 2" xfId="5471"/>
    <cellStyle name="Percent 3 8 3 2 2" xfId="44466"/>
    <cellStyle name="Percent 3 8 3 2 2 2" xfId="59592"/>
    <cellStyle name="Percent 3 8 3 2 3" xfId="42230"/>
    <cellStyle name="Percent 3 8 3 2 3 2" xfId="57357"/>
    <cellStyle name="Percent 3 8 3 2 4" xfId="39950"/>
    <cellStyle name="Percent 3 8 3 2 4 2" xfId="55078"/>
    <cellStyle name="Percent 3 8 3 2 5" xfId="50156"/>
    <cellStyle name="Percent 3 8 3 3" xfId="11932"/>
    <cellStyle name="Percent 3 8 3 3 2" xfId="43602"/>
    <cellStyle name="Percent 3 8 3 3 2 2" xfId="58728"/>
    <cellStyle name="Percent 3 8 3 3 3" xfId="52186"/>
    <cellStyle name="Percent 3 8 3 4" xfId="4293"/>
    <cellStyle name="Percent 3 8 3 4 2" xfId="41366"/>
    <cellStyle name="Percent 3 8 3 4 2 2" xfId="56493"/>
    <cellStyle name="Percent 3 8 3 4 3" xfId="48983"/>
    <cellStyle name="Percent 3 8 3 5" xfId="38786"/>
    <cellStyle name="Percent 3 8 3 5 2" xfId="53939"/>
    <cellStyle name="Percent 3 8 3 6" xfId="46352"/>
    <cellStyle name="Percent 3 8 4" xfId="2086"/>
    <cellStyle name="Percent 3 8 4 2" xfId="12892"/>
    <cellStyle name="Percent 3 8 4 2 2" xfId="44028"/>
    <cellStyle name="Percent 3 8 4 2 2 2" xfId="59154"/>
    <cellStyle name="Percent 3 8 4 2 3" xfId="53145"/>
    <cellStyle name="Percent 3 8 4 3" xfId="6432"/>
    <cellStyle name="Percent 3 8 4 3 2" xfId="41792"/>
    <cellStyle name="Percent 3 8 4 3 2 2" xfId="56919"/>
    <cellStyle name="Percent 3 8 4 3 3" xfId="51115"/>
    <cellStyle name="Percent 3 8 4 4" xfId="39512"/>
    <cellStyle name="Percent 3 8 4 4 2" xfId="54640"/>
    <cellStyle name="Percent 3 8 4 5" xfId="47311"/>
    <cellStyle name="Percent 3 8 5" xfId="4719"/>
    <cellStyle name="Percent 3 8 5 2" xfId="42900"/>
    <cellStyle name="Percent 3 8 5 2 2" xfId="58027"/>
    <cellStyle name="Percent 3 8 5 3" xfId="49404"/>
    <cellStyle name="Percent 3 8 6" xfId="11180"/>
    <cellStyle name="Percent 3 8 6 2" xfId="40665"/>
    <cellStyle name="Percent 3 8 6 2 2" xfId="55792"/>
    <cellStyle name="Percent 3 8 6 3" xfId="51434"/>
    <cellStyle name="Percent 3 8 7" xfId="3357"/>
    <cellStyle name="Percent 3 8 7 2" xfId="48051"/>
    <cellStyle name="Percent 3 8 8" xfId="38301"/>
    <cellStyle name="Percent 3 8 8 2" xfId="53501"/>
    <cellStyle name="Percent 3 8 9" xfId="45600"/>
    <cellStyle name="Percent 3 9" xfId="822"/>
    <cellStyle name="Percent 3 9 2" xfId="5171"/>
    <cellStyle name="Percent 3 9 2 2" xfId="40319"/>
    <cellStyle name="Percent 3 9 2 2 2" xfId="44835"/>
    <cellStyle name="Percent 3 9 2 2 2 2" xfId="59961"/>
    <cellStyle name="Percent 3 9 2 2 3" xfId="42599"/>
    <cellStyle name="Percent 3 9 2 2 3 2" xfId="57726"/>
    <cellStyle name="Percent 3 9 2 2 4" xfId="55447"/>
    <cellStyle name="Percent 3 9 2 3" xfId="43269"/>
    <cellStyle name="Percent 3 9 2 3 2" xfId="58395"/>
    <cellStyle name="Percent 3 9 2 4" xfId="41033"/>
    <cellStyle name="Percent 3 9 2 4 2" xfId="56160"/>
    <cellStyle name="Percent 3 9 2 5" xfId="39178"/>
    <cellStyle name="Percent 3 9 2 5 2" xfId="54308"/>
    <cellStyle name="Percent 3 9 2 6" xfId="49856"/>
    <cellStyle name="Percent 3 9 3" xfId="11632"/>
    <cellStyle name="Percent 3 9 3 2" xfId="39968"/>
    <cellStyle name="Percent 3 9 3 2 2" xfId="44484"/>
    <cellStyle name="Percent 3 9 3 2 2 2" xfId="59610"/>
    <cellStyle name="Percent 3 9 3 2 3" xfId="42248"/>
    <cellStyle name="Percent 3 9 3 2 3 2" xfId="57375"/>
    <cellStyle name="Percent 3 9 3 2 4" xfId="55096"/>
    <cellStyle name="Percent 3 9 3 3" xfId="43620"/>
    <cellStyle name="Percent 3 9 3 3 2" xfId="58746"/>
    <cellStyle name="Percent 3 9 3 4" xfId="41384"/>
    <cellStyle name="Percent 3 9 3 4 2" xfId="56511"/>
    <cellStyle name="Percent 3 9 3 5" xfId="38804"/>
    <cellStyle name="Percent 3 9 3 5 2" xfId="53957"/>
    <cellStyle name="Percent 3 9 3 6" xfId="51886"/>
    <cellStyle name="Percent 3 9 4" xfId="3057"/>
    <cellStyle name="Percent 3 9 4 2" xfId="44046"/>
    <cellStyle name="Percent 3 9 4 2 2" xfId="59172"/>
    <cellStyle name="Percent 3 9 4 3" xfId="41810"/>
    <cellStyle name="Percent 3 9 4 3 2" xfId="56937"/>
    <cellStyle name="Percent 3 9 4 4" xfId="39530"/>
    <cellStyle name="Percent 3 9 4 4 2" xfId="54658"/>
    <cellStyle name="Percent 3 9 4 5" xfId="47751"/>
    <cellStyle name="Percent 3 9 5" xfId="42918"/>
    <cellStyle name="Percent 3 9 5 2" xfId="58045"/>
    <cellStyle name="Percent 3 9 6" xfId="40683"/>
    <cellStyle name="Percent 3 9 6 2" xfId="55810"/>
    <cellStyle name="Percent 3 9 7" xfId="38360"/>
    <cellStyle name="Percent 3 9 7 2" xfId="53519"/>
    <cellStyle name="Percent 3 9 8" xfId="46052"/>
    <cellStyle name="Percent 4" xfId="173"/>
    <cellStyle name="Percent 4 10" xfId="1770"/>
    <cellStyle name="Percent 4 10 2" xfId="12580"/>
    <cellStyle name="Percent 4 10 2 2" xfId="43717"/>
    <cellStyle name="Percent 4 10 2 2 2" xfId="58843"/>
    <cellStyle name="Percent 4 10 2 3" xfId="52834"/>
    <cellStyle name="Percent 4 10 3" xfId="6119"/>
    <cellStyle name="Percent 4 10 3 2" xfId="41481"/>
    <cellStyle name="Percent 4 10 3 2 2" xfId="56608"/>
    <cellStyle name="Percent 4 10 3 3" xfId="50804"/>
    <cellStyle name="Percent 4 10 4" xfId="39201"/>
    <cellStyle name="Percent 4 10 4 2" xfId="54329"/>
    <cellStyle name="Percent 4 10 5" xfId="47000"/>
    <cellStyle name="Percent 4 11" xfId="2677"/>
    <cellStyle name="Percent 4 11 2" xfId="4526"/>
    <cellStyle name="Percent 4 11 2 2" xfId="49216"/>
    <cellStyle name="Percent 4 11 3" xfId="42605"/>
    <cellStyle name="Percent 4 11 3 2" xfId="57732"/>
    <cellStyle name="Percent 4 11 4" xfId="47409"/>
    <cellStyle name="Percent 4 12" xfId="10992"/>
    <cellStyle name="Percent 4 12 2" xfId="40370"/>
    <cellStyle name="Percent 4 12 2 2" xfId="55497"/>
    <cellStyle name="Percent 4 12 3" xfId="51246"/>
    <cellStyle name="Percent 4 13" xfId="2832"/>
    <cellStyle name="Percent 4 13 2" xfId="47530"/>
    <cellStyle name="Percent 4 14" xfId="37989"/>
    <cellStyle name="Percent 4 14 2" xfId="53190"/>
    <cellStyle name="Percent 4 15" xfId="45412"/>
    <cellStyle name="Percent 4 16" xfId="60016"/>
    <cellStyle name="Percent 4 2" xfId="174"/>
    <cellStyle name="Percent 4 2 10" xfId="2678"/>
    <cellStyle name="Percent 4 2 10 2" xfId="4527"/>
    <cellStyle name="Percent 4 2 10 2 2" xfId="49217"/>
    <cellStyle name="Percent 4 2 10 3" xfId="42607"/>
    <cellStyle name="Percent 4 2 10 3 2" xfId="57734"/>
    <cellStyle name="Percent 4 2 10 4" xfId="47410"/>
    <cellStyle name="Percent 4 2 11" xfId="10993"/>
    <cellStyle name="Percent 4 2 11 2" xfId="40372"/>
    <cellStyle name="Percent 4 2 11 2 2" xfId="55499"/>
    <cellStyle name="Percent 4 2 11 3" xfId="51247"/>
    <cellStyle name="Percent 4 2 12" xfId="2833"/>
    <cellStyle name="Percent 4 2 12 2" xfId="47531"/>
    <cellStyle name="Percent 4 2 13" xfId="38007"/>
    <cellStyle name="Percent 4 2 13 2" xfId="53208"/>
    <cellStyle name="Percent 4 2 14" xfId="45413"/>
    <cellStyle name="Percent 4 2 15" xfId="60017"/>
    <cellStyle name="Percent 4 2 2" xfId="175"/>
    <cellStyle name="Percent 4 2 2 10" xfId="10994"/>
    <cellStyle name="Percent 4 2 2 10 2" xfId="51248"/>
    <cellStyle name="Percent 4 2 2 11" xfId="2834"/>
    <cellStyle name="Percent 4 2 2 11 2" xfId="47532"/>
    <cellStyle name="Percent 4 2 2 12" xfId="38083"/>
    <cellStyle name="Percent 4 2 2 12 2" xfId="53283"/>
    <cellStyle name="Percent 4 2 2 13" xfId="45414"/>
    <cellStyle name="Percent 4 2 2 2" xfId="271"/>
    <cellStyle name="Percent 4 2 2 2 10" xfId="38159"/>
    <cellStyle name="Percent 4 2 2 2 10 2" xfId="53359"/>
    <cellStyle name="Percent 4 2 2 2 11" xfId="45503"/>
    <cellStyle name="Percent 4 2 2 2 2" xfId="1025"/>
    <cellStyle name="Percent 4 2 2 2 2 2" xfId="5374"/>
    <cellStyle name="Percent 4 2 2 2 2 2 2" xfId="44675"/>
    <cellStyle name="Percent 4 2 2 2 2 2 2 2" xfId="59801"/>
    <cellStyle name="Percent 4 2 2 2 2 2 3" xfId="42439"/>
    <cellStyle name="Percent 4 2 2 2 2 2 3 2" xfId="57566"/>
    <cellStyle name="Percent 4 2 2 2 2 2 4" xfId="40159"/>
    <cellStyle name="Percent 4 2 2 2 2 2 4 2" xfId="55287"/>
    <cellStyle name="Percent 4 2 2 2 2 2 5" xfId="50059"/>
    <cellStyle name="Percent 4 2 2 2 2 3" xfId="11835"/>
    <cellStyle name="Percent 4 2 2 2 2 3 2" xfId="43109"/>
    <cellStyle name="Percent 4 2 2 2 2 3 2 2" xfId="58235"/>
    <cellStyle name="Percent 4 2 2 2 2 3 3" xfId="52089"/>
    <cellStyle name="Percent 4 2 2 2 2 4" xfId="3260"/>
    <cellStyle name="Percent 4 2 2 2 2 4 2" xfId="40873"/>
    <cellStyle name="Percent 4 2 2 2 2 4 2 2" xfId="56000"/>
    <cellStyle name="Percent 4 2 2 2 2 4 3" xfId="47954"/>
    <cellStyle name="Percent 4 2 2 2 2 5" xfId="39017"/>
    <cellStyle name="Percent 4 2 2 2 2 5 2" xfId="54148"/>
    <cellStyle name="Percent 4 2 2 2 2 6" xfId="46255"/>
    <cellStyle name="Percent 4 2 2 2 3" xfId="1327"/>
    <cellStyle name="Percent 4 2 2 2 3 2" xfId="5676"/>
    <cellStyle name="Percent 4 2 2 2 3 2 2" xfId="44324"/>
    <cellStyle name="Percent 4 2 2 2 3 2 2 2" xfId="59450"/>
    <cellStyle name="Percent 4 2 2 2 3 2 3" xfId="42088"/>
    <cellStyle name="Percent 4 2 2 2 3 2 3 2" xfId="57215"/>
    <cellStyle name="Percent 4 2 2 2 3 2 4" xfId="39808"/>
    <cellStyle name="Percent 4 2 2 2 3 2 4 2" xfId="54936"/>
    <cellStyle name="Percent 4 2 2 2 3 2 5" xfId="50361"/>
    <cellStyle name="Percent 4 2 2 2 3 3" xfId="12137"/>
    <cellStyle name="Percent 4 2 2 2 3 3 2" xfId="43460"/>
    <cellStyle name="Percent 4 2 2 2 3 3 2 2" xfId="58586"/>
    <cellStyle name="Percent 4 2 2 2 3 3 3" xfId="52391"/>
    <cellStyle name="Percent 4 2 2 2 3 4" xfId="3610"/>
    <cellStyle name="Percent 4 2 2 2 3 4 2" xfId="41224"/>
    <cellStyle name="Percent 4 2 2 2 3 4 2 2" xfId="56351"/>
    <cellStyle name="Percent 4 2 2 2 3 4 3" xfId="48303"/>
    <cellStyle name="Percent 4 2 2 2 3 5" xfId="38644"/>
    <cellStyle name="Percent 4 2 2 2 3 5 2" xfId="53797"/>
    <cellStyle name="Percent 4 2 2 2 3 6" xfId="46557"/>
    <cellStyle name="Percent 4 2 2 2 4" xfId="1538"/>
    <cellStyle name="Percent 4 2 2 2 4 2" xfId="5887"/>
    <cellStyle name="Percent 4 2 2 2 4 2 2" xfId="43886"/>
    <cellStyle name="Percent 4 2 2 2 4 2 2 2" xfId="59012"/>
    <cellStyle name="Percent 4 2 2 2 4 2 3" xfId="50572"/>
    <cellStyle name="Percent 4 2 2 2 4 3" xfId="12348"/>
    <cellStyle name="Percent 4 2 2 2 4 3 2" xfId="41650"/>
    <cellStyle name="Percent 4 2 2 2 4 3 2 2" xfId="56777"/>
    <cellStyle name="Percent 4 2 2 2 4 3 3" xfId="52602"/>
    <cellStyle name="Percent 4 2 2 2 4 4" xfId="3837"/>
    <cellStyle name="Percent 4 2 2 2 4 4 2" xfId="48530"/>
    <cellStyle name="Percent 4 2 2 2 4 5" xfId="39370"/>
    <cellStyle name="Percent 4 2 2 2 4 5 2" xfId="54498"/>
    <cellStyle name="Percent 4 2 2 2 4 6" xfId="46768"/>
    <cellStyle name="Percent 4 2 2 2 5" xfId="693"/>
    <cellStyle name="Percent 4 2 2 2 5 2" xfId="5042"/>
    <cellStyle name="Percent 4 2 2 2 5 2 2" xfId="49727"/>
    <cellStyle name="Percent 4 2 2 2 5 3" xfId="11503"/>
    <cellStyle name="Percent 4 2 2 2 5 3 2" xfId="51757"/>
    <cellStyle name="Percent 4 2 2 2 5 4" xfId="4196"/>
    <cellStyle name="Percent 4 2 2 2 5 4 2" xfId="48886"/>
    <cellStyle name="Percent 4 2 2 2 5 5" xfId="42758"/>
    <cellStyle name="Percent 4 2 2 2 5 5 2" xfId="57885"/>
    <cellStyle name="Percent 4 2 2 2 5 6" xfId="45923"/>
    <cellStyle name="Percent 4 2 2 2 6" xfId="1943"/>
    <cellStyle name="Percent 4 2 2 2 6 2" xfId="12750"/>
    <cellStyle name="Percent 4 2 2 2 6 2 2" xfId="53003"/>
    <cellStyle name="Percent 4 2 2 2 6 3" xfId="6290"/>
    <cellStyle name="Percent 4 2 2 2 6 3 2" xfId="50973"/>
    <cellStyle name="Percent 4 2 2 2 6 4" xfId="40523"/>
    <cellStyle name="Percent 4 2 2 2 6 4 2" xfId="55650"/>
    <cellStyle name="Percent 4 2 2 2 6 5" xfId="47169"/>
    <cellStyle name="Percent 4 2 2 2 7" xfId="4620"/>
    <cellStyle name="Percent 4 2 2 2 7 2" xfId="49307"/>
    <cellStyle name="Percent 4 2 2 2 8" xfId="11083"/>
    <cellStyle name="Percent 4 2 2 2 8 2" xfId="51337"/>
    <cellStyle name="Percent 4 2 2 2 9" xfId="2927"/>
    <cellStyle name="Percent 4 2 2 2 9 2" xfId="47621"/>
    <cellStyle name="Percent 4 2 2 3" xfId="362"/>
    <cellStyle name="Percent 4 2 2 3 10" xfId="45592"/>
    <cellStyle name="Percent 4 2 2 3 2" xfId="1416"/>
    <cellStyle name="Percent 4 2 2 3 2 2" xfId="5765"/>
    <cellStyle name="Percent 4 2 2 3 2 2 2" xfId="44751"/>
    <cellStyle name="Percent 4 2 2 3 2 2 2 2" xfId="59877"/>
    <cellStyle name="Percent 4 2 2 3 2 2 3" xfId="42515"/>
    <cellStyle name="Percent 4 2 2 3 2 2 3 2" xfId="57642"/>
    <cellStyle name="Percent 4 2 2 3 2 2 4" xfId="40235"/>
    <cellStyle name="Percent 4 2 2 3 2 2 4 2" xfId="55363"/>
    <cellStyle name="Percent 4 2 2 3 2 2 5" xfId="50450"/>
    <cellStyle name="Percent 4 2 2 3 2 3" xfId="12226"/>
    <cellStyle name="Percent 4 2 2 3 2 3 2" xfId="43185"/>
    <cellStyle name="Percent 4 2 2 3 2 3 2 2" xfId="58311"/>
    <cellStyle name="Percent 4 2 2 3 2 3 3" xfId="52480"/>
    <cellStyle name="Percent 4 2 2 3 2 4" xfId="3699"/>
    <cellStyle name="Percent 4 2 2 3 2 4 2" xfId="40949"/>
    <cellStyle name="Percent 4 2 2 3 2 4 2 2" xfId="56076"/>
    <cellStyle name="Percent 4 2 2 3 2 4 3" xfId="48392"/>
    <cellStyle name="Percent 4 2 2 3 2 5" xfId="39093"/>
    <cellStyle name="Percent 4 2 2 3 2 5 2" xfId="54224"/>
    <cellStyle name="Percent 4 2 2 3 2 6" xfId="46646"/>
    <cellStyle name="Percent 4 2 2 3 3" xfId="1627"/>
    <cellStyle name="Percent 4 2 2 3 3 2" xfId="5976"/>
    <cellStyle name="Percent 4 2 2 3 3 2 2" xfId="44400"/>
    <cellStyle name="Percent 4 2 2 3 3 2 2 2" xfId="59526"/>
    <cellStyle name="Percent 4 2 2 3 3 2 3" xfId="42164"/>
    <cellStyle name="Percent 4 2 2 3 3 2 3 2" xfId="57291"/>
    <cellStyle name="Percent 4 2 2 3 3 2 4" xfId="39884"/>
    <cellStyle name="Percent 4 2 2 3 3 2 4 2" xfId="55012"/>
    <cellStyle name="Percent 4 2 2 3 3 2 5" xfId="50661"/>
    <cellStyle name="Percent 4 2 2 3 3 3" xfId="12437"/>
    <cellStyle name="Percent 4 2 2 3 3 3 2" xfId="43536"/>
    <cellStyle name="Percent 4 2 2 3 3 3 2 2" xfId="58662"/>
    <cellStyle name="Percent 4 2 2 3 3 3 3" xfId="52691"/>
    <cellStyle name="Percent 4 2 2 3 3 4" xfId="3926"/>
    <cellStyle name="Percent 4 2 2 3 3 4 2" xfId="41300"/>
    <cellStyle name="Percent 4 2 2 3 3 4 2 2" xfId="56427"/>
    <cellStyle name="Percent 4 2 2 3 3 4 3" xfId="48619"/>
    <cellStyle name="Percent 4 2 2 3 3 5" xfId="38720"/>
    <cellStyle name="Percent 4 2 2 3 3 5 2" xfId="53873"/>
    <cellStyle name="Percent 4 2 2 3 3 6" xfId="46857"/>
    <cellStyle name="Percent 4 2 2 3 4" xfId="1114"/>
    <cellStyle name="Percent 4 2 2 3 4 2" xfId="5463"/>
    <cellStyle name="Percent 4 2 2 3 4 2 2" xfId="43962"/>
    <cellStyle name="Percent 4 2 2 3 4 2 2 2" xfId="59088"/>
    <cellStyle name="Percent 4 2 2 3 4 2 3" xfId="50148"/>
    <cellStyle name="Percent 4 2 2 3 4 3" xfId="11924"/>
    <cellStyle name="Percent 4 2 2 3 4 3 2" xfId="41726"/>
    <cellStyle name="Percent 4 2 2 3 4 3 2 2" xfId="56853"/>
    <cellStyle name="Percent 4 2 2 3 4 3 3" xfId="52178"/>
    <cellStyle name="Percent 4 2 2 3 4 4" xfId="4285"/>
    <cellStyle name="Percent 4 2 2 3 4 4 2" xfId="48975"/>
    <cellStyle name="Percent 4 2 2 3 4 5" xfId="39446"/>
    <cellStyle name="Percent 4 2 2 3 4 5 2" xfId="54574"/>
    <cellStyle name="Percent 4 2 2 3 4 6" xfId="46344"/>
    <cellStyle name="Percent 4 2 2 3 5" xfId="2019"/>
    <cellStyle name="Percent 4 2 2 3 5 2" xfId="12826"/>
    <cellStyle name="Percent 4 2 2 3 5 2 2" xfId="53079"/>
    <cellStyle name="Percent 4 2 2 3 5 3" xfId="6366"/>
    <cellStyle name="Percent 4 2 2 3 5 3 2" xfId="51049"/>
    <cellStyle name="Percent 4 2 2 3 5 4" xfId="42834"/>
    <cellStyle name="Percent 4 2 2 3 5 4 2" xfId="57961"/>
    <cellStyle name="Percent 4 2 2 3 5 5" xfId="47245"/>
    <cellStyle name="Percent 4 2 2 3 6" xfId="4711"/>
    <cellStyle name="Percent 4 2 2 3 6 2" xfId="40599"/>
    <cellStyle name="Percent 4 2 2 3 6 2 2" xfId="55726"/>
    <cellStyle name="Percent 4 2 2 3 6 3" xfId="49396"/>
    <cellStyle name="Percent 4 2 2 3 7" xfId="11172"/>
    <cellStyle name="Percent 4 2 2 3 7 2" xfId="51426"/>
    <cellStyle name="Percent 4 2 2 3 8" xfId="3349"/>
    <cellStyle name="Percent 4 2 2 3 8 2" xfId="48043"/>
    <cellStyle name="Percent 4 2 2 3 9" xfId="38235"/>
    <cellStyle name="Percent 4 2 2 3 9 2" xfId="53435"/>
    <cellStyle name="Percent 4 2 2 4" xfId="483"/>
    <cellStyle name="Percent 4 2 2 4 2" xfId="1748"/>
    <cellStyle name="Percent 4 2 2 4 2 2" xfId="6097"/>
    <cellStyle name="Percent 4 2 2 4 2 2 2" xfId="44827"/>
    <cellStyle name="Percent 4 2 2 4 2 2 2 2" xfId="59953"/>
    <cellStyle name="Percent 4 2 2 4 2 2 3" xfId="42591"/>
    <cellStyle name="Percent 4 2 2 4 2 2 3 2" xfId="57718"/>
    <cellStyle name="Percent 4 2 2 4 2 2 4" xfId="40311"/>
    <cellStyle name="Percent 4 2 2 4 2 2 4 2" xfId="55439"/>
    <cellStyle name="Percent 4 2 2 4 2 2 5" xfId="50782"/>
    <cellStyle name="Percent 4 2 2 4 2 3" xfId="12558"/>
    <cellStyle name="Percent 4 2 2 4 2 3 2" xfId="43261"/>
    <cellStyle name="Percent 4 2 2 4 2 3 2 2" xfId="58387"/>
    <cellStyle name="Percent 4 2 2 4 2 3 3" xfId="52812"/>
    <cellStyle name="Percent 4 2 2 4 2 4" xfId="4047"/>
    <cellStyle name="Percent 4 2 2 4 2 4 2" xfId="41025"/>
    <cellStyle name="Percent 4 2 2 4 2 4 2 2" xfId="56152"/>
    <cellStyle name="Percent 4 2 2 4 2 4 3" xfId="48740"/>
    <cellStyle name="Percent 4 2 2 4 2 5" xfId="39169"/>
    <cellStyle name="Percent 4 2 2 4 2 5 2" xfId="54300"/>
    <cellStyle name="Percent 4 2 2 4 2 6" xfId="46978"/>
    <cellStyle name="Percent 4 2 2 4 3" xfId="1235"/>
    <cellStyle name="Percent 4 2 2 4 3 2" xfId="5584"/>
    <cellStyle name="Percent 4 2 2 4 3 2 2" xfId="44476"/>
    <cellStyle name="Percent 4 2 2 4 3 2 2 2" xfId="59602"/>
    <cellStyle name="Percent 4 2 2 4 3 2 3" xfId="42240"/>
    <cellStyle name="Percent 4 2 2 4 3 2 3 2" xfId="57367"/>
    <cellStyle name="Percent 4 2 2 4 3 2 4" xfId="39960"/>
    <cellStyle name="Percent 4 2 2 4 3 2 4 2" xfId="55088"/>
    <cellStyle name="Percent 4 2 2 4 3 2 5" xfId="50269"/>
    <cellStyle name="Percent 4 2 2 4 3 3" xfId="12045"/>
    <cellStyle name="Percent 4 2 2 4 3 3 2" xfId="43612"/>
    <cellStyle name="Percent 4 2 2 4 3 3 2 2" xfId="58738"/>
    <cellStyle name="Percent 4 2 2 4 3 3 3" xfId="52299"/>
    <cellStyle name="Percent 4 2 2 4 3 4" xfId="4406"/>
    <cellStyle name="Percent 4 2 2 4 3 4 2" xfId="41376"/>
    <cellStyle name="Percent 4 2 2 4 3 4 2 2" xfId="56503"/>
    <cellStyle name="Percent 4 2 2 4 3 4 3" xfId="49096"/>
    <cellStyle name="Percent 4 2 2 4 3 5" xfId="38796"/>
    <cellStyle name="Percent 4 2 2 4 3 5 2" xfId="53949"/>
    <cellStyle name="Percent 4 2 2 4 3 6" xfId="46465"/>
    <cellStyle name="Percent 4 2 2 4 4" xfId="2096"/>
    <cellStyle name="Percent 4 2 2 4 4 2" xfId="12902"/>
    <cellStyle name="Percent 4 2 2 4 4 2 2" xfId="44038"/>
    <cellStyle name="Percent 4 2 2 4 4 2 2 2" xfId="59164"/>
    <cellStyle name="Percent 4 2 2 4 4 2 3" xfId="53155"/>
    <cellStyle name="Percent 4 2 2 4 4 3" xfId="6442"/>
    <cellStyle name="Percent 4 2 2 4 4 3 2" xfId="41802"/>
    <cellStyle name="Percent 4 2 2 4 4 3 2 2" xfId="56929"/>
    <cellStyle name="Percent 4 2 2 4 4 3 3" xfId="51125"/>
    <cellStyle name="Percent 4 2 2 4 4 4" xfId="39522"/>
    <cellStyle name="Percent 4 2 2 4 4 4 2" xfId="54650"/>
    <cellStyle name="Percent 4 2 2 4 4 5" xfId="47321"/>
    <cellStyle name="Percent 4 2 2 4 5" xfId="4832"/>
    <cellStyle name="Percent 4 2 2 4 5 2" xfId="42910"/>
    <cellStyle name="Percent 4 2 2 4 5 2 2" xfId="58037"/>
    <cellStyle name="Percent 4 2 2 4 5 3" xfId="49517"/>
    <cellStyle name="Percent 4 2 2 4 6" xfId="11293"/>
    <cellStyle name="Percent 4 2 2 4 6 2" xfId="40675"/>
    <cellStyle name="Percent 4 2 2 4 6 2 2" xfId="55802"/>
    <cellStyle name="Percent 4 2 2 4 6 3" xfId="51547"/>
    <cellStyle name="Percent 4 2 2 4 7" xfId="3470"/>
    <cellStyle name="Percent 4 2 2 4 7 2" xfId="48164"/>
    <cellStyle name="Percent 4 2 2 4 8" xfId="38311"/>
    <cellStyle name="Percent 4 2 2 4 8 2" xfId="53511"/>
    <cellStyle name="Percent 4 2 2 4 9" xfId="45713"/>
    <cellStyle name="Percent 4 2 2 5" xfId="936"/>
    <cellStyle name="Percent 4 2 2 5 2" xfId="5285"/>
    <cellStyle name="Percent 4 2 2 5 2 2" xfId="40083"/>
    <cellStyle name="Percent 4 2 2 5 2 2 2" xfId="44599"/>
    <cellStyle name="Percent 4 2 2 5 2 2 2 2" xfId="59725"/>
    <cellStyle name="Percent 4 2 2 5 2 2 3" xfId="42363"/>
    <cellStyle name="Percent 4 2 2 5 2 2 3 2" xfId="57490"/>
    <cellStyle name="Percent 4 2 2 5 2 2 4" xfId="55211"/>
    <cellStyle name="Percent 4 2 2 5 2 3" xfId="43698"/>
    <cellStyle name="Percent 4 2 2 5 2 3 2" xfId="58824"/>
    <cellStyle name="Percent 4 2 2 5 2 4" xfId="41462"/>
    <cellStyle name="Percent 4 2 2 5 2 4 2" xfId="56589"/>
    <cellStyle name="Percent 4 2 2 5 2 5" xfId="38940"/>
    <cellStyle name="Percent 4 2 2 5 2 5 2" xfId="54072"/>
    <cellStyle name="Percent 4 2 2 5 2 6" xfId="49970"/>
    <cellStyle name="Percent 4 2 2 5 3" xfId="11746"/>
    <cellStyle name="Percent 4 2 2 5 3 2" xfId="44122"/>
    <cellStyle name="Percent 4 2 2 5 3 2 2" xfId="59248"/>
    <cellStyle name="Percent 4 2 2 5 3 3" xfId="41886"/>
    <cellStyle name="Percent 4 2 2 5 3 3 2" xfId="57013"/>
    <cellStyle name="Percent 4 2 2 5 3 4" xfId="39606"/>
    <cellStyle name="Percent 4 2 2 5 3 4 2" xfId="54734"/>
    <cellStyle name="Percent 4 2 2 5 3 5" xfId="52000"/>
    <cellStyle name="Percent 4 2 2 5 4" xfId="3171"/>
    <cellStyle name="Percent 4 2 2 5 4 2" xfId="43033"/>
    <cellStyle name="Percent 4 2 2 5 4 2 2" xfId="58159"/>
    <cellStyle name="Percent 4 2 2 5 4 3" xfId="47865"/>
    <cellStyle name="Percent 4 2 2 5 5" xfId="40797"/>
    <cellStyle name="Percent 4 2 2 5 5 2" xfId="55924"/>
    <cellStyle name="Percent 4 2 2 5 6" xfId="38436"/>
    <cellStyle name="Percent 4 2 2 5 6 2" xfId="53595"/>
    <cellStyle name="Percent 4 2 2 5 7" xfId="46166"/>
    <cellStyle name="Percent 4 2 2 6" xfId="814"/>
    <cellStyle name="Percent 4 2 2 6 2" xfId="5163"/>
    <cellStyle name="Percent 4 2 2 6 2 2" xfId="44248"/>
    <cellStyle name="Percent 4 2 2 6 2 2 2" xfId="59374"/>
    <cellStyle name="Percent 4 2 2 6 2 3" xfId="42012"/>
    <cellStyle name="Percent 4 2 2 6 2 3 2" xfId="57139"/>
    <cellStyle name="Percent 4 2 2 6 2 4" xfId="39732"/>
    <cellStyle name="Percent 4 2 2 6 2 4 2" xfId="54860"/>
    <cellStyle name="Percent 4 2 2 6 2 5" xfId="49848"/>
    <cellStyle name="Percent 4 2 2 6 3" xfId="11624"/>
    <cellStyle name="Percent 4 2 2 6 3 2" xfId="43384"/>
    <cellStyle name="Percent 4 2 2 6 3 2 2" xfId="58510"/>
    <cellStyle name="Percent 4 2 2 6 3 3" xfId="51878"/>
    <cellStyle name="Percent 4 2 2 6 4" xfId="3049"/>
    <cellStyle name="Percent 4 2 2 6 4 2" xfId="41148"/>
    <cellStyle name="Percent 4 2 2 6 4 2 2" xfId="56275"/>
    <cellStyle name="Percent 4 2 2 6 4 3" xfId="47743"/>
    <cellStyle name="Percent 4 2 2 6 5" xfId="38567"/>
    <cellStyle name="Percent 4 2 2 6 5 2" xfId="53721"/>
    <cellStyle name="Percent 4 2 2 6 6" xfId="46044"/>
    <cellStyle name="Percent 4 2 2 7" xfId="604"/>
    <cellStyle name="Percent 4 2 2 7 2" xfId="4953"/>
    <cellStyle name="Percent 4 2 2 7 2 2" xfId="43810"/>
    <cellStyle name="Percent 4 2 2 7 2 2 2" xfId="58936"/>
    <cellStyle name="Percent 4 2 2 7 2 3" xfId="49638"/>
    <cellStyle name="Percent 4 2 2 7 3" xfId="11414"/>
    <cellStyle name="Percent 4 2 2 7 3 2" xfId="41574"/>
    <cellStyle name="Percent 4 2 2 7 3 2 2" xfId="56701"/>
    <cellStyle name="Percent 4 2 2 7 3 3" xfId="51668"/>
    <cellStyle name="Percent 4 2 2 7 4" xfId="4107"/>
    <cellStyle name="Percent 4 2 2 7 4 2" xfId="48797"/>
    <cellStyle name="Percent 4 2 2 7 5" xfId="39294"/>
    <cellStyle name="Percent 4 2 2 7 5 2" xfId="54422"/>
    <cellStyle name="Percent 4 2 2 7 6" xfId="45834"/>
    <cellStyle name="Percent 4 2 2 8" xfId="1865"/>
    <cellStyle name="Percent 4 2 2 8 2" xfId="12673"/>
    <cellStyle name="Percent 4 2 2 8 2 2" xfId="52927"/>
    <cellStyle name="Percent 4 2 2 8 3" xfId="6212"/>
    <cellStyle name="Percent 4 2 2 8 3 2" xfId="50897"/>
    <cellStyle name="Percent 4 2 2 8 4" xfId="42682"/>
    <cellStyle name="Percent 4 2 2 8 4 2" xfId="57809"/>
    <cellStyle name="Percent 4 2 2 8 5" xfId="47093"/>
    <cellStyle name="Percent 4 2 2 9" xfId="2679"/>
    <cellStyle name="Percent 4 2 2 9 2" xfId="4528"/>
    <cellStyle name="Percent 4 2 2 9 2 2" xfId="49218"/>
    <cellStyle name="Percent 4 2 2 9 3" xfId="40447"/>
    <cellStyle name="Percent 4 2 2 9 3 2" xfId="55574"/>
    <cellStyle name="Percent 4 2 2 9 4" xfId="47411"/>
    <cellStyle name="Percent 4 2 3" xfId="270"/>
    <cellStyle name="Percent 4 2 3 10" xfId="38082"/>
    <cellStyle name="Percent 4 2 3 10 2" xfId="53282"/>
    <cellStyle name="Percent 4 2 3 11" xfId="45502"/>
    <cellStyle name="Percent 4 2 3 2" xfId="1024"/>
    <cellStyle name="Percent 4 2 3 2 2" xfId="5373"/>
    <cellStyle name="Percent 4 2 3 2 2 2" xfId="44598"/>
    <cellStyle name="Percent 4 2 3 2 2 2 2" xfId="59724"/>
    <cellStyle name="Percent 4 2 3 2 2 3" xfId="42362"/>
    <cellStyle name="Percent 4 2 3 2 2 3 2" xfId="57489"/>
    <cellStyle name="Percent 4 2 3 2 2 4" xfId="40082"/>
    <cellStyle name="Percent 4 2 3 2 2 4 2" xfId="55210"/>
    <cellStyle name="Percent 4 2 3 2 2 5" xfId="50058"/>
    <cellStyle name="Percent 4 2 3 2 3" xfId="11834"/>
    <cellStyle name="Percent 4 2 3 2 3 2" xfId="43032"/>
    <cellStyle name="Percent 4 2 3 2 3 2 2" xfId="58158"/>
    <cellStyle name="Percent 4 2 3 2 3 3" xfId="52088"/>
    <cellStyle name="Percent 4 2 3 2 4" xfId="3259"/>
    <cellStyle name="Percent 4 2 3 2 4 2" xfId="40796"/>
    <cellStyle name="Percent 4 2 3 2 4 2 2" xfId="55923"/>
    <cellStyle name="Percent 4 2 3 2 4 3" xfId="47953"/>
    <cellStyle name="Percent 4 2 3 2 5" xfId="38939"/>
    <cellStyle name="Percent 4 2 3 2 5 2" xfId="54071"/>
    <cellStyle name="Percent 4 2 3 2 6" xfId="46254"/>
    <cellStyle name="Percent 4 2 3 3" xfId="1326"/>
    <cellStyle name="Percent 4 2 3 3 2" xfId="5675"/>
    <cellStyle name="Percent 4 2 3 3 2 2" xfId="44247"/>
    <cellStyle name="Percent 4 2 3 3 2 2 2" xfId="59373"/>
    <cellStyle name="Percent 4 2 3 3 2 3" xfId="42011"/>
    <cellStyle name="Percent 4 2 3 3 2 3 2" xfId="57138"/>
    <cellStyle name="Percent 4 2 3 3 2 4" xfId="39731"/>
    <cellStyle name="Percent 4 2 3 3 2 4 2" xfId="54859"/>
    <cellStyle name="Percent 4 2 3 3 2 5" xfId="50360"/>
    <cellStyle name="Percent 4 2 3 3 3" xfId="12136"/>
    <cellStyle name="Percent 4 2 3 3 3 2" xfId="43383"/>
    <cellStyle name="Percent 4 2 3 3 3 2 2" xfId="58509"/>
    <cellStyle name="Percent 4 2 3 3 3 3" xfId="52390"/>
    <cellStyle name="Percent 4 2 3 3 4" xfId="3609"/>
    <cellStyle name="Percent 4 2 3 3 4 2" xfId="41147"/>
    <cellStyle name="Percent 4 2 3 3 4 2 2" xfId="56274"/>
    <cellStyle name="Percent 4 2 3 3 4 3" xfId="48302"/>
    <cellStyle name="Percent 4 2 3 3 5" xfId="38566"/>
    <cellStyle name="Percent 4 2 3 3 5 2" xfId="53720"/>
    <cellStyle name="Percent 4 2 3 3 6" xfId="46556"/>
    <cellStyle name="Percent 4 2 3 4" xfId="1537"/>
    <cellStyle name="Percent 4 2 3 4 2" xfId="5886"/>
    <cellStyle name="Percent 4 2 3 4 2 2" xfId="43809"/>
    <cellStyle name="Percent 4 2 3 4 2 2 2" xfId="58935"/>
    <cellStyle name="Percent 4 2 3 4 2 3" xfId="50571"/>
    <cellStyle name="Percent 4 2 3 4 3" xfId="12347"/>
    <cellStyle name="Percent 4 2 3 4 3 2" xfId="41573"/>
    <cellStyle name="Percent 4 2 3 4 3 2 2" xfId="56700"/>
    <cellStyle name="Percent 4 2 3 4 3 3" xfId="52601"/>
    <cellStyle name="Percent 4 2 3 4 4" xfId="3836"/>
    <cellStyle name="Percent 4 2 3 4 4 2" xfId="48529"/>
    <cellStyle name="Percent 4 2 3 4 5" xfId="39293"/>
    <cellStyle name="Percent 4 2 3 4 5 2" xfId="54421"/>
    <cellStyle name="Percent 4 2 3 4 6" xfId="46767"/>
    <cellStyle name="Percent 4 2 3 5" xfId="692"/>
    <cellStyle name="Percent 4 2 3 5 2" xfId="5041"/>
    <cellStyle name="Percent 4 2 3 5 2 2" xfId="49726"/>
    <cellStyle name="Percent 4 2 3 5 3" xfId="11502"/>
    <cellStyle name="Percent 4 2 3 5 3 2" xfId="51756"/>
    <cellStyle name="Percent 4 2 3 5 4" xfId="4195"/>
    <cellStyle name="Percent 4 2 3 5 4 2" xfId="48885"/>
    <cellStyle name="Percent 4 2 3 5 5" xfId="42681"/>
    <cellStyle name="Percent 4 2 3 5 5 2" xfId="57808"/>
    <cellStyle name="Percent 4 2 3 5 6" xfId="45922"/>
    <cellStyle name="Percent 4 2 3 6" xfId="1864"/>
    <cellStyle name="Percent 4 2 3 6 2" xfId="12672"/>
    <cellStyle name="Percent 4 2 3 6 2 2" xfId="52926"/>
    <cellStyle name="Percent 4 2 3 6 3" xfId="6211"/>
    <cellStyle name="Percent 4 2 3 6 3 2" xfId="50896"/>
    <cellStyle name="Percent 4 2 3 6 4" xfId="40446"/>
    <cellStyle name="Percent 4 2 3 6 4 2" xfId="55573"/>
    <cellStyle name="Percent 4 2 3 6 5" xfId="47092"/>
    <cellStyle name="Percent 4 2 3 7" xfId="4619"/>
    <cellStyle name="Percent 4 2 3 7 2" xfId="49306"/>
    <cellStyle name="Percent 4 2 3 8" xfId="11082"/>
    <cellStyle name="Percent 4 2 3 8 2" xfId="51336"/>
    <cellStyle name="Percent 4 2 3 9" xfId="2926"/>
    <cellStyle name="Percent 4 2 3 9 2" xfId="47620"/>
    <cellStyle name="Percent 4 2 4" xfId="361"/>
    <cellStyle name="Percent 4 2 4 10" xfId="45591"/>
    <cellStyle name="Percent 4 2 4 2" xfId="1415"/>
    <cellStyle name="Percent 4 2 4 2 2" xfId="5764"/>
    <cellStyle name="Percent 4 2 4 2 2 2" xfId="44674"/>
    <cellStyle name="Percent 4 2 4 2 2 2 2" xfId="59800"/>
    <cellStyle name="Percent 4 2 4 2 2 3" xfId="42438"/>
    <cellStyle name="Percent 4 2 4 2 2 3 2" xfId="57565"/>
    <cellStyle name="Percent 4 2 4 2 2 4" xfId="40158"/>
    <cellStyle name="Percent 4 2 4 2 2 4 2" xfId="55286"/>
    <cellStyle name="Percent 4 2 4 2 2 5" xfId="50449"/>
    <cellStyle name="Percent 4 2 4 2 3" xfId="12225"/>
    <cellStyle name="Percent 4 2 4 2 3 2" xfId="43108"/>
    <cellStyle name="Percent 4 2 4 2 3 2 2" xfId="58234"/>
    <cellStyle name="Percent 4 2 4 2 3 3" xfId="52479"/>
    <cellStyle name="Percent 4 2 4 2 4" xfId="3698"/>
    <cellStyle name="Percent 4 2 4 2 4 2" xfId="40872"/>
    <cellStyle name="Percent 4 2 4 2 4 2 2" xfId="55999"/>
    <cellStyle name="Percent 4 2 4 2 4 3" xfId="48391"/>
    <cellStyle name="Percent 4 2 4 2 5" xfId="39016"/>
    <cellStyle name="Percent 4 2 4 2 5 2" xfId="54147"/>
    <cellStyle name="Percent 4 2 4 2 6" xfId="46645"/>
    <cellStyle name="Percent 4 2 4 3" xfId="1626"/>
    <cellStyle name="Percent 4 2 4 3 2" xfId="5975"/>
    <cellStyle name="Percent 4 2 4 3 2 2" xfId="44323"/>
    <cellStyle name="Percent 4 2 4 3 2 2 2" xfId="59449"/>
    <cellStyle name="Percent 4 2 4 3 2 3" xfId="42087"/>
    <cellStyle name="Percent 4 2 4 3 2 3 2" xfId="57214"/>
    <cellStyle name="Percent 4 2 4 3 2 4" xfId="39807"/>
    <cellStyle name="Percent 4 2 4 3 2 4 2" xfId="54935"/>
    <cellStyle name="Percent 4 2 4 3 2 5" xfId="50660"/>
    <cellStyle name="Percent 4 2 4 3 3" xfId="12436"/>
    <cellStyle name="Percent 4 2 4 3 3 2" xfId="43459"/>
    <cellStyle name="Percent 4 2 4 3 3 2 2" xfId="58585"/>
    <cellStyle name="Percent 4 2 4 3 3 3" xfId="52690"/>
    <cellStyle name="Percent 4 2 4 3 4" xfId="3925"/>
    <cellStyle name="Percent 4 2 4 3 4 2" xfId="41223"/>
    <cellStyle name="Percent 4 2 4 3 4 2 2" xfId="56350"/>
    <cellStyle name="Percent 4 2 4 3 4 3" xfId="48618"/>
    <cellStyle name="Percent 4 2 4 3 5" xfId="38643"/>
    <cellStyle name="Percent 4 2 4 3 5 2" xfId="53796"/>
    <cellStyle name="Percent 4 2 4 3 6" xfId="46856"/>
    <cellStyle name="Percent 4 2 4 4" xfId="1113"/>
    <cellStyle name="Percent 4 2 4 4 2" xfId="5462"/>
    <cellStyle name="Percent 4 2 4 4 2 2" xfId="43885"/>
    <cellStyle name="Percent 4 2 4 4 2 2 2" xfId="59011"/>
    <cellStyle name="Percent 4 2 4 4 2 3" xfId="50147"/>
    <cellStyle name="Percent 4 2 4 4 3" xfId="11923"/>
    <cellStyle name="Percent 4 2 4 4 3 2" xfId="41649"/>
    <cellStyle name="Percent 4 2 4 4 3 2 2" xfId="56776"/>
    <cellStyle name="Percent 4 2 4 4 3 3" xfId="52177"/>
    <cellStyle name="Percent 4 2 4 4 4" xfId="4284"/>
    <cellStyle name="Percent 4 2 4 4 4 2" xfId="48974"/>
    <cellStyle name="Percent 4 2 4 4 5" xfId="39369"/>
    <cellStyle name="Percent 4 2 4 4 5 2" xfId="54497"/>
    <cellStyle name="Percent 4 2 4 4 6" xfId="46343"/>
    <cellStyle name="Percent 4 2 4 5" xfId="1942"/>
    <cellStyle name="Percent 4 2 4 5 2" xfId="12749"/>
    <cellStyle name="Percent 4 2 4 5 2 2" xfId="53002"/>
    <cellStyle name="Percent 4 2 4 5 3" xfId="6289"/>
    <cellStyle name="Percent 4 2 4 5 3 2" xfId="50972"/>
    <cellStyle name="Percent 4 2 4 5 4" xfId="42757"/>
    <cellStyle name="Percent 4 2 4 5 4 2" xfId="57884"/>
    <cellStyle name="Percent 4 2 4 5 5" xfId="47168"/>
    <cellStyle name="Percent 4 2 4 6" xfId="4710"/>
    <cellStyle name="Percent 4 2 4 6 2" xfId="40522"/>
    <cellStyle name="Percent 4 2 4 6 2 2" xfId="55649"/>
    <cellStyle name="Percent 4 2 4 6 3" xfId="49395"/>
    <cellStyle name="Percent 4 2 4 7" xfId="11171"/>
    <cellStyle name="Percent 4 2 4 7 2" xfId="51425"/>
    <cellStyle name="Percent 4 2 4 8" xfId="3348"/>
    <cellStyle name="Percent 4 2 4 8 2" xfId="48042"/>
    <cellStyle name="Percent 4 2 4 9" xfId="38158"/>
    <cellStyle name="Percent 4 2 4 9 2" xfId="53358"/>
    <cellStyle name="Percent 4 2 5" xfId="482"/>
    <cellStyle name="Percent 4 2 5 2" xfId="1747"/>
    <cellStyle name="Percent 4 2 5 2 2" xfId="6096"/>
    <cellStyle name="Percent 4 2 5 2 2 2" xfId="44750"/>
    <cellStyle name="Percent 4 2 5 2 2 2 2" xfId="59876"/>
    <cellStyle name="Percent 4 2 5 2 2 3" xfId="42514"/>
    <cellStyle name="Percent 4 2 5 2 2 3 2" xfId="57641"/>
    <cellStyle name="Percent 4 2 5 2 2 4" xfId="40234"/>
    <cellStyle name="Percent 4 2 5 2 2 4 2" xfId="55362"/>
    <cellStyle name="Percent 4 2 5 2 2 5" xfId="50781"/>
    <cellStyle name="Percent 4 2 5 2 3" xfId="12557"/>
    <cellStyle name="Percent 4 2 5 2 3 2" xfId="43184"/>
    <cellStyle name="Percent 4 2 5 2 3 2 2" xfId="58310"/>
    <cellStyle name="Percent 4 2 5 2 3 3" xfId="52811"/>
    <cellStyle name="Percent 4 2 5 2 4" xfId="4046"/>
    <cellStyle name="Percent 4 2 5 2 4 2" xfId="40948"/>
    <cellStyle name="Percent 4 2 5 2 4 2 2" xfId="56075"/>
    <cellStyle name="Percent 4 2 5 2 4 3" xfId="48739"/>
    <cellStyle name="Percent 4 2 5 2 5" xfId="39092"/>
    <cellStyle name="Percent 4 2 5 2 5 2" xfId="54223"/>
    <cellStyle name="Percent 4 2 5 2 6" xfId="46977"/>
    <cellStyle name="Percent 4 2 5 3" xfId="1234"/>
    <cellStyle name="Percent 4 2 5 3 2" xfId="5583"/>
    <cellStyle name="Percent 4 2 5 3 2 2" xfId="44399"/>
    <cellStyle name="Percent 4 2 5 3 2 2 2" xfId="59525"/>
    <cellStyle name="Percent 4 2 5 3 2 3" xfId="42163"/>
    <cellStyle name="Percent 4 2 5 3 2 3 2" xfId="57290"/>
    <cellStyle name="Percent 4 2 5 3 2 4" xfId="39883"/>
    <cellStyle name="Percent 4 2 5 3 2 4 2" xfId="55011"/>
    <cellStyle name="Percent 4 2 5 3 2 5" xfId="50268"/>
    <cellStyle name="Percent 4 2 5 3 3" xfId="12044"/>
    <cellStyle name="Percent 4 2 5 3 3 2" xfId="43535"/>
    <cellStyle name="Percent 4 2 5 3 3 2 2" xfId="58661"/>
    <cellStyle name="Percent 4 2 5 3 3 3" xfId="52298"/>
    <cellStyle name="Percent 4 2 5 3 4" xfId="4405"/>
    <cellStyle name="Percent 4 2 5 3 4 2" xfId="41299"/>
    <cellStyle name="Percent 4 2 5 3 4 2 2" xfId="56426"/>
    <cellStyle name="Percent 4 2 5 3 4 3" xfId="49095"/>
    <cellStyle name="Percent 4 2 5 3 5" xfId="38719"/>
    <cellStyle name="Percent 4 2 5 3 5 2" xfId="53872"/>
    <cellStyle name="Percent 4 2 5 3 6" xfId="46464"/>
    <cellStyle name="Percent 4 2 5 4" xfId="2018"/>
    <cellStyle name="Percent 4 2 5 4 2" xfId="12825"/>
    <cellStyle name="Percent 4 2 5 4 2 2" xfId="43961"/>
    <cellStyle name="Percent 4 2 5 4 2 2 2" xfId="59087"/>
    <cellStyle name="Percent 4 2 5 4 2 3" xfId="53078"/>
    <cellStyle name="Percent 4 2 5 4 3" xfId="6365"/>
    <cellStyle name="Percent 4 2 5 4 3 2" xfId="41725"/>
    <cellStyle name="Percent 4 2 5 4 3 2 2" xfId="56852"/>
    <cellStyle name="Percent 4 2 5 4 3 3" xfId="51048"/>
    <cellStyle name="Percent 4 2 5 4 4" xfId="39445"/>
    <cellStyle name="Percent 4 2 5 4 4 2" xfId="54573"/>
    <cellStyle name="Percent 4 2 5 4 5" xfId="47244"/>
    <cellStyle name="Percent 4 2 5 5" xfId="4831"/>
    <cellStyle name="Percent 4 2 5 5 2" xfId="42833"/>
    <cellStyle name="Percent 4 2 5 5 2 2" xfId="57960"/>
    <cellStyle name="Percent 4 2 5 5 3" xfId="49516"/>
    <cellStyle name="Percent 4 2 5 6" xfId="11292"/>
    <cellStyle name="Percent 4 2 5 6 2" xfId="40598"/>
    <cellStyle name="Percent 4 2 5 6 2 2" xfId="55725"/>
    <cellStyle name="Percent 4 2 5 6 3" xfId="51546"/>
    <cellStyle name="Percent 4 2 5 7" xfId="3469"/>
    <cellStyle name="Percent 4 2 5 7 2" xfId="48163"/>
    <cellStyle name="Percent 4 2 5 8" xfId="38234"/>
    <cellStyle name="Percent 4 2 5 8 2" xfId="53434"/>
    <cellStyle name="Percent 4 2 5 9" xfId="45712"/>
    <cellStyle name="Percent 4 2 6" xfId="935"/>
    <cellStyle name="Percent 4 2 6 2" xfId="2095"/>
    <cellStyle name="Percent 4 2 6 2 2" xfId="12901"/>
    <cellStyle name="Percent 4 2 6 2 2 2" xfId="44826"/>
    <cellStyle name="Percent 4 2 6 2 2 2 2" xfId="59952"/>
    <cellStyle name="Percent 4 2 6 2 2 3" xfId="42590"/>
    <cellStyle name="Percent 4 2 6 2 2 3 2" xfId="57717"/>
    <cellStyle name="Percent 4 2 6 2 2 4" xfId="40310"/>
    <cellStyle name="Percent 4 2 6 2 2 4 2" xfId="55438"/>
    <cellStyle name="Percent 4 2 6 2 2 5" xfId="53154"/>
    <cellStyle name="Percent 4 2 6 2 3" xfId="6441"/>
    <cellStyle name="Percent 4 2 6 2 3 2" xfId="43260"/>
    <cellStyle name="Percent 4 2 6 2 3 2 2" xfId="58386"/>
    <cellStyle name="Percent 4 2 6 2 3 3" xfId="51124"/>
    <cellStyle name="Percent 4 2 6 2 4" xfId="41024"/>
    <cellStyle name="Percent 4 2 6 2 4 2" xfId="56151"/>
    <cellStyle name="Percent 4 2 6 2 5" xfId="39168"/>
    <cellStyle name="Percent 4 2 6 2 5 2" xfId="54299"/>
    <cellStyle name="Percent 4 2 6 2 6" xfId="47320"/>
    <cellStyle name="Percent 4 2 6 3" xfId="5284"/>
    <cellStyle name="Percent 4 2 6 3 2" xfId="39959"/>
    <cellStyle name="Percent 4 2 6 3 2 2" xfId="44475"/>
    <cellStyle name="Percent 4 2 6 3 2 2 2" xfId="59601"/>
    <cellStyle name="Percent 4 2 6 3 2 3" xfId="42239"/>
    <cellStyle name="Percent 4 2 6 3 2 3 2" xfId="57366"/>
    <cellStyle name="Percent 4 2 6 3 2 4" xfId="55087"/>
    <cellStyle name="Percent 4 2 6 3 3" xfId="43611"/>
    <cellStyle name="Percent 4 2 6 3 3 2" xfId="58737"/>
    <cellStyle name="Percent 4 2 6 3 4" xfId="41375"/>
    <cellStyle name="Percent 4 2 6 3 4 2" xfId="56502"/>
    <cellStyle name="Percent 4 2 6 3 5" xfId="38795"/>
    <cellStyle name="Percent 4 2 6 3 5 2" xfId="53948"/>
    <cellStyle name="Percent 4 2 6 3 6" xfId="49969"/>
    <cellStyle name="Percent 4 2 6 4" xfId="11745"/>
    <cellStyle name="Percent 4 2 6 4 2" xfId="44037"/>
    <cellStyle name="Percent 4 2 6 4 2 2" xfId="59163"/>
    <cellStyle name="Percent 4 2 6 4 3" xfId="41801"/>
    <cellStyle name="Percent 4 2 6 4 3 2" xfId="56928"/>
    <cellStyle name="Percent 4 2 6 4 4" xfId="39521"/>
    <cellStyle name="Percent 4 2 6 4 4 2" xfId="54649"/>
    <cellStyle name="Percent 4 2 6 4 5" xfId="51999"/>
    <cellStyle name="Percent 4 2 6 5" xfId="3170"/>
    <cellStyle name="Percent 4 2 6 5 2" xfId="42909"/>
    <cellStyle name="Percent 4 2 6 5 2 2" xfId="58036"/>
    <cellStyle name="Percent 4 2 6 5 3" xfId="47864"/>
    <cellStyle name="Percent 4 2 6 6" xfId="40674"/>
    <cellStyle name="Percent 4 2 6 6 2" xfId="55801"/>
    <cellStyle name="Percent 4 2 6 7" xfId="38310"/>
    <cellStyle name="Percent 4 2 6 7 2" xfId="53510"/>
    <cellStyle name="Percent 4 2 6 8" xfId="46165"/>
    <cellStyle name="Percent 4 2 7" xfId="813"/>
    <cellStyle name="Percent 4 2 7 2" xfId="5162"/>
    <cellStyle name="Percent 4 2 7 2 2" xfId="40008"/>
    <cellStyle name="Percent 4 2 7 2 2 2" xfId="44524"/>
    <cellStyle name="Percent 4 2 7 2 2 2 2" xfId="59650"/>
    <cellStyle name="Percent 4 2 7 2 2 3" xfId="42288"/>
    <cellStyle name="Percent 4 2 7 2 2 3 2" xfId="57415"/>
    <cellStyle name="Percent 4 2 7 2 2 4" xfId="55136"/>
    <cellStyle name="Percent 4 2 7 2 3" xfId="43659"/>
    <cellStyle name="Percent 4 2 7 2 3 2" xfId="58785"/>
    <cellStyle name="Percent 4 2 7 2 4" xfId="41423"/>
    <cellStyle name="Percent 4 2 7 2 4 2" xfId="56550"/>
    <cellStyle name="Percent 4 2 7 2 5" xfId="38865"/>
    <cellStyle name="Percent 4 2 7 2 5 2" xfId="53997"/>
    <cellStyle name="Percent 4 2 7 2 6" xfId="49847"/>
    <cellStyle name="Percent 4 2 7 3" xfId="11623"/>
    <cellStyle name="Percent 4 2 7 3 2" xfId="44121"/>
    <cellStyle name="Percent 4 2 7 3 2 2" xfId="59247"/>
    <cellStyle name="Percent 4 2 7 3 3" xfId="41885"/>
    <cellStyle name="Percent 4 2 7 3 3 2" xfId="57012"/>
    <cellStyle name="Percent 4 2 7 3 4" xfId="39605"/>
    <cellStyle name="Percent 4 2 7 3 4 2" xfId="54733"/>
    <cellStyle name="Percent 4 2 7 3 5" xfId="51877"/>
    <cellStyle name="Percent 4 2 7 4" xfId="3048"/>
    <cellStyle name="Percent 4 2 7 4 2" xfId="42958"/>
    <cellStyle name="Percent 4 2 7 4 2 2" xfId="58084"/>
    <cellStyle name="Percent 4 2 7 4 3" xfId="47742"/>
    <cellStyle name="Percent 4 2 7 5" xfId="40722"/>
    <cellStyle name="Percent 4 2 7 5 2" xfId="55849"/>
    <cellStyle name="Percent 4 2 7 6" xfId="38435"/>
    <cellStyle name="Percent 4 2 7 6 2" xfId="53594"/>
    <cellStyle name="Percent 4 2 7 7" xfId="46043"/>
    <cellStyle name="Percent 4 2 8" xfId="603"/>
    <cellStyle name="Percent 4 2 8 2" xfId="4952"/>
    <cellStyle name="Percent 4 2 8 2 2" xfId="44173"/>
    <cellStyle name="Percent 4 2 8 2 2 2" xfId="59299"/>
    <cellStyle name="Percent 4 2 8 2 3" xfId="41937"/>
    <cellStyle name="Percent 4 2 8 2 3 2" xfId="57064"/>
    <cellStyle name="Percent 4 2 8 2 4" xfId="39657"/>
    <cellStyle name="Percent 4 2 8 2 4 2" xfId="54785"/>
    <cellStyle name="Percent 4 2 8 2 5" xfId="49637"/>
    <cellStyle name="Percent 4 2 8 3" xfId="11413"/>
    <cellStyle name="Percent 4 2 8 3 2" xfId="43309"/>
    <cellStyle name="Percent 4 2 8 3 2 2" xfId="58435"/>
    <cellStyle name="Percent 4 2 8 3 3" xfId="51667"/>
    <cellStyle name="Percent 4 2 8 4" xfId="4106"/>
    <cellStyle name="Percent 4 2 8 4 2" xfId="41073"/>
    <cellStyle name="Percent 4 2 8 4 2 2" xfId="56200"/>
    <cellStyle name="Percent 4 2 8 4 3" xfId="48796"/>
    <cellStyle name="Percent 4 2 8 5" xfId="38490"/>
    <cellStyle name="Percent 4 2 8 5 2" xfId="53646"/>
    <cellStyle name="Percent 4 2 8 6" xfId="45833"/>
    <cellStyle name="Percent 4 2 9" xfId="1788"/>
    <cellStyle name="Percent 4 2 9 2" xfId="12598"/>
    <cellStyle name="Percent 4 2 9 2 2" xfId="43735"/>
    <cellStyle name="Percent 4 2 9 2 2 2" xfId="58861"/>
    <cellStyle name="Percent 4 2 9 2 3" xfId="52852"/>
    <cellStyle name="Percent 4 2 9 3" xfId="6137"/>
    <cellStyle name="Percent 4 2 9 3 2" xfId="41499"/>
    <cellStyle name="Percent 4 2 9 3 2 2" xfId="56626"/>
    <cellStyle name="Percent 4 2 9 3 3" xfId="50822"/>
    <cellStyle name="Percent 4 2 9 4" xfId="39219"/>
    <cellStyle name="Percent 4 2 9 4 2" xfId="54347"/>
    <cellStyle name="Percent 4 2 9 5" xfId="47018"/>
    <cellStyle name="Percent 4 3" xfId="176"/>
    <cellStyle name="Percent 4 3 10" xfId="10995"/>
    <cellStyle name="Percent 4 3 10 2" xfId="51249"/>
    <cellStyle name="Percent 4 3 11" xfId="2835"/>
    <cellStyle name="Percent 4 3 11 2" xfId="47533"/>
    <cellStyle name="Percent 4 3 12" xfId="38084"/>
    <cellStyle name="Percent 4 3 12 2" xfId="53284"/>
    <cellStyle name="Percent 4 3 13" xfId="45415"/>
    <cellStyle name="Percent 4 3 2" xfId="272"/>
    <cellStyle name="Percent 4 3 2 10" xfId="38160"/>
    <cellStyle name="Percent 4 3 2 10 2" xfId="53360"/>
    <cellStyle name="Percent 4 3 2 11" xfId="45504"/>
    <cellStyle name="Percent 4 3 2 2" xfId="1026"/>
    <cellStyle name="Percent 4 3 2 2 2" xfId="5375"/>
    <cellStyle name="Percent 4 3 2 2 2 2" xfId="44676"/>
    <cellStyle name="Percent 4 3 2 2 2 2 2" xfId="59802"/>
    <cellStyle name="Percent 4 3 2 2 2 3" xfId="42440"/>
    <cellStyle name="Percent 4 3 2 2 2 3 2" xfId="57567"/>
    <cellStyle name="Percent 4 3 2 2 2 4" xfId="40160"/>
    <cellStyle name="Percent 4 3 2 2 2 4 2" xfId="55288"/>
    <cellStyle name="Percent 4 3 2 2 2 5" xfId="50060"/>
    <cellStyle name="Percent 4 3 2 2 3" xfId="11836"/>
    <cellStyle name="Percent 4 3 2 2 3 2" xfId="43110"/>
    <cellStyle name="Percent 4 3 2 2 3 2 2" xfId="58236"/>
    <cellStyle name="Percent 4 3 2 2 3 3" xfId="52090"/>
    <cellStyle name="Percent 4 3 2 2 4" xfId="3261"/>
    <cellStyle name="Percent 4 3 2 2 4 2" xfId="40874"/>
    <cellStyle name="Percent 4 3 2 2 4 2 2" xfId="56001"/>
    <cellStyle name="Percent 4 3 2 2 4 3" xfId="47955"/>
    <cellStyle name="Percent 4 3 2 2 5" xfId="39018"/>
    <cellStyle name="Percent 4 3 2 2 5 2" xfId="54149"/>
    <cellStyle name="Percent 4 3 2 2 6" xfId="46256"/>
    <cellStyle name="Percent 4 3 2 3" xfId="1328"/>
    <cellStyle name="Percent 4 3 2 3 2" xfId="5677"/>
    <cellStyle name="Percent 4 3 2 3 2 2" xfId="44325"/>
    <cellStyle name="Percent 4 3 2 3 2 2 2" xfId="59451"/>
    <cellStyle name="Percent 4 3 2 3 2 3" xfId="42089"/>
    <cellStyle name="Percent 4 3 2 3 2 3 2" xfId="57216"/>
    <cellStyle name="Percent 4 3 2 3 2 4" xfId="39809"/>
    <cellStyle name="Percent 4 3 2 3 2 4 2" xfId="54937"/>
    <cellStyle name="Percent 4 3 2 3 2 5" xfId="50362"/>
    <cellStyle name="Percent 4 3 2 3 3" xfId="12138"/>
    <cellStyle name="Percent 4 3 2 3 3 2" xfId="43461"/>
    <cellStyle name="Percent 4 3 2 3 3 2 2" xfId="58587"/>
    <cellStyle name="Percent 4 3 2 3 3 3" xfId="52392"/>
    <cellStyle name="Percent 4 3 2 3 4" xfId="3611"/>
    <cellStyle name="Percent 4 3 2 3 4 2" xfId="41225"/>
    <cellStyle name="Percent 4 3 2 3 4 2 2" xfId="56352"/>
    <cellStyle name="Percent 4 3 2 3 4 3" xfId="48304"/>
    <cellStyle name="Percent 4 3 2 3 5" xfId="38645"/>
    <cellStyle name="Percent 4 3 2 3 5 2" xfId="53798"/>
    <cellStyle name="Percent 4 3 2 3 6" xfId="46558"/>
    <cellStyle name="Percent 4 3 2 4" xfId="1539"/>
    <cellStyle name="Percent 4 3 2 4 2" xfId="5888"/>
    <cellStyle name="Percent 4 3 2 4 2 2" xfId="43887"/>
    <cellStyle name="Percent 4 3 2 4 2 2 2" xfId="59013"/>
    <cellStyle name="Percent 4 3 2 4 2 3" xfId="50573"/>
    <cellStyle name="Percent 4 3 2 4 3" xfId="12349"/>
    <cellStyle name="Percent 4 3 2 4 3 2" xfId="41651"/>
    <cellStyle name="Percent 4 3 2 4 3 2 2" xfId="56778"/>
    <cellStyle name="Percent 4 3 2 4 3 3" xfId="52603"/>
    <cellStyle name="Percent 4 3 2 4 4" xfId="3838"/>
    <cellStyle name="Percent 4 3 2 4 4 2" xfId="48531"/>
    <cellStyle name="Percent 4 3 2 4 5" xfId="39371"/>
    <cellStyle name="Percent 4 3 2 4 5 2" xfId="54499"/>
    <cellStyle name="Percent 4 3 2 4 6" xfId="46769"/>
    <cellStyle name="Percent 4 3 2 5" xfId="694"/>
    <cellStyle name="Percent 4 3 2 5 2" xfId="5043"/>
    <cellStyle name="Percent 4 3 2 5 2 2" xfId="49728"/>
    <cellStyle name="Percent 4 3 2 5 3" xfId="11504"/>
    <cellStyle name="Percent 4 3 2 5 3 2" xfId="51758"/>
    <cellStyle name="Percent 4 3 2 5 4" xfId="4197"/>
    <cellStyle name="Percent 4 3 2 5 4 2" xfId="48887"/>
    <cellStyle name="Percent 4 3 2 5 5" xfId="42759"/>
    <cellStyle name="Percent 4 3 2 5 5 2" xfId="57886"/>
    <cellStyle name="Percent 4 3 2 5 6" xfId="45924"/>
    <cellStyle name="Percent 4 3 2 6" xfId="1944"/>
    <cellStyle name="Percent 4 3 2 6 2" xfId="12751"/>
    <cellStyle name="Percent 4 3 2 6 2 2" xfId="53004"/>
    <cellStyle name="Percent 4 3 2 6 3" xfId="6291"/>
    <cellStyle name="Percent 4 3 2 6 3 2" xfId="50974"/>
    <cellStyle name="Percent 4 3 2 6 4" xfId="40524"/>
    <cellStyle name="Percent 4 3 2 6 4 2" xfId="55651"/>
    <cellStyle name="Percent 4 3 2 6 5" xfId="47170"/>
    <cellStyle name="Percent 4 3 2 7" xfId="4621"/>
    <cellStyle name="Percent 4 3 2 7 2" xfId="49308"/>
    <cellStyle name="Percent 4 3 2 8" xfId="11084"/>
    <cellStyle name="Percent 4 3 2 8 2" xfId="51338"/>
    <cellStyle name="Percent 4 3 2 9" xfId="2928"/>
    <cellStyle name="Percent 4 3 2 9 2" xfId="47622"/>
    <cellStyle name="Percent 4 3 3" xfId="363"/>
    <cellStyle name="Percent 4 3 3 10" xfId="45593"/>
    <cellStyle name="Percent 4 3 3 2" xfId="1417"/>
    <cellStyle name="Percent 4 3 3 2 2" xfId="5766"/>
    <cellStyle name="Percent 4 3 3 2 2 2" xfId="44752"/>
    <cellStyle name="Percent 4 3 3 2 2 2 2" xfId="59878"/>
    <cellStyle name="Percent 4 3 3 2 2 3" xfId="42516"/>
    <cellStyle name="Percent 4 3 3 2 2 3 2" xfId="57643"/>
    <cellStyle name="Percent 4 3 3 2 2 4" xfId="40236"/>
    <cellStyle name="Percent 4 3 3 2 2 4 2" xfId="55364"/>
    <cellStyle name="Percent 4 3 3 2 2 5" xfId="50451"/>
    <cellStyle name="Percent 4 3 3 2 3" xfId="12227"/>
    <cellStyle name="Percent 4 3 3 2 3 2" xfId="43186"/>
    <cellStyle name="Percent 4 3 3 2 3 2 2" xfId="58312"/>
    <cellStyle name="Percent 4 3 3 2 3 3" xfId="52481"/>
    <cellStyle name="Percent 4 3 3 2 4" xfId="3700"/>
    <cellStyle name="Percent 4 3 3 2 4 2" xfId="40950"/>
    <cellStyle name="Percent 4 3 3 2 4 2 2" xfId="56077"/>
    <cellStyle name="Percent 4 3 3 2 4 3" xfId="48393"/>
    <cellStyle name="Percent 4 3 3 2 5" xfId="39094"/>
    <cellStyle name="Percent 4 3 3 2 5 2" xfId="54225"/>
    <cellStyle name="Percent 4 3 3 2 6" xfId="46647"/>
    <cellStyle name="Percent 4 3 3 3" xfId="1628"/>
    <cellStyle name="Percent 4 3 3 3 2" xfId="5977"/>
    <cellStyle name="Percent 4 3 3 3 2 2" xfId="44401"/>
    <cellStyle name="Percent 4 3 3 3 2 2 2" xfId="59527"/>
    <cellStyle name="Percent 4 3 3 3 2 3" xfId="42165"/>
    <cellStyle name="Percent 4 3 3 3 2 3 2" xfId="57292"/>
    <cellStyle name="Percent 4 3 3 3 2 4" xfId="39885"/>
    <cellStyle name="Percent 4 3 3 3 2 4 2" xfId="55013"/>
    <cellStyle name="Percent 4 3 3 3 2 5" xfId="50662"/>
    <cellStyle name="Percent 4 3 3 3 3" xfId="12438"/>
    <cellStyle name="Percent 4 3 3 3 3 2" xfId="43537"/>
    <cellStyle name="Percent 4 3 3 3 3 2 2" xfId="58663"/>
    <cellStyle name="Percent 4 3 3 3 3 3" xfId="52692"/>
    <cellStyle name="Percent 4 3 3 3 4" xfId="3927"/>
    <cellStyle name="Percent 4 3 3 3 4 2" xfId="41301"/>
    <cellStyle name="Percent 4 3 3 3 4 2 2" xfId="56428"/>
    <cellStyle name="Percent 4 3 3 3 4 3" xfId="48620"/>
    <cellStyle name="Percent 4 3 3 3 5" xfId="38721"/>
    <cellStyle name="Percent 4 3 3 3 5 2" xfId="53874"/>
    <cellStyle name="Percent 4 3 3 3 6" xfId="46858"/>
    <cellStyle name="Percent 4 3 3 4" xfId="1115"/>
    <cellStyle name="Percent 4 3 3 4 2" xfId="5464"/>
    <cellStyle name="Percent 4 3 3 4 2 2" xfId="43963"/>
    <cellStyle name="Percent 4 3 3 4 2 2 2" xfId="59089"/>
    <cellStyle name="Percent 4 3 3 4 2 3" xfId="50149"/>
    <cellStyle name="Percent 4 3 3 4 3" xfId="11925"/>
    <cellStyle name="Percent 4 3 3 4 3 2" xfId="41727"/>
    <cellStyle name="Percent 4 3 3 4 3 2 2" xfId="56854"/>
    <cellStyle name="Percent 4 3 3 4 3 3" xfId="52179"/>
    <cellStyle name="Percent 4 3 3 4 4" xfId="4286"/>
    <cellStyle name="Percent 4 3 3 4 4 2" xfId="48976"/>
    <cellStyle name="Percent 4 3 3 4 5" xfId="39447"/>
    <cellStyle name="Percent 4 3 3 4 5 2" xfId="54575"/>
    <cellStyle name="Percent 4 3 3 4 6" xfId="46345"/>
    <cellStyle name="Percent 4 3 3 5" xfId="2020"/>
    <cellStyle name="Percent 4 3 3 5 2" xfId="12827"/>
    <cellStyle name="Percent 4 3 3 5 2 2" xfId="53080"/>
    <cellStyle name="Percent 4 3 3 5 3" xfId="6367"/>
    <cellStyle name="Percent 4 3 3 5 3 2" xfId="51050"/>
    <cellStyle name="Percent 4 3 3 5 4" xfId="42835"/>
    <cellStyle name="Percent 4 3 3 5 4 2" xfId="57962"/>
    <cellStyle name="Percent 4 3 3 5 5" xfId="47246"/>
    <cellStyle name="Percent 4 3 3 6" xfId="4712"/>
    <cellStyle name="Percent 4 3 3 6 2" xfId="40600"/>
    <cellStyle name="Percent 4 3 3 6 2 2" xfId="55727"/>
    <cellStyle name="Percent 4 3 3 6 3" xfId="49397"/>
    <cellStyle name="Percent 4 3 3 7" xfId="11173"/>
    <cellStyle name="Percent 4 3 3 7 2" xfId="51427"/>
    <cellStyle name="Percent 4 3 3 8" xfId="3350"/>
    <cellStyle name="Percent 4 3 3 8 2" xfId="48044"/>
    <cellStyle name="Percent 4 3 3 9" xfId="38236"/>
    <cellStyle name="Percent 4 3 3 9 2" xfId="53436"/>
    <cellStyle name="Percent 4 3 4" xfId="484"/>
    <cellStyle name="Percent 4 3 4 2" xfId="1749"/>
    <cellStyle name="Percent 4 3 4 2 2" xfId="6098"/>
    <cellStyle name="Percent 4 3 4 2 2 2" xfId="44828"/>
    <cellStyle name="Percent 4 3 4 2 2 2 2" xfId="59954"/>
    <cellStyle name="Percent 4 3 4 2 2 3" xfId="42592"/>
    <cellStyle name="Percent 4 3 4 2 2 3 2" xfId="57719"/>
    <cellStyle name="Percent 4 3 4 2 2 4" xfId="40312"/>
    <cellStyle name="Percent 4 3 4 2 2 4 2" xfId="55440"/>
    <cellStyle name="Percent 4 3 4 2 2 5" xfId="50783"/>
    <cellStyle name="Percent 4 3 4 2 3" xfId="12559"/>
    <cellStyle name="Percent 4 3 4 2 3 2" xfId="43262"/>
    <cellStyle name="Percent 4 3 4 2 3 2 2" xfId="58388"/>
    <cellStyle name="Percent 4 3 4 2 3 3" xfId="52813"/>
    <cellStyle name="Percent 4 3 4 2 4" xfId="4048"/>
    <cellStyle name="Percent 4 3 4 2 4 2" xfId="41026"/>
    <cellStyle name="Percent 4 3 4 2 4 2 2" xfId="56153"/>
    <cellStyle name="Percent 4 3 4 2 4 3" xfId="48741"/>
    <cellStyle name="Percent 4 3 4 2 5" xfId="39170"/>
    <cellStyle name="Percent 4 3 4 2 5 2" xfId="54301"/>
    <cellStyle name="Percent 4 3 4 2 6" xfId="46979"/>
    <cellStyle name="Percent 4 3 4 3" xfId="1236"/>
    <cellStyle name="Percent 4 3 4 3 2" xfId="5585"/>
    <cellStyle name="Percent 4 3 4 3 2 2" xfId="44477"/>
    <cellStyle name="Percent 4 3 4 3 2 2 2" xfId="59603"/>
    <cellStyle name="Percent 4 3 4 3 2 3" xfId="42241"/>
    <cellStyle name="Percent 4 3 4 3 2 3 2" xfId="57368"/>
    <cellStyle name="Percent 4 3 4 3 2 4" xfId="39961"/>
    <cellStyle name="Percent 4 3 4 3 2 4 2" xfId="55089"/>
    <cellStyle name="Percent 4 3 4 3 2 5" xfId="50270"/>
    <cellStyle name="Percent 4 3 4 3 3" xfId="12046"/>
    <cellStyle name="Percent 4 3 4 3 3 2" xfId="43613"/>
    <cellStyle name="Percent 4 3 4 3 3 2 2" xfId="58739"/>
    <cellStyle name="Percent 4 3 4 3 3 3" xfId="52300"/>
    <cellStyle name="Percent 4 3 4 3 4" xfId="4407"/>
    <cellStyle name="Percent 4 3 4 3 4 2" xfId="41377"/>
    <cellStyle name="Percent 4 3 4 3 4 2 2" xfId="56504"/>
    <cellStyle name="Percent 4 3 4 3 4 3" xfId="49097"/>
    <cellStyle name="Percent 4 3 4 3 5" xfId="38797"/>
    <cellStyle name="Percent 4 3 4 3 5 2" xfId="53950"/>
    <cellStyle name="Percent 4 3 4 3 6" xfId="46466"/>
    <cellStyle name="Percent 4 3 4 4" xfId="2097"/>
    <cellStyle name="Percent 4 3 4 4 2" xfId="12903"/>
    <cellStyle name="Percent 4 3 4 4 2 2" xfId="44039"/>
    <cellStyle name="Percent 4 3 4 4 2 2 2" xfId="59165"/>
    <cellStyle name="Percent 4 3 4 4 2 3" xfId="53156"/>
    <cellStyle name="Percent 4 3 4 4 3" xfId="6443"/>
    <cellStyle name="Percent 4 3 4 4 3 2" xfId="41803"/>
    <cellStyle name="Percent 4 3 4 4 3 2 2" xfId="56930"/>
    <cellStyle name="Percent 4 3 4 4 3 3" xfId="51126"/>
    <cellStyle name="Percent 4 3 4 4 4" xfId="39523"/>
    <cellStyle name="Percent 4 3 4 4 4 2" xfId="54651"/>
    <cellStyle name="Percent 4 3 4 4 5" xfId="47322"/>
    <cellStyle name="Percent 4 3 4 5" xfId="4833"/>
    <cellStyle name="Percent 4 3 4 5 2" xfId="42911"/>
    <cellStyle name="Percent 4 3 4 5 2 2" xfId="58038"/>
    <cellStyle name="Percent 4 3 4 5 3" xfId="49518"/>
    <cellStyle name="Percent 4 3 4 6" xfId="11294"/>
    <cellStyle name="Percent 4 3 4 6 2" xfId="40676"/>
    <cellStyle name="Percent 4 3 4 6 2 2" xfId="55803"/>
    <cellStyle name="Percent 4 3 4 6 3" xfId="51548"/>
    <cellStyle name="Percent 4 3 4 7" xfId="3471"/>
    <cellStyle name="Percent 4 3 4 7 2" xfId="48165"/>
    <cellStyle name="Percent 4 3 4 8" xfId="38312"/>
    <cellStyle name="Percent 4 3 4 8 2" xfId="53512"/>
    <cellStyle name="Percent 4 3 4 9" xfId="45714"/>
    <cellStyle name="Percent 4 3 5" xfId="937"/>
    <cellStyle name="Percent 4 3 5 2" xfId="5286"/>
    <cellStyle name="Percent 4 3 5 2 2" xfId="40084"/>
    <cellStyle name="Percent 4 3 5 2 2 2" xfId="44600"/>
    <cellStyle name="Percent 4 3 5 2 2 2 2" xfId="59726"/>
    <cellStyle name="Percent 4 3 5 2 2 3" xfId="42364"/>
    <cellStyle name="Percent 4 3 5 2 2 3 2" xfId="57491"/>
    <cellStyle name="Percent 4 3 5 2 2 4" xfId="55212"/>
    <cellStyle name="Percent 4 3 5 2 3" xfId="43699"/>
    <cellStyle name="Percent 4 3 5 2 3 2" xfId="58825"/>
    <cellStyle name="Percent 4 3 5 2 4" xfId="41463"/>
    <cellStyle name="Percent 4 3 5 2 4 2" xfId="56590"/>
    <cellStyle name="Percent 4 3 5 2 5" xfId="38941"/>
    <cellStyle name="Percent 4 3 5 2 5 2" xfId="54073"/>
    <cellStyle name="Percent 4 3 5 2 6" xfId="49971"/>
    <cellStyle name="Percent 4 3 5 3" xfId="11747"/>
    <cellStyle name="Percent 4 3 5 3 2" xfId="44123"/>
    <cellStyle name="Percent 4 3 5 3 2 2" xfId="59249"/>
    <cellStyle name="Percent 4 3 5 3 3" xfId="41887"/>
    <cellStyle name="Percent 4 3 5 3 3 2" xfId="57014"/>
    <cellStyle name="Percent 4 3 5 3 4" xfId="39607"/>
    <cellStyle name="Percent 4 3 5 3 4 2" xfId="54735"/>
    <cellStyle name="Percent 4 3 5 3 5" xfId="52001"/>
    <cellStyle name="Percent 4 3 5 4" xfId="3172"/>
    <cellStyle name="Percent 4 3 5 4 2" xfId="43034"/>
    <cellStyle name="Percent 4 3 5 4 2 2" xfId="58160"/>
    <cellStyle name="Percent 4 3 5 4 3" xfId="47866"/>
    <cellStyle name="Percent 4 3 5 5" xfId="40798"/>
    <cellStyle name="Percent 4 3 5 5 2" xfId="55925"/>
    <cellStyle name="Percent 4 3 5 6" xfId="38437"/>
    <cellStyle name="Percent 4 3 5 6 2" xfId="53596"/>
    <cellStyle name="Percent 4 3 5 7" xfId="46167"/>
    <cellStyle name="Percent 4 3 6" xfId="815"/>
    <cellStyle name="Percent 4 3 6 2" xfId="5164"/>
    <cellStyle name="Percent 4 3 6 2 2" xfId="44249"/>
    <cellStyle name="Percent 4 3 6 2 2 2" xfId="59375"/>
    <cellStyle name="Percent 4 3 6 2 3" xfId="42013"/>
    <cellStyle name="Percent 4 3 6 2 3 2" xfId="57140"/>
    <cellStyle name="Percent 4 3 6 2 4" xfId="39733"/>
    <cellStyle name="Percent 4 3 6 2 4 2" xfId="54861"/>
    <cellStyle name="Percent 4 3 6 2 5" xfId="49849"/>
    <cellStyle name="Percent 4 3 6 3" xfId="11625"/>
    <cellStyle name="Percent 4 3 6 3 2" xfId="43385"/>
    <cellStyle name="Percent 4 3 6 3 2 2" xfId="58511"/>
    <cellStyle name="Percent 4 3 6 3 3" xfId="51879"/>
    <cellStyle name="Percent 4 3 6 4" xfId="3050"/>
    <cellStyle name="Percent 4 3 6 4 2" xfId="41149"/>
    <cellStyle name="Percent 4 3 6 4 2 2" xfId="56276"/>
    <cellStyle name="Percent 4 3 6 4 3" xfId="47744"/>
    <cellStyle name="Percent 4 3 6 5" xfId="38568"/>
    <cellStyle name="Percent 4 3 6 5 2" xfId="53722"/>
    <cellStyle name="Percent 4 3 6 6" xfId="46045"/>
    <cellStyle name="Percent 4 3 7" xfId="605"/>
    <cellStyle name="Percent 4 3 7 2" xfId="4954"/>
    <cellStyle name="Percent 4 3 7 2 2" xfId="43811"/>
    <cellStyle name="Percent 4 3 7 2 2 2" xfId="58937"/>
    <cellStyle name="Percent 4 3 7 2 3" xfId="49639"/>
    <cellStyle name="Percent 4 3 7 3" xfId="11415"/>
    <cellStyle name="Percent 4 3 7 3 2" xfId="41575"/>
    <cellStyle name="Percent 4 3 7 3 2 2" xfId="56702"/>
    <cellStyle name="Percent 4 3 7 3 3" xfId="51669"/>
    <cellStyle name="Percent 4 3 7 4" xfId="4108"/>
    <cellStyle name="Percent 4 3 7 4 2" xfId="48798"/>
    <cellStyle name="Percent 4 3 7 5" xfId="39295"/>
    <cellStyle name="Percent 4 3 7 5 2" xfId="54423"/>
    <cellStyle name="Percent 4 3 7 6" xfId="45835"/>
    <cellStyle name="Percent 4 3 8" xfId="1866"/>
    <cellStyle name="Percent 4 3 8 2" xfId="12674"/>
    <cellStyle name="Percent 4 3 8 2 2" xfId="52928"/>
    <cellStyle name="Percent 4 3 8 3" xfId="6213"/>
    <cellStyle name="Percent 4 3 8 3 2" xfId="50898"/>
    <cellStyle name="Percent 4 3 8 4" xfId="42683"/>
    <cellStyle name="Percent 4 3 8 4 2" xfId="57810"/>
    <cellStyle name="Percent 4 3 8 5" xfId="47094"/>
    <cellStyle name="Percent 4 3 9" xfId="2680"/>
    <cellStyle name="Percent 4 3 9 2" xfId="4529"/>
    <cellStyle name="Percent 4 3 9 2 2" xfId="49219"/>
    <cellStyle name="Percent 4 3 9 3" xfId="40448"/>
    <cellStyle name="Percent 4 3 9 3 2" xfId="55575"/>
    <cellStyle name="Percent 4 3 9 4" xfId="47412"/>
    <cellStyle name="Percent 4 4" xfId="269"/>
    <cellStyle name="Percent 4 4 10" xfId="38081"/>
    <cellStyle name="Percent 4 4 10 2" xfId="53281"/>
    <cellStyle name="Percent 4 4 11" xfId="45501"/>
    <cellStyle name="Percent 4 4 2" xfId="1023"/>
    <cellStyle name="Percent 4 4 2 2" xfId="5372"/>
    <cellStyle name="Percent 4 4 2 2 2" xfId="44597"/>
    <cellStyle name="Percent 4 4 2 2 2 2" xfId="59723"/>
    <cellStyle name="Percent 4 4 2 2 3" xfId="42361"/>
    <cellStyle name="Percent 4 4 2 2 3 2" xfId="57488"/>
    <cellStyle name="Percent 4 4 2 2 4" xfId="40081"/>
    <cellStyle name="Percent 4 4 2 2 4 2" xfId="55209"/>
    <cellStyle name="Percent 4 4 2 2 5" xfId="50057"/>
    <cellStyle name="Percent 4 4 2 3" xfId="11833"/>
    <cellStyle name="Percent 4 4 2 3 2" xfId="43031"/>
    <cellStyle name="Percent 4 4 2 3 2 2" xfId="58157"/>
    <cellStyle name="Percent 4 4 2 3 3" xfId="52087"/>
    <cellStyle name="Percent 4 4 2 4" xfId="3258"/>
    <cellStyle name="Percent 4 4 2 4 2" xfId="40795"/>
    <cellStyle name="Percent 4 4 2 4 2 2" xfId="55922"/>
    <cellStyle name="Percent 4 4 2 4 3" xfId="47952"/>
    <cellStyle name="Percent 4 4 2 5" xfId="38938"/>
    <cellStyle name="Percent 4 4 2 5 2" xfId="54070"/>
    <cellStyle name="Percent 4 4 2 6" xfId="46253"/>
    <cellStyle name="Percent 4 4 3" xfId="1325"/>
    <cellStyle name="Percent 4 4 3 2" xfId="5674"/>
    <cellStyle name="Percent 4 4 3 2 2" xfId="44246"/>
    <cellStyle name="Percent 4 4 3 2 2 2" xfId="59372"/>
    <cellStyle name="Percent 4 4 3 2 3" xfId="42010"/>
    <cellStyle name="Percent 4 4 3 2 3 2" xfId="57137"/>
    <cellStyle name="Percent 4 4 3 2 4" xfId="39730"/>
    <cellStyle name="Percent 4 4 3 2 4 2" xfId="54858"/>
    <cellStyle name="Percent 4 4 3 2 5" xfId="50359"/>
    <cellStyle name="Percent 4 4 3 3" xfId="12135"/>
    <cellStyle name="Percent 4 4 3 3 2" xfId="43382"/>
    <cellStyle name="Percent 4 4 3 3 2 2" xfId="58508"/>
    <cellStyle name="Percent 4 4 3 3 3" xfId="52389"/>
    <cellStyle name="Percent 4 4 3 4" xfId="3608"/>
    <cellStyle name="Percent 4 4 3 4 2" xfId="41146"/>
    <cellStyle name="Percent 4 4 3 4 2 2" xfId="56273"/>
    <cellStyle name="Percent 4 4 3 4 3" xfId="48301"/>
    <cellStyle name="Percent 4 4 3 5" xfId="38565"/>
    <cellStyle name="Percent 4 4 3 5 2" xfId="53719"/>
    <cellStyle name="Percent 4 4 3 6" xfId="46555"/>
    <cellStyle name="Percent 4 4 4" xfId="1536"/>
    <cellStyle name="Percent 4 4 4 2" xfId="5885"/>
    <cellStyle name="Percent 4 4 4 2 2" xfId="43808"/>
    <cellStyle name="Percent 4 4 4 2 2 2" xfId="58934"/>
    <cellStyle name="Percent 4 4 4 2 3" xfId="50570"/>
    <cellStyle name="Percent 4 4 4 3" xfId="12346"/>
    <cellStyle name="Percent 4 4 4 3 2" xfId="41572"/>
    <cellStyle name="Percent 4 4 4 3 2 2" xfId="56699"/>
    <cellStyle name="Percent 4 4 4 3 3" xfId="52600"/>
    <cellStyle name="Percent 4 4 4 4" xfId="3835"/>
    <cellStyle name="Percent 4 4 4 4 2" xfId="48528"/>
    <cellStyle name="Percent 4 4 4 5" xfId="39292"/>
    <cellStyle name="Percent 4 4 4 5 2" xfId="54420"/>
    <cellStyle name="Percent 4 4 4 6" xfId="46766"/>
    <cellStyle name="Percent 4 4 5" xfId="691"/>
    <cellStyle name="Percent 4 4 5 2" xfId="5040"/>
    <cellStyle name="Percent 4 4 5 2 2" xfId="49725"/>
    <cellStyle name="Percent 4 4 5 3" xfId="11501"/>
    <cellStyle name="Percent 4 4 5 3 2" xfId="51755"/>
    <cellStyle name="Percent 4 4 5 4" xfId="4194"/>
    <cellStyle name="Percent 4 4 5 4 2" xfId="48884"/>
    <cellStyle name="Percent 4 4 5 5" xfId="42680"/>
    <cellStyle name="Percent 4 4 5 5 2" xfId="57807"/>
    <cellStyle name="Percent 4 4 5 6" xfId="45921"/>
    <cellStyle name="Percent 4 4 6" xfId="1863"/>
    <cellStyle name="Percent 4 4 6 2" xfId="12671"/>
    <cellStyle name="Percent 4 4 6 2 2" xfId="52925"/>
    <cellStyle name="Percent 4 4 6 3" xfId="6210"/>
    <cellStyle name="Percent 4 4 6 3 2" xfId="50895"/>
    <cellStyle name="Percent 4 4 6 4" xfId="40445"/>
    <cellStyle name="Percent 4 4 6 4 2" xfId="55572"/>
    <cellStyle name="Percent 4 4 6 5" xfId="47091"/>
    <cellStyle name="Percent 4 4 7" xfId="4618"/>
    <cellStyle name="Percent 4 4 7 2" xfId="49305"/>
    <cellStyle name="Percent 4 4 8" xfId="11081"/>
    <cellStyle name="Percent 4 4 8 2" xfId="51335"/>
    <cellStyle name="Percent 4 4 9" xfId="2925"/>
    <cellStyle name="Percent 4 4 9 2" xfId="47619"/>
    <cellStyle name="Percent 4 5" xfId="360"/>
    <cellStyle name="Percent 4 5 10" xfId="45590"/>
    <cellStyle name="Percent 4 5 2" xfId="1414"/>
    <cellStyle name="Percent 4 5 2 2" xfId="5763"/>
    <cellStyle name="Percent 4 5 2 2 2" xfId="44673"/>
    <cellStyle name="Percent 4 5 2 2 2 2" xfId="59799"/>
    <cellStyle name="Percent 4 5 2 2 3" xfId="42437"/>
    <cellStyle name="Percent 4 5 2 2 3 2" xfId="57564"/>
    <cellStyle name="Percent 4 5 2 2 4" xfId="40157"/>
    <cellStyle name="Percent 4 5 2 2 4 2" xfId="55285"/>
    <cellStyle name="Percent 4 5 2 2 5" xfId="50448"/>
    <cellStyle name="Percent 4 5 2 3" xfId="12224"/>
    <cellStyle name="Percent 4 5 2 3 2" xfId="43107"/>
    <cellStyle name="Percent 4 5 2 3 2 2" xfId="58233"/>
    <cellStyle name="Percent 4 5 2 3 3" xfId="52478"/>
    <cellStyle name="Percent 4 5 2 4" xfId="3697"/>
    <cellStyle name="Percent 4 5 2 4 2" xfId="40871"/>
    <cellStyle name="Percent 4 5 2 4 2 2" xfId="55998"/>
    <cellStyle name="Percent 4 5 2 4 3" xfId="48390"/>
    <cellStyle name="Percent 4 5 2 5" xfId="39015"/>
    <cellStyle name="Percent 4 5 2 5 2" xfId="54146"/>
    <cellStyle name="Percent 4 5 2 6" xfId="46644"/>
    <cellStyle name="Percent 4 5 3" xfId="1625"/>
    <cellStyle name="Percent 4 5 3 2" xfId="5974"/>
    <cellStyle name="Percent 4 5 3 2 2" xfId="44322"/>
    <cellStyle name="Percent 4 5 3 2 2 2" xfId="59448"/>
    <cellStyle name="Percent 4 5 3 2 3" xfId="42086"/>
    <cellStyle name="Percent 4 5 3 2 3 2" xfId="57213"/>
    <cellStyle name="Percent 4 5 3 2 4" xfId="39806"/>
    <cellStyle name="Percent 4 5 3 2 4 2" xfId="54934"/>
    <cellStyle name="Percent 4 5 3 2 5" xfId="50659"/>
    <cellStyle name="Percent 4 5 3 3" xfId="12435"/>
    <cellStyle name="Percent 4 5 3 3 2" xfId="43458"/>
    <cellStyle name="Percent 4 5 3 3 2 2" xfId="58584"/>
    <cellStyle name="Percent 4 5 3 3 3" xfId="52689"/>
    <cellStyle name="Percent 4 5 3 4" xfId="3924"/>
    <cellStyle name="Percent 4 5 3 4 2" xfId="41222"/>
    <cellStyle name="Percent 4 5 3 4 2 2" xfId="56349"/>
    <cellStyle name="Percent 4 5 3 4 3" xfId="48617"/>
    <cellStyle name="Percent 4 5 3 5" xfId="38642"/>
    <cellStyle name="Percent 4 5 3 5 2" xfId="53795"/>
    <cellStyle name="Percent 4 5 3 6" xfId="46855"/>
    <cellStyle name="Percent 4 5 4" xfId="1112"/>
    <cellStyle name="Percent 4 5 4 2" xfId="5461"/>
    <cellStyle name="Percent 4 5 4 2 2" xfId="43884"/>
    <cellStyle name="Percent 4 5 4 2 2 2" xfId="59010"/>
    <cellStyle name="Percent 4 5 4 2 3" xfId="50146"/>
    <cellStyle name="Percent 4 5 4 3" xfId="11922"/>
    <cellStyle name="Percent 4 5 4 3 2" xfId="41648"/>
    <cellStyle name="Percent 4 5 4 3 2 2" xfId="56775"/>
    <cellStyle name="Percent 4 5 4 3 3" xfId="52176"/>
    <cellStyle name="Percent 4 5 4 4" xfId="4283"/>
    <cellStyle name="Percent 4 5 4 4 2" xfId="48973"/>
    <cellStyle name="Percent 4 5 4 5" xfId="39368"/>
    <cellStyle name="Percent 4 5 4 5 2" xfId="54496"/>
    <cellStyle name="Percent 4 5 4 6" xfId="46342"/>
    <cellStyle name="Percent 4 5 5" xfId="1941"/>
    <cellStyle name="Percent 4 5 5 2" xfId="12748"/>
    <cellStyle name="Percent 4 5 5 2 2" xfId="53001"/>
    <cellStyle name="Percent 4 5 5 3" xfId="6288"/>
    <cellStyle name="Percent 4 5 5 3 2" xfId="50971"/>
    <cellStyle name="Percent 4 5 5 4" xfId="42756"/>
    <cellStyle name="Percent 4 5 5 4 2" xfId="57883"/>
    <cellStyle name="Percent 4 5 5 5" xfId="47167"/>
    <cellStyle name="Percent 4 5 6" xfId="4709"/>
    <cellStyle name="Percent 4 5 6 2" xfId="40521"/>
    <cellStyle name="Percent 4 5 6 2 2" xfId="55648"/>
    <cellStyle name="Percent 4 5 6 3" xfId="49394"/>
    <cellStyle name="Percent 4 5 7" xfId="11170"/>
    <cellStyle name="Percent 4 5 7 2" xfId="51424"/>
    <cellStyle name="Percent 4 5 8" xfId="3347"/>
    <cellStyle name="Percent 4 5 8 2" xfId="48041"/>
    <cellStyle name="Percent 4 5 9" xfId="38157"/>
    <cellStyle name="Percent 4 5 9 2" xfId="53357"/>
    <cellStyle name="Percent 4 6" xfId="481"/>
    <cellStyle name="Percent 4 6 2" xfId="1746"/>
    <cellStyle name="Percent 4 6 2 2" xfId="6095"/>
    <cellStyle name="Percent 4 6 2 2 2" xfId="44749"/>
    <cellStyle name="Percent 4 6 2 2 2 2" xfId="59875"/>
    <cellStyle name="Percent 4 6 2 2 3" xfId="42513"/>
    <cellStyle name="Percent 4 6 2 2 3 2" xfId="57640"/>
    <cellStyle name="Percent 4 6 2 2 4" xfId="40233"/>
    <cellStyle name="Percent 4 6 2 2 4 2" xfId="55361"/>
    <cellStyle name="Percent 4 6 2 2 5" xfId="50780"/>
    <cellStyle name="Percent 4 6 2 3" xfId="12556"/>
    <cellStyle name="Percent 4 6 2 3 2" xfId="43183"/>
    <cellStyle name="Percent 4 6 2 3 2 2" xfId="58309"/>
    <cellStyle name="Percent 4 6 2 3 3" xfId="52810"/>
    <cellStyle name="Percent 4 6 2 4" xfId="4045"/>
    <cellStyle name="Percent 4 6 2 4 2" xfId="40947"/>
    <cellStyle name="Percent 4 6 2 4 2 2" xfId="56074"/>
    <cellStyle name="Percent 4 6 2 4 3" xfId="48738"/>
    <cellStyle name="Percent 4 6 2 5" xfId="39091"/>
    <cellStyle name="Percent 4 6 2 5 2" xfId="54222"/>
    <cellStyle name="Percent 4 6 2 6" xfId="46976"/>
    <cellStyle name="Percent 4 6 3" xfId="1233"/>
    <cellStyle name="Percent 4 6 3 2" xfId="5582"/>
    <cellStyle name="Percent 4 6 3 2 2" xfId="44398"/>
    <cellStyle name="Percent 4 6 3 2 2 2" xfId="59524"/>
    <cellStyle name="Percent 4 6 3 2 3" xfId="42162"/>
    <cellStyle name="Percent 4 6 3 2 3 2" xfId="57289"/>
    <cellStyle name="Percent 4 6 3 2 4" xfId="39882"/>
    <cellStyle name="Percent 4 6 3 2 4 2" xfId="55010"/>
    <cellStyle name="Percent 4 6 3 2 5" xfId="50267"/>
    <cellStyle name="Percent 4 6 3 3" xfId="12043"/>
    <cellStyle name="Percent 4 6 3 3 2" xfId="43534"/>
    <cellStyle name="Percent 4 6 3 3 2 2" xfId="58660"/>
    <cellStyle name="Percent 4 6 3 3 3" xfId="52297"/>
    <cellStyle name="Percent 4 6 3 4" xfId="4404"/>
    <cellStyle name="Percent 4 6 3 4 2" xfId="41298"/>
    <cellStyle name="Percent 4 6 3 4 2 2" xfId="56425"/>
    <cellStyle name="Percent 4 6 3 4 3" xfId="49094"/>
    <cellStyle name="Percent 4 6 3 5" xfId="38718"/>
    <cellStyle name="Percent 4 6 3 5 2" xfId="53871"/>
    <cellStyle name="Percent 4 6 3 6" xfId="46463"/>
    <cellStyle name="Percent 4 6 4" xfId="2017"/>
    <cellStyle name="Percent 4 6 4 2" xfId="12824"/>
    <cellStyle name="Percent 4 6 4 2 2" xfId="43960"/>
    <cellStyle name="Percent 4 6 4 2 2 2" xfId="59086"/>
    <cellStyle name="Percent 4 6 4 2 3" xfId="53077"/>
    <cellStyle name="Percent 4 6 4 3" xfId="6364"/>
    <cellStyle name="Percent 4 6 4 3 2" xfId="41724"/>
    <cellStyle name="Percent 4 6 4 3 2 2" xfId="56851"/>
    <cellStyle name="Percent 4 6 4 3 3" xfId="51047"/>
    <cellStyle name="Percent 4 6 4 4" xfId="39444"/>
    <cellStyle name="Percent 4 6 4 4 2" xfId="54572"/>
    <cellStyle name="Percent 4 6 4 5" xfId="47243"/>
    <cellStyle name="Percent 4 6 5" xfId="4830"/>
    <cellStyle name="Percent 4 6 5 2" xfId="42832"/>
    <cellStyle name="Percent 4 6 5 2 2" xfId="57959"/>
    <cellStyle name="Percent 4 6 5 3" xfId="49515"/>
    <cellStyle name="Percent 4 6 6" xfId="11291"/>
    <cellStyle name="Percent 4 6 6 2" xfId="40597"/>
    <cellStyle name="Percent 4 6 6 2 2" xfId="55724"/>
    <cellStyle name="Percent 4 6 6 3" xfId="51545"/>
    <cellStyle name="Percent 4 6 7" xfId="3468"/>
    <cellStyle name="Percent 4 6 7 2" xfId="48162"/>
    <cellStyle name="Percent 4 6 8" xfId="38233"/>
    <cellStyle name="Percent 4 6 8 2" xfId="53433"/>
    <cellStyle name="Percent 4 6 9" xfId="45711"/>
    <cellStyle name="Percent 4 7" xfId="934"/>
    <cellStyle name="Percent 4 7 2" xfId="2094"/>
    <cellStyle name="Percent 4 7 2 2" xfId="12900"/>
    <cellStyle name="Percent 4 7 2 2 2" xfId="44825"/>
    <cellStyle name="Percent 4 7 2 2 2 2" xfId="59951"/>
    <cellStyle name="Percent 4 7 2 2 3" xfId="42589"/>
    <cellStyle name="Percent 4 7 2 2 3 2" xfId="57716"/>
    <cellStyle name="Percent 4 7 2 2 4" xfId="40309"/>
    <cellStyle name="Percent 4 7 2 2 4 2" xfId="55437"/>
    <cellStyle name="Percent 4 7 2 2 5" xfId="53153"/>
    <cellStyle name="Percent 4 7 2 3" xfId="6440"/>
    <cellStyle name="Percent 4 7 2 3 2" xfId="43259"/>
    <cellStyle name="Percent 4 7 2 3 2 2" xfId="58385"/>
    <cellStyle name="Percent 4 7 2 3 3" xfId="51123"/>
    <cellStyle name="Percent 4 7 2 4" xfId="41023"/>
    <cellStyle name="Percent 4 7 2 4 2" xfId="56150"/>
    <cellStyle name="Percent 4 7 2 5" xfId="39167"/>
    <cellStyle name="Percent 4 7 2 5 2" xfId="54298"/>
    <cellStyle name="Percent 4 7 2 6" xfId="47319"/>
    <cellStyle name="Percent 4 7 3" xfId="5283"/>
    <cellStyle name="Percent 4 7 3 2" xfId="39958"/>
    <cellStyle name="Percent 4 7 3 2 2" xfId="44474"/>
    <cellStyle name="Percent 4 7 3 2 2 2" xfId="59600"/>
    <cellStyle name="Percent 4 7 3 2 3" xfId="42238"/>
    <cellStyle name="Percent 4 7 3 2 3 2" xfId="57365"/>
    <cellStyle name="Percent 4 7 3 2 4" xfId="55086"/>
    <cellStyle name="Percent 4 7 3 3" xfId="43610"/>
    <cellStyle name="Percent 4 7 3 3 2" xfId="58736"/>
    <cellStyle name="Percent 4 7 3 4" xfId="41374"/>
    <cellStyle name="Percent 4 7 3 4 2" xfId="56501"/>
    <cellStyle name="Percent 4 7 3 5" xfId="38794"/>
    <cellStyle name="Percent 4 7 3 5 2" xfId="53947"/>
    <cellStyle name="Percent 4 7 3 6" xfId="49968"/>
    <cellStyle name="Percent 4 7 4" xfId="11744"/>
    <cellStyle name="Percent 4 7 4 2" xfId="44036"/>
    <cellStyle name="Percent 4 7 4 2 2" xfId="59162"/>
    <cellStyle name="Percent 4 7 4 3" xfId="41800"/>
    <cellStyle name="Percent 4 7 4 3 2" xfId="56927"/>
    <cellStyle name="Percent 4 7 4 4" xfId="39520"/>
    <cellStyle name="Percent 4 7 4 4 2" xfId="54648"/>
    <cellStyle name="Percent 4 7 4 5" xfId="51998"/>
    <cellStyle name="Percent 4 7 5" xfId="3169"/>
    <cellStyle name="Percent 4 7 5 2" xfId="42908"/>
    <cellStyle name="Percent 4 7 5 2 2" xfId="58035"/>
    <cellStyle name="Percent 4 7 5 3" xfId="47863"/>
    <cellStyle name="Percent 4 7 6" xfId="40673"/>
    <cellStyle name="Percent 4 7 6 2" xfId="55800"/>
    <cellStyle name="Percent 4 7 7" xfId="38309"/>
    <cellStyle name="Percent 4 7 7 2" xfId="53509"/>
    <cellStyle name="Percent 4 7 8" xfId="46164"/>
    <cellStyle name="Percent 4 8" xfId="812"/>
    <cellStyle name="Percent 4 8 2" xfId="5161"/>
    <cellStyle name="Percent 4 8 2 2" xfId="39990"/>
    <cellStyle name="Percent 4 8 2 2 2" xfId="44506"/>
    <cellStyle name="Percent 4 8 2 2 2 2" xfId="59632"/>
    <cellStyle name="Percent 4 8 2 2 3" xfId="42270"/>
    <cellStyle name="Percent 4 8 2 2 3 2" xfId="57397"/>
    <cellStyle name="Percent 4 8 2 2 4" xfId="55118"/>
    <cellStyle name="Percent 4 8 2 3" xfId="43641"/>
    <cellStyle name="Percent 4 8 2 3 2" xfId="58767"/>
    <cellStyle name="Percent 4 8 2 4" xfId="41405"/>
    <cellStyle name="Percent 4 8 2 4 2" xfId="56532"/>
    <cellStyle name="Percent 4 8 2 5" xfId="38847"/>
    <cellStyle name="Percent 4 8 2 5 2" xfId="53979"/>
    <cellStyle name="Percent 4 8 2 6" xfId="49846"/>
    <cellStyle name="Percent 4 8 3" xfId="11622"/>
    <cellStyle name="Percent 4 8 3 2" xfId="44120"/>
    <cellStyle name="Percent 4 8 3 2 2" xfId="59246"/>
    <cellStyle name="Percent 4 8 3 3" xfId="41884"/>
    <cellStyle name="Percent 4 8 3 3 2" xfId="57011"/>
    <cellStyle name="Percent 4 8 3 4" xfId="39604"/>
    <cellStyle name="Percent 4 8 3 4 2" xfId="54732"/>
    <cellStyle name="Percent 4 8 3 5" xfId="51876"/>
    <cellStyle name="Percent 4 8 4" xfId="3047"/>
    <cellStyle name="Percent 4 8 4 2" xfId="42940"/>
    <cellStyle name="Percent 4 8 4 2 2" xfId="58066"/>
    <cellStyle name="Percent 4 8 4 3" xfId="47741"/>
    <cellStyle name="Percent 4 8 5" xfId="40704"/>
    <cellStyle name="Percent 4 8 5 2" xfId="55831"/>
    <cellStyle name="Percent 4 8 6" xfId="38434"/>
    <cellStyle name="Percent 4 8 6 2" xfId="53593"/>
    <cellStyle name="Percent 4 8 7" xfId="46042"/>
    <cellStyle name="Percent 4 9" xfId="602"/>
    <cellStyle name="Percent 4 9 2" xfId="4951"/>
    <cellStyle name="Percent 4 9 2 2" xfId="44155"/>
    <cellStyle name="Percent 4 9 2 2 2" xfId="59281"/>
    <cellStyle name="Percent 4 9 2 3" xfId="41919"/>
    <cellStyle name="Percent 4 9 2 3 2" xfId="57046"/>
    <cellStyle name="Percent 4 9 2 4" xfId="39639"/>
    <cellStyle name="Percent 4 9 2 4 2" xfId="54767"/>
    <cellStyle name="Percent 4 9 2 5" xfId="49636"/>
    <cellStyle name="Percent 4 9 3" xfId="11412"/>
    <cellStyle name="Percent 4 9 3 2" xfId="43291"/>
    <cellStyle name="Percent 4 9 3 2 2" xfId="58417"/>
    <cellStyle name="Percent 4 9 3 3" xfId="51666"/>
    <cellStyle name="Percent 4 9 4" xfId="4105"/>
    <cellStyle name="Percent 4 9 4 2" xfId="41055"/>
    <cellStyle name="Percent 4 9 4 2 2" xfId="56182"/>
    <cellStyle name="Percent 4 9 4 3" xfId="48795"/>
    <cellStyle name="Percent 4 9 5" xfId="38472"/>
    <cellStyle name="Percent 4 9 5 2" xfId="53628"/>
    <cellStyle name="Percent 4 9 6" xfId="45832"/>
    <cellStyle name="Percent 5" xfId="177"/>
    <cellStyle name="Percent 5 2" xfId="38815"/>
    <cellStyle name="Percent 6" xfId="178"/>
    <cellStyle name="Percent 6 2" xfId="179"/>
    <cellStyle name="Percent 6 2 2" xfId="38827"/>
    <cellStyle name="Percent 6 3" xfId="1867"/>
    <cellStyle name="Percent 6 3 2" xfId="38826"/>
    <cellStyle name="Percent 6 4" xfId="38817"/>
    <cellStyle name="Percent 6 5" xfId="60018"/>
    <cellStyle name="Percent 7" xfId="180"/>
    <cellStyle name="Percent 7 10" xfId="2681"/>
    <cellStyle name="Percent 7 10 2" xfId="4530"/>
    <cellStyle name="Percent 7 10 2 2" xfId="49220"/>
    <cellStyle name="Percent 7 10 3" xfId="42609"/>
    <cellStyle name="Percent 7 10 3 2" xfId="57736"/>
    <cellStyle name="Percent 7 10 4" xfId="47413"/>
    <cellStyle name="Percent 7 11" xfId="10996"/>
    <cellStyle name="Percent 7 11 2" xfId="40374"/>
    <cellStyle name="Percent 7 11 2 2" xfId="55501"/>
    <cellStyle name="Percent 7 11 3" xfId="51250"/>
    <cellStyle name="Percent 7 12" xfId="2838"/>
    <cellStyle name="Percent 7 12 2" xfId="47534"/>
    <cellStyle name="Percent 7 13" xfId="38009"/>
    <cellStyle name="Percent 7 13 2" xfId="53210"/>
    <cellStyle name="Percent 7 14" xfId="45416"/>
    <cellStyle name="Percent 7 15" xfId="60019"/>
    <cellStyle name="Percent 7 2" xfId="181"/>
    <cellStyle name="Percent 7 2 10" xfId="10997"/>
    <cellStyle name="Percent 7 2 10 2" xfId="51251"/>
    <cellStyle name="Percent 7 2 11" xfId="2839"/>
    <cellStyle name="Percent 7 2 11 2" xfId="47535"/>
    <cellStyle name="Percent 7 2 12" xfId="38086"/>
    <cellStyle name="Percent 7 2 12 2" xfId="53286"/>
    <cellStyle name="Percent 7 2 13" xfId="45417"/>
    <cellStyle name="Percent 7 2 2" xfId="274"/>
    <cellStyle name="Percent 7 2 2 10" xfId="38162"/>
    <cellStyle name="Percent 7 2 2 10 2" xfId="53362"/>
    <cellStyle name="Percent 7 2 2 11" xfId="45506"/>
    <cellStyle name="Percent 7 2 2 2" xfId="1028"/>
    <cellStyle name="Percent 7 2 2 2 2" xfId="5377"/>
    <cellStyle name="Percent 7 2 2 2 2 2" xfId="44678"/>
    <cellStyle name="Percent 7 2 2 2 2 2 2" xfId="59804"/>
    <cellStyle name="Percent 7 2 2 2 2 3" xfId="42442"/>
    <cellStyle name="Percent 7 2 2 2 2 3 2" xfId="57569"/>
    <cellStyle name="Percent 7 2 2 2 2 4" xfId="40162"/>
    <cellStyle name="Percent 7 2 2 2 2 4 2" xfId="55290"/>
    <cellStyle name="Percent 7 2 2 2 2 5" xfId="50062"/>
    <cellStyle name="Percent 7 2 2 2 3" xfId="11838"/>
    <cellStyle name="Percent 7 2 2 2 3 2" xfId="43112"/>
    <cellStyle name="Percent 7 2 2 2 3 2 2" xfId="58238"/>
    <cellStyle name="Percent 7 2 2 2 3 3" xfId="52092"/>
    <cellStyle name="Percent 7 2 2 2 4" xfId="3263"/>
    <cellStyle name="Percent 7 2 2 2 4 2" xfId="40876"/>
    <cellStyle name="Percent 7 2 2 2 4 2 2" xfId="56003"/>
    <cellStyle name="Percent 7 2 2 2 4 3" xfId="47957"/>
    <cellStyle name="Percent 7 2 2 2 5" xfId="39020"/>
    <cellStyle name="Percent 7 2 2 2 5 2" xfId="54151"/>
    <cellStyle name="Percent 7 2 2 2 6" xfId="46258"/>
    <cellStyle name="Percent 7 2 2 3" xfId="1330"/>
    <cellStyle name="Percent 7 2 2 3 2" xfId="5679"/>
    <cellStyle name="Percent 7 2 2 3 2 2" xfId="44327"/>
    <cellStyle name="Percent 7 2 2 3 2 2 2" xfId="59453"/>
    <cellStyle name="Percent 7 2 2 3 2 3" xfId="42091"/>
    <cellStyle name="Percent 7 2 2 3 2 3 2" xfId="57218"/>
    <cellStyle name="Percent 7 2 2 3 2 4" xfId="39811"/>
    <cellStyle name="Percent 7 2 2 3 2 4 2" xfId="54939"/>
    <cellStyle name="Percent 7 2 2 3 2 5" xfId="50364"/>
    <cellStyle name="Percent 7 2 2 3 3" xfId="12140"/>
    <cellStyle name="Percent 7 2 2 3 3 2" xfId="43463"/>
    <cellStyle name="Percent 7 2 2 3 3 2 2" xfId="58589"/>
    <cellStyle name="Percent 7 2 2 3 3 3" xfId="52394"/>
    <cellStyle name="Percent 7 2 2 3 4" xfId="3613"/>
    <cellStyle name="Percent 7 2 2 3 4 2" xfId="41227"/>
    <cellStyle name="Percent 7 2 2 3 4 2 2" xfId="56354"/>
    <cellStyle name="Percent 7 2 2 3 4 3" xfId="48306"/>
    <cellStyle name="Percent 7 2 2 3 5" xfId="38647"/>
    <cellStyle name="Percent 7 2 2 3 5 2" xfId="53800"/>
    <cellStyle name="Percent 7 2 2 3 6" xfId="46560"/>
    <cellStyle name="Percent 7 2 2 4" xfId="1541"/>
    <cellStyle name="Percent 7 2 2 4 2" xfId="5890"/>
    <cellStyle name="Percent 7 2 2 4 2 2" xfId="43889"/>
    <cellStyle name="Percent 7 2 2 4 2 2 2" xfId="59015"/>
    <cellStyle name="Percent 7 2 2 4 2 3" xfId="50575"/>
    <cellStyle name="Percent 7 2 2 4 3" xfId="12351"/>
    <cellStyle name="Percent 7 2 2 4 3 2" xfId="41653"/>
    <cellStyle name="Percent 7 2 2 4 3 2 2" xfId="56780"/>
    <cellStyle name="Percent 7 2 2 4 3 3" xfId="52605"/>
    <cellStyle name="Percent 7 2 2 4 4" xfId="3840"/>
    <cellStyle name="Percent 7 2 2 4 4 2" xfId="48533"/>
    <cellStyle name="Percent 7 2 2 4 5" xfId="39373"/>
    <cellStyle name="Percent 7 2 2 4 5 2" xfId="54501"/>
    <cellStyle name="Percent 7 2 2 4 6" xfId="46771"/>
    <cellStyle name="Percent 7 2 2 5" xfId="696"/>
    <cellStyle name="Percent 7 2 2 5 2" xfId="5045"/>
    <cellStyle name="Percent 7 2 2 5 2 2" xfId="49730"/>
    <cellStyle name="Percent 7 2 2 5 3" xfId="11506"/>
    <cellStyle name="Percent 7 2 2 5 3 2" xfId="51760"/>
    <cellStyle name="Percent 7 2 2 5 4" xfId="4199"/>
    <cellStyle name="Percent 7 2 2 5 4 2" xfId="48889"/>
    <cellStyle name="Percent 7 2 2 5 5" xfId="42761"/>
    <cellStyle name="Percent 7 2 2 5 5 2" xfId="57888"/>
    <cellStyle name="Percent 7 2 2 5 6" xfId="45926"/>
    <cellStyle name="Percent 7 2 2 6" xfId="1946"/>
    <cellStyle name="Percent 7 2 2 6 2" xfId="12753"/>
    <cellStyle name="Percent 7 2 2 6 2 2" xfId="53006"/>
    <cellStyle name="Percent 7 2 2 6 3" xfId="6293"/>
    <cellStyle name="Percent 7 2 2 6 3 2" xfId="50976"/>
    <cellStyle name="Percent 7 2 2 6 4" xfId="40526"/>
    <cellStyle name="Percent 7 2 2 6 4 2" xfId="55653"/>
    <cellStyle name="Percent 7 2 2 6 5" xfId="47172"/>
    <cellStyle name="Percent 7 2 2 7" xfId="4623"/>
    <cellStyle name="Percent 7 2 2 7 2" xfId="49310"/>
    <cellStyle name="Percent 7 2 2 8" xfId="11086"/>
    <cellStyle name="Percent 7 2 2 8 2" xfId="51340"/>
    <cellStyle name="Percent 7 2 2 9" xfId="2930"/>
    <cellStyle name="Percent 7 2 2 9 2" xfId="47624"/>
    <cellStyle name="Percent 7 2 3" xfId="365"/>
    <cellStyle name="Percent 7 2 3 10" xfId="45595"/>
    <cellStyle name="Percent 7 2 3 2" xfId="1419"/>
    <cellStyle name="Percent 7 2 3 2 2" xfId="5768"/>
    <cellStyle name="Percent 7 2 3 2 2 2" xfId="44754"/>
    <cellStyle name="Percent 7 2 3 2 2 2 2" xfId="59880"/>
    <cellStyle name="Percent 7 2 3 2 2 3" xfId="42518"/>
    <cellStyle name="Percent 7 2 3 2 2 3 2" xfId="57645"/>
    <cellStyle name="Percent 7 2 3 2 2 4" xfId="40238"/>
    <cellStyle name="Percent 7 2 3 2 2 4 2" xfId="55366"/>
    <cellStyle name="Percent 7 2 3 2 2 5" xfId="50453"/>
    <cellStyle name="Percent 7 2 3 2 3" xfId="12229"/>
    <cellStyle name="Percent 7 2 3 2 3 2" xfId="43188"/>
    <cellStyle name="Percent 7 2 3 2 3 2 2" xfId="58314"/>
    <cellStyle name="Percent 7 2 3 2 3 3" xfId="52483"/>
    <cellStyle name="Percent 7 2 3 2 4" xfId="3702"/>
    <cellStyle name="Percent 7 2 3 2 4 2" xfId="40952"/>
    <cellStyle name="Percent 7 2 3 2 4 2 2" xfId="56079"/>
    <cellStyle name="Percent 7 2 3 2 4 3" xfId="48395"/>
    <cellStyle name="Percent 7 2 3 2 5" xfId="39096"/>
    <cellStyle name="Percent 7 2 3 2 5 2" xfId="54227"/>
    <cellStyle name="Percent 7 2 3 2 6" xfId="46649"/>
    <cellStyle name="Percent 7 2 3 3" xfId="1630"/>
    <cellStyle name="Percent 7 2 3 3 2" xfId="5979"/>
    <cellStyle name="Percent 7 2 3 3 2 2" xfId="44403"/>
    <cellStyle name="Percent 7 2 3 3 2 2 2" xfId="59529"/>
    <cellStyle name="Percent 7 2 3 3 2 3" xfId="42167"/>
    <cellStyle name="Percent 7 2 3 3 2 3 2" xfId="57294"/>
    <cellStyle name="Percent 7 2 3 3 2 4" xfId="39887"/>
    <cellStyle name="Percent 7 2 3 3 2 4 2" xfId="55015"/>
    <cellStyle name="Percent 7 2 3 3 2 5" xfId="50664"/>
    <cellStyle name="Percent 7 2 3 3 3" xfId="12440"/>
    <cellStyle name="Percent 7 2 3 3 3 2" xfId="43539"/>
    <cellStyle name="Percent 7 2 3 3 3 2 2" xfId="58665"/>
    <cellStyle name="Percent 7 2 3 3 3 3" xfId="52694"/>
    <cellStyle name="Percent 7 2 3 3 4" xfId="3929"/>
    <cellStyle name="Percent 7 2 3 3 4 2" xfId="41303"/>
    <cellStyle name="Percent 7 2 3 3 4 2 2" xfId="56430"/>
    <cellStyle name="Percent 7 2 3 3 4 3" xfId="48622"/>
    <cellStyle name="Percent 7 2 3 3 5" xfId="38723"/>
    <cellStyle name="Percent 7 2 3 3 5 2" xfId="53876"/>
    <cellStyle name="Percent 7 2 3 3 6" xfId="46860"/>
    <cellStyle name="Percent 7 2 3 4" xfId="1117"/>
    <cellStyle name="Percent 7 2 3 4 2" xfId="5466"/>
    <cellStyle name="Percent 7 2 3 4 2 2" xfId="43965"/>
    <cellStyle name="Percent 7 2 3 4 2 2 2" xfId="59091"/>
    <cellStyle name="Percent 7 2 3 4 2 3" xfId="50151"/>
    <cellStyle name="Percent 7 2 3 4 3" xfId="11927"/>
    <cellStyle name="Percent 7 2 3 4 3 2" xfId="41729"/>
    <cellStyle name="Percent 7 2 3 4 3 2 2" xfId="56856"/>
    <cellStyle name="Percent 7 2 3 4 3 3" xfId="52181"/>
    <cellStyle name="Percent 7 2 3 4 4" xfId="4288"/>
    <cellStyle name="Percent 7 2 3 4 4 2" xfId="48978"/>
    <cellStyle name="Percent 7 2 3 4 5" xfId="39449"/>
    <cellStyle name="Percent 7 2 3 4 5 2" xfId="54577"/>
    <cellStyle name="Percent 7 2 3 4 6" xfId="46347"/>
    <cellStyle name="Percent 7 2 3 5" xfId="2023"/>
    <cellStyle name="Percent 7 2 3 5 2" xfId="12829"/>
    <cellStyle name="Percent 7 2 3 5 2 2" xfId="53082"/>
    <cellStyle name="Percent 7 2 3 5 3" xfId="6369"/>
    <cellStyle name="Percent 7 2 3 5 3 2" xfId="51052"/>
    <cellStyle name="Percent 7 2 3 5 4" xfId="42837"/>
    <cellStyle name="Percent 7 2 3 5 4 2" xfId="57964"/>
    <cellStyle name="Percent 7 2 3 5 5" xfId="47248"/>
    <cellStyle name="Percent 7 2 3 6" xfId="4714"/>
    <cellStyle name="Percent 7 2 3 6 2" xfId="40602"/>
    <cellStyle name="Percent 7 2 3 6 2 2" xfId="55729"/>
    <cellStyle name="Percent 7 2 3 6 3" xfId="49399"/>
    <cellStyle name="Percent 7 2 3 7" xfId="11175"/>
    <cellStyle name="Percent 7 2 3 7 2" xfId="51429"/>
    <cellStyle name="Percent 7 2 3 8" xfId="3352"/>
    <cellStyle name="Percent 7 2 3 8 2" xfId="48046"/>
    <cellStyle name="Percent 7 2 3 9" xfId="38238"/>
    <cellStyle name="Percent 7 2 3 9 2" xfId="53438"/>
    <cellStyle name="Percent 7 2 4" xfId="486"/>
    <cellStyle name="Percent 7 2 4 2" xfId="1751"/>
    <cellStyle name="Percent 7 2 4 2 2" xfId="6100"/>
    <cellStyle name="Percent 7 2 4 2 2 2" xfId="44830"/>
    <cellStyle name="Percent 7 2 4 2 2 2 2" xfId="59956"/>
    <cellStyle name="Percent 7 2 4 2 2 3" xfId="42594"/>
    <cellStyle name="Percent 7 2 4 2 2 3 2" xfId="57721"/>
    <cellStyle name="Percent 7 2 4 2 2 4" xfId="40314"/>
    <cellStyle name="Percent 7 2 4 2 2 4 2" xfId="55442"/>
    <cellStyle name="Percent 7 2 4 2 2 5" xfId="50785"/>
    <cellStyle name="Percent 7 2 4 2 3" xfId="12561"/>
    <cellStyle name="Percent 7 2 4 2 3 2" xfId="43264"/>
    <cellStyle name="Percent 7 2 4 2 3 2 2" xfId="58390"/>
    <cellStyle name="Percent 7 2 4 2 3 3" xfId="52815"/>
    <cellStyle name="Percent 7 2 4 2 4" xfId="4050"/>
    <cellStyle name="Percent 7 2 4 2 4 2" xfId="41028"/>
    <cellStyle name="Percent 7 2 4 2 4 2 2" xfId="56155"/>
    <cellStyle name="Percent 7 2 4 2 4 3" xfId="48743"/>
    <cellStyle name="Percent 7 2 4 2 5" xfId="39172"/>
    <cellStyle name="Percent 7 2 4 2 5 2" xfId="54303"/>
    <cellStyle name="Percent 7 2 4 2 6" xfId="46981"/>
    <cellStyle name="Percent 7 2 4 3" xfId="1238"/>
    <cellStyle name="Percent 7 2 4 3 2" xfId="5587"/>
    <cellStyle name="Percent 7 2 4 3 2 2" xfId="44479"/>
    <cellStyle name="Percent 7 2 4 3 2 2 2" xfId="59605"/>
    <cellStyle name="Percent 7 2 4 3 2 3" xfId="42243"/>
    <cellStyle name="Percent 7 2 4 3 2 3 2" xfId="57370"/>
    <cellStyle name="Percent 7 2 4 3 2 4" xfId="39963"/>
    <cellStyle name="Percent 7 2 4 3 2 4 2" xfId="55091"/>
    <cellStyle name="Percent 7 2 4 3 2 5" xfId="50272"/>
    <cellStyle name="Percent 7 2 4 3 3" xfId="12048"/>
    <cellStyle name="Percent 7 2 4 3 3 2" xfId="43615"/>
    <cellStyle name="Percent 7 2 4 3 3 2 2" xfId="58741"/>
    <cellStyle name="Percent 7 2 4 3 3 3" xfId="52302"/>
    <cellStyle name="Percent 7 2 4 3 4" xfId="4409"/>
    <cellStyle name="Percent 7 2 4 3 4 2" xfId="41379"/>
    <cellStyle name="Percent 7 2 4 3 4 2 2" xfId="56506"/>
    <cellStyle name="Percent 7 2 4 3 4 3" xfId="49099"/>
    <cellStyle name="Percent 7 2 4 3 5" xfId="38799"/>
    <cellStyle name="Percent 7 2 4 3 5 2" xfId="53952"/>
    <cellStyle name="Percent 7 2 4 3 6" xfId="46468"/>
    <cellStyle name="Percent 7 2 4 4" xfId="2099"/>
    <cellStyle name="Percent 7 2 4 4 2" xfId="12905"/>
    <cellStyle name="Percent 7 2 4 4 2 2" xfId="44041"/>
    <cellStyle name="Percent 7 2 4 4 2 2 2" xfId="59167"/>
    <cellStyle name="Percent 7 2 4 4 2 3" xfId="53158"/>
    <cellStyle name="Percent 7 2 4 4 3" xfId="6445"/>
    <cellStyle name="Percent 7 2 4 4 3 2" xfId="41805"/>
    <cellStyle name="Percent 7 2 4 4 3 2 2" xfId="56932"/>
    <cellStyle name="Percent 7 2 4 4 3 3" xfId="51128"/>
    <cellStyle name="Percent 7 2 4 4 4" xfId="39525"/>
    <cellStyle name="Percent 7 2 4 4 4 2" xfId="54653"/>
    <cellStyle name="Percent 7 2 4 4 5" xfId="47324"/>
    <cellStyle name="Percent 7 2 4 5" xfId="4835"/>
    <cellStyle name="Percent 7 2 4 5 2" xfId="42913"/>
    <cellStyle name="Percent 7 2 4 5 2 2" xfId="58040"/>
    <cellStyle name="Percent 7 2 4 5 3" xfId="49520"/>
    <cellStyle name="Percent 7 2 4 6" xfId="11296"/>
    <cellStyle name="Percent 7 2 4 6 2" xfId="40678"/>
    <cellStyle name="Percent 7 2 4 6 2 2" xfId="55805"/>
    <cellStyle name="Percent 7 2 4 6 3" xfId="51550"/>
    <cellStyle name="Percent 7 2 4 7" xfId="3473"/>
    <cellStyle name="Percent 7 2 4 7 2" xfId="48167"/>
    <cellStyle name="Percent 7 2 4 8" xfId="38314"/>
    <cellStyle name="Percent 7 2 4 8 2" xfId="53514"/>
    <cellStyle name="Percent 7 2 4 9" xfId="45716"/>
    <cellStyle name="Percent 7 2 5" xfId="939"/>
    <cellStyle name="Percent 7 2 5 2" xfId="5288"/>
    <cellStyle name="Percent 7 2 5 2 2" xfId="40086"/>
    <cellStyle name="Percent 7 2 5 2 2 2" xfId="44602"/>
    <cellStyle name="Percent 7 2 5 2 2 2 2" xfId="59728"/>
    <cellStyle name="Percent 7 2 5 2 2 3" xfId="42366"/>
    <cellStyle name="Percent 7 2 5 2 2 3 2" xfId="57493"/>
    <cellStyle name="Percent 7 2 5 2 2 4" xfId="55214"/>
    <cellStyle name="Percent 7 2 5 2 3" xfId="43700"/>
    <cellStyle name="Percent 7 2 5 2 3 2" xfId="58826"/>
    <cellStyle name="Percent 7 2 5 2 4" xfId="41464"/>
    <cellStyle name="Percent 7 2 5 2 4 2" xfId="56591"/>
    <cellStyle name="Percent 7 2 5 2 5" xfId="38943"/>
    <cellStyle name="Percent 7 2 5 2 5 2" xfId="54075"/>
    <cellStyle name="Percent 7 2 5 2 6" xfId="49973"/>
    <cellStyle name="Percent 7 2 5 3" xfId="11749"/>
    <cellStyle name="Percent 7 2 5 3 2" xfId="44125"/>
    <cellStyle name="Percent 7 2 5 3 2 2" xfId="59251"/>
    <cellStyle name="Percent 7 2 5 3 3" xfId="41889"/>
    <cellStyle name="Percent 7 2 5 3 3 2" xfId="57016"/>
    <cellStyle name="Percent 7 2 5 3 4" xfId="39609"/>
    <cellStyle name="Percent 7 2 5 3 4 2" xfId="54737"/>
    <cellStyle name="Percent 7 2 5 3 5" xfId="52003"/>
    <cellStyle name="Percent 7 2 5 4" xfId="3174"/>
    <cellStyle name="Percent 7 2 5 4 2" xfId="43036"/>
    <cellStyle name="Percent 7 2 5 4 2 2" xfId="58162"/>
    <cellStyle name="Percent 7 2 5 4 3" xfId="47868"/>
    <cellStyle name="Percent 7 2 5 5" xfId="40800"/>
    <cellStyle name="Percent 7 2 5 5 2" xfId="55927"/>
    <cellStyle name="Percent 7 2 5 6" xfId="38439"/>
    <cellStyle name="Percent 7 2 5 6 2" xfId="53598"/>
    <cellStyle name="Percent 7 2 5 7" xfId="46169"/>
    <cellStyle name="Percent 7 2 6" xfId="817"/>
    <cellStyle name="Percent 7 2 6 2" xfId="5166"/>
    <cellStyle name="Percent 7 2 6 2 2" xfId="44251"/>
    <cellStyle name="Percent 7 2 6 2 2 2" xfId="59377"/>
    <cellStyle name="Percent 7 2 6 2 3" xfId="42015"/>
    <cellStyle name="Percent 7 2 6 2 3 2" xfId="57142"/>
    <cellStyle name="Percent 7 2 6 2 4" xfId="39735"/>
    <cellStyle name="Percent 7 2 6 2 4 2" xfId="54863"/>
    <cellStyle name="Percent 7 2 6 2 5" xfId="49851"/>
    <cellStyle name="Percent 7 2 6 3" xfId="11627"/>
    <cellStyle name="Percent 7 2 6 3 2" xfId="43387"/>
    <cellStyle name="Percent 7 2 6 3 2 2" xfId="58513"/>
    <cellStyle name="Percent 7 2 6 3 3" xfId="51881"/>
    <cellStyle name="Percent 7 2 6 4" xfId="3052"/>
    <cellStyle name="Percent 7 2 6 4 2" xfId="41151"/>
    <cellStyle name="Percent 7 2 6 4 2 2" xfId="56278"/>
    <cellStyle name="Percent 7 2 6 4 3" xfId="47746"/>
    <cellStyle name="Percent 7 2 6 5" xfId="38570"/>
    <cellStyle name="Percent 7 2 6 5 2" xfId="53724"/>
    <cellStyle name="Percent 7 2 6 6" xfId="46047"/>
    <cellStyle name="Percent 7 2 7" xfId="607"/>
    <cellStyle name="Percent 7 2 7 2" xfId="4956"/>
    <cellStyle name="Percent 7 2 7 2 2" xfId="43813"/>
    <cellStyle name="Percent 7 2 7 2 2 2" xfId="58939"/>
    <cellStyle name="Percent 7 2 7 2 3" xfId="49641"/>
    <cellStyle name="Percent 7 2 7 3" xfId="11417"/>
    <cellStyle name="Percent 7 2 7 3 2" xfId="41577"/>
    <cellStyle name="Percent 7 2 7 3 2 2" xfId="56704"/>
    <cellStyle name="Percent 7 2 7 3 3" xfId="51671"/>
    <cellStyle name="Percent 7 2 7 4" xfId="4110"/>
    <cellStyle name="Percent 7 2 7 4 2" xfId="48800"/>
    <cellStyle name="Percent 7 2 7 5" xfId="39297"/>
    <cellStyle name="Percent 7 2 7 5 2" xfId="54425"/>
    <cellStyle name="Percent 7 2 7 6" xfId="45837"/>
    <cellStyle name="Percent 7 2 8" xfId="1869"/>
    <cellStyle name="Percent 7 2 8 2" xfId="12676"/>
    <cellStyle name="Percent 7 2 8 2 2" xfId="52930"/>
    <cellStyle name="Percent 7 2 8 3" xfId="6216"/>
    <cellStyle name="Percent 7 2 8 3 2" xfId="50900"/>
    <cellStyle name="Percent 7 2 8 4" xfId="42685"/>
    <cellStyle name="Percent 7 2 8 4 2" xfId="57812"/>
    <cellStyle name="Percent 7 2 8 5" xfId="47096"/>
    <cellStyle name="Percent 7 2 9" xfId="2682"/>
    <cellStyle name="Percent 7 2 9 2" xfId="4531"/>
    <cellStyle name="Percent 7 2 9 2 2" xfId="49221"/>
    <cellStyle name="Percent 7 2 9 3" xfId="40450"/>
    <cellStyle name="Percent 7 2 9 3 2" xfId="55577"/>
    <cellStyle name="Percent 7 2 9 4" xfId="47414"/>
    <cellStyle name="Percent 7 3" xfId="273"/>
    <cellStyle name="Percent 7 3 10" xfId="38085"/>
    <cellStyle name="Percent 7 3 10 2" xfId="53285"/>
    <cellStyle name="Percent 7 3 11" xfId="45505"/>
    <cellStyle name="Percent 7 3 2" xfId="1027"/>
    <cellStyle name="Percent 7 3 2 2" xfId="5376"/>
    <cellStyle name="Percent 7 3 2 2 2" xfId="44601"/>
    <cellStyle name="Percent 7 3 2 2 2 2" xfId="59727"/>
    <cellStyle name="Percent 7 3 2 2 3" xfId="42365"/>
    <cellStyle name="Percent 7 3 2 2 3 2" xfId="57492"/>
    <cellStyle name="Percent 7 3 2 2 4" xfId="40085"/>
    <cellStyle name="Percent 7 3 2 2 4 2" xfId="55213"/>
    <cellStyle name="Percent 7 3 2 2 5" xfId="50061"/>
    <cellStyle name="Percent 7 3 2 3" xfId="11837"/>
    <cellStyle name="Percent 7 3 2 3 2" xfId="43035"/>
    <cellStyle name="Percent 7 3 2 3 2 2" xfId="58161"/>
    <cellStyle name="Percent 7 3 2 3 3" xfId="52091"/>
    <cellStyle name="Percent 7 3 2 4" xfId="3262"/>
    <cellStyle name="Percent 7 3 2 4 2" xfId="40799"/>
    <cellStyle name="Percent 7 3 2 4 2 2" xfId="55926"/>
    <cellStyle name="Percent 7 3 2 4 3" xfId="47956"/>
    <cellStyle name="Percent 7 3 2 5" xfId="38942"/>
    <cellStyle name="Percent 7 3 2 5 2" xfId="54074"/>
    <cellStyle name="Percent 7 3 2 6" xfId="46257"/>
    <cellStyle name="Percent 7 3 3" xfId="1329"/>
    <cellStyle name="Percent 7 3 3 2" xfId="5678"/>
    <cellStyle name="Percent 7 3 3 2 2" xfId="44250"/>
    <cellStyle name="Percent 7 3 3 2 2 2" xfId="59376"/>
    <cellStyle name="Percent 7 3 3 2 3" xfId="42014"/>
    <cellStyle name="Percent 7 3 3 2 3 2" xfId="57141"/>
    <cellStyle name="Percent 7 3 3 2 4" xfId="39734"/>
    <cellStyle name="Percent 7 3 3 2 4 2" xfId="54862"/>
    <cellStyle name="Percent 7 3 3 2 5" xfId="50363"/>
    <cellStyle name="Percent 7 3 3 3" xfId="12139"/>
    <cellStyle name="Percent 7 3 3 3 2" xfId="43386"/>
    <cellStyle name="Percent 7 3 3 3 2 2" xfId="58512"/>
    <cellStyle name="Percent 7 3 3 3 3" xfId="52393"/>
    <cellStyle name="Percent 7 3 3 4" xfId="3612"/>
    <cellStyle name="Percent 7 3 3 4 2" xfId="41150"/>
    <cellStyle name="Percent 7 3 3 4 2 2" xfId="56277"/>
    <cellStyle name="Percent 7 3 3 4 3" xfId="48305"/>
    <cellStyle name="Percent 7 3 3 5" xfId="38569"/>
    <cellStyle name="Percent 7 3 3 5 2" xfId="53723"/>
    <cellStyle name="Percent 7 3 3 6" xfId="46559"/>
    <cellStyle name="Percent 7 3 4" xfId="1540"/>
    <cellStyle name="Percent 7 3 4 2" xfId="5889"/>
    <cellStyle name="Percent 7 3 4 2 2" xfId="43812"/>
    <cellStyle name="Percent 7 3 4 2 2 2" xfId="58938"/>
    <cellStyle name="Percent 7 3 4 2 3" xfId="50574"/>
    <cellStyle name="Percent 7 3 4 3" xfId="12350"/>
    <cellStyle name="Percent 7 3 4 3 2" xfId="41576"/>
    <cellStyle name="Percent 7 3 4 3 2 2" xfId="56703"/>
    <cellStyle name="Percent 7 3 4 3 3" xfId="52604"/>
    <cellStyle name="Percent 7 3 4 4" xfId="3839"/>
    <cellStyle name="Percent 7 3 4 4 2" xfId="48532"/>
    <cellStyle name="Percent 7 3 4 5" xfId="39296"/>
    <cellStyle name="Percent 7 3 4 5 2" xfId="54424"/>
    <cellStyle name="Percent 7 3 4 6" xfId="46770"/>
    <cellStyle name="Percent 7 3 5" xfId="695"/>
    <cellStyle name="Percent 7 3 5 2" xfId="5044"/>
    <cellStyle name="Percent 7 3 5 2 2" xfId="49729"/>
    <cellStyle name="Percent 7 3 5 3" xfId="11505"/>
    <cellStyle name="Percent 7 3 5 3 2" xfId="51759"/>
    <cellStyle name="Percent 7 3 5 4" xfId="4198"/>
    <cellStyle name="Percent 7 3 5 4 2" xfId="48888"/>
    <cellStyle name="Percent 7 3 5 5" xfId="42684"/>
    <cellStyle name="Percent 7 3 5 5 2" xfId="57811"/>
    <cellStyle name="Percent 7 3 5 6" xfId="45925"/>
    <cellStyle name="Percent 7 3 6" xfId="1868"/>
    <cellStyle name="Percent 7 3 6 2" xfId="12675"/>
    <cellStyle name="Percent 7 3 6 2 2" xfId="52929"/>
    <cellStyle name="Percent 7 3 6 3" xfId="6215"/>
    <cellStyle name="Percent 7 3 6 3 2" xfId="50899"/>
    <cellStyle name="Percent 7 3 6 4" xfId="40449"/>
    <cellStyle name="Percent 7 3 6 4 2" xfId="55576"/>
    <cellStyle name="Percent 7 3 6 5" xfId="47095"/>
    <cellStyle name="Percent 7 3 7" xfId="4622"/>
    <cellStyle name="Percent 7 3 7 2" xfId="49309"/>
    <cellStyle name="Percent 7 3 8" xfId="11085"/>
    <cellStyle name="Percent 7 3 8 2" xfId="51339"/>
    <cellStyle name="Percent 7 3 9" xfId="2929"/>
    <cellStyle name="Percent 7 3 9 2" xfId="47623"/>
    <cellStyle name="Percent 7 4" xfId="364"/>
    <cellStyle name="Percent 7 4 10" xfId="45594"/>
    <cellStyle name="Percent 7 4 2" xfId="1418"/>
    <cellStyle name="Percent 7 4 2 2" xfId="5767"/>
    <cellStyle name="Percent 7 4 2 2 2" xfId="44677"/>
    <cellStyle name="Percent 7 4 2 2 2 2" xfId="59803"/>
    <cellStyle name="Percent 7 4 2 2 3" xfId="42441"/>
    <cellStyle name="Percent 7 4 2 2 3 2" xfId="57568"/>
    <cellStyle name="Percent 7 4 2 2 4" xfId="40161"/>
    <cellStyle name="Percent 7 4 2 2 4 2" xfId="55289"/>
    <cellStyle name="Percent 7 4 2 2 5" xfId="50452"/>
    <cellStyle name="Percent 7 4 2 3" xfId="12228"/>
    <cellStyle name="Percent 7 4 2 3 2" xfId="43111"/>
    <cellStyle name="Percent 7 4 2 3 2 2" xfId="58237"/>
    <cellStyle name="Percent 7 4 2 3 3" xfId="52482"/>
    <cellStyle name="Percent 7 4 2 4" xfId="3701"/>
    <cellStyle name="Percent 7 4 2 4 2" xfId="40875"/>
    <cellStyle name="Percent 7 4 2 4 2 2" xfId="56002"/>
    <cellStyle name="Percent 7 4 2 4 3" xfId="48394"/>
    <cellStyle name="Percent 7 4 2 5" xfId="39019"/>
    <cellStyle name="Percent 7 4 2 5 2" xfId="54150"/>
    <cellStyle name="Percent 7 4 2 6" xfId="46648"/>
    <cellStyle name="Percent 7 4 3" xfId="1629"/>
    <cellStyle name="Percent 7 4 3 2" xfId="5978"/>
    <cellStyle name="Percent 7 4 3 2 2" xfId="44326"/>
    <cellStyle name="Percent 7 4 3 2 2 2" xfId="59452"/>
    <cellStyle name="Percent 7 4 3 2 3" xfId="42090"/>
    <cellStyle name="Percent 7 4 3 2 3 2" xfId="57217"/>
    <cellStyle name="Percent 7 4 3 2 4" xfId="39810"/>
    <cellStyle name="Percent 7 4 3 2 4 2" xfId="54938"/>
    <cellStyle name="Percent 7 4 3 2 5" xfId="50663"/>
    <cellStyle name="Percent 7 4 3 3" xfId="12439"/>
    <cellStyle name="Percent 7 4 3 3 2" xfId="43462"/>
    <cellStyle name="Percent 7 4 3 3 2 2" xfId="58588"/>
    <cellStyle name="Percent 7 4 3 3 3" xfId="52693"/>
    <cellStyle name="Percent 7 4 3 4" xfId="3928"/>
    <cellStyle name="Percent 7 4 3 4 2" xfId="41226"/>
    <cellStyle name="Percent 7 4 3 4 2 2" xfId="56353"/>
    <cellStyle name="Percent 7 4 3 4 3" xfId="48621"/>
    <cellStyle name="Percent 7 4 3 5" xfId="38646"/>
    <cellStyle name="Percent 7 4 3 5 2" xfId="53799"/>
    <cellStyle name="Percent 7 4 3 6" xfId="46859"/>
    <cellStyle name="Percent 7 4 4" xfId="1116"/>
    <cellStyle name="Percent 7 4 4 2" xfId="5465"/>
    <cellStyle name="Percent 7 4 4 2 2" xfId="43888"/>
    <cellStyle name="Percent 7 4 4 2 2 2" xfId="59014"/>
    <cellStyle name="Percent 7 4 4 2 3" xfId="50150"/>
    <cellStyle name="Percent 7 4 4 3" xfId="11926"/>
    <cellStyle name="Percent 7 4 4 3 2" xfId="41652"/>
    <cellStyle name="Percent 7 4 4 3 2 2" xfId="56779"/>
    <cellStyle name="Percent 7 4 4 3 3" xfId="52180"/>
    <cellStyle name="Percent 7 4 4 4" xfId="4287"/>
    <cellStyle name="Percent 7 4 4 4 2" xfId="48977"/>
    <cellStyle name="Percent 7 4 4 5" xfId="39372"/>
    <cellStyle name="Percent 7 4 4 5 2" xfId="54500"/>
    <cellStyle name="Percent 7 4 4 6" xfId="46346"/>
    <cellStyle name="Percent 7 4 5" xfId="1945"/>
    <cellStyle name="Percent 7 4 5 2" xfId="12752"/>
    <cellStyle name="Percent 7 4 5 2 2" xfId="53005"/>
    <cellStyle name="Percent 7 4 5 3" xfId="6292"/>
    <cellStyle name="Percent 7 4 5 3 2" xfId="50975"/>
    <cellStyle name="Percent 7 4 5 4" xfId="42760"/>
    <cellStyle name="Percent 7 4 5 4 2" xfId="57887"/>
    <cellStyle name="Percent 7 4 5 5" xfId="47171"/>
    <cellStyle name="Percent 7 4 6" xfId="4713"/>
    <cellStyle name="Percent 7 4 6 2" xfId="40525"/>
    <cellStyle name="Percent 7 4 6 2 2" xfId="55652"/>
    <cellStyle name="Percent 7 4 6 3" xfId="49398"/>
    <cellStyle name="Percent 7 4 7" xfId="11174"/>
    <cellStyle name="Percent 7 4 7 2" xfId="51428"/>
    <cellStyle name="Percent 7 4 8" xfId="3351"/>
    <cellStyle name="Percent 7 4 8 2" xfId="48045"/>
    <cellStyle name="Percent 7 4 9" xfId="38161"/>
    <cellStyle name="Percent 7 4 9 2" xfId="53361"/>
    <cellStyle name="Percent 7 5" xfId="485"/>
    <cellStyle name="Percent 7 5 2" xfId="1750"/>
    <cellStyle name="Percent 7 5 2 2" xfId="6099"/>
    <cellStyle name="Percent 7 5 2 2 2" xfId="44753"/>
    <cellStyle name="Percent 7 5 2 2 2 2" xfId="59879"/>
    <cellStyle name="Percent 7 5 2 2 3" xfId="42517"/>
    <cellStyle name="Percent 7 5 2 2 3 2" xfId="57644"/>
    <cellStyle name="Percent 7 5 2 2 4" xfId="40237"/>
    <cellStyle name="Percent 7 5 2 2 4 2" xfId="55365"/>
    <cellStyle name="Percent 7 5 2 2 5" xfId="50784"/>
    <cellStyle name="Percent 7 5 2 3" xfId="12560"/>
    <cellStyle name="Percent 7 5 2 3 2" xfId="43187"/>
    <cellStyle name="Percent 7 5 2 3 2 2" xfId="58313"/>
    <cellStyle name="Percent 7 5 2 3 3" xfId="52814"/>
    <cellStyle name="Percent 7 5 2 4" xfId="4049"/>
    <cellStyle name="Percent 7 5 2 4 2" xfId="40951"/>
    <cellStyle name="Percent 7 5 2 4 2 2" xfId="56078"/>
    <cellStyle name="Percent 7 5 2 4 3" xfId="48742"/>
    <cellStyle name="Percent 7 5 2 5" xfId="39095"/>
    <cellStyle name="Percent 7 5 2 5 2" xfId="54226"/>
    <cellStyle name="Percent 7 5 2 6" xfId="46980"/>
    <cellStyle name="Percent 7 5 3" xfId="1237"/>
    <cellStyle name="Percent 7 5 3 2" xfId="5586"/>
    <cellStyle name="Percent 7 5 3 2 2" xfId="44402"/>
    <cellStyle name="Percent 7 5 3 2 2 2" xfId="59528"/>
    <cellStyle name="Percent 7 5 3 2 3" xfId="42166"/>
    <cellStyle name="Percent 7 5 3 2 3 2" xfId="57293"/>
    <cellStyle name="Percent 7 5 3 2 4" xfId="39886"/>
    <cellStyle name="Percent 7 5 3 2 4 2" xfId="55014"/>
    <cellStyle name="Percent 7 5 3 2 5" xfId="50271"/>
    <cellStyle name="Percent 7 5 3 3" xfId="12047"/>
    <cellStyle name="Percent 7 5 3 3 2" xfId="43538"/>
    <cellStyle name="Percent 7 5 3 3 2 2" xfId="58664"/>
    <cellStyle name="Percent 7 5 3 3 3" xfId="52301"/>
    <cellStyle name="Percent 7 5 3 4" xfId="4408"/>
    <cellStyle name="Percent 7 5 3 4 2" xfId="41302"/>
    <cellStyle name="Percent 7 5 3 4 2 2" xfId="56429"/>
    <cellStyle name="Percent 7 5 3 4 3" xfId="49098"/>
    <cellStyle name="Percent 7 5 3 5" xfId="38722"/>
    <cellStyle name="Percent 7 5 3 5 2" xfId="53875"/>
    <cellStyle name="Percent 7 5 3 6" xfId="46467"/>
    <cellStyle name="Percent 7 5 4" xfId="2022"/>
    <cellStyle name="Percent 7 5 4 2" xfId="12828"/>
    <cellStyle name="Percent 7 5 4 2 2" xfId="43964"/>
    <cellStyle name="Percent 7 5 4 2 2 2" xfId="59090"/>
    <cellStyle name="Percent 7 5 4 2 3" xfId="53081"/>
    <cellStyle name="Percent 7 5 4 3" xfId="6368"/>
    <cellStyle name="Percent 7 5 4 3 2" xfId="41728"/>
    <cellStyle name="Percent 7 5 4 3 2 2" xfId="56855"/>
    <cellStyle name="Percent 7 5 4 3 3" xfId="51051"/>
    <cellStyle name="Percent 7 5 4 4" xfId="39448"/>
    <cellStyle name="Percent 7 5 4 4 2" xfId="54576"/>
    <cellStyle name="Percent 7 5 4 5" xfId="47247"/>
    <cellStyle name="Percent 7 5 5" xfId="4834"/>
    <cellStyle name="Percent 7 5 5 2" xfId="42836"/>
    <cellStyle name="Percent 7 5 5 2 2" xfId="57963"/>
    <cellStyle name="Percent 7 5 5 3" xfId="49519"/>
    <cellStyle name="Percent 7 5 6" xfId="11295"/>
    <cellStyle name="Percent 7 5 6 2" xfId="40601"/>
    <cellStyle name="Percent 7 5 6 2 2" xfId="55728"/>
    <cellStyle name="Percent 7 5 6 3" xfId="51549"/>
    <cellStyle name="Percent 7 5 7" xfId="3472"/>
    <cellStyle name="Percent 7 5 7 2" xfId="48166"/>
    <cellStyle name="Percent 7 5 8" xfId="38237"/>
    <cellStyle name="Percent 7 5 8 2" xfId="53437"/>
    <cellStyle name="Percent 7 5 9" xfId="45715"/>
    <cellStyle name="Percent 7 6" xfId="938"/>
    <cellStyle name="Percent 7 6 2" xfId="2098"/>
    <cellStyle name="Percent 7 6 2 2" xfId="12904"/>
    <cellStyle name="Percent 7 6 2 2 2" xfId="44829"/>
    <cellStyle name="Percent 7 6 2 2 2 2" xfId="59955"/>
    <cellStyle name="Percent 7 6 2 2 3" xfId="42593"/>
    <cellStyle name="Percent 7 6 2 2 3 2" xfId="57720"/>
    <cellStyle name="Percent 7 6 2 2 4" xfId="40313"/>
    <cellStyle name="Percent 7 6 2 2 4 2" xfId="55441"/>
    <cellStyle name="Percent 7 6 2 2 5" xfId="53157"/>
    <cellStyle name="Percent 7 6 2 3" xfId="6444"/>
    <cellStyle name="Percent 7 6 2 3 2" xfId="43263"/>
    <cellStyle name="Percent 7 6 2 3 2 2" xfId="58389"/>
    <cellStyle name="Percent 7 6 2 3 3" xfId="51127"/>
    <cellStyle name="Percent 7 6 2 4" xfId="41027"/>
    <cellStyle name="Percent 7 6 2 4 2" xfId="56154"/>
    <cellStyle name="Percent 7 6 2 5" xfId="39171"/>
    <cellStyle name="Percent 7 6 2 5 2" xfId="54302"/>
    <cellStyle name="Percent 7 6 2 6" xfId="47323"/>
    <cellStyle name="Percent 7 6 3" xfId="5287"/>
    <cellStyle name="Percent 7 6 3 2" xfId="39962"/>
    <cellStyle name="Percent 7 6 3 2 2" xfId="44478"/>
    <cellStyle name="Percent 7 6 3 2 2 2" xfId="59604"/>
    <cellStyle name="Percent 7 6 3 2 3" xfId="42242"/>
    <cellStyle name="Percent 7 6 3 2 3 2" xfId="57369"/>
    <cellStyle name="Percent 7 6 3 2 4" xfId="55090"/>
    <cellStyle name="Percent 7 6 3 3" xfId="43614"/>
    <cellStyle name="Percent 7 6 3 3 2" xfId="58740"/>
    <cellStyle name="Percent 7 6 3 4" xfId="41378"/>
    <cellStyle name="Percent 7 6 3 4 2" xfId="56505"/>
    <cellStyle name="Percent 7 6 3 5" xfId="38798"/>
    <cellStyle name="Percent 7 6 3 5 2" xfId="53951"/>
    <cellStyle name="Percent 7 6 3 6" xfId="49972"/>
    <cellStyle name="Percent 7 6 4" xfId="11748"/>
    <cellStyle name="Percent 7 6 4 2" xfId="44040"/>
    <cellStyle name="Percent 7 6 4 2 2" xfId="59166"/>
    <cellStyle name="Percent 7 6 4 3" xfId="41804"/>
    <cellStyle name="Percent 7 6 4 3 2" xfId="56931"/>
    <cellStyle name="Percent 7 6 4 4" xfId="39524"/>
    <cellStyle name="Percent 7 6 4 4 2" xfId="54652"/>
    <cellStyle name="Percent 7 6 4 5" xfId="52002"/>
    <cellStyle name="Percent 7 6 5" xfId="3173"/>
    <cellStyle name="Percent 7 6 5 2" xfId="42912"/>
    <cellStyle name="Percent 7 6 5 2 2" xfId="58039"/>
    <cellStyle name="Percent 7 6 5 3" xfId="47867"/>
    <cellStyle name="Percent 7 6 6" xfId="40677"/>
    <cellStyle name="Percent 7 6 6 2" xfId="55804"/>
    <cellStyle name="Percent 7 6 7" xfId="38313"/>
    <cellStyle name="Percent 7 6 7 2" xfId="53513"/>
    <cellStyle name="Percent 7 6 8" xfId="46168"/>
    <cellStyle name="Percent 7 7" xfId="816"/>
    <cellStyle name="Percent 7 7 2" xfId="5165"/>
    <cellStyle name="Percent 7 7 2 2" xfId="40010"/>
    <cellStyle name="Percent 7 7 2 2 2" xfId="44526"/>
    <cellStyle name="Percent 7 7 2 2 2 2" xfId="59652"/>
    <cellStyle name="Percent 7 7 2 2 3" xfId="42290"/>
    <cellStyle name="Percent 7 7 2 2 3 2" xfId="57417"/>
    <cellStyle name="Percent 7 7 2 2 4" xfId="55138"/>
    <cellStyle name="Percent 7 7 2 3" xfId="43661"/>
    <cellStyle name="Percent 7 7 2 3 2" xfId="58787"/>
    <cellStyle name="Percent 7 7 2 4" xfId="41425"/>
    <cellStyle name="Percent 7 7 2 4 2" xfId="56552"/>
    <cellStyle name="Percent 7 7 2 5" xfId="38867"/>
    <cellStyle name="Percent 7 7 2 5 2" xfId="53999"/>
    <cellStyle name="Percent 7 7 2 6" xfId="49850"/>
    <cellStyle name="Percent 7 7 3" xfId="11626"/>
    <cellStyle name="Percent 7 7 3 2" xfId="44124"/>
    <cellStyle name="Percent 7 7 3 2 2" xfId="59250"/>
    <cellStyle name="Percent 7 7 3 3" xfId="41888"/>
    <cellStyle name="Percent 7 7 3 3 2" xfId="57015"/>
    <cellStyle name="Percent 7 7 3 4" xfId="39608"/>
    <cellStyle name="Percent 7 7 3 4 2" xfId="54736"/>
    <cellStyle name="Percent 7 7 3 5" xfId="51880"/>
    <cellStyle name="Percent 7 7 4" xfId="3051"/>
    <cellStyle name="Percent 7 7 4 2" xfId="42960"/>
    <cellStyle name="Percent 7 7 4 2 2" xfId="58086"/>
    <cellStyle name="Percent 7 7 4 3" xfId="47745"/>
    <cellStyle name="Percent 7 7 5" xfId="40724"/>
    <cellStyle name="Percent 7 7 5 2" xfId="55851"/>
    <cellStyle name="Percent 7 7 6" xfId="38438"/>
    <cellStyle name="Percent 7 7 6 2" xfId="53597"/>
    <cellStyle name="Percent 7 7 7" xfId="46046"/>
    <cellStyle name="Percent 7 8" xfId="606"/>
    <cellStyle name="Percent 7 8 2" xfId="4955"/>
    <cellStyle name="Percent 7 8 2 2" xfId="44175"/>
    <cellStyle name="Percent 7 8 2 2 2" xfId="59301"/>
    <cellStyle name="Percent 7 8 2 3" xfId="41939"/>
    <cellStyle name="Percent 7 8 2 3 2" xfId="57066"/>
    <cellStyle name="Percent 7 8 2 4" xfId="39659"/>
    <cellStyle name="Percent 7 8 2 4 2" xfId="54787"/>
    <cellStyle name="Percent 7 8 2 5" xfId="49640"/>
    <cellStyle name="Percent 7 8 3" xfId="11416"/>
    <cellStyle name="Percent 7 8 3 2" xfId="43311"/>
    <cellStyle name="Percent 7 8 3 2 2" xfId="58437"/>
    <cellStyle name="Percent 7 8 3 3" xfId="51670"/>
    <cellStyle name="Percent 7 8 4" xfId="4109"/>
    <cellStyle name="Percent 7 8 4 2" xfId="41075"/>
    <cellStyle name="Percent 7 8 4 2 2" xfId="56202"/>
    <cellStyle name="Percent 7 8 4 3" xfId="48799"/>
    <cellStyle name="Percent 7 8 5" xfId="38492"/>
    <cellStyle name="Percent 7 8 5 2" xfId="53648"/>
    <cellStyle name="Percent 7 8 6" xfId="45836"/>
    <cellStyle name="Percent 7 9" xfId="1790"/>
    <cellStyle name="Percent 7 9 2" xfId="12600"/>
    <cellStyle name="Percent 7 9 2 2" xfId="43737"/>
    <cellStyle name="Percent 7 9 2 2 2" xfId="58863"/>
    <cellStyle name="Percent 7 9 2 3" xfId="52854"/>
    <cellStyle name="Percent 7 9 3" xfId="6139"/>
    <cellStyle name="Percent 7 9 3 2" xfId="41501"/>
    <cellStyle name="Percent 7 9 3 2 2" xfId="56628"/>
    <cellStyle name="Percent 7 9 3 3" xfId="50824"/>
    <cellStyle name="Percent 7 9 4" xfId="39221"/>
    <cellStyle name="Percent 7 9 4 2" xfId="54349"/>
    <cellStyle name="Percent 7 9 5" xfId="47020"/>
    <cellStyle name="Percent 8" xfId="182"/>
    <cellStyle name="Percent 8 2" xfId="38828"/>
    <cellStyle name="Percent 9" xfId="275"/>
    <cellStyle name="Percent 9 2" xfId="2141"/>
    <cellStyle name="Percent 9 2 2" xfId="6487"/>
    <cellStyle name="Percent 9 2 2 2" xfId="51129"/>
    <cellStyle name="Percent 9 2 3" xfId="12947"/>
    <cellStyle name="Percent 9 2 3 2" xfId="53159"/>
    <cellStyle name="Percent 9 2 4" xfId="4054"/>
    <cellStyle name="Percent 9 2 5" xfId="47325"/>
    <cellStyle name="Percent 9 3" xfId="4624"/>
    <cellStyle name="Percent 9 4" xfId="2841"/>
    <cellStyle name="Publication_style" xfId="10"/>
    <cellStyle name="Refdb standard" xfId="11"/>
    <cellStyle name="Refdb standard 2" xfId="38810"/>
    <cellStyle name="Source" xfId="12"/>
    <cellStyle name="Title" xfId="50" builtinId="15" customBuiltin="1"/>
    <cellStyle name="Total" xfId="63" builtinId="25" customBuiltin="1"/>
    <cellStyle name="Warning Text" xfId="61" builtinId="11" customBuiltin="1"/>
  </cellStyles>
  <dxfs count="0"/>
  <tableStyles count="0" defaultTableStyle="TableStyleMedium9" defaultPivotStyle="PivotStyleLight16"/>
  <colors>
    <mruColors>
      <color rgb="FFFFFF99"/>
      <color rgb="FF3CC5E0"/>
      <color rgb="FF35EB35"/>
      <color rgb="FFF38630"/>
      <color rgb="FFFA6900"/>
      <color rgb="FF96D2E7"/>
      <color rgb="FFDCE0C6"/>
      <color rgb="FFCCFFC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invertIfNegative val="0"/>
          <c:cat>
            <c:strRef>
              <c:f>Outputs!$B$10:$D$18</c:f>
              <c:strCache>
                <c:ptCount val="9"/>
                <c:pt idx="0">
                  <c:v>Breast cancer</c:v>
                </c:pt>
                <c:pt idx="1">
                  <c:v>Hypertensive HD*</c:v>
                </c:pt>
                <c:pt idx="2">
                  <c:v>Inflamatory HD*</c:v>
                </c:pt>
                <c:pt idx="3">
                  <c:v>Ischemic HD*</c:v>
                </c:pt>
                <c:pt idx="4">
                  <c:v>Stroke*</c:v>
                </c:pt>
                <c:pt idx="5">
                  <c:v>Colon cancer</c:v>
                </c:pt>
                <c:pt idx="6">
                  <c:v>Depression</c:v>
                </c:pt>
                <c:pt idx="7">
                  <c:v>Dementia</c:v>
                </c:pt>
                <c:pt idx="8">
                  <c:v>Diabetes</c:v>
                </c:pt>
              </c:strCache>
            </c:strRef>
          </c:cat>
          <c:val>
            <c:numRef>
              <c:f>Outputs!$G$10:$G$18</c:f>
              <c:numCache>
                <c:formatCode>0.00000</c:formatCode>
                <c:ptCount val="9"/>
                <c:pt idx="0">
                  <c:v>-0.19613194991643029</c:v>
                </c:pt>
                <c:pt idx="1">
                  <c:v>-0.12461729881635639</c:v>
                </c:pt>
                <c:pt idx="2">
                  <c:v>0</c:v>
                </c:pt>
                <c:pt idx="3">
                  <c:v>-4.1593675235134624</c:v>
                </c:pt>
                <c:pt idx="4">
                  <c:v>-2.8676116999331511</c:v>
                </c:pt>
                <c:pt idx="5">
                  <c:v>-6.1551205019420796E-2</c:v>
                </c:pt>
                <c:pt idx="6">
                  <c:v>-0.89922766273775201</c:v>
                </c:pt>
                <c:pt idx="7">
                  <c:v>-1.9588466467873378</c:v>
                </c:pt>
                <c:pt idx="8">
                  <c:v>-3.8613477738691708</c:v>
                </c:pt>
              </c:numCache>
            </c:numRef>
          </c:val>
          <c:extLst xmlns:c16r2="http://schemas.microsoft.com/office/drawing/2015/06/chart">
            <c:ext xmlns:c16="http://schemas.microsoft.com/office/drawing/2014/chart" uri="{C3380CC4-5D6E-409C-BE32-E72D297353CC}">
              <c16:uniqueId val="{00000000-4E81-49CB-B4AE-6362473B16AB}"/>
            </c:ext>
          </c:extLst>
        </c:ser>
        <c:dLbls>
          <c:showLegendKey val="0"/>
          <c:showVal val="0"/>
          <c:showCatName val="0"/>
          <c:showSerName val="0"/>
          <c:showPercent val="0"/>
          <c:showBubbleSize val="0"/>
        </c:dLbls>
        <c:gapWidth val="150"/>
        <c:axId val="126639104"/>
        <c:axId val="43700992"/>
      </c:barChart>
      <c:catAx>
        <c:axId val="126639104"/>
        <c:scaling>
          <c:orientation val="minMax"/>
        </c:scaling>
        <c:delete val="0"/>
        <c:axPos val="b"/>
        <c:numFmt formatCode="General" sourceLinked="0"/>
        <c:majorTickMark val="out"/>
        <c:minorTickMark val="none"/>
        <c:tickLblPos val="high"/>
        <c:txPr>
          <a:bodyPr rot="-5400000" vert="horz"/>
          <a:lstStyle/>
          <a:p>
            <a:pPr>
              <a:defRPr/>
            </a:pPr>
            <a:endParaRPr lang="en-US"/>
          </a:p>
        </c:txPr>
        <c:crossAx val="43700992"/>
        <c:crosses val="autoZero"/>
        <c:auto val="1"/>
        <c:lblAlgn val="ctr"/>
        <c:lblOffset val="100"/>
        <c:noMultiLvlLbl val="0"/>
      </c:catAx>
      <c:valAx>
        <c:axId val="43700992"/>
        <c:scaling>
          <c:orientation val="minMax"/>
        </c:scaling>
        <c:delete val="0"/>
        <c:axPos val="l"/>
        <c:majorGridlines/>
        <c:numFmt formatCode="0.00000" sourceLinked="1"/>
        <c:majorTickMark val="out"/>
        <c:minorTickMark val="none"/>
        <c:tickLblPos val="nextTo"/>
        <c:crossAx val="126639104"/>
        <c:crosses val="autoZero"/>
        <c:crossBetween val="between"/>
      </c:valAx>
    </c:plotArea>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invertIfNegative val="0"/>
          <c:cat>
            <c:strRef>
              <c:f>Outputs!$B$10:$D$18</c:f>
              <c:strCache>
                <c:ptCount val="9"/>
                <c:pt idx="0">
                  <c:v>Breast cancer</c:v>
                </c:pt>
                <c:pt idx="1">
                  <c:v>Hypertensive HD*</c:v>
                </c:pt>
                <c:pt idx="2">
                  <c:v>Inflamatory HD*</c:v>
                </c:pt>
                <c:pt idx="3">
                  <c:v>Ischemic HD*</c:v>
                </c:pt>
                <c:pt idx="4">
                  <c:v>Stroke*</c:v>
                </c:pt>
                <c:pt idx="5">
                  <c:v>Colon cancer</c:v>
                </c:pt>
                <c:pt idx="6">
                  <c:v>Depression</c:v>
                </c:pt>
                <c:pt idx="7">
                  <c:v>Dementia</c:v>
                </c:pt>
                <c:pt idx="8">
                  <c:v>Diabetes</c:v>
                </c:pt>
              </c:strCache>
            </c:strRef>
          </c:cat>
          <c:val>
            <c:numRef>
              <c:f>Outputs!$I$10:$I$18</c:f>
              <c:numCache>
                <c:formatCode>0</c:formatCode>
                <c:ptCount val="9"/>
                <c:pt idx="0">
                  <c:v>-1.3509624327000608E-2</c:v>
                </c:pt>
                <c:pt idx="1">
                  <c:v>-1.312695056307491E-2</c:v>
                </c:pt>
                <c:pt idx="2">
                  <c:v>0</c:v>
                </c:pt>
                <c:pt idx="3">
                  <c:v>-0.42508301184220176</c:v>
                </c:pt>
                <c:pt idx="4">
                  <c:v>-0.20634883839807644</c:v>
                </c:pt>
                <c:pt idx="5">
                  <c:v>-7.8721329524388105E-3</c:v>
                </c:pt>
                <c:pt idx="6">
                  <c:v>-9.4521688264828055E-4</c:v>
                </c:pt>
                <c:pt idx="7">
                  <c:v>-0.22930399242763316</c:v>
                </c:pt>
                <c:pt idx="8">
                  <c:v>-0.13850358878949529</c:v>
                </c:pt>
              </c:numCache>
            </c:numRef>
          </c:val>
          <c:extLst xmlns:c16r2="http://schemas.microsoft.com/office/drawing/2015/06/chart">
            <c:ext xmlns:c16="http://schemas.microsoft.com/office/drawing/2014/chart" uri="{C3380CC4-5D6E-409C-BE32-E72D297353CC}">
              <c16:uniqueId val="{00000000-55D4-4620-BACA-03236A509871}"/>
            </c:ext>
          </c:extLst>
        </c:ser>
        <c:dLbls>
          <c:showLegendKey val="0"/>
          <c:showVal val="0"/>
          <c:showCatName val="0"/>
          <c:showSerName val="0"/>
          <c:showPercent val="0"/>
          <c:showBubbleSize val="0"/>
        </c:dLbls>
        <c:gapWidth val="150"/>
        <c:axId val="44016000"/>
        <c:axId val="44017536"/>
      </c:barChart>
      <c:catAx>
        <c:axId val="44016000"/>
        <c:scaling>
          <c:orientation val="minMax"/>
        </c:scaling>
        <c:delete val="0"/>
        <c:axPos val="b"/>
        <c:numFmt formatCode="General" sourceLinked="0"/>
        <c:majorTickMark val="out"/>
        <c:minorTickMark val="none"/>
        <c:tickLblPos val="high"/>
        <c:txPr>
          <a:bodyPr rot="-5400000" vert="horz"/>
          <a:lstStyle/>
          <a:p>
            <a:pPr>
              <a:defRPr/>
            </a:pPr>
            <a:endParaRPr lang="en-US"/>
          </a:p>
        </c:txPr>
        <c:crossAx val="44017536"/>
        <c:crosses val="autoZero"/>
        <c:auto val="1"/>
        <c:lblAlgn val="ctr"/>
        <c:lblOffset val="100"/>
        <c:noMultiLvlLbl val="0"/>
      </c:catAx>
      <c:valAx>
        <c:axId val="44017536"/>
        <c:scaling>
          <c:orientation val="minMax"/>
        </c:scaling>
        <c:delete val="0"/>
        <c:axPos val="l"/>
        <c:majorGridlines/>
        <c:numFmt formatCode="0.0" sourceLinked="0"/>
        <c:majorTickMark val="out"/>
        <c:minorTickMark val="none"/>
        <c:tickLblPos val="nextTo"/>
        <c:crossAx val="44016000"/>
        <c:crosses val="autoZero"/>
        <c:crossBetween val="between"/>
      </c:valAx>
    </c:plotArea>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24173173012713"/>
          <c:y val="4.3533124912287023E-2"/>
          <c:w val="0.75583902302911221"/>
          <c:h val="0.79214202027739067"/>
        </c:manualLayout>
      </c:layout>
      <c:lineChart>
        <c:grouping val="standard"/>
        <c:varyColors val="0"/>
        <c:ser>
          <c:idx val="3"/>
          <c:order val="0"/>
          <c:marker>
            <c:symbol val="none"/>
          </c:marker>
          <c:cat>
            <c:numRef>
              <c:f>'t Total'!$E$6:$E$2006</c:f>
              <c:numCache>
                <c:formatCode>0</c:formatCode>
                <c:ptCount val="2001"/>
                <c:pt idx="0">
                  <c:v>0</c:v>
                </c:pt>
                <c:pt idx="1">
                  <c:v>0.14285714285714285</c:v>
                </c:pt>
                <c:pt idx="2">
                  <c:v>0.2857142857142857</c:v>
                </c:pt>
                <c:pt idx="3">
                  <c:v>0.42857142857142855</c:v>
                </c:pt>
                <c:pt idx="4">
                  <c:v>0.5714285714285714</c:v>
                </c:pt>
                <c:pt idx="5">
                  <c:v>0.7142857142857143</c:v>
                </c:pt>
                <c:pt idx="6">
                  <c:v>0.8571428571428571</c:v>
                </c:pt>
                <c:pt idx="7">
                  <c:v>1</c:v>
                </c:pt>
                <c:pt idx="8">
                  <c:v>1.1428571428571428</c:v>
                </c:pt>
                <c:pt idx="9">
                  <c:v>1.2857142857142858</c:v>
                </c:pt>
                <c:pt idx="10">
                  <c:v>1.4285714285714286</c:v>
                </c:pt>
                <c:pt idx="11">
                  <c:v>1.5714285714285714</c:v>
                </c:pt>
                <c:pt idx="12">
                  <c:v>1.7142857142857142</c:v>
                </c:pt>
                <c:pt idx="13">
                  <c:v>1.8571428571428572</c:v>
                </c:pt>
                <c:pt idx="14">
                  <c:v>2</c:v>
                </c:pt>
                <c:pt idx="15">
                  <c:v>2.1428571428571428</c:v>
                </c:pt>
                <c:pt idx="16">
                  <c:v>2.2857142857142856</c:v>
                </c:pt>
                <c:pt idx="17">
                  <c:v>2.4285714285714284</c:v>
                </c:pt>
                <c:pt idx="18">
                  <c:v>2.5714285714285716</c:v>
                </c:pt>
                <c:pt idx="19">
                  <c:v>2.7142857142857144</c:v>
                </c:pt>
                <c:pt idx="20">
                  <c:v>2.8571428571428572</c:v>
                </c:pt>
                <c:pt idx="21">
                  <c:v>3</c:v>
                </c:pt>
                <c:pt idx="22">
                  <c:v>3.1428571428571428</c:v>
                </c:pt>
                <c:pt idx="23">
                  <c:v>3.2857142857142856</c:v>
                </c:pt>
                <c:pt idx="24">
                  <c:v>3.4285714285714284</c:v>
                </c:pt>
                <c:pt idx="25">
                  <c:v>3.5714285714285716</c:v>
                </c:pt>
                <c:pt idx="26">
                  <c:v>3.7142857142857144</c:v>
                </c:pt>
                <c:pt idx="27">
                  <c:v>3.8571428571428572</c:v>
                </c:pt>
                <c:pt idx="28">
                  <c:v>4</c:v>
                </c:pt>
                <c:pt idx="29">
                  <c:v>4.1428571428571432</c:v>
                </c:pt>
                <c:pt idx="30">
                  <c:v>4.2857142857142856</c:v>
                </c:pt>
                <c:pt idx="31">
                  <c:v>4.4285714285714288</c:v>
                </c:pt>
                <c:pt idx="32">
                  <c:v>4.5714285714285712</c:v>
                </c:pt>
                <c:pt idx="33">
                  <c:v>4.7142857142857144</c:v>
                </c:pt>
                <c:pt idx="34">
                  <c:v>4.8571428571428568</c:v>
                </c:pt>
                <c:pt idx="35">
                  <c:v>5</c:v>
                </c:pt>
                <c:pt idx="36">
                  <c:v>5.1428571428571432</c:v>
                </c:pt>
                <c:pt idx="37">
                  <c:v>5.2857142857142856</c:v>
                </c:pt>
                <c:pt idx="38">
                  <c:v>5.4285714285714288</c:v>
                </c:pt>
                <c:pt idx="39">
                  <c:v>5.5714285714285712</c:v>
                </c:pt>
                <c:pt idx="40">
                  <c:v>5.7142857142857144</c:v>
                </c:pt>
                <c:pt idx="41">
                  <c:v>5.8571428571428568</c:v>
                </c:pt>
                <c:pt idx="42">
                  <c:v>6</c:v>
                </c:pt>
                <c:pt idx="43">
                  <c:v>6.1428571428571432</c:v>
                </c:pt>
                <c:pt idx="44">
                  <c:v>6.2857142857142856</c:v>
                </c:pt>
                <c:pt idx="45">
                  <c:v>6.4285714285714288</c:v>
                </c:pt>
                <c:pt idx="46">
                  <c:v>6.5714285714285712</c:v>
                </c:pt>
                <c:pt idx="47">
                  <c:v>6.7142857142857144</c:v>
                </c:pt>
                <c:pt idx="48">
                  <c:v>6.8571428571428568</c:v>
                </c:pt>
                <c:pt idx="49">
                  <c:v>7</c:v>
                </c:pt>
                <c:pt idx="50">
                  <c:v>7.1428571428571432</c:v>
                </c:pt>
                <c:pt idx="51">
                  <c:v>7.2857142857142856</c:v>
                </c:pt>
                <c:pt idx="52">
                  <c:v>7.4285714285714288</c:v>
                </c:pt>
                <c:pt idx="53">
                  <c:v>7.5714285714285712</c:v>
                </c:pt>
                <c:pt idx="54">
                  <c:v>7.7142857142857144</c:v>
                </c:pt>
                <c:pt idx="55">
                  <c:v>7.8571428571428568</c:v>
                </c:pt>
                <c:pt idx="56">
                  <c:v>8</c:v>
                </c:pt>
                <c:pt idx="57">
                  <c:v>8.1428571428571423</c:v>
                </c:pt>
                <c:pt idx="58">
                  <c:v>8.2857142857142865</c:v>
                </c:pt>
                <c:pt idx="59">
                  <c:v>8.4285714285714288</c:v>
                </c:pt>
                <c:pt idx="60">
                  <c:v>8.5714285714285712</c:v>
                </c:pt>
                <c:pt idx="61">
                  <c:v>8.7142857142857135</c:v>
                </c:pt>
                <c:pt idx="62">
                  <c:v>8.8571428571428577</c:v>
                </c:pt>
                <c:pt idx="63">
                  <c:v>9</c:v>
                </c:pt>
                <c:pt idx="64">
                  <c:v>9.1428571428571423</c:v>
                </c:pt>
                <c:pt idx="65">
                  <c:v>9.2857142857142865</c:v>
                </c:pt>
                <c:pt idx="66">
                  <c:v>9.4285714285714288</c:v>
                </c:pt>
                <c:pt idx="67">
                  <c:v>9.5714285714285712</c:v>
                </c:pt>
                <c:pt idx="68">
                  <c:v>9.7142857142857135</c:v>
                </c:pt>
                <c:pt idx="69">
                  <c:v>9.8571428571428577</c:v>
                </c:pt>
                <c:pt idx="70">
                  <c:v>10</c:v>
                </c:pt>
                <c:pt idx="71">
                  <c:v>10.142857142857142</c:v>
                </c:pt>
                <c:pt idx="72">
                  <c:v>10.285714285714286</c:v>
                </c:pt>
                <c:pt idx="73">
                  <c:v>10.428571428571429</c:v>
                </c:pt>
                <c:pt idx="74">
                  <c:v>10.571428571428571</c:v>
                </c:pt>
                <c:pt idx="75">
                  <c:v>10.714285714285714</c:v>
                </c:pt>
                <c:pt idx="76">
                  <c:v>10.857142857142858</c:v>
                </c:pt>
                <c:pt idx="77">
                  <c:v>11</c:v>
                </c:pt>
                <c:pt idx="78">
                  <c:v>11.142857142857142</c:v>
                </c:pt>
                <c:pt idx="79">
                  <c:v>11.285714285714286</c:v>
                </c:pt>
                <c:pt idx="80">
                  <c:v>11.428571428571429</c:v>
                </c:pt>
                <c:pt idx="81">
                  <c:v>11.571428571428571</c:v>
                </c:pt>
                <c:pt idx="82">
                  <c:v>11.714285714285714</c:v>
                </c:pt>
                <c:pt idx="83">
                  <c:v>11.857142857142858</c:v>
                </c:pt>
                <c:pt idx="84">
                  <c:v>12</c:v>
                </c:pt>
                <c:pt idx="85">
                  <c:v>12.142857142857142</c:v>
                </c:pt>
                <c:pt idx="86">
                  <c:v>12.285714285714286</c:v>
                </c:pt>
                <c:pt idx="87">
                  <c:v>12.428571428571429</c:v>
                </c:pt>
                <c:pt idx="88">
                  <c:v>12.571428571428571</c:v>
                </c:pt>
                <c:pt idx="89">
                  <c:v>12.714285714285714</c:v>
                </c:pt>
                <c:pt idx="90">
                  <c:v>12.857142857142858</c:v>
                </c:pt>
                <c:pt idx="91">
                  <c:v>13</c:v>
                </c:pt>
                <c:pt idx="92">
                  <c:v>13.142857142857142</c:v>
                </c:pt>
                <c:pt idx="93">
                  <c:v>13.285714285714286</c:v>
                </c:pt>
                <c:pt idx="94">
                  <c:v>13.428571428571429</c:v>
                </c:pt>
                <c:pt idx="95">
                  <c:v>13.571428571428571</c:v>
                </c:pt>
                <c:pt idx="96">
                  <c:v>13.714285714285714</c:v>
                </c:pt>
                <c:pt idx="97">
                  <c:v>13.857142857142858</c:v>
                </c:pt>
                <c:pt idx="98">
                  <c:v>14</c:v>
                </c:pt>
                <c:pt idx="99">
                  <c:v>14.142857142857142</c:v>
                </c:pt>
                <c:pt idx="100">
                  <c:v>14.285714285714286</c:v>
                </c:pt>
                <c:pt idx="101">
                  <c:v>14.428571428571429</c:v>
                </c:pt>
                <c:pt idx="102">
                  <c:v>14.571428571428571</c:v>
                </c:pt>
                <c:pt idx="103">
                  <c:v>14.714285714285714</c:v>
                </c:pt>
                <c:pt idx="104">
                  <c:v>14.857142857142858</c:v>
                </c:pt>
                <c:pt idx="105">
                  <c:v>15</c:v>
                </c:pt>
                <c:pt idx="106">
                  <c:v>15.142857142857142</c:v>
                </c:pt>
                <c:pt idx="107">
                  <c:v>15.285714285714286</c:v>
                </c:pt>
                <c:pt idx="108">
                  <c:v>15.428571428571429</c:v>
                </c:pt>
                <c:pt idx="109">
                  <c:v>15.571428571428571</c:v>
                </c:pt>
                <c:pt idx="110">
                  <c:v>15.714285714285714</c:v>
                </c:pt>
                <c:pt idx="111">
                  <c:v>15.857142857142858</c:v>
                </c:pt>
                <c:pt idx="112">
                  <c:v>16</c:v>
                </c:pt>
                <c:pt idx="113">
                  <c:v>16.142857142857142</c:v>
                </c:pt>
                <c:pt idx="114">
                  <c:v>16.285714285714285</c:v>
                </c:pt>
                <c:pt idx="115">
                  <c:v>16.428571428571427</c:v>
                </c:pt>
                <c:pt idx="116">
                  <c:v>16.571428571428573</c:v>
                </c:pt>
                <c:pt idx="117">
                  <c:v>16.714285714285715</c:v>
                </c:pt>
                <c:pt idx="118">
                  <c:v>16.857142857142858</c:v>
                </c:pt>
                <c:pt idx="119">
                  <c:v>17</c:v>
                </c:pt>
                <c:pt idx="120">
                  <c:v>17.142857142857142</c:v>
                </c:pt>
                <c:pt idx="121">
                  <c:v>17.285714285714285</c:v>
                </c:pt>
                <c:pt idx="122">
                  <c:v>17.428571428571427</c:v>
                </c:pt>
                <c:pt idx="123">
                  <c:v>17.571428571428573</c:v>
                </c:pt>
                <c:pt idx="124">
                  <c:v>17.714285714285715</c:v>
                </c:pt>
                <c:pt idx="125">
                  <c:v>17.857142857142858</c:v>
                </c:pt>
                <c:pt idx="126">
                  <c:v>18</c:v>
                </c:pt>
                <c:pt idx="127">
                  <c:v>18.142857142857142</c:v>
                </c:pt>
                <c:pt idx="128">
                  <c:v>18.285714285714285</c:v>
                </c:pt>
                <c:pt idx="129">
                  <c:v>18.428571428571427</c:v>
                </c:pt>
                <c:pt idx="130">
                  <c:v>18.571428571428573</c:v>
                </c:pt>
                <c:pt idx="131">
                  <c:v>18.714285714285715</c:v>
                </c:pt>
                <c:pt idx="132">
                  <c:v>18.857142857142858</c:v>
                </c:pt>
                <c:pt idx="133">
                  <c:v>19</c:v>
                </c:pt>
                <c:pt idx="134">
                  <c:v>19.142857142857142</c:v>
                </c:pt>
                <c:pt idx="135">
                  <c:v>19.285714285714285</c:v>
                </c:pt>
                <c:pt idx="136">
                  <c:v>19.428571428571427</c:v>
                </c:pt>
                <c:pt idx="137">
                  <c:v>19.571428571428573</c:v>
                </c:pt>
                <c:pt idx="138">
                  <c:v>19.714285714285715</c:v>
                </c:pt>
                <c:pt idx="139">
                  <c:v>19.857142857142858</c:v>
                </c:pt>
                <c:pt idx="140">
                  <c:v>20</c:v>
                </c:pt>
                <c:pt idx="141">
                  <c:v>20.142857142857142</c:v>
                </c:pt>
                <c:pt idx="142">
                  <c:v>20.285714285714285</c:v>
                </c:pt>
                <c:pt idx="143">
                  <c:v>20.428571428571427</c:v>
                </c:pt>
                <c:pt idx="144">
                  <c:v>20.571428571428573</c:v>
                </c:pt>
                <c:pt idx="145">
                  <c:v>20.714285714285715</c:v>
                </c:pt>
                <c:pt idx="146">
                  <c:v>20.857142857142858</c:v>
                </c:pt>
                <c:pt idx="147">
                  <c:v>21</c:v>
                </c:pt>
                <c:pt idx="148">
                  <c:v>21.142857142857142</c:v>
                </c:pt>
                <c:pt idx="149">
                  <c:v>21.285714285714285</c:v>
                </c:pt>
                <c:pt idx="150">
                  <c:v>21.428571428571427</c:v>
                </c:pt>
                <c:pt idx="151">
                  <c:v>21.571428571428573</c:v>
                </c:pt>
                <c:pt idx="152">
                  <c:v>21.714285714285715</c:v>
                </c:pt>
                <c:pt idx="153">
                  <c:v>21.857142857142858</c:v>
                </c:pt>
                <c:pt idx="154">
                  <c:v>22</c:v>
                </c:pt>
                <c:pt idx="155">
                  <c:v>22.142857142857142</c:v>
                </c:pt>
                <c:pt idx="156">
                  <c:v>22.285714285714285</c:v>
                </c:pt>
                <c:pt idx="157">
                  <c:v>22.428571428571427</c:v>
                </c:pt>
                <c:pt idx="158">
                  <c:v>22.571428571428573</c:v>
                </c:pt>
                <c:pt idx="159">
                  <c:v>22.714285714285715</c:v>
                </c:pt>
                <c:pt idx="160">
                  <c:v>22.857142857142858</c:v>
                </c:pt>
                <c:pt idx="161">
                  <c:v>23</c:v>
                </c:pt>
                <c:pt idx="162">
                  <c:v>23.142857142857142</c:v>
                </c:pt>
                <c:pt idx="163">
                  <c:v>23.285714285714285</c:v>
                </c:pt>
                <c:pt idx="164">
                  <c:v>23.428571428571427</c:v>
                </c:pt>
                <c:pt idx="165">
                  <c:v>23.571428571428573</c:v>
                </c:pt>
                <c:pt idx="166">
                  <c:v>23.714285714285715</c:v>
                </c:pt>
                <c:pt idx="167">
                  <c:v>23.857142857142858</c:v>
                </c:pt>
                <c:pt idx="168">
                  <c:v>24</c:v>
                </c:pt>
                <c:pt idx="169">
                  <c:v>24.142857142857142</c:v>
                </c:pt>
                <c:pt idx="170">
                  <c:v>24.285714285714285</c:v>
                </c:pt>
                <c:pt idx="171">
                  <c:v>24.428571428571427</c:v>
                </c:pt>
                <c:pt idx="172">
                  <c:v>24.571428571428573</c:v>
                </c:pt>
                <c:pt idx="173">
                  <c:v>24.714285714285715</c:v>
                </c:pt>
                <c:pt idx="174">
                  <c:v>24.857142857142858</c:v>
                </c:pt>
                <c:pt idx="175">
                  <c:v>25</c:v>
                </c:pt>
                <c:pt idx="176">
                  <c:v>25.142857142857142</c:v>
                </c:pt>
                <c:pt idx="177">
                  <c:v>25.285714285714285</c:v>
                </c:pt>
                <c:pt idx="178">
                  <c:v>25.428571428571427</c:v>
                </c:pt>
                <c:pt idx="179">
                  <c:v>25.571428571428573</c:v>
                </c:pt>
                <c:pt idx="180">
                  <c:v>25.714285714285715</c:v>
                </c:pt>
                <c:pt idx="181">
                  <c:v>25.857142857142858</c:v>
                </c:pt>
                <c:pt idx="182">
                  <c:v>26</c:v>
                </c:pt>
                <c:pt idx="183">
                  <c:v>26.142857142857142</c:v>
                </c:pt>
                <c:pt idx="184">
                  <c:v>26.285714285714285</c:v>
                </c:pt>
                <c:pt idx="185">
                  <c:v>26.428571428571427</c:v>
                </c:pt>
                <c:pt idx="186">
                  <c:v>26.571428571428573</c:v>
                </c:pt>
                <c:pt idx="187">
                  <c:v>26.714285714285715</c:v>
                </c:pt>
                <c:pt idx="188">
                  <c:v>26.857142857142858</c:v>
                </c:pt>
                <c:pt idx="189">
                  <c:v>27</c:v>
                </c:pt>
                <c:pt idx="190">
                  <c:v>27.142857142857142</c:v>
                </c:pt>
                <c:pt idx="191">
                  <c:v>27.285714285714285</c:v>
                </c:pt>
                <c:pt idx="192">
                  <c:v>27.428571428571427</c:v>
                </c:pt>
                <c:pt idx="193">
                  <c:v>27.571428571428573</c:v>
                </c:pt>
                <c:pt idx="194">
                  <c:v>27.714285714285715</c:v>
                </c:pt>
                <c:pt idx="195">
                  <c:v>27.857142857142858</c:v>
                </c:pt>
                <c:pt idx="196">
                  <c:v>28</c:v>
                </c:pt>
                <c:pt idx="197">
                  <c:v>28.142857142857142</c:v>
                </c:pt>
                <c:pt idx="198">
                  <c:v>28.285714285714285</c:v>
                </c:pt>
                <c:pt idx="199">
                  <c:v>28.428571428571427</c:v>
                </c:pt>
                <c:pt idx="200">
                  <c:v>28.571428571428573</c:v>
                </c:pt>
                <c:pt idx="201">
                  <c:v>28.714285714285715</c:v>
                </c:pt>
                <c:pt idx="202">
                  <c:v>28.857142857142858</c:v>
                </c:pt>
                <c:pt idx="203">
                  <c:v>29</c:v>
                </c:pt>
                <c:pt idx="204">
                  <c:v>29.142857142857142</c:v>
                </c:pt>
                <c:pt idx="205">
                  <c:v>29.285714285714285</c:v>
                </c:pt>
                <c:pt idx="206">
                  <c:v>29.428571428571427</c:v>
                </c:pt>
                <c:pt idx="207">
                  <c:v>29.571428571428573</c:v>
                </c:pt>
                <c:pt idx="208">
                  <c:v>29.714285714285715</c:v>
                </c:pt>
                <c:pt idx="209">
                  <c:v>29.857142857142858</c:v>
                </c:pt>
                <c:pt idx="210">
                  <c:v>30</c:v>
                </c:pt>
                <c:pt idx="211">
                  <c:v>30.142857142857142</c:v>
                </c:pt>
                <c:pt idx="212">
                  <c:v>30.285714285714285</c:v>
                </c:pt>
                <c:pt idx="213">
                  <c:v>30.428571428571427</c:v>
                </c:pt>
                <c:pt idx="214">
                  <c:v>30.571428571428573</c:v>
                </c:pt>
                <c:pt idx="215">
                  <c:v>30.714285714285715</c:v>
                </c:pt>
                <c:pt idx="216">
                  <c:v>30.857142857142858</c:v>
                </c:pt>
                <c:pt idx="217">
                  <c:v>31</c:v>
                </c:pt>
                <c:pt idx="218">
                  <c:v>31.142857142857142</c:v>
                </c:pt>
                <c:pt idx="219">
                  <c:v>31.285714285714285</c:v>
                </c:pt>
                <c:pt idx="220">
                  <c:v>31.428571428571427</c:v>
                </c:pt>
                <c:pt idx="221">
                  <c:v>31.571428571428573</c:v>
                </c:pt>
                <c:pt idx="222">
                  <c:v>31.714285714285715</c:v>
                </c:pt>
                <c:pt idx="223">
                  <c:v>31.857142857142858</c:v>
                </c:pt>
                <c:pt idx="224">
                  <c:v>32</c:v>
                </c:pt>
                <c:pt idx="225">
                  <c:v>32.142857142857146</c:v>
                </c:pt>
                <c:pt idx="226">
                  <c:v>32.285714285714285</c:v>
                </c:pt>
                <c:pt idx="227">
                  <c:v>32.428571428571431</c:v>
                </c:pt>
                <c:pt idx="228">
                  <c:v>32.571428571428569</c:v>
                </c:pt>
                <c:pt idx="229">
                  <c:v>32.714285714285715</c:v>
                </c:pt>
                <c:pt idx="230">
                  <c:v>32.857142857142854</c:v>
                </c:pt>
                <c:pt idx="231">
                  <c:v>33</c:v>
                </c:pt>
                <c:pt idx="232">
                  <c:v>33.142857142857146</c:v>
                </c:pt>
                <c:pt idx="233">
                  <c:v>33.285714285714285</c:v>
                </c:pt>
                <c:pt idx="234">
                  <c:v>33.428571428571431</c:v>
                </c:pt>
                <c:pt idx="235">
                  <c:v>33.571428571428569</c:v>
                </c:pt>
                <c:pt idx="236">
                  <c:v>33.714285714285715</c:v>
                </c:pt>
                <c:pt idx="237">
                  <c:v>33.857142857142854</c:v>
                </c:pt>
                <c:pt idx="238">
                  <c:v>34</c:v>
                </c:pt>
                <c:pt idx="239">
                  <c:v>34.142857142857146</c:v>
                </c:pt>
                <c:pt idx="240">
                  <c:v>34.285714285714285</c:v>
                </c:pt>
                <c:pt idx="241">
                  <c:v>34.428571428571431</c:v>
                </c:pt>
                <c:pt idx="242">
                  <c:v>34.571428571428569</c:v>
                </c:pt>
                <c:pt idx="243">
                  <c:v>34.714285714285715</c:v>
                </c:pt>
                <c:pt idx="244">
                  <c:v>34.857142857142854</c:v>
                </c:pt>
                <c:pt idx="245">
                  <c:v>35</c:v>
                </c:pt>
                <c:pt idx="246">
                  <c:v>35.142857142857146</c:v>
                </c:pt>
                <c:pt idx="247">
                  <c:v>35.285714285714285</c:v>
                </c:pt>
                <c:pt idx="248">
                  <c:v>35.428571428571431</c:v>
                </c:pt>
                <c:pt idx="249">
                  <c:v>35.571428571428569</c:v>
                </c:pt>
                <c:pt idx="250">
                  <c:v>35.714285714285715</c:v>
                </c:pt>
                <c:pt idx="251">
                  <c:v>35.857142857142854</c:v>
                </c:pt>
                <c:pt idx="252">
                  <c:v>36</c:v>
                </c:pt>
                <c:pt idx="253">
                  <c:v>36.142857142857146</c:v>
                </c:pt>
                <c:pt idx="254">
                  <c:v>36.285714285714285</c:v>
                </c:pt>
                <c:pt idx="255">
                  <c:v>36.428571428571431</c:v>
                </c:pt>
                <c:pt idx="256">
                  <c:v>36.571428571428569</c:v>
                </c:pt>
                <c:pt idx="257">
                  <c:v>36.714285714285715</c:v>
                </c:pt>
                <c:pt idx="258">
                  <c:v>36.857142857142854</c:v>
                </c:pt>
                <c:pt idx="259">
                  <c:v>37</c:v>
                </c:pt>
                <c:pt idx="260">
                  <c:v>37.142857142857146</c:v>
                </c:pt>
                <c:pt idx="261">
                  <c:v>37.285714285714285</c:v>
                </c:pt>
                <c:pt idx="262">
                  <c:v>37.428571428571431</c:v>
                </c:pt>
                <c:pt idx="263">
                  <c:v>37.571428571428569</c:v>
                </c:pt>
                <c:pt idx="264">
                  <c:v>37.714285714285715</c:v>
                </c:pt>
                <c:pt idx="265">
                  <c:v>37.857142857142854</c:v>
                </c:pt>
                <c:pt idx="266">
                  <c:v>38</c:v>
                </c:pt>
                <c:pt idx="267">
                  <c:v>38.142857142857146</c:v>
                </c:pt>
                <c:pt idx="268">
                  <c:v>38.285714285714285</c:v>
                </c:pt>
                <c:pt idx="269">
                  <c:v>38.428571428571431</c:v>
                </c:pt>
                <c:pt idx="270">
                  <c:v>38.571428571428569</c:v>
                </c:pt>
                <c:pt idx="271">
                  <c:v>38.714285714285715</c:v>
                </c:pt>
                <c:pt idx="272">
                  <c:v>38.857142857142854</c:v>
                </c:pt>
                <c:pt idx="273">
                  <c:v>39</c:v>
                </c:pt>
                <c:pt idx="274">
                  <c:v>39.142857142857146</c:v>
                </c:pt>
                <c:pt idx="275">
                  <c:v>39.285714285714285</c:v>
                </c:pt>
                <c:pt idx="276">
                  <c:v>39.428571428571431</c:v>
                </c:pt>
                <c:pt idx="277">
                  <c:v>39.571428571428569</c:v>
                </c:pt>
                <c:pt idx="278">
                  <c:v>39.714285714285715</c:v>
                </c:pt>
                <c:pt idx="279">
                  <c:v>39.857142857142854</c:v>
                </c:pt>
                <c:pt idx="280">
                  <c:v>40</c:v>
                </c:pt>
                <c:pt idx="281">
                  <c:v>40.142857142857146</c:v>
                </c:pt>
                <c:pt idx="282">
                  <c:v>40.285714285714285</c:v>
                </c:pt>
                <c:pt idx="283">
                  <c:v>40.428571428571431</c:v>
                </c:pt>
                <c:pt idx="284">
                  <c:v>40.571428571428569</c:v>
                </c:pt>
                <c:pt idx="285">
                  <c:v>40.714285714285715</c:v>
                </c:pt>
                <c:pt idx="286">
                  <c:v>40.857142857142854</c:v>
                </c:pt>
                <c:pt idx="287">
                  <c:v>41</c:v>
                </c:pt>
                <c:pt idx="288">
                  <c:v>41.142857142857146</c:v>
                </c:pt>
                <c:pt idx="289">
                  <c:v>41.285714285714285</c:v>
                </c:pt>
                <c:pt idx="290">
                  <c:v>41.428571428571431</c:v>
                </c:pt>
                <c:pt idx="291">
                  <c:v>41.571428571428569</c:v>
                </c:pt>
                <c:pt idx="292">
                  <c:v>41.714285714285715</c:v>
                </c:pt>
                <c:pt idx="293">
                  <c:v>41.857142857142854</c:v>
                </c:pt>
                <c:pt idx="294">
                  <c:v>42</c:v>
                </c:pt>
                <c:pt idx="295">
                  <c:v>42.142857142857146</c:v>
                </c:pt>
                <c:pt idx="296">
                  <c:v>42.285714285714285</c:v>
                </c:pt>
                <c:pt idx="297">
                  <c:v>42.428571428571431</c:v>
                </c:pt>
                <c:pt idx="298">
                  <c:v>42.571428571428569</c:v>
                </c:pt>
                <c:pt idx="299">
                  <c:v>42.714285714285715</c:v>
                </c:pt>
                <c:pt idx="300">
                  <c:v>42.857142857142854</c:v>
                </c:pt>
                <c:pt idx="301">
                  <c:v>43</c:v>
                </c:pt>
                <c:pt idx="302">
                  <c:v>43.142857142857146</c:v>
                </c:pt>
                <c:pt idx="303">
                  <c:v>43.285714285714285</c:v>
                </c:pt>
                <c:pt idx="304">
                  <c:v>43.428571428571431</c:v>
                </c:pt>
                <c:pt idx="305">
                  <c:v>43.571428571428569</c:v>
                </c:pt>
                <c:pt idx="306">
                  <c:v>43.714285714285715</c:v>
                </c:pt>
                <c:pt idx="307">
                  <c:v>43.857142857142854</c:v>
                </c:pt>
                <c:pt idx="308">
                  <c:v>44</c:v>
                </c:pt>
                <c:pt idx="309">
                  <c:v>44.142857142857146</c:v>
                </c:pt>
                <c:pt idx="310">
                  <c:v>44.285714285714285</c:v>
                </c:pt>
                <c:pt idx="311">
                  <c:v>44.428571428571431</c:v>
                </c:pt>
                <c:pt idx="312">
                  <c:v>44.571428571428569</c:v>
                </c:pt>
                <c:pt idx="313">
                  <c:v>44.714285714285715</c:v>
                </c:pt>
                <c:pt idx="314">
                  <c:v>44.857142857142854</c:v>
                </c:pt>
                <c:pt idx="315">
                  <c:v>45</c:v>
                </c:pt>
                <c:pt idx="316">
                  <c:v>45.142857142857146</c:v>
                </c:pt>
                <c:pt idx="317">
                  <c:v>45.285714285714285</c:v>
                </c:pt>
                <c:pt idx="318">
                  <c:v>45.428571428571431</c:v>
                </c:pt>
                <c:pt idx="319">
                  <c:v>45.571428571428569</c:v>
                </c:pt>
                <c:pt idx="320">
                  <c:v>45.714285714285715</c:v>
                </c:pt>
                <c:pt idx="321">
                  <c:v>45.857142857142854</c:v>
                </c:pt>
                <c:pt idx="322">
                  <c:v>46</c:v>
                </c:pt>
                <c:pt idx="323">
                  <c:v>46.142857142857146</c:v>
                </c:pt>
                <c:pt idx="324">
                  <c:v>46.285714285714285</c:v>
                </c:pt>
                <c:pt idx="325">
                  <c:v>46.428571428571431</c:v>
                </c:pt>
                <c:pt idx="326">
                  <c:v>46.571428571428569</c:v>
                </c:pt>
                <c:pt idx="327">
                  <c:v>46.714285714285715</c:v>
                </c:pt>
                <c:pt idx="328">
                  <c:v>46.857142857142854</c:v>
                </c:pt>
                <c:pt idx="329">
                  <c:v>47</c:v>
                </c:pt>
                <c:pt idx="330">
                  <c:v>47.142857142857146</c:v>
                </c:pt>
                <c:pt idx="331">
                  <c:v>47.285714285714285</c:v>
                </c:pt>
                <c:pt idx="332">
                  <c:v>47.428571428571431</c:v>
                </c:pt>
                <c:pt idx="333">
                  <c:v>47.571428571428569</c:v>
                </c:pt>
                <c:pt idx="334">
                  <c:v>47.714285714285715</c:v>
                </c:pt>
                <c:pt idx="335">
                  <c:v>47.857142857142854</c:v>
                </c:pt>
                <c:pt idx="336">
                  <c:v>48</c:v>
                </c:pt>
                <c:pt idx="337">
                  <c:v>48.142857142857146</c:v>
                </c:pt>
                <c:pt idx="338">
                  <c:v>48.285714285714285</c:v>
                </c:pt>
                <c:pt idx="339">
                  <c:v>48.428571428571431</c:v>
                </c:pt>
                <c:pt idx="340">
                  <c:v>48.571428571428569</c:v>
                </c:pt>
                <c:pt idx="341">
                  <c:v>48.714285714285715</c:v>
                </c:pt>
                <c:pt idx="342">
                  <c:v>48.857142857142854</c:v>
                </c:pt>
                <c:pt idx="343">
                  <c:v>49</c:v>
                </c:pt>
                <c:pt idx="344">
                  <c:v>49.142857142857146</c:v>
                </c:pt>
                <c:pt idx="345">
                  <c:v>49.285714285714285</c:v>
                </c:pt>
                <c:pt idx="346">
                  <c:v>49.428571428571431</c:v>
                </c:pt>
                <c:pt idx="347">
                  <c:v>49.571428571428569</c:v>
                </c:pt>
                <c:pt idx="348">
                  <c:v>49.714285714285715</c:v>
                </c:pt>
                <c:pt idx="349">
                  <c:v>49.857142857142854</c:v>
                </c:pt>
                <c:pt idx="350">
                  <c:v>50</c:v>
                </c:pt>
                <c:pt idx="351">
                  <c:v>50.142857142857146</c:v>
                </c:pt>
                <c:pt idx="352">
                  <c:v>50.285714285714285</c:v>
                </c:pt>
                <c:pt idx="353">
                  <c:v>50.428571428571431</c:v>
                </c:pt>
                <c:pt idx="354">
                  <c:v>50.571428571428569</c:v>
                </c:pt>
                <c:pt idx="355">
                  <c:v>50.714285714285715</c:v>
                </c:pt>
                <c:pt idx="356">
                  <c:v>50.857142857142854</c:v>
                </c:pt>
                <c:pt idx="357">
                  <c:v>51</c:v>
                </c:pt>
                <c:pt idx="358">
                  <c:v>51.142857142857146</c:v>
                </c:pt>
                <c:pt idx="359">
                  <c:v>51.285714285714285</c:v>
                </c:pt>
                <c:pt idx="360">
                  <c:v>51.428571428571431</c:v>
                </c:pt>
                <c:pt idx="361">
                  <c:v>51.571428571428569</c:v>
                </c:pt>
                <c:pt idx="362">
                  <c:v>51.714285714285715</c:v>
                </c:pt>
                <c:pt idx="363">
                  <c:v>51.857142857142854</c:v>
                </c:pt>
                <c:pt idx="364">
                  <c:v>52</c:v>
                </c:pt>
                <c:pt idx="365">
                  <c:v>52.142857142857146</c:v>
                </c:pt>
                <c:pt idx="366">
                  <c:v>52.285714285714285</c:v>
                </c:pt>
                <c:pt idx="367">
                  <c:v>52.428571428571431</c:v>
                </c:pt>
                <c:pt idx="368">
                  <c:v>52.571428571428569</c:v>
                </c:pt>
                <c:pt idx="369">
                  <c:v>52.714285714285715</c:v>
                </c:pt>
                <c:pt idx="370">
                  <c:v>52.857142857142854</c:v>
                </c:pt>
                <c:pt idx="371">
                  <c:v>53</c:v>
                </c:pt>
                <c:pt idx="372">
                  <c:v>53.142857142857146</c:v>
                </c:pt>
                <c:pt idx="373">
                  <c:v>53.285714285714285</c:v>
                </c:pt>
                <c:pt idx="374">
                  <c:v>53.428571428571431</c:v>
                </c:pt>
                <c:pt idx="375">
                  <c:v>53.571428571428569</c:v>
                </c:pt>
                <c:pt idx="376">
                  <c:v>53.714285714285715</c:v>
                </c:pt>
                <c:pt idx="377">
                  <c:v>53.857142857142854</c:v>
                </c:pt>
                <c:pt idx="378">
                  <c:v>54</c:v>
                </c:pt>
                <c:pt idx="379">
                  <c:v>54.142857142857146</c:v>
                </c:pt>
                <c:pt idx="380">
                  <c:v>54.285714285714285</c:v>
                </c:pt>
                <c:pt idx="381">
                  <c:v>54.428571428571431</c:v>
                </c:pt>
                <c:pt idx="382">
                  <c:v>54.571428571428569</c:v>
                </c:pt>
                <c:pt idx="383">
                  <c:v>54.714285714285715</c:v>
                </c:pt>
                <c:pt idx="384">
                  <c:v>54.857142857142854</c:v>
                </c:pt>
                <c:pt idx="385">
                  <c:v>55</c:v>
                </c:pt>
                <c:pt idx="386">
                  <c:v>55.142857142857146</c:v>
                </c:pt>
                <c:pt idx="387">
                  <c:v>55.285714285714285</c:v>
                </c:pt>
                <c:pt idx="388">
                  <c:v>55.428571428571431</c:v>
                </c:pt>
                <c:pt idx="389">
                  <c:v>55.571428571428569</c:v>
                </c:pt>
                <c:pt idx="390">
                  <c:v>55.714285714285715</c:v>
                </c:pt>
                <c:pt idx="391">
                  <c:v>55.857142857142854</c:v>
                </c:pt>
                <c:pt idx="392">
                  <c:v>56</c:v>
                </c:pt>
                <c:pt idx="393">
                  <c:v>56.142857142857146</c:v>
                </c:pt>
                <c:pt idx="394">
                  <c:v>56.285714285714285</c:v>
                </c:pt>
                <c:pt idx="395">
                  <c:v>56.428571428571431</c:v>
                </c:pt>
                <c:pt idx="396">
                  <c:v>56.571428571428569</c:v>
                </c:pt>
                <c:pt idx="397">
                  <c:v>56.714285714285715</c:v>
                </c:pt>
                <c:pt idx="398">
                  <c:v>56.857142857142854</c:v>
                </c:pt>
                <c:pt idx="399">
                  <c:v>57</c:v>
                </c:pt>
                <c:pt idx="400">
                  <c:v>57.142857142857146</c:v>
                </c:pt>
                <c:pt idx="401">
                  <c:v>57.285714285714285</c:v>
                </c:pt>
                <c:pt idx="402">
                  <c:v>57.428571428571431</c:v>
                </c:pt>
                <c:pt idx="403">
                  <c:v>57.571428571428569</c:v>
                </c:pt>
                <c:pt idx="404">
                  <c:v>57.714285714285715</c:v>
                </c:pt>
                <c:pt idx="405">
                  <c:v>57.857142857142854</c:v>
                </c:pt>
                <c:pt idx="406">
                  <c:v>58</c:v>
                </c:pt>
                <c:pt idx="407">
                  <c:v>58.142857142857146</c:v>
                </c:pt>
                <c:pt idx="408">
                  <c:v>58.285714285714285</c:v>
                </c:pt>
                <c:pt idx="409">
                  <c:v>58.428571428571431</c:v>
                </c:pt>
                <c:pt idx="410">
                  <c:v>58.571428571428569</c:v>
                </c:pt>
                <c:pt idx="411">
                  <c:v>58.714285714285715</c:v>
                </c:pt>
                <c:pt idx="412">
                  <c:v>58.857142857142854</c:v>
                </c:pt>
                <c:pt idx="413">
                  <c:v>59</c:v>
                </c:pt>
                <c:pt idx="414">
                  <c:v>59.142857142857146</c:v>
                </c:pt>
                <c:pt idx="415">
                  <c:v>59.285714285714285</c:v>
                </c:pt>
                <c:pt idx="416">
                  <c:v>59.428571428571431</c:v>
                </c:pt>
                <c:pt idx="417">
                  <c:v>59.571428571428569</c:v>
                </c:pt>
                <c:pt idx="418">
                  <c:v>59.714285714285715</c:v>
                </c:pt>
                <c:pt idx="419">
                  <c:v>59.857142857142854</c:v>
                </c:pt>
                <c:pt idx="420">
                  <c:v>60</c:v>
                </c:pt>
                <c:pt idx="421">
                  <c:v>60.142857142857146</c:v>
                </c:pt>
                <c:pt idx="422">
                  <c:v>60.285714285714285</c:v>
                </c:pt>
                <c:pt idx="423">
                  <c:v>60.428571428571431</c:v>
                </c:pt>
                <c:pt idx="424">
                  <c:v>60.571428571428569</c:v>
                </c:pt>
                <c:pt idx="425">
                  <c:v>60.714285714285715</c:v>
                </c:pt>
                <c:pt idx="426">
                  <c:v>60.857142857142854</c:v>
                </c:pt>
                <c:pt idx="427">
                  <c:v>61</c:v>
                </c:pt>
                <c:pt idx="428">
                  <c:v>61.142857142857146</c:v>
                </c:pt>
                <c:pt idx="429">
                  <c:v>61.285714285714285</c:v>
                </c:pt>
                <c:pt idx="430">
                  <c:v>61.428571428571431</c:v>
                </c:pt>
                <c:pt idx="431">
                  <c:v>61.571428571428569</c:v>
                </c:pt>
                <c:pt idx="432">
                  <c:v>61.714285714285715</c:v>
                </c:pt>
                <c:pt idx="433">
                  <c:v>61.857142857142854</c:v>
                </c:pt>
                <c:pt idx="434">
                  <c:v>62</c:v>
                </c:pt>
                <c:pt idx="435">
                  <c:v>62.142857142857146</c:v>
                </c:pt>
                <c:pt idx="436">
                  <c:v>62.285714285714285</c:v>
                </c:pt>
                <c:pt idx="437">
                  <c:v>62.428571428571431</c:v>
                </c:pt>
                <c:pt idx="438">
                  <c:v>62.571428571428569</c:v>
                </c:pt>
                <c:pt idx="439">
                  <c:v>62.714285714285715</c:v>
                </c:pt>
                <c:pt idx="440">
                  <c:v>62.857142857142854</c:v>
                </c:pt>
                <c:pt idx="441">
                  <c:v>63</c:v>
                </c:pt>
                <c:pt idx="442">
                  <c:v>63.142857142857146</c:v>
                </c:pt>
                <c:pt idx="443">
                  <c:v>63.285714285714285</c:v>
                </c:pt>
                <c:pt idx="444">
                  <c:v>63.428571428571431</c:v>
                </c:pt>
                <c:pt idx="445">
                  <c:v>63.571428571428569</c:v>
                </c:pt>
                <c:pt idx="446">
                  <c:v>63.714285714285715</c:v>
                </c:pt>
                <c:pt idx="447">
                  <c:v>63.857142857142854</c:v>
                </c:pt>
                <c:pt idx="448">
                  <c:v>64</c:v>
                </c:pt>
                <c:pt idx="449">
                  <c:v>64.142857142857139</c:v>
                </c:pt>
                <c:pt idx="450">
                  <c:v>64.285714285714292</c:v>
                </c:pt>
                <c:pt idx="451">
                  <c:v>64.428571428571431</c:v>
                </c:pt>
                <c:pt idx="452">
                  <c:v>64.571428571428569</c:v>
                </c:pt>
                <c:pt idx="453">
                  <c:v>64.714285714285708</c:v>
                </c:pt>
                <c:pt idx="454">
                  <c:v>64.857142857142861</c:v>
                </c:pt>
                <c:pt idx="455">
                  <c:v>65</c:v>
                </c:pt>
                <c:pt idx="456">
                  <c:v>65.142857142857139</c:v>
                </c:pt>
                <c:pt idx="457">
                  <c:v>65.285714285714292</c:v>
                </c:pt>
                <c:pt idx="458">
                  <c:v>65.428571428571431</c:v>
                </c:pt>
                <c:pt idx="459">
                  <c:v>65.571428571428569</c:v>
                </c:pt>
                <c:pt idx="460">
                  <c:v>65.714285714285708</c:v>
                </c:pt>
                <c:pt idx="461">
                  <c:v>65.857142857142861</c:v>
                </c:pt>
                <c:pt idx="462">
                  <c:v>66</c:v>
                </c:pt>
                <c:pt idx="463">
                  <c:v>66.142857142857139</c:v>
                </c:pt>
                <c:pt idx="464">
                  <c:v>66.285714285714292</c:v>
                </c:pt>
                <c:pt idx="465">
                  <c:v>66.428571428571431</c:v>
                </c:pt>
                <c:pt idx="466">
                  <c:v>66.571428571428569</c:v>
                </c:pt>
                <c:pt idx="467">
                  <c:v>66.714285714285708</c:v>
                </c:pt>
                <c:pt idx="468">
                  <c:v>66.857142857142861</c:v>
                </c:pt>
                <c:pt idx="469">
                  <c:v>67</c:v>
                </c:pt>
                <c:pt idx="470">
                  <c:v>67.142857142857139</c:v>
                </c:pt>
                <c:pt idx="471">
                  <c:v>67.285714285714292</c:v>
                </c:pt>
                <c:pt idx="472">
                  <c:v>67.428571428571431</c:v>
                </c:pt>
                <c:pt idx="473">
                  <c:v>67.571428571428569</c:v>
                </c:pt>
                <c:pt idx="474">
                  <c:v>67.714285714285708</c:v>
                </c:pt>
                <c:pt idx="475">
                  <c:v>67.857142857142861</c:v>
                </c:pt>
                <c:pt idx="476">
                  <c:v>68</c:v>
                </c:pt>
                <c:pt idx="477">
                  <c:v>68.142857142857139</c:v>
                </c:pt>
                <c:pt idx="478">
                  <c:v>68.285714285714292</c:v>
                </c:pt>
                <c:pt idx="479">
                  <c:v>68.428571428571431</c:v>
                </c:pt>
                <c:pt idx="480">
                  <c:v>68.571428571428569</c:v>
                </c:pt>
                <c:pt idx="481">
                  <c:v>68.714285714285708</c:v>
                </c:pt>
                <c:pt idx="482">
                  <c:v>68.857142857142861</c:v>
                </c:pt>
                <c:pt idx="483">
                  <c:v>69</c:v>
                </c:pt>
                <c:pt idx="484">
                  <c:v>69.142857142857139</c:v>
                </c:pt>
                <c:pt idx="485">
                  <c:v>69.285714285714292</c:v>
                </c:pt>
                <c:pt idx="486">
                  <c:v>69.428571428571431</c:v>
                </c:pt>
                <c:pt idx="487">
                  <c:v>69.571428571428569</c:v>
                </c:pt>
                <c:pt idx="488">
                  <c:v>69.714285714285708</c:v>
                </c:pt>
                <c:pt idx="489">
                  <c:v>69.857142857142861</c:v>
                </c:pt>
                <c:pt idx="490">
                  <c:v>70</c:v>
                </c:pt>
                <c:pt idx="491">
                  <c:v>70.142857142857139</c:v>
                </c:pt>
                <c:pt idx="492">
                  <c:v>70.285714285714292</c:v>
                </c:pt>
                <c:pt idx="493">
                  <c:v>70.428571428571431</c:v>
                </c:pt>
                <c:pt idx="494">
                  <c:v>70.571428571428569</c:v>
                </c:pt>
                <c:pt idx="495">
                  <c:v>70.714285714285708</c:v>
                </c:pt>
                <c:pt idx="496">
                  <c:v>70.857142857142861</c:v>
                </c:pt>
                <c:pt idx="497">
                  <c:v>71</c:v>
                </c:pt>
                <c:pt idx="498">
                  <c:v>71.142857142857139</c:v>
                </c:pt>
                <c:pt idx="499">
                  <c:v>71.285714285714292</c:v>
                </c:pt>
                <c:pt idx="500">
                  <c:v>71.428571428571431</c:v>
                </c:pt>
                <c:pt idx="501">
                  <c:v>71.571428571428569</c:v>
                </c:pt>
                <c:pt idx="502">
                  <c:v>71.714285714285708</c:v>
                </c:pt>
                <c:pt idx="503">
                  <c:v>71.857142857142861</c:v>
                </c:pt>
                <c:pt idx="504">
                  <c:v>72</c:v>
                </c:pt>
                <c:pt idx="505">
                  <c:v>72.142857142857139</c:v>
                </c:pt>
                <c:pt idx="506">
                  <c:v>72.285714285714292</c:v>
                </c:pt>
                <c:pt idx="507">
                  <c:v>72.428571428571431</c:v>
                </c:pt>
                <c:pt idx="508">
                  <c:v>72.571428571428569</c:v>
                </c:pt>
                <c:pt idx="509">
                  <c:v>72.714285714285708</c:v>
                </c:pt>
                <c:pt idx="510">
                  <c:v>72.857142857142861</c:v>
                </c:pt>
                <c:pt idx="511">
                  <c:v>73</c:v>
                </c:pt>
                <c:pt idx="512">
                  <c:v>73.142857142857139</c:v>
                </c:pt>
                <c:pt idx="513">
                  <c:v>73.285714285714292</c:v>
                </c:pt>
                <c:pt idx="514">
                  <c:v>73.428571428571431</c:v>
                </c:pt>
                <c:pt idx="515">
                  <c:v>73.571428571428569</c:v>
                </c:pt>
                <c:pt idx="516">
                  <c:v>73.714285714285708</c:v>
                </c:pt>
                <c:pt idx="517">
                  <c:v>73.857142857142861</c:v>
                </c:pt>
                <c:pt idx="518">
                  <c:v>74</c:v>
                </c:pt>
                <c:pt idx="519">
                  <c:v>74.142857142857139</c:v>
                </c:pt>
                <c:pt idx="520">
                  <c:v>74.285714285714292</c:v>
                </c:pt>
                <c:pt idx="521">
                  <c:v>74.428571428571431</c:v>
                </c:pt>
                <c:pt idx="522">
                  <c:v>74.571428571428569</c:v>
                </c:pt>
                <c:pt idx="523">
                  <c:v>74.714285714285708</c:v>
                </c:pt>
                <c:pt idx="524">
                  <c:v>74.857142857142861</c:v>
                </c:pt>
                <c:pt idx="525">
                  <c:v>75</c:v>
                </c:pt>
                <c:pt idx="526">
                  <c:v>75.142857142857139</c:v>
                </c:pt>
                <c:pt idx="527">
                  <c:v>75.285714285714292</c:v>
                </c:pt>
                <c:pt idx="528">
                  <c:v>75.428571428571431</c:v>
                </c:pt>
                <c:pt idx="529">
                  <c:v>75.571428571428569</c:v>
                </c:pt>
                <c:pt idx="530">
                  <c:v>75.714285714285708</c:v>
                </c:pt>
                <c:pt idx="531">
                  <c:v>75.857142857142861</c:v>
                </c:pt>
                <c:pt idx="532">
                  <c:v>76</c:v>
                </c:pt>
                <c:pt idx="533">
                  <c:v>76.142857142857139</c:v>
                </c:pt>
                <c:pt idx="534">
                  <c:v>76.285714285714292</c:v>
                </c:pt>
                <c:pt idx="535">
                  <c:v>76.428571428571431</c:v>
                </c:pt>
                <c:pt idx="536">
                  <c:v>76.571428571428569</c:v>
                </c:pt>
                <c:pt idx="537">
                  <c:v>76.714285714285708</c:v>
                </c:pt>
                <c:pt idx="538">
                  <c:v>76.857142857142861</c:v>
                </c:pt>
                <c:pt idx="539">
                  <c:v>77</c:v>
                </c:pt>
                <c:pt idx="540">
                  <c:v>77.142857142857139</c:v>
                </c:pt>
                <c:pt idx="541">
                  <c:v>77.285714285714292</c:v>
                </c:pt>
                <c:pt idx="542">
                  <c:v>77.428571428571431</c:v>
                </c:pt>
                <c:pt idx="543">
                  <c:v>77.571428571428569</c:v>
                </c:pt>
                <c:pt idx="544">
                  <c:v>77.714285714285708</c:v>
                </c:pt>
                <c:pt idx="545">
                  <c:v>77.857142857142861</c:v>
                </c:pt>
                <c:pt idx="546">
                  <c:v>78</c:v>
                </c:pt>
                <c:pt idx="547">
                  <c:v>78.142857142857139</c:v>
                </c:pt>
                <c:pt idx="548">
                  <c:v>78.285714285714292</c:v>
                </c:pt>
                <c:pt idx="549">
                  <c:v>78.428571428571431</c:v>
                </c:pt>
                <c:pt idx="550">
                  <c:v>78.571428571428569</c:v>
                </c:pt>
                <c:pt idx="551">
                  <c:v>78.714285714285708</c:v>
                </c:pt>
                <c:pt idx="552">
                  <c:v>78.857142857142861</c:v>
                </c:pt>
                <c:pt idx="553">
                  <c:v>79</c:v>
                </c:pt>
                <c:pt idx="554">
                  <c:v>79.142857142857139</c:v>
                </c:pt>
                <c:pt idx="555">
                  <c:v>79.285714285714292</c:v>
                </c:pt>
                <c:pt idx="556">
                  <c:v>79.428571428571431</c:v>
                </c:pt>
                <c:pt idx="557">
                  <c:v>79.571428571428569</c:v>
                </c:pt>
                <c:pt idx="558">
                  <c:v>79.714285714285708</c:v>
                </c:pt>
                <c:pt idx="559">
                  <c:v>79.857142857142861</c:v>
                </c:pt>
                <c:pt idx="560">
                  <c:v>80</c:v>
                </c:pt>
                <c:pt idx="561">
                  <c:v>80.142857142857139</c:v>
                </c:pt>
                <c:pt idx="562">
                  <c:v>80.285714285714292</c:v>
                </c:pt>
                <c:pt idx="563">
                  <c:v>80.428571428571431</c:v>
                </c:pt>
                <c:pt idx="564">
                  <c:v>80.571428571428569</c:v>
                </c:pt>
                <c:pt idx="565">
                  <c:v>80.714285714285708</c:v>
                </c:pt>
                <c:pt idx="566">
                  <c:v>80.857142857142861</c:v>
                </c:pt>
                <c:pt idx="567">
                  <c:v>81</c:v>
                </c:pt>
                <c:pt idx="568">
                  <c:v>81.142857142857139</c:v>
                </c:pt>
                <c:pt idx="569">
                  <c:v>81.285714285714292</c:v>
                </c:pt>
                <c:pt idx="570">
                  <c:v>81.428571428571431</c:v>
                </c:pt>
                <c:pt idx="571">
                  <c:v>81.571428571428569</c:v>
                </c:pt>
                <c:pt idx="572">
                  <c:v>81.714285714285708</c:v>
                </c:pt>
                <c:pt idx="573">
                  <c:v>81.857142857142861</c:v>
                </c:pt>
                <c:pt idx="574">
                  <c:v>82</c:v>
                </c:pt>
                <c:pt idx="575">
                  <c:v>82.142857142857139</c:v>
                </c:pt>
                <c:pt idx="576">
                  <c:v>82.285714285714292</c:v>
                </c:pt>
                <c:pt idx="577">
                  <c:v>82.428571428571431</c:v>
                </c:pt>
                <c:pt idx="578">
                  <c:v>82.571428571428569</c:v>
                </c:pt>
                <c:pt idx="579">
                  <c:v>82.714285714285708</c:v>
                </c:pt>
                <c:pt idx="580">
                  <c:v>82.857142857142861</c:v>
                </c:pt>
                <c:pt idx="581">
                  <c:v>83</c:v>
                </c:pt>
                <c:pt idx="582">
                  <c:v>83.142857142857139</c:v>
                </c:pt>
                <c:pt idx="583">
                  <c:v>83.285714285714292</c:v>
                </c:pt>
                <c:pt idx="584">
                  <c:v>83.428571428571431</c:v>
                </c:pt>
                <c:pt idx="585">
                  <c:v>83.571428571428569</c:v>
                </c:pt>
                <c:pt idx="586">
                  <c:v>83.714285714285708</c:v>
                </c:pt>
                <c:pt idx="587">
                  <c:v>83.857142857142861</c:v>
                </c:pt>
                <c:pt idx="588">
                  <c:v>84</c:v>
                </c:pt>
                <c:pt idx="589">
                  <c:v>84.142857142857139</c:v>
                </c:pt>
                <c:pt idx="590">
                  <c:v>84.285714285714292</c:v>
                </c:pt>
                <c:pt idx="591">
                  <c:v>84.428571428571431</c:v>
                </c:pt>
                <c:pt idx="592">
                  <c:v>84.571428571428569</c:v>
                </c:pt>
                <c:pt idx="593">
                  <c:v>84.714285714285708</c:v>
                </c:pt>
                <c:pt idx="594">
                  <c:v>84.857142857142861</c:v>
                </c:pt>
                <c:pt idx="595">
                  <c:v>85</c:v>
                </c:pt>
                <c:pt idx="596">
                  <c:v>85.142857142857139</c:v>
                </c:pt>
                <c:pt idx="597">
                  <c:v>85.285714285714292</c:v>
                </c:pt>
                <c:pt idx="598">
                  <c:v>85.428571428571431</c:v>
                </c:pt>
                <c:pt idx="599">
                  <c:v>85.571428571428569</c:v>
                </c:pt>
                <c:pt idx="600">
                  <c:v>85.714285714285708</c:v>
                </c:pt>
                <c:pt idx="601">
                  <c:v>85.857142857142861</c:v>
                </c:pt>
                <c:pt idx="602">
                  <c:v>86</c:v>
                </c:pt>
                <c:pt idx="603">
                  <c:v>86.142857142857139</c:v>
                </c:pt>
                <c:pt idx="604">
                  <c:v>86.285714285714292</c:v>
                </c:pt>
                <c:pt idx="605">
                  <c:v>86.428571428571431</c:v>
                </c:pt>
                <c:pt idx="606">
                  <c:v>86.571428571428569</c:v>
                </c:pt>
                <c:pt idx="607">
                  <c:v>86.714285714285708</c:v>
                </c:pt>
                <c:pt idx="608">
                  <c:v>86.857142857142861</c:v>
                </c:pt>
                <c:pt idx="609">
                  <c:v>87</c:v>
                </c:pt>
                <c:pt idx="610">
                  <c:v>87.142857142857139</c:v>
                </c:pt>
                <c:pt idx="611">
                  <c:v>87.285714285714292</c:v>
                </c:pt>
                <c:pt idx="612">
                  <c:v>87.428571428571431</c:v>
                </c:pt>
                <c:pt idx="613">
                  <c:v>87.571428571428569</c:v>
                </c:pt>
                <c:pt idx="614">
                  <c:v>87.714285714285708</c:v>
                </c:pt>
                <c:pt idx="615">
                  <c:v>87.857142857142861</c:v>
                </c:pt>
                <c:pt idx="616">
                  <c:v>88</c:v>
                </c:pt>
                <c:pt idx="617">
                  <c:v>88.142857142857139</c:v>
                </c:pt>
                <c:pt idx="618">
                  <c:v>88.285714285714292</c:v>
                </c:pt>
                <c:pt idx="619">
                  <c:v>88.428571428571431</c:v>
                </c:pt>
                <c:pt idx="620">
                  <c:v>88.571428571428569</c:v>
                </c:pt>
                <c:pt idx="621">
                  <c:v>88.714285714285708</c:v>
                </c:pt>
                <c:pt idx="622">
                  <c:v>88.857142857142861</c:v>
                </c:pt>
                <c:pt idx="623">
                  <c:v>89</c:v>
                </c:pt>
                <c:pt idx="624">
                  <c:v>89.142857142857139</c:v>
                </c:pt>
                <c:pt idx="625">
                  <c:v>89.285714285714292</c:v>
                </c:pt>
                <c:pt idx="626">
                  <c:v>89.428571428571431</c:v>
                </c:pt>
                <c:pt idx="627">
                  <c:v>89.571428571428569</c:v>
                </c:pt>
                <c:pt idx="628">
                  <c:v>89.714285714285708</c:v>
                </c:pt>
                <c:pt idx="629">
                  <c:v>89.857142857142861</c:v>
                </c:pt>
                <c:pt idx="630">
                  <c:v>90</c:v>
                </c:pt>
                <c:pt idx="631">
                  <c:v>90.142857142857139</c:v>
                </c:pt>
                <c:pt idx="632">
                  <c:v>90.285714285714292</c:v>
                </c:pt>
                <c:pt idx="633">
                  <c:v>90.428571428571431</c:v>
                </c:pt>
                <c:pt idx="634">
                  <c:v>90.571428571428569</c:v>
                </c:pt>
                <c:pt idx="635">
                  <c:v>90.714285714285708</c:v>
                </c:pt>
                <c:pt idx="636">
                  <c:v>90.857142857142861</c:v>
                </c:pt>
                <c:pt idx="637">
                  <c:v>91</c:v>
                </c:pt>
                <c:pt idx="638">
                  <c:v>91.142857142857139</c:v>
                </c:pt>
                <c:pt idx="639">
                  <c:v>91.285714285714292</c:v>
                </c:pt>
                <c:pt idx="640">
                  <c:v>91.428571428571431</c:v>
                </c:pt>
                <c:pt idx="641">
                  <c:v>91.571428571428569</c:v>
                </c:pt>
                <c:pt idx="642">
                  <c:v>91.714285714285708</c:v>
                </c:pt>
                <c:pt idx="643">
                  <c:v>91.857142857142861</c:v>
                </c:pt>
                <c:pt idx="644">
                  <c:v>92</c:v>
                </c:pt>
                <c:pt idx="645">
                  <c:v>92.142857142857139</c:v>
                </c:pt>
                <c:pt idx="646">
                  <c:v>92.285714285714292</c:v>
                </c:pt>
                <c:pt idx="647">
                  <c:v>92.428571428571431</c:v>
                </c:pt>
                <c:pt idx="648">
                  <c:v>92.571428571428569</c:v>
                </c:pt>
                <c:pt idx="649">
                  <c:v>92.714285714285708</c:v>
                </c:pt>
                <c:pt idx="650">
                  <c:v>92.857142857142861</c:v>
                </c:pt>
                <c:pt idx="651">
                  <c:v>93</c:v>
                </c:pt>
                <c:pt idx="652">
                  <c:v>93.142857142857139</c:v>
                </c:pt>
                <c:pt idx="653">
                  <c:v>93.285714285714292</c:v>
                </c:pt>
                <c:pt idx="654">
                  <c:v>93.428571428571431</c:v>
                </c:pt>
                <c:pt idx="655">
                  <c:v>93.571428571428569</c:v>
                </c:pt>
                <c:pt idx="656">
                  <c:v>93.714285714285708</c:v>
                </c:pt>
                <c:pt idx="657">
                  <c:v>93.857142857142861</c:v>
                </c:pt>
                <c:pt idx="658">
                  <c:v>94</c:v>
                </c:pt>
                <c:pt idx="659">
                  <c:v>94.142857142857139</c:v>
                </c:pt>
                <c:pt idx="660">
                  <c:v>94.285714285714292</c:v>
                </c:pt>
                <c:pt idx="661">
                  <c:v>94.428571428571431</c:v>
                </c:pt>
                <c:pt idx="662">
                  <c:v>94.571428571428569</c:v>
                </c:pt>
                <c:pt idx="663">
                  <c:v>94.714285714285708</c:v>
                </c:pt>
                <c:pt idx="664">
                  <c:v>94.857142857142861</c:v>
                </c:pt>
                <c:pt idx="665">
                  <c:v>95</c:v>
                </c:pt>
                <c:pt idx="666">
                  <c:v>95.142857142857139</c:v>
                </c:pt>
                <c:pt idx="667">
                  <c:v>95.285714285714292</c:v>
                </c:pt>
                <c:pt idx="668">
                  <c:v>95.428571428571431</c:v>
                </c:pt>
                <c:pt idx="669">
                  <c:v>95.571428571428569</c:v>
                </c:pt>
                <c:pt idx="670">
                  <c:v>95.714285714285708</c:v>
                </c:pt>
                <c:pt idx="671">
                  <c:v>95.857142857142861</c:v>
                </c:pt>
                <c:pt idx="672">
                  <c:v>96</c:v>
                </c:pt>
                <c:pt idx="673">
                  <c:v>96.142857142857139</c:v>
                </c:pt>
                <c:pt idx="674">
                  <c:v>96.285714285714292</c:v>
                </c:pt>
                <c:pt idx="675">
                  <c:v>96.428571428571431</c:v>
                </c:pt>
                <c:pt idx="676">
                  <c:v>96.571428571428569</c:v>
                </c:pt>
                <c:pt idx="677">
                  <c:v>96.714285714285708</c:v>
                </c:pt>
                <c:pt idx="678">
                  <c:v>96.857142857142861</c:v>
                </c:pt>
                <c:pt idx="679">
                  <c:v>97</c:v>
                </c:pt>
                <c:pt idx="680">
                  <c:v>97.142857142857139</c:v>
                </c:pt>
                <c:pt idx="681">
                  <c:v>97.285714285714292</c:v>
                </c:pt>
                <c:pt idx="682">
                  <c:v>97.428571428571431</c:v>
                </c:pt>
                <c:pt idx="683">
                  <c:v>97.571428571428569</c:v>
                </c:pt>
                <c:pt idx="684">
                  <c:v>97.714285714285708</c:v>
                </c:pt>
                <c:pt idx="685">
                  <c:v>97.857142857142861</c:v>
                </c:pt>
                <c:pt idx="686">
                  <c:v>98</c:v>
                </c:pt>
                <c:pt idx="687">
                  <c:v>98.142857142857139</c:v>
                </c:pt>
                <c:pt idx="688">
                  <c:v>98.285714285714292</c:v>
                </c:pt>
                <c:pt idx="689">
                  <c:v>98.428571428571431</c:v>
                </c:pt>
                <c:pt idx="690">
                  <c:v>98.571428571428569</c:v>
                </c:pt>
                <c:pt idx="691">
                  <c:v>98.714285714285708</c:v>
                </c:pt>
                <c:pt idx="692">
                  <c:v>98.857142857142861</c:v>
                </c:pt>
                <c:pt idx="693">
                  <c:v>99</c:v>
                </c:pt>
                <c:pt idx="694">
                  <c:v>99.142857142857139</c:v>
                </c:pt>
                <c:pt idx="695">
                  <c:v>99.285714285714292</c:v>
                </c:pt>
                <c:pt idx="696">
                  <c:v>99.428571428571431</c:v>
                </c:pt>
                <c:pt idx="697">
                  <c:v>99.571428571428569</c:v>
                </c:pt>
                <c:pt idx="698">
                  <c:v>99.714285714285708</c:v>
                </c:pt>
                <c:pt idx="699">
                  <c:v>99.857142857142861</c:v>
                </c:pt>
                <c:pt idx="700">
                  <c:v>100</c:v>
                </c:pt>
                <c:pt idx="701">
                  <c:v>100.14285714285714</c:v>
                </c:pt>
                <c:pt idx="702">
                  <c:v>100.28571428571429</c:v>
                </c:pt>
                <c:pt idx="703">
                  <c:v>100.42857142857143</c:v>
                </c:pt>
                <c:pt idx="704">
                  <c:v>100.57142857142857</c:v>
                </c:pt>
                <c:pt idx="705">
                  <c:v>100.71428571428571</c:v>
                </c:pt>
                <c:pt idx="706">
                  <c:v>100.85714285714286</c:v>
                </c:pt>
                <c:pt idx="707">
                  <c:v>101</c:v>
                </c:pt>
                <c:pt idx="708">
                  <c:v>101.14285714285714</c:v>
                </c:pt>
                <c:pt idx="709">
                  <c:v>101.28571428571429</c:v>
                </c:pt>
                <c:pt idx="710">
                  <c:v>101.42857142857143</c:v>
                </c:pt>
                <c:pt idx="711">
                  <c:v>101.57142857142857</c:v>
                </c:pt>
                <c:pt idx="712">
                  <c:v>101.71428571428571</c:v>
                </c:pt>
                <c:pt idx="713">
                  <c:v>101.85714285714286</c:v>
                </c:pt>
                <c:pt idx="714">
                  <c:v>102</c:v>
                </c:pt>
                <c:pt idx="715">
                  <c:v>102.14285714285714</c:v>
                </c:pt>
                <c:pt idx="716">
                  <c:v>102.28571428571429</c:v>
                </c:pt>
                <c:pt idx="717">
                  <c:v>102.42857142857143</c:v>
                </c:pt>
                <c:pt idx="718">
                  <c:v>102.57142857142857</c:v>
                </c:pt>
                <c:pt idx="719">
                  <c:v>102.71428571428571</c:v>
                </c:pt>
                <c:pt idx="720">
                  <c:v>102.85714285714286</c:v>
                </c:pt>
                <c:pt idx="721">
                  <c:v>103</c:v>
                </c:pt>
                <c:pt idx="722">
                  <c:v>103.14285714285714</c:v>
                </c:pt>
                <c:pt idx="723">
                  <c:v>103.28571428571429</c:v>
                </c:pt>
                <c:pt idx="724">
                  <c:v>103.42857142857143</c:v>
                </c:pt>
                <c:pt idx="725">
                  <c:v>103.57142857142857</c:v>
                </c:pt>
                <c:pt idx="726">
                  <c:v>103.71428571428571</c:v>
                </c:pt>
                <c:pt idx="727">
                  <c:v>103.85714285714286</c:v>
                </c:pt>
                <c:pt idx="728">
                  <c:v>104</c:v>
                </c:pt>
                <c:pt idx="729">
                  <c:v>104.14285714285714</c:v>
                </c:pt>
                <c:pt idx="730">
                  <c:v>104.28571428571429</c:v>
                </c:pt>
                <c:pt idx="731">
                  <c:v>104.42857142857143</c:v>
                </c:pt>
                <c:pt idx="732">
                  <c:v>104.57142857142857</c:v>
                </c:pt>
                <c:pt idx="733">
                  <c:v>104.71428571428571</c:v>
                </c:pt>
                <c:pt idx="734">
                  <c:v>104.85714285714286</c:v>
                </c:pt>
                <c:pt idx="735">
                  <c:v>105</c:v>
                </c:pt>
                <c:pt idx="736">
                  <c:v>105.14285714285714</c:v>
                </c:pt>
                <c:pt idx="737">
                  <c:v>105.28571428571429</c:v>
                </c:pt>
                <c:pt idx="738">
                  <c:v>105.42857142857143</c:v>
                </c:pt>
                <c:pt idx="739">
                  <c:v>105.57142857142857</c:v>
                </c:pt>
                <c:pt idx="740">
                  <c:v>105.71428571428571</c:v>
                </c:pt>
                <c:pt idx="741">
                  <c:v>105.85714285714286</c:v>
                </c:pt>
                <c:pt idx="742">
                  <c:v>106</c:v>
                </c:pt>
                <c:pt idx="743">
                  <c:v>106.14285714285714</c:v>
                </c:pt>
                <c:pt idx="744">
                  <c:v>106.28571428571429</c:v>
                </c:pt>
                <c:pt idx="745">
                  <c:v>106.42857142857143</c:v>
                </c:pt>
                <c:pt idx="746">
                  <c:v>106.57142857142857</c:v>
                </c:pt>
                <c:pt idx="747">
                  <c:v>106.71428571428571</c:v>
                </c:pt>
                <c:pt idx="748">
                  <c:v>106.85714285714286</c:v>
                </c:pt>
                <c:pt idx="749">
                  <c:v>107</c:v>
                </c:pt>
                <c:pt idx="750">
                  <c:v>107.14285714285714</c:v>
                </c:pt>
                <c:pt idx="751">
                  <c:v>107.28571428571429</c:v>
                </c:pt>
                <c:pt idx="752">
                  <c:v>107.42857142857143</c:v>
                </c:pt>
                <c:pt idx="753">
                  <c:v>107.57142857142857</c:v>
                </c:pt>
                <c:pt idx="754">
                  <c:v>107.71428571428571</c:v>
                </c:pt>
                <c:pt idx="755">
                  <c:v>107.85714285714286</c:v>
                </c:pt>
                <c:pt idx="756">
                  <c:v>108</c:v>
                </c:pt>
                <c:pt idx="757">
                  <c:v>108.14285714285714</c:v>
                </c:pt>
                <c:pt idx="758">
                  <c:v>108.28571428571429</c:v>
                </c:pt>
                <c:pt idx="759">
                  <c:v>108.42857142857143</c:v>
                </c:pt>
                <c:pt idx="760">
                  <c:v>108.57142857142857</c:v>
                </c:pt>
                <c:pt idx="761">
                  <c:v>108.71428571428571</c:v>
                </c:pt>
                <c:pt idx="762">
                  <c:v>108.85714285714286</c:v>
                </c:pt>
                <c:pt idx="763">
                  <c:v>109</c:v>
                </c:pt>
                <c:pt idx="764">
                  <c:v>109.14285714285714</c:v>
                </c:pt>
                <c:pt idx="765">
                  <c:v>109.28571428571429</c:v>
                </c:pt>
                <c:pt idx="766">
                  <c:v>109.42857142857143</c:v>
                </c:pt>
                <c:pt idx="767">
                  <c:v>109.57142857142857</c:v>
                </c:pt>
                <c:pt idx="768">
                  <c:v>109.71428571428571</c:v>
                </c:pt>
                <c:pt idx="769">
                  <c:v>109.85714285714286</c:v>
                </c:pt>
                <c:pt idx="770">
                  <c:v>110</c:v>
                </c:pt>
                <c:pt idx="771">
                  <c:v>110.14285714285714</c:v>
                </c:pt>
                <c:pt idx="772">
                  <c:v>110.28571428571429</c:v>
                </c:pt>
                <c:pt idx="773">
                  <c:v>110.42857142857143</c:v>
                </c:pt>
                <c:pt idx="774">
                  <c:v>110.57142857142857</c:v>
                </c:pt>
                <c:pt idx="775">
                  <c:v>110.71428571428571</c:v>
                </c:pt>
                <c:pt idx="776">
                  <c:v>110.85714285714286</c:v>
                </c:pt>
                <c:pt idx="777">
                  <c:v>111</c:v>
                </c:pt>
                <c:pt idx="778">
                  <c:v>111.14285714285714</c:v>
                </c:pt>
                <c:pt idx="779">
                  <c:v>111.28571428571429</c:v>
                </c:pt>
                <c:pt idx="780">
                  <c:v>111.42857142857143</c:v>
                </c:pt>
                <c:pt idx="781">
                  <c:v>111.57142857142857</c:v>
                </c:pt>
                <c:pt idx="782">
                  <c:v>111.71428571428571</c:v>
                </c:pt>
                <c:pt idx="783">
                  <c:v>111.85714285714286</c:v>
                </c:pt>
                <c:pt idx="784">
                  <c:v>112</c:v>
                </c:pt>
                <c:pt idx="785">
                  <c:v>112.14285714285714</c:v>
                </c:pt>
                <c:pt idx="786">
                  <c:v>112.28571428571429</c:v>
                </c:pt>
                <c:pt idx="787">
                  <c:v>112.42857142857143</c:v>
                </c:pt>
                <c:pt idx="788">
                  <c:v>112.57142857142857</c:v>
                </c:pt>
                <c:pt idx="789">
                  <c:v>112.71428571428571</c:v>
                </c:pt>
                <c:pt idx="790">
                  <c:v>112.85714285714286</c:v>
                </c:pt>
                <c:pt idx="791">
                  <c:v>113</c:v>
                </c:pt>
                <c:pt idx="792">
                  <c:v>113.14285714285714</c:v>
                </c:pt>
                <c:pt idx="793">
                  <c:v>113.28571428571429</c:v>
                </c:pt>
                <c:pt idx="794">
                  <c:v>113.42857142857143</c:v>
                </c:pt>
                <c:pt idx="795">
                  <c:v>113.57142857142857</c:v>
                </c:pt>
                <c:pt idx="796">
                  <c:v>113.71428571428571</c:v>
                </c:pt>
                <c:pt idx="797">
                  <c:v>113.85714285714286</c:v>
                </c:pt>
                <c:pt idx="798">
                  <c:v>114</c:v>
                </c:pt>
                <c:pt idx="799">
                  <c:v>114.14285714285714</c:v>
                </c:pt>
                <c:pt idx="800">
                  <c:v>114.28571428571429</c:v>
                </c:pt>
                <c:pt idx="801">
                  <c:v>114.42857142857143</c:v>
                </c:pt>
                <c:pt idx="802">
                  <c:v>114.57142857142857</c:v>
                </c:pt>
                <c:pt idx="803">
                  <c:v>114.71428571428571</c:v>
                </c:pt>
                <c:pt idx="804">
                  <c:v>114.85714285714286</c:v>
                </c:pt>
                <c:pt idx="805">
                  <c:v>115</c:v>
                </c:pt>
                <c:pt idx="806">
                  <c:v>115.14285714285714</c:v>
                </c:pt>
                <c:pt idx="807">
                  <c:v>115.28571428571429</c:v>
                </c:pt>
                <c:pt idx="808">
                  <c:v>115.42857142857143</c:v>
                </c:pt>
                <c:pt idx="809">
                  <c:v>115.57142857142857</c:v>
                </c:pt>
                <c:pt idx="810">
                  <c:v>115.71428571428571</c:v>
                </c:pt>
                <c:pt idx="811">
                  <c:v>115.85714285714286</c:v>
                </c:pt>
                <c:pt idx="812">
                  <c:v>116</c:v>
                </c:pt>
                <c:pt idx="813">
                  <c:v>116.14285714285714</c:v>
                </c:pt>
                <c:pt idx="814">
                  <c:v>116.28571428571429</c:v>
                </c:pt>
                <c:pt idx="815">
                  <c:v>116.42857142857143</c:v>
                </c:pt>
                <c:pt idx="816">
                  <c:v>116.57142857142857</c:v>
                </c:pt>
                <c:pt idx="817">
                  <c:v>116.71428571428571</c:v>
                </c:pt>
                <c:pt idx="818">
                  <c:v>116.85714285714286</c:v>
                </c:pt>
                <c:pt idx="819">
                  <c:v>117</c:v>
                </c:pt>
                <c:pt idx="820">
                  <c:v>117.14285714285714</c:v>
                </c:pt>
                <c:pt idx="821">
                  <c:v>117.28571428571429</c:v>
                </c:pt>
                <c:pt idx="822">
                  <c:v>117.42857142857143</c:v>
                </c:pt>
                <c:pt idx="823">
                  <c:v>117.57142857142857</c:v>
                </c:pt>
                <c:pt idx="824">
                  <c:v>117.71428571428571</c:v>
                </c:pt>
                <c:pt idx="825">
                  <c:v>117.85714285714286</c:v>
                </c:pt>
                <c:pt idx="826">
                  <c:v>118</c:v>
                </c:pt>
                <c:pt idx="827">
                  <c:v>118.14285714285714</c:v>
                </c:pt>
                <c:pt idx="828">
                  <c:v>118.28571428571429</c:v>
                </c:pt>
                <c:pt idx="829">
                  <c:v>118.42857142857143</c:v>
                </c:pt>
                <c:pt idx="830">
                  <c:v>118.57142857142857</c:v>
                </c:pt>
                <c:pt idx="831">
                  <c:v>118.71428571428571</c:v>
                </c:pt>
                <c:pt idx="832">
                  <c:v>118.85714285714286</c:v>
                </c:pt>
                <c:pt idx="833">
                  <c:v>119</c:v>
                </c:pt>
                <c:pt idx="834">
                  <c:v>119.14285714285714</c:v>
                </c:pt>
                <c:pt idx="835">
                  <c:v>119.28571428571429</c:v>
                </c:pt>
                <c:pt idx="836">
                  <c:v>119.42857142857143</c:v>
                </c:pt>
                <c:pt idx="837">
                  <c:v>119.57142857142857</c:v>
                </c:pt>
                <c:pt idx="838">
                  <c:v>119.71428571428571</c:v>
                </c:pt>
                <c:pt idx="839">
                  <c:v>119.85714285714286</c:v>
                </c:pt>
                <c:pt idx="840">
                  <c:v>120</c:v>
                </c:pt>
                <c:pt idx="841">
                  <c:v>120.14285714285714</c:v>
                </c:pt>
                <c:pt idx="842">
                  <c:v>120.28571428571429</c:v>
                </c:pt>
                <c:pt idx="843">
                  <c:v>120.42857142857143</c:v>
                </c:pt>
                <c:pt idx="844">
                  <c:v>120.57142857142857</c:v>
                </c:pt>
                <c:pt idx="845">
                  <c:v>120.71428571428571</c:v>
                </c:pt>
                <c:pt idx="846">
                  <c:v>120.85714285714286</c:v>
                </c:pt>
                <c:pt idx="847">
                  <c:v>121</c:v>
                </c:pt>
                <c:pt idx="848">
                  <c:v>121.14285714285714</c:v>
                </c:pt>
                <c:pt idx="849">
                  <c:v>121.28571428571429</c:v>
                </c:pt>
                <c:pt idx="850">
                  <c:v>121.42857142857143</c:v>
                </c:pt>
                <c:pt idx="851">
                  <c:v>121.57142857142857</c:v>
                </c:pt>
                <c:pt idx="852">
                  <c:v>121.71428571428571</c:v>
                </c:pt>
                <c:pt idx="853">
                  <c:v>121.85714285714286</c:v>
                </c:pt>
                <c:pt idx="854">
                  <c:v>122</c:v>
                </c:pt>
                <c:pt idx="855">
                  <c:v>122.14285714285714</c:v>
                </c:pt>
                <c:pt idx="856">
                  <c:v>122.28571428571429</c:v>
                </c:pt>
                <c:pt idx="857">
                  <c:v>122.42857142857143</c:v>
                </c:pt>
                <c:pt idx="858">
                  <c:v>122.57142857142857</c:v>
                </c:pt>
                <c:pt idx="859">
                  <c:v>122.71428571428571</c:v>
                </c:pt>
                <c:pt idx="860">
                  <c:v>122.85714285714286</c:v>
                </c:pt>
                <c:pt idx="861">
                  <c:v>123</c:v>
                </c:pt>
                <c:pt idx="862">
                  <c:v>123.14285714285714</c:v>
                </c:pt>
                <c:pt idx="863">
                  <c:v>123.28571428571429</c:v>
                </c:pt>
                <c:pt idx="864">
                  <c:v>123.42857142857143</c:v>
                </c:pt>
                <c:pt idx="865">
                  <c:v>123.57142857142857</c:v>
                </c:pt>
                <c:pt idx="866">
                  <c:v>123.71428571428571</c:v>
                </c:pt>
                <c:pt idx="867">
                  <c:v>123.85714285714286</c:v>
                </c:pt>
                <c:pt idx="868">
                  <c:v>124</c:v>
                </c:pt>
                <c:pt idx="869">
                  <c:v>124.14285714285714</c:v>
                </c:pt>
                <c:pt idx="870">
                  <c:v>124.28571428571429</c:v>
                </c:pt>
                <c:pt idx="871">
                  <c:v>124.42857142857143</c:v>
                </c:pt>
                <c:pt idx="872">
                  <c:v>124.57142857142857</c:v>
                </c:pt>
                <c:pt idx="873">
                  <c:v>124.71428571428571</c:v>
                </c:pt>
                <c:pt idx="874">
                  <c:v>124.85714285714286</c:v>
                </c:pt>
                <c:pt idx="875">
                  <c:v>125</c:v>
                </c:pt>
                <c:pt idx="876">
                  <c:v>125.14285714285714</c:v>
                </c:pt>
                <c:pt idx="877">
                  <c:v>125.28571428571429</c:v>
                </c:pt>
                <c:pt idx="878">
                  <c:v>125.42857142857143</c:v>
                </c:pt>
                <c:pt idx="879">
                  <c:v>125.57142857142857</c:v>
                </c:pt>
                <c:pt idx="880">
                  <c:v>125.71428571428571</c:v>
                </c:pt>
                <c:pt idx="881">
                  <c:v>125.85714285714286</c:v>
                </c:pt>
                <c:pt idx="882">
                  <c:v>126</c:v>
                </c:pt>
                <c:pt idx="883">
                  <c:v>126.14285714285714</c:v>
                </c:pt>
                <c:pt idx="884">
                  <c:v>126.28571428571429</c:v>
                </c:pt>
                <c:pt idx="885">
                  <c:v>126.42857142857143</c:v>
                </c:pt>
                <c:pt idx="886">
                  <c:v>126.57142857142857</c:v>
                </c:pt>
                <c:pt idx="887">
                  <c:v>126.71428571428571</c:v>
                </c:pt>
                <c:pt idx="888">
                  <c:v>126.85714285714286</c:v>
                </c:pt>
                <c:pt idx="889">
                  <c:v>127</c:v>
                </c:pt>
                <c:pt idx="890">
                  <c:v>127.14285714285714</c:v>
                </c:pt>
                <c:pt idx="891">
                  <c:v>127.28571428571429</c:v>
                </c:pt>
                <c:pt idx="892">
                  <c:v>127.42857142857143</c:v>
                </c:pt>
                <c:pt idx="893">
                  <c:v>127.57142857142857</c:v>
                </c:pt>
                <c:pt idx="894">
                  <c:v>127.71428571428571</c:v>
                </c:pt>
                <c:pt idx="895">
                  <c:v>127.85714285714286</c:v>
                </c:pt>
                <c:pt idx="896">
                  <c:v>128</c:v>
                </c:pt>
                <c:pt idx="897">
                  <c:v>128.14285714285714</c:v>
                </c:pt>
                <c:pt idx="898">
                  <c:v>128.28571428571428</c:v>
                </c:pt>
                <c:pt idx="899">
                  <c:v>128.42857142857142</c:v>
                </c:pt>
                <c:pt idx="900">
                  <c:v>128.57142857142858</c:v>
                </c:pt>
                <c:pt idx="901">
                  <c:v>128.71428571428572</c:v>
                </c:pt>
                <c:pt idx="902">
                  <c:v>128.85714285714286</c:v>
                </c:pt>
                <c:pt idx="903">
                  <c:v>129</c:v>
                </c:pt>
                <c:pt idx="904">
                  <c:v>129.14285714285714</c:v>
                </c:pt>
                <c:pt idx="905">
                  <c:v>129.28571428571428</c:v>
                </c:pt>
                <c:pt idx="906">
                  <c:v>129.42857142857142</c:v>
                </c:pt>
                <c:pt idx="907">
                  <c:v>129.57142857142858</c:v>
                </c:pt>
                <c:pt idx="908">
                  <c:v>129.71428571428572</c:v>
                </c:pt>
                <c:pt idx="909">
                  <c:v>129.85714285714286</c:v>
                </c:pt>
                <c:pt idx="910">
                  <c:v>130</c:v>
                </c:pt>
                <c:pt idx="911">
                  <c:v>130.14285714285714</c:v>
                </c:pt>
                <c:pt idx="912">
                  <c:v>130.28571428571428</c:v>
                </c:pt>
                <c:pt idx="913">
                  <c:v>130.42857142857142</c:v>
                </c:pt>
                <c:pt idx="914">
                  <c:v>130.57142857142858</c:v>
                </c:pt>
                <c:pt idx="915">
                  <c:v>130.71428571428572</c:v>
                </c:pt>
                <c:pt idx="916">
                  <c:v>130.85714285714286</c:v>
                </c:pt>
                <c:pt idx="917">
                  <c:v>131</c:v>
                </c:pt>
                <c:pt idx="918">
                  <c:v>131.14285714285714</c:v>
                </c:pt>
                <c:pt idx="919">
                  <c:v>131.28571428571428</c:v>
                </c:pt>
                <c:pt idx="920">
                  <c:v>131.42857142857142</c:v>
                </c:pt>
                <c:pt idx="921">
                  <c:v>131.57142857142858</c:v>
                </c:pt>
                <c:pt idx="922">
                  <c:v>131.71428571428572</c:v>
                </c:pt>
                <c:pt idx="923">
                  <c:v>131.85714285714286</c:v>
                </c:pt>
                <c:pt idx="924">
                  <c:v>132</c:v>
                </c:pt>
                <c:pt idx="925">
                  <c:v>132.14285714285714</c:v>
                </c:pt>
                <c:pt idx="926">
                  <c:v>132.28571428571428</c:v>
                </c:pt>
                <c:pt idx="927">
                  <c:v>132.42857142857142</c:v>
                </c:pt>
                <c:pt idx="928">
                  <c:v>132.57142857142858</c:v>
                </c:pt>
                <c:pt idx="929">
                  <c:v>132.71428571428572</c:v>
                </c:pt>
                <c:pt idx="930">
                  <c:v>132.85714285714286</c:v>
                </c:pt>
                <c:pt idx="931">
                  <c:v>133</c:v>
                </c:pt>
                <c:pt idx="932">
                  <c:v>133.14285714285714</c:v>
                </c:pt>
                <c:pt idx="933">
                  <c:v>133.28571428571428</c:v>
                </c:pt>
                <c:pt idx="934">
                  <c:v>133.42857142857142</c:v>
                </c:pt>
                <c:pt idx="935">
                  <c:v>133.57142857142858</c:v>
                </c:pt>
                <c:pt idx="936">
                  <c:v>133.71428571428572</c:v>
                </c:pt>
                <c:pt idx="937">
                  <c:v>133.85714285714286</c:v>
                </c:pt>
                <c:pt idx="938">
                  <c:v>134</c:v>
                </c:pt>
                <c:pt idx="939">
                  <c:v>134.14285714285714</c:v>
                </c:pt>
                <c:pt idx="940">
                  <c:v>134.28571428571428</c:v>
                </c:pt>
                <c:pt idx="941">
                  <c:v>134.42857142857142</c:v>
                </c:pt>
                <c:pt idx="942">
                  <c:v>134.57142857142858</c:v>
                </c:pt>
                <c:pt idx="943">
                  <c:v>134.71428571428572</c:v>
                </c:pt>
                <c:pt idx="944">
                  <c:v>134.85714285714286</c:v>
                </c:pt>
                <c:pt idx="945">
                  <c:v>135</c:v>
                </c:pt>
                <c:pt idx="946">
                  <c:v>135.14285714285714</c:v>
                </c:pt>
                <c:pt idx="947">
                  <c:v>135.28571428571428</c:v>
                </c:pt>
                <c:pt idx="948">
                  <c:v>135.42857142857142</c:v>
                </c:pt>
                <c:pt idx="949">
                  <c:v>135.57142857142858</c:v>
                </c:pt>
                <c:pt idx="950">
                  <c:v>135.71428571428572</c:v>
                </c:pt>
                <c:pt idx="951">
                  <c:v>135.85714285714286</c:v>
                </c:pt>
                <c:pt idx="952">
                  <c:v>136</c:v>
                </c:pt>
                <c:pt idx="953">
                  <c:v>136.14285714285714</c:v>
                </c:pt>
                <c:pt idx="954">
                  <c:v>136.28571428571428</c:v>
                </c:pt>
                <c:pt idx="955">
                  <c:v>136.42857142857142</c:v>
                </c:pt>
                <c:pt idx="956">
                  <c:v>136.57142857142858</c:v>
                </c:pt>
                <c:pt idx="957">
                  <c:v>136.71428571428572</c:v>
                </c:pt>
                <c:pt idx="958">
                  <c:v>136.85714285714286</c:v>
                </c:pt>
                <c:pt idx="959">
                  <c:v>137</c:v>
                </c:pt>
                <c:pt idx="960">
                  <c:v>137.14285714285714</c:v>
                </c:pt>
                <c:pt idx="961">
                  <c:v>137.28571428571428</c:v>
                </c:pt>
                <c:pt idx="962">
                  <c:v>137.42857142857142</c:v>
                </c:pt>
                <c:pt idx="963">
                  <c:v>137.57142857142858</c:v>
                </c:pt>
                <c:pt idx="964">
                  <c:v>137.71428571428572</c:v>
                </c:pt>
                <c:pt idx="965">
                  <c:v>137.85714285714286</c:v>
                </c:pt>
                <c:pt idx="966">
                  <c:v>138</c:v>
                </c:pt>
                <c:pt idx="967">
                  <c:v>138.14285714285714</c:v>
                </c:pt>
                <c:pt idx="968">
                  <c:v>138.28571428571428</c:v>
                </c:pt>
                <c:pt idx="969">
                  <c:v>138.42857142857142</c:v>
                </c:pt>
                <c:pt idx="970">
                  <c:v>138.57142857142858</c:v>
                </c:pt>
                <c:pt idx="971">
                  <c:v>138.71428571428572</c:v>
                </c:pt>
                <c:pt idx="972">
                  <c:v>138.85714285714286</c:v>
                </c:pt>
                <c:pt idx="973">
                  <c:v>139</c:v>
                </c:pt>
                <c:pt idx="974">
                  <c:v>139.14285714285714</c:v>
                </c:pt>
                <c:pt idx="975">
                  <c:v>139.28571428571428</c:v>
                </c:pt>
                <c:pt idx="976">
                  <c:v>139.42857142857142</c:v>
                </c:pt>
                <c:pt idx="977">
                  <c:v>139.57142857142858</c:v>
                </c:pt>
                <c:pt idx="978">
                  <c:v>139.71428571428572</c:v>
                </c:pt>
                <c:pt idx="979">
                  <c:v>139.85714285714286</c:v>
                </c:pt>
                <c:pt idx="980">
                  <c:v>140</c:v>
                </c:pt>
                <c:pt idx="981">
                  <c:v>140.14285714285714</c:v>
                </c:pt>
                <c:pt idx="982">
                  <c:v>140.28571428571428</c:v>
                </c:pt>
                <c:pt idx="983">
                  <c:v>140.42857142857142</c:v>
                </c:pt>
                <c:pt idx="984">
                  <c:v>140.57142857142858</c:v>
                </c:pt>
                <c:pt idx="985">
                  <c:v>140.71428571428572</c:v>
                </c:pt>
                <c:pt idx="986">
                  <c:v>140.85714285714286</c:v>
                </c:pt>
                <c:pt idx="987">
                  <c:v>141</c:v>
                </c:pt>
                <c:pt idx="988">
                  <c:v>141.14285714285714</c:v>
                </c:pt>
                <c:pt idx="989">
                  <c:v>141.28571428571428</c:v>
                </c:pt>
                <c:pt idx="990">
                  <c:v>141.42857142857142</c:v>
                </c:pt>
                <c:pt idx="991">
                  <c:v>141.57142857142858</c:v>
                </c:pt>
                <c:pt idx="992">
                  <c:v>141.71428571428572</c:v>
                </c:pt>
                <c:pt idx="993">
                  <c:v>141.85714285714286</c:v>
                </c:pt>
                <c:pt idx="994">
                  <c:v>142</c:v>
                </c:pt>
                <c:pt idx="995">
                  <c:v>142.14285714285714</c:v>
                </c:pt>
                <c:pt idx="996">
                  <c:v>142.28571428571428</c:v>
                </c:pt>
                <c:pt idx="997">
                  <c:v>142.42857142857142</c:v>
                </c:pt>
                <c:pt idx="998">
                  <c:v>142.57142857142858</c:v>
                </c:pt>
                <c:pt idx="999">
                  <c:v>142.71428571428572</c:v>
                </c:pt>
                <c:pt idx="1000">
                  <c:v>142.85714285714286</c:v>
                </c:pt>
                <c:pt idx="1001">
                  <c:v>143</c:v>
                </c:pt>
                <c:pt idx="1002">
                  <c:v>143.14285714285714</c:v>
                </c:pt>
                <c:pt idx="1003">
                  <c:v>143.28571428571428</c:v>
                </c:pt>
                <c:pt idx="1004">
                  <c:v>143.42857142857142</c:v>
                </c:pt>
                <c:pt idx="1005">
                  <c:v>143.57142857142858</c:v>
                </c:pt>
                <c:pt idx="1006">
                  <c:v>143.71428571428572</c:v>
                </c:pt>
                <c:pt idx="1007">
                  <c:v>143.85714285714286</c:v>
                </c:pt>
                <c:pt idx="1008">
                  <c:v>144</c:v>
                </c:pt>
                <c:pt idx="1009">
                  <c:v>144.14285714285714</c:v>
                </c:pt>
                <c:pt idx="1010">
                  <c:v>144.28571428571428</c:v>
                </c:pt>
                <c:pt idx="1011">
                  <c:v>144.42857142857142</c:v>
                </c:pt>
                <c:pt idx="1012">
                  <c:v>144.57142857142858</c:v>
                </c:pt>
                <c:pt idx="1013">
                  <c:v>144.71428571428572</c:v>
                </c:pt>
                <c:pt idx="1014">
                  <c:v>144.85714285714286</c:v>
                </c:pt>
                <c:pt idx="1015">
                  <c:v>145</c:v>
                </c:pt>
                <c:pt idx="1016">
                  <c:v>145.14285714285714</c:v>
                </c:pt>
                <c:pt idx="1017">
                  <c:v>145.28571428571428</c:v>
                </c:pt>
                <c:pt idx="1018">
                  <c:v>145.42857142857142</c:v>
                </c:pt>
                <c:pt idx="1019">
                  <c:v>145.57142857142858</c:v>
                </c:pt>
                <c:pt idx="1020">
                  <c:v>145.71428571428572</c:v>
                </c:pt>
                <c:pt idx="1021">
                  <c:v>145.85714285714286</c:v>
                </c:pt>
                <c:pt idx="1022">
                  <c:v>146</c:v>
                </c:pt>
                <c:pt idx="1023">
                  <c:v>146.14285714285714</c:v>
                </c:pt>
                <c:pt idx="1024">
                  <c:v>146.28571428571428</c:v>
                </c:pt>
                <c:pt idx="1025">
                  <c:v>146.42857142857142</c:v>
                </c:pt>
                <c:pt idx="1026">
                  <c:v>146.57142857142858</c:v>
                </c:pt>
                <c:pt idx="1027">
                  <c:v>146.71428571428572</c:v>
                </c:pt>
                <c:pt idx="1028">
                  <c:v>146.85714285714286</c:v>
                </c:pt>
                <c:pt idx="1029">
                  <c:v>147</c:v>
                </c:pt>
                <c:pt idx="1030">
                  <c:v>147.14285714285714</c:v>
                </c:pt>
                <c:pt idx="1031">
                  <c:v>147.28571428571428</c:v>
                </c:pt>
                <c:pt idx="1032">
                  <c:v>147.42857142857142</c:v>
                </c:pt>
                <c:pt idx="1033">
                  <c:v>147.57142857142858</c:v>
                </c:pt>
                <c:pt idx="1034">
                  <c:v>147.71428571428572</c:v>
                </c:pt>
                <c:pt idx="1035">
                  <c:v>147.85714285714286</c:v>
                </c:pt>
                <c:pt idx="1036">
                  <c:v>148</c:v>
                </c:pt>
                <c:pt idx="1037">
                  <c:v>148.14285714285714</c:v>
                </c:pt>
                <c:pt idx="1038">
                  <c:v>148.28571428571428</c:v>
                </c:pt>
                <c:pt idx="1039">
                  <c:v>148.42857142857142</c:v>
                </c:pt>
                <c:pt idx="1040">
                  <c:v>148.57142857142858</c:v>
                </c:pt>
                <c:pt idx="1041">
                  <c:v>148.71428571428572</c:v>
                </c:pt>
                <c:pt idx="1042">
                  <c:v>148.85714285714286</c:v>
                </c:pt>
                <c:pt idx="1043">
                  <c:v>149</c:v>
                </c:pt>
                <c:pt idx="1044">
                  <c:v>149.14285714285714</c:v>
                </c:pt>
                <c:pt idx="1045">
                  <c:v>149.28571428571428</c:v>
                </c:pt>
                <c:pt idx="1046">
                  <c:v>149.42857142857142</c:v>
                </c:pt>
                <c:pt idx="1047">
                  <c:v>149.57142857142858</c:v>
                </c:pt>
                <c:pt idx="1048">
                  <c:v>149.71428571428572</c:v>
                </c:pt>
                <c:pt idx="1049">
                  <c:v>149.85714285714286</c:v>
                </c:pt>
                <c:pt idx="1050">
                  <c:v>150</c:v>
                </c:pt>
                <c:pt idx="1051">
                  <c:v>150.14285714285714</c:v>
                </c:pt>
                <c:pt idx="1052">
                  <c:v>150.28571428571428</c:v>
                </c:pt>
                <c:pt idx="1053">
                  <c:v>150.42857142857142</c:v>
                </c:pt>
                <c:pt idx="1054">
                  <c:v>150.57142857142858</c:v>
                </c:pt>
                <c:pt idx="1055">
                  <c:v>150.71428571428572</c:v>
                </c:pt>
                <c:pt idx="1056">
                  <c:v>150.85714285714286</c:v>
                </c:pt>
                <c:pt idx="1057">
                  <c:v>151</c:v>
                </c:pt>
                <c:pt idx="1058">
                  <c:v>151.14285714285714</c:v>
                </c:pt>
                <c:pt idx="1059">
                  <c:v>151.28571428571428</c:v>
                </c:pt>
                <c:pt idx="1060">
                  <c:v>151.42857142857142</c:v>
                </c:pt>
                <c:pt idx="1061">
                  <c:v>151.57142857142858</c:v>
                </c:pt>
                <c:pt idx="1062">
                  <c:v>151.71428571428572</c:v>
                </c:pt>
                <c:pt idx="1063">
                  <c:v>151.85714285714286</c:v>
                </c:pt>
                <c:pt idx="1064">
                  <c:v>152</c:v>
                </c:pt>
                <c:pt idx="1065">
                  <c:v>152.14285714285714</c:v>
                </c:pt>
                <c:pt idx="1066">
                  <c:v>152.28571428571428</c:v>
                </c:pt>
                <c:pt idx="1067">
                  <c:v>152.42857142857142</c:v>
                </c:pt>
                <c:pt idx="1068">
                  <c:v>152.57142857142858</c:v>
                </c:pt>
                <c:pt idx="1069">
                  <c:v>152.71428571428572</c:v>
                </c:pt>
                <c:pt idx="1070">
                  <c:v>152.85714285714286</c:v>
                </c:pt>
                <c:pt idx="1071">
                  <c:v>153</c:v>
                </c:pt>
                <c:pt idx="1072">
                  <c:v>153.14285714285714</c:v>
                </c:pt>
                <c:pt idx="1073">
                  <c:v>153.28571428571428</c:v>
                </c:pt>
                <c:pt idx="1074">
                  <c:v>153.42857142857142</c:v>
                </c:pt>
                <c:pt idx="1075">
                  <c:v>153.57142857142858</c:v>
                </c:pt>
                <c:pt idx="1076">
                  <c:v>153.71428571428572</c:v>
                </c:pt>
                <c:pt idx="1077">
                  <c:v>153.85714285714286</c:v>
                </c:pt>
                <c:pt idx="1078">
                  <c:v>154</c:v>
                </c:pt>
                <c:pt idx="1079">
                  <c:v>154.14285714285714</c:v>
                </c:pt>
                <c:pt idx="1080">
                  <c:v>154.28571428571428</c:v>
                </c:pt>
                <c:pt idx="1081">
                  <c:v>154.42857142857142</c:v>
                </c:pt>
                <c:pt idx="1082">
                  <c:v>154.57142857142858</c:v>
                </c:pt>
                <c:pt idx="1083">
                  <c:v>154.71428571428572</c:v>
                </c:pt>
                <c:pt idx="1084">
                  <c:v>154.85714285714286</c:v>
                </c:pt>
                <c:pt idx="1085">
                  <c:v>155</c:v>
                </c:pt>
                <c:pt idx="1086">
                  <c:v>155.14285714285714</c:v>
                </c:pt>
                <c:pt idx="1087">
                  <c:v>155.28571428571428</c:v>
                </c:pt>
                <c:pt idx="1088">
                  <c:v>155.42857142857142</c:v>
                </c:pt>
                <c:pt idx="1089">
                  <c:v>155.57142857142858</c:v>
                </c:pt>
                <c:pt idx="1090">
                  <c:v>155.71428571428572</c:v>
                </c:pt>
                <c:pt idx="1091">
                  <c:v>155.85714285714286</c:v>
                </c:pt>
                <c:pt idx="1092">
                  <c:v>156</c:v>
                </c:pt>
                <c:pt idx="1093">
                  <c:v>156.14285714285714</c:v>
                </c:pt>
                <c:pt idx="1094">
                  <c:v>156.28571428571428</c:v>
                </c:pt>
                <c:pt idx="1095">
                  <c:v>156.42857142857142</c:v>
                </c:pt>
                <c:pt idx="1096">
                  <c:v>156.57142857142858</c:v>
                </c:pt>
                <c:pt idx="1097">
                  <c:v>156.71428571428572</c:v>
                </c:pt>
                <c:pt idx="1098">
                  <c:v>156.85714285714286</c:v>
                </c:pt>
                <c:pt idx="1099">
                  <c:v>157</c:v>
                </c:pt>
                <c:pt idx="1100">
                  <c:v>157.14285714285714</c:v>
                </c:pt>
                <c:pt idx="1101">
                  <c:v>157.28571428571428</c:v>
                </c:pt>
                <c:pt idx="1102">
                  <c:v>157.42857142857142</c:v>
                </c:pt>
                <c:pt idx="1103">
                  <c:v>157.57142857142858</c:v>
                </c:pt>
                <c:pt idx="1104">
                  <c:v>157.71428571428572</c:v>
                </c:pt>
                <c:pt idx="1105">
                  <c:v>157.85714285714286</c:v>
                </c:pt>
                <c:pt idx="1106">
                  <c:v>158</c:v>
                </c:pt>
                <c:pt idx="1107">
                  <c:v>158.14285714285714</c:v>
                </c:pt>
                <c:pt idx="1108">
                  <c:v>158.28571428571428</c:v>
                </c:pt>
                <c:pt idx="1109">
                  <c:v>158.42857142857142</c:v>
                </c:pt>
                <c:pt idx="1110">
                  <c:v>158.57142857142858</c:v>
                </c:pt>
                <c:pt idx="1111">
                  <c:v>158.71428571428572</c:v>
                </c:pt>
                <c:pt idx="1112">
                  <c:v>158.85714285714286</c:v>
                </c:pt>
                <c:pt idx="1113">
                  <c:v>159</c:v>
                </c:pt>
                <c:pt idx="1114">
                  <c:v>159.14285714285714</c:v>
                </c:pt>
                <c:pt idx="1115">
                  <c:v>159.28571428571428</c:v>
                </c:pt>
                <c:pt idx="1116">
                  <c:v>159.42857142857142</c:v>
                </c:pt>
                <c:pt idx="1117">
                  <c:v>159.57142857142858</c:v>
                </c:pt>
                <c:pt idx="1118">
                  <c:v>159.71428571428572</c:v>
                </c:pt>
                <c:pt idx="1119">
                  <c:v>159.85714285714286</c:v>
                </c:pt>
                <c:pt idx="1120">
                  <c:v>160</c:v>
                </c:pt>
                <c:pt idx="1121">
                  <c:v>160.14285714285714</c:v>
                </c:pt>
                <c:pt idx="1122">
                  <c:v>160.28571428571428</c:v>
                </c:pt>
                <c:pt idx="1123">
                  <c:v>160.42857142857142</c:v>
                </c:pt>
                <c:pt idx="1124">
                  <c:v>160.57142857142858</c:v>
                </c:pt>
                <c:pt idx="1125">
                  <c:v>160.71428571428572</c:v>
                </c:pt>
                <c:pt idx="1126">
                  <c:v>160.85714285714286</c:v>
                </c:pt>
                <c:pt idx="1127">
                  <c:v>161</c:v>
                </c:pt>
                <c:pt idx="1128">
                  <c:v>161.14285714285714</c:v>
                </c:pt>
                <c:pt idx="1129">
                  <c:v>161.28571428571428</c:v>
                </c:pt>
                <c:pt idx="1130">
                  <c:v>161.42857142857142</c:v>
                </c:pt>
                <c:pt idx="1131">
                  <c:v>161.57142857142858</c:v>
                </c:pt>
                <c:pt idx="1132">
                  <c:v>161.71428571428572</c:v>
                </c:pt>
                <c:pt idx="1133">
                  <c:v>161.85714285714286</c:v>
                </c:pt>
                <c:pt idx="1134">
                  <c:v>162</c:v>
                </c:pt>
                <c:pt idx="1135">
                  <c:v>162.14285714285714</c:v>
                </c:pt>
                <c:pt idx="1136">
                  <c:v>162.28571428571428</c:v>
                </c:pt>
                <c:pt idx="1137">
                  <c:v>162.42857142857142</c:v>
                </c:pt>
                <c:pt idx="1138">
                  <c:v>162.57142857142858</c:v>
                </c:pt>
                <c:pt idx="1139">
                  <c:v>162.71428571428572</c:v>
                </c:pt>
                <c:pt idx="1140">
                  <c:v>162.85714285714286</c:v>
                </c:pt>
                <c:pt idx="1141">
                  <c:v>163</c:v>
                </c:pt>
                <c:pt idx="1142">
                  <c:v>163.14285714285714</c:v>
                </c:pt>
                <c:pt idx="1143">
                  <c:v>163.28571428571428</c:v>
                </c:pt>
                <c:pt idx="1144">
                  <c:v>163.42857142857142</c:v>
                </c:pt>
                <c:pt idx="1145">
                  <c:v>163.57142857142858</c:v>
                </c:pt>
                <c:pt idx="1146">
                  <c:v>163.71428571428572</c:v>
                </c:pt>
                <c:pt idx="1147">
                  <c:v>163.85714285714286</c:v>
                </c:pt>
                <c:pt idx="1148">
                  <c:v>164</c:v>
                </c:pt>
                <c:pt idx="1149">
                  <c:v>164.14285714285714</c:v>
                </c:pt>
                <c:pt idx="1150">
                  <c:v>164.28571428571428</c:v>
                </c:pt>
                <c:pt idx="1151">
                  <c:v>164.42857142857142</c:v>
                </c:pt>
                <c:pt idx="1152">
                  <c:v>164.57142857142858</c:v>
                </c:pt>
                <c:pt idx="1153">
                  <c:v>164.71428571428572</c:v>
                </c:pt>
                <c:pt idx="1154">
                  <c:v>164.85714285714286</c:v>
                </c:pt>
                <c:pt idx="1155">
                  <c:v>165</c:v>
                </c:pt>
                <c:pt idx="1156">
                  <c:v>165.14285714285714</c:v>
                </c:pt>
                <c:pt idx="1157">
                  <c:v>165.28571428571428</c:v>
                </c:pt>
                <c:pt idx="1158">
                  <c:v>165.42857142857142</c:v>
                </c:pt>
                <c:pt idx="1159">
                  <c:v>165.57142857142858</c:v>
                </c:pt>
                <c:pt idx="1160">
                  <c:v>165.71428571428572</c:v>
                </c:pt>
                <c:pt idx="1161">
                  <c:v>165.85714285714286</c:v>
                </c:pt>
                <c:pt idx="1162">
                  <c:v>166</c:v>
                </c:pt>
                <c:pt idx="1163">
                  <c:v>166.14285714285714</c:v>
                </c:pt>
                <c:pt idx="1164">
                  <c:v>166.28571428571428</c:v>
                </c:pt>
                <c:pt idx="1165">
                  <c:v>166.42857142857142</c:v>
                </c:pt>
                <c:pt idx="1166">
                  <c:v>166.57142857142858</c:v>
                </c:pt>
                <c:pt idx="1167">
                  <c:v>166.71428571428572</c:v>
                </c:pt>
                <c:pt idx="1168">
                  <c:v>166.85714285714286</c:v>
                </c:pt>
                <c:pt idx="1169">
                  <c:v>167</c:v>
                </c:pt>
                <c:pt idx="1170">
                  <c:v>167.14285714285714</c:v>
                </c:pt>
                <c:pt idx="1171">
                  <c:v>167.28571428571428</c:v>
                </c:pt>
                <c:pt idx="1172">
                  <c:v>167.42857142857142</c:v>
                </c:pt>
                <c:pt idx="1173">
                  <c:v>167.57142857142858</c:v>
                </c:pt>
                <c:pt idx="1174">
                  <c:v>167.71428571428572</c:v>
                </c:pt>
                <c:pt idx="1175">
                  <c:v>167.85714285714286</c:v>
                </c:pt>
                <c:pt idx="1176">
                  <c:v>168</c:v>
                </c:pt>
                <c:pt idx="1177">
                  <c:v>168.14285714285714</c:v>
                </c:pt>
                <c:pt idx="1178">
                  <c:v>168.28571428571428</c:v>
                </c:pt>
                <c:pt idx="1179">
                  <c:v>168.42857142857142</c:v>
                </c:pt>
                <c:pt idx="1180">
                  <c:v>168.57142857142858</c:v>
                </c:pt>
                <c:pt idx="1181">
                  <c:v>168.71428571428572</c:v>
                </c:pt>
                <c:pt idx="1182">
                  <c:v>168.85714285714286</c:v>
                </c:pt>
                <c:pt idx="1183">
                  <c:v>169</c:v>
                </c:pt>
                <c:pt idx="1184">
                  <c:v>169.14285714285714</c:v>
                </c:pt>
                <c:pt idx="1185">
                  <c:v>169.28571428571428</c:v>
                </c:pt>
                <c:pt idx="1186">
                  <c:v>169.42857142857142</c:v>
                </c:pt>
                <c:pt idx="1187">
                  <c:v>169.57142857142858</c:v>
                </c:pt>
                <c:pt idx="1188">
                  <c:v>169.71428571428572</c:v>
                </c:pt>
                <c:pt idx="1189">
                  <c:v>169.85714285714286</c:v>
                </c:pt>
                <c:pt idx="1190">
                  <c:v>170</c:v>
                </c:pt>
                <c:pt idx="1191">
                  <c:v>170.14285714285714</c:v>
                </c:pt>
                <c:pt idx="1192">
                  <c:v>170.28571428571428</c:v>
                </c:pt>
                <c:pt idx="1193">
                  <c:v>170.42857142857142</c:v>
                </c:pt>
                <c:pt idx="1194">
                  <c:v>170.57142857142858</c:v>
                </c:pt>
                <c:pt idx="1195">
                  <c:v>170.71428571428572</c:v>
                </c:pt>
                <c:pt idx="1196">
                  <c:v>170.85714285714286</c:v>
                </c:pt>
                <c:pt idx="1197">
                  <c:v>171</c:v>
                </c:pt>
                <c:pt idx="1198">
                  <c:v>171.14285714285714</c:v>
                </c:pt>
                <c:pt idx="1199">
                  <c:v>171.28571428571428</c:v>
                </c:pt>
                <c:pt idx="1200">
                  <c:v>171.42857142857142</c:v>
                </c:pt>
                <c:pt idx="1201">
                  <c:v>171.57142857142858</c:v>
                </c:pt>
                <c:pt idx="1202">
                  <c:v>171.71428571428572</c:v>
                </c:pt>
                <c:pt idx="1203">
                  <c:v>171.85714285714286</c:v>
                </c:pt>
                <c:pt idx="1204">
                  <c:v>172</c:v>
                </c:pt>
                <c:pt idx="1205">
                  <c:v>172.14285714285714</c:v>
                </c:pt>
                <c:pt idx="1206">
                  <c:v>172.28571428571428</c:v>
                </c:pt>
                <c:pt idx="1207">
                  <c:v>172.42857142857142</c:v>
                </c:pt>
                <c:pt idx="1208">
                  <c:v>172.57142857142858</c:v>
                </c:pt>
                <c:pt idx="1209">
                  <c:v>172.71428571428572</c:v>
                </c:pt>
                <c:pt idx="1210">
                  <c:v>172.85714285714286</c:v>
                </c:pt>
                <c:pt idx="1211">
                  <c:v>173</c:v>
                </c:pt>
                <c:pt idx="1212">
                  <c:v>173.14285714285714</c:v>
                </c:pt>
                <c:pt idx="1213">
                  <c:v>173.28571428571428</c:v>
                </c:pt>
                <c:pt idx="1214">
                  <c:v>173.42857142857142</c:v>
                </c:pt>
                <c:pt idx="1215">
                  <c:v>173.57142857142858</c:v>
                </c:pt>
                <c:pt idx="1216">
                  <c:v>173.71428571428572</c:v>
                </c:pt>
                <c:pt idx="1217">
                  <c:v>173.85714285714286</c:v>
                </c:pt>
                <c:pt idx="1218">
                  <c:v>174</c:v>
                </c:pt>
                <c:pt idx="1219">
                  <c:v>174.14285714285714</c:v>
                </c:pt>
                <c:pt idx="1220">
                  <c:v>174.28571428571428</c:v>
                </c:pt>
                <c:pt idx="1221">
                  <c:v>174.42857142857142</c:v>
                </c:pt>
                <c:pt idx="1222">
                  <c:v>174.57142857142858</c:v>
                </c:pt>
                <c:pt idx="1223">
                  <c:v>174.71428571428572</c:v>
                </c:pt>
                <c:pt idx="1224">
                  <c:v>174.85714285714286</c:v>
                </c:pt>
                <c:pt idx="1225">
                  <c:v>175</c:v>
                </c:pt>
                <c:pt idx="1226">
                  <c:v>175.14285714285714</c:v>
                </c:pt>
                <c:pt idx="1227">
                  <c:v>175.28571428571428</c:v>
                </c:pt>
                <c:pt idx="1228">
                  <c:v>175.42857142857142</c:v>
                </c:pt>
                <c:pt idx="1229">
                  <c:v>175.57142857142858</c:v>
                </c:pt>
                <c:pt idx="1230">
                  <c:v>175.71428571428572</c:v>
                </c:pt>
                <c:pt idx="1231">
                  <c:v>175.85714285714286</c:v>
                </c:pt>
                <c:pt idx="1232">
                  <c:v>176</c:v>
                </c:pt>
                <c:pt idx="1233">
                  <c:v>176.14285714285714</c:v>
                </c:pt>
                <c:pt idx="1234">
                  <c:v>176.28571428571428</c:v>
                </c:pt>
                <c:pt idx="1235">
                  <c:v>176.42857142857142</c:v>
                </c:pt>
                <c:pt idx="1236">
                  <c:v>176.57142857142858</c:v>
                </c:pt>
                <c:pt idx="1237">
                  <c:v>176.71428571428572</c:v>
                </c:pt>
                <c:pt idx="1238">
                  <c:v>176.85714285714286</c:v>
                </c:pt>
                <c:pt idx="1239">
                  <c:v>177</c:v>
                </c:pt>
                <c:pt idx="1240">
                  <c:v>177.14285714285714</c:v>
                </c:pt>
                <c:pt idx="1241">
                  <c:v>177.28571428571428</c:v>
                </c:pt>
                <c:pt idx="1242">
                  <c:v>177.42857142857142</c:v>
                </c:pt>
                <c:pt idx="1243">
                  <c:v>177.57142857142858</c:v>
                </c:pt>
                <c:pt idx="1244">
                  <c:v>177.71428571428572</c:v>
                </c:pt>
                <c:pt idx="1245">
                  <c:v>177.85714285714286</c:v>
                </c:pt>
                <c:pt idx="1246">
                  <c:v>178</c:v>
                </c:pt>
                <c:pt idx="1247">
                  <c:v>178.14285714285714</c:v>
                </c:pt>
                <c:pt idx="1248">
                  <c:v>178.28571428571428</c:v>
                </c:pt>
                <c:pt idx="1249">
                  <c:v>178.42857142857142</c:v>
                </c:pt>
                <c:pt idx="1250">
                  <c:v>178.57142857142858</c:v>
                </c:pt>
                <c:pt idx="1251">
                  <c:v>178.71428571428572</c:v>
                </c:pt>
                <c:pt idx="1252">
                  <c:v>178.85714285714286</c:v>
                </c:pt>
                <c:pt idx="1253">
                  <c:v>179</c:v>
                </c:pt>
                <c:pt idx="1254">
                  <c:v>179.14285714285714</c:v>
                </c:pt>
                <c:pt idx="1255">
                  <c:v>179.28571428571428</c:v>
                </c:pt>
                <c:pt idx="1256">
                  <c:v>179.42857142857142</c:v>
                </c:pt>
                <c:pt idx="1257">
                  <c:v>179.57142857142858</c:v>
                </c:pt>
                <c:pt idx="1258">
                  <c:v>179.71428571428572</c:v>
                </c:pt>
                <c:pt idx="1259">
                  <c:v>179.85714285714286</c:v>
                </c:pt>
                <c:pt idx="1260">
                  <c:v>180</c:v>
                </c:pt>
                <c:pt idx="1261">
                  <c:v>180.14285714285714</c:v>
                </c:pt>
                <c:pt idx="1262">
                  <c:v>180.28571428571428</c:v>
                </c:pt>
                <c:pt idx="1263">
                  <c:v>180.42857142857142</c:v>
                </c:pt>
                <c:pt idx="1264">
                  <c:v>180.57142857142858</c:v>
                </c:pt>
                <c:pt idx="1265">
                  <c:v>180.71428571428572</c:v>
                </c:pt>
                <c:pt idx="1266">
                  <c:v>180.85714285714286</c:v>
                </c:pt>
                <c:pt idx="1267">
                  <c:v>181</c:v>
                </c:pt>
                <c:pt idx="1268">
                  <c:v>181.14285714285714</c:v>
                </c:pt>
                <c:pt idx="1269">
                  <c:v>181.28571428571428</c:v>
                </c:pt>
                <c:pt idx="1270">
                  <c:v>181.42857142857142</c:v>
                </c:pt>
                <c:pt idx="1271">
                  <c:v>181.57142857142858</c:v>
                </c:pt>
                <c:pt idx="1272">
                  <c:v>181.71428571428572</c:v>
                </c:pt>
                <c:pt idx="1273">
                  <c:v>181.85714285714286</c:v>
                </c:pt>
                <c:pt idx="1274">
                  <c:v>182</c:v>
                </c:pt>
                <c:pt idx="1275">
                  <c:v>182.14285714285714</c:v>
                </c:pt>
                <c:pt idx="1276">
                  <c:v>182.28571428571428</c:v>
                </c:pt>
                <c:pt idx="1277">
                  <c:v>182.42857142857142</c:v>
                </c:pt>
                <c:pt idx="1278">
                  <c:v>182.57142857142858</c:v>
                </c:pt>
                <c:pt idx="1279">
                  <c:v>182.71428571428572</c:v>
                </c:pt>
                <c:pt idx="1280">
                  <c:v>182.85714285714286</c:v>
                </c:pt>
                <c:pt idx="1281">
                  <c:v>183</c:v>
                </c:pt>
                <c:pt idx="1282">
                  <c:v>183.14285714285714</c:v>
                </c:pt>
                <c:pt idx="1283">
                  <c:v>183.28571428571428</c:v>
                </c:pt>
                <c:pt idx="1284">
                  <c:v>183.42857142857142</c:v>
                </c:pt>
                <c:pt idx="1285">
                  <c:v>183.57142857142858</c:v>
                </c:pt>
                <c:pt idx="1286">
                  <c:v>183.71428571428572</c:v>
                </c:pt>
                <c:pt idx="1287">
                  <c:v>183.85714285714286</c:v>
                </c:pt>
                <c:pt idx="1288">
                  <c:v>184</c:v>
                </c:pt>
                <c:pt idx="1289">
                  <c:v>184.14285714285714</c:v>
                </c:pt>
                <c:pt idx="1290">
                  <c:v>184.28571428571428</c:v>
                </c:pt>
                <c:pt idx="1291">
                  <c:v>184.42857142857142</c:v>
                </c:pt>
                <c:pt idx="1292">
                  <c:v>184.57142857142858</c:v>
                </c:pt>
                <c:pt idx="1293">
                  <c:v>184.71428571428572</c:v>
                </c:pt>
                <c:pt idx="1294">
                  <c:v>184.85714285714286</c:v>
                </c:pt>
                <c:pt idx="1295">
                  <c:v>185</c:v>
                </c:pt>
                <c:pt idx="1296">
                  <c:v>185.14285714285714</c:v>
                </c:pt>
                <c:pt idx="1297">
                  <c:v>185.28571428571428</c:v>
                </c:pt>
                <c:pt idx="1298">
                  <c:v>185.42857142857142</c:v>
                </c:pt>
                <c:pt idx="1299">
                  <c:v>185.57142857142858</c:v>
                </c:pt>
                <c:pt idx="1300">
                  <c:v>185.71428571428572</c:v>
                </c:pt>
                <c:pt idx="1301">
                  <c:v>185.85714285714286</c:v>
                </c:pt>
                <c:pt idx="1302">
                  <c:v>186</c:v>
                </c:pt>
                <c:pt idx="1303">
                  <c:v>186.14285714285714</c:v>
                </c:pt>
                <c:pt idx="1304">
                  <c:v>186.28571428571428</c:v>
                </c:pt>
                <c:pt idx="1305">
                  <c:v>186.42857142857142</c:v>
                </c:pt>
                <c:pt idx="1306">
                  <c:v>186.57142857142858</c:v>
                </c:pt>
                <c:pt idx="1307">
                  <c:v>186.71428571428572</c:v>
                </c:pt>
                <c:pt idx="1308">
                  <c:v>186.85714285714286</c:v>
                </c:pt>
                <c:pt idx="1309">
                  <c:v>187</c:v>
                </c:pt>
                <c:pt idx="1310">
                  <c:v>187.14285714285714</c:v>
                </c:pt>
                <c:pt idx="1311">
                  <c:v>187.28571428571428</c:v>
                </c:pt>
                <c:pt idx="1312">
                  <c:v>187.42857142857142</c:v>
                </c:pt>
                <c:pt idx="1313">
                  <c:v>187.57142857142858</c:v>
                </c:pt>
                <c:pt idx="1314">
                  <c:v>187.71428571428572</c:v>
                </c:pt>
                <c:pt idx="1315">
                  <c:v>187.85714285714286</c:v>
                </c:pt>
                <c:pt idx="1316">
                  <c:v>188</c:v>
                </c:pt>
                <c:pt idx="1317">
                  <c:v>188.14285714285714</c:v>
                </c:pt>
                <c:pt idx="1318">
                  <c:v>188.28571428571428</c:v>
                </c:pt>
                <c:pt idx="1319">
                  <c:v>188.42857142857142</c:v>
                </c:pt>
                <c:pt idx="1320">
                  <c:v>188.57142857142858</c:v>
                </c:pt>
                <c:pt idx="1321">
                  <c:v>188.71428571428572</c:v>
                </c:pt>
                <c:pt idx="1322">
                  <c:v>188.85714285714286</c:v>
                </c:pt>
                <c:pt idx="1323">
                  <c:v>189</c:v>
                </c:pt>
                <c:pt idx="1324">
                  <c:v>189.14285714285714</c:v>
                </c:pt>
                <c:pt idx="1325">
                  <c:v>189.28571428571428</c:v>
                </c:pt>
                <c:pt idx="1326">
                  <c:v>189.42857142857142</c:v>
                </c:pt>
                <c:pt idx="1327">
                  <c:v>189.57142857142858</c:v>
                </c:pt>
                <c:pt idx="1328">
                  <c:v>189.71428571428572</c:v>
                </c:pt>
                <c:pt idx="1329">
                  <c:v>189.85714285714286</c:v>
                </c:pt>
                <c:pt idx="1330">
                  <c:v>190</c:v>
                </c:pt>
                <c:pt idx="1331">
                  <c:v>190.14285714285714</c:v>
                </c:pt>
                <c:pt idx="1332">
                  <c:v>190.28571428571428</c:v>
                </c:pt>
                <c:pt idx="1333">
                  <c:v>190.42857142857142</c:v>
                </c:pt>
                <c:pt idx="1334">
                  <c:v>190.57142857142858</c:v>
                </c:pt>
                <c:pt idx="1335">
                  <c:v>190.71428571428572</c:v>
                </c:pt>
                <c:pt idx="1336">
                  <c:v>190.85714285714286</c:v>
                </c:pt>
                <c:pt idx="1337">
                  <c:v>191</c:v>
                </c:pt>
                <c:pt idx="1338">
                  <c:v>191.14285714285714</c:v>
                </c:pt>
                <c:pt idx="1339">
                  <c:v>191.28571428571428</c:v>
                </c:pt>
                <c:pt idx="1340">
                  <c:v>191.42857142857142</c:v>
                </c:pt>
                <c:pt idx="1341">
                  <c:v>191.57142857142858</c:v>
                </c:pt>
                <c:pt idx="1342">
                  <c:v>191.71428571428572</c:v>
                </c:pt>
                <c:pt idx="1343">
                  <c:v>191.85714285714286</c:v>
                </c:pt>
                <c:pt idx="1344">
                  <c:v>192</c:v>
                </c:pt>
                <c:pt idx="1345">
                  <c:v>192.14285714285714</c:v>
                </c:pt>
                <c:pt idx="1346">
                  <c:v>192.28571428571428</c:v>
                </c:pt>
                <c:pt idx="1347">
                  <c:v>192.42857142857142</c:v>
                </c:pt>
                <c:pt idx="1348">
                  <c:v>192.57142857142858</c:v>
                </c:pt>
                <c:pt idx="1349">
                  <c:v>192.71428571428572</c:v>
                </c:pt>
                <c:pt idx="1350">
                  <c:v>192.85714285714286</c:v>
                </c:pt>
                <c:pt idx="1351">
                  <c:v>193</c:v>
                </c:pt>
                <c:pt idx="1352">
                  <c:v>193.14285714285714</c:v>
                </c:pt>
                <c:pt idx="1353">
                  <c:v>193.28571428571428</c:v>
                </c:pt>
                <c:pt idx="1354">
                  <c:v>193.42857142857142</c:v>
                </c:pt>
                <c:pt idx="1355">
                  <c:v>193.57142857142858</c:v>
                </c:pt>
                <c:pt idx="1356">
                  <c:v>193.71428571428572</c:v>
                </c:pt>
                <c:pt idx="1357">
                  <c:v>193.85714285714286</c:v>
                </c:pt>
                <c:pt idx="1358">
                  <c:v>194</c:v>
                </c:pt>
                <c:pt idx="1359">
                  <c:v>194.14285714285714</c:v>
                </c:pt>
                <c:pt idx="1360">
                  <c:v>194.28571428571428</c:v>
                </c:pt>
                <c:pt idx="1361">
                  <c:v>194.42857142857142</c:v>
                </c:pt>
                <c:pt idx="1362">
                  <c:v>194.57142857142858</c:v>
                </c:pt>
                <c:pt idx="1363">
                  <c:v>194.71428571428572</c:v>
                </c:pt>
                <c:pt idx="1364">
                  <c:v>194.85714285714286</c:v>
                </c:pt>
                <c:pt idx="1365">
                  <c:v>195</c:v>
                </c:pt>
                <c:pt idx="1366">
                  <c:v>195.14285714285714</c:v>
                </c:pt>
                <c:pt idx="1367">
                  <c:v>195.28571428571428</c:v>
                </c:pt>
                <c:pt idx="1368">
                  <c:v>195.42857142857142</c:v>
                </c:pt>
                <c:pt idx="1369">
                  <c:v>195.57142857142858</c:v>
                </c:pt>
                <c:pt idx="1370">
                  <c:v>195.71428571428572</c:v>
                </c:pt>
                <c:pt idx="1371">
                  <c:v>195.85714285714286</c:v>
                </c:pt>
                <c:pt idx="1372">
                  <c:v>196</c:v>
                </c:pt>
                <c:pt idx="1373">
                  <c:v>196.14285714285714</c:v>
                </c:pt>
                <c:pt idx="1374">
                  <c:v>196.28571428571428</c:v>
                </c:pt>
                <c:pt idx="1375">
                  <c:v>196.42857142857142</c:v>
                </c:pt>
                <c:pt idx="1376">
                  <c:v>196.57142857142858</c:v>
                </c:pt>
                <c:pt idx="1377">
                  <c:v>196.71428571428572</c:v>
                </c:pt>
                <c:pt idx="1378">
                  <c:v>196.85714285714286</c:v>
                </c:pt>
                <c:pt idx="1379">
                  <c:v>197</c:v>
                </c:pt>
                <c:pt idx="1380">
                  <c:v>197.14285714285714</c:v>
                </c:pt>
                <c:pt idx="1381">
                  <c:v>197.28571428571428</c:v>
                </c:pt>
                <c:pt idx="1382">
                  <c:v>197.42857142857142</c:v>
                </c:pt>
                <c:pt idx="1383">
                  <c:v>197.57142857142858</c:v>
                </c:pt>
                <c:pt idx="1384">
                  <c:v>197.71428571428572</c:v>
                </c:pt>
                <c:pt idx="1385">
                  <c:v>197.85714285714286</c:v>
                </c:pt>
                <c:pt idx="1386">
                  <c:v>198</c:v>
                </c:pt>
                <c:pt idx="1387">
                  <c:v>198.14285714285714</c:v>
                </c:pt>
                <c:pt idx="1388">
                  <c:v>198.28571428571428</c:v>
                </c:pt>
                <c:pt idx="1389">
                  <c:v>198.42857142857142</c:v>
                </c:pt>
                <c:pt idx="1390">
                  <c:v>198.57142857142858</c:v>
                </c:pt>
                <c:pt idx="1391">
                  <c:v>198.71428571428572</c:v>
                </c:pt>
                <c:pt idx="1392">
                  <c:v>198.85714285714286</c:v>
                </c:pt>
                <c:pt idx="1393">
                  <c:v>199</c:v>
                </c:pt>
                <c:pt idx="1394">
                  <c:v>199.14285714285714</c:v>
                </c:pt>
                <c:pt idx="1395">
                  <c:v>199.28571428571428</c:v>
                </c:pt>
                <c:pt idx="1396">
                  <c:v>199.42857142857142</c:v>
                </c:pt>
                <c:pt idx="1397">
                  <c:v>199.57142857142858</c:v>
                </c:pt>
                <c:pt idx="1398">
                  <c:v>199.71428571428572</c:v>
                </c:pt>
                <c:pt idx="1399">
                  <c:v>199.85714285714286</c:v>
                </c:pt>
                <c:pt idx="1400">
                  <c:v>200</c:v>
                </c:pt>
                <c:pt idx="1401">
                  <c:v>200.14285714285714</c:v>
                </c:pt>
                <c:pt idx="1402">
                  <c:v>200.28571428571428</c:v>
                </c:pt>
                <c:pt idx="1403">
                  <c:v>200.42857142857142</c:v>
                </c:pt>
                <c:pt idx="1404">
                  <c:v>200.57142857142858</c:v>
                </c:pt>
                <c:pt idx="1405">
                  <c:v>200.71428571428572</c:v>
                </c:pt>
                <c:pt idx="1406">
                  <c:v>200.85714285714286</c:v>
                </c:pt>
                <c:pt idx="1407">
                  <c:v>201</c:v>
                </c:pt>
                <c:pt idx="1408">
                  <c:v>201.14285714285714</c:v>
                </c:pt>
                <c:pt idx="1409">
                  <c:v>201.28571428571428</c:v>
                </c:pt>
                <c:pt idx="1410">
                  <c:v>201.42857142857142</c:v>
                </c:pt>
                <c:pt idx="1411">
                  <c:v>201.57142857142858</c:v>
                </c:pt>
                <c:pt idx="1412">
                  <c:v>201.71428571428572</c:v>
                </c:pt>
                <c:pt idx="1413">
                  <c:v>201.85714285714286</c:v>
                </c:pt>
                <c:pt idx="1414">
                  <c:v>202</c:v>
                </c:pt>
                <c:pt idx="1415">
                  <c:v>202.14285714285714</c:v>
                </c:pt>
                <c:pt idx="1416">
                  <c:v>202.28571428571428</c:v>
                </c:pt>
                <c:pt idx="1417">
                  <c:v>202.42857142857142</c:v>
                </c:pt>
                <c:pt idx="1418">
                  <c:v>202.57142857142858</c:v>
                </c:pt>
                <c:pt idx="1419">
                  <c:v>202.71428571428572</c:v>
                </c:pt>
                <c:pt idx="1420">
                  <c:v>202.85714285714286</c:v>
                </c:pt>
                <c:pt idx="1421">
                  <c:v>203</c:v>
                </c:pt>
                <c:pt idx="1422">
                  <c:v>203.14285714285714</c:v>
                </c:pt>
                <c:pt idx="1423">
                  <c:v>203.28571428571428</c:v>
                </c:pt>
                <c:pt idx="1424">
                  <c:v>203.42857142857142</c:v>
                </c:pt>
                <c:pt idx="1425">
                  <c:v>203.57142857142858</c:v>
                </c:pt>
                <c:pt idx="1426">
                  <c:v>203.71428571428572</c:v>
                </c:pt>
                <c:pt idx="1427">
                  <c:v>203.85714285714286</c:v>
                </c:pt>
                <c:pt idx="1428">
                  <c:v>204</c:v>
                </c:pt>
                <c:pt idx="1429">
                  <c:v>204.14285714285714</c:v>
                </c:pt>
                <c:pt idx="1430">
                  <c:v>204.28571428571428</c:v>
                </c:pt>
                <c:pt idx="1431">
                  <c:v>204.42857142857142</c:v>
                </c:pt>
                <c:pt idx="1432">
                  <c:v>204.57142857142858</c:v>
                </c:pt>
                <c:pt idx="1433">
                  <c:v>204.71428571428572</c:v>
                </c:pt>
                <c:pt idx="1434">
                  <c:v>204.85714285714286</c:v>
                </c:pt>
                <c:pt idx="1435">
                  <c:v>205</c:v>
                </c:pt>
                <c:pt idx="1436">
                  <c:v>205.14285714285714</c:v>
                </c:pt>
                <c:pt idx="1437">
                  <c:v>205.28571428571428</c:v>
                </c:pt>
                <c:pt idx="1438">
                  <c:v>205.42857142857142</c:v>
                </c:pt>
                <c:pt idx="1439">
                  <c:v>205.57142857142858</c:v>
                </c:pt>
                <c:pt idx="1440">
                  <c:v>205.71428571428572</c:v>
                </c:pt>
                <c:pt idx="1441">
                  <c:v>205.85714285714286</c:v>
                </c:pt>
                <c:pt idx="1442">
                  <c:v>206</c:v>
                </c:pt>
                <c:pt idx="1443">
                  <c:v>206.14285714285714</c:v>
                </c:pt>
                <c:pt idx="1444">
                  <c:v>206.28571428571428</c:v>
                </c:pt>
                <c:pt idx="1445">
                  <c:v>206.42857142857142</c:v>
                </c:pt>
                <c:pt idx="1446">
                  <c:v>206.57142857142858</c:v>
                </c:pt>
                <c:pt idx="1447">
                  <c:v>206.71428571428572</c:v>
                </c:pt>
                <c:pt idx="1448">
                  <c:v>206.85714285714286</c:v>
                </c:pt>
                <c:pt idx="1449">
                  <c:v>207</c:v>
                </c:pt>
                <c:pt idx="1450">
                  <c:v>207.14285714285714</c:v>
                </c:pt>
                <c:pt idx="1451">
                  <c:v>207.28571428571428</c:v>
                </c:pt>
                <c:pt idx="1452">
                  <c:v>207.42857142857142</c:v>
                </c:pt>
                <c:pt idx="1453">
                  <c:v>207.57142857142858</c:v>
                </c:pt>
                <c:pt idx="1454">
                  <c:v>207.71428571428572</c:v>
                </c:pt>
                <c:pt idx="1455">
                  <c:v>207.85714285714286</c:v>
                </c:pt>
                <c:pt idx="1456">
                  <c:v>208</c:v>
                </c:pt>
                <c:pt idx="1457">
                  <c:v>208.14285714285714</c:v>
                </c:pt>
                <c:pt idx="1458">
                  <c:v>208.28571428571428</c:v>
                </c:pt>
                <c:pt idx="1459">
                  <c:v>208.42857142857142</c:v>
                </c:pt>
                <c:pt idx="1460">
                  <c:v>208.57142857142858</c:v>
                </c:pt>
                <c:pt idx="1461">
                  <c:v>208.71428571428572</c:v>
                </c:pt>
                <c:pt idx="1462">
                  <c:v>208.85714285714286</c:v>
                </c:pt>
                <c:pt idx="1463">
                  <c:v>209</c:v>
                </c:pt>
                <c:pt idx="1464">
                  <c:v>209.14285714285714</c:v>
                </c:pt>
                <c:pt idx="1465">
                  <c:v>209.28571428571428</c:v>
                </c:pt>
                <c:pt idx="1466">
                  <c:v>209.42857142857142</c:v>
                </c:pt>
                <c:pt idx="1467">
                  <c:v>209.57142857142858</c:v>
                </c:pt>
                <c:pt idx="1468">
                  <c:v>209.71428571428572</c:v>
                </c:pt>
                <c:pt idx="1469">
                  <c:v>209.85714285714286</c:v>
                </c:pt>
                <c:pt idx="1470">
                  <c:v>210</c:v>
                </c:pt>
                <c:pt idx="1471">
                  <c:v>210.14285714285714</c:v>
                </c:pt>
                <c:pt idx="1472">
                  <c:v>210.28571428571428</c:v>
                </c:pt>
                <c:pt idx="1473">
                  <c:v>210.42857142857142</c:v>
                </c:pt>
                <c:pt idx="1474">
                  <c:v>210.57142857142858</c:v>
                </c:pt>
                <c:pt idx="1475">
                  <c:v>210.71428571428572</c:v>
                </c:pt>
                <c:pt idx="1476">
                  <c:v>210.85714285714286</c:v>
                </c:pt>
                <c:pt idx="1477">
                  <c:v>211</c:v>
                </c:pt>
                <c:pt idx="1478">
                  <c:v>211.14285714285714</c:v>
                </c:pt>
                <c:pt idx="1479">
                  <c:v>211.28571428571428</c:v>
                </c:pt>
                <c:pt idx="1480">
                  <c:v>211.42857142857142</c:v>
                </c:pt>
                <c:pt idx="1481">
                  <c:v>211.57142857142858</c:v>
                </c:pt>
                <c:pt idx="1482">
                  <c:v>211.71428571428572</c:v>
                </c:pt>
                <c:pt idx="1483">
                  <c:v>211.85714285714286</c:v>
                </c:pt>
                <c:pt idx="1484">
                  <c:v>212</c:v>
                </c:pt>
                <c:pt idx="1485">
                  <c:v>212.14285714285714</c:v>
                </c:pt>
                <c:pt idx="1486">
                  <c:v>212.28571428571428</c:v>
                </c:pt>
                <c:pt idx="1487">
                  <c:v>212.42857142857142</c:v>
                </c:pt>
                <c:pt idx="1488">
                  <c:v>212.57142857142858</c:v>
                </c:pt>
                <c:pt idx="1489">
                  <c:v>212.71428571428572</c:v>
                </c:pt>
                <c:pt idx="1490">
                  <c:v>212.85714285714286</c:v>
                </c:pt>
                <c:pt idx="1491">
                  <c:v>213</c:v>
                </c:pt>
                <c:pt idx="1492">
                  <c:v>213.14285714285714</c:v>
                </c:pt>
                <c:pt idx="1493">
                  <c:v>213.28571428571428</c:v>
                </c:pt>
                <c:pt idx="1494">
                  <c:v>213.42857142857142</c:v>
                </c:pt>
                <c:pt idx="1495">
                  <c:v>213.57142857142858</c:v>
                </c:pt>
                <c:pt idx="1496">
                  <c:v>213.71428571428572</c:v>
                </c:pt>
                <c:pt idx="1497">
                  <c:v>213.85714285714286</c:v>
                </c:pt>
                <c:pt idx="1498">
                  <c:v>214</c:v>
                </c:pt>
                <c:pt idx="1499">
                  <c:v>214.14285714285714</c:v>
                </c:pt>
                <c:pt idx="1500">
                  <c:v>214.28571428571428</c:v>
                </c:pt>
                <c:pt idx="1501">
                  <c:v>214.42857142857142</c:v>
                </c:pt>
                <c:pt idx="1502">
                  <c:v>214.57142857142858</c:v>
                </c:pt>
                <c:pt idx="1503">
                  <c:v>214.71428571428572</c:v>
                </c:pt>
                <c:pt idx="1504">
                  <c:v>214.85714285714286</c:v>
                </c:pt>
                <c:pt idx="1505">
                  <c:v>215</c:v>
                </c:pt>
                <c:pt idx="1506">
                  <c:v>215.14285714285714</c:v>
                </c:pt>
                <c:pt idx="1507">
                  <c:v>215.28571428571428</c:v>
                </c:pt>
                <c:pt idx="1508">
                  <c:v>215.42857142857142</c:v>
                </c:pt>
                <c:pt idx="1509">
                  <c:v>215.57142857142858</c:v>
                </c:pt>
                <c:pt idx="1510">
                  <c:v>215.71428571428572</c:v>
                </c:pt>
                <c:pt idx="1511">
                  <c:v>215.85714285714286</c:v>
                </c:pt>
                <c:pt idx="1512">
                  <c:v>216</c:v>
                </c:pt>
                <c:pt idx="1513">
                  <c:v>216.14285714285714</c:v>
                </c:pt>
                <c:pt idx="1514">
                  <c:v>216.28571428571428</c:v>
                </c:pt>
                <c:pt idx="1515">
                  <c:v>216.42857142857142</c:v>
                </c:pt>
                <c:pt idx="1516">
                  <c:v>216.57142857142858</c:v>
                </c:pt>
                <c:pt idx="1517">
                  <c:v>216.71428571428572</c:v>
                </c:pt>
                <c:pt idx="1518">
                  <c:v>216.85714285714286</c:v>
                </c:pt>
                <c:pt idx="1519">
                  <c:v>217</c:v>
                </c:pt>
                <c:pt idx="1520">
                  <c:v>217.14285714285714</c:v>
                </c:pt>
                <c:pt idx="1521">
                  <c:v>217.28571428571428</c:v>
                </c:pt>
                <c:pt idx="1522">
                  <c:v>217.42857142857142</c:v>
                </c:pt>
                <c:pt idx="1523">
                  <c:v>217.57142857142858</c:v>
                </c:pt>
                <c:pt idx="1524">
                  <c:v>217.71428571428572</c:v>
                </c:pt>
                <c:pt idx="1525">
                  <c:v>217.85714285714286</c:v>
                </c:pt>
                <c:pt idx="1526">
                  <c:v>218</c:v>
                </c:pt>
                <c:pt idx="1527">
                  <c:v>218.14285714285714</c:v>
                </c:pt>
                <c:pt idx="1528">
                  <c:v>218.28571428571428</c:v>
                </c:pt>
                <c:pt idx="1529">
                  <c:v>218.42857142857142</c:v>
                </c:pt>
                <c:pt idx="1530">
                  <c:v>218.57142857142858</c:v>
                </c:pt>
                <c:pt idx="1531">
                  <c:v>218.71428571428572</c:v>
                </c:pt>
                <c:pt idx="1532">
                  <c:v>218.85714285714286</c:v>
                </c:pt>
                <c:pt idx="1533">
                  <c:v>219</c:v>
                </c:pt>
                <c:pt idx="1534">
                  <c:v>219.14285714285714</c:v>
                </c:pt>
                <c:pt idx="1535">
                  <c:v>219.28571428571428</c:v>
                </c:pt>
                <c:pt idx="1536">
                  <c:v>219.42857142857142</c:v>
                </c:pt>
                <c:pt idx="1537">
                  <c:v>219.57142857142858</c:v>
                </c:pt>
                <c:pt idx="1538">
                  <c:v>219.71428571428572</c:v>
                </c:pt>
                <c:pt idx="1539">
                  <c:v>219.85714285714286</c:v>
                </c:pt>
                <c:pt idx="1540">
                  <c:v>220</c:v>
                </c:pt>
                <c:pt idx="1541">
                  <c:v>220.14285714285714</c:v>
                </c:pt>
                <c:pt idx="1542">
                  <c:v>220.28571428571428</c:v>
                </c:pt>
                <c:pt idx="1543">
                  <c:v>220.42857142857142</c:v>
                </c:pt>
                <c:pt idx="1544">
                  <c:v>220.57142857142858</c:v>
                </c:pt>
                <c:pt idx="1545">
                  <c:v>220.71428571428572</c:v>
                </c:pt>
                <c:pt idx="1546">
                  <c:v>220.85714285714286</c:v>
                </c:pt>
                <c:pt idx="1547">
                  <c:v>221</c:v>
                </c:pt>
                <c:pt idx="1548">
                  <c:v>221.14285714285714</c:v>
                </c:pt>
                <c:pt idx="1549">
                  <c:v>221.28571428571428</c:v>
                </c:pt>
                <c:pt idx="1550">
                  <c:v>221.42857142857142</c:v>
                </c:pt>
                <c:pt idx="1551">
                  <c:v>221.57142857142858</c:v>
                </c:pt>
                <c:pt idx="1552">
                  <c:v>221.71428571428572</c:v>
                </c:pt>
                <c:pt idx="1553">
                  <c:v>221.85714285714286</c:v>
                </c:pt>
                <c:pt idx="1554">
                  <c:v>222</c:v>
                </c:pt>
                <c:pt idx="1555">
                  <c:v>222.14285714285714</c:v>
                </c:pt>
                <c:pt idx="1556">
                  <c:v>222.28571428571428</c:v>
                </c:pt>
                <c:pt idx="1557">
                  <c:v>222.42857142857142</c:v>
                </c:pt>
                <c:pt idx="1558">
                  <c:v>222.57142857142858</c:v>
                </c:pt>
                <c:pt idx="1559">
                  <c:v>222.71428571428572</c:v>
                </c:pt>
                <c:pt idx="1560">
                  <c:v>222.85714285714286</c:v>
                </c:pt>
                <c:pt idx="1561">
                  <c:v>223</c:v>
                </c:pt>
                <c:pt idx="1562">
                  <c:v>223.14285714285714</c:v>
                </c:pt>
                <c:pt idx="1563">
                  <c:v>223.28571428571428</c:v>
                </c:pt>
                <c:pt idx="1564">
                  <c:v>223.42857142857142</c:v>
                </c:pt>
                <c:pt idx="1565">
                  <c:v>223.57142857142858</c:v>
                </c:pt>
                <c:pt idx="1566">
                  <c:v>223.71428571428572</c:v>
                </c:pt>
                <c:pt idx="1567">
                  <c:v>223.85714285714286</c:v>
                </c:pt>
                <c:pt idx="1568">
                  <c:v>224</c:v>
                </c:pt>
                <c:pt idx="1569">
                  <c:v>224.14285714285714</c:v>
                </c:pt>
                <c:pt idx="1570">
                  <c:v>224.28571428571428</c:v>
                </c:pt>
                <c:pt idx="1571">
                  <c:v>224.42857142857142</c:v>
                </c:pt>
                <c:pt idx="1572">
                  <c:v>224.57142857142858</c:v>
                </c:pt>
                <c:pt idx="1573">
                  <c:v>224.71428571428572</c:v>
                </c:pt>
                <c:pt idx="1574">
                  <c:v>224.85714285714286</c:v>
                </c:pt>
                <c:pt idx="1575">
                  <c:v>225</c:v>
                </c:pt>
                <c:pt idx="1576">
                  <c:v>225.14285714285714</c:v>
                </c:pt>
                <c:pt idx="1577">
                  <c:v>225.28571428571428</c:v>
                </c:pt>
                <c:pt idx="1578">
                  <c:v>225.42857142857142</c:v>
                </c:pt>
                <c:pt idx="1579">
                  <c:v>225.57142857142858</c:v>
                </c:pt>
                <c:pt idx="1580">
                  <c:v>225.71428571428572</c:v>
                </c:pt>
                <c:pt idx="1581">
                  <c:v>225.85714285714286</c:v>
                </c:pt>
                <c:pt idx="1582">
                  <c:v>226</c:v>
                </c:pt>
                <c:pt idx="1583">
                  <c:v>226.14285714285714</c:v>
                </c:pt>
                <c:pt idx="1584">
                  <c:v>226.28571428571428</c:v>
                </c:pt>
                <c:pt idx="1585">
                  <c:v>226.42857142857142</c:v>
                </c:pt>
                <c:pt idx="1586">
                  <c:v>226.57142857142858</c:v>
                </c:pt>
                <c:pt idx="1587">
                  <c:v>226.71428571428572</c:v>
                </c:pt>
                <c:pt idx="1588">
                  <c:v>226.85714285714286</c:v>
                </c:pt>
                <c:pt idx="1589">
                  <c:v>227</c:v>
                </c:pt>
                <c:pt idx="1590">
                  <c:v>227.14285714285714</c:v>
                </c:pt>
                <c:pt idx="1591">
                  <c:v>227.28571428571428</c:v>
                </c:pt>
                <c:pt idx="1592">
                  <c:v>227.42857142857142</c:v>
                </c:pt>
                <c:pt idx="1593">
                  <c:v>227.57142857142858</c:v>
                </c:pt>
                <c:pt idx="1594">
                  <c:v>227.71428571428572</c:v>
                </c:pt>
                <c:pt idx="1595">
                  <c:v>227.85714285714286</c:v>
                </c:pt>
                <c:pt idx="1596">
                  <c:v>228</c:v>
                </c:pt>
                <c:pt idx="1597">
                  <c:v>228.14285714285714</c:v>
                </c:pt>
                <c:pt idx="1598">
                  <c:v>228.28571428571428</c:v>
                </c:pt>
                <c:pt idx="1599">
                  <c:v>228.42857142857142</c:v>
                </c:pt>
                <c:pt idx="1600">
                  <c:v>228.57142857142858</c:v>
                </c:pt>
                <c:pt idx="1601">
                  <c:v>228.71428571428572</c:v>
                </c:pt>
                <c:pt idx="1602">
                  <c:v>228.85714285714286</c:v>
                </c:pt>
                <c:pt idx="1603">
                  <c:v>229</c:v>
                </c:pt>
                <c:pt idx="1604">
                  <c:v>229.14285714285714</c:v>
                </c:pt>
                <c:pt idx="1605">
                  <c:v>229.28571428571428</c:v>
                </c:pt>
                <c:pt idx="1606">
                  <c:v>229.42857142857142</c:v>
                </c:pt>
                <c:pt idx="1607">
                  <c:v>229.57142857142858</c:v>
                </c:pt>
                <c:pt idx="1608">
                  <c:v>229.71428571428572</c:v>
                </c:pt>
                <c:pt idx="1609">
                  <c:v>229.85714285714286</c:v>
                </c:pt>
                <c:pt idx="1610">
                  <c:v>230</c:v>
                </c:pt>
                <c:pt idx="1611">
                  <c:v>230.14285714285714</c:v>
                </c:pt>
                <c:pt idx="1612">
                  <c:v>230.28571428571428</c:v>
                </c:pt>
                <c:pt idx="1613">
                  <c:v>230.42857142857142</c:v>
                </c:pt>
                <c:pt idx="1614">
                  <c:v>230.57142857142858</c:v>
                </c:pt>
                <c:pt idx="1615">
                  <c:v>230.71428571428572</c:v>
                </c:pt>
                <c:pt idx="1616">
                  <c:v>230.85714285714286</c:v>
                </c:pt>
                <c:pt idx="1617">
                  <c:v>231</c:v>
                </c:pt>
                <c:pt idx="1618">
                  <c:v>231.14285714285714</c:v>
                </c:pt>
                <c:pt idx="1619">
                  <c:v>231.28571428571428</c:v>
                </c:pt>
                <c:pt idx="1620">
                  <c:v>231.42857142857142</c:v>
                </c:pt>
                <c:pt idx="1621">
                  <c:v>231.57142857142858</c:v>
                </c:pt>
                <c:pt idx="1622">
                  <c:v>231.71428571428572</c:v>
                </c:pt>
                <c:pt idx="1623">
                  <c:v>231.85714285714286</c:v>
                </c:pt>
                <c:pt idx="1624">
                  <c:v>232</c:v>
                </c:pt>
                <c:pt idx="1625">
                  <c:v>232.14285714285714</c:v>
                </c:pt>
                <c:pt idx="1626">
                  <c:v>232.28571428571428</c:v>
                </c:pt>
                <c:pt idx="1627">
                  <c:v>232.42857142857142</c:v>
                </c:pt>
                <c:pt idx="1628">
                  <c:v>232.57142857142858</c:v>
                </c:pt>
                <c:pt idx="1629">
                  <c:v>232.71428571428572</c:v>
                </c:pt>
                <c:pt idx="1630">
                  <c:v>232.85714285714286</c:v>
                </c:pt>
                <c:pt idx="1631">
                  <c:v>233</c:v>
                </c:pt>
                <c:pt idx="1632">
                  <c:v>233.14285714285714</c:v>
                </c:pt>
                <c:pt idx="1633">
                  <c:v>233.28571428571428</c:v>
                </c:pt>
                <c:pt idx="1634">
                  <c:v>233.42857142857142</c:v>
                </c:pt>
                <c:pt idx="1635">
                  <c:v>233.57142857142858</c:v>
                </c:pt>
                <c:pt idx="1636">
                  <c:v>233.71428571428572</c:v>
                </c:pt>
                <c:pt idx="1637">
                  <c:v>233.85714285714286</c:v>
                </c:pt>
                <c:pt idx="1638">
                  <c:v>234</c:v>
                </c:pt>
                <c:pt idx="1639">
                  <c:v>234.14285714285714</c:v>
                </c:pt>
                <c:pt idx="1640">
                  <c:v>234.28571428571428</c:v>
                </c:pt>
                <c:pt idx="1641">
                  <c:v>234.42857142857142</c:v>
                </c:pt>
                <c:pt idx="1642">
                  <c:v>234.57142857142858</c:v>
                </c:pt>
                <c:pt idx="1643">
                  <c:v>234.71428571428572</c:v>
                </c:pt>
                <c:pt idx="1644">
                  <c:v>234.85714285714286</c:v>
                </c:pt>
                <c:pt idx="1645">
                  <c:v>235</c:v>
                </c:pt>
                <c:pt idx="1646">
                  <c:v>235.14285714285714</c:v>
                </c:pt>
                <c:pt idx="1647">
                  <c:v>235.28571428571428</c:v>
                </c:pt>
                <c:pt idx="1648">
                  <c:v>235.42857142857142</c:v>
                </c:pt>
                <c:pt idx="1649">
                  <c:v>235.57142857142858</c:v>
                </c:pt>
                <c:pt idx="1650">
                  <c:v>235.71428571428572</c:v>
                </c:pt>
                <c:pt idx="1651">
                  <c:v>235.85714285714286</c:v>
                </c:pt>
                <c:pt idx="1652">
                  <c:v>236</c:v>
                </c:pt>
                <c:pt idx="1653">
                  <c:v>236.14285714285714</c:v>
                </c:pt>
                <c:pt idx="1654">
                  <c:v>236.28571428571428</c:v>
                </c:pt>
                <c:pt idx="1655">
                  <c:v>236.42857142857142</c:v>
                </c:pt>
                <c:pt idx="1656">
                  <c:v>236.57142857142858</c:v>
                </c:pt>
                <c:pt idx="1657">
                  <c:v>236.71428571428572</c:v>
                </c:pt>
                <c:pt idx="1658">
                  <c:v>236.85714285714286</c:v>
                </c:pt>
                <c:pt idx="1659">
                  <c:v>237</c:v>
                </c:pt>
                <c:pt idx="1660">
                  <c:v>237.14285714285714</c:v>
                </c:pt>
                <c:pt idx="1661">
                  <c:v>237.28571428571428</c:v>
                </c:pt>
                <c:pt idx="1662">
                  <c:v>237.42857142857142</c:v>
                </c:pt>
                <c:pt idx="1663">
                  <c:v>237.57142857142858</c:v>
                </c:pt>
                <c:pt idx="1664">
                  <c:v>237.71428571428572</c:v>
                </c:pt>
                <c:pt idx="1665">
                  <c:v>237.85714285714286</c:v>
                </c:pt>
                <c:pt idx="1666">
                  <c:v>238</c:v>
                </c:pt>
                <c:pt idx="1667">
                  <c:v>238.14285714285714</c:v>
                </c:pt>
                <c:pt idx="1668">
                  <c:v>238.28571428571428</c:v>
                </c:pt>
                <c:pt idx="1669">
                  <c:v>238.42857142857142</c:v>
                </c:pt>
                <c:pt idx="1670">
                  <c:v>238.57142857142858</c:v>
                </c:pt>
                <c:pt idx="1671">
                  <c:v>238.71428571428572</c:v>
                </c:pt>
                <c:pt idx="1672">
                  <c:v>238.85714285714286</c:v>
                </c:pt>
                <c:pt idx="1673">
                  <c:v>239</c:v>
                </c:pt>
                <c:pt idx="1674">
                  <c:v>239.14285714285714</c:v>
                </c:pt>
                <c:pt idx="1675">
                  <c:v>239.28571428571428</c:v>
                </c:pt>
                <c:pt idx="1676">
                  <c:v>239.42857142857142</c:v>
                </c:pt>
                <c:pt idx="1677">
                  <c:v>239.57142857142858</c:v>
                </c:pt>
                <c:pt idx="1678">
                  <c:v>239.71428571428572</c:v>
                </c:pt>
                <c:pt idx="1679">
                  <c:v>239.85714285714286</c:v>
                </c:pt>
                <c:pt idx="1680">
                  <c:v>240</c:v>
                </c:pt>
                <c:pt idx="1681">
                  <c:v>240.14285714285714</c:v>
                </c:pt>
                <c:pt idx="1682">
                  <c:v>240.28571428571428</c:v>
                </c:pt>
                <c:pt idx="1683">
                  <c:v>240.42857142857142</c:v>
                </c:pt>
                <c:pt idx="1684">
                  <c:v>240.57142857142858</c:v>
                </c:pt>
                <c:pt idx="1685">
                  <c:v>240.71428571428572</c:v>
                </c:pt>
                <c:pt idx="1686">
                  <c:v>240.85714285714286</c:v>
                </c:pt>
                <c:pt idx="1687">
                  <c:v>241</c:v>
                </c:pt>
                <c:pt idx="1688">
                  <c:v>241.14285714285714</c:v>
                </c:pt>
                <c:pt idx="1689">
                  <c:v>241.28571428571428</c:v>
                </c:pt>
                <c:pt idx="1690">
                  <c:v>241.42857142857142</c:v>
                </c:pt>
                <c:pt idx="1691">
                  <c:v>241.57142857142858</c:v>
                </c:pt>
                <c:pt idx="1692">
                  <c:v>241.71428571428572</c:v>
                </c:pt>
                <c:pt idx="1693">
                  <c:v>241.85714285714286</c:v>
                </c:pt>
                <c:pt idx="1694">
                  <c:v>242</c:v>
                </c:pt>
                <c:pt idx="1695">
                  <c:v>242.14285714285714</c:v>
                </c:pt>
                <c:pt idx="1696">
                  <c:v>242.28571428571428</c:v>
                </c:pt>
                <c:pt idx="1697">
                  <c:v>242.42857142857142</c:v>
                </c:pt>
                <c:pt idx="1698">
                  <c:v>242.57142857142858</c:v>
                </c:pt>
                <c:pt idx="1699">
                  <c:v>242.71428571428572</c:v>
                </c:pt>
                <c:pt idx="1700">
                  <c:v>242.85714285714286</c:v>
                </c:pt>
                <c:pt idx="1701">
                  <c:v>243</c:v>
                </c:pt>
                <c:pt idx="1702">
                  <c:v>243.14285714285714</c:v>
                </c:pt>
                <c:pt idx="1703">
                  <c:v>243.28571428571428</c:v>
                </c:pt>
                <c:pt idx="1704">
                  <c:v>243.42857142857142</c:v>
                </c:pt>
                <c:pt idx="1705">
                  <c:v>243.57142857142858</c:v>
                </c:pt>
                <c:pt idx="1706">
                  <c:v>243.71428571428572</c:v>
                </c:pt>
                <c:pt idx="1707">
                  <c:v>243.85714285714286</c:v>
                </c:pt>
                <c:pt idx="1708">
                  <c:v>244</c:v>
                </c:pt>
                <c:pt idx="1709">
                  <c:v>244.14285714285714</c:v>
                </c:pt>
                <c:pt idx="1710">
                  <c:v>244.28571428571428</c:v>
                </c:pt>
                <c:pt idx="1711">
                  <c:v>244.42857142857142</c:v>
                </c:pt>
                <c:pt idx="1712">
                  <c:v>244.57142857142858</c:v>
                </c:pt>
                <c:pt idx="1713">
                  <c:v>244.71428571428572</c:v>
                </c:pt>
                <c:pt idx="1714">
                  <c:v>244.85714285714286</c:v>
                </c:pt>
                <c:pt idx="1715">
                  <c:v>245</c:v>
                </c:pt>
                <c:pt idx="1716">
                  <c:v>245.14285714285714</c:v>
                </c:pt>
                <c:pt idx="1717">
                  <c:v>245.28571428571428</c:v>
                </c:pt>
                <c:pt idx="1718">
                  <c:v>245.42857142857142</c:v>
                </c:pt>
                <c:pt idx="1719">
                  <c:v>245.57142857142858</c:v>
                </c:pt>
                <c:pt idx="1720">
                  <c:v>245.71428571428572</c:v>
                </c:pt>
                <c:pt idx="1721">
                  <c:v>245.85714285714286</c:v>
                </c:pt>
                <c:pt idx="1722">
                  <c:v>246</c:v>
                </c:pt>
                <c:pt idx="1723">
                  <c:v>246.14285714285714</c:v>
                </c:pt>
                <c:pt idx="1724">
                  <c:v>246.28571428571428</c:v>
                </c:pt>
                <c:pt idx="1725">
                  <c:v>246.42857142857142</c:v>
                </c:pt>
                <c:pt idx="1726">
                  <c:v>246.57142857142858</c:v>
                </c:pt>
                <c:pt idx="1727">
                  <c:v>246.71428571428572</c:v>
                </c:pt>
                <c:pt idx="1728">
                  <c:v>246.85714285714286</c:v>
                </c:pt>
                <c:pt idx="1729">
                  <c:v>247</c:v>
                </c:pt>
                <c:pt idx="1730">
                  <c:v>247.14285714285714</c:v>
                </c:pt>
                <c:pt idx="1731">
                  <c:v>247.28571428571428</c:v>
                </c:pt>
                <c:pt idx="1732">
                  <c:v>247.42857142857142</c:v>
                </c:pt>
                <c:pt idx="1733">
                  <c:v>247.57142857142858</c:v>
                </c:pt>
                <c:pt idx="1734">
                  <c:v>247.71428571428572</c:v>
                </c:pt>
                <c:pt idx="1735">
                  <c:v>247.85714285714286</c:v>
                </c:pt>
                <c:pt idx="1736">
                  <c:v>248</c:v>
                </c:pt>
                <c:pt idx="1737">
                  <c:v>248.14285714285714</c:v>
                </c:pt>
                <c:pt idx="1738">
                  <c:v>248.28571428571428</c:v>
                </c:pt>
                <c:pt idx="1739">
                  <c:v>248.42857142857142</c:v>
                </c:pt>
                <c:pt idx="1740">
                  <c:v>248.57142857142858</c:v>
                </c:pt>
                <c:pt idx="1741">
                  <c:v>248.71428571428572</c:v>
                </c:pt>
                <c:pt idx="1742">
                  <c:v>248.85714285714286</c:v>
                </c:pt>
                <c:pt idx="1743">
                  <c:v>249</c:v>
                </c:pt>
                <c:pt idx="1744">
                  <c:v>249.14285714285714</c:v>
                </c:pt>
                <c:pt idx="1745">
                  <c:v>249.28571428571428</c:v>
                </c:pt>
                <c:pt idx="1746">
                  <c:v>249.42857142857142</c:v>
                </c:pt>
                <c:pt idx="1747">
                  <c:v>249.57142857142858</c:v>
                </c:pt>
                <c:pt idx="1748">
                  <c:v>249.71428571428572</c:v>
                </c:pt>
                <c:pt idx="1749">
                  <c:v>249.85714285714286</c:v>
                </c:pt>
                <c:pt idx="1750">
                  <c:v>250</c:v>
                </c:pt>
                <c:pt idx="1751">
                  <c:v>250.14285714285714</c:v>
                </c:pt>
                <c:pt idx="1752">
                  <c:v>250.28571428571428</c:v>
                </c:pt>
                <c:pt idx="1753">
                  <c:v>250.42857142857142</c:v>
                </c:pt>
                <c:pt idx="1754">
                  <c:v>250.57142857142858</c:v>
                </c:pt>
                <c:pt idx="1755">
                  <c:v>250.71428571428572</c:v>
                </c:pt>
                <c:pt idx="1756">
                  <c:v>250.85714285714286</c:v>
                </c:pt>
                <c:pt idx="1757">
                  <c:v>251</c:v>
                </c:pt>
                <c:pt idx="1758">
                  <c:v>251.14285714285714</c:v>
                </c:pt>
                <c:pt idx="1759">
                  <c:v>251.28571428571428</c:v>
                </c:pt>
                <c:pt idx="1760">
                  <c:v>251.42857142857142</c:v>
                </c:pt>
                <c:pt idx="1761">
                  <c:v>251.57142857142858</c:v>
                </c:pt>
                <c:pt idx="1762">
                  <c:v>251.71428571428572</c:v>
                </c:pt>
                <c:pt idx="1763">
                  <c:v>251.85714285714286</c:v>
                </c:pt>
                <c:pt idx="1764">
                  <c:v>252</c:v>
                </c:pt>
                <c:pt idx="1765">
                  <c:v>252.14285714285714</c:v>
                </c:pt>
                <c:pt idx="1766">
                  <c:v>252.28571428571428</c:v>
                </c:pt>
                <c:pt idx="1767">
                  <c:v>252.42857142857142</c:v>
                </c:pt>
                <c:pt idx="1768">
                  <c:v>252.57142857142858</c:v>
                </c:pt>
                <c:pt idx="1769">
                  <c:v>252.71428571428572</c:v>
                </c:pt>
                <c:pt idx="1770">
                  <c:v>252.85714285714286</c:v>
                </c:pt>
                <c:pt idx="1771">
                  <c:v>253</c:v>
                </c:pt>
                <c:pt idx="1772">
                  <c:v>253.14285714285714</c:v>
                </c:pt>
                <c:pt idx="1773">
                  <c:v>253.28571428571428</c:v>
                </c:pt>
                <c:pt idx="1774">
                  <c:v>253.42857142857142</c:v>
                </c:pt>
                <c:pt idx="1775">
                  <c:v>253.57142857142858</c:v>
                </c:pt>
                <c:pt idx="1776">
                  <c:v>253.71428571428572</c:v>
                </c:pt>
                <c:pt idx="1777">
                  <c:v>253.85714285714286</c:v>
                </c:pt>
                <c:pt idx="1778">
                  <c:v>254</c:v>
                </c:pt>
                <c:pt idx="1779">
                  <c:v>254.14285714285714</c:v>
                </c:pt>
                <c:pt idx="1780">
                  <c:v>254.28571428571428</c:v>
                </c:pt>
                <c:pt idx="1781">
                  <c:v>254.42857142857142</c:v>
                </c:pt>
                <c:pt idx="1782">
                  <c:v>254.57142857142858</c:v>
                </c:pt>
                <c:pt idx="1783">
                  <c:v>254.71428571428572</c:v>
                </c:pt>
                <c:pt idx="1784">
                  <c:v>254.85714285714286</c:v>
                </c:pt>
                <c:pt idx="1785">
                  <c:v>255</c:v>
                </c:pt>
                <c:pt idx="1786">
                  <c:v>255.14285714285714</c:v>
                </c:pt>
                <c:pt idx="1787">
                  <c:v>255.28571428571428</c:v>
                </c:pt>
                <c:pt idx="1788">
                  <c:v>255.42857142857142</c:v>
                </c:pt>
                <c:pt idx="1789">
                  <c:v>255.57142857142858</c:v>
                </c:pt>
                <c:pt idx="1790">
                  <c:v>255.71428571428572</c:v>
                </c:pt>
                <c:pt idx="1791">
                  <c:v>255.85714285714286</c:v>
                </c:pt>
                <c:pt idx="1792">
                  <c:v>256</c:v>
                </c:pt>
                <c:pt idx="1793">
                  <c:v>256.14285714285717</c:v>
                </c:pt>
                <c:pt idx="1794">
                  <c:v>256.28571428571428</c:v>
                </c:pt>
                <c:pt idx="1795">
                  <c:v>256.42857142857144</c:v>
                </c:pt>
                <c:pt idx="1796">
                  <c:v>256.57142857142856</c:v>
                </c:pt>
                <c:pt idx="1797">
                  <c:v>256.71428571428572</c:v>
                </c:pt>
                <c:pt idx="1798">
                  <c:v>256.85714285714283</c:v>
                </c:pt>
                <c:pt idx="1799">
                  <c:v>257</c:v>
                </c:pt>
                <c:pt idx="1800">
                  <c:v>257.14285714285717</c:v>
                </c:pt>
                <c:pt idx="1801">
                  <c:v>257.28571428571428</c:v>
                </c:pt>
                <c:pt idx="1802">
                  <c:v>257.42857142857144</c:v>
                </c:pt>
                <c:pt idx="1803">
                  <c:v>257.57142857142856</c:v>
                </c:pt>
                <c:pt idx="1804">
                  <c:v>257.71428571428572</c:v>
                </c:pt>
                <c:pt idx="1805">
                  <c:v>257.85714285714283</c:v>
                </c:pt>
                <c:pt idx="1806">
                  <c:v>258</c:v>
                </c:pt>
                <c:pt idx="1807">
                  <c:v>258.14285714285717</c:v>
                </c:pt>
                <c:pt idx="1808">
                  <c:v>258.28571428571428</c:v>
                </c:pt>
                <c:pt idx="1809">
                  <c:v>258.42857142857144</c:v>
                </c:pt>
                <c:pt idx="1810">
                  <c:v>258.57142857142856</c:v>
                </c:pt>
                <c:pt idx="1811">
                  <c:v>258.71428571428572</c:v>
                </c:pt>
                <c:pt idx="1812">
                  <c:v>258.85714285714283</c:v>
                </c:pt>
                <c:pt idx="1813">
                  <c:v>259</c:v>
                </c:pt>
                <c:pt idx="1814">
                  <c:v>259.14285714285717</c:v>
                </c:pt>
                <c:pt idx="1815">
                  <c:v>259.28571428571428</c:v>
                </c:pt>
                <c:pt idx="1816">
                  <c:v>259.42857142857144</c:v>
                </c:pt>
                <c:pt idx="1817">
                  <c:v>259.57142857142856</c:v>
                </c:pt>
                <c:pt idx="1818">
                  <c:v>259.71428571428572</c:v>
                </c:pt>
                <c:pt idx="1819">
                  <c:v>259.85714285714283</c:v>
                </c:pt>
                <c:pt idx="1820">
                  <c:v>260</c:v>
                </c:pt>
                <c:pt idx="1821">
                  <c:v>260.14285714285717</c:v>
                </c:pt>
                <c:pt idx="1822">
                  <c:v>260.28571428571428</c:v>
                </c:pt>
                <c:pt idx="1823">
                  <c:v>260.42857142857144</c:v>
                </c:pt>
                <c:pt idx="1824">
                  <c:v>260.57142857142856</c:v>
                </c:pt>
                <c:pt idx="1825">
                  <c:v>260.71428571428572</c:v>
                </c:pt>
                <c:pt idx="1826">
                  <c:v>260.85714285714283</c:v>
                </c:pt>
                <c:pt idx="1827">
                  <c:v>261</c:v>
                </c:pt>
                <c:pt idx="1828">
                  <c:v>261.14285714285717</c:v>
                </c:pt>
                <c:pt idx="1829">
                  <c:v>261.28571428571428</c:v>
                </c:pt>
                <c:pt idx="1830">
                  <c:v>261.42857142857144</c:v>
                </c:pt>
                <c:pt idx="1831">
                  <c:v>261.57142857142856</c:v>
                </c:pt>
                <c:pt idx="1832">
                  <c:v>261.71428571428572</c:v>
                </c:pt>
                <c:pt idx="1833">
                  <c:v>261.85714285714283</c:v>
                </c:pt>
                <c:pt idx="1834">
                  <c:v>262</c:v>
                </c:pt>
                <c:pt idx="1835">
                  <c:v>262.14285714285717</c:v>
                </c:pt>
                <c:pt idx="1836">
                  <c:v>262.28571428571428</c:v>
                </c:pt>
                <c:pt idx="1837">
                  <c:v>262.42857142857144</c:v>
                </c:pt>
                <c:pt idx="1838">
                  <c:v>262.57142857142856</c:v>
                </c:pt>
                <c:pt idx="1839">
                  <c:v>262.71428571428572</c:v>
                </c:pt>
                <c:pt idx="1840">
                  <c:v>262.85714285714283</c:v>
                </c:pt>
                <c:pt idx="1841">
                  <c:v>263</c:v>
                </c:pt>
                <c:pt idx="1842">
                  <c:v>263.14285714285717</c:v>
                </c:pt>
                <c:pt idx="1843">
                  <c:v>263.28571428571428</c:v>
                </c:pt>
                <c:pt idx="1844">
                  <c:v>263.42857142857144</c:v>
                </c:pt>
                <c:pt idx="1845">
                  <c:v>263.57142857142856</c:v>
                </c:pt>
                <c:pt idx="1846">
                  <c:v>263.71428571428572</c:v>
                </c:pt>
                <c:pt idx="1847">
                  <c:v>263.85714285714283</c:v>
                </c:pt>
                <c:pt idx="1848">
                  <c:v>264</c:v>
                </c:pt>
                <c:pt idx="1849">
                  <c:v>264.14285714285717</c:v>
                </c:pt>
                <c:pt idx="1850">
                  <c:v>264.28571428571428</c:v>
                </c:pt>
                <c:pt idx="1851">
                  <c:v>264.42857142857144</c:v>
                </c:pt>
                <c:pt idx="1852">
                  <c:v>264.57142857142856</c:v>
                </c:pt>
                <c:pt idx="1853">
                  <c:v>264.71428571428572</c:v>
                </c:pt>
                <c:pt idx="1854">
                  <c:v>264.85714285714283</c:v>
                </c:pt>
                <c:pt idx="1855">
                  <c:v>265</c:v>
                </c:pt>
                <c:pt idx="1856">
                  <c:v>265.14285714285717</c:v>
                </c:pt>
                <c:pt idx="1857">
                  <c:v>265.28571428571428</c:v>
                </c:pt>
                <c:pt idx="1858">
                  <c:v>265.42857142857144</c:v>
                </c:pt>
                <c:pt idx="1859">
                  <c:v>265.57142857142856</c:v>
                </c:pt>
                <c:pt idx="1860">
                  <c:v>265.71428571428572</c:v>
                </c:pt>
                <c:pt idx="1861">
                  <c:v>265.85714285714283</c:v>
                </c:pt>
                <c:pt idx="1862">
                  <c:v>266</c:v>
                </c:pt>
                <c:pt idx="1863">
                  <c:v>266.14285714285717</c:v>
                </c:pt>
                <c:pt idx="1864">
                  <c:v>266.28571428571428</c:v>
                </c:pt>
                <c:pt idx="1865">
                  <c:v>266.42857142857144</c:v>
                </c:pt>
                <c:pt idx="1866">
                  <c:v>266.57142857142856</c:v>
                </c:pt>
                <c:pt idx="1867">
                  <c:v>266.71428571428572</c:v>
                </c:pt>
                <c:pt idx="1868">
                  <c:v>266.85714285714283</c:v>
                </c:pt>
                <c:pt idx="1869">
                  <c:v>267</c:v>
                </c:pt>
                <c:pt idx="1870">
                  <c:v>267.14285714285717</c:v>
                </c:pt>
                <c:pt idx="1871">
                  <c:v>267.28571428571428</c:v>
                </c:pt>
                <c:pt idx="1872">
                  <c:v>267.42857142857144</c:v>
                </c:pt>
                <c:pt idx="1873">
                  <c:v>267.57142857142856</c:v>
                </c:pt>
                <c:pt idx="1874">
                  <c:v>267.71428571428572</c:v>
                </c:pt>
                <c:pt idx="1875">
                  <c:v>267.85714285714283</c:v>
                </c:pt>
                <c:pt idx="1876">
                  <c:v>268</c:v>
                </c:pt>
                <c:pt idx="1877">
                  <c:v>268.14285714285717</c:v>
                </c:pt>
                <c:pt idx="1878">
                  <c:v>268.28571428571428</c:v>
                </c:pt>
                <c:pt idx="1879">
                  <c:v>268.42857142857144</c:v>
                </c:pt>
                <c:pt idx="1880">
                  <c:v>268.57142857142856</c:v>
                </c:pt>
                <c:pt idx="1881">
                  <c:v>268.71428571428572</c:v>
                </c:pt>
                <c:pt idx="1882">
                  <c:v>268.85714285714283</c:v>
                </c:pt>
                <c:pt idx="1883">
                  <c:v>269</c:v>
                </c:pt>
                <c:pt idx="1884">
                  <c:v>269.14285714285717</c:v>
                </c:pt>
                <c:pt idx="1885">
                  <c:v>269.28571428571428</c:v>
                </c:pt>
                <c:pt idx="1886">
                  <c:v>269.42857142857144</c:v>
                </c:pt>
                <c:pt idx="1887">
                  <c:v>269.57142857142856</c:v>
                </c:pt>
                <c:pt idx="1888">
                  <c:v>269.71428571428572</c:v>
                </c:pt>
                <c:pt idx="1889">
                  <c:v>269.85714285714283</c:v>
                </c:pt>
                <c:pt idx="1890">
                  <c:v>270</c:v>
                </c:pt>
                <c:pt idx="1891">
                  <c:v>270.14285714285717</c:v>
                </c:pt>
                <c:pt idx="1892">
                  <c:v>270.28571428571428</c:v>
                </c:pt>
                <c:pt idx="1893">
                  <c:v>270.42857142857144</c:v>
                </c:pt>
                <c:pt idx="1894">
                  <c:v>270.57142857142856</c:v>
                </c:pt>
                <c:pt idx="1895">
                  <c:v>270.71428571428572</c:v>
                </c:pt>
                <c:pt idx="1896">
                  <c:v>270.85714285714283</c:v>
                </c:pt>
                <c:pt idx="1897">
                  <c:v>271</c:v>
                </c:pt>
                <c:pt idx="1898">
                  <c:v>271.14285714285717</c:v>
                </c:pt>
                <c:pt idx="1899">
                  <c:v>271.28571428571428</c:v>
                </c:pt>
                <c:pt idx="1900">
                  <c:v>271.42857142857144</c:v>
                </c:pt>
                <c:pt idx="1901">
                  <c:v>271.57142857142856</c:v>
                </c:pt>
                <c:pt idx="1902">
                  <c:v>271.71428571428572</c:v>
                </c:pt>
                <c:pt idx="1903">
                  <c:v>271.85714285714283</c:v>
                </c:pt>
                <c:pt idx="1904">
                  <c:v>272</c:v>
                </c:pt>
                <c:pt idx="1905">
                  <c:v>272.14285714285717</c:v>
                </c:pt>
                <c:pt idx="1906">
                  <c:v>272.28571428571428</c:v>
                </c:pt>
                <c:pt idx="1907">
                  <c:v>272.42857142857144</c:v>
                </c:pt>
                <c:pt idx="1908">
                  <c:v>272.57142857142856</c:v>
                </c:pt>
                <c:pt idx="1909">
                  <c:v>272.71428571428572</c:v>
                </c:pt>
                <c:pt idx="1910">
                  <c:v>272.85714285714283</c:v>
                </c:pt>
                <c:pt idx="1911">
                  <c:v>273</c:v>
                </c:pt>
                <c:pt idx="1912">
                  <c:v>273.14285714285717</c:v>
                </c:pt>
                <c:pt idx="1913">
                  <c:v>273.28571428571428</c:v>
                </c:pt>
                <c:pt idx="1914">
                  <c:v>273.42857142857144</c:v>
                </c:pt>
                <c:pt idx="1915">
                  <c:v>273.57142857142856</c:v>
                </c:pt>
                <c:pt idx="1916">
                  <c:v>273.71428571428572</c:v>
                </c:pt>
                <c:pt idx="1917">
                  <c:v>273.85714285714283</c:v>
                </c:pt>
                <c:pt idx="1918">
                  <c:v>274</c:v>
                </c:pt>
                <c:pt idx="1919">
                  <c:v>274.14285714285717</c:v>
                </c:pt>
                <c:pt idx="1920">
                  <c:v>274.28571428571428</c:v>
                </c:pt>
                <c:pt idx="1921">
                  <c:v>274.42857142857144</c:v>
                </c:pt>
                <c:pt idx="1922">
                  <c:v>274.57142857142856</c:v>
                </c:pt>
                <c:pt idx="1923">
                  <c:v>274.71428571428572</c:v>
                </c:pt>
                <c:pt idx="1924">
                  <c:v>274.85714285714283</c:v>
                </c:pt>
                <c:pt idx="1925">
                  <c:v>275</c:v>
                </c:pt>
                <c:pt idx="1926">
                  <c:v>275.14285714285717</c:v>
                </c:pt>
                <c:pt idx="1927">
                  <c:v>275.28571428571428</c:v>
                </c:pt>
                <c:pt idx="1928">
                  <c:v>275.42857142857144</c:v>
                </c:pt>
                <c:pt idx="1929">
                  <c:v>275.57142857142856</c:v>
                </c:pt>
                <c:pt idx="1930">
                  <c:v>275.71428571428572</c:v>
                </c:pt>
                <c:pt idx="1931">
                  <c:v>275.85714285714283</c:v>
                </c:pt>
                <c:pt idx="1932">
                  <c:v>276</c:v>
                </c:pt>
                <c:pt idx="1933">
                  <c:v>276.14285714285717</c:v>
                </c:pt>
                <c:pt idx="1934">
                  <c:v>276.28571428571428</c:v>
                </c:pt>
                <c:pt idx="1935">
                  <c:v>276.42857142857144</c:v>
                </c:pt>
                <c:pt idx="1936">
                  <c:v>276.57142857142856</c:v>
                </c:pt>
                <c:pt idx="1937">
                  <c:v>276.71428571428572</c:v>
                </c:pt>
                <c:pt idx="1938">
                  <c:v>276.85714285714283</c:v>
                </c:pt>
                <c:pt idx="1939">
                  <c:v>277</c:v>
                </c:pt>
                <c:pt idx="1940">
                  <c:v>277.14285714285717</c:v>
                </c:pt>
                <c:pt idx="1941">
                  <c:v>277.28571428571428</c:v>
                </c:pt>
                <c:pt idx="1942">
                  <c:v>277.42857142857144</c:v>
                </c:pt>
                <c:pt idx="1943">
                  <c:v>277.57142857142856</c:v>
                </c:pt>
                <c:pt idx="1944">
                  <c:v>277.71428571428572</c:v>
                </c:pt>
                <c:pt idx="1945">
                  <c:v>277.85714285714283</c:v>
                </c:pt>
                <c:pt idx="1946">
                  <c:v>278</c:v>
                </c:pt>
                <c:pt idx="1947">
                  <c:v>278.14285714285717</c:v>
                </c:pt>
                <c:pt idx="1948">
                  <c:v>278.28571428571428</c:v>
                </c:pt>
                <c:pt idx="1949">
                  <c:v>278.42857142857144</c:v>
                </c:pt>
                <c:pt idx="1950">
                  <c:v>278.57142857142856</c:v>
                </c:pt>
                <c:pt idx="1951">
                  <c:v>278.71428571428572</c:v>
                </c:pt>
                <c:pt idx="1952">
                  <c:v>278.85714285714283</c:v>
                </c:pt>
                <c:pt idx="1953">
                  <c:v>279</c:v>
                </c:pt>
                <c:pt idx="1954">
                  <c:v>279.14285714285717</c:v>
                </c:pt>
                <c:pt idx="1955">
                  <c:v>279.28571428571428</c:v>
                </c:pt>
                <c:pt idx="1956">
                  <c:v>279.42857142857144</c:v>
                </c:pt>
                <c:pt idx="1957">
                  <c:v>279.57142857142856</c:v>
                </c:pt>
                <c:pt idx="1958">
                  <c:v>279.71428571428572</c:v>
                </c:pt>
                <c:pt idx="1959">
                  <c:v>279.85714285714283</c:v>
                </c:pt>
                <c:pt idx="1960">
                  <c:v>280</c:v>
                </c:pt>
                <c:pt idx="1961">
                  <c:v>280.14285714285717</c:v>
                </c:pt>
                <c:pt idx="1962">
                  <c:v>280.28571428571428</c:v>
                </c:pt>
                <c:pt idx="1963">
                  <c:v>280.42857142857144</c:v>
                </c:pt>
                <c:pt idx="1964">
                  <c:v>280.57142857142856</c:v>
                </c:pt>
                <c:pt idx="1965">
                  <c:v>280.71428571428572</c:v>
                </c:pt>
                <c:pt idx="1966">
                  <c:v>280.85714285714283</c:v>
                </c:pt>
                <c:pt idx="1967">
                  <c:v>281</c:v>
                </c:pt>
                <c:pt idx="1968">
                  <c:v>281.14285714285717</c:v>
                </c:pt>
                <c:pt idx="1969">
                  <c:v>281.28571428571428</c:v>
                </c:pt>
                <c:pt idx="1970">
                  <c:v>281.42857142857144</c:v>
                </c:pt>
                <c:pt idx="1971">
                  <c:v>281.57142857142856</c:v>
                </c:pt>
                <c:pt idx="1972">
                  <c:v>281.71428571428572</c:v>
                </c:pt>
                <c:pt idx="1973">
                  <c:v>281.85714285714283</c:v>
                </c:pt>
                <c:pt idx="1974">
                  <c:v>282</c:v>
                </c:pt>
                <c:pt idx="1975">
                  <c:v>282.14285714285717</c:v>
                </c:pt>
                <c:pt idx="1976">
                  <c:v>282.28571428571428</c:v>
                </c:pt>
                <c:pt idx="1977">
                  <c:v>282.42857142857144</c:v>
                </c:pt>
                <c:pt idx="1978">
                  <c:v>282.57142857142856</c:v>
                </c:pt>
                <c:pt idx="1979">
                  <c:v>282.71428571428572</c:v>
                </c:pt>
                <c:pt idx="1980">
                  <c:v>282.85714285714283</c:v>
                </c:pt>
                <c:pt idx="1981">
                  <c:v>283</c:v>
                </c:pt>
                <c:pt idx="1982">
                  <c:v>283.14285714285717</c:v>
                </c:pt>
                <c:pt idx="1983">
                  <c:v>283.28571428571428</c:v>
                </c:pt>
                <c:pt idx="1984">
                  <c:v>283.42857142857144</c:v>
                </c:pt>
                <c:pt idx="1985">
                  <c:v>283.57142857142856</c:v>
                </c:pt>
                <c:pt idx="1986">
                  <c:v>283.71428571428572</c:v>
                </c:pt>
                <c:pt idx="1987">
                  <c:v>283.85714285714283</c:v>
                </c:pt>
                <c:pt idx="1988">
                  <c:v>284</c:v>
                </c:pt>
                <c:pt idx="1989">
                  <c:v>284.14285714285717</c:v>
                </c:pt>
                <c:pt idx="1990">
                  <c:v>284.28571428571428</c:v>
                </c:pt>
                <c:pt idx="1991">
                  <c:v>284.42857142857144</c:v>
                </c:pt>
                <c:pt idx="1992">
                  <c:v>284.57142857142856</c:v>
                </c:pt>
                <c:pt idx="1993">
                  <c:v>284.71428571428572</c:v>
                </c:pt>
                <c:pt idx="1994">
                  <c:v>284.85714285714283</c:v>
                </c:pt>
                <c:pt idx="1995">
                  <c:v>285</c:v>
                </c:pt>
                <c:pt idx="1996">
                  <c:v>285.14285714285717</c:v>
                </c:pt>
                <c:pt idx="1997">
                  <c:v>285.28571428571428</c:v>
                </c:pt>
                <c:pt idx="1998">
                  <c:v>285.42857142857144</c:v>
                </c:pt>
                <c:pt idx="1999">
                  <c:v>285.57142857142856</c:v>
                </c:pt>
                <c:pt idx="2000">
                  <c:v>285.71428571428572</c:v>
                </c:pt>
              </c:numCache>
            </c:numRef>
          </c:cat>
          <c:val>
            <c:numRef>
              <c:f>'t Total'!$D$5:$D$2006</c:f>
              <c:numCache>
                <c:formatCode>0</c:formatCode>
                <c:ptCount val="2002"/>
                <c:pt idx="1">
                  <c:v>0</c:v>
                </c:pt>
                <c:pt idx="2">
                  <c:v>1.3078463961818028</c:v>
                </c:pt>
                <c:pt idx="3">
                  <c:v>15.859692350146302</c:v>
                </c:pt>
                <c:pt idx="4">
                  <c:v>47.484642157249255</c:v>
                </c:pt>
                <c:pt idx="5">
                  <c:v>88.306175161447825</c:v>
                </c:pt>
                <c:pt idx="6">
                  <c:v>132.19241056910667</c:v>
                </c:pt>
                <c:pt idx="7">
                  <c:v>175.63158181104131</c:v>
                </c:pt>
                <c:pt idx="8">
                  <c:v>216.77616462979358</c:v>
                </c:pt>
                <c:pt idx="9">
                  <c:v>254.73916166997867</c:v>
                </c:pt>
                <c:pt idx="10">
                  <c:v>289.17600665425789</c:v>
                </c:pt>
                <c:pt idx="11">
                  <c:v>320.04428691614021</c:v>
                </c:pt>
                <c:pt idx="12">
                  <c:v>347.46564978895572</c:v>
                </c:pt>
                <c:pt idx="13">
                  <c:v>371.64598614916576</c:v>
                </c:pt>
                <c:pt idx="14">
                  <c:v>392.82917719852412</c:v>
                </c:pt>
                <c:pt idx="15">
                  <c:v>411.27042616664903</c:v>
                </c:pt>
                <c:pt idx="16">
                  <c:v>427.22115218998579</c:v>
                </c:pt>
                <c:pt idx="17">
                  <c:v>440.92076529158703</c:v>
                </c:pt>
                <c:pt idx="18">
                  <c:v>452.59254881175229</c:v>
                </c:pt>
                <c:pt idx="19">
                  <c:v>462.44198423695707</c:v>
                </c:pt>
                <c:pt idx="20">
                  <c:v>470.65650878210727</c:v>
                </c:pt>
                <c:pt idx="21">
                  <c:v>477.4060895209941</c:v>
                </c:pt>
                <c:pt idx="22">
                  <c:v>482.8442371525116</c:v>
                </c:pt>
                <c:pt idx="23">
                  <c:v>487.10922959152595</c:v>
                </c:pt>
                <c:pt idx="24">
                  <c:v>490.32540673194671</c:v>
                </c:pt>
                <c:pt idx="25">
                  <c:v>492.60445450931911</c:v>
                </c:pt>
                <c:pt idx="26">
                  <c:v>494.04663181549586</c:v>
                </c:pt>
                <c:pt idx="27">
                  <c:v>494.74191586288725</c:v>
                </c:pt>
                <c:pt idx="28">
                  <c:v>494.77105520176156</c:v>
                </c:pt>
                <c:pt idx="29">
                  <c:v>494.20652785679158</c:v>
                </c:pt>
                <c:pt idx="30">
                  <c:v>493.1134069213058</c:v>
                </c:pt>
                <c:pt idx="31">
                  <c:v>491.55013867660091</c:v>
                </c:pt>
                <c:pt idx="32">
                  <c:v>489.56923968323281</c:v>
                </c:pt>
                <c:pt idx="33">
                  <c:v>487.21791983257754</c:v>
                </c:pt>
                <c:pt idx="34">
                  <c:v>484.53863838084362</c:v>
                </c:pt>
                <c:pt idx="35">
                  <c:v>481.56959972210097</c:v>
                </c:pt>
                <c:pt idx="36">
                  <c:v>478.3451952286905</c:v>
                </c:pt>
                <c:pt idx="37">
                  <c:v>474.89639698116298</c:v>
                </c:pt>
                <c:pt idx="38">
                  <c:v>471.25110867767035</c:v>
                </c:pt>
                <c:pt idx="39">
                  <c:v>467.43447848873075</c:v>
                </c:pt>
                <c:pt idx="40">
                  <c:v>463.46917812367428</c:v>
                </c:pt>
                <c:pt idx="41">
                  <c:v>459.3756519112867</c:v>
                </c:pt>
                <c:pt idx="42">
                  <c:v>455.17233927340203</c:v>
                </c:pt>
                <c:pt idx="43">
                  <c:v>450.875873586534</c:v>
                </c:pt>
                <c:pt idx="44">
                  <c:v>446.50126008291772</c:v>
                </c:pt>
                <c:pt idx="45">
                  <c:v>442.06203513563742</c:v>
                </c:pt>
                <c:pt idx="46">
                  <c:v>437.57040900045467</c:v>
                </c:pt>
                <c:pt idx="47">
                  <c:v>433.03739384597793</c:v>
                </c:pt>
                <c:pt idx="48">
                  <c:v>428.47291869072433</c:v>
                </c:pt>
                <c:pt idx="49">
                  <c:v>423.88593267830947</c:v>
                </c:pt>
                <c:pt idx="50">
                  <c:v>419.28449795619599</c:v>
                </c:pt>
                <c:pt idx="51">
                  <c:v>414.67587327826186</c:v>
                </c:pt>
                <c:pt idx="52">
                  <c:v>410.06658932255959</c:v>
                </c:pt>
                <c:pt idx="53">
                  <c:v>405.46251660341659</c:v>
                </c:pt>
                <c:pt idx="54">
                  <c:v>400.86892675712807</c:v>
                </c:pt>
                <c:pt idx="55">
                  <c:v>396.29054789315342</c:v>
                </c:pt>
                <c:pt idx="56">
                  <c:v>391.73161462521966</c:v>
                </c:pt>
                <c:pt idx="57">
                  <c:v>387.1959133292039</c:v>
                </c:pt>
                <c:pt idx="58">
                  <c:v>382.68682311384691</c:v>
                </c:pt>
                <c:pt idx="59">
                  <c:v>378.20735293794496</c:v>
                </c:pt>
                <c:pt idx="60">
                  <c:v>373.76017526023134</c:v>
                </c:pt>
                <c:pt idx="61">
                  <c:v>369.34765656683157</c:v>
                </c:pt>
                <c:pt idx="62">
                  <c:v>364.97188508491308</c:v>
                </c:pt>
                <c:pt idx="63">
                  <c:v>360.63469595719289</c:v>
                </c:pt>
                <c:pt idx="64">
                  <c:v>356.33769412493348</c:v>
                </c:pt>
                <c:pt idx="65">
                  <c:v>352.08227513981183</c:v>
                </c:pt>
                <c:pt idx="66">
                  <c:v>347.86964410295332</c:v>
                </c:pt>
                <c:pt idx="67">
                  <c:v>343.70083290918774</c:v>
                </c:pt>
                <c:pt idx="68">
                  <c:v>339.57671595623106</c:v>
                </c:pt>
                <c:pt idx="69">
                  <c:v>335.49802446239119</c:v>
                </c:pt>
                <c:pt idx="70">
                  <c:v>331.46535952229533</c:v>
                </c:pt>
                <c:pt idx="71">
                  <c:v>327.47920401715601</c:v>
                </c:pt>
                <c:pt idx="72">
                  <c:v>323.53993348429503</c:v>
                </c:pt>
                <c:pt idx="73">
                  <c:v>319.64782604112042</c:v>
                </c:pt>
                <c:pt idx="74">
                  <c:v>315.80307144868129</c:v>
                </c:pt>
                <c:pt idx="75">
                  <c:v>312.00577939258437</c:v>
                </c:pt>
                <c:pt idx="76">
                  <c:v>308.25598705061202</c:v>
                </c:pt>
                <c:pt idx="77">
                  <c:v>304.55366601123023</c:v>
                </c:pt>
                <c:pt idx="78">
                  <c:v>300.89872859907337</c:v>
                </c:pt>
                <c:pt idx="79">
                  <c:v>297.29103366070194</c:v>
                </c:pt>
                <c:pt idx="80">
                  <c:v>293.73039185695234</c:v>
                </c:pt>
                <c:pt idx="81">
                  <c:v>290.21657050465365</c:v>
                </c:pt>
                <c:pt idx="82">
                  <c:v>286.74929800727477</c:v>
                </c:pt>
                <c:pt idx="83">
                  <c:v>283.32826790885883</c:v>
                </c:pt>
                <c:pt idx="84">
                  <c:v>279.9531426044814</c:v>
                </c:pt>
                <c:pt idx="85">
                  <c:v>276.62355673535058</c:v>
                </c:pt>
                <c:pt idx="86">
                  <c:v>273.33912029617932</c:v>
                </c:pt>
                <c:pt idx="87">
                  <c:v>270.09942147837501</c:v>
                </c:pt>
                <c:pt idx="88">
                  <c:v>266.90402927180912</c:v>
                </c:pt>
                <c:pt idx="89">
                  <c:v>263.75249584467383</c:v>
                </c:pt>
                <c:pt idx="90">
                  <c:v>260.64435872053218</c:v>
                </c:pt>
                <c:pt idx="91">
                  <c:v>257.57914276908559</c:v>
                </c:pt>
                <c:pt idx="92">
                  <c:v>254.55636202578171</c:v>
                </c:pt>
                <c:pt idx="93">
                  <c:v>251.57552135500737</c:v>
                </c:pt>
                <c:pt idx="94">
                  <c:v>248.63611796907935</c:v>
                </c:pt>
                <c:pt idx="95">
                  <c:v>245.73764281524927</c:v>
                </c:pt>
                <c:pt idx="96">
                  <c:v>242.87958184128365</c:v>
                </c:pt>
                <c:pt idx="97">
                  <c:v>240.06141714950354</c:v>
                </c:pt>
                <c:pt idx="98">
                  <c:v>237.28262804859696</c:v>
                </c:pt>
                <c:pt idx="99">
                  <c:v>234.54269201117131</c:v>
                </c:pt>
                <c:pt idx="100">
                  <c:v>231.84108554482373</c:v>
                </c:pt>
                <c:pt idx="101">
                  <c:v>229.17728498391079</c:v>
                </c:pt>
                <c:pt idx="102">
                  <c:v>226.55076720784564</c:v>
                </c:pt>
                <c:pt idx="103">
                  <c:v>223.96101029276906</c:v>
                </c:pt>
                <c:pt idx="104">
                  <c:v>221.40749410097487</c:v>
                </c:pt>
                <c:pt idx="105">
                  <c:v>218.88970081367006</c:v>
                </c:pt>
                <c:pt idx="106">
                  <c:v>216.40711541190831</c:v>
                </c:pt>
                <c:pt idx="107">
                  <c:v>213.95922610887646</c:v>
                </c:pt>
                <c:pt idx="108">
                  <c:v>211.54552473866352</c:v>
                </c:pt>
                <c:pt idx="109">
                  <c:v>209.16550710408774</c:v>
                </c:pt>
                <c:pt idx="110">
                  <c:v>206.81867328736553</c:v>
                </c:pt>
                <c:pt idx="111">
                  <c:v>204.50452792671422</c:v>
                </c:pt>
                <c:pt idx="112">
                  <c:v>202.22258046101342</c:v>
                </c:pt>
                <c:pt idx="113">
                  <c:v>199.97234534620657</c:v>
                </c:pt>
                <c:pt idx="114">
                  <c:v>197.75334224445396</c:v>
                </c:pt>
                <c:pt idx="115">
                  <c:v>195.56509618942073</c:v>
                </c:pt>
                <c:pt idx="116">
                  <c:v>193.40713772912568</c:v>
                </c:pt>
                <c:pt idx="117">
                  <c:v>191.27900304798823</c:v>
                </c:pt>
                <c:pt idx="118">
                  <c:v>189.18023407039436</c:v>
                </c:pt>
                <c:pt idx="119">
                  <c:v>187.11037854683673</c:v>
                </c:pt>
                <c:pt idx="120">
                  <c:v>185.06899012429494</c:v>
                </c:pt>
                <c:pt idx="121">
                  <c:v>183.05562840231869</c:v>
                </c:pt>
                <c:pt idx="122">
                  <c:v>181.06985897565028</c:v>
                </c:pt>
                <c:pt idx="123">
                  <c:v>179.11125346484914</c:v>
                </c:pt>
                <c:pt idx="124">
                  <c:v>177.17938953616977</c:v>
                </c:pt>
                <c:pt idx="125">
                  <c:v>175.27385091093311</c:v>
                </c:pt>
                <c:pt idx="126">
                  <c:v>173.39422736600682</c:v>
                </c:pt>
                <c:pt idx="127">
                  <c:v>171.54011472597631</c:v>
                </c:pt>
                <c:pt idx="128">
                  <c:v>169.71111484767607</c:v>
                </c:pt>
                <c:pt idx="129">
                  <c:v>167.90683559774334</c:v>
                </c:pt>
                <c:pt idx="130">
                  <c:v>166.12689082416182</c:v>
                </c:pt>
                <c:pt idx="131">
                  <c:v>164.37090032207198</c:v>
                </c:pt>
                <c:pt idx="132">
                  <c:v>162.63848979447357</c:v>
                </c:pt>
                <c:pt idx="133">
                  <c:v>160.92929080847534</c:v>
                </c:pt>
                <c:pt idx="134">
                  <c:v>159.24294074736827</c:v>
                </c:pt>
                <c:pt idx="135">
                  <c:v>157.57908275903173</c:v>
                </c:pt>
                <c:pt idx="136">
                  <c:v>155.93736570121837</c:v>
                </c:pt>
                <c:pt idx="137">
                  <c:v>154.31744408372469</c:v>
                </c:pt>
                <c:pt idx="138">
                  <c:v>152.71897800816805</c:v>
                </c:pt>
                <c:pt idx="139">
                  <c:v>151.14163310556614</c:v>
                </c:pt>
                <c:pt idx="140">
                  <c:v>149.58508047166833</c:v>
                </c:pt>
                <c:pt idx="141">
                  <c:v>148.04899660109368</c:v>
                </c:pt>
                <c:pt idx="142">
                  <c:v>146.5330633193953</c:v>
                </c:pt>
                <c:pt idx="143">
                  <c:v>145.03696771444811</c:v>
                </c:pt>
                <c:pt idx="144">
                  <c:v>143.5604020665487</c:v>
                </c:pt>
                <c:pt idx="145">
                  <c:v>142.10306377773668</c:v>
                </c:pt>
                <c:pt idx="146">
                  <c:v>140.6646553003302</c:v>
                </c:pt>
                <c:pt idx="147">
                  <c:v>139.24488406525052</c:v>
                </c:pt>
                <c:pt idx="148">
                  <c:v>137.84346240966988</c:v>
                </c:pt>
                <c:pt idx="149">
                  <c:v>136.46010750461573</c:v>
                </c:pt>
                <c:pt idx="150">
                  <c:v>135.0945412824949</c:v>
                </c:pt>
                <c:pt idx="151">
                  <c:v>133.7464903643704</c:v>
                </c:pt>
                <c:pt idx="152">
                  <c:v>132.41568598775484</c:v>
                </c:pt>
                <c:pt idx="153">
                  <c:v>131.10186393421463</c:v>
                </c:pt>
                <c:pt idx="154">
                  <c:v>129.80476445743989</c:v>
                </c:pt>
                <c:pt idx="155">
                  <c:v>128.52413221169263</c:v>
                </c:pt>
                <c:pt idx="156">
                  <c:v>127.25971618053154</c:v>
                </c:pt>
                <c:pt idx="157">
                  <c:v>126.01126960627153</c:v>
                </c:pt>
                <c:pt idx="158">
                  <c:v>124.77854991961794</c:v>
                </c:pt>
                <c:pt idx="159">
                  <c:v>123.561318670334</c:v>
                </c:pt>
                <c:pt idx="160">
                  <c:v>122.35934145808278</c:v>
                </c:pt>
                <c:pt idx="161">
                  <c:v>121.17238786438247</c:v>
                </c:pt>
                <c:pt idx="162">
                  <c:v>120.0002313849327</c:v>
                </c:pt>
                <c:pt idx="163">
                  <c:v>118.8426493628358</c:v>
                </c:pt>
                <c:pt idx="164">
                  <c:v>117.69942292264022</c:v>
                </c:pt>
                <c:pt idx="165">
                  <c:v>116.57033690495155</c:v>
                </c:pt>
                <c:pt idx="166">
                  <c:v>115.45517980220029</c:v>
                </c:pt>
                <c:pt idx="167">
                  <c:v>114.35374369496276</c:v>
                </c:pt>
                <c:pt idx="168">
                  <c:v>113.26582418905309</c:v>
                </c:pt>
                <c:pt idx="169">
                  <c:v>112.1912203539905</c:v>
                </c:pt>
                <c:pt idx="170">
                  <c:v>111.12973466172116</c:v>
                </c:pt>
                <c:pt idx="171">
                  <c:v>110.08117292650422</c:v>
                </c:pt>
                <c:pt idx="172">
                  <c:v>109.04534424579469</c:v>
                </c:pt>
                <c:pt idx="173">
                  <c:v>108.02206094169378</c:v>
                </c:pt>
                <c:pt idx="174">
                  <c:v>107.01113850373804</c:v>
                </c:pt>
                <c:pt idx="175">
                  <c:v>106.01239553200867</c:v>
                </c:pt>
                <c:pt idx="176">
                  <c:v>105.02565368171054</c:v>
                </c:pt>
                <c:pt idx="177">
                  <c:v>104.0507376081805</c:v>
                </c:pt>
                <c:pt idx="178">
                  <c:v>103.0874749132272</c:v>
                </c:pt>
                <c:pt idx="179">
                  <c:v>102.13569609179103</c:v>
                </c:pt>
                <c:pt idx="180">
                  <c:v>101.1952344800593</c:v>
                </c:pt>
                <c:pt idx="181">
                  <c:v>100.26592620412703</c:v>
                </c:pt>
                <c:pt idx="182">
                  <c:v>99.347610129589157</c:v>
                </c:pt>
                <c:pt idx="183">
                  <c:v>98.440127811969433</c:v>
                </c:pt>
                <c:pt idx="184">
                  <c:v>97.543323448197043</c:v>
                </c:pt>
                <c:pt idx="185">
                  <c:v>96.657043828563474</c:v>
                </c:pt>
                <c:pt idx="186">
                  <c:v>95.781138289901719</c:v>
                </c:pt>
                <c:pt idx="187">
                  <c:v>94.915458669420332</c:v>
                </c:pt>
                <c:pt idx="188">
                  <c:v>94.05985925917048</c:v>
                </c:pt>
                <c:pt idx="189">
                  <c:v>93.214196761822677</c:v>
                </c:pt>
                <c:pt idx="190">
                  <c:v>92.378330246712721</c:v>
                </c:pt>
                <c:pt idx="191">
                  <c:v>91.55212110694265</c:v>
                </c:pt>
                <c:pt idx="192">
                  <c:v>90.735433017340256</c:v>
                </c:pt>
                <c:pt idx="193">
                  <c:v>89.928131892898818</c:v>
                </c:pt>
                <c:pt idx="194">
                  <c:v>89.130085848315503</c:v>
                </c:pt>
                <c:pt idx="195">
                  <c:v>88.341165158009971</c:v>
                </c:pt>
                <c:pt idx="196">
                  <c:v>87.561242217016115</c:v>
                </c:pt>
                <c:pt idx="197">
                  <c:v>86.790191502521338</c:v>
                </c:pt>
                <c:pt idx="198">
                  <c:v>86.027889536308066</c:v>
                </c:pt>
                <c:pt idx="199">
                  <c:v>85.274214847515395</c:v>
                </c:pt>
                <c:pt idx="200">
                  <c:v>84.529047936579445</c:v>
                </c:pt>
                <c:pt idx="201">
                  <c:v>83.792271239435649</c:v>
                </c:pt>
                <c:pt idx="202">
                  <c:v>83.063769092674193</c:v>
                </c:pt>
                <c:pt idx="203">
                  <c:v>82.343427699132008</c:v>
                </c:pt>
                <c:pt idx="204">
                  <c:v>81.631135094328783</c:v>
                </c:pt>
                <c:pt idx="205">
                  <c:v>80.926781113455945</c:v>
                </c:pt>
                <c:pt idx="206">
                  <c:v>80.230257358962263</c:v>
                </c:pt>
                <c:pt idx="207">
                  <c:v>79.541457168706984</c:v>
                </c:pt>
                <c:pt idx="208">
                  <c:v>78.860275584942428</c:v>
                </c:pt>
                <c:pt idx="209">
                  <c:v>78.186609323645825</c:v>
                </c:pt>
                <c:pt idx="210">
                  <c:v>77.520356744476885</c:v>
                </c:pt>
                <c:pt idx="211">
                  <c:v>76.861417821477517</c:v>
                </c:pt>
                <c:pt idx="212">
                  <c:v>76.209694114135345</c:v>
                </c:pt>
                <c:pt idx="213">
                  <c:v>75.565088739014755</c:v>
                </c:pt>
                <c:pt idx="214">
                  <c:v>74.927506342159177</c:v>
                </c:pt>
                <c:pt idx="215">
                  <c:v>74.296853071609803</c:v>
                </c:pt>
                <c:pt idx="216">
                  <c:v>73.673036551015684</c:v>
                </c:pt>
                <c:pt idx="217">
                  <c:v>73.055965853040107</c:v>
                </c:pt>
                <c:pt idx="218">
                  <c:v>72.445551473909291</c:v>
                </c:pt>
                <c:pt idx="219">
                  <c:v>71.841705308164819</c:v>
                </c:pt>
                <c:pt idx="220">
                  <c:v>71.24434062391083</c:v>
                </c:pt>
                <c:pt idx="221">
                  <c:v>70.653372038461384</c:v>
                </c:pt>
                <c:pt idx="222">
                  <c:v>70.06871549464995</c:v>
                </c:pt>
                <c:pt idx="223">
                  <c:v>69.490288237604545</c:v>
                </c:pt>
                <c:pt idx="224">
                  <c:v>68.918008791471948</c:v>
                </c:pt>
                <c:pt idx="225">
                  <c:v>68.351796937378822</c:v>
                </c:pt>
                <c:pt idx="226">
                  <c:v>67.791573691218218</c:v>
                </c:pt>
                <c:pt idx="227">
                  <c:v>67.237261281959945</c:v>
                </c:pt>
                <c:pt idx="228">
                  <c:v>66.688783130615775</c:v>
                </c:pt>
                <c:pt idx="229">
                  <c:v>66.146063829401101</c:v>
                </c:pt>
                <c:pt idx="230">
                  <c:v>65.609029121304047</c:v>
                </c:pt>
                <c:pt idx="231">
                  <c:v>65.077605880091141</c:v>
                </c:pt>
                <c:pt idx="232">
                  <c:v>64.55172209070588</c:v>
                </c:pt>
                <c:pt idx="233">
                  <c:v>64.031306830045651</c:v>
                </c:pt>
                <c:pt idx="234">
                  <c:v>63.516290247971483</c:v>
                </c:pt>
                <c:pt idx="235">
                  <c:v>63.006603548914427</c:v>
                </c:pt>
                <c:pt idx="236">
                  <c:v>62.502178973598348</c:v>
                </c:pt>
                <c:pt idx="237">
                  <c:v>62.002949781322968</c:v>
                </c:pt>
                <c:pt idx="238">
                  <c:v>61.508850232319674</c:v>
                </c:pt>
                <c:pt idx="239">
                  <c:v>61.019815570747596</c:v>
                </c:pt>
                <c:pt idx="240">
                  <c:v>60.535782007755188</c:v>
                </c:pt>
                <c:pt idx="241">
                  <c:v>60.056686705014727</c:v>
                </c:pt>
                <c:pt idx="242">
                  <c:v>59.582467758496932</c:v>
                </c:pt>
                <c:pt idx="243">
                  <c:v>59.113064182580274</c:v>
                </c:pt>
                <c:pt idx="244">
                  <c:v>58.648415894436766</c:v>
                </c:pt>
                <c:pt idx="245">
                  <c:v>58.188463698745181</c:v>
                </c:pt>
                <c:pt idx="246">
                  <c:v>57.73314927265892</c:v>
                </c:pt>
                <c:pt idx="247">
                  <c:v>57.282415151057648</c:v>
                </c:pt>
                <c:pt idx="248">
                  <c:v>56.836204712184554</c:v>
                </c:pt>
                <c:pt idx="249">
                  <c:v>56.394462163218122</c:v>
                </c:pt>
                <c:pt idx="250">
                  <c:v>55.957132526644273</c:v>
                </c:pt>
                <c:pt idx="251">
                  <c:v>55.524161626417481</c:v>
                </c:pt>
                <c:pt idx="252">
                  <c:v>55.095496074522089</c:v>
                </c:pt>
                <c:pt idx="253">
                  <c:v>54.671083257926512</c:v>
                </c:pt>
                <c:pt idx="254">
                  <c:v>54.250871325595654</c:v>
                </c:pt>
                <c:pt idx="255">
                  <c:v>53.834809175845294</c:v>
                </c:pt>
                <c:pt idx="256">
                  <c:v>53.422846443885646</c:v>
                </c:pt>
                <c:pt idx="257">
                  <c:v>53.014933489590476</c:v>
                </c:pt>
                <c:pt idx="258">
                  <c:v>52.611021385557251</c:v>
                </c:pt>
                <c:pt idx="259">
                  <c:v>52.21106190529099</c:v>
                </c:pt>
                <c:pt idx="260">
                  <c:v>51.815007511737349</c:v>
                </c:pt>
                <c:pt idx="261">
                  <c:v>51.422811345859373</c:v>
                </c:pt>
                <c:pt idx="262">
                  <c:v>51.034427215548931</c:v>
                </c:pt>
                <c:pt idx="263">
                  <c:v>50.64980958468368</c:v>
                </c:pt>
                <c:pt idx="264">
                  <c:v>50.268913562511443</c:v>
                </c:pt>
                <c:pt idx="265">
                  <c:v>49.891694892925443</c:v>
                </c:pt>
                <c:pt idx="266">
                  <c:v>49.518109944328899</c:v>
                </c:pt>
                <c:pt idx="267">
                  <c:v>49.148115699339542</c:v>
                </c:pt>
                <c:pt idx="268">
                  <c:v>48.781669744945248</c:v>
                </c:pt>
                <c:pt idx="269">
                  <c:v>48.418730262630561</c:v>
                </c:pt>
                <c:pt idx="270">
                  <c:v>48.059256018852466</c:v>
                </c:pt>
                <c:pt idx="271">
                  <c:v>47.703206355537986</c:v>
                </c:pt>
                <c:pt idx="272">
                  <c:v>47.350541180872824</c:v>
                </c:pt>
                <c:pt idx="273">
                  <c:v>47.001220960228238</c:v>
                </c:pt>
                <c:pt idx="274">
                  <c:v>46.655206707146135</c:v>
                </c:pt>
                <c:pt idx="275">
                  <c:v>46.312459974709782</c:v>
                </c:pt>
                <c:pt idx="276">
                  <c:v>45.972942846783553</c:v>
                </c:pt>
                <c:pt idx="277">
                  <c:v>45.636617929631029</c:v>
                </c:pt>
                <c:pt idx="278">
                  <c:v>45.303448343736818</c:v>
                </c:pt>
                <c:pt idx="279">
                  <c:v>44.973397715344618</c:v>
                </c:pt>
                <c:pt idx="280">
                  <c:v>44.646430168730149</c:v>
                </c:pt>
                <c:pt idx="281">
                  <c:v>44.322510318241257</c:v>
                </c:pt>
                <c:pt idx="282">
                  <c:v>44.001603260519914</c:v>
                </c:pt>
                <c:pt idx="283">
                  <c:v>43.683674566993432</c:v>
                </c:pt>
                <c:pt idx="284">
                  <c:v>43.368690276329289</c:v>
                </c:pt>
                <c:pt idx="285">
                  <c:v>43.056616887217388</c:v>
                </c:pt>
                <c:pt idx="286">
                  <c:v>42.747421351101366</c:v>
                </c:pt>
                <c:pt idx="287">
                  <c:v>42.441071065069991</c:v>
                </c:pt>
                <c:pt idx="288">
                  <c:v>42.137533865119622</c:v>
                </c:pt>
                <c:pt idx="289">
                  <c:v>41.83677801900194</c:v>
                </c:pt>
                <c:pt idx="290">
                  <c:v>41.538772219857492</c:v>
                </c:pt>
                <c:pt idx="291">
                  <c:v>41.243485579369008</c:v>
                </c:pt>
                <c:pt idx="292">
                  <c:v>40.950887621525908</c:v>
                </c:pt>
                <c:pt idx="293">
                  <c:v>40.66094827598863</c:v>
                </c:pt>
                <c:pt idx="294">
                  <c:v>40.373637872144172</c:v>
                </c:pt>
                <c:pt idx="295">
                  <c:v>40.088927132703247</c:v>
                </c:pt>
                <c:pt idx="296">
                  <c:v>39.80678716787952</c:v>
                </c:pt>
                <c:pt idx="297">
                  <c:v>39.527189469299628</c:v>
                </c:pt>
                <c:pt idx="298">
                  <c:v>39.25010590430611</c:v>
                </c:pt>
                <c:pt idx="299">
                  <c:v>38.975508710100257</c:v>
                </c:pt>
                <c:pt idx="300">
                  <c:v>38.703370488285145</c:v>
                </c:pt>
                <c:pt idx="301">
                  <c:v>38.433664199161285</c:v>
                </c:pt>
                <c:pt idx="302">
                  <c:v>38.166363156407897</c:v>
                </c:pt>
                <c:pt idx="303">
                  <c:v>37.901441021727805</c:v>
                </c:pt>
                <c:pt idx="304">
                  <c:v>37.638871799521439</c:v>
                </c:pt>
                <c:pt idx="305">
                  <c:v>37.378629831837316</c:v>
                </c:pt>
                <c:pt idx="306">
                  <c:v>37.120689793198835</c:v>
                </c:pt>
                <c:pt idx="307">
                  <c:v>36.865026685685734</c:v>
                </c:pt>
                <c:pt idx="308">
                  <c:v>36.611615834000986</c:v>
                </c:pt>
                <c:pt idx="309">
                  <c:v>36.360432880697772</c:v>
                </c:pt>
                <c:pt idx="310">
                  <c:v>36.11145378130459</c:v>
                </c:pt>
                <c:pt idx="311">
                  <c:v>35.864654799865093</c:v>
                </c:pt>
                <c:pt idx="312">
                  <c:v>35.620012504223268</c:v>
                </c:pt>
                <c:pt idx="313">
                  <c:v>35.377503761548724</c:v>
                </c:pt>
                <c:pt idx="314">
                  <c:v>35.137105733927456</c:v>
                </c:pt>
                <c:pt idx="315">
                  <c:v>34.898795874003554</c:v>
                </c:pt>
                <c:pt idx="316">
                  <c:v>34.662551920700935</c:v>
                </c:pt>
                <c:pt idx="317">
                  <c:v>34.428351894988737</c:v>
                </c:pt>
                <c:pt idx="318">
                  <c:v>34.196174095770402</c:v>
                </c:pt>
                <c:pt idx="319">
                  <c:v>33.965997095838247</c:v>
                </c:pt>
                <c:pt idx="320">
                  <c:v>33.737799737784371</c:v>
                </c:pt>
                <c:pt idx="321">
                  <c:v>33.511561130173504</c:v>
                </c:pt>
                <c:pt idx="322">
                  <c:v>33.287260643606714</c:v>
                </c:pt>
                <c:pt idx="323">
                  <c:v>33.064877906886977</c:v>
                </c:pt>
                <c:pt idx="324">
                  <c:v>32.844392803359369</c:v>
                </c:pt>
                <c:pt idx="325">
                  <c:v>32.625785467178503</c:v>
                </c:pt>
                <c:pt idx="326">
                  <c:v>32.409036279663269</c:v>
                </c:pt>
                <c:pt idx="327">
                  <c:v>32.194125865782553</c:v>
                </c:pt>
                <c:pt idx="328">
                  <c:v>31.981035090633668</c:v>
                </c:pt>
                <c:pt idx="329">
                  <c:v>31.769745055957173</c:v>
                </c:pt>
                <c:pt idx="330">
                  <c:v>31.560237096826313</c:v>
                </c:pt>
                <c:pt idx="331">
                  <c:v>31.352492778205487</c:v>
                </c:pt>
                <c:pt idx="332">
                  <c:v>31.146493891785212</c:v>
                </c:pt>
                <c:pt idx="333">
                  <c:v>30.94222245264973</c:v>
                </c:pt>
                <c:pt idx="334">
                  <c:v>30.739660696126521</c:v>
                </c:pt>
                <c:pt idx="335">
                  <c:v>30.538791074723122</c:v>
                </c:pt>
                <c:pt idx="336">
                  <c:v>30.339596254969365</c:v>
                </c:pt>
                <c:pt idx="337">
                  <c:v>30.14205911445606</c:v>
                </c:pt>
                <c:pt idx="338">
                  <c:v>29.94616273878637</c:v>
                </c:pt>
                <c:pt idx="339">
                  <c:v>29.751890418723633</c:v>
                </c:pt>
                <c:pt idx="340">
                  <c:v>29.559225647244602</c:v>
                </c:pt>
                <c:pt idx="341">
                  <c:v>29.368152116745478</c:v>
                </c:pt>
                <c:pt idx="342">
                  <c:v>29.178653716226108</c:v>
                </c:pt>
                <c:pt idx="343">
                  <c:v>28.99071452854696</c:v>
                </c:pt>
                <c:pt idx="344">
                  <c:v>28.804318827744282</c:v>
                </c:pt>
                <c:pt idx="345">
                  <c:v>28.619451076338009</c:v>
                </c:pt>
                <c:pt idx="346">
                  <c:v>28.436095922712411</c:v>
                </c:pt>
                <c:pt idx="347">
                  <c:v>28.254238198598614</c:v>
                </c:pt>
                <c:pt idx="348">
                  <c:v>28.073862916426151</c:v>
                </c:pt>
                <c:pt idx="349">
                  <c:v>27.894955266972829</c:v>
                </c:pt>
                <c:pt idx="350">
                  <c:v>27.717500616738107</c:v>
                </c:pt>
                <c:pt idx="351">
                  <c:v>27.541484505687549</c:v>
                </c:pt>
                <c:pt idx="352">
                  <c:v>27.36689264474262</c:v>
                </c:pt>
                <c:pt idx="353">
                  <c:v>27.19371091350331</c:v>
                </c:pt>
                <c:pt idx="354">
                  <c:v>27.021925357919827</c:v>
                </c:pt>
                <c:pt idx="355">
                  <c:v>26.851522188051604</c:v>
                </c:pt>
                <c:pt idx="356">
                  <c:v>26.682487775746267</c:v>
                </c:pt>
                <c:pt idx="357">
                  <c:v>26.514808652544161</c:v>
                </c:pt>
                <c:pt idx="358">
                  <c:v>26.348471507444629</c:v>
                </c:pt>
                <c:pt idx="359">
                  <c:v>26.183463184803259</c:v>
                </c:pt>
                <c:pt idx="360">
                  <c:v>26.019770682156377</c:v>
                </c:pt>
                <c:pt idx="361">
                  <c:v>25.857381148263812</c:v>
                </c:pt>
                <c:pt idx="362">
                  <c:v>25.696281881006144</c:v>
                </c:pt>
                <c:pt idx="363">
                  <c:v>25.536460325383814</c:v>
                </c:pt>
                <c:pt idx="364">
                  <c:v>25.377904071501689</c:v>
                </c:pt>
                <c:pt idx="365">
                  <c:v>25.220600852735515</c:v>
                </c:pt>
                <c:pt idx="366">
                  <c:v>25.064538543731032</c:v>
                </c:pt>
                <c:pt idx="367">
                  <c:v>24.909705158461293</c:v>
                </c:pt>
                <c:pt idx="368">
                  <c:v>24.756088848545915</c:v>
                </c:pt>
                <c:pt idx="369">
                  <c:v>24.60367790122109</c:v>
                </c:pt>
                <c:pt idx="370">
                  <c:v>24.452460737687943</c:v>
                </c:pt>
                <c:pt idx="371">
                  <c:v>24.30242591125716</c:v>
                </c:pt>
                <c:pt idx="372">
                  <c:v>24.153562105646415</c:v>
                </c:pt>
                <c:pt idx="373">
                  <c:v>24.005858133175934</c:v>
                </c:pt>
                <c:pt idx="374">
                  <c:v>23.859302933204162</c:v>
                </c:pt>
                <c:pt idx="375">
                  <c:v>23.7138855703015</c:v>
                </c:pt>
                <c:pt idx="376">
                  <c:v>23.569595232780557</c:v>
                </c:pt>
                <c:pt idx="377">
                  <c:v>23.426421230906271</c:v>
                </c:pt>
                <c:pt idx="378">
                  <c:v>23.284352995389781</c:v>
                </c:pt>
                <c:pt idx="379">
                  <c:v>23.143380075824098</c:v>
                </c:pt>
                <c:pt idx="380">
                  <c:v>23.00349213906884</c:v>
                </c:pt>
                <c:pt idx="381">
                  <c:v>22.864678967787768</c:v>
                </c:pt>
                <c:pt idx="382">
                  <c:v>22.726930458913557</c:v>
                </c:pt>
                <c:pt idx="383">
                  <c:v>22.590236622170778</c:v>
                </c:pt>
                <c:pt idx="384">
                  <c:v>22.4545875785916</c:v>
                </c:pt>
                <c:pt idx="385">
                  <c:v>22.319973559162463</c:v>
                </c:pt>
                <c:pt idx="386">
                  <c:v>22.186384903252474</c:v>
                </c:pt>
                <c:pt idx="387">
                  <c:v>22.053812057405594</c:v>
                </c:pt>
                <c:pt idx="388">
                  <c:v>21.922245573783584</c:v>
                </c:pt>
                <c:pt idx="389">
                  <c:v>21.791676108943648</c:v>
                </c:pt>
                <c:pt idx="390">
                  <c:v>21.662094422455993</c:v>
                </c:pt>
                <c:pt idx="391">
                  <c:v>21.533491375535959</c:v>
                </c:pt>
                <c:pt idx="392">
                  <c:v>21.405857929843478</c:v>
                </c:pt>
                <c:pt idx="393">
                  <c:v>21.279185146100644</c:v>
                </c:pt>
                <c:pt idx="394">
                  <c:v>21.153464182949392</c:v>
                </c:pt>
                <c:pt idx="395">
                  <c:v>21.028686295583611</c:v>
                </c:pt>
                <c:pt idx="396">
                  <c:v>20.904842834599549</c:v>
                </c:pt>
                <c:pt idx="397">
                  <c:v>20.781925244802551</c:v>
                </c:pt>
                <c:pt idx="398">
                  <c:v>20.659925063962874</c:v>
                </c:pt>
                <c:pt idx="399">
                  <c:v>20.538833921673358</c:v>
                </c:pt>
                <c:pt idx="400">
                  <c:v>20.418643538170727</c:v>
                </c:pt>
                <c:pt idx="401">
                  <c:v>20.299345723273291</c:v>
                </c:pt>
                <c:pt idx="402">
                  <c:v>20.180932375158591</c:v>
                </c:pt>
                <c:pt idx="403">
                  <c:v>20.063395479279279</c:v>
                </c:pt>
                <c:pt idx="404">
                  <c:v>19.946727107366314</c:v>
                </c:pt>
                <c:pt idx="405">
                  <c:v>19.830919416199322</c:v>
                </c:pt>
                <c:pt idx="406">
                  <c:v>19.715964646653447</c:v>
                </c:pt>
                <c:pt idx="407">
                  <c:v>19.601855122680718</c:v>
                </c:pt>
                <c:pt idx="408">
                  <c:v>19.488583250167721</c:v>
                </c:pt>
                <c:pt idx="409">
                  <c:v>19.376141515960626</c:v>
                </c:pt>
                <c:pt idx="410">
                  <c:v>19.264522486970236</c:v>
                </c:pt>
                <c:pt idx="411">
                  <c:v>19.153718809000566</c:v>
                </c:pt>
                <c:pt idx="412">
                  <c:v>19.043723205941205</c:v>
                </c:pt>
                <c:pt idx="413">
                  <c:v>18.934528478719585</c:v>
                </c:pt>
                <c:pt idx="414">
                  <c:v>18.826127504340548</c:v>
                </c:pt>
                <c:pt idx="415">
                  <c:v>18.718513235013233</c:v>
                </c:pt>
                <c:pt idx="416">
                  <c:v>18.611678697234311</c:v>
                </c:pt>
                <c:pt idx="417">
                  <c:v>18.505616990798444</c:v>
                </c:pt>
                <c:pt idx="418">
                  <c:v>18.400321287968836</c:v>
                </c:pt>
                <c:pt idx="419">
                  <c:v>18.295784832596837</c:v>
                </c:pt>
                <c:pt idx="420">
                  <c:v>18.192000939212448</c:v>
                </c:pt>
                <c:pt idx="421">
                  <c:v>18.088962992245797</c:v>
                </c:pt>
                <c:pt idx="422">
                  <c:v>17.986664445030328</c:v>
                </c:pt>
                <c:pt idx="423">
                  <c:v>17.885098819177074</c:v>
                </c:pt>
                <c:pt idx="424">
                  <c:v>17.784259703526914</c:v>
                </c:pt>
                <c:pt idx="425">
                  <c:v>17.684140753546671</c:v>
                </c:pt>
                <c:pt idx="426">
                  <c:v>17.584735690368689</c:v>
                </c:pt>
                <c:pt idx="427">
                  <c:v>17.486038300063228</c:v>
                </c:pt>
                <c:pt idx="428">
                  <c:v>17.388042432939983</c:v>
                </c:pt>
                <c:pt idx="429">
                  <c:v>17.290742002587649</c:v>
                </c:pt>
                <c:pt idx="430">
                  <c:v>17.194130985328229</c:v>
                </c:pt>
                <c:pt idx="431">
                  <c:v>17.09820341932209</c:v>
                </c:pt>
                <c:pt idx="432">
                  <c:v>17.002953403854917</c:v>
                </c:pt>
                <c:pt idx="433">
                  <c:v>16.908375098711986</c:v>
                </c:pt>
                <c:pt idx="434">
                  <c:v>16.814462723312317</c:v>
                </c:pt>
                <c:pt idx="435">
                  <c:v>16.721210556112055</c:v>
                </c:pt>
                <c:pt idx="436">
                  <c:v>16.628612933862314</c:v>
                </c:pt>
                <c:pt idx="437">
                  <c:v>16.536664250896138</c:v>
                </c:pt>
                <c:pt idx="438">
                  <c:v>16.445358958539146</c:v>
                </c:pt>
                <c:pt idx="439">
                  <c:v>16.354691564301902</c:v>
                </c:pt>
                <c:pt idx="440">
                  <c:v>16.264656631348771</c:v>
                </c:pt>
                <c:pt idx="441">
                  <c:v>16.175248777784873</c:v>
                </c:pt>
                <c:pt idx="442">
                  <c:v>16.086462676008523</c:v>
                </c:pt>
                <c:pt idx="443">
                  <c:v>15.998293052063673</c:v>
                </c:pt>
                <c:pt idx="444">
                  <c:v>15.910734685101488</c:v>
                </c:pt>
                <c:pt idx="445">
                  <c:v>15.82378240662365</c:v>
                </c:pt>
                <c:pt idx="446">
                  <c:v>15.737431099994865</c:v>
                </c:pt>
                <c:pt idx="447">
                  <c:v>15.651675699744374</c:v>
                </c:pt>
                <c:pt idx="448">
                  <c:v>15.566511191078462</c:v>
                </c:pt>
                <c:pt idx="449">
                  <c:v>15.481932609196519</c:v>
                </c:pt>
                <c:pt idx="450">
                  <c:v>15.397935038738069</c:v>
                </c:pt>
                <c:pt idx="451">
                  <c:v>15.31451361325162</c:v>
                </c:pt>
                <c:pt idx="452">
                  <c:v>15.231663514590764</c:v>
                </c:pt>
                <c:pt idx="453">
                  <c:v>15.149379972361203</c:v>
                </c:pt>
                <c:pt idx="454">
                  <c:v>15.067658263411431</c:v>
                </c:pt>
                <c:pt idx="455">
                  <c:v>14.98649371121428</c:v>
                </c:pt>
                <c:pt idx="456">
                  <c:v>14.905881685415807</c:v>
                </c:pt>
                <c:pt idx="457">
                  <c:v>14.825817601296876</c:v>
                </c:pt>
                <c:pt idx="458">
                  <c:v>14.746296919118322</c:v>
                </c:pt>
                <c:pt idx="459">
                  <c:v>14.667315143822634</c:v>
                </c:pt>
                <c:pt idx="460">
                  <c:v>14.58886782440095</c:v>
                </c:pt>
                <c:pt idx="461">
                  <c:v>14.51095055337646</c:v>
                </c:pt>
                <c:pt idx="462">
                  <c:v>14.433558966331475</c:v>
                </c:pt>
                <c:pt idx="463">
                  <c:v>14.356688741514517</c:v>
                </c:pt>
                <c:pt idx="464">
                  <c:v>14.280335599185491</c:v>
                </c:pt>
                <c:pt idx="465">
                  <c:v>14.20449530127371</c:v>
                </c:pt>
                <c:pt idx="466">
                  <c:v>14.129163650875853</c:v>
                </c:pt>
                <c:pt idx="467">
                  <c:v>14.054336491753929</c:v>
                </c:pt>
                <c:pt idx="468">
                  <c:v>13.980009707935096</c:v>
                </c:pt>
                <c:pt idx="469">
                  <c:v>13.906179223202344</c:v>
                </c:pt>
                <c:pt idx="470">
                  <c:v>13.83284100072342</c:v>
                </c:pt>
                <c:pt idx="471">
                  <c:v>13.759991042512411</c:v>
                </c:pt>
                <c:pt idx="472">
                  <c:v>13.687625389087771</c:v>
                </c:pt>
                <c:pt idx="473">
                  <c:v>13.615740118999383</c:v>
                </c:pt>
                <c:pt idx="474">
                  <c:v>13.544331348399282</c:v>
                </c:pt>
                <c:pt idx="475">
                  <c:v>13.473395230641472</c:v>
                </c:pt>
                <c:pt idx="476">
                  <c:v>13.402927955852647</c:v>
                </c:pt>
                <c:pt idx="477">
                  <c:v>13.332925750568393</c:v>
                </c:pt>
                <c:pt idx="478">
                  <c:v>13.263384877238423</c:v>
                </c:pt>
                <c:pt idx="479">
                  <c:v>13.19430163395009</c:v>
                </c:pt>
                <c:pt idx="480">
                  <c:v>13.125672353940899</c:v>
                </c:pt>
                <c:pt idx="481">
                  <c:v>13.057493405234709</c:v>
                </c:pt>
                <c:pt idx="482">
                  <c:v>12.989761190307036</c:v>
                </c:pt>
                <c:pt idx="483">
                  <c:v>12.922472145626671</c:v>
                </c:pt>
                <c:pt idx="484">
                  <c:v>12.855622741335537</c:v>
                </c:pt>
                <c:pt idx="485">
                  <c:v>12.78920948090672</c:v>
                </c:pt>
                <c:pt idx="486">
                  <c:v>12.723228900686081</c:v>
                </c:pt>
                <c:pt idx="487">
                  <c:v>12.657677569608495</c:v>
                </c:pt>
                <c:pt idx="488">
                  <c:v>12.592552088884986</c:v>
                </c:pt>
                <c:pt idx="489">
                  <c:v>12.527849091478856</c:v>
                </c:pt>
                <c:pt idx="490">
                  <c:v>12.46356524197472</c:v>
                </c:pt>
                <c:pt idx="491">
                  <c:v>12.399697236061911</c:v>
                </c:pt>
                <c:pt idx="492">
                  <c:v>12.336241800345306</c:v>
                </c:pt>
                <c:pt idx="493">
                  <c:v>12.273195691857836</c:v>
                </c:pt>
                <c:pt idx="494">
                  <c:v>12.210555697856762</c:v>
                </c:pt>
                <c:pt idx="495">
                  <c:v>12.148318635445321</c:v>
                </c:pt>
                <c:pt idx="496">
                  <c:v>12.086481351238035</c:v>
                </c:pt>
                <c:pt idx="497">
                  <c:v>12.025040721084224</c:v>
                </c:pt>
                <c:pt idx="498">
                  <c:v>11.963993649718759</c:v>
                </c:pt>
                <c:pt idx="499">
                  <c:v>11.903337070492853</c:v>
                </c:pt>
                <c:pt idx="500">
                  <c:v>11.843067944988434</c:v>
                </c:pt>
                <c:pt idx="501">
                  <c:v>11.783183262836246</c:v>
                </c:pt>
                <c:pt idx="502">
                  <c:v>11.723680041301122</c:v>
                </c:pt>
                <c:pt idx="503">
                  <c:v>11.664555325034598</c:v>
                </c:pt>
                <c:pt idx="504">
                  <c:v>11.605806185842084</c:v>
                </c:pt>
                <c:pt idx="505">
                  <c:v>11.547429722282686</c:v>
                </c:pt>
                <c:pt idx="506">
                  <c:v>11.489423059450928</c:v>
                </c:pt>
                <c:pt idx="507">
                  <c:v>11.431783348685713</c:v>
                </c:pt>
                <c:pt idx="508">
                  <c:v>11.374507767337491</c:v>
                </c:pt>
                <c:pt idx="509">
                  <c:v>11.317593518368085</c:v>
                </c:pt>
                <c:pt idx="510">
                  <c:v>11.2610378302561</c:v>
                </c:pt>
                <c:pt idx="511">
                  <c:v>11.20483795653854</c:v>
                </c:pt>
                <c:pt idx="512">
                  <c:v>11.148991175723495</c:v>
                </c:pt>
                <c:pt idx="513">
                  <c:v>11.093494790889963</c:v>
                </c:pt>
                <c:pt idx="514">
                  <c:v>11.038346129513229</c:v>
                </c:pt>
                <c:pt idx="515">
                  <c:v>10.983542543217482</c:v>
                </c:pt>
                <c:pt idx="516">
                  <c:v>10.929081407412014</c:v>
                </c:pt>
                <c:pt idx="517">
                  <c:v>10.874960121182085</c:v>
                </c:pt>
                <c:pt idx="518">
                  <c:v>10.821176106976054</c:v>
                </c:pt>
                <c:pt idx="519">
                  <c:v>10.767726810350723</c:v>
                </c:pt>
                <c:pt idx="520">
                  <c:v>10.714609699738503</c:v>
                </c:pt>
                <c:pt idx="521">
                  <c:v>10.661822266265517</c:v>
                </c:pt>
                <c:pt idx="522">
                  <c:v>10.609362023416907</c:v>
                </c:pt>
                <c:pt idx="523">
                  <c:v>10.557226506905863</c:v>
                </c:pt>
                <c:pt idx="524">
                  <c:v>10.505413274360762</c:v>
                </c:pt>
                <c:pt idx="525">
                  <c:v>10.453919905150542</c:v>
                </c:pt>
                <c:pt idx="526">
                  <c:v>10.402744000173698</c:v>
                </c:pt>
                <c:pt idx="527">
                  <c:v>10.35188318155997</c:v>
                </c:pt>
                <c:pt idx="528">
                  <c:v>10.301335092546651</c:v>
                </c:pt>
                <c:pt idx="529">
                  <c:v>10.251097397172998</c:v>
                </c:pt>
                <c:pt idx="530">
                  <c:v>10.201167780156538</c:v>
                </c:pt>
                <c:pt idx="531">
                  <c:v>10.15154394662386</c:v>
                </c:pt>
                <c:pt idx="532">
                  <c:v>10.102223621892335</c:v>
                </c:pt>
                <c:pt idx="533">
                  <c:v>10.053204551310046</c:v>
                </c:pt>
                <c:pt idx="534">
                  <c:v>10.004484500022954</c:v>
                </c:pt>
                <c:pt idx="535">
                  <c:v>9.9560612528002821</c:v>
                </c:pt>
                <c:pt idx="536">
                  <c:v>9.9079326137434691</c:v>
                </c:pt>
                <c:pt idx="537">
                  <c:v>9.8600964062788989</c:v>
                </c:pt>
                <c:pt idx="538">
                  <c:v>9.812550472728617</c:v>
                </c:pt>
                <c:pt idx="539">
                  <c:v>9.7652926742957789</c:v>
                </c:pt>
                <c:pt idx="540">
                  <c:v>9.7183208908318193</c:v>
                </c:pt>
                <c:pt idx="541">
                  <c:v>9.6716330205454142</c:v>
                </c:pt>
                <c:pt idx="542">
                  <c:v>9.6252269800243084</c:v>
                </c:pt>
                <c:pt idx="543">
                  <c:v>9.5791007038205862</c:v>
                </c:pt>
                <c:pt idx="544">
                  <c:v>9.5332521444288432</c:v>
                </c:pt>
                <c:pt idx="545">
                  <c:v>9.4876792720533558</c:v>
                </c:pt>
                <c:pt idx="546">
                  <c:v>9.4423800744407345</c:v>
                </c:pt>
                <c:pt idx="547">
                  <c:v>9.3973525566689204</c:v>
                </c:pt>
                <c:pt idx="548">
                  <c:v>9.3525947410234949</c:v>
                </c:pt>
                <c:pt idx="549">
                  <c:v>9.3081046668012277</c:v>
                </c:pt>
                <c:pt idx="550">
                  <c:v>9.2638803901427309</c:v>
                </c:pt>
                <c:pt idx="551">
                  <c:v>9.2199199838796631</c:v>
                </c:pt>
                <c:pt idx="552">
                  <c:v>9.1762215373382787</c:v>
                </c:pt>
                <c:pt idx="553">
                  <c:v>9.1327831561793573</c:v>
                </c:pt>
                <c:pt idx="554">
                  <c:v>9.0896029623254435</c:v>
                </c:pt>
                <c:pt idx="555">
                  <c:v>9.0466790936188772</c:v>
                </c:pt>
                <c:pt idx="556">
                  <c:v>9.0040097038508975</c:v>
                </c:pt>
                <c:pt idx="557">
                  <c:v>8.9615929625069839</c:v>
                </c:pt>
                <c:pt idx="558">
                  <c:v>8.9194270546067855</c:v>
                </c:pt>
                <c:pt idx="559">
                  <c:v>8.8775101805877057</c:v>
                </c:pt>
                <c:pt idx="560">
                  <c:v>8.8358405561593827</c:v>
                </c:pt>
                <c:pt idx="561">
                  <c:v>8.794416412114515</c:v>
                </c:pt>
                <c:pt idx="562">
                  <c:v>8.7532359942051698</c:v>
                </c:pt>
                <c:pt idx="563">
                  <c:v>8.7122975629827124</c:v>
                </c:pt>
                <c:pt idx="564">
                  <c:v>8.67159939371777</c:v>
                </c:pt>
                <c:pt idx="565">
                  <c:v>8.631139776101918</c:v>
                </c:pt>
                <c:pt idx="566">
                  <c:v>8.5909170142986113</c:v>
                </c:pt>
                <c:pt idx="567">
                  <c:v>8.5509294266739744</c:v>
                </c:pt>
                <c:pt idx="568">
                  <c:v>8.5111753457167652</c:v>
                </c:pt>
                <c:pt idx="569">
                  <c:v>8.4716531178564765</c:v>
                </c:pt>
                <c:pt idx="570">
                  <c:v>8.4323611033469206</c:v>
                </c:pt>
                <c:pt idx="571">
                  <c:v>8.3932976761789178</c:v>
                </c:pt>
                <c:pt idx="572">
                  <c:v>8.3544612238620175</c:v>
                </c:pt>
                <c:pt idx="573">
                  <c:v>8.3158501473881188</c:v>
                </c:pt>
                <c:pt idx="574">
                  <c:v>8.2774628609986394</c:v>
                </c:pt>
                <c:pt idx="575">
                  <c:v>8.2392977921408601</c:v>
                </c:pt>
                <c:pt idx="576">
                  <c:v>8.2013533813296817</c:v>
                </c:pt>
                <c:pt idx="577">
                  <c:v>8.163628081951174</c:v>
                </c:pt>
                <c:pt idx="578">
                  <c:v>8.1261203602407477</c:v>
                </c:pt>
                <c:pt idx="579">
                  <c:v>8.0888286950939801</c:v>
                </c:pt>
                <c:pt idx="580">
                  <c:v>8.0517515779574751</c:v>
                </c:pt>
                <c:pt idx="581">
                  <c:v>8.0148875127270003</c:v>
                </c:pt>
                <c:pt idx="582">
                  <c:v>7.9782350155655877</c:v>
                </c:pt>
                <c:pt idx="583">
                  <c:v>7.9417926149617415</c:v>
                </c:pt>
                <c:pt idx="584">
                  <c:v>7.9055588513292605</c:v>
                </c:pt>
                <c:pt idx="585">
                  <c:v>7.8695322771600331</c:v>
                </c:pt>
                <c:pt idx="586">
                  <c:v>7.8337114567766548</c:v>
                </c:pt>
                <c:pt idx="587">
                  <c:v>7.7980949662232888</c:v>
                </c:pt>
                <c:pt idx="588">
                  <c:v>7.7626813932220102</c:v>
                </c:pt>
                <c:pt idx="589">
                  <c:v>7.7274693369472516</c:v>
                </c:pt>
                <c:pt idx="590">
                  <c:v>7.6924574080912862</c:v>
                </c:pt>
                <c:pt idx="591">
                  <c:v>7.6576442285222583</c:v>
                </c:pt>
                <c:pt idx="592">
                  <c:v>7.6230284314369783</c:v>
                </c:pt>
                <c:pt idx="593">
                  <c:v>7.5886086610407801</c:v>
                </c:pt>
                <c:pt idx="594">
                  <c:v>7.5543835725839017</c:v>
                </c:pt>
                <c:pt idx="595">
                  <c:v>7.5203518321286538</c:v>
                </c:pt>
                <c:pt idx="596">
                  <c:v>7.4865121166367317</c:v>
                </c:pt>
                <c:pt idx="597">
                  <c:v>7.4528631136709009</c:v>
                </c:pt>
                <c:pt idx="598">
                  <c:v>7.4194035213804455</c:v>
                </c:pt>
                <c:pt idx="599">
                  <c:v>7.3861320484502357</c:v>
                </c:pt>
                <c:pt idx="600">
                  <c:v>7.35304741391883</c:v>
                </c:pt>
                <c:pt idx="601">
                  <c:v>7.3201483471202664</c:v>
                </c:pt>
                <c:pt idx="602">
                  <c:v>7.2874335876113037</c:v>
                </c:pt>
                <c:pt idx="603">
                  <c:v>7.2549018849895219</c:v>
                </c:pt>
                <c:pt idx="604">
                  <c:v>7.2225519989588065</c:v>
                </c:pt>
                <c:pt idx="605">
                  <c:v>7.1903826990455855</c:v>
                </c:pt>
                <c:pt idx="606">
                  <c:v>7.1583927646352095</c:v>
                </c:pt>
                <c:pt idx="607">
                  <c:v>7.1265809848773642</c:v>
                </c:pt>
                <c:pt idx="608">
                  <c:v>7.0949461585187237</c:v>
                </c:pt>
                <c:pt idx="609">
                  <c:v>7.0634870938883978</c:v>
                </c:pt>
                <c:pt idx="610">
                  <c:v>7.0322026087815175</c:v>
                </c:pt>
                <c:pt idx="611">
                  <c:v>7.0010915303500951</c:v>
                </c:pt>
                <c:pt idx="612">
                  <c:v>6.9701526950884727</c:v>
                </c:pt>
                <c:pt idx="613">
                  <c:v>6.9393849486368708</c:v>
                </c:pt>
                <c:pt idx="614">
                  <c:v>6.9087871458250447</c:v>
                </c:pt>
                <c:pt idx="615">
                  <c:v>6.8783581504758331</c:v>
                </c:pt>
                <c:pt idx="616">
                  <c:v>6.8480968354124343</c:v>
                </c:pt>
                <c:pt idx="617">
                  <c:v>6.8180020822837832</c:v>
                </c:pt>
                <c:pt idx="618">
                  <c:v>6.7880727815936552</c:v>
                </c:pt>
                <c:pt idx="619">
                  <c:v>6.7583078325042152</c:v>
                </c:pt>
                <c:pt idx="620">
                  <c:v>6.7287061428723973</c:v>
                </c:pt>
                <c:pt idx="621">
                  <c:v>6.6992666290971101</c:v>
                </c:pt>
                <c:pt idx="622">
                  <c:v>6.669988216002821</c:v>
                </c:pt>
                <c:pt idx="623">
                  <c:v>6.6408698369123158</c:v>
                </c:pt>
                <c:pt idx="624">
                  <c:v>6.6119104334211443</c:v>
                </c:pt>
                <c:pt idx="625">
                  <c:v>6.583108955383068</c:v>
                </c:pt>
                <c:pt idx="626">
                  <c:v>6.5544643608373008</c:v>
                </c:pt>
                <c:pt idx="627">
                  <c:v>6.5259756159357494</c:v>
                </c:pt>
                <c:pt idx="628">
                  <c:v>6.4976416948629776</c:v>
                </c:pt>
                <c:pt idx="629">
                  <c:v>6.469461579756171</c:v>
                </c:pt>
                <c:pt idx="630">
                  <c:v>6.4414342606396531</c:v>
                </c:pt>
                <c:pt idx="631">
                  <c:v>6.4135587353885057</c:v>
                </c:pt>
                <c:pt idx="632">
                  <c:v>6.3858340095539461</c:v>
                </c:pt>
                <c:pt idx="633">
                  <c:v>6.3582590964797419</c:v>
                </c:pt>
                <c:pt idx="634">
                  <c:v>6.3308330169966212</c:v>
                </c:pt>
                <c:pt idx="635">
                  <c:v>6.3035547995823435</c:v>
                </c:pt>
                <c:pt idx="636">
                  <c:v>6.2764234801361454</c:v>
                </c:pt>
                <c:pt idx="637">
                  <c:v>6.2494381019641878</c:v>
                </c:pt>
                <c:pt idx="638">
                  <c:v>6.2225977157504531</c:v>
                </c:pt>
                <c:pt idx="639">
                  <c:v>6.195901379440329</c:v>
                </c:pt>
                <c:pt idx="640">
                  <c:v>6.1693481581824017</c:v>
                </c:pt>
                <c:pt idx="641">
                  <c:v>6.1429371242920752</c:v>
                </c:pt>
                <c:pt idx="642">
                  <c:v>6.1166673571715364</c:v>
                </c:pt>
                <c:pt idx="643">
                  <c:v>6.0905379432369955</c:v>
                </c:pt>
                <c:pt idx="644">
                  <c:v>6.0645479758823058</c:v>
                </c:pt>
                <c:pt idx="645">
                  <c:v>6.0386965553916525</c:v>
                </c:pt>
                <c:pt idx="646">
                  <c:v>6.0129827888958971</c:v>
                </c:pt>
                <c:pt idx="647">
                  <c:v>5.9874057903070934</c:v>
                </c:pt>
                <c:pt idx="648">
                  <c:v>5.9619646802602801</c:v>
                </c:pt>
                <c:pt idx="649">
                  <c:v>5.9366585860479972</c:v>
                </c:pt>
                <c:pt idx="650">
                  <c:v>5.9114866415766301</c:v>
                </c:pt>
                <c:pt idx="651">
                  <c:v>5.8864479872645461</c:v>
                </c:pt>
                <c:pt idx="652">
                  <c:v>5.8615417700857506</c:v>
                </c:pt>
                <c:pt idx="653">
                  <c:v>5.8367671434025397</c:v>
                </c:pt>
                <c:pt idx="654">
                  <c:v>5.8121232669436722</c:v>
                </c:pt>
                <c:pt idx="655">
                  <c:v>5.7876093067825423</c:v>
                </c:pt>
                <c:pt idx="656">
                  <c:v>5.7632244352644193</c:v>
                </c:pt>
                <c:pt idx="657">
                  <c:v>5.7389678309336887</c:v>
                </c:pt>
                <c:pt idx="658">
                  <c:v>5.7148386784901959</c:v>
                </c:pt>
                <c:pt idx="659">
                  <c:v>5.6908361687383149</c:v>
                </c:pt>
                <c:pt idx="660">
                  <c:v>5.6669594985651202</c:v>
                </c:pt>
                <c:pt idx="661">
                  <c:v>5.6432078708094195</c:v>
                </c:pt>
                <c:pt idx="662">
                  <c:v>5.619580494290858</c:v>
                </c:pt>
                <c:pt idx="663">
                  <c:v>5.5960765837080544</c:v>
                </c:pt>
                <c:pt idx="664">
                  <c:v>5.572695359645877</c:v>
                </c:pt>
                <c:pt idx="665">
                  <c:v>5.549436048422649</c:v>
                </c:pt>
                <c:pt idx="666">
                  <c:v>5.5262978821556317</c:v>
                </c:pt>
                <c:pt idx="667">
                  <c:v>5.5032800986155053</c:v>
                </c:pt>
                <c:pt idx="668">
                  <c:v>5.480381941270025</c:v>
                </c:pt>
                <c:pt idx="669">
                  <c:v>5.4576026591603295</c:v>
                </c:pt>
                <c:pt idx="670">
                  <c:v>5.4349415068572853</c:v>
                </c:pt>
                <c:pt idx="671">
                  <c:v>5.4123977444760385</c:v>
                </c:pt>
                <c:pt idx="672">
                  <c:v>5.3899706375814276</c:v>
                </c:pt>
                <c:pt idx="673">
                  <c:v>5.3676594571224996</c:v>
                </c:pt>
                <c:pt idx="674">
                  <c:v>5.3454634794470621</c:v>
                </c:pt>
                <c:pt idx="675">
                  <c:v>5.3233819862070959</c:v>
                </c:pt>
                <c:pt idx="676">
                  <c:v>5.301414264315099</c:v>
                </c:pt>
                <c:pt idx="677">
                  <c:v>5.2795596059440868</c:v>
                </c:pt>
                <c:pt idx="678">
                  <c:v>5.2578173084402806</c:v>
                </c:pt>
                <c:pt idx="679">
                  <c:v>5.2361866742794518</c:v>
                </c:pt>
                <c:pt idx="680">
                  <c:v>5.2146670110378182</c:v>
                </c:pt>
                <c:pt idx="681">
                  <c:v>5.1932576313629397</c:v>
                </c:pt>
                <c:pt idx="682">
                  <c:v>5.1719578529082355</c:v>
                </c:pt>
                <c:pt idx="683">
                  <c:v>5.1507669982966036</c:v>
                </c:pt>
                <c:pt idx="684">
                  <c:v>5.1296843950694893</c:v>
                </c:pt>
                <c:pt idx="685">
                  <c:v>5.1087093756650575</c:v>
                </c:pt>
                <c:pt idx="686">
                  <c:v>5.0878412773890886</c:v>
                </c:pt>
                <c:pt idx="687">
                  <c:v>5.0670794422840117</c:v>
                </c:pt>
                <c:pt idx="688">
                  <c:v>5.0464232172598713</c:v>
                </c:pt>
                <c:pt idx="689">
                  <c:v>5.0258719538614969</c:v>
                </c:pt>
                <c:pt idx="690">
                  <c:v>5.0054250083703664</c:v>
                </c:pt>
                <c:pt idx="691">
                  <c:v>4.9850817416954669</c:v>
                </c:pt>
                <c:pt idx="692">
                  <c:v>4.9648415193587425</c:v>
                </c:pt>
                <c:pt idx="693">
                  <c:v>4.9447037114587147</c:v>
                </c:pt>
                <c:pt idx="694">
                  <c:v>4.9246676926122745</c:v>
                </c:pt>
                <c:pt idx="695">
                  <c:v>4.9047328419619589</c:v>
                </c:pt>
                <c:pt idx="696">
                  <c:v>4.8848985430449829</c:v>
                </c:pt>
                <c:pt idx="697">
                  <c:v>4.8651641838951036</c:v>
                </c:pt>
                <c:pt idx="698">
                  <c:v>4.8455291568679968</c:v>
                </c:pt>
                <c:pt idx="699">
                  <c:v>4.8259928587067407</c:v>
                </c:pt>
                <c:pt idx="700">
                  <c:v>4.8065546904399525</c:v>
                </c:pt>
                <c:pt idx="701">
                  <c:v>4.7872140574036166</c:v>
                </c:pt>
                <c:pt idx="702">
                  <c:v>4.7679703691246687</c:v>
                </c:pt>
                <c:pt idx="703">
                  <c:v>4.7488230394010316</c:v>
                </c:pt>
                <c:pt idx="704">
                  <c:v>4.7297714861415443</c:v>
                </c:pt>
                <c:pt idx="705">
                  <c:v>4.7108151314096176</c:v>
                </c:pt>
                <c:pt idx="706">
                  <c:v>4.6919534014086821</c:v>
                </c:pt>
                <c:pt idx="707">
                  <c:v>4.673185726365773</c:v>
                </c:pt>
                <c:pt idx="708">
                  <c:v>4.6545115405606339</c:v>
                </c:pt>
                <c:pt idx="709">
                  <c:v>4.635930282274785</c:v>
                </c:pt>
                <c:pt idx="710">
                  <c:v>4.6174413937842473</c:v>
                </c:pt>
                <c:pt idx="711">
                  <c:v>4.5990443212504033</c:v>
                </c:pt>
                <c:pt idx="712">
                  <c:v>4.5807385148000321</c:v>
                </c:pt>
                <c:pt idx="713">
                  <c:v>4.5625234283870668</c:v>
                </c:pt>
                <c:pt idx="714">
                  <c:v>4.5443985198289738</c:v>
                </c:pt>
                <c:pt idx="715">
                  <c:v>4.5263632507630973</c:v>
                </c:pt>
                <c:pt idx="716">
                  <c:v>4.5084170865957276</c:v>
                </c:pt>
                <c:pt idx="717">
                  <c:v>4.490559496502101</c:v>
                </c:pt>
                <c:pt idx="718">
                  <c:v>4.4727899533172604</c:v>
                </c:pt>
                <c:pt idx="719">
                  <c:v>4.4551079336379189</c:v>
                </c:pt>
                <c:pt idx="720">
                  <c:v>4.4375129177205963</c:v>
                </c:pt>
                <c:pt idx="721">
                  <c:v>4.4200043893652037</c:v>
                </c:pt>
                <c:pt idx="722">
                  <c:v>4.4025818360823905</c:v>
                </c:pt>
                <c:pt idx="723">
                  <c:v>4.38524474886799</c:v>
                </c:pt>
                <c:pt idx="724">
                  <c:v>4.3679926223339862</c:v>
                </c:pt>
                <c:pt idx="725">
                  <c:v>4.3508249545411672</c:v>
                </c:pt>
                <c:pt idx="726">
                  <c:v>4.3337412470864365</c:v>
                </c:pt>
                <c:pt idx="727">
                  <c:v>4.3167410050082253</c:v>
                </c:pt>
                <c:pt idx="728">
                  <c:v>4.2998237367646652</c:v>
                </c:pt>
                <c:pt idx="729">
                  <c:v>4.2829889542190358</c:v>
                </c:pt>
                <c:pt idx="730">
                  <c:v>4.2662361726543168</c:v>
                </c:pt>
                <c:pt idx="731">
                  <c:v>4.2495649106494966</c:v>
                </c:pt>
                <c:pt idx="732">
                  <c:v>4.2329746901159524</c:v>
                </c:pt>
                <c:pt idx="733">
                  <c:v>4.2164650362901739</c:v>
                </c:pt>
                <c:pt idx="734">
                  <c:v>4.2000354776464519</c:v>
                </c:pt>
                <c:pt idx="735">
                  <c:v>4.1836855459405342</c:v>
                </c:pt>
                <c:pt idx="736">
                  <c:v>4.167414776107762</c:v>
                </c:pt>
                <c:pt idx="737">
                  <c:v>4.1512227062994498</c:v>
                </c:pt>
                <c:pt idx="738">
                  <c:v>4.1351088778246776</c:v>
                </c:pt>
                <c:pt idx="739">
                  <c:v>4.1190728351430153</c:v>
                </c:pt>
                <c:pt idx="740">
                  <c:v>4.1031141258354182</c:v>
                </c:pt>
                <c:pt idx="741">
                  <c:v>4.0872323005532962</c:v>
                </c:pt>
                <c:pt idx="742">
                  <c:v>4.0714269130476168</c:v>
                </c:pt>
                <c:pt idx="743">
                  <c:v>4.055697520110698</c:v>
                </c:pt>
                <c:pt idx="744">
                  <c:v>4.0400436815180001</c:v>
                </c:pt>
                <c:pt idx="745">
                  <c:v>4.0244649600790581</c:v>
                </c:pt>
                <c:pt idx="746">
                  <c:v>4.0089609215792734</c:v>
                </c:pt>
                <c:pt idx="747">
                  <c:v>3.9935311347362585</c:v>
                </c:pt>
                <c:pt idx="748">
                  <c:v>3.9781751712071127</c:v>
                </c:pt>
                <c:pt idx="749">
                  <c:v>3.9628926055302145</c:v>
                </c:pt>
                <c:pt idx="750">
                  <c:v>3.9476830151470494</c:v>
                </c:pt>
                <c:pt idx="751">
                  <c:v>3.9325459803876583</c:v>
                </c:pt>
                <c:pt idx="752">
                  <c:v>3.9174810843323939</c:v>
                </c:pt>
                <c:pt idx="753">
                  <c:v>3.902487912971992</c:v>
                </c:pt>
                <c:pt idx="754">
                  <c:v>3.8875660550256725</c:v>
                </c:pt>
                <c:pt idx="755">
                  <c:v>3.872715102013899</c:v>
                </c:pt>
                <c:pt idx="756">
                  <c:v>3.857934648207447</c:v>
                </c:pt>
                <c:pt idx="757">
                  <c:v>3.8432242905619205</c:v>
                </c:pt>
                <c:pt idx="758">
                  <c:v>3.8285836288050632</c:v>
                </c:pt>
                <c:pt idx="759">
                  <c:v>3.8140122653348953</c:v>
                </c:pt>
                <c:pt idx="760">
                  <c:v>3.7995098051615059</c:v>
                </c:pt>
                <c:pt idx="761">
                  <c:v>3.7850758559943642</c:v>
                </c:pt>
                <c:pt idx="762">
                  <c:v>3.7707100281550083</c:v>
                </c:pt>
                <c:pt idx="763">
                  <c:v>3.756411934577045</c:v>
                </c:pt>
                <c:pt idx="764">
                  <c:v>3.7421811907479423</c:v>
                </c:pt>
                <c:pt idx="765">
                  <c:v>3.7280174147381331</c:v>
                </c:pt>
                <c:pt idx="766">
                  <c:v>3.7139202271719114</c:v>
                </c:pt>
                <c:pt idx="767">
                  <c:v>3.6998892512056045</c:v>
                </c:pt>
                <c:pt idx="768">
                  <c:v>3.6859241124475375</c:v>
                </c:pt>
                <c:pt idx="769">
                  <c:v>3.6720244390526204</c:v>
                </c:pt>
                <c:pt idx="770">
                  <c:v>3.6581898616350372</c:v>
                </c:pt>
                <c:pt idx="771">
                  <c:v>3.6444200131954858</c:v>
                </c:pt>
                <c:pt idx="772">
                  <c:v>3.6307145292812493</c:v>
                </c:pt>
                <c:pt idx="773">
                  <c:v>3.6170730477169855</c:v>
                </c:pt>
                <c:pt idx="774">
                  <c:v>3.6034952088230057</c:v>
                </c:pt>
                <c:pt idx="775">
                  <c:v>3.5899806552479276</c:v>
                </c:pt>
                <c:pt idx="776">
                  <c:v>3.5765290319905034</c:v>
                </c:pt>
                <c:pt idx="777">
                  <c:v>3.5631399864359992</c:v>
                </c:pt>
                <c:pt idx="778">
                  <c:v>3.5498131682325038</c:v>
                </c:pt>
                <c:pt idx="779">
                  <c:v>3.5365482293636887</c:v>
                </c:pt>
                <c:pt idx="780">
                  <c:v>3.5233448240833241</c:v>
                </c:pt>
                <c:pt idx="781">
                  <c:v>3.5102026089516585</c:v>
                </c:pt>
                <c:pt idx="782">
                  <c:v>3.4971212427190039</c:v>
                </c:pt>
                <c:pt idx="783">
                  <c:v>3.484100386420323</c:v>
                </c:pt>
                <c:pt idx="784">
                  <c:v>3.4711397032951936</c:v>
                </c:pt>
                <c:pt idx="785">
                  <c:v>3.4582388587659807</c:v>
                </c:pt>
                <c:pt idx="786">
                  <c:v>3.4453975204596645</c:v>
                </c:pt>
                <c:pt idx="787">
                  <c:v>3.4326153581787366</c:v>
                </c:pt>
                <c:pt idx="788">
                  <c:v>3.4198920438357163</c:v>
                </c:pt>
                <c:pt idx="789">
                  <c:v>3.4072272515259101</c:v>
                </c:pt>
                <c:pt idx="790">
                  <c:v>3.3946206574473763</c:v>
                </c:pt>
                <c:pt idx="791">
                  <c:v>3.382071939893649</c:v>
                </c:pt>
                <c:pt idx="792">
                  <c:v>3.3695807792391861</c:v>
                </c:pt>
                <c:pt idx="793">
                  <c:v>3.3571468579684733</c:v>
                </c:pt>
                <c:pt idx="794">
                  <c:v>3.3447698605741607</c:v>
                </c:pt>
                <c:pt idx="795">
                  <c:v>3.332449473629822</c:v>
                </c:pt>
                <c:pt idx="796">
                  <c:v>3.3201853857026435</c:v>
                </c:pt>
                <c:pt idx="797">
                  <c:v>3.3079772874116316</c:v>
                </c:pt>
                <c:pt idx="798">
                  <c:v>3.2958248713330249</c:v>
                </c:pt>
                <c:pt idx="799">
                  <c:v>3.283727832022123</c:v>
                </c:pt>
                <c:pt idx="800">
                  <c:v>3.2716858660569414</c:v>
                </c:pt>
                <c:pt idx="801">
                  <c:v>3.2596986718999688</c:v>
                </c:pt>
                <c:pt idx="802">
                  <c:v>3.247765949992754</c:v>
                </c:pt>
                <c:pt idx="803">
                  <c:v>3.2358874026758713</c:v>
                </c:pt>
                <c:pt idx="804">
                  <c:v>3.2240627342252992</c:v>
                </c:pt>
                <c:pt idx="805">
                  <c:v>3.2122916507723858</c:v>
                </c:pt>
                <c:pt idx="806">
                  <c:v>3.2005738603984355</c:v>
                </c:pt>
                <c:pt idx="807">
                  <c:v>3.1889090729673626</c:v>
                </c:pt>
                <c:pt idx="808">
                  <c:v>3.1772970002421062</c:v>
                </c:pt>
                <c:pt idx="809">
                  <c:v>3.1657373558409745</c:v>
                </c:pt>
                <c:pt idx="810">
                  <c:v>3.1542298551721615</c:v>
                </c:pt>
                <c:pt idx="811">
                  <c:v>3.1427742154701264</c:v>
                </c:pt>
                <c:pt idx="812">
                  <c:v>3.1313701557737659</c:v>
                </c:pt>
                <c:pt idx="813">
                  <c:v>3.1200173969191383</c:v>
                </c:pt>
                <c:pt idx="814">
                  <c:v>3.1087156614739797</c:v>
                </c:pt>
                <c:pt idx="815">
                  <c:v>3.0974646738177398</c:v>
                </c:pt>
                <c:pt idx="816">
                  <c:v>3.0862641600469942</c:v>
                </c:pt>
                <c:pt idx="817">
                  <c:v>3.0751138479899964</c:v>
                </c:pt>
                <c:pt idx="818">
                  <c:v>3.0640134672285058</c:v>
                </c:pt>
                <c:pt idx="819">
                  <c:v>3.0529627490031999</c:v>
                </c:pt>
                <c:pt idx="820">
                  <c:v>3.0419614263082622</c:v>
                </c:pt>
                <c:pt idx="821">
                  <c:v>3.0310092337676906</c:v>
                </c:pt>
                <c:pt idx="822">
                  <c:v>3.0201059077298851</c:v>
                </c:pt>
                <c:pt idx="823">
                  <c:v>3.009251186165784</c:v>
                </c:pt>
                <c:pt idx="824">
                  <c:v>2.9984448087197961</c:v>
                </c:pt>
                <c:pt idx="825">
                  <c:v>2.9876865166224889</c:v>
                </c:pt>
                <c:pt idx="826">
                  <c:v>2.9769760528215556</c:v>
                </c:pt>
                <c:pt idx="827">
                  <c:v>2.966313161792641</c:v>
                </c:pt>
                <c:pt idx="828">
                  <c:v>2.9556975896339281</c:v>
                </c:pt>
                <c:pt idx="829">
                  <c:v>2.9451290840661386</c:v>
                </c:pt>
                <c:pt idx="830">
                  <c:v>2.9346073943524971</c:v>
                </c:pt>
                <c:pt idx="831">
                  <c:v>2.9241322713205591</c:v>
                </c:pt>
                <c:pt idx="832">
                  <c:v>2.9137034673985909</c:v>
                </c:pt>
                <c:pt idx="833">
                  <c:v>2.90332073650643</c:v>
                </c:pt>
                <c:pt idx="834">
                  <c:v>2.8929838341136929</c:v>
                </c:pt>
                <c:pt idx="835">
                  <c:v>2.882692517239775</c:v>
                </c:pt>
                <c:pt idx="836">
                  <c:v>2.8724465443738154</c:v>
                </c:pt>
                <c:pt idx="837">
                  <c:v>2.8622456755183521</c:v>
                </c:pt>
                <c:pt idx="838">
                  <c:v>2.8520896722038742</c:v>
                </c:pt>
                <c:pt idx="839">
                  <c:v>2.8419782973724068</c:v>
                </c:pt>
                <c:pt idx="840">
                  <c:v>2.8319113154939259</c:v>
                </c:pt>
                <c:pt idx="841">
                  <c:v>2.8218884924572194</c:v>
                </c:pt>
                <c:pt idx="842">
                  <c:v>2.8119095956353704</c:v>
                </c:pt>
                <c:pt idx="843">
                  <c:v>2.8019743937838939</c:v>
                </c:pt>
                <c:pt idx="844">
                  <c:v>2.7920826571571524</c:v>
                </c:pt>
                <c:pt idx="845">
                  <c:v>2.7822341573628364</c:v>
                </c:pt>
                <c:pt idx="846">
                  <c:v>2.772428667442</c:v>
                </c:pt>
                <c:pt idx="847">
                  <c:v>2.762665961861785</c:v>
                </c:pt>
                <c:pt idx="848">
                  <c:v>2.7529458164135576</c:v>
                </c:pt>
                <c:pt idx="849">
                  <c:v>2.7432680083074956</c:v>
                </c:pt>
                <c:pt idx="850">
                  <c:v>2.7336323161216569</c:v>
                </c:pt>
                <c:pt idx="851">
                  <c:v>2.7240385197947035</c:v>
                </c:pt>
                <c:pt idx="852">
                  <c:v>2.7144864005676936</c:v>
                </c:pt>
                <c:pt idx="853">
                  <c:v>2.7049757410786697</c:v>
                </c:pt>
                <c:pt idx="854">
                  <c:v>2.6955063252826221</c:v>
                </c:pt>
                <c:pt idx="855">
                  <c:v>2.6860779384223861</c:v>
                </c:pt>
                <c:pt idx="856">
                  <c:v>2.6766903670868487</c:v>
                </c:pt>
                <c:pt idx="857">
                  <c:v>2.6673433991381899</c:v>
                </c:pt>
                <c:pt idx="858">
                  <c:v>2.6580368237700895</c:v>
                </c:pt>
                <c:pt idx="859">
                  <c:v>2.6487704314131406</c:v>
                </c:pt>
                <c:pt idx="860">
                  <c:v>2.6395440138003323</c:v>
                </c:pt>
                <c:pt idx="861">
                  <c:v>2.6303573639233946</c:v>
                </c:pt>
                <c:pt idx="862">
                  <c:v>2.6212102760546259</c:v>
                </c:pt>
                <c:pt idx="863">
                  <c:v>2.6121025456450297</c:v>
                </c:pt>
                <c:pt idx="864">
                  <c:v>2.6030339694698341</c:v>
                </c:pt>
                <c:pt idx="865">
                  <c:v>2.594004345475696</c:v>
                </c:pt>
                <c:pt idx="866">
                  <c:v>2.5850134728680132</c:v>
                </c:pt>
                <c:pt idx="867">
                  <c:v>2.5760611520381644</c:v>
                </c:pt>
                <c:pt idx="868">
                  <c:v>2.5671471845780616</c:v>
                </c:pt>
                <c:pt idx="869">
                  <c:v>2.5582713733310811</c:v>
                </c:pt>
                <c:pt idx="870">
                  <c:v>2.5494335222538211</c:v>
                </c:pt>
                <c:pt idx="871">
                  <c:v>2.5406334365325165</c:v>
                </c:pt>
                <c:pt idx="872">
                  <c:v>2.5318709225030034</c:v>
                </c:pt>
                <c:pt idx="873">
                  <c:v>2.523145787694375</c:v>
                </c:pt>
                <c:pt idx="874">
                  <c:v>2.5144578407416702</c:v>
                </c:pt>
                <c:pt idx="875">
                  <c:v>2.5058068914877367</c:v>
                </c:pt>
                <c:pt idx="876">
                  <c:v>2.49719275085954</c:v>
                </c:pt>
                <c:pt idx="877">
                  <c:v>2.4886152309481986</c:v>
                </c:pt>
                <c:pt idx="878">
                  <c:v>2.4800741449653287</c:v>
                </c:pt>
                <c:pt idx="879">
                  <c:v>2.4715693072212161</c:v>
                </c:pt>
                <c:pt idx="880">
                  <c:v>2.4631005331684719</c:v>
                </c:pt>
                <c:pt idx="881">
                  <c:v>2.4546676393292728</c:v>
                </c:pt>
                <c:pt idx="882">
                  <c:v>2.4462704433462932</c:v>
                </c:pt>
                <c:pt idx="883">
                  <c:v>2.4379087639099453</c:v>
                </c:pt>
                <c:pt idx="884">
                  <c:v>2.4295824208238628</c:v>
                </c:pt>
                <c:pt idx="885">
                  <c:v>2.4212912349685212</c:v>
                </c:pt>
                <c:pt idx="886">
                  <c:v>2.413035028235754</c:v>
                </c:pt>
                <c:pt idx="887">
                  <c:v>2.4048136236451683</c:v>
                </c:pt>
                <c:pt idx="888">
                  <c:v>2.3966268452277291</c:v>
                </c:pt>
                <c:pt idx="889">
                  <c:v>2.3884745180330356</c:v>
                </c:pt>
                <c:pt idx="890">
                  <c:v>2.3803564682020806</c:v>
                </c:pt>
                <c:pt idx="891">
                  <c:v>2.3722725228508352</c:v>
                </c:pt>
                <c:pt idx="892">
                  <c:v>2.3642225101648364</c:v>
                </c:pt>
                <c:pt idx="893">
                  <c:v>2.3562062593118753</c:v>
                </c:pt>
                <c:pt idx="894">
                  <c:v>2.3482236004638253</c:v>
                </c:pt>
                <c:pt idx="895">
                  <c:v>2.3402743648184696</c:v>
                </c:pt>
                <c:pt idx="896">
                  <c:v>2.3323583845412941</c:v>
                </c:pt>
                <c:pt idx="897">
                  <c:v>2.3244754928091425</c:v>
                </c:pt>
                <c:pt idx="898">
                  <c:v>2.316625523759285</c:v>
                </c:pt>
                <c:pt idx="899">
                  <c:v>2.3088083125257981</c:v>
                </c:pt>
                <c:pt idx="900">
                  <c:v>2.3010236951595289</c:v>
                </c:pt>
                <c:pt idx="901">
                  <c:v>2.2932715087445104</c:v>
                </c:pt>
                <c:pt idx="902">
                  <c:v>2.2855515912597184</c:v>
                </c:pt>
                <c:pt idx="903">
                  <c:v>2.2778637816736591</c:v>
                </c:pt>
                <c:pt idx="904">
                  <c:v>2.2702079198570573</c:v>
                </c:pt>
                <c:pt idx="905">
                  <c:v>2.2625838466410642</c:v>
                </c:pt>
                <c:pt idx="906">
                  <c:v>2.2549914037808776</c:v>
                </c:pt>
                <c:pt idx="907">
                  <c:v>2.247430433955742</c:v>
                </c:pt>
                <c:pt idx="908">
                  <c:v>2.2399007807543967</c:v>
                </c:pt>
                <c:pt idx="909">
                  <c:v>2.2324022886896273</c:v>
                </c:pt>
                <c:pt idx="910">
                  <c:v>2.2249348031546106</c:v>
                </c:pt>
                <c:pt idx="911">
                  <c:v>2.2174981704592938</c:v>
                </c:pt>
                <c:pt idx="912">
                  <c:v>2.210092237815843</c:v>
                </c:pt>
                <c:pt idx="913">
                  <c:v>2.2027168532949872</c:v>
                </c:pt>
                <c:pt idx="914">
                  <c:v>2.1953718658478465</c:v>
                </c:pt>
                <c:pt idx="915">
                  <c:v>2.1880571253423113</c:v>
                </c:pt>
                <c:pt idx="916">
                  <c:v>2.1807724824757315</c:v>
                </c:pt>
                <c:pt idx="917">
                  <c:v>2.1735177888040198</c:v>
                </c:pt>
                <c:pt idx="918">
                  <c:v>2.1662928967634798</c:v>
                </c:pt>
                <c:pt idx="919">
                  <c:v>2.1590976596417022</c:v>
                </c:pt>
                <c:pt idx="920">
                  <c:v>2.1519319315411849</c:v>
                </c:pt>
                <c:pt idx="921">
                  <c:v>2.1447955674593686</c:v>
                </c:pt>
                <c:pt idx="922">
                  <c:v>2.1376884231576696</c:v>
                </c:pt>
                <c:pt idx="923">
                  <c:v>2.1306103552924469</c:v>
                </c:pt>
                <c:pt idx="924">
                  <c:v>2.123561221305863</c:v>
                </c:pt>
                <c:pt idx="925">
                  <c:v>2.1165408794549876</c:v>
                </c:pt>
                <c:pt idx="926">
                  <c:v>2.1095491888481774</c:v>
                </c:pt>
                <c:pt idx="927">
                  <c:v>2.1025860093650408</c:v>
                </c:pt>
                <c:pt idx="928">
                  <c:v>2.0956512016855413</c:v>
                </c:pt>
                <c:pt idx="929">
                  <c:v>2.0887446273118258</c:v>
                </c:pt>
                <c:pt idx="930">
                  <c:v>2.0818661485100165</c:v>
                </c:pt>
                <c:pt idx="931">
                  <c:v>2.0750156283756951</c:v>
                </c:pt>
                <c:pt idx="932">
                  <c:v>2.0681929307174869</c:v>
                </c:pt>
                <c:pt idx="933">
                  <c:v>2.0613979202025803</c:v>
                </c:pt>
                <c:pt idx="934">
                  <c:v>2.0546304621821037</c:v>
                </c:pt>
                <c:pt idx="935">
                  <c:v>2.0478904228584724</c:v>
                </c:pt>
                <c:pt idx="936">
                  <c:v>2.0411776691180421</c:v>
                </c:pt>
                <c:pt idx="937">
                  <c:v>2.0344920686693513</c:v>
                </c:pt>
                <c:pt idx="938">
                  <c:v>2.0278334899121546</c:v>
                </c:pt>
                <c:pt idx="939">
                  <c:v>2.0212018020465621</c:v>
                </c:pt>
                <c:pt idx="940">
                  <c:v>2.0145968749857275</c:v>
                </c:pt>
                <c:pt idx="941">
                  <c:v>2.0080185793631244</c:v>
                </c:pt>
                <c:pt idx="942">
                  <c:v>2.0014667865834781</c:v>
                </c:pt>
                <c:pt idx="943">
                  <c:v>1.9949413687500055</c:v>
                </c:pt>
                <c:pt idx="944">
                  <c:v>1.9884421987007954</c:v>
                </c:pt>
                <c:pt idx="945">
                  <c:v>1.9819691499797045</c:v>
                </c:pt>
                <c:pt idx="946">
                  <c:v>1.9755220968509093</c:v>
                </c:pt>
                <c:pt idx="947">
                  <c:v>1.9691009143134579</c:v>
                </c:pt>
                <c:pt idx="948">
                  <c:v>1.9627054779921309</c:v>
                </c:pt>
                <c:pt idx="949">
                  <c:v>1.9563356643120642</c:v>
                </c:pt>
                <c:pt idx="950">
                  <c:v>1.949991350324126</c:v>
                </c:pt>
                <c:pt idx="951">
                  <c:v>1.9436724137776764</c:v>
                </c:pt>
                <c:pt idx="952">
                  <c:v>1.9373787331205676</c:v>
                </c:pt>
                <c:pt idx="953">
                  <c:v>1.9311101874918677</c:v>
                </c:pt>
                <c:pt idx="954">
                  <c:v>1.9248666567000328</c:v>
                </c:pt>
                <c:pt idx="955">
                  <c:v>1.9186480212010792</c:v>
                </c:pt>
                <c:pt idx="956">
                  <c:v>1.9124541621422395</c:v>
                </c:pt>
                <c:pt idx="957">
                  <c:v>1.9062849613546859</c:v>
                </c:pt>
                <c:pt idx="958">
                  <c:v>1.9001403012807714</c:v>
                </c:pt>
                <c:pt idx="959">
                  <c:v>1.8940200650467887</c:v>
                </c:pt>
                <c:pt idx="960">
                  <c:v>1.8879241364556947</c:v>
                </c:pt>
                <c:pt idx="961">
                  <c:v>1.881852399877971</c:v>
                </c:pt>
                <c:pt idx="962">
                  <c:v>1.875804740426247</c:v>
                </c:pt>
                <c:pt idx="963">
                  <c:v>1.8697810437806766</c:v>
                </c:pt>
                <c:pt idx="964">
                  <c:v>1.8637811962762498</c:v>
                </c:pt>
                <c:pt idx="965">
                  <c:v>1.8578050849027932</c:v>
                </c:pt>
                <c:pt idx="966">
                  <c:v>1.8518525972176576</c:v>
                </c:pt>
                <c:pt idx="967">
                  <c:v>1.8459236214839621</c:v>
                </c:pt>
                <c:pt idx="968">
                  <c:v>1.8400180465105223</c:v>
                </c:pt>
                <c:pt idx="969">
                  <c:v>1.8341357617464382</c:v>
                </c:pt>
                <c:pt idx="970">
                  <c:v>1.8282766572738183</c:v>
                </c:pt>
                <c:pt idx="971">
                  <c:v>1.8224406237422954</c:v>
                </c:pt>
                <c:pt idx="972">
                  <c:v>1.8166275524272351</c:v>
                </c:pt>
                <c:pt idx="973">
                  <c:v>1.810837335215183</c:v>
                </c:pt>
                <c:pt idx="974">
                  <c:v>1.8050698645602097</c:v>
                </c:pt>
                <c:pt idx="975">
                  <c:v>1.7993250335275661</c:v>
                </c:pt>
                <c:pt idx="976">
                  <c:v>1.7936027357573039</c:v>
                </c:pt>
                <c:pt idx="977">
                  <c:v>1.7879028654715512</c:v>
                </c:pt>
                <c:pt idx="978">
                  <c:v>1.7822253175181686</c:v>
                </c:pt>
                <c:pt idx="979">
                  <c:v>1.7765699872470577</c:v>
                </c:pt>
                <c:pt idx="980">
                  <c:v>1.7709367706411285</c:v>
                </c:pt>
                <c:pt idx="981">
                  <c:v>1.7653255642217118</c:v>
                </c:pt>
                <c:pt idx="982">
                  <c:v>1.759736265106767</c:v>
                </c:pt>
                <c:pt idx="983">
                  <c:v>1.7541687709308462</c:v>
                </c:pt>
                <c:pt idx="984">
                  <c:v>1.7486229799178545</c:v>
                </c:pt>
                <c:pt idx="985">
                  <c:v>1.7430987908664974</c:v>
                </c:pt>
                <c:pt idx="986">
                  <c:v>1.7375961030775215</c:v>
                </c:pt>
                <c:pt idx="987">
                  <c:v>1.7321148164337501</c:v>
                </c:pt>
                <c:pt idx="988">
                  <c:v>1.7266548313709791</c:v>
                </c:pt>
                <c:pt idx="989">
                  <c:v>1.7212160488270456</c:v>
                </c:pt>
                <c:pt idx="990">
                  <c:v>1.7157983703364152</c:v>
                </c:pt>
                <c:pt idx="991">
                  <c:v>1.710401697884663</c:v>
                </c:pt>
                <c:pt idx="992">
                  <c:v>1.7050259340903722</c:v>
                </c:pt>
                <c:pt idx="993">
                  <c:v>1.6996709820305114</c:v>
                </c:pt>
                <c:pt idx="994">
                  <c:v>1.6943367453204701</c:v>
                </c:pt>
                <c:pt idx="995">
                  <c:v>1.6890231280995067</c:v>
                </c:pt>
                <c:pt idx="996">
                  <c:v>1.6837300350453006</c:v>
                </c:pt>
                <c:pt idx="997">
                  <c:v>1.6784573713302962</c:v>
                </c:pt>
                <c:pt idx="998">
                  <c:v>1.6732050426362548</c:v>
                </c:pt>
                <c:pt idx="999">
                  <c:v>1.6679729551688069</c:v>
                </c:pt>
                <c:pt idx="1000">
                  <c:v>1.6627610156210721</c:v>
                </c:pt>
                <c:pt idx="1001">
                  <c:v>1.6575691312100389</c:v>
                </c:pt>
                <c:pt idx="1002">
                  <c:v>1.6523972096401849</c:v>
                </c:pt>
                <c:pt idx="1003">
                  <c:v>1.6472451591180288</c:v>
                </c:pt>
                <c:pt idx="1004">
                  <c:v>1.6421128883303027</c:v>
                </c:pt>
                <c:pt idx="1005">
                  <c:v>1.6370003064730554</c:v>
                </c:pt>
                <c:pt idx="1006">
                  <c:v>1.6319073231934453</c:v>
                </c:pt>
                <c:pt idx="1007">
                  <c:v>1.6268338486988796</c:v>
                </c:pt>
                <c:pt idx="1008">
                  <c:v>1.621779793582391</c:v>
                </c:pt>
                <c:pt idx="1009">
                  <c:v>1.6167450689972611</c:v>
                </c:pt>
                <c:pt idx="1010">
                  <c:v>1.6117295865042252</c:v>
                </c:pt>
                <c:pt idx="1011">
                  <c:v>1.6067332581951632</c:v>
                </c:pt>
                <c:pt idx="1012">
                  <c:v>1.6017559965912369</c:v>
                </c:pt>
                <c:pt idx="1013">
                  <c:v>1.596797714693821</c:v>
                </c:pt>
                <c:pt idx="1014">
                  <c:v>1.5918583259990555</c:v>
                </c:pt>
                <c:pt idx="1015">
                  <c:v>1.5869377443814301</c:v>
                </c:pt>
                <c:pt idx="1016">
                  <c:v>1.5820358842756832</c:v>
                </c:pt>
                <c:pt idx="1017">
                  <c:v>1.5771526605021791</c:v>
                </c:pt>
                <c:pt idx="1018">
                  <c:v>1.5722879883396672</c:v>
                </c:pt>
                <c:pt idx="1019">
                  <c:v>1.5674417835689383</c:v>
                </c:pt>
                <c:pt idx="1020">
                  <c:v>1.5626139623418567</c:v>
                </c:pt>
                <c:pt idx="1021">
                  <c:v>1.5578044413196039</c:v>
                </c:pt>
                <c:pt idx="1022">
                  <c:v>1.5530131375780911</c:v>
                </c:pt>
                <c:pt idx="1023">
                  <c:v>1.5482399686297867</c:v>
                </c:pt>
                <c:pt idx="1024">
                  <c:v>1.5434848524018889</c:v>
                </c:pt>
                <c:pt idx="1025">
                  <c:v>1.5387477073381888</c:v>
                </c:pt>
                <c:pt idx="1026">
                  <c:v>1.5340284521880676</c:v>
                </c:pt>
                <c:pt idx="1027">
                  <c:v>1.5293270062538795</c:v>
                </c:pt>
                <c:pt idx="1028">
                  <c:v>1.5246432891726727</c:v>
                </c:pt>
                <c:pt idx="1029">
                  <c:v>1.5199772210617084</c:v>
                </c:pt>
                <c:pt idx="1030">
                  <c:v>1.5153287224165979</c:v>
                </c:pt>
                <c:pt idx="1031">
                  <c:v>1.5106977141913376</c:v>
                </c:pt>
                <c:pt idx="1032">
                  <c:v>1.5060841177328257</c:v>
                </c:pt>
                <c:pt idx="1033">
                  <c:v>1.5014878547735862</c:v>
                </c:pt>
                <c:pt idx="1034">
                  <c:v>1.4969088475336321</c:v>
                </c:pt>
                <c:pt idx="1035">
                  <c:v>1.4923470185603946</c:v>
                </c:pt>
                <c:pt idx="1036">
                  <c:v>1.4878022908669664</c:v>
                </c:pt>
                <c:pt idx="1037">
                  <c:v>1.4832745878229616</c:v>
                </c:pt>
                <c:pt idx="1038">
                  <c:v>1.4787638332345523</c:v>
                </c:pt>
                <c:pt idx="1039">
                  <c:v>1.4742699512789841</c:v>
                </c:pt>
                <c:pt idx="1040">
                  <c:v>1.4697928665627842</c:v>
                </c:pt>
                <c:pt idx="1041">
                  <c:v>1.4653325040417258</c:v>
                </c:pt>
                <c:pt idx="1042">
                  <c:v>1.4608887891226914</c:v>
                </c:pt>
                <c:pt idx="1043">
                  <c:v>1.4564616475181538</c:v>
                </c:pt>
                <c:pt idx="1044">
                  <c:v>1.4520510054207989</c:v>
                </c:pt>
                <c:pt idx="1045">
                  <c:v>1.447656789328903</c:v>
                </c:pt>
                <c:pt idx="1046">
                  <c:v>1.4432789261918515</c:v>
                </c:pt>
                <c:pt idx="1047">
                  <c:v>1.4389173432573443</c:v>
                </c:pt>
                <c:pt idx="1048">
                  <c:v>1.4345719682387426</c:v>
                </c:pt>
                <c:pt idx="1049">
                  <c:v>1.4302427291695494</c:v>
                </c:pt>
                <c:pt idx="1050">
                  <c:v>1.425929554454342</c:v>
                </c:pt>
                <c:pt idx="1051">
                  <c:v>1.421632372905151</c:v>
                </c:pt>
                <c:pt idx="1052">
                  <c:v>1.4173511136687011</c:v>
                </c:pt>
                <c:pt idx="1053">
                  <c:v>1.413085706277343</c:v>
                </c:pt>
                <c:pt idx="1054">
                  <c:v>1.408836080612673</c:v>
                </c:pt>
                <c:pt idx="1055">
                  <c:v>1.4046021669346374</c:v>
                </c:pt>
                <c:pt idx="1056">
                  <c:v>1.4003838958524284</c:v>
                </c:pt>
                <c:pt idx="1057">
                  <c:v>1.3961811983317602</c:v>
                </c:pt>
                <c:pt idx="1058">
                  <c:v>1.3919940057166968</c:v>
                </c:pt>
                <c:pt idx="1059">
                  <c:v>1.3878222496641683</c:v>
                </c:pt>
                <c:pt idx="1060">
                  <c:v>1.3836658622167306</c:v>
                </c:pt>
                <c:pt idx="1061">
                  <c:v>1.3795247757443576</c:v>
                </c:pt>
                <c:pt idx="1062">
                  <c:v>1.3753989229880972</c:v>
                </c:pt>
                <c:pt idx="1063">
                  <c:v>1.3712882370236912</c:v>
                </c:pt>
                <c:pt idx="1064">
                  <c:v>1.3671926512542996</c:v>
                </c:pt>
                <c:pt idx="1065">
                  <c:v>1.3631120994323283</c:v>
                </c:pt>
                <c:pt idx="1066">
                  <c:v>1.359046515681257</c:v>
                </c:pt>
                <c:pt idx="1067">
                  <c:v>1.3549958344083279</c:v>
                </c:pt>
                <c:pt idx="1068">
                  <c:v>1.3509599904064089</c:v>
                </c:pt>
                <c:pt idx="1069">
                  <c:v>1.3469389187594061</c:v>
                </c:pt>
                <c:pt idx="1070">
                  <c:v>1.3429325549150235</c:v>
                </c:pt>
                <c:pt idx="1071">
                  <c:v>1.3389408346192795</c:v>
                </c:pt>
                <c:pt idx="1072">
                  <c:v>1.3349636939965421</c:v>
                </c:pt>
                <c:pt idx="1073">
                  <c:v>1.3310010694258381</c:v>
                </c:pt>
                <c:pt idx="1074">
                  <c:v>1.3270528976718197</c:v>
                </c:pt>
                <c:pt idx="1075">
                  <c:v>1.3231191157974536</c:v>
                </c:pt>
                <c:pt idx="1076">
                  <c:v>1.3191996611712966</c:v>
                </c:pt>
                <c:pt idx="1077">
                  <c:v>1.3152944715111516</c:v>
                </c:pt>
                <c:pt idx="1078">
                  <c:v>1.3114034848113079</c:v>
                </c:pt>
                <c:pt idx="1079">
                  <c:v>1.3075266394298524</c:v>
                </c:pt>
                <c:pt idx="1080">
                  <c:v>1.3036638739940827</c:v>
                </c:pt>
                <c:pt idx="1081">
                  <c:v>1.2998151274587144</c:v>
                </c:pt>
                <c:pt idx="1082">
                  <c:v>1.2959803390986053</c:v>
                </c:pt>
                <c:pt idx="1083">
                  <c:v>1.2921594484650996</c:v>
                </c:pt>
                <c:pt idx="1084">
                  <c:v>1.2883523954660632</c:v>
                </c:pt>
                <c:pt idx="1085">
                  <c:v>1.2845591202349169</c:v>
                </c:pt>
                <c:pt idx="1086">
                  <c:v>1.2807795633052592</c:v>
                </c:pt>
                <c:pt idx="1087">
                  <c:v>1.2770136654216913</c:v>
                </c:pt>
                <c:pt idx="1088">
                  <c:v>1.2732613676707842</c:v>
                </c:pt>
                <c:pt idx="1089">
                  <c:v>1.2695226114519755</c:v>
                </c:pt>
                <c:pt idx="1090">
                  <c:v>1.2657973384120851</c:v>
                </c:pt>
                <c:pt idx="1091">
                  <c:v>1.262085490510799</c:v>
                </c:pt>
                <c:pt idx="1092">
                  <c:v>1.2583870100352215</c:v>
                </c:pt>
                <c:pt idx="1093">
                  <c:v>1.2547018395052874</c:v>
                </c:pt>
                <c:pt idx="1094">
                  <c:v>1.2510299217683496</c:v>
                </c:pt>
                <c:pt idx="1095">
                  <c:v>1.2473711999336956</c:v>
                </c:pt>
                <c:pt idx="1096">
                  <c:v>1.243725617423479</c:v>
                </c:pt>
                <c:pt idx="1097">
                  <c:v>1.2400931179145118</c:v>
                </c:pt>
                <c:pt idx="1098">
                  <c:v>1.2364736453746445</c:v>
                </c:pt>
                <c:pt idx="1099">
                  <c:v>1.2328671440700418</c:v>
                </c:pt>
                <c:pt idx="1100">
                  <c:v>1.2292735585215269</c:v>
                </c:pt>
                <c:pt idx="1101">
                  <c:v>1.2256928335336852</c:v>
                </c:pt>
                <c:pt idx="1102">
                  <c:v>1.2221249141875887</c:v>
                </c:pt>
                <c:pt idx="1103">
                  <c:v>1.2185697458407958</c:v>
                </c:pt>
                <c:pt idx="1104">
                  <c:v>1.2150272741127992</c:v>
                </c:pt>
                <c:pt idx="1105">
                  <c:v>1.21149744491413</c:v>
                </c:pt>
                <c:pt idx="1106">
                  <c:v>1.207980204395426</c:v>
                </c:pt>
                <c:pt idx="1107">
                  <c:v>1.204475499012915</c:v>
                </c:pt>
                <c:pt idx="1108">
                  <c:v>1.2009832754411036</c:v>
                </c:pt>
                <c:pt idx="1109">
                  <c:v>1.1975034806673648</c:v>
                </c:pt>
                <c:pt idx="1110">
                  <c:v>1.19403606189735</c:v>
                </c:pt>
                <c:pt idx="1111">
                  <c:v>1.1905809666423011</c:v>
                </c:pt>
                <c:pt idx="1112">
                  <c:v>1.1871381426390144</c:v>
                </c:pt>
                <c:pt idx="1113">
                  <c:v>1.183707537878945</c:v>
                </c:pt>
                <c:pt idx="1114">
                  <c:v>1.1802891006591381</c:v>
                </c:pt>
                <c:pt idx="1115">
                  <c:v>1.1768827794730896</c:v>
                </c:pt>
                <c:pt idx="1116">
                  <c:v>1.173488523105334</c:v>
                </c:pt>
                <c:pt idx="1117">
                  <c:v>1.1701062805950642</c:v>
                </c:pt>
                <c:pt idx="1118">
                  <c:v>1.1667360011779238</c:v>
                </c:pt>
                <c:pt idx="1119">
                  <c:v>1.1633776344388025</c:v>
                </c:pt>
                <c:pt idx="1120">
                  <c:v>1.1600311301008333</c:v>
                </c:pt>
                <c:pt idx="1121">
                  <c:v>1.156696438221843</c:v>
                </c:pt>
                <c:pt idx="1122">
                  <c:v>1.1533735090633854</c:v>
                </c:pt>
                <c:pt idx="1123">
                  <c:v>1.150062293119845</c:v>
                </c:pt>
                <c:pt idx="1124">
                  <c:v>1.1467627411766443</c:v>
                </c:pt>
                <c:pt idx="1125">
                  <c:v>1.1434748042083811</c:v>
                </c:pt>
                <c:pt idx="1126">
                  <c:v>1.1401984334515873</c:v>
                </c:pt>
                <c:pt idx="1127">
                  <c:v>1.1369335803974536</c:v>
                </c:pt>
                <c:pt idx="1128">
                  <c:v>1.1336801967554493</c:v>
                </c:pt>
                <c:pt idx="1129">
                  <c:v>1.1304382344605983</c:v>
                </c:pt>
                <c:pt idx="1130">
                  <c:v>1.1272076457244111</c:v>
                </c:pt>
                <c:pt idx="1131">
                  <c:v>1.1239883829330211</c:v>
                </c:pt>
                <c:pt idx="1132">
                  <c:v>1.1207803987635998</c:v>
                </c:pt>
                <c:pt idx="1133">
                  <c:v>1.117583646075218</c:v>
                </c:pt>
                <c:pt idx="1134">
                  <c:v>1.1143980780034326</c:v>
                </c:pt>
                <c:pt idx="1135">
                  <c:v>1.1112236478584236</c:v>
                </c:pt>
                <c:pt idx="1136">
                  <c:v>1.1080603092268575</c:v>
                </c:pt>
                <c:pt idx="1137">
                  <c:v>1.1049080158918514</c:v>
                </c:pt>
                <c:pt idx="1138">
                  <c:v>1.1017667218839051</c:v>
                </c:pt>
                <c:pt idx="1139">
                  <c:v>1.0986363814008655</c:v>
                </c:pt>
                <c:pt idx="1140">
                  <c:v>1.0955169489607215</c:v>
                </c:pt>
                <c:pt idx="1141">
                  <c:v>1.0924083792051533</c:v>
                </c:pt>
                <c:pt idx="1142">
                  <c:v>1.0893106270523276</c:v>
                </c:pt>
                <c:pt idx="1143">
                  <c:v>1.0862236476168619</c:v>
                </c:pt>
                <c:pt idx="1144">
                  <c:v>1.0831473962389282</c:v>
                </c:pt>
                <c:pt idx="1145">
                  <c:v>1.0800818284697016</c:v>
                </c:pt>
                <c:pt idx="1146">
                  <c:v>1.0770269000859116</c:v>
                </c:pt>
                <c:pt idx="1147">
                  <c:v>1.0739825670534628</c:v>
                </c:pt>
                <c:pt idx="1148">
                  <c:v>1.0709487855710904</c:v>
                </c:pt>
                <c:pt idx="1149">
                  <c:v>1.0679255120485323</c:v>
                </c:pt>
                <c:pt idx="1150">
                  <c:v>1.0649127030992531</c:v>
                </c:pt>
                <c:pt idx="1151">
                  <c:v>1.0619103155477205</c:v>
                </c:pt>
                <c:pt idx="1152">
                  <c:v>1.0589183064221288</c:v>
                </c:pt>
                <c:pt idx="1153">
                  <c:v>1.0559366329543991</c:v>
                </c:pt>
                <c:pt idx="1154">
                  <c:v>1.0529652526092832</c:v>
                </c:pt>
                <c:pt idx="1155">
                  <c:v>1.050004123011604</c:v>
                </c:pt>
                <c:pt idx="1156">
                  <c:v>1.0470532020190149</c:v>
                </c:pt>
                <c:pt idx="1157">
                  <c:v>1.0441124477001722</c:v>
                </c:pt>
                <c:pt idx="1158">
                  <c:v>1.0411818182910793</c:v>
                </c:pt>
                <c:pt idx="1159">
                  <c:v>1.0382612722387421</c:v>
                </c:pt>
                <c:pt idx="1160">
                  <c:v>1.0353507682229974</c:v>
                </c:pt>
                <c:pt idx="1161">
                  <c:v>1.0324502650546492</c:v>
                </c:pt>
                <c:pt idx="1162">
                  <c:v>1.0295597218355397</c:v>
                </c:pt>
                <c:pt idx="1163">
                  <c:v>1.0266790977548226</c:v>
                </c:pt>
                <c:pt idx="1164">
                  <c:v>1.0238083522708621</c:v>
                </c:pt>
                <c:pt idx="1165">
                  <c:v>1.0209474450239213</c:v>
                </c:pt>
                <c:pt idx="1166">
                  <c:v>1.0180963358216104</c:v>
                </c:pt>
                <c:pt idx="1167">
                  <c:v>1.0152549846752663</c:v>
                </c:pt>
                <c:pt idx="1168">
                  <c:v>1.0124233517999528</c:v>
                </c:pt>
                <c:pt idx="1169">
                  <c:v>1.0096013975853566</c:v>
                </c:pt>
                <c:pt idx="1170">
                  <c:v>1.0067890826030634</c:v>
                </c:pt>
                <c:pt idx="1171">
                  <c:v>1.0039863676429377</c:v>
                </c:pt>
                <c:pt idx="1172">
                  <c:v>1.001193213625811</c:v>
                </c:pt>
                <c:pt idx="1173">
                  <c:v>0.9984095817344496</c:v>
                </c:pt>
                <c:pt idx="1174">
                  <c:v>0.99563543324620696</c:v>
                </c:pt>
                <c:pt idx="1175">
                  <c:v>0.99287072970764711</c:v>
                </c:pt>
                <c:pt idx="1176">
                  <c:v>0.99011543277447345</c:v>
                </c:pt>
                <c:pt idx="1177">
                  <c:v>0.98736950434249593</c:v>
                </c:pt>
                <c:pt idx="1178">
                  <c:v>0.98463290645304369</c:v>
                </c:pt>
                <c:pt idx="1179">
                  <c:v>0.98190560133662075</c:v>
                </c:pt>
                <c:pt idx="1180">
                  <c:v>0.9791875513838022</c:v>
                </c:pt>
                <c:pt idx="1181">
                  <c:v>0.97647871920344187</c:v>
                </c:pt>
                <c:pt idx="1182">
                  <c:v>0.97377906754263677</c:v>
                </c:pt>
                <c:pt idx="1183">
                  <c:v>0.97108855933765881</c:v>
                </c:pt>
                <c:pt idx="1184">
                  <c:v>0.96840715770667884</c:v>
                </c:pt>
                <c:pt idx="1185">
                  <c:v>0.9657348259279388</c:v>
                </c:pt>
                <c:pt idx="1186">
                  <c:v>0.96307152746157954</c:v>
                </c:pt>
                <c:pt idx="1187">
                  <c:v>0.96041722594236489</c:v>
                </c:pt>
                <c:pt idx="1188">
                  <c:v>0.95777188512875</c:v>
                </c:pt>
                <c:pt idx="1189">
                  <c:v>0.95513546905567637</c:v>
                </c:pt>
                <c:pt idx="1190">
                  <c:v>0.95250794180901721</c:v>
                </c:pt>
                <c:pt idx="1191">
                  <c:v>0.94988926770747639</c:v>
                </c:pt>
                <c:pt idx="1192">
                  <c:v>0.94727941122982884</c:v>
                </c:pt>
                <c:pt idx="1193">
                  <c:v>0.94467833701492054</c:v>
                </c:pt>
                <c:pt idx="1194">
                  <c:v>0.94208600986166857</c:v>
                </c:pt>
                <c:pt idx="1195">
                  <c:v>0.93950239472906105</c:v>
                </c:pt>
                <c:pt idx="1196">
                  <c:v>0.93692745676526101</c:v>
                </c:pt>
                <c:pt idx="1197">
                  <c:v>0.93436116125667468</c:v>
                </c:pt>
                <c:pt idx="1198">
                  <c:v>0.93180347364977933</c:v>
                </c:pt>
                <c:pt idx="1199">
                  <c:v>0.92925435959477909</c:v>
                </c:pt>
                <c:pt idx="1200">
                  <c:v>0.92671378481463762</c:v>
                </c:pt>
                <c:pt idx="1201">
                  <c:v>0.92418171528697712</c:v>
                </c:pt>
                <c:pt idx="1202">
                  <c:v>0.92165811709855916</c:v>
                </c:pt>
                <c:pt idx="1203">
                  <c:v>0.91914295649621636</c:v>
                </c:pt>
                <c:pt idx="1204">
                  <c:v>0.91663619987957645</c:v>
                </c:pt>
                <c:pt idx="1205">
                  <c:v>0.91413781382289017</c:v>
                </c:pt>
                <c:pt idx="1206">
                  <c:v>0.91164776503865141</c:v>
                </c:pt>
                <c:pt idx="1207">
                  <c:v>0.90916602042125305</c:v>
                </c:pt>
                <c:pt idx="1208">
                  <c:v>0.90669254696695134</c:v>
                </c:pt>
                <c:pt idx="1209">
                  <c:v>0.9042273118684534</c:v>
                </c:pt>
                <c:pt idx="1210">
                  <c:v>0.9017702824639855</c:v>
                </c:pt>
                <c:pt idx="1211">
                  <c:v>0.89932142621546518</c:v>
                </c:pt>
                <c:pt idx="1212">
                  <c:v>0.89688071076670894</c:v>
                </c:pt>
                <c:pt idx="1213">
                  <c:v>0.89444810390705243</c:v>
                </c:pt>
                <c:pt idx="1214">
                  <c:v>0.89202357355679851</c:v>
                </c:pt>
                <c:pt idx="1215">
                  <c:v>0.88960708778904518</c:v>
                </c:pt>
                <c:pt idx="1216">
                  <c:v>0.88719861482968554</c:v>
                </c:pt>
                <c:pt idx="1217">
                  <c:v>0.88479812306468375</c:v>
                </c:pt>
                <c:pt idx="1218">
                  <c:v>0.88240558098914335</c:v>
                </c:pt>
                <c:pt idx="1219">
                  <c:v>0.88002095725823892</c:v>
                </c:pt>
                <c:pt idx="1220">
                  <c:v>0.87764422071631998</c:v>
                </c:pt>
                <c:pt idx="1221">
                  <c:v>0.87527534027321963</c:v>
                </c:pt>
                <c:pt idx="1222">
                  <c:v>0.87291428502066992</c:v>
                </c:pt>
                <c:pt idx="1223">
                  <c:v>0.87056102421047399</c:v>
                </c:pt>
                <c:pt idx="1224">
                  <c:v>0.86821552719629835</c:v>
                </c:pt>
                <c:pt idx="1225">
                  <c:v>0.86587776351370849</c:v>
                </c:pt>
                <c:pt idx="1226">
                  <c:v>0.86354770278558135</c:v>
                </c:pt>
                <c:pt idx="1227">
                  <c:v>0.8612253148239688</c:v>
                </c:pt>
                <c:pt idx="1228">
                  <c:v>0.85891056955006206</c:v>
                </c:pt>
                <c:pt idx="1229">
                  <c:v>0.85660343702329556</c:v>
                </c:pt>
                <c:pt idx="1230">
                  <c:v>0.85430388746317476</c:v>
                </c:pt>
                <c:pt idx="1231">
                  <c:v>0.85201189119834453</c:v>
                </c:pt>
                <c:pt idx="1232">
                  <c:v>0.84972741870296886</c:v>
                </c:pt>
                <c:pt idx="1233">
                  <c:v>0.84745044056762708</c:v>
                </c:pt>
                <c:pt idx="1234">
                  <c:v>0.84518092756479746</c:v>
                </c:pt>
                <c:pt idx="1235">
                  <c:v>0.8429188505615457</c:v>
                </c:pt>
                <c:pt idx="1236">
                  <c:v>0.84066418054135283</c:v>
                </c:pt>
                <c:pt idx="1237">
                  <c:v>0.83841688865504693</c:v>
                </c:pt>
                <c:pt idx="1238">
                  <c:v>0.83617694620625116</c:v>
                </c:pt>
                <c:pt idx="1239">
                  <c:v>0.83394432453496847</c:v>
                </c:pt>
                <c:pt idx="1240">
                  <c:v>0.83171899521403247</c:v>
                </c:pt>
                <c:pt idx="1241">
                  <c:v>0.82950092988903634</c:v>
                </c:pt>
                <c:pt idx="1242">
                  <c:v>0.82729010033654049</c:v>
                </c:pt>
                <c:pt idx="1243">
                  <c:v>0.8250864784931764</c:v>
                </c:pt>
                <c:pt idx="1244">
                  <c:v>0.82289003636833513</c:v>
                </c:pt>
                <c:pt idx="1245">
                  <c:v>0.82070074615330668</c:v>
                </c:pt>
                <c:pt idx="1246">
                  <c:v>0.81851858014852041</c:v>
                </c:pt>
                <c:pt idx="1247">
                  <c:v>0.81634351074171718</c:v>
                </c:pt>
                <c:pt idx="1248">
                  <c:v>0.81417551050253678</c:v>
                </c:pt>
                <c:pt idx="1249">
                  <c:v>0.81201455207337858</c:v>
                </c:pt>
                <c:pt idx="1250">
                  <c:v>0.80986060827126494</c:v>
                </c:pt>
                <c:pt idx="1251">
                  <c:v>0.80771365197142586</c:v>
                </c:pt>
                <c:pt idx="1252">
                  <c:v>0.80557365625281818</c:v>
                </c:pt>
                <c:pt idx="1253">
                  <c:v>0.80344059422350256</c:v>
                </c:pt>
                <c:pt idx="1254">
                  <c:v>0.8013144391879905</c:v>
                </c:pt>
                <c:pt idx="1255">
                  <c:v>0.79919516453082906</c:v>
                </c:pt>
                <c:pt idx="1256">
                  <c:v>0.79708274376753252</c:v>
                </c:pt>
                <c:pt idx="1257">
                  <c:v>0.79497715053730644</c:v>
                </c:pt>
                <c:pt idx="1258">
                  <c:v>0.79287835856666788</c:v>
                </c:pt>
                <c:pt idx="1259">
                  <c:v>0.79078634176403284</c:v>
                </c:pt>
                <c:pt idx="1260">
                  <c:v>0.78870107407419709</c:v>
                </c:pt>
                <c:pt idx="1261">
                  <c:v>0.78662252961657941</c:v>
                </c:pt>
                <c:pt idx="1262">
                  <c:v>0.78455068261973793</c:v>
                </c:pt>
                <c:pt idx="1263">
                  <c:v>0.78248550739954226</c:v>
                </c:pt>
                <c:pt idx="1264">
                  <c:v>0.78042697840282926</c:v>
                </c:pt>
                <c:pt idx="1265">
                  <c:v>0.77837507020012708</c:v>
                </c:pt>
                <c:pt idx="1266">
                  <c:v>0.77632975744927535</c:v>
                </c:pt>
                <c:pt idx="1267">
                  <c:v>0.7742910149609088</c:v>
                </c:pt>
                <c:pt idx="1268">
                  <c:v>0.77225881761114579</c:v>
                </c:pt>
                <c:pt idx="1269">
                  <c:v>0.77023314042162383</c:v>
                </c:pt>
                <c:pt idx="1270">
                  <c:v>0.76821395851584384</c:v>
                </c:pt>
                <c:pt idx="1271">
                  <c:v>0.76620124711917015</c:v>
                </c:pt>
                <c:pt idx="1272">
                  <c:v>0.76419498157338239</c:v>
                </c:pt>
                <c:pt idx="1273">
                  <c:v>0.76219513733667554</c:v>
                </c:pt>
                <c:pt idx="1274">
                  <c:v>0.76020168996183202</c:v>
                </c:pt>
                <c:pt idx="1275">
                  <c:v>0.75821461512532551</c:v>
                </c:pt>
                <c:pt idx="1276">
                  <c:v>0.75623388858366525</c:v>
                </c:pt>
                <c:pt idx="1277">
                  <c:v>0.75425948625343153</c:v>
                </c:pt>
                <c:pt idx="1278">
                  <c:v>0.7522913840948604</c:v>
                </c:pt>
                <c:pt idx="1279">
                  <c:v>0.75032955821370706</c:v>
                </c:pt>
                <c:pt idx="1280">
                  <c:v>0.7483739848175901</c:v>
                </c:pt>
                <c:pt idx="1281">
                  <c:v>0.74642464020143962</c:v>
                </c:pt>
                <c:pt idx="1282">
                  <c:v>0.74448150078387698</c:v>
                </c:pt>
                <c:pt idx="1283">
                  <c:v>0.74254454307811102</c:v>
                </c:pt>
                <c:pt idx="1284">
                  <c:v>0.74061374371376587</c:v>
                </c:pt>
                <c:pt idx="1285">
                  <c:v>0.7386890793859493</c:v>
                </c:pt>
                <c:pt idx="1286">
                  <c:v>0.73677052692801226</c:v>
                </c:pt>
                <c:pt idx="1287">
                  <c:v>0.73485806328244507</c:v>
                </c:pt>
                <c:pt idx="1288">
                  <c:v>0.73295166546449764</c:v>
                </c:pt>
                <c:pt idx="1289">
                  <c:v>0.73105131060583517</c:v>
                </c:pt>
                <c:pt idx="1290">
                  <c:v>0.72915697591088247</c:v>
                </c:pt>
                <c:pt idx="1291">
                  <c:v>0.72726863873685943</c:v>
                </c:pt>
                <c:pt idx="1292">
                  <c:v>0.72538627650646959</c:v>
                </c:pt>
                <c:pt idx="1293">
                  <c:v>0.7235098667370039</c:v>
                </c:pt>
                <c:pt idx="1294">
                  <c:v>0.72163938705489272</c:v>
                </c:pt>
                <c:pt idx="1295">
                  <c:v>0.71977481516660191</c:v>
                </c:pt>
                <c:pt idx="1296">
                  <c:v>0.71791612893866841</c:v>
                </c:pt>
                <c:pt idx="1297">
                  <c:v>0.71606330624490511</c:v>
                </c:pt>
                <c:pt idx="1298">
                  <c:v>0.71421632510464406</c:v>
                </c:pt>
                <c:pt idx="1299">
                  <c:v>0.71237516363180475</c:v>
                </c:pt>
                <c:pt idx="1300">
                  <c:v>0.7105398000421701</c:v>
                </c:pt>
                <c:pt idx="1301">
                  <c:v>0.70871021260973066</c:v>
                </c:pt>
                <c:pt idx="1302">
                  <c:v>0.70688637976854807</c:v>
                </c:pt>
                <c:pt idx="1303">
                  <c:v>0.70506827994540799</c:v>
                </c:pt>
                <c:pt idx="1304">
                  <c:v>0.7032558917926508</c:v>
                </c:pt>
                <c:pt idx="1305">
                  <c:v>0.7014491939189611</c:v>
                </c:pt>
                <c:pt idx="1306">
                  <c:v>0.69964816514402628</c:v>
                </c:pt>
                <c:pt idx="1307">
                  <c:v>0.69785278429480968</c:v>
                </c:pt>
                <c:pt idx="1308">
                  <c:v>0.69606303032196593</c:v>
                </c:pt>
                <c:pt idx="1309">
                  <c:v>0.69427888229256496</c:v>
                </c:pt>
                <c:pt idx="1310">
                  <c:v>0.69250031931733247</c:v>
                </c:pt>
                <c:pt idx="1311">
                  <c:v>0.69072732063068543</c:v>
                </c:pt>
                <c:pt idx="1312">
                  <c:v>0.68895986553252442</c:v>
                </c:pt>
                <c:pt idx="1313">
                  <c:v>0.68719793344644131</c:v>
                </c:pt>
                <c:pt idx="1314">
                  <c:v>0.68544150383240776</c:v>
                </c:pt>
                <c:pt idx="1315">
                  <c:v>0.68369055631774245</c:v>
                </c:pt>
                <c:pt idx="1316">
                  <c:v>0.68194507052248809</c:v>
                </c:pt>
                <c:pt idx="1317">
                  <c:v>0.68020502623403445</c:v>
                </c:pt>
                <c:pt idx="1318">
                  <c:v>0.67847040327615105</c:v>
                </c:pt>
                <c:pt idx="1319">
                  <c:v>0.6767411815962987</c:v>
                </c:pt>
                <c:pt idx="1320">
                  <c:v>0.67501734120014589</c:v>
                </c:pt>
                <c:pt idx="1321">
                  <c:v>0.67329886218794854</c:v>
                </c:pt>
                <c:pt idx="1322">
                  <c:v>0.67158572476182599</c:v>
                </c:pt>
                <c:pt idx="1323">
                  <c:v>0.66987790917482926</c:v>
                </c:pt>
                <c:pt idx="1324">
                  <c:v>0.66817539581097662</c:v>
                </c:pt>
                <c:pt idx="1325">
                  <c:v>0.66647816508339019</c:v>
                </c:pt>
                <c:pt idx="1326">
                  <c:v>0.66478619753615931</c:v>
                </c:pt>
                <c:pt idx="1327">
                  <c:v>0.66309947377885692</c:v>
                </c:pt>
                <c:pt idx="1328">
                  <c:v>0.66141797450109152</c:v>
                </c:pt>
                <c:pt idx="1329">
                  <c:v>0.65974168046523118</c:v>
                </c:pt>
                <c:pt idx="1330">
                  <c:v>0.65807057257188717</c:v>
                </c:pt>
                <c:pt idx="1331">
                  <c:v>0.65640463169984287</c:v>
                </c:pt>
                <c:pt idx="1332">
                  <c:v>0.65474383890250465</c:v>
                </c:pt>
                <c:pt idx="1333">
                  <c:v>0.65308817529876251</c:v>
                </c:pt>
                <c:pt idx="1334">
                  <c:v>0.65143762202933431</c:v>
                </c:pt>
                <c:pt idx="1335">
                  <c:v>0.64979216040228494</c:v>
                </c:pt>
                <c:pt idx="1336">
                  <c:v>0.64815177173295524</c:v>
                </c:pt>
                <c:pt idx="1337">
                  <c:v>0.64651643743854947</c:v>
                </c:pt>
                <c:pt idx="1338">
                  <c:v>0.6448861390381353</c:v>
                </c:pt>
                <c:pt idx="1339">
                  <c:v>0.64326085810898803</c:v>
                </c:pt>
                <c:pt idx="1340">
                  <c:v>0.64164057629386662</c:v>
                </c:pt>
                <c:pt idx="1341">
                  <c:v>0.64002527535922127</c:v>
                </c:pt>
                <c:pt idx="1342">
                  <c:v>0.63841493707877817</c:v>
                </c:pt>
                <c:pt idx="1343">
                  <c:v>0.63680954339361051</c:v>
                </c:pt>
                <c:pt idx="1344">
                  <c:v>0.63520907620841172</c:v>
                </c:pt>
                <c:pt idx="1345">
                  <c:v>0.63361351763887797</c:v>
                </c:pt>
                <c:pt idx="1346">
                  <c:v>0.63202284974977374</c:v>
                </c:pt>
                <c:pt idx="1347">
                  <c:v>0.63043705475865863</c:v>
                </c:pt>
                <c:pt idx="1348">
                  <c:v>0.62885611494857585</c:v>
                </c:pt>
                <c:pt idx="1349">
                  <c:v>0.62728001263894839</c:v>
                </c:pt>
                <c:pt idx="1350">
                  <c:v>0.62570873028016649</c:v>
                </c:pt>
                <c:pt idx="1351">
                  <c:v>0.62414225034444826</c:v>
                </c:pt>
                <c:pt idx="1352">
                  <c:v>0.62258055541315116</c:v>
                </c:pt>
                <c:pt idx="1353">
                  <c:v>0.62102362812584033</c:v>
                </c:pt>
                <c:pt idx="1354">
                  <c:v>0.61947145120211644</c:v>
                </c:pt>
                <c:pt idx="1355">
                  <c:v>0.61792400742706377</c:v>
                </c:pt>
                <c:pt idx="1356">
                  <c:v>0.61638127965852618</c:v>
                </c:pt>
                <c:pt idx="1357">
                  <c:v>0.61484325084893499</c:v>
                </c:pt>
                <c:pt idx="1358">
                  <c:v>0.61330990396527341</c:v>
                </c:pt>
                <c:pt idx="1359">
                  <c:v>0.61178122214187169</c:v>
                </c:pt>
                <c:pt idx="1360">
                  <c:v>0.61025718846940435</c:v>
                </c:pt>
                <c:pt idx="1361">
                  <c:v>0.60873778620589292</c:v>
                </c:pt>
                <c:pt idx="1362">
                  <c:v>0.60722299860935891</c:v>
                </c:pt>
                <c:pt idx="1363">
                  <c:v>0.6057128090687911</c:v>
                </c:pt>
                <c:pt idx="1364">
                  <c:v>0.60420720100228209</c:v>
                </c:pt>
                <c:pt idx="1365">
                  <c:v>0.60270615789340809</c:v>
                </c:pt>
                <c:pt idx="1366">
                  <c:v>0.60120966333488468</c:v>
                </c:pt>
                <c:pt idx="1367">
                  <c:v>0.59971770094125532</c:v>
                </c:pt>
                <c:pt idx="1368">
                  <c:v>0.59823025443620281</c:v>
                </c:pt>
                <c:pt idx="1369">
                  <c:v>0.59674730756523786</c:v>
                </c:pt>
                <c:pt idx="1370">
                  <c:v>0.59526884420483839</c:v>
                </c:pt>
                <c:pt idx="1371">
                  <c:v>0.59379484823148232</c:v>
                </c:pt>
                <c:pt idx="1372">
                  <c:v>0.59232530364533886</c:v>
                </c:pt>
                <c:pt idx="1373">
                  <c:v>0.59086019446112914</c:v>
                </c:pt>
                <c:pt idx="1374">
                  <c:v>0.58939950480998959</c:v>
                </c:pt>
                <c:pt idx="1375">
                  <c:v>0.58794321886671241</c:v>
                </c:pt>
                <c:pt idx="1376">
                  <c:v>0.58649132085702149</c:v>
                </c:pt>
                <c:pt idx="1377">
                  <c:v>0.58504379508667625</c:v>
                </c:pt>
                <c:pt idx="1378">
                  <c:v>0.58360062594874762</c:v>
                </c:pt>
                <c:pt idx="1379">
                  <c:v>0.58216179785085842</c:v>
                </c:pt>
                <c:pt idx="1380">
                  <c:v>0.58072729532432277</c:v>
                </c:pt>
                <c:pt idx="1381">
                  <c:v>0.57929710289317882</c:v>
                </c:pt>
                <c:pt idx="1382">
                  <c:v>0.57787120523425983</c:v>
                </c:pt>
                <c:pt idx="1383">
                  <c:v>0.57644958700257121</c:v>
                </c:pt>
                <c:pt idx="1384">
                  <c:v>0.57503223296953365</c:v>
                </c:pt>
                <c:pt idx="1385">
                  <c:v>0.57361912796477554</c:v>
                </c:pt>
                <c:pt idx="1386">
                  <c:v>0.57221025683975313</c:v>
                </c:pt>
                <c:pt idx="1387">
                  <c:v>0.57080560457688989</c:v>
                </c:pt>
                <c:pt idx="1388">
                  <c:v>0.56940515615133336</c:v>
                </c:pt>
                <c:pt idx="1389">
                  <c:v>0.56800889665464638</c:v>
                </c:pt>
                <c:pt idx="1390">
                  <c:v>0.56661681120749563</c:v>
                </c:pt>
                <c:pt idx="1391">
                  <c:v>0.5652288849814795</c:v>
                </c:pt>
                <c:pt idx="1392">
                  <c:v>0.5638451032791636</c:v>
                </c:pt>
                <c:pt idx="1393">
                  <c:v>0.5624654513594578</c:v>
                </c:pt>
                <c:pt idx="1394">
                  <c:v>0.5610899146340671</c:v>
                </c:pt>
                <c:pt idx="1395">
                  <c:v>0.55971847852197243</c:v>
                </c:pt>
                <c:pt idx="1396">
                  <c:v>0.55835112850763835</c:v>
                </c:pt>
                <c:pt idx="1397">
                  <c:v>0.55698785017739283</c:v>
                </c:pt>
                <c:pt idx="1398">
                  <c:v>0.55562862910301192</c:v>
                </c:pt>
                <c:pt idx="1399">
                  <c:v>0.55427345097996294</c:v>
                </c:pt>
                <c:pt idx="1400">
                  <c:v>0.55292230154009303</c:v>
                </c:pt>
                <c:pt idx="1401">
                  <c:v>0.551575166566181</c:v>
                </c:pt>
                <c:pt idx="1402">
                  <c:v>0.55023203191376524</c:v>
                </c:pt>
                <c:pt idx="1403">
                  <c:v>0.54889288346748799</c:v>
                </c:pt>
                <c:pt idx="1404">
                  <c:v>0.54755770722113084</c:v>
                </c:pt>
                <c:pt idx="1405">
                  <c:v>0.54622648916847538</c:v>
                </c:pt>
                <c:pt idx="1406">
                  <c:v>0.54489921539789066</c:v>
                </c:pt>
                <c:pt idx="1407">
                  <c:v>0.54357587204867741</c:v>
                </c:pt>
                <c:pt idx="1408">
                  <c:v>0.54225644531106809</c:v>
                </c:pt>
                <c:pt idx="1409">
                  <c:v>0.54094092141895089</c:v>
                </c:pt>
                <c:pt idx="1410">
                  <c:v>0.5396292866935255</c:v>
                </c:pt>
                <c:pt idx="1411">
                  <c:v>0.53832152747781947</c:v>
                </c:pt>
                <c:pt idx="1412">
                  <c:v>0.53701763020944782</c:v>
                </c:pt>
                <c:pt idx="1413">
                  <c:v>0.53571758134785341</c:v>
                </c:pt>
                <c:pt idx="1414">
                  <c:v>0.53442136740341084</c:v>
                </c:pt>
                <c:pt idx="1415">
                  <c:v>0.53312897496653022</c:v>
                </c:pt>
                <c:pt idx="1416">
                  <c:v>0.53184039069310529</c:v>
                </c:pt>
                <c:pt idx="1417">
                  <c:v>0.53055560123902978</c:v>
                </c:pt>
                <c:pt idx="1418">
                  <c:v>0.52927459336206084</c:v>
                </c:pt>
                <c:pt idx="1419">
                  <c:v>0.52799735387816327</c:v>
                </c:pt>
                <c:pt idx="1420">
                  <c:v>0.52672386959602591</c:v>
                </c:pt>
                <c:pt idx="1421">
                  <c:v>0.52545412745530484</c:v>
                </c:pt>
                <c:pt idx="1422">
                  <c:v>0.52418811440293211</c:v>
                </c:pt>
                <c:pt idx="1423">
                  <c:v>0.52292581743677147</c:v>
                </c:pt>
                <c:pt idx="1424">
                  <c:v>0.52166722362744622</c:v>
                </c:pt>
                <c:pt idx="1425">
                  <c:v>0.52041232010378735</c:v>
                </c:pt>
                <c:pt idx="1426">
                  <c:v>0.51916109400917776</c:v>
                </c:pt>
                <c:pt idx="1427">
                  <c:v>0.51791353255975991</c:v>
                </c:pt>
                <c:pt idx="1428">
                  <c:v>0.51666962305898778</c:v>
                </c:pt>
                <c:pt idx="1429">
                  <c:v>0.51542935280303936</c:v>
                </c:pt>
                <c:pt idx="1430">
                  <c:v>0.51419270916085225</c:v>
                </c:pt>
                <c:pt idx="1431">
                  <c:v>0.51295967956684763</c:v>
                </c:pt>
                <c:pt idx="1432">
                  <c:v>0.51173025148455054</c:v>
                </c:pt>
                <c:pt idx="1433">
                  <c:v>0.51050441245752154</c:v>
                </c:pt>
                <c:pt idx="1434">
                  <c:v>0.5092821500293212</c:v>
                </c:pt>
                <c:pt idx="1435">
                  <c:v>0.50806345185992541</c:v>
                </c:pt>
                <c:pt idx="1436">
                  <c:v>0.50684830560931005</c:v>
                </c:pt>
                <c:pt idx="1437">
                  <c:v>0.5056366989883827</c:v>
                </c:pt>
                <c:pt idx="1438">
                  <c:v>0.50442861978808651</c:v>
                </c:pt>
                <c:pt idx="1439">
                  <c:v>0.50322405580664054</c:v>
                </c:pt>
                <c:pt idx="1440">
                  <c:v>0.50202299495140323</c:v>
                </c:pt>
                <c:pt idx="1441">
                  <c:v>0.50082542511518113</c:v>
                </c:pt>
                <c:pt idx="1442">
                  <c:v>0.4996313342708163</c:v>
                </c:pt>
                <c:pt idx="1443">
                  <c:v>0.49844071043480653</c:v>
                </c:pt>
                <c:pt idx="1444">
                  <c:v>0.49725354168185731</c:v>
                </c:pt>
                <c:pt idx="1445">
                  <c:v>0.49606981610850198</c:v>
                </c:pt>
                <c:pt idx="1446">
                  <c:v>0.4948895218767575</c:v>
                </c:pt>
                <c:pt idx="1447">
                  <c:v>0.49371264720684849</c:v>
                </c:pt>
                <c:pt idx="1448">
                  <c:v>0.49253918032627553</c:v>
                </c:pt>
                <c:pt idx="1449">
                  <c:v>0.49136910956440261</c:v>
                </c:pt>
                <c:pt idx="1450">
                  <c:v>0.49020242324331775</c:v>
                </c:pt>
                <c:pt idx="1451">
                  <c:v>0.48903910977969645</c:v>
                </c:pt>
                <c:pt idx="1452">
                  <c:v>0.48787915759021416</c:v>
                </c:pt>
                <c:pt idx="1453">
                  <c:v>0.48672255518613383</c:v>
                </c:pt>
                <c:pt idx="1454">
                  <c:v>0.48556929107144242</c:v>
                </c:pt>
                <c:pt idx="1455">
                  <c:v>0.48441935384471435</c:v>
                </c:pt>
                <c:pt idx="1456">
                  <c:v>0.4832727321118</c:v>
                </c:pt>
                <c:pt idx="1457">
                  <c:v>0.48212941455858527</c:v>
                </c:pt>
                <c:pt idx="1458">
                  <c:v>0.48098938987823203</c:v>
                </c:pt>
                <c:pt idx="1459">
                  <c:v>0.47985264684393769</c:v>
                </c:pt>
                <c:pt idx="1460">
                  <c:v>0.47871917425072752</c:v>
                </c:pt>
                <c:pt idx="1461">
                  <c:v>0.47758896094455849</c:v>
                </c:pt>
                <c:pt idx="1462">
                  <c:v>0.47646199580776738</c:v>
                </c:pt>
                <c:pt idx="1463">
                  <c:v>0.47533826779545052</c:v>
                </c:pt>
                <c:pt idx="1464">
                  <c:v>0.47421776586998021</c:v>
                </c:pt>
                <c:pt idx="1465">
                  <c:v>0.47310047905193642</c:v>
                </c:pt>
                <c:pt idx="1466">
                  <c:v>0.47198639642010676</c:v>
                </c:pt>
                <c:pt idx="1467">
                  <c:v>0.47087550707510673</c:v>
                </c:pt>
                <c:pt idx="1468">
                  <c:v>0.4697678001539316</c:v>
                </c:pt>
                <c:pt idx="1469">
                  <c:v>0.46866326487361221</c:v>
                </c:pt>
                <c:pt idx="1470">
                  <c:v>0.46756189045845531</c:v>
                </c:pt>
                <c:pt idx="1471">
                  <c:v>0.46646366618369939</c:v>
                </c:pt>
                <c:pt idx="1472">
                  <c:v>0.46536858139006654</c:v>
                </c:pt>
                <c:pt idx="1473">
                  <c:v>0.46427662541827885</c:v>
                </c:pt>
                <c:pt idx="1474">
                  <c:v>0.46318778768181801</c:v>
                </c:pt>
                <c:pt idx="1475">
                  <c:v>0.46210205763054546</c:v>
                </c:pt>
                <c:pt idx="1476">
                  <c:v>0.46101942475797841</c:v>
                </c:pt>
                <c:pt idx="1477">
                  <c:v>0.45993987856491003</c:v>
                </c:pt>
                <c:pt idx="1478">
                  <c:v>0.45886340866127284</c:v>
                </c:pt>
                <c:pt idx="1479">
                  <c:v>0.45779000462789554</c:v>
                </c:pt>
                <c:pt idx="1480">
                  <c:v>0.45671965614019427</c:v>
                </c:pt>
                <c:pt idx="1481">
                  <c:v>0.45565235287358519</c:v>
                </c:pt>
                <c:pt idx="1482">
                  <c:v>0.45458808456896804</c:v>
                </c:pt>
                <c:pt idx="1483">
                  <c:v>0.45352684098907048</c:v>
                </c:pt>
                <c:pt idx="1484">
                  <c:v>0.45246861196210375</c:v>
                </c:pt>
                <c:pt idx="1485">
                  <c:v>0.45141338733810699</c:v>
                </c:pt>
                <c:pt idx="1486">
                  <c:v>0.45036115699622314</c:v>
                </c:pt>
                <c:pt idx="1487">
                  <c:v>0.44931191089563072</c:v>
                </c:pt>
                <c:pt idx="1488">
                  <c:v>0.44826563895912841</c:v>
                </c:pt>
                <c:pt idx="1489">
                  <c:v>0.44722233126231004</c:v>
                </c:pt>
                <c:pt idx="1490">
                  <c:v>0.44618197780800983</c:v>
                </c:pt>
                <c:pt idx="1491">
                  <c:v>0.44514456868637353</c:v>
                </c:pt>
                <c:pt idx="1492">
                  <c:v>0.44411009404575452</c:v>
                </c:pt>
                <c:pt idx="1493">
                  <c:v>0.44307854404178215</c:v>
                </c:pt>
                <c:pt idx="1494">
                  <c:v>0.44204990888101747</c:v>
                </c:pt>
                <c:pt idx="1495">
                  <c:v>0.44102417878457345</c:v>
                </c:pt>
                <c:pt idx="1496">
                  <c:v>0.44000134406087454</c:v>
                </c:pt>
                <c:pt idx="1497">
                  <c:v>0.4389813950037933</c:v>
                </c:pt>
                <c:pt idx="1498">
                  <c:v>0.43796432198723778</c:v>
                </c:pt>
                <c:pt idx="1499">
                  <c:v>0.43695011539239204</c:v>
                </c:pt>
                <c:pt idx="1500">
                  <c:v>0.4359387656513718</c:v>
                </c:pt>
                <c:pt idx="1501">
                  <c:v>0.43493026323267259</c:v>
                </c:pt>
                <c:pt idx="1502">
                  <c:v>0.43392459862661781</c:v>
                </c:pt>
                <c:pt idx="1503">
                  <c:v>0.43292176240356639</c:v>
                </c:pt>
                <c:pt idx="1504">
                  <c:v>0.43192174509749748</c:v>
                </c:pt>
                <c:pt idx="1505">
                  <c:v>0.43092453735880554</c:v>
                </c:pt>
                <c:pt idx="1506">
                  <c:v>0.42993012982333312</c:v>
                </c:pt>
                <c:pt idx="1507">
                  <c:v>0.42893851316330256</c:v>
                </c:pt>
                <c:pt idx="1508">
                  <c:v>0.42794967813097173</c:v>
                </c:pt>
                <c:pt idx="1509">
                  <c:v>0.4269636154640466</c:v>
                </c:pt>
                <c:pt idx="1510">
                  <c:v>0.4259803159366129</c:v>
                </c:pt>
                <c:pt idx="1511">
                  <c:v>0.42499977041734383</c:v>
                </c:pt>
                <c:pt idx="1512">
                  <c:v>0.42402196974580875</c:v>
                </c:pt>
                <c:pt idx="1513">
                  <c:v>0.42304690481978469</c:v>
                </c:pt>
                <c:pt idx="1514">
                  <c:v>0.42207456658070441</c:v>
                </c:pt>
                <c:pt idx="1515">
                  <c:v>0.42110494599910453</c:v>
                </c:pt>
                <c:pt idx="1516">
                  <c:v>0.42013803407462547</c:v>
                </c:pt>
                <c:pt idx="1517">
                  <c:v>0.41917382183601148</c:v>
                </c:pt>
                <c:pt idx="1518">
                  <c:v>0.41821230038476642</c:v>
                </c:pt>
                <c:pt idx="1519">
                  <c:v>0.41725346077873837</c:v>
                </c:pt>
                <c:pt idx="1520">
                  <c:v>0.41629729420674266</c:v>
                </c:pt>
                <c:pt idx="1521">
                  <c:v>0.41534379182849079</c:v>
                </c:pt>
                <c:pt idx="1522">
                  <c:v>0.41439294483279809</c:v>
                </c:pt>
                <c:pt idx="1523">
                  <c:v>0.41344474448123947</c:v>
                </c:pt>
                <c:pt idx="1524">
                  <c:v>0.41249918205721769</c:v>
                </c:pt>
                <c:pt idx="1525">
                  <c:v>0.41155624884413555</c:v>
                </c:pt>
                <c:pt idx="1526">
                  <c:v>0.41061593620543135</c:v>
                </c:pt>
                <c:pt idx="1527">
                  <c:v>0.40967823550454341</c:v>
                </c:pt>
                <c:pt idx="1528">
                  <c:v>0.40874313814856578</c:v>
                </c:pt>
                <c:pt idx="1529">
                  <c:v>0.40781063560280018</c:v>
                </c:pt>
                <c:pt idx="1530">
                  <c:v>0.40688071931072045</c:v>
                </c:pt>
                <c:pt idx="1531">
                  <c:v>0.40595338078856003</c:v>
                </c:pt>
                <c:pt idx="1532">
                  <c:v>0.40502861157438019</c:v>
                </c:pt>
                <c:pt idx="1533">
                  <c:v>0.40410640324989799</c:v>
                </c:pt>
                <c:pt idx="1534">
                  <c:v>0.40318674739683047</c:v>
                </c:pt>
                <c:pt idx="1535">
                  <c:v>0.40226963566965424</c:v>
                </c:pt>
                <c:pt idx="1536">
                  <c:v>0.40135505972284591</c:v>
                </c:pt>
                <c:pt idx="1537">
                  <c:v>0.40044301126908977</c:v>
                </c:pt>
                <c:pt idx="1538">
                  <c:v>0.39953348201379413</c:v>
                </c:pt>
                <c:pt idx="1539">
                  <c:v>0.39862646374240285</c:v>
                </c:pt>
                <c:pt idx="1540">
                  <c:v>0.39772194822580786</c:v>
                </c:pt>
                <c:pt idx="1541">
                  <c:v>0.39681992731493665</c:v>
                </c:pt>
                <c:pt idx="1542">
                  <c:v>0.39592039283161284</c:v>
                </c:pt>
                <c:pt idx="1543">
                  <c:v>0.39502333667769562</c:v>
                </c:pt>
                <c:pt idx="1544">
                  <c:v>0.39412875077687204</c:v>
                </c:pt>
                <c:pt idx="1545">
                  <c:v>0.39323662707465701</c:v>
                </c:pt>
                <c:pt idx="1546">
                  <c:v>0.39234695752384141</c:v>
                </c:pt>
                <c:pt idx="1547">
                  <c:v>0.39145973416452762</c:v>
                </c:pt>
                <c:pt idx="1548">
                  <c:v>0.39057494900771417</c:v>
                </c:pt>
                <c:pt idx="1549">
                  <c:v>0.38969259412988322</c:v>
                </c:pt>
                <c:pt idx="1550">
                  <c:v>0.38881266164389672</c:v>
                </c:pt>
                <c:pt idx="1551">
                  <c:v>0.38793514365534065</c:v>
                </c:pt>
                <c:pt idx="1552">
                  <c:v>0.38706003232800867</c:v>
                </c:pt>
                <c:pt idx="1553">
                  <c:v>0.38618731985479826</c:v>
                </c:pt>
                <c:pt idx="1554">
                  <c:v>0.38531699844315881</c:v>
                </c:pt>
                <c:pt idx="1555">
                  <c:v>0.38444906034419546</c:v>
                </c:pt>
                <c:pt idx="1556">
                  <c:v>0.38358349783811718</c:v>
                </c:pt>
                <c:pt idx="1557">
                  <c:v>0.38272030320513295</c:v>
                </c:pt>
                <c:pt idx="1558">
                  <c:v>0.38185946880548727</c:v>
                </c:pt>
                <c:pt idx="1559">
                  <c:v>0.38100098697759677</c:v>
                </c:pt>
                <c:pt idx="1560">
                  <c:v>0.38014485013263766</c:v>
                </c:pt>
                <c:pt idx="1561">
                  <c:v>0.37929105067451019</c:v>
                </c:pt>
                <c:pt idx="1562">
                  <c:v>0.3784395810434944</c:v>
                </c:pt>
                <c:pt idx="1563">
                  <c:v>0.37759043373807799</c:v>
                </c:pt>
                <c:pt idx="1564">
                  <c:v>0.37674360124219675</c:v>
                </c:pt>
                <c:pt idx="1565">
                  <c:v>0.37589907609071815</c:v>
                </c:pt>
                <c:pt idx="1566">
                  <c:v>0.37505685084033757</c:v>
                </c:pt>
                <c:pt idx="1567">
                  <c:v>0.37421691810595803</c:v>
                </c:pt>
                <c:pt idx="1568">
                  <c:v>0.3733792704588268</c:v>
                </c:pt>
                <c:pt idx="1569">
                  <c:v>0.37254390055750264</c:v>
                </c:pt>
                <c:pt idx="1570">
                  <c:v>0.37171080109692411</c:v>
                </c:pt>
                <c:pt idx="1571">
                  <c:v>0.37087996472837403</c:v>
                </c:pt>
                <c:pt idx="1572">
                  <c:v>0.37005138422682649</c:v>
                </c:pt>
                <c:pt idx="1573">
                  <c:v>0.3692250523090479</c:v>
                </c:pt>
                <c:pt idx="1574">
                  <c:v>0.3684009617427364</c:v>
                </c:pt>
                <c:pt idx="1575">
                  <c:v>0.36757910538290162</c:v>
                </c:pt>
                <c:pt idx="1576">
                  <c:v>0.36675947602634551</c:v>
                </c:pt>
                <c:pt idx="1577">
                  <c:v>0.3659420665280777</c:v>
                </c:pt>
                <c:pt idx="1578">
                  <c:v>0.36512686978676356</c:v>
                </c:pt>
                <c:pt idx="1579">
                  <c:v>0.36431387870834442</c:v>
                </c:pt>
                <c:pt idx="1580">
                  <c:v>0.36350308624241734</c:v>
                </c:pt>
                <c:pt idx="1581">
                  <c:v>0.36269448534585536</c:v>
                </c:pt>
                <c:pt idx="1582">
                  <c:v>0.36188806899008341</c:v>
                </c:pt>
                <c:pt idx="1583">
                  <c:v>0.36108383021928603</c:v>
                </c:pt>
                <c:pt idx="1584">
                  <c:v>0.36028176207764773</c:v>
                </c:pt>
                <c:pt idx="1585">
                  <c:v>0.35948185760207707</c:v>
                </c:pt>
                <c:pt idx="1586">
                  <c:v>0.35868410991679411</c:v>
                </c:pt>
                <c:pt idx="1587">
                  <c:v>0.35788851211691508</c:v>
                </c:pt>
                <c:pt idx="1588">
                  <c:v>0.35709505738486769</c:v>
                </c:pt>
                <c:pt idx="1589">
                  <c:v>0.35630373884487199</c:v>
                </c:pt>
                <c:pt idx="1590">
                  <c:v>0.35551454972301144</c:v>
                </c:pt>
                <c:pt idx="1591">
                  <c:v>0.3547274832308176</c:v>
                </c:pt>
                <c:pt idx="1592">
                  <c:v>0.35394253260164987</c:v>
                </c:pt>
                <c:pt idx="1593">
                  <c:v>0.35315969112707535</c:v>
                </c:pt>
                <c:pt idx="1594">
                  <c:v>0.3523789520986611</c:v>
                </c:pt>
                <c:pt idx="1595">
                  <c:v>0.35160030881525017</c:v>
                </c:pt>
                <c:pt idx="1596">
                  <c:v>0.35082375465572113</c:v>
                </c:pt>
                <c:pt idx="1597">
                  <c:v>0.3500492829552968</c:v>
                </c:pt>
                <c:pt idx="1598">
                  <c:v>0.34927688711468363</c:v>
                </c:pt>
                <c:pt idx="1599">
                  <c:v>0.34850656057824381</c:v>
                </c:pt>
                <c:pt idx="1600">
                  <c:v>0.34773829676851165</c:v>
                </c:pt>
                <c:pt idx="1601">
                  <c:v>0.34697208912984934</c:v>
                </c:pt>
                <c:pt idx="1602">
                  <c:v>0.34620793119393056</c:v>
                </c:pt>
                <c:pt idx="1603">
                  <c:v>0.3454458164414973</c:v>
                </c:pt>
                <c:pt idx="1604">
                  <c:v>0.34468573843332706</c:v>
                </c:pt>
                <c:pt idx="1605">
                  <c:v>0.34392769071564544</c:v>
                </c:pt>
                <c:pt idx="1606">
                  <c:v>0.34317166687833378</c:v>
                </c:pt>
                <c:pt idx="1607">
                  <c:v>0.34241766052582534</c:v>
                </c:pt>
                <c:pt idx="1608">
                  <c:v>0.34166566530620912</c:v>
                </c:pt>
                <c:pt idx="1609">
                  <c:v>0.34091567484574625</c:v>
                </c:pt>
                <c:pt idx="1610">
                  <c:v>0.3401676828507334</c:v>
                </c:pt>
                <c:pt idx="1611">
                  <c:v>0.33942168301291531</c:v>
                </c:pt>
                <c:pt idx="1612">
                  <c:v>0.3386776690458646</c:v>
                </c:pt>
                <c:pt idx="1613">
                  <c:v>0.33793563470680965</c:v>
                </c:pt>
                <c:pt idx="1614">
                  <c:v>0.33719557377480669</c:v>
                </c:pt>
                <c:pt idx="1615">
                  <c:v>0.336457480021636</c:v>
                </c:pt>
                <c:pt idx="1616">
                  <c:v>0.33572134728456149</c:v>
                </c:pt>
                <c:pt idx="1617">
                  <c:v>0.33498716938629514</c:v>
                </c:pt>
                <c:pt idx="1618">
                  <c:v>0.33425494018592872</c:v>
                </c:pt>
                <c:pt idx="1619">
                  <c:v>0.33352465357165784</c:v>
                </c:pt>
                <c:pt idx="1620">
                  <c:v>0.33279630346078193</c:v>
                </c:pt>
                <c:pt idx="1621">
                  <c:v>0.33206988375604851</c:v>
                </c:pt>
                <c:pt idx="1622">
                  <c:v>0.33134538843296468</c:v>
                </c:pt>
                <c:pt idx="1623">
                  <c:v>0.33062281143793371</c:v>
                </c:pt>
                <c:pt idx="1624">
                  <c:v>0.32990214678284246</c:v>
                </c:pt>
                <c:pt idx="1625">
                  <c:v>0.32918338847230189</c:v>
                </c:pt>
                <c:pt idx="1626">
                  <c:v>0.32846653054730268</c:v>
                </c:pt>
                <c:pt idx="1627">
                  <c:v>0.32775156705611153</c:v>
                </c:pt>
                <c:pt idx="1628">
                  <c:v>0.32703849209792679</c:v>
                </c:pt>
                <c:pt idx="1629">
                  <c:v>0.3263272997646709</c:v>
                </c:pt>
                <c:pt idx="1630">
                  <c:v>0.32561798416281817</c:v>
                </c:pt>
                <c:pt idx="1631">
                  <c:v>0.32491053946432658</c:v>
                </c:pt>
                <c:pt idx="1632">
                  <c:v>0.32420495981205022</c:v>
                </c:pt>
                <c:pt idx="1633">
                  <c:v>0.32350123940705089</c:v>
                </c:pt>
                <c:pt idx="1634">
                  <c:v>0.32279937244311441</c:v>
                </c:pt>
                <c:pt idx="1635">
                  <c:v>0.3220993531649583</c:v>
                </c:pt>
                <c:pt idx="1636">
                  <c:v>0.32140117579547223</c:v>
                </c:pt>
                <c:pt idx="1637">
                  <c:v>0.32070483463758137</c:v>
                </c:pt>
                <c:pt idx="1638">
                  <c:v>0.32001032394327922</c:v>
                </c:pt>
                <c:pt idx="1639">
                  <c:v>0.31931763806642266</c:v>
                </c:pt>
                <c:pt idx="1640">
                  <c:v>0.31862677129538497</c:v>
                </c:pt>
                <c:pt idx="1641">
                  <c:v>0.31793771802767878</c:v>
                </c:pt>
                <c:pt idx="1642">
                  <c:v>0.31725047258805716</c:v>
                </c:pt>
                <c:pt idx="1643">
                  <c:v>0.31656502938858466</c:v>
                </c:pt>
                <c:pt idx="1644">
                  <c:v>0.3158813828631537</c:v>
                </c:pt>
                <c:pt idx="1645">
                  <c:v>0.31519952740200097</c:v>
                </c:pt>
                <c:pt idx="1646">
                  <c:v>0.31451945749722654</c:v>
                </c:pt>
                <c:pt idx="1647">
                  <c:v>0.3138411675899988</c:v>
                </c:pt>
                <c:pt idx="1648">
                  <c:v>0.31316465220879763</c:v>
                </c:pt>
                <c:pt idx="1649">
                  <c:v>0.31248990581661928</c:v>
                </c:pt>
                <c:pt idx="1650">
                  <c:v>0.31181692298559938</c:v>
                </c:pt>
                <c:pt idx="1651">
                  <c:v>0.31114569824421778</c:v>
                </c:pt>
                <c:pt idx="1652">
                  <c:v>0.310476226186438</c:v>
                </c:pt>
                <c:pt idx="1653">
                  <c:v>0.30980850136984373</c:v>
                </c:pt>
                <c:pt idx="1654">
                  <c:v>0.3091425184320542</c:v>
                </c:pt>
                <c:pt idx="1655">
                  <c:v>0.30847827199613675</c:v>
                </c:pt>
                <c:pt idx="1656">
                  <c:v>0.30781575669243466</c:v>
                </c:pt>
                <c:pt idx="1657">
                  <c:v>0.30715496720222291</c:v>
                </c:pt>
                <c:pt idx="1658">
                  <c:v>0.30649589822132839</c:v>
                </c:pt>
                <c:pt idx="1659">
                  <c:v>0.30583854443102609</c:v>
                </c:pt>
                <c:pt idx="1660">
                  <c:v>0.30518290057079867</c:v>
                </c:pt>
                <c:pt idx="1661">
                  <c:v>0.30452896138012875</c:v>
                </c:pt>
                <c:pt idx="1662">
                  <c:v>0.3038767216130509</c:v>
                </c:pt>
                <c:pt idx="1663">
                  <c:v>0.30322617605997948</c:v>
                </c:pt>
                <c:pt idx="1664">
                  <c:v>0.30257731952588074</c:v>
                </c:pt>
                <c:pt idx="1665">
                  <c:v>0.30193014680844499</c:v>
                </c:pt>
                <c:pt idx="1666">
                  <c:v>0.30128465274901828</c:v>
                </c:pt>
                <c:pt idx="1667">
                  <c:v>0.30064083220349858</c:v>
                </c:pt>
                <c:pt idx="1668">
                  <c:v>0.29999868005688768</c:v>
                </c:pt>
                <c:pt idx="1669">
                  <c:v>0.29935819117963547</c:v>
                </c:pt>
                <c:pt idx="1670">
                  <c:v>0.29871936049312353</c:v>
                </c:pt>
                <c:pt idx="1671">
                  <c:v>0.29808218291145749</c:v>
                </c:pt>
                <c:pt idx="1672">
                  <c:v>0.29744665339239873</c:v>
                </c:pt>
                <c:pt idx="1673">
                  <c:v>0.29681276688643266</c:v>
                </c:pt>
                <c:pt idx="1674">
                  <c:v>0.29618051838042447</c:v>
                </c:pt>
                <c:pt idx="1675">
                  <c:v>0.2955499028757913</c:v>
                </c:pt>
                <c:pt idx="1676">
                  <c:v>0.29492091538122622</c:v>
                </c:pt>
                <c:pt idx="1677">
                  <c:v>0.29429355093452614</c:v>
                </c:pt>
                <c:pt idx="1678">
                  <c:v>0.29366780458803987</c:v>
                </c:pt>
                <c:pt idx="1679">
                  <c:v>0.29304367139411625</c:v>
                </c:pt>
                <c:pt idx="1680">
                  <c:v>0.29242114645603579</c:v>
                </c:pt>
                <c:pt idx="1681">
                  <c:v>0.29180022488435498</c:v>
                </c:pt>
                <c:pt idx="1682">
                  <c:v>0.29118090176780242</c:v>
                </c:pt>
                <c:pt idx="1683">
                  <c:v>0.29056317227514228</c:v>
                </c:pt>
                <c:pt idx="1684">
                  <c:v>0.28994703153148293</c:v>
                </c:pt>
                <c:pt idx="1685">
                  <c:v>0.28933247474196833</c:v>
                </c:pt>
                <c:pt idx="1686">
                  <c:v>0.28871949708263855</c:v>
                </c:pt>
                <c:pt idx="1687">
                  <c:v>0.28810809374408564</c:v>
                </c:pt>
                <c:pt idx="1688">
                  <c:v>0.28749825996055733</c:v>
                </c:pt>
                <c:pt idx="1689">
                  <c:v>0.28688999097357737</c:v>
                </c:pt>
                <c:pt idx="1690">
                  <c:v>0.28628328203194542</c:v>
                </c:pt>
                <c:pt idx="1691">
                  <c:v>0.28567812842084095</c:v>
                </c:pt>
                <c:pt idx="1692">
                  <c:v>0.28507452540361555</c:v>
                </c:pt>
                <c:pt idx="1693">
                  <c:v>0.2844724683163804</c:v>
                </c:pt>
                <c:pt idx="1694">
                  <c:v>0.28387195247341879</c:v>
                </c:pt>
                <c:pt idx="1695">
                  <c:v>0.28327297318901401</c:v>
                </c:pt>
                <c:pt idx="1696">
                  <c:v>0.2826755258574849</c:v>
                </c:pt>
                <c:pt idx="1697">
                  <c:v>0.28207960581494262</c:v>
                </c:pt>
                <c:pt idx="1698">
                  <c:v>0.28148520847753389</c:v>
                </c:pt>
                <c:pt idx="1699">
                  <c:v>0.28089232921047369</c:v>
                </c:pt>
                <c:pt idx="1700">
                  <c:v>0.28030096348084044</c:v>
                </c:pt>
                <c:pt idx="1701">
                  <c:v>0.27971110668295296</c:v>
                </c:pt>
                <c:pt idx="1702">
                  <c:v>0.27912275430571754</c:v>
                </c:pt>
                <c:pt idx="1703">
                  <c:v>0.27853590177983278</c:v>
                </c:pt>
                <c:pt idx="1704">
                  <c:v>0.27795054460148094</c:v>
                </c:pt>
                <c:pt idx="1705">
                  <c:v>0.27736667829594808</c:v>
                </c:pt>
                <c:pt idx="1706">
                  <c:v>0.27678429832303664</c:v>
                </c:pt>
                <c:pt idx="1707">
                  <c:v>0.27620340027351631</c:v>
                </c:pt>
                <c:pt idx="1708">
                  <c:v>0.27562397965084529</c:v>
                </c:pt>
                <c:pt idx="1709">
                  <c:v>0.27504603203124134</c:v>
                </c:pt>
                <c:pt idx="1710">
                  <c:v>0.27446955298364628</c:v>
                </c:pt>
                <c:pt idx="1711">
                  <c:v>0.27389453811338171</c:v>
                </c:pt>
                <c:pt idx="1712">
                  <c:v>0.2733209830330452</c:v>
                </c:pt>
                <c:pt idx="1713">
                  <c:v>0.27274888332613045</c:v>
                </c:pt>
                <c:pt idx="1714">
                  <c:v>0.27217823468527058</c:v>
                </c:pt>
                <c:pt idx="1715">
                  <c:v>0.27160903270851122</c:v>
                </c:pt>
                <c:pt idx="1716">
                  <c:v>0.2710412731175893</c:v>
                </c:pt>
                <c:pt idx="1717">
                  <c:v>0.2704749515542062</c:v>
                </c:pt>
                <c:pt idx="1718">
                  <c:v>0.26991006372554693</c:v>
                </c:pt>
                <c:pt idx="1719">
                  <c:v>0.26934660536790034</c:v>
                </c:pt>
                <c:pt idx="1720">
                  <c:v>0.26878457217389951</c:v>
                </c:pt>
                <c:pt idx="1721">
                  <c:v>0.2682239599089371</c:v>
                </c:pt>
                <c:pt idx="1722">
                  <c:v>0.26766476433112985</c:v>
                </c:pt>
                <c:pt idx="1723">
                  <c:v>0.26710698119859444</c:v>
                </c:pt>
                <c:pt idx="1724">
                  <c:v>0.26655060631310334</c:v>
                </c:pt>
                <c:pt idx="1725">
                  <c:v>0.26599563545460114</c:v>
                </c:pt>
                <c:pt idx="1726">
                  <c:v>0.26544206446124008</c:v>
                </c:pt>
                <c:pt idx="1727">
                  <c:v>0.26488988915662048</c:v>
                </c:pt>
                <c:pt idx="1728">
                  <c:v>0.26433910537161864</c:v>
                </c:pt>
                <c:pt idx="1729">
                  <c:v>0.26378970899531851</c:v>
                </c:pt>
                <c:pt idx="1730">
                  <c:v>0.2632416958513204</c:v>
                </c:pt>
                <c:pt idx="1731">
                  <c:v>0.26269506187236402</c:v>
                </c:pt>
                <c:pt idx="1732">
                  <c:v>0.26214980294753332</c:v>
                </c:pt>
                <c:pt idx="1733">
                  <c:v>0.26160591499501606</c:v>
                </c:pt>
                <c:pt idx="1734">
                  <c:v>0.26106339390389621</c:v>
                </c:pt>
                <c:pt idx="1735">
                  <c:v>0.26052223568694899</c:v>
                </c:pt>
                <c:pt idx="1736">
                  <c:v>0.25998243625508621</c:v>
                </c:pt>
                <c:pt idx="1737">
                  <c:v>0.25944399159197928</c:v>
                </c:pt>
                <c:pt idx="1738">
                  <c:v>0.25890689766674768</c:v>
                </c:pt>
                <c:pt idx="1739">
                  <c:v>0.25837115050671855</c:v>
                </c:pt>
                <c:pt idx="1740">
                  <c:v>0.2578367461101152</c:v>
                </c:pt>
                <c:pt idx="1741">
                  <c:v>0.25730368049698882</c:v>
                </c:pt>
                <c:pt idx="1742">
                  <c:v>0.25677194972377038</c:v>
                </c:pt>
                <c:pt idx="1743">
                  <c:v>0.25624154982506298</c:v>
                </c:pt>
                <c:pt idx="1744">
                  <c:v>0.2557124768718495</c:v>
                </c:pt>
                <c:pt idx="1745">
                  <c:v>0.25518472695694072</c:v>
                </c:pt>
                <c:pt idx="1746">
                  <c:v>0.25465829617314739</c:v>
                </c:pt>
                <c:pt idx="1747">
                  <c:v>0.25413318060600432</c:v>
                </c:pt>
                <c:pt idx="1748">
                  <c:v>0.25360937639925396</c:v>
                </c:pt>
                <c:pt idx="1749">
                  <c:v>0.25308687967481092</c:v>
                </c:pt>
                <c:pt idx="1750">
                  <c:v>0.2525656865836936</c:v>
                </c:pt>
                <c:pt idx="1751">
                  <c:v>0.25204579328419641</c:v>
                </c:pt>
                <c:pt idx="1752">
                  <c:v>0.25152719595644157</c:v>
                </c:pt>
                <c:pt idx="1753">
                  <c:v>0.25100989075872349</c:v>
                </c:pt>
                <c:pt idx="1754">
                  <c:v>0.25049387394392397</c:v>
                </c:pt>
                <c:pt idx="1755">
                  <c:v>0.24997914166306145</c:v>
                </c:pt>
                <c:pt idx="1756">
                  <c:v>0.24946569018356968</c:v>
                </c:pt>
                <c:pt idx="1757">
                  <c:v>0.24895351572195068</c:v>
                </c:pt>
                <c:pt idx="1758">
                  <c:v>0.24844261454563821</c:v>
                </c:pt>
                <c:pt idx="1759">
                  <c:v>0.24793298290023813</c:v>
                </c:pt>
                <c:pt idx="1760">
                  <c:v>0.24742461706773611</c:v>
                </c:pt>
                <c:pt idx="1761">
                  <c:v>0.24691751334466971</c:v>
                </c:pt>
                <c:pt idx="1762">
                  <c:v>0.24641166802757652</c:v>
                </c:pt>
                <c:pt idx="1763">
                  <c:v>0.24590707742027007</c:v>
                </c:pt>
                <c:pt idx="1764">
                  <c:v>0.24540373786294367</c:v>
                </c:pt>
                <c:pt idx="1765">
                  <c:v>0.24490164568851469</c:v>
                </c:pt>
                <c:pt idx="1766">
                  <c:v>0.24440079725172836</c:v>
                </c:pt>
                <c:pt idx="1767">
                  <c:v>0.24390118890732992</c:v>
                </c:pt>
                <c:pt idx="1768">
                  <c:v>0.24340281703189248</c:v>
                </c:pt>
                <c:pt idx="1769">
                  <c:v>0.24290567803109298</c:v>
                </c:pt>
                <c:pt idx="1770">
                  <c:v>0.24240976828878047</c:v>
                </c:pt>
                <c:pt idx="1771">
                  <c:v>0.24191508420335595</c:v>
                </c:pt>
                <c:pt idx="1772">
                  <c:v>0.241421622238704</c:v>
                </c:pt>
                <c:pt idx="1773">
                  <c:v>0.24092937879322562</c:v>
                </c:pt>
                <c:pt idx="1774">
                  <c:v>0.24043835033808136</c:v>
                </c:pt>
                <c:pt idx="1775">
                  <c:v>0.23994853332987987</c:v>
                </c:pt>
                <c:pt idx="1776">
                  <c:v>0.23945992423250573</c:v>
                </c:pt>
                <c:pt idx="1777">
                  <c:v>0.23897251954622334</c:v>
                </c:pt>
                <c:pt idx="1778">
                  <c:v>0.23848631574219326</c:v>
                </c:pt>
                <c:pt idx="1779">
                  <c:v>0.23800130934250774</c:v>
                </c:pt>
                <c:pt idx="1780">
                  <c:v>0.23751749687653501</c:v>
                </c:pt>
                <c:pt idx="1781">
                  <c:v>0.23703487487364328</c:v>
                </c:pt>
                <c:pt idx="1782">
                  <c:v>0.23655343984864885</c:v>
                </c:pt>
                <c:pt idx="1783">
                  <c:v>0.23607318839640357</c:v>
                </c:pt>
                <c:pt idx="1784">
                  <c:v>0.23559411704627564</c:v>
                </c:pt>
                <c:pt idx="1785">
                  <c:v>0.23511622242222074</c:v>
                </c:pt>
                <c:pt idx="1786">
                  <c:v>0.23463950105360709</c:v>
                </c:pt>
                <c:pt idx="1787">
                  <c:v>0.23416394959349418</c:v>
                </c:pt>
                <c:pt idx="1788">
                  <c:v>0.23368956462218193</c:v>
                </c:pt>
                <c:pt idx="1789">
                  <c:v>0.23321634278545389</c:v>
                </c:pt>
                <c:pt idx="1790">
                  <c:v>0.2327442806927138</c:v>
                </c:pt>
                <c:pt idx="1791">
                  <c:v>0.23227337501157308</c:v>
                </c:pt>
                <c:pt idx="1792">
                  <c:v>0.23180362238781527</c:v>
                </c:pt>
                <c:pt idx="1793">
                  <c:v>0.23133501950360369</c:v>
                </c:pt>
                <c:pt idx="1794">
                  <c:v>0.23086756301199785</c:v>
                </c:pt>
                <c:pt idx="1795">
                  <c:v>0.23040124964609277</c:v>
                </c:pt>
                <c:pt idx="1796">
                  <c:v>0.22993607605167199</c:v>
                </c:pt>
                <c:pt idx="1797">
                  <c:v>0.22947203899093438</c:v>
                </c:pt>
                <c:pt idx="1798">
                  <c:v>0.22900913516059518</c:v>
                </c:pt>
                <c:pt idx="1799">
                  <c:v>0.22854736130102538</c:v>
                </c:pt>
                <c:pt idx="1800">
                  <c:v>0.22808671415987192</c:v>
                </c:pt>
                <c:pt idx="1801">
                  <c:v>0.22762719049933366</c:v>
                </c:pt>
                <c:pt idx="1802">
                  <c:v>0.22716878708160948</c:v>
                </c:pt>
                <c:pt idx="1803">
                  <c:v>0.22671150066889822</c:v>
                </c:pt>
                <c:pt idx="1804">
                  <c:v>0.22625532808160642</c:v>
                </c:pt>
                <c:pt idx="1805">
                  <c:v>0.22580026607465697</c:v>
                </c:pt>
                <c:pt idx="1806">
                  <c:v>0.22534631151938811</c:v>
                </c:pt>
                <c:pt idx="1807">
                  <c:v>0.22489346117072273</c:v>
                </c:pt>
                <c:pt idx="1808">
                  <c:v>0.22444171190727502</c:v>
                </c:pt>
                <c:pt idx="1809">
                  <c:v>0.22399106055672746</c:v>
                </c:pt>
                <c:pt idx="1810">
                  <c:v>0.22354150395403849</c:v>
                </c:pt>
                <c:pt idx="1811">
                  <c:v>0.22309303898509825</c:v>
                </c:pt>
                <c:pt idx="1812">
                  <c:v>0.22264566250669304</c:v>
                </c:pt>
                <c:pt idx="1813">
                  <c:v>0.22219937141926493</c:v>
                </c:pt>
                <c:pt idx="1814">
                  <c:v>0.22175416259415215</c:v>
                </c:pt>
                <c:pt idx="1815">
                  <c:v>0.22131003296090057</c:v>
                </c:pt>
                <c:pt idx="1816">
                  <c:v>0.22086697939812439</c:v>
                </c:pt>
                <c:pt idx="1817">
                  <c:v>0.22042499887174927</c:v>
                </c:pt>
                <c:pt idx="1818">
                  <c:v>0.21998408829676919</c:v>
                </c:pt>
                <c:pt idx="1819">
                  <c:v>0.21954424460273003</c:v>
                </c:pt>
                <c:pt idx="1820">
                  <c:v>0.21910546476283344</c:v>
                </c:pt>
                <c:pt idx="1821">
                  <c:v>0.21866774574300507</c:v>
                </c:pt>
                <c:pt idx="1822">
                  <c:v>0.21823108451644657</c:v>
                </c:pt>
                <c:pt idx="1823">
                  <c:v>0.21779547804908361</c:v>
                </c:pt>
                <c:pt idx="1824">
                  <c:v>0.21736092336504953</c:v>
                </c:pt>
                <c:pt idx="1825">
                  <c:v>0.21692741745209787</c:v>
                </c:pt>
                <c:pt idx="1826">
                  <c:v>0.2164949573125341</c:v>
                </c:pt>
                <c:pt idx="1827">
                  <c:v>0.21606354000687134</c:v>
                </c:pt>
                <c:pt idx="1828">
                  <c:v>0.21563316253013909</c:v>
                </c:pt>
                <c:pt idx="1829">
                  <c:v>0.2152038219574024</c:v>
                </c:pt>
                <c:pt idx="1830">
                  <c:v>0.2147755153127946</c:v>
                </c:pt>
                <c:pt idx="1831">
                  <c:v>0.21434823968593264</c:v>
                </c:pt>
                <c:pt idx="1832">
                  <c:v>0.21392199213732965</c:v>
                </c:pt>
                <c:pt idx="1833">
                  <c:v>0.21349676974932663</c:v>
                </c:pt>
                <c:pt idx="1834">
                  <c:v>0.21307256961154053</c:v>
                </c:pt>
                <c:pt idx="1835">
                  <c:v>0.21264938884269213</c:v>
                </c:pt>
                <c:pt idx="1836">
                  <c:v>0.21222722452512244</c:v>
                </c:pt>
                <c:pt idx="1837">
                  <c:v>0.2118060737993801</c:v>
                </c:pt>
                <c:pt idx="1838">
                  <c:v>0.21138593378418591</c:v>
                </c:pt>
                <c:pt idx="1839">
                  <c:v>0.21096680164191639</c:v>
                </c:pt>
                <c:pt idx="1840">
                  <c:v>0.21054867449856829</c:v>
                </c:pt>
                <c:pt idx="1841">
                  <c:v>0.21013154950196622</c:v>
                </c:pt>
                <c:pt idx="1842">
                  <c:v>0.20971542386541842</c:v>
                </c:pt>
                <c:pt idx="1843">
                  <c:v>0.20930029471492162</c:v>
                </c:pt>
                <c:pt idx="1844">
                  <c:v>0.20888615925650811</c:v>
                </c:pt>
                <c:pt idx="1845">
                  <c:v>0.20847301469621016</c:v>
                </c:pt>
                <c:pt idx="1846">
                  <c:v>0.20806085822550813</c:v>
                </c:pt>
                <c:pt idx="1847">
                  <c:v>0.20764968705771025</c:v>
                </c:pt>
                <c:pt idx="1848">
                  <c:v>0.20723949842795264</c:v>
                </c:pt>
                <c:pt idx="1849">
                  <c:v>0.20683028953499161</c:v>
                </c:pt>
                <c:pt idx="1850">
                  <c:v>0.20642205765761901</c:v>
                </c:pt>
                <c:pt idx="1851">
                  <c:v>0.20601480003097095</c:v>
                </c:pt>
                <c:pt idx="1852">
                  <c:v>0.2056085139120114</c:v>
                </c:pt>
                <c:pt idx="1853">
                  <c:v>0.20520319655770436</c:v>
                </c:pt>
                <c:pt idx="1854">
                  <c:v>0.20479884525411762</c:v>
                </c:pt>
                <c:pt idx="1855">
                  <c:v>0.20439545730187092</c:v>
                </c:pt>
                <c:pt idx="1856">
                  <c:v>0.20399302996520419</c:v>
                </c:pt>
                <c:pt idx="1857">
                  <c:v>0.20359156056656502</c:v>
                </c:pt>
                <c:pt idx="1858">
                  <c:v>0.20319104640657315</c:v>
                </c:pt>
                <c:pt idx="1859">
                  <c:v>0.20279148482222809</c:v>
                </c:pt>
                <c:pt idx="1860">
                  <c:v>0.20239287312142551</c:v>
                </c:pt>
                <c:pt idx="1861">
                  <c:v>0.20199520864844089</c:v>
                </c:pt>
                <c:pt idx="1862">
                  <c:v>0.20159848876210162</c:v>
                </c:pt>
                <c:pt idx="1863">
                  <c:v>0.20120271079213126</c:v>
                </c:pt>
                <c:pt idx="1864">
                  <c:v>0.20080787213373696</c:v>
                </c:pt>
                <c:pt idx="1865">
                  <c:v>0.20041397012391826</c:v>
                </c:pt>
                <c:pt idx="1866">
                  <c:v>0.20002100217243424</c:v>
                </c:pt>
                <c:pt idx="1867">
                  <c:v>0.19962896565266419</c:v>
                </c:pt>
                <c:pt idx="1868">
                  <c:v>0.19923785796709126</c:v>
                </c:pt>
                <c:pt idx="1869">
                  <c:v>0.19884767651819857</c:v>
                </c:pt>
                <c:pt idx="1870">
                  <c:v>0.19845841871574521</c:v>
                </c:pt>
                <c:pt idx="1871">
                  <c:v>0.19807008199859411</c:v>
                </c:pt>
                <c:pt idx="1872">
                  <c:v>0.19768266376922838</c:v>
                </c:pt>
                <c:pt idx="1873">
                  <c:v>0.19729616150289075</c:v>
                </c:pt>
                <c:pt idx="1874">
                  <c:v>0.19691057261661626</c:v>
                </c:pt>
                <c:pt idx="1875">
                  <c:v>0.19652589457837166</c:v>
                </c:pt>
                <c:pt idx="1876">
                  <c:v>0.19614212484884774</c:v>
                </c:pt>
                <c:pt idx="1877">
                  <c:v>0.19575926091056317</c:v>
                </c:pt>
                <c:pt idx="1878">
                  <c:v>0.19537730021693278</c:v>
                </c:pt>
                <c:pt idx="1879">
                  <c:v>0.19499624028685503</c:v>
                </c:pt>
                <c:pt idx="1880">
                  <c:v>0.19461607859557262</c:v>
                </c:pt>
                <c:pt idx="1881">
                  <c:v>0.19423681264743209</c:v>
                </c:pt>
                <c:pt idx="1882">
                  <c:v>0.19385843997588381</c:v>
                </c:pt>
                <c:pt idx="1883">
                  <c:v>0.19348095808527432</c:v>
                </c:pt>
                <c:pt idx="1884">
                  <c:v>0.19310436448722612</c:v>
                </c:pt>
                <c:pt idx="1885">
                  <c:v>0.19272865675884532</c:v>
                </c:pt>
                <c:pt idx="1886">
                  <c:v>0.19235383240447845</c:v>
                </c:pt>
                <c:pt idx="1887">
                  <c:v>0.19197988898667973</c:v>
                </c:pt>
                <c:pt idx="1888">
                  <c:v>0.19160682408983121</c:v>
                </c:pt>
                <c:pt idx="1889">
                  <c:v>0.19123463525465922</c:v>
                </c:pt>
                <c:pt idx="1890">
                  <c:v>0.19086332005099393</c:v>
                </c:pt>
                <c:pt idx="1891">
                  <c:v>0.19049287608504528</c:v>
                </c:pt>
                <c:pt idx="1892">
                  <c:v>0.19012330093391938</c:v>
                </c:pt>
                <c:pt idx="1893">
                  <c:v>0.18975459220382618</c:v>
                </c:pt>
                <c:pt idx="1894">
                  <c:v>0.1893867474864237</c:v>
                </c:pt>
                <c:pt idx="1895">
                  <c:v>0.18901976440974977</c:v>
                </c:pt>
                <c:pt idx="1896">
                  <c:v>0.18865364059456624</c:v>
                </c:pt>
                <c:pt idx="1897">
                  <c:v>0.18828837365435902</c:v>
                </c:pt>
                <c:pt idx="1898">
                  <c:v>0.18792396124626976</c:v>
                </c:pt>
                <c:pt idx="1899">
                  <c:v>0.18756040100561222</c:v>
                </c:pt>
                <c:pt idx="1900">
                  <c:v>0.18719769056770019</c:v>
                </c:pt>
                <c:pt idx="1901">
                  <c:v>0.18683582762605511</c:v>
                </c:pt>
                <c:pt idx="1902">
                  <c:v>0.18647480980871478</c:v>
                </c:pt>
                <c:pt idx="1903">
                  <c:v>0.18611463483102852</c:v>
                </c:pt>
                <c:pt idx="1904">
                  <c:v>0.18575530032831011</c:v>
                </c:pt>
                <c:pt idx="1905">
                  <c:v>0.18539680403046077</c:v>
                </c:pt>
                <c:pt idx="1906">
                  <c:v>0.1850391436018981</c:v>
                </c:pt>
                <c:pt idx="1907">
                  <c:v>0.18468231677979929</c:v>
                </c:pt>
                <c:pt idx="1908">
                  <c:v>0.18432632122858195</c:v>
                </c:pt>
                <c:pt idx="1909">
                  <c:v>0.18397115471452707</c:v>
                </c:pt>
                <c:pt idx="1910">
                  <c:v>0.18361681492388016</c:v>
                </c:pt>
                <c:pt idx="1911">
                  <c:v>0.18326329960837029</c:v>
                </c:pt>
                <c:pt idx="1912">
                  <c:v>0.18291060651972657</c:v>
                </c:pt>
                <c:pt idx="1913">
                  <c:v>0.18255873336602235</c:v>
                </c:pt>
                <c:pt idx="1914">
                  <c:v>0.18220767794264248</c:v>
                </c:pt>
                <c:pt idx="1915">
                  <c:v>0.18185743798676413</c:v>
                </c:pt>
                <c:pt idx="1916">
                  <c:v>0.18150801126466831</c:v>
                </c:pt>
                <c:pt idx="1917">
                  <c:v>0.18115939557173988</c:v>
                </c:pt>
                <c:pt idx="1918">
                  <c:v>0.18081158866698388</c:v>
                </c:pt>
                <c:pt idx="1919">
                  <c:v>0.18046458835306112</c:v>
                </c:pt>
                <c:pt idx="1920">
                  <c:v>0.18011839241808048</c:v>
                </c:pt>
                <c:pt idx="1921">
                  <c:v>0.17977299867925467</c:v>
                </c:pt>
                <c:pt idx="1922">
                  <c:v>0.17942840492469259</c:v>
                </c:pt>
                <c:pt idx="1923">
                  <c:v>0.17908460898615886</c:v>
                </c:pt>
                <c:pt idx="1924">
                  <c:v>0.17874160868814215</c:v>
                </c:pt>
                <c:pt idx="1925">
                  <c:v>0.17839940185513115</c:v>
                </c:pt>
                <c:pt idx="1926">
                  <c:v>0.17805798632616643</c:v>
                </c:pt>
                <c:pt idx="1927">
                  <c:v>0.1777173599548405</c:v>
                </c:pt>
                <c:pt idx="1928">
                  <c:v>0.177377520572918</c:v>
                </c:pt>
                <c:pt idx="1929">
                  <c:v>0.17703846604854334</c:v>
                </c:pt>
                <c:pt idx="1930">
                  <c:v>0.1767001942571369</c:v>
                </c:pt>
                <c:pt idx="1931">
                  <c:v>0.17636270304501522</c:v>
                </c:pt>
                <c:pt idx="1932">
                  <c:v>0.17602599030942656</c:v>
                </c:pt>
                <c:pt idx="1933">
                  <c:v>0.1756900539403432</c:v>
                </c:pt>
                <c:pt idx="1934">
                  <c:v>0.17535489180590957</c:v>
                </c:pt>
                <c:pt idx="1935">
                  <c:v>0.17502050182520179</c:v>
                </c:pt>
                <c:pt idx="1936">
                  <c:v>0.17468688188091619</c:v>
                </c:pt>
                <c:pt idx="1937">
                  <c:v>0.17435402991395677</c:v>
                </c:pt>
                <c:pt idx="1938">
                  <c:v>0.17402194381429581</c:v>
                </c:pt>
                <c:pt idx="1939">
                  <c:v>0.17369062152283732</c:v>
                </c:pt>
                <c:pt idx="1940">
                  <c:v>0.17336006095865741</c:v>
                </c:pt>
                <c:pt idx="1941">
                  <c:v>0.17303026006993605</c:v>
                </c:pt>
                <c:pt idx="1942">
                  <c:v>0.17270121679030126</c:v>
                </c:pt>
                <c:pt idx="1943">
                  <c:v>0.17237292907520896</c:v>
                </c:pt>
                <c:pt idx="1944">
                  <c:v>0.17204539488011505</c:v>
                </c:pt>
                <c:pt idx="1945">
                  <c:v>0.17171861216047546</c:v>
                </c:pt>
                <c:pt idx="1946">
                  <c:v>0.17139257890084991</c:v>
                </c:pt>
                <c:pt idx="1947">
                  <c:v>0.1710672930785222</c:v>
                </c:pt>
                <c:pt idx="1948">
                  <c:v>0.17074275263439631</c:v>
                </c:pt>
                <c:pt idx="1949">
                  <c:v>0.17041895561851561</c:v>
                </c:pt>
                <c:pt idx="1950">
                  <c:v>0.17009589997906005</c:v>
                </c:pt>
                <c:pt idx="1951">
                  <c:v>0.16977358372241724</c:v>
                </c:pt>
                <c:pt idx="1952">
                  <c:v>0.16945200488407863</c:v>
                </c:pt>
                <c:pt idx="1953">
                  <c:v>0.169131161441328</c:v>
                </c:pt>
                <c:pt idx="1954">
                  <c:v>0.16881105143693276</c:v>
                </c:pt>
                <c:pt idx="1955">
                  <c:v>0.16849167289183242</c:v>
                </c:pt>
                <c:pt idx="1956">
                  <c:v>0.16817302381241461</c:v>
                </c:pt>
                <c:pt idx="1957">
                  <c:v>0.16785510228510248</c:v>
                </c:pt>
                <c:pt idx="1958">
                  <c:v>0.16753790631628362</c:v>
                </c:pt>
                <c:pt idx="1959">
                  <c:v>0.16722143396327738</c:v>
                </c:pt>
                <c:pt idx="1960">
                  <c:v>0.16690568329067901</c:v>
                </c:pt>
                <c:pt idx="1961">
                  <c:v>0.16659065234125592</c:v>
                </c:pt>
                <c:pt idx="1962">
                  <c:v>0.16627633921598317</c:v>
                </c:pt>
                <c:pt idx="1963">
                  <c:v>0.16596274194307625</c:v>
                </c:pt>
                <c:pt idx="1964">
                  <c:v>0.1656498586453381</c:v>
                </c:pt>
                <c:pt idx="1965">
                  <c:v>0.16533768739463994</c:v>
                </c:pt>
                <c:pt idx="1966">
                  <c:v>0.16502622627012897</c:v>
                </c:pt>
                <c:pt idx="1967">
                  <c:v>0.16471547338005621</c:v>
                </c:pt>
                <c:pt idx="1968">
                  <c:v>0.16440542681812076</c:v>
                </c:pt>
                <c:pt idx="1969">
                  <c:v>0.16409608472895343</c:v>
                </c:pt>
                <c:pt idx="1970">
                  <c:v>0.16378744516259758</c:v>
                </c:pt>
                <c:pt idx="1971">
                  <c:v>0.16347950631461572</c:v>
                </c:pt>
                <c:pt idx="1972">
                  <c:v>0.16317226624232717</c:v>
                </c:pt>
                <c:pt idx="1973">
                  <c:v>0.16286572314129444</c:v>
                </c:pt>
                <c:pt idx="1974">
                  <c:v>0.16255987509794068</c:v>
                </c:pt>
                <c:pt idx="1975">
                  <c:v>0.16225472029327648</c:v>
                </c:pt>
                <c:pt idx="1976">
                  <c:v>0.16195025685010478</c:v>
                </c:pt>
                <c:pt idx="1977">
                  <c:v>0.16164648294943618</c:v>
                </c:pt>
                <c:pt idx="1978">
                  <c:v>0.16134339672134956</c:v>
                </c:pt>
                <c:pt idx="1979">
                  <c:v>0.16104099636868341</c:v>
                </c:pt>
                <c:pt idx="1980">
                  <c:v>0.16073928003606852</c:v>
                </c:pt>
                <c:pt idx="1981">
                  <c:v>0.16043824591906741</c:v>
                </c:pt>
                <c:pt idx="1982">
                  <c:v>0.16013789218413876</c:v>
                </c:pt>
                <c:pt idx="1983">
                  <c:v>0.159838217041397</c:v>
                </c:pt>
                <c:pt idx="1984">
                  <c:v>0.15953921866457677</c:v>
                </c:pt>
                <c:pt idx="1985">
                  <c:v>0.15924089527106844</c:v>
                </c:pt>
                <c:pt idx="1986">
                  <c:v>0.15894324504915858</c:v>
                </c:pt>
                <c:pt idx="1987">
                  <c:v>0.15864626623806544</c:v>
                </c:pt>
                <c:pt idx="1988">
                  <c:v>0.15834995702607557</c:v>
                </c:pt>
                <c:pt idx="1989">
                  <c:v>0.15805431565240724</c:v>
                </c:pt>
                <c:pt idx="1990">
                  <c:v>0.15775934033445083</c:v>
                </c:pt>
                <c:pt idx="1991">
                  <c:v>0.1574650293259765</c:v>
                </c:pt>
                <c:pt idx="1992">
                  <c:v>0.15717138082982274</c:v>
                </c:pt>
                <c:pt idx="1993">
                  <c:v>0.15687839312886354</c:v>
                </c:pt>
                <c:pt idx="1994">
                  <c:v>0.15658606444048928</c:v>
                </c:pt>
                <c:pt idx="1995">
                  <c:v>0.15629439304029802</c:v>
                </c:pt>
                <c:pt idx="1996">
                  <c:v>0.15600337719661184</c:v>
                </c:pt>
                <c:pt idx="1997">
                  <c:v>0.15571301513409708</c:v>
                </c:pt>
                <c:pt idx="1998">
                  <c:v>0.15542330515745562</c:v>
                </c:pt>
                <c:pt idx="1999">
                  <c:v>0.15513424555683741</c:v>
                </c:pt>
                <c:pt idx="2000">
                  <c:v>0.15484583456418477</c:v>
                </c:pt>
                <c:pt idx="2001">
                  <c:v>0.15455807050602743</c:v>
                </c:pt>
              </c:numCache>
            </c:numRef>
          </c:val>
          <c:smooth val="0"/>
          <c:extLst xmlns:c16r2="http://schemas.microsoft.com/office/drawing/2015/06/chart">
            <c:ext xmlns:c16="http://schemas.microsoft.com/office/drawing/2014/chart" uri="{C3380CC4-5D6E-409C-BE32-E72D297353CC}">
              <c16:uniqueId val="{00000000-555F-4318-AF32-3105A3CD2F27}"/>
            </c:ext>
          </c:extLst>
        </c:ser>
        <c:dLbls>
          <c:showLegendKey val="0"/>
          <c:showVal val="0"/>
          <c:showCatName val="0"/>
          <c:showSerName val="0"/>
          <c:showPercent val="0"/>
          <c:showBubbleSize val="0"/>
        </c:dLbls>
        <c:marker val="1"/>
        <c:smooth val="0"/>
        <c:axId val="44026880"/>
        <c:axId val="43385984"/>
      </c:lineChart>
      <c:catAx>
        <c:axId val="44026880"/>
        <c:scaling>
          <c:orientation val="minMax"/>
        </c:scaling>
        <c:delete val="0"/>
        <c:axPos val="b"/>
        <c:title>
          <c:tx>
            <c:rich>
              <a:bodyPr/>
              <a:lstStyle/>
              <a:p>
                <a:pPr>
                  <a:defRPr sz="1200"/>
                </a:pPr>
                <a:r>
                  <a:rPr lang="en-GB" sz="1200"/>
                  <a:t>Minutes</a:t>
                </a:r>
                <a:r>
                  <a:rPr lang="en-GB" sz="1200" baseline="0"/>
                  <a:t> per day of active travel</a:t>
                </a:r>
              </a:p>
            </c:rich>
          </c:tx>
          <c:overlay val="0"/>
        </c:title>
        <c:numFmt formatCode="0" sourceLinked="1"/>
        <c:majorTickMark val="out"/>
        <c:minorTickMark val="none"/>
        <c:tickLblPos val="nextTo"/>
        <c:crossAx val="43385984"/>
        <c:crosses val="autoZero"/>
        <c:auto val="1"/>
        <c:lblAlgn val="ctr"/>
        <c:lblOffset val="100"/>
        <c:tickLblSkip val="105"/>
        <c:noMultiLvlLbl val="0"/>
      </c:catAx>
      <c:valAx>
        <c:axId val="43385984"/>
        <c:scaling>
          <c:orientation val="minMax"/>
        </c:scaling>
        <c:delete val="0"/>
        <c:axPos val="l"/>
        <c:majorGridlines/>
        <c:title>
          <c:tx>
            <c:rich>
              <a:bodyPr rot="-5400000" vert="horz"/>
              <a:lstStyle/>
              <a:p>
                <a:pPr>
                  <a:defRPr sz="1200"/>
                </a:pPr>
                <a:r>
                  <a:rPr lang="en-GB" sz="1200"/>
                  <a:t>Populatoin Desnity</a:t>
                </a:r>
                <a:r>
                  <a:rPr lang="en-GB" sz="1200" baseline="0"/>
                  <a:t> Function</a:t>
                </a:r>
                <a:endParaRPr lang="en-GB" sz="1200"/>
              </a:p>
            </c:rich>
          </c:tx>
          <c:overlay val="0"/>
        </c:title>
        <c:numFmt formatCode="#,##0" sourceLinked="0"/>
        <c:majorTickMark val="out"/>
        <c:minorTickMark val="none"/>
        <c:tickLblPos val="nextTo"/>
        <c:crossAx val="44026880"/>
        <c:crossesAt val="1"/>
        <c:crossBetween val="between"/>
      </c:valAx>
    </c:plotArea>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9</xdr:col>
      <xdr:colOff>359020</xdr:colOff>
      <xdr:row>3</xdr:row>
      <xdr:rowOff>81644</xdr:rowOff>
    </xdr:from>
    <xdr:to>
      <xdr:col>15</xdr:col>
      <xdr:colOff>317499</xdr:colOff>
      <xdr:row>21</xdr:row>
      <xdr:rowOff>116417</xdr:rowOff>
    </xdr:to>
    <xdr:graphicFrame macro="">
      <xdr:nvGraphicFramePr>
        <xdr:cNvPr id="6" name="Chart 5">
          <a:extLst>
            <a:ext uri="{FF2B5EF4-FFF2-40B4-BE49-F238E27FC236}">
              <a16:creationId xmlns:a16="http://schemas.microsoft.com/office/drawing/2014/main" xmlns=""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489857</xdr:colOff>
      <xdr:row>3</xdr:row>
      <xdr:rowOff>112940</xdr:rowOff>
    </xdr:from>
    <xdr:to>
      <xdr:col>21</xdr:col>
      <xdr:colOff>433917</xdr:colOff>
      <xdr:row>21</xdr:row>
      <xdr:rowOff>127000</xdr:rowOff>
    </xdr:to>
    <xdr:graphicFrame macro="">
      <xdr:nvGraphicFramePr>
        <xdr:cNvPr id="7" name="Chart 6">
          <a:extLst>
            <a:ext uri="{FF2B5EF4-FFF2-40B4-BE49-F238E27FC236}">
              <a16:creationId xmlns:a16="http://schemas.microsoft.com/office/drawing/2014/main" xmlns=""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134005</xdr:colOff>
      <xdr:row>17</xdr:row>
      <xdr:rowOff>45109</xdr:rowOff>
    </xdr:from>
    <xdr:to>
      <xdr:col>29</xdr:col>
      <xdr:colOff>187390</xdr:colOff>
      <xdr:row>42</xdr:row>
      <xdr:rowOff>78557</xdr:rowOff>
    </xdr:to>
    <xdr:graphicFrame macro="">
      <xdr:nvGraphicFramePr>
        <xdr:cNvPr id="2" name="Chart 1">
          <a:extLst>
            <a:ext uri="{FF2B5EF4-FFF2-40B4-BE49-F238E27FC236}">
              <a16:creationId xmlns:a16="http://schemas.microsoft.com/office/drawing/2014/main" xmlns=""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ft.gov.uk/TSGB00/8-01-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OR0211097\Application%20Data\Microsoft\Excel\TO%20ITHIM%20Tool\FrontPage%20Mockup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SGB1998\SECTION1\1-13-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 val="8-01-98.XLS"/>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tailed outputs"/>
      <sheetName val="Conversions"/>
      <sheetName val="Counties"/>
    </sheetNames>
    <sheetDataSet>
      <sheetData sheetId="0" refreshError="1"/>
      <sheetData sheetId="1">
        <row r="6">
          <cell r="A6" t="str">
            <v>Physical Activity</v>
          </cell>
        </row>
      </sheetData>
      <sheetData sheetId="2" refreshError="1"/>
      <sheetData sheetId="3">
        <row r="1">
          <cell r="A1" t="str">
            <v>Baker</v>
          </cell>
        </row>
        <row r="2">
          <cell r="A2" t="str">
            <v>Benton</v>
          </cell>
        </row>
        <row r="3">
          <cell r="A3" t="str">
            <v>Clackamas</v>
          </cell>
        </row>
        <row r="4">
          <cell r="A4" t="str">
            <v>Clatsop</v>
          </cell>
        </row>
        <row r="5">
          <cell r="A5" t="str">
            <v>Columbia</v>
          </cell>
        </row>
        <row r="6">
          <cell r="A6" t="str">
            <v>Coos</v>
          </cell>
        </row>
        <row r="7">
          <cell r="A7" t="str">
            <v>Crook</v>
          </cell>
        </row>
        <row r="8">
          <cell r="A8" t="str">
            <v>Curry</v>
          </cell>
        </row>
        <row r="9">
          <cell r="A9" t="str">
            <v>Deschutes</v>
          </cell>
        </row>
        <row r="10">
          <cell r="A10" t="str">
            <v>Douglas</v>
          </cell>
        </row>
        <row r="11">
          <cell r="A11" t="str">
            <v>Gilliam</v>
          </cell>
        </row>
        <row r="12">
          <cell r="A12" t="str">
            <v>Grant</v>
          </cell>
        </row>
        <row r="13">
          <cell r="A13" t="str">
            <v>Harney</v>
          </cell>
        </row>
        <row r="14">
          <cell r="A14" t="str">
            <v>Hood River</v>
          </cell>
        </row>
        <row r="15">
          <cell r="A15" t="str">
            <v>Jackson</v>
          </cell>
        </row>
        <row r="16">
          <cell r="A16" t="str">
            <v>Jefferson</v>
          </cell>
        </row>
        <row r="17">
          <cell r="A17" t="str">
            <v>Josephine</v>
          </cell>
        </row>
        <row r="18">
          <cell r="A18" t="str">
            <v>Silly head</v>
          </cell>
        </row>
        <row r="19">
          <cell r="A19" t="str">
            <v>Lake</v>
          </cell>
          <cell r="C19">
            <v>1</v>
          </cell>
        </row>
        <row r="20">
          <cell r="A20" t="str">
            <v>Lane</v>
          </cell>
          <cell r="C20">
            <v>5</v>
          </cell>
        </row>
        <row r="21">
          <cell r="A21" t="str">
            <v>Lincoln</v>
          </cell>
          <cell r="C21">
            <v>10</v>
          </cell>
        </row>
        <row r="22">
          <cell r="A22" t="str">
            <v>Linn</v>
          </cell>
          <cell r="C22">
            <v>2025</v>
          </cell>
        </row>
        <row r="23">
          <cell r="A23" t="str">
            <v>Malheur</v>
          </cell>
          <cell r="C23">
            <v>2030</v>
          </cell>
        </row>
        <row r="24">
          <cell r="A24" t="str">
            <v>Marion</v>
          </cell>
          <cell r="C24">
            <v>2035</v>
          </cell>
        </row>
        <row r="25">
          <cell r="A25" t="str">
            <v>Morrow</v>
          </cell>
          <cell r="C25">
            <v>2040</v>
          </cell>
        </row>
        <row r="26">
          <cell r="A26" t="str">
            <v>Multnomah</v>
          </cell>
          <cell r="C26">
            <v>2045</v>
          </cell>
        </row>
        <row r="27">
          <cell r="A27" t="str">
            <v>Polk</v>
          </cell>
          <cell r="C27">
            <v>2050</v>
          </cell>
        </row>
        <row r="28">
          <cell r="A28" t="str">
            <v>Sherman</v>
          </cell>
        </row>
        <row r="29">
          <cell r="A29" t="str">
            <v>Tillamook</v>
          </cell>
        </row>
        <row r="30">
          <cell r="A30" t="str">
            <v>Umatilla</v>
          </cell>
        </row>
        <row r="31">
          <cell r="A31" t="str">
            <v>Union</v>
          </cell>
        </row>
        <row r="32">
          <cell r="A32" t="str">
            <v>Wallowa</v>
          </cell>
        </row>
        <row r="33">
          <cell r="A33" t="str">
            <v>Wasco</v>
          </cell>
        </row>
        <row r="34">
          <cell r="A34" t="str">
            <v>Washington</v>
          </cell>
        </row>
        <row r="35">
          <cell r="A35" t="str">
            <v>Wheeler</v>
          </cell>
        </row>
        <row r="36">
          <cell r="A36" t="str">
            <v>Yamhill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efreshError="1">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 val="8-01-98.XLS"/>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abSelected="1" workbookViewId="0">
      <selection activeCell="A13" sqref="A13:O13"/>
    </sheetView>
  </sheetViews>
  <sheetFormatPr defaultColWidth="8.85546875" defaultRowHeight="15" x14ac:dyDescent="0.25"/>
  <cols>
    <col min="1" max="16384" width="8.85546875" style="96"/>
  </cols>
  <sheetData>
    <row r="1" spans="1:15" x14ac:dyDescent="0.25">
      <c r="A1" s="750"/>
      <c r="B1" s="750"/>
      <c r="C1" s="750"/>
      <c r="D1" s="750"/>
      <c r="E1" s="750"/>
      <c r="F1" s="750"/>
      <c r="G1" s="750"/>
      <c r="H1" s="750"/>
      <c r="I1" s="750"/>
      <c r="J1" s="750"/>
      <c r="K1" s="750"/>
      <c r="L1" s="750"/>
      <c r="M1" s="750"/>
      <c r="N1" s="750"/>
      <c r="O1" s="751"/>
    </row>
    <row r="2" spans="1:15" ht="28.5" x14ac:dyDescent="0.45">
      <c r="A2" s="752" t="s">
        <v>234</v>
      </c>
      <c r="B2" s="752"/>
      <c r="C2" s="752"/>
      <c r="D2" s="752"/>
      <c r="E2" s="752"/>
      <c r="F2" s="752"/>
      <c r="G2" s="752"/>
      <c r="H2" s="752"/>
      <c r="I2" s="752"/>
      <c r="J2" s="752"/>
      <c r="K2" s="750"/>
      <c r="L2" s="750"/>
      <c r="M2" s="750"/>
      <c r="N2" s="750"/>
      <c r="O2" s="751"/>
    </row>
    <row r="3" spans="1:15" ht="28.5" x14ac:dyDescent="0.45">
      <c r="A3" s="753"/>
      <c r="B3" s="753"/>
      <c r="C3" s="753"/>
      <c r="D3" s="753"/>
      <c r="E3" s="753"/>
      <c r="F3" s="753"/>
      <c r="G3" s="750"/>
      <c r="H3" s="750"/>
      <c r="I3" s="750"/>
      <c r="J3" s="750"/>
      <c r="K3" s="750"/>
      <c r="L3" s="750"/>
      <c r="M3" s="750"/>
      <c r="N3" s="750"/>
      <c r="O3" s="751"/>
    </row>
    <row r="4" spans="1:15" ht="28.5" x14ac:dyDescent="0.45">
      <c r="A4" s="754" t="s">
        <v>235</v>
      </c>
      <c r="B4" s="753"/>
      <c r="C4" s="753"/>
      <c r="D4" s="753"/>
      <c r="E4" s="753"/>
      <c r="F4" s="753"/>
      <c r="G4" s="750"/>
      <c r="H4" s="750"/>
      <c r="I4" s="750"/>
      <c r="J4" s="750"/>
      <c r="K4" s="750"/>
      <c r="L4" s="750"/>
      <c r="M4" s="750"/>
      <c r="N4" s="750"/>
      <c r="O4" s="751"/>
    </row>
    <row r="5" spans="1:15" x14ac:dyDescent="0.25">
      <c r="A5" s="750"/>
      <c r="B5" s="750"/>
      <c r="C5" s="750"/>
      <c r="D5" s="750"/>
      <c r="E5" s="750"/>
      <c r="F5" s="750"/>
      <c r="G5" s="750"/>
      <c r="H5" s="750"/>
      <c r="I5" s="750"/>
      <c r="J5" s="750"/>
      <c r="K5" s="750"/>
      <c r="L5" s="750"/>
      <c r="M5" s="750"/>
      <c r="N5" s="750"/>
      <c r="O5" s="751"/>
    </row>
    <row r="6" spans="1:15" ht="37.5" customHeight="1" x14ac:dyDescent="0.25">
      <c r="A6" s="1043" t="s">
        <v>515</v>
      </c>
      <c r="B6" s="1043"/>
      <c r="C6" s="1043"/>
      <c r="D6" s="1043"/>
      <c r="E6" s="1043"/>
      <c r="F6" s="1043"/>
      <c r="G6" s="1043"/>
      <c r="H6" s="1043"/>
      <c r="I6" s="1043"/>
      <c r="J6" s="1043"/>
      <c r="K6" s="1043"/>
      <c r="L6" s="1043"/>
      <c r="M6" s="1043"/>
      <c r="N6" s="1043"/>
      <c r="O6" s="1044"/>
    </row>
    <row r="7" spans="1:15" x14ac:dyDescent="0.25">
      <c r="A7" s="750"/>
      <c r="B7" s="750"/>
      <c r="C7" s="750"/>
      <c r="D7" s="750"/>
      <c r="E7" s="750"/>
      <c r="F7" s="750"/>
      <c r="G7" s="750"/>
      <c r="H7" s="750"/>
      <c r="I7" s="750"/>
      <c r="J7" s="750"/>
      <c r="K7" s="750"/>
      <c r="L7" s="750"/>
      <c r="M7" s="750"/>
      <c r="N7" s="750"/>
      <c r="O7" s="751"/>
    </row>
    <row r="8" spans="1:15" ht="18.75" x14ac:dyDescent="0.3">
      <c r="A8" s="755" t="s">
        <v>602</v>
      </c>
      <c r="B8" s="750"/>
      <c r="C8" s="750"/>
      <c r="D8" s="750"/>
      <c r="E8" s="750"/>
      <c r="F8" s="750"/>
      <c r="G8" s="750"/>
      <c r="H8" s="750"/>
      <c r="I8" s="750"/>
      <c r="J8" s="750"/>
      <c r="K8" s="750"/>
      <c r="L8" s="750"/>
      <c r="M8" s="750"/>
      <c r="N8" s="750"/>
      <c r="O8" s="751"/>
    </row>
    <row r="9" spans="1:15" ht="18.75" x14ac:dyDescent="0.3">
      <c r="A9" s="755" t="s">
        <v>613</v>
      </c>
      <c r="B9" s="750"/>
      <c r="C9" s="750"/>
      <c r="D9" s="750"/>
      <c r="E9" s="750"/>
      <c r="F9" s="750"/>
      <c r="G9" s="750"/>
      <c r="H9" s="750"/>
      <c r="I9" s="750"/>
      <c r="J9" s="750"/>
      <c r="K9" s="750"/>
      <c r="L9" s="750"/>
      <c r="M9" s="750"/>
      <c r="N9" s="750"/>
      <c r="O9" s="751"/>
    </row>
    <row r="10" spans="1:15" ht="18.75" x14ac:dyDescent="0.3">
      <c r="A10" s="755" t="s">
        <v>626</v>
      </c>
      <c r="B10" s="750"/>
      <c r="C10" s="750"/>
      <c r="D10" s="750"/>
      <c r="E10" s="750"/>
      <c r="F10" s="750"/>
      <c r="G10" s="750"/>
      <c r="H10" s="750"/>
      <c r="I10" s="750"/>
      <c r="J10" s="750"/>
      <c r="K10" s="750"/>
      <c r="L10" s="750"/>
      <c r="M10" s="750"/>
      <c r="N10" s="750"/>
      <c r="O10" s="751"/>
    </row>
    <row r="11" spans="1:15" x14ac:dyDescent="0.25">
      <c r="A11" s="750"/>
      <c r="B11" s="750"/>
      <c r="C11" s="750"/>
      <c r="D11" s="750"/>
      <c r="E11" s="750"/>
      <c r="F11" s="750"/>
      <c r="G11" s="750"/>
      <c r="H11" s="750"/>
      <c r="I11" s="750"/>
      <c r="J11" s="750"/>
      <c r="K11" s="750"/>
      <c r="L11" s="750"/>
      <c r="M11" s="750"/>
      <c r="N11" s="750"/>
      <c r="O11" s="751"/>
    </row>
    <row r="12" spans="1:15" ht="31.5" customHeight="1" x14ac:dyDescent="0.25">
      <c r="A12" s="756" t="s">
        <v>236</v>
      </c>
      <c r="B12" s="750"/>
      <c r="C12" s="750"/>
      <c r="D12" s="750"/>
      <c r="E12" s="750"/>
      <c r="F12" s="750"/>
      <c r="G12" s="750"/>
      <c r="H12" s="750"/>
      <c r="I12" s="750"/>
      <c r="J12" s="750"/>
      <c r="K12" s="750"/>
      <c r="L12" s="750"/>
      <c r="M12" s="750"/>
      <c r="N12" s="750"/>
      <c r="O12" s="751"/>
    </row>
    <row r="13" spans="1:15" ht="63" customHeight="1" x14ac:dyDescent="0.25">
      <c r="A13" s="1047" t="s">
        <v>683</v>
      </c>
      <c r="B13" s="1048"/>
      <c r="C13" s="1048"/>
      <c r="D13" s="1048"/>
      <c r="E13" s="1048"/>
      <c r="F13" s="1048"/>
      <c r="G13" s="1048"/>
      <c r="H13" s="1048"/>
      <c r="I13" s="1048"/>
      <c r="J13" s="1048"/>
      <c r="K13" s="1048"/>
      <c r="L13" s="1048"/>
      <c r="M13" s="1048"/>
      <c r="N13" s="1048"/>
      <c r="O13" s="1049"/>
    </row>
    <row r="14" spans="1:15" ht="66.75" customHeight="1" x14ac:dyDescent="0.25">
      <c r="A14" s="1052" t="s">
        <v>610</v>
      </c>
      <c r="B14" s="1048"/>
      <c r="C14" s="1048"/>
      <c r="D14" s="1048"/>
      <c r="E14" s="1048"/>
      <c r="F14" s="1048"/>
      <c r="G14" s="1048"/>
      <c r="H14" s="1048"/>
      <c r="I14" s="1048"/>
      <c r="J14" s="1048"/>
      <c r="K14" s="1048"/>
      <c r="L14" s="1048"/>
      <c r="M14" s="1048"/>
      <c r="N14" s="1048"/>
      <c r="O14" s="1049"/>
    </row>
    <row r="15" spans="1:15" x14ac:dyDescent="0.25">
      <c r="A15" s="750" t="s">
        <v>237</v>
      </c>
      <c r="B15" s="750"/>
      <c r="C15" s="750"/>
      <c r="D15" s="750"/>
      <c r="E15" s="750"/>
      <c r="F15" s="750"/>
      <c r="G15" s="750"/>
      <c r="H15" s="750"/>
      <c r="I15" s="750"/>
      <c r="J15" s="750"/>
      <c r="K15" s="750"/>
      <c r="L15" s="750"/>
      <c r="M15" s="750"/>
      <c r="N15" s="750"/>
      <c r="O15" s="751"/>
    </row>
    <row r="16" spans="1:15" x14ac:dyDescent="0.25">
      <c r="A16" s="757" t="s">
        <v>603</v>
      </c>
      <c r="B16" s="750"/>
      <c r="C16" s="750"/>
      <c r="D16" s="750"/>
      <c r="E16" s="750"/>
      <c r="F16" s="750"/>
      <c r="G16" s="750"/>
      <c r="H16" s="750"/>
      <c r="I16" s="750"/>
      <c r="J16" s="750"/>
      <c r="K16" s="750"/>
      <c r="L16" s="750"/>
      <c r="M16" s="750"/>
      <c r="N16" s="750"/>
      <c r="O16" s="751"/>
    </row>
    <row r="17" spans="1:15" x14ac:dyDescent="0.25">
      <c r="A17" s="750"/>
      <c r="B17" s="750"/>
      <c r="C17" s="750"/>
      <c r="D17" s="750"/>
      <c r="E17" s="750"/>
      <c r="F17" s="750"/>
      <c r="G17" s="750"/>
      <c r="H17" s="750"/>
      <c r="I17" s="750"/>
      <c r="J17" s="750"/>
      <c r="K17" s="750"/>
      <c r="L17" s="750"/>
      <c r="M17" s="750"/>
      <c r="N17" s="750"/>
      <c r="O17" s="751"/>
    </row>
    <row r="18" spans="1:15" ht="77.25" customHeight="1" x14ac:dyDescent="0.25">
      <c r="A18" s="1050" t="s">
        <v>601</v>
      </c>
      <c r="B18" s="1050"/>
      <c r="C18" s="1050"/>
      <c r="D18" s="1050"/>
      <c r="E18" s="1050"/>
      <c r="F18" s="1050"/>
      <c r="G18" s="1050"/>
      <c r="H18" s="1050"/>
      <c r="I18" s="1050"/>
      <c r="J18" s="1050"/>
      <c r="K18" s="1050"/>
      <c r="L18" s="1050"/>
      <c r="M18" s="1050"/>
      <c r="N18" s="1050"/>
      <c r="O18" s="1051"/>
    </row>
    <row r="19" spans="1:15" x14ac:dyDescent="0.25">
      <c r="A19" s="750"/>
      <c r="B19" s="750"/>
      <c r="C19" s="750"/>
      <c r="D19" s="750"/>
      <c r="E19" s="750"/>
      <c r="F19" s="750"/>
      <c r="G19" s="750"/>
      <c r="H19" s="750"/>
      <c r="I19" s="750"/>
      <c r="J19" s="750"/>
      <c r="K19" s="750"/>
      <c r="L19" s="750"/>
      <c r="M19" s="750"/>
      <c r="N19" s="750"/>
      <c r="O19" s="751"/>
    </row>
    <row r="20" spans="1:15" x14ac:dyDescent="0.25">
      <c r="A20" s="750" t="s">
        <v>238</v>
      </c>
      <c r="B20" s="750"/>
      <c r="C20" s="750"/>
      <c r="D20" s="750"/>
      <c r="E20" s="750"/>
      <c r="F20" s="750"/>
      <c r="G20" s="750"/>
      <c r="H20" s="750"/>
      <c r="I20" s="750"/>
      <c r="J20" s="750"/>
      <c r="K20" s="750"/>
      <c r="L20" s="750"/>
      <c r="M20" s="750"/>
      <c r="N20" s="750"/>
      <c r="O20" s="751"/>
    </row>
    <row r="21" spans="1:15" x14ac:dyDescent="0.25">
      <c r="A21" s="750" t="s">
        <v>239</v>
      </c>
      <c r="B21" s="750"/>
      <c r="C21" s="750"/>
      <c r="D21" s="750"/>
      <c r="E21" s="750"/>
      <c r="F21" s="750"/>
      <c r="G21" s="750"/>
      <c r="H21" s="750"/>
      <c r="I21" s="750"/>
      <c r="J21" s="750"/>
      <c r="K21" s="750"/>
      <c r="L21" s="750"/>
      <c r="M21" s="750"/>
      <c r="N21" s="750"/>
      <c r="O21" s="751"/>
    </row>
    <row r="22" spans="1:15" x14ac:dyDescent="0.25">
      <c r="A22" s="750"/>
      <c r="B22" s="750"/>
      <c r="C22" s="750"/>
      <c r="D22" s="750"/>
      <c r="E22" s="750"/>
      <c r="F22" s="750"/>
      <c r="G22" s="750"/>
      <c r="H22" s="750"/>
      <c r="I22" s="750"/>
      <c r="J22" s="750"/>
      <c r="K22" s="750"/>
      <c r="L22" s="750"/>
      <c r="M22" s="750"/>
      <c r="N22" s="750"/>
      <c r="O22" s="751"/>
    </row>
    <row r="23" spans="1:15" x14ac:dyDescent="0.25">
      <c r="A23" s="750" t="s">
        <v>240</v>
      </c>
      <c r="B23" s="750"/>
      <c r="C23" s="750"/>
      <c r="D23" s="750"/>
      <c r="E23" s="750"/>
      <c r="F23" s="750"/>
      <c r="G23" s="750"/>
      <c r="H23" s="750"/>
      <c r="I23" s="750"/>
      <c r="J23" s="750"/>
      <c r="K23" s="750"/>
      <c r="L23" s="750"/>
      <c r="M23" s="750"/>
      <c r="N23" s="750"/>
      <c r="O23" s="751"/>
    </row>
    <row r="24" spans="1:15" x14ac:dyDescent="0.25">
      <c r="A24" s="750"/>
      <c r="B24" s="750"/>
      <c r="C24" s="750"/>
      <c r="D24" s="750"/>
      <c r="E24" s="750"/>
      <c r="F24" s="750"/>
      <c r="G24" s="750"/>
      <c r="H24" s="750"/>
      <c r="I24" s="750"/>
      <c r="J24" s="750"/>
      <c r="K24" s="750"/>
      <c r="L24" s="750"/>
      <c r="M24" s="750"/>
      <c r="N24" s="750"/>
      <c r="O24" s="751"/>
    </row>
    <row r="25" spans="1:15" ht="54.75" customHeight="1" x14ac:dyDescent="0.25">
      <c r="A25" s="1045" t="s">
        <v>243</v>
      </c>
      <c r="B25" s="1045"/>
      <c r="C25" s="1045"/>
      <c r="D25" s="1045"/>
      <c r="E25" s="1045"/>
      <c r="F25" s="1045"/>
      <c r="G25" s="1045"/>
      <c r="H25" s="1045"/>
      <c r="I25" s="1045"/>
      <c r="J25" s="1045"/>
      <c r="K25" s="1045"/>
      <c r="L25" s="750"/>
      <c r="M25" s="750"/>
      <c r="N25" s="750"/>
      <c r="O25" s="751"/>
    </row>
    <row r="26" spans="1:15" ht="64.5" customHeight="1" x14ac:dyDescent="0.25">
      <c r="A26" s="1046" t="s">
        <v>241</v>
      </c>
      <c r="B26" s="1046"/>
      <c r="C26" s="1046"/>
      <c r="D26" s="1046"/>
      <c r="E26" s="1046"/>
      <c r="F26" s="1046"/>
      <c r="G26" s="1046"/>
      <c r="H26" s="1046"/>
      <c r="I26" s="1046"/>
      <c r="J26" s="1046"/>
      <c r="K26" s="1046"/>
      <c r="L26" s="750"/>
      <c r="M26" s="750"/>
      <c r="N26" s="750"/>
      <c r="O26" s="751"/>
    </row>
    <row r="27" spans="1:15" x14ac:dyDescent="0.25">
      <c r="A27" s="758" t="s">
        <v>242</v>
      </c>
      <c r="B27" s="750"/>
      <c r="C27" s="750"/>
      <c r="D27" s="750"/>
      <c r="E27" s="750"/>
      <c r="F27" s="750"/>
      <c r="G27" s="750"/>
      <c r="H27" s="750"/>
      <c r="I27" s="750"/>
      <c r="J27" s="750"/>
      <c r="K27" s="750"/>
      <c r="L27" s="750"/>
      <c r="M27" s="750"/>
      <c r="N27" s="750"/>
      <c r="O27" s="751"/>
    </row>
    <row r="28" spans="1:15" x14ac:dyDescent="0.25">
      <c r="A28" s="750"/>
      <c r="B28" s="750"/>
      <c r="C28" s="750"/>
      <c r="D28" s="750"/>
      <c r="E28" s="750"/>
      <c r="F28" s="750"/>
      <c r="G28" s="750"/>
      <c r="H28" s="750"/>
      <c r="I28" s="750"/>
      <c r="J28" s="750"/>
      <c r="K28" s="750"/>
      <c r="L28" s="750"/>
      <c r="M28" s="750"/>
      <c r="N28" s="750"/>
      <c r="O28" s="751"/>
    </row>
    <row r="29" spans="1:15" x14ac:dyDescent="0.25">
      <c r="A29" s="759"/>
      <c r="B29" s="759"/>
      <c r="C29" s="759"/>
      <c r="D29" s="759"/>
      <c r="E29" s="759"/>
      <c r="F29" s="759"/>
      <c r="G29" s="759"/>
      <c r="H29" s="759"/>
      <c r="I29" s="759"/>
      <c r="J29" s="759"/>
      <c r="K29" s="759"/>
      <c r="L29" s="759"/>
      <c r="M29" s="759"/>
      <c r="N29" s="759"/>
      <c r="O29" s="760"/>
    </row>
  </sheetData>
  <mergeCells count="6">
    <mergeCell ref="A6:O6"/>
    <mergeCell ref="A25:K25"/>
    <mergeCell ref="A26:K26"/>
    <mergeCell ref="A13:O13"/>
    <mergeCell ref="A18:O18"/>
    <mergeCell ref="A14:O1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63"/>
  <sheetViews>
    <sheetView zoomScale="110" zoomScaleNormal="110" workbookViewId="0">
      <selection activeCell="C36" sqref="C36:D36"/>
    </sheetView>
  </sheetViews>
  <sheetFormatPr defaultRowHeight="15" x14ac:dyDescent="0.25"/>
  <cols>
    <col min="1" max="1" width="8.28515625" customWidth="1"/>
    <col min="2" max="2" width="13" customWidth="1"/>
    <col min="3" max="3" width="7.140625" customWidth="1"/>
    <col min="4" max="4" width="6" customWidth="1"/>
    <col min="5" max="5" width="6.140625" customWidth="1"/>
    <col min="6" max="6" width="6.85546875" customWidth="1"/>
    <col min="7" max="7" width="6.5703125" customWidth="1"/>
    <col min="8" max="10" width="5.7109375" customWidth="1"/>
    <col min="11" max="11" width="6.140625" customWidth="1"/>
    <col min="12" max="12" width="6" customWidth="1"/>
    <col min="13" max="13" width="6.28515625" customWidth="1"/>
    <col min="14" max="14" width="7.7109375" customWidth="1"/>
    <col min="15" max="15" width="2.5703125" customWidth="1"/>
    <col min="16" max="16" width="9.140625" customWidth="1"/>
    <col min="17" max="17" width="5" customWidth="1"/>
    <col min="18" max="19" width="4.7109375" customWidth="1"/>
    <col min="20" max="20" width="5.85546875" customWidth="1"/>
    <col min="21" max="21" width="7.7109375" customWidth="1"/>
    <col min="22" max="22" width="5.5703125" customWidth="1"/>
    <col min="23" max="26" width="4.7109375" customWidth="1"/>
    <col min="27" max="27" width="4.7109375" style="46" customWidth="1"/>
    <col min="28" max="29" width="4.7109375" customWidth="1"/>
    <col min="30" max="30" width="5.7109375" customWidth="1"/>
    <col min="31" max="31" width="6.42578125" customWidth="1"/>
    <col min="32" max="32" width="6.85546875" customWidth="1"/>
    <col min="33" max="33" width="5.28515625" customWidth="1"/>
    <col min="34" max="35" width="7" customWidth="1"/>
    <col min="36" max="36" width="5.28515625" customWidth="1"/>
    <col min="37" max="37" width="6.85546875" customWidth="1"/>
    <col min="38" max="38" width="5.140625" customWidth="1"/>
    <col min="39" max="39" width="6.7109375" customWidth="1"/>
    <col min="40" max="40" width="5.85546875" customWidth="1"/>
  </cols>
  <sheetData>
    <row r="1" spans="1:40" ht="12.6" customHeight="1" x14ac:dyDescent="0.25">
      <c r="A1" s="1175" t="str">
        <f>'Calibration Data'!G233&amp;" Model                                          Scenario"</f>
        <v>Urban Model                                          Scenario</v>
      </c>
      <c r="B1" s="1175"/>
      <c r="C1" s="1175"/>
      <c r="D1" s="1175"/>
      <c r="E1" s="1175"/>
      <c r="F1" s="1175"/>
      <c r="G1" s="1175"/>
      <c r="H1" s="1175"/>
      <c r="I1" s="1175"/>
      <c r="J1" s="1175"/>
      <c r="K1" s="1175"/>
      <c r="L1" s="1175"/>
      <c r="M1" s="1175"/>
      <c r="N1" s="1175"/>
      <c r="O1" s="1175"/>
      <c r="P1" s="1175"/>
      <c r="Q1" s="1175"/>
      <c r="R1" s="1175"/>
      <c r="S1" s="1175"/>
      <c r="T1" s="1175"/>
      <c r="U1" s="1178">
        <v>1</v>
      </c>
      <c r="V1" s="1178"/>
      <c r="W1" s="1168" t="s">
        <v>128</v>
      </c>
      <c r="X1" s="1168"/>
      <c r="Y1" s="1168"/>
      <c r="Z1" s="1168"/>
      <c r="AA1" s="1168"/>
      <c r="AB1" s="1168"/>
    </row>
    <row r="2" spans="1:40" s="1" customFormat="1" ht="13.15" customHeight="1" x14ac:dyDescent="0.25">
      <c r="A2" s="1175"/>
      <c r="B2" s="1175"/>
      <c r="C2" s="1175"/>
      <c r="D2" s="1175"/>
      <c r="E2" s="1175"/>
      <c r="F2" s="1175"/>
      <c r="G2" s="1175"/>
      <c r="H2" s="1175"/>
      <c r="I2" s="1175"/>
      <c r="J2" s="1175"/>
      <c r="K2" s="1175"/>
      <c r="L2" s="1175"/>
      <c r="M2" s="1175"/>
      <c r="N2" s="1175"/>
      <c r="O2" s="1175"/>
      <c r="P2" s="1175"/>
      <c r="Q2" s="1175"/>
      <c r="R2" s="1175"/>
      <c r="S2" s="1175"/>
      <c r="T2" s="1175"/>
      <c r="U2" s="1178"/>
      <c r="V2" s="1178"/>
      <c r="W2" s="1168"/>
      <c r="X2" s="1168"/>
      <c r="Y2" s="1168"/>
      <c r="Z2" s="1168"/>
      <c r="AA2" s="1168"/>
      <c r="AB2" s="1168"/>
    </row>
    <row r="3" spans="1:40" s="1" customFormat="1" ht="7.9" customHeight="1" thickBot="1" x14ac:dyDescent="0.3">
      <c r="A3" s="98"/>
      <c r="B3" s="98"/>
      <c r="C3" s="98"/>
      <c r="D3" s="98"/>
      <c r="E3" s="98"/>
      <c r="F3" s="98"/>
      <c r="G3" s="98"/>
      <c r="H3" s="98"/>
      <c r="I3" s="98"/>
      <c r="J3" s="98"/>
      <c r="K3" s="98"/>
      <c r="L3" s="98"/>
      <c r="M3" s="98"/>
      <c r="N3" s="98"/>
      <c r="O3" s="98"/>
      <c r="P3" s="98"/>
      <c r="Q3" s="98"/>
      <c r="R3" s="98"/>
      <c r="S3" s="302"/>
      <c r="T3" s="302"/>
      <c r="AA3" s="92"/>
    </row>
    <row r="4" spans="1:40" ht="12" customHeight="1" x14ac:dyDescent="0.25">
      <c r="A4" s="1169" t="s">
        <v>142</v>
      </c>
      <c r="B4" s="1170"/>
      <c r="C4" s="1170"/>
      <c r="D4" s="1170"/>
      <c r="E4" s="1170"/>
      <c r="F4" s="1170"/>
      <c r="G4" s="1170"/>
      <c r="H4" s="1170"/>
      <c r="I4" s="1170"/>
      <c r="J4" s="1170"/>
      <c r="K4" s="1170"/>
      <c r="L4" s="1170"/>
      <c r="M4" s="1170"/>
      <c r="N4" s="1170"/>
      <c r="P4" s="1155" t="s">
        <v>122</v>
      </c>
      <c r="Q4" s="1156"/>
      <c r="R4" s="1156"/>
      <c r="S4" s="1156"/>
      <c r="T4" s="1156"/>
      <c r="U4" s="1156"/>
      <c r="V4" s="1156"/>
      <c r="W4" s="1156"/>
      <c r="X4" s="1156"/>
      <c r="Y4" s="1156"/>
      <c r="Z4" s="1156"/>
      <c r="AA4" s="1156"/>
      <c r="AB4" s="1156"/>
      <c r="AC4" s="1156"/>
      <c r="AD4" s="1156"/>
      <c r="AE4" s="1156"/>
      <c r="AF4" s="1157"/>
      <c r="AG4" s="1132" t="s">
        <v>472</v>
      </c>
      <c r="AH4" s="1133"/>
      <c r="AI4" s="1133"/>
      <c r="AJ4" s="1133"/>
      <c r="AK4" s="1133"/>
      <c r="AL4" s="1133"/>
      <c r="AM4" s="1133"/>
      <c r="AN4" s="1134"/>
    </row>
    <row r="5" spans="1:40" ht="12" customHeight="1" thickBot="1" x14ac:dyDescent="0.3">
      <c r="A5" s="1171"/>
      <c r="B5" s="1172"/>
      <c r="C5" s="1172"/>
      <c r="D5" s="1172"/>
      <c r="E5" s="1172"/>
      <c r="F5" s="1172"/>
      <c r="G5" s="1172"/>
      <c r="H5" s="1172"/>
      <c r="I5" s="1172"/>
      <c r="J5" s="1172"/>
      <c r="K5" s="1172"/>
      <c r="L5" s="1172"/>
      <c r="M5" s="1172"/>
      <c r="N5" s="1172"/>
      <c r="P5" s="1158"/>
      <c r="Q5" s="1159"/>
      <c r="R5" s="1159"/>
      <c r="S5" s="1159"/>
      <c r="T5" s="1159"/>
      <c r="U5" s="1159"/>
      <c r="V5" s="1159"/>
      <c r="W5" s="1159"/>
      <c r="X5" s="1159"/>
      <c r="Y5" s="1159"/>
      <c r="Z5" s="1159"/>
      <c r="AA5" s="1159"/>
      <c r="AB5" s="1159"/>
      <c r="AC5" s="1159"/>
      <c r="AD5" s="1159"/>
      <c r="AE5" s="1159"/>
      <c r="AF5" s="1160"/>
      <c r="AG5" s="1135"/>
      <c r="AH5" s="1136"/>
      <c r="AI5" s="1136"/>
      <c r="AJ5" s="1136"/>
      <c r="AK5" s="1136"/>
      <c r="AL5" s="1136"/>
      <c r="AM5" s="1136"/>
      <c r="AN5" s="1137"/>
    </row>
    <row r="6" spans="1:40" ht="45" customHeight="1" x14ac:dyDescent="0.25">
      <c r="A6" s="105"/>
      <c r="B6" s="105"/>
      <c r="C6" s="1173" t="s">
        <v>218</v>
      </c>
      <c r="D6" s="1174"/>
      <c r="E6" s="1173" t="s">
        <v>514</v>
      </c>
      <c r="F6" s="1174"/>
      <c r="G6" s="1173" t="s">
        <v>417</v>
      </c>
      <c r="H6" s="1174"/>
      <c r="I6" s="1173" t="s">
        <v>419</v>
      </c>
      <c r="J6" s="1174"/>
      <c r="K6" s="1176" t="s">
        <v>418</v>
      </c>
      <c r="L6" s="1177"/>
      <c r="M6" s="1145" t="s">
        <v>62</v>
      </c>
      <c r="N6" s="1146"/>
      <c r="P6" s="303"/>
      <c r="Q6" s="1147" t="s">
        <v>73</v>
      </c>
      <c r="R6" s="1148"/>
      <c r="S6" s="1147" t="s">
        <v>71</v>
      </c>
      <c r="T6" s="1148"/>
      <c r="U6" s="1140" t="s">
        <v>187</v>
      </c>
      <c r="V6" s="1141"/>
      <c r="W6" s="1147" t="s">
        <v>30</v>
      </c>
      <c r="X6" s="1148"/>
      <c r="Y6" s="1147" t="s">
        <v>32</v>
      </c>
      <c r="Z6" s="1148"/>
      <c r="AA6" s="1147" t="s">
        <v>33</v>
      </c>
      <c r="AB6" s="1148"/>
      <c r="AC6" s="1147" t="s">
        <v>186</v>
      </c>
      <c r="AD6" s="1148"/>
      <c r="AE6" s="1140" t="s">
        <v>190</v>
      </c>
      <c r="AF6" s="1141"/>
      <c r="AG6" s="1140" t="s">
        <v>211</v>
      </c>
      <c r="AH6" s="1141"/>
    </row>
    <row r="7" spans="1:40" ht="10.15" customHeight="1" x14ac:dyDescent="0.25">
      <c r="A7" s="1152" t="s">
        <v>111</v>
      </c>
      <c r="B7" s="106" t="s">
        <v>93</v>
      </c>
      <c r="C7" s="1008">
        <f>'Visions person'!C48/7</f>
        <v>6.5753424657534243</v>
      </c>
      <c r="D7" s="104" t="e">
        <f>C7/$C$16</f>
        <v>#REF!</v>
      </c>
      <c r="E7" s="107">
        <f>'Visions person'!E48/7</f>
        <v>21.428571428571427</v>
      </c>
      <c r="F7" s="104">
        <f>E7/$E$16</f>
        <v>1</v>
      </c>
      <c r="G7" s="107">
        <f>'Visions person'!G48/7</f>
        <v>7.6021666099021648</v>
      </c>
      <c r="H7" s="604">
        <f>G7/$G$16</f>
        <v>8.1887820454656854E-2</v>
      </c>
      <c r="I7" s="107">
        <f>'Visions person'!I48/7</f>
        <v>7.2854096678229086</v>
      </c>
      <c r="J7" s="604">
        <f>I7/$I$16</f>
        <v>8.0087171232133866E-2</v>
      </c>
      <c r="K7" s="329"/>
      <c r="L7" s="143"/>
      <c r="M7" s="108">
        <f>IF(($U$1=0),C7,IF(($U$1=1),E7,IF(($U$1=2),G7,IF(($U$1=3),I7,IF(($U$1=4),K7,IF(($U$1=5),E7,""))))))</f>
        <v>21.428571428571427</v>
      </c>
      <c r="N7" s="103">
        <f>M7/$M$16</f>
        <v>1</v>
      </c>
      <c r="P7" s="111" t="s">
        <v>126</v>
      </c>
      <c r="Q7" s="112" t="s">
        <v>26</v>
      </c>
      <c r="R7" s="112" t="s">
        <v>27</v>
      </c>
      <c r="S7" s="112" t="s">
        <v>26</v>
      </c>
      <c r="T7" s="112" t="s">
        <v>27</v>
      </c>
      <c r="U7" s="112" t="s">
        <v>26</v>
      </c>
      <c r="V7" s="112" t="s">
        <v>27</v>
      </c>
      <c r="W7" s="112" t="s">
        <v>26</v>
      </c>
      <c r="X7" s="112" t="s">
        <v>27</v>
      </c>
      <c r="Y7" s="112" t="s">
        <v>26</v>
      </c>
      <c r="Z7" s="112" t="s">
        <v>27</v>
      </c>
      <c r="AA7" s="112" t="s">
        <v>26</v>
      </c>
      <c r="AB7" s="113" t="s">
        <v>27</v>
      </c>
      <c r="AC7" s="112" t="s">
        <v>26</v>
      </c>
      <c r="AD7" s="113" t="s">
        <v>27</v>
      </c>
      <c r="AE7" s="112" t="s">
        <v>26</v>
      </c>
      <c r="AF7" s="113" t="s">
        <v>27</v>
      </c>
      <c r="AG7" s="112" t="s">
        <v>26</v>
      </c>
      <c r="AH7" s="113" t="s">
        <v>27</v>
      </c>
    </row>
    <row r="8" spans="1:40" ht="10.15" customHeight="1" x14ac:dyDescent="0.25">
      <c r="A8" s="1153"/>
      <c r="B8" s="106" t="s">
        <v>94</v>
      </c>
      <c r="C8" s="1007">
        <f>'Visions person'!C49/7</f>
        <v>0</v>
      </c>
      <c r="D8" s="104" t="e">
        <f t="shared" ref="D8:D14" si="0">C8/$C$16</f>
        <v>#REF!</v>
      </c>
      <c r="E8" s="107">
        <f>'Visions person'!E49/7</f>
        <v>0</v>
      </c>
      <c r="F8" s="104">
        <f t="shared" ref="F8:F14" si="1">E8/$E$16</f>
        <v>0</v>
      </c>
      <c r="G8" s="107">
        <f>'Visions person'!G49/7</f>
        <v>17.480556865026426</v>
      </c>
      <c r="H8" s="604">
        <f>G8/$G$16</f>
        <v>0.18829430811818595</v>
      </c>
      <c r="I8" s="107">
        <f>'Visions person'!I49/7</f>
        <v>21.358062205995928</v>
      </c>
      <c r="J8" s="604">
        <f>I8/$I$16</f>
        <v>0.23478525753093465</v>
      </c>
      <c r="K8" s="329"/>
      <c r="L8" s="143"/>
      <c r="M8" s="108">
        <f>IF(($U$1=0),C8,IF(($U$1=1),E8,IF(($U$1=2),G8,IF(($U$1=3),I8,IF(($U$1=4),K8,IF(($U$1=5),E8,""))))))</f>
        <v>0</v>
      </c>
      <c r="N8" s="103">
        <f t="shared" ref="N8:N16" si="2">M8/$M$16</f>
        <v>0</v>
      </c>
      <c r="P8" s="114" t="s">
        <v>4</v>
      </c>
      <c r="Q8" s="115">
        <f>-'Breast cancer'!Y5</f>
        <v>0</v>
      </c>
      <c r="R8" s="115">
        <f>-'Breast cancer'!Y13</f>
        <v>-2.0532072237114396E-2</v>
      </c>
      <c r="S8" s="115">
        <f>-'Colon Cancer'!Y5</f>
        <v>-2.2054024114940951E-2</v>
      </c>
      <c r="T8" s="115">
        <f>-'Colon Cancer'!Y13</f>
        <v>-2.0767792847103284E-2</v>
      </c>
      <c r="U8" s="115">
        <f>-CVD_air!Y5</f>
        <v>-9.8692161513802112E-2</v>
      </c>
      <c r="V8" s="115">
        <f>-CVD_air!Y13</f>
        <v>-0.11215715464911169</v>
      </c>
      <c r="W8" s="115">
        <f>-Depression!Y5</f>
        <v>-1.2343367658936844E-2</v>
      </c>
      <c r="X8" s="115">
        <f>-Depression!Y13</f>
        <v>-1.6962488538488807E-2</v>
      </c>
      <c r="Y8" s="115">
        <f>-Dementia!Y5</f>
        <v>-3.1904956623838077E-2</v>
      </c>
      <c r="Z8" s="115">
        <f>-Dementia!Y13</f>
        <v>-4.2401297646715963E-2</v>
      </c>
      <c r="AA8" s="115">
        <f>-Diabetes!Y5</f>
        <v>-9.1908748960421893E-2</v>
      </c>
      <c r="AB8" s="116">
        <f>-Diabetes!Y13</f>
        <v>-0.1043962160467421</v>
      </c>
      <c r="AC8" s="115">
        <f>-Stroke_air!Y5</f>
        <v>-9.8692161513802112E-2</v>
      </c>
      <c r="AD8" s="116">
        <f>-Stroke_air!Y13</f>
        <v>-0.11215715464911169</v>
      </c>
      <c r="AE8" s="115" t="e">
        <f>('Health summary'!$AA$41+ 'Health summary'!$AB$41) /GBDUS!$R$214</f>
        <v>#REF!</v>
      </c>
      <c r="AF8" s="115" t="e">
        <f>('Health summary'!$AA$41+ 'Health summary'!$AB$41) /GBDUS!$R$214</f>
        <v>#REF!</v>
      </c>
      <c r="AG8" s="115">
        <f>-'All-cause mort'!Y5</f>
        <v>-1.1833222190973935E-2</v>
      </c>
      <c r="AH8" s="116">
        <f>-'All-cause mort'!Y13</f>
        <v>-1.728221713867395E-2</v>
      </c>
    </row>
    <row r="9" spans="1:40" ht="10.15" customHeight="1" x14ac:dyDescent="0.25">
      <c r="A9" s="1153"/>
      <c r="B9" s="106" t="s">
        <v>95</v>
      </c>
      <c r="C9" s="107">
        <v>0</v>
      </c>
      <c r="D9" s="104" t="e">
        <f t="shared" si="0"/>
        <v>#REF!</v>
      </c>
      <c r="E9" s="107">
        <f>'Visions person'!E50/7</f>
        <v>0</v>
      </c>
      <c r="F9" s="104">
        <f t="shared" si="1"/>
        <v>0</v>
      </c>
      <c r="G9" s="107">
        <f>'Visions person'!G50/7</f>
        <v>0.98465795325021765</v>
      </c>
      <c r="H9" s="604">
        <f>G9/$G$16</f>
        <v>1.0606383393383878E-2</v>
      </c>
      <c r="I9" s="107">
        <f>'Visions person'!I50/7</f>
        <v>1.0831237485752394</v>
      </c>
      <c r="J9" s="604">
        <f>I9/$I$16</f>
        <v>1.1906580559341096E-2</v>
      </c>
      <c r="K9" s="330"/>
      <c r="L9" s="143"/>
      <c r="M9" s="108">
        <f>IF(($U$1=0),C9,IF(($U$1=1),E9,IF(($U$1=2),G9,IF(($U$1=3),I9,IF(($U$1=4),K9,IF(($U$1=5),E9,""))))))</f>
        <v>0</v>
      </c>
      <c r="N9" s="103">
        <f t="shared" si="2"/>
        <v>0</v>
      </c>
      <c r="P9" s="114" t="s">
        <v>5</v>
      </c>
      <c r="Q9" s="115">
        <f>-'Breast cancer'!Y6</f>
        <v>0</v>
      </c>
      <c r="R9" s="115">
        <f>-'Breast cancer'!Y14</f>
        <v>-1.2077816092465166E-2</v>
      </c>
      <c r="S9" s="115">
        <f>-'Colon Cancer'!Y6</f>
        <v>-1.2725181395852436E-2</v>
      </c>
      <c r="T9" s="115">
        <f>-'Colon Cancer'!Y14</f>
        <v>-1.2219462987571372E-2</v>
      </c>
      <c r="U9" s="115">
        <f>-CVD_air!Y6</f>
        <v>-8.9441623428461403E-2</v>
      </c>
      <c r="V9" s="115">
        <f>-CVD_air!Y14</f>
        <v>-8.7283386093505833E-2</v>
      </c>
      <c r="W9" s="115">
        <f>-Depression!Y6</f>
        <v>-1.4284677316725114E-2</v>
      </c>
      <c r="X9" s="115">
        <f>-Depression!Y14</f>
        <v>-1.9836269273672325E-2</v>
      </c>
      <c r="Y9" s="115">
        <f>-Dementia!Y6</f>
        <v>-1.8496455214315422E-2</v>
      </c>
      <c r="Z9" s="115">
        <f>-Dementia!Y14</f>
        <v>-2.5538316328693189E-2</v>
      </c>
      <c r="AA9" s="115">
        <f>-Diabetes!Y6</f>
        <v>-8.3200354667795184E-2</v>
      </c>
      <c r="AB9" s="116">
        <f>-Diabetes!Y14</f>
        <v>-8.1226487998315555E-2</v>
      </c>
      <c r="AC9" s="115">
        <f>-Stroke_air!Y6</f>
        <v>-8.9441623428461403E-2</v>
      </c>
      <c r="AD9" s="116">
        <f>-Stroke_air!Y14</f>
        <v>-8.7283386093505833E-2</v>
      </c>
      <c r="AE9" s="115" t="e">
        <f>('Health summary'!$AA$41+ 'Health summary'!$AB$41) /GBDUS!$R$214</f>
        <v>#REF!</v>
      </c>
      <c r="AF9" s="115" t="e">
        <f>('Health summary'!$AA$41+ 'Health summary'!$AB$41) /GBDUS!$R$214</f>
        <v>#REF!</v>
      </c>
      <c r="AG9" s="115">
        <f>-'All-cause mort'!Y6</f>
        <v>-6.7304167951672822E-3</v>
      </c>
      <c r="AH9" s="116">
        <f>-'All-cause mort'!Y14</f>
        <v>-9.6912534854476373E-3</v>
      </c>
    </row>
    <row r="10" spans="1:40" ht="10.15" customHeight="1" x14ac:dyDescent="0.25">
      <c r="A10" s="1153"/>
      <c r="B10" s="106" t="s">
        <v>135</v>
      </c>
      <c r="C10" s="107"/>
      <c r="D10" s="104"/>
      <c r="E10" s="107"/>
      <c r="F10" s="104"/>
      <c r="G10" s="107"/>
      <c r="H10" s="604"/>
      <c r="I10" s="107"/>
      <c r="J10" s="604"/>
      <c r="K10" s="330"/>
      <c r="L10" s="143"/>
      <c r="M10" s="108"/>
      <c r="N10" s="103"/>
      <c r="P10" s="114" t="s">
        <v>6</v>
      </c>
      <c r="Q10" s="115">
        <f>-'Breast cancer'!Y7</f>
        <v>0</v>
      </c>
      <c r="R10" s="115">
        <f>-'Breast cancer'!Y15</f>
        <v>-1.0272467501756033E-2</v>
      </c>
      <c r="S10" s="115">
        <f>-'Colon Cancer'!Y7</f>
        <v>-1.2562669989724662E-2</v>
      </c>
      <c r="T10" s="115">
        <f>-'Colon Cancer'!Y15</f>
        <v>-1.0393592091575199E-2</v>
      </c>
      <c r="U10" s="115">
        <f>-CVD_air!Y7</f>
        <v>-8.9676778948713287E-2</v>
      </c>
      <c r="V10" s="115">
        <f>-CVD_air!Y15</f>
        <v>-8.0073261307696209E-2</v>
      </c>
      <c r="W10" s="115">
        <f>-Depression!Y7</f>
        <v>-1.4105843834375076E-2</v>
      </c>
      <c r="X10" s="115">
        <f>-Depression!Y15</f>
        <v>-1.692943558069826E-2</v>
      </c>
      <c r="Y10" s="115">
        <f>-Dementia!Y7</f>
        <v>-1.8277569425147688E-2</v>
      </c>
      <c r="Z10" s="115">
        <f>-Dementia!Y15</f>
        <v>-2.185161789026091E-2</v>
      </c>
      <c r="AA10" s="115">
        <f>-Diabetes!Y7</f>
        <v>-8.342019376714449E-2</v>
      </c>
      <c r="AB10" s="116">
        <f>-Diabetes!Y15</f>
        <v>-7.4483669541426933E-2</v>
      </c>
      <c r="AC10" s="115">
        <f>-Stroke_air!Y7</f>
        <v>-8.9676778948713287E-2</v>
      </c>
      <c r="AD10" s="116">
        <f>-Stroke_air!Y15</f>
        <v>-8.0073261307696209E-2</v>
      </c>
      <c r="AE10" s="115" t="e">
        <f>('Health summary'!$AA$41+ 'Health summary'!$AB$41) /GBDUS!$R$214</f>
        <v>#REF!</v>
      </c>
      <c r="AF10" s="115" t="e">
        <f>('Health summary'!$AA$41+ 'Health summary'!$AB$41) /GBDUS!$R$214</f>
        <v>#REF!</v>
      </c>
      <c r="AG10" s="115">
        <f>-'All-cause mort'!Y7</f>
        <v>-6.5681226622599231E-3</v>
      </c>
      <c r="AH10" s="116">
        <f>-'All-cause mort'!Y15</f>
        <v>-8.2284040636776412E-3</v>
      </c>
    </row>
    <row r="11" spans="1:40" ht="10.15" customHeight="1" x14ac:dyDescent="0.25">
      <c r="A11" s="1153"/>
      <c r="B11" s="106" t="s">
        <v>98</v>
      </c>
      <c r="C11" s="107">
        <f>'Visions person'!C52/7</f>
        <v>0</v>
      </c>
      <c r="D11" s="104" t="e">
        <f t="shared" si="0"/>
        <v>#REF!</v>
      </c>
      <c r="E11" s="107">
        <f>'Visions person'!E52/7</f>
        <v>0</v>
      </c>
      <c r="F11" s="104">
        <f t="shared" si="1"/>
        <v>0</v>
      </c>
      <c r="G11" s="107">
        <f>'Visions person'!G52/7</f>
        <v>0</v>
      </c>
      <c r="H11" s="604">
        <f>G11/$G$16</f>
        <v>0</v>
      </c>
      <c r="I11" s="107">
        <f>'Visions person'!I52/7</f>
        <v>0</v>
      </c>
      <c r="J11" s="604">
        <f>I11/$I$16</f>
        <v>0</v>
      </c>
      <c r="K11" s="330"/>
      <c r="L11" s="143"/>
      <c r="M11" s="108">
        <f>IF(($U$1=0),C11,IF(($U$1=1),E11,IF(($U$1=2),G11,IF(($U$1=3),I11,IF(($U$1=4),K11,IF(($U$1=5),E11,""))))))</f>
        <v>0</v>
      </c>
      <c r="N11" s="103">
        <f t="shared" si="2"/>
        <v>0</v>
      </c>
      <c r="P11" s="114" t="s">
        <v>7</v>
      </c>
      <c r="Q11" s="115">
        <f>-'Breast cancer'!Y8</f>
        <v>0</v>
      </c>
      <c r="R11" s="115">
        <f>-'Breast cancer'!Y16</f>
        <v>-1.1777919648697677E-2</v>
      </c>
      <c r="S11" s="115">
        <f>-'Colon Cancer'!Y8</f>
        <v>-1.3085746728089598E-2</v>
      </c>
      <c r="T11" s="115">
        <f>-'Colon Cancer'!Y16</f>
        <v>-1.192029734377209E-2</v>
      </c>
      <c r="U11" s="115">
        <f>-CVD_air!Y8</f>
        <v>-6.9865842183824856E-2</v>
      </c>
      <c r="V11" s="115">
        <f>-CVD_air!Y16</f>
        <v>-6.3110106265750643E-2</v>
      </c>
      <c r="W11" s="115">
        <f>-Depression!Y8</f>
        <v>-1.4681733222992821E-2</v>
      </c>
      <c r="X11" s="115">
        <f>-Depression!Y16</f>
        <v>-1.9727310839519507E-2</v>
      </c>
      <c r="Y11" s="115">
        <f>-Dementia!Y8</f>
        <v>-1.8983622771776676E-2</v>
      </c>
      <c r="Z11" s="115">
        <f>-Dementia!Y16</f>
        <v>-2.57709941308778E-2</v>
      </c>
      <c r="AA11" s="115">
        <f>-Diabetes!Y8</f>
        <v>-6.5026852891775788E-2</v>
      </c>
      <c r="AB11" s="116">
        <f>-Diabetes!Y16</f>
        <v>-5.8706611201918446E-2</v>
      </c>
      <c r="AC11" s="115">
        <f>-Stroke_air!Y8</f>
        <v>-6.9865842183824856E-2</v>
      </c>
      <c r="AD11" s="116">
        <f>-Stroke_air!Y16</f>
        <v>-6.3110106265750643E-2</v>
      </c>
      <c r="AE11" s="115" t="e">
        <f>('Health summary'!$AA$41+ 'Health summary'!$AB$41) /GBDUS!$R$214</f>
        <v>#REF!</v>
      </c>
      <c r="AF11" s="115" t="e">
        <f>('Health summary'!$AA$41+ 'Health summary'!$AB$41) /GBDUS!$R$214</f>
        <v>#REF!</v>
      </c>
      <c r="AG11" s="115">
        <f>-'All-cause mort'!Y8</f>
        <v>-7.3827130398035345E-3</v>
      </c>
      <c r="AH11" s="116">
        <f>-'All-cause mort'!Y16</f>
        <v>-1.2473276343680673E-2</v>
      </c>
    </row>
    <row r="12" spans="1:40" ht="10.15" customHeight="1" x14ac:dyDescent="0.25">
      <c r="A12" s="1153"/>
      <c r="B12" s="106" t="s">
        <v>219</v>
      </c>
      <c r="C12" s="107" t="e">
        <f>'Visions person'!C53/7</f>
        <v>#REF!</v>
      </c>
      <c r="D12" s="104" t="e">
        <f t="shared" si="0"/>
        <v>#REF!</v>
      </c>
      <c r="E12" s="107">
        <f>'Visions person'!E53/7</f>
        <v>0</v>
      </c>
      <c r="F12" s="104">
        <f t="shared" si="1"/>
        <v>0</v>
      </c>
      <c r="G12" s="107">
        <f>'Visions person'!G53/7</f>
        <v>66.768971617896668</v>
      </c>
      <c r="H12" s="604">
        <f>G12/$G$16</f>
        <v>0.71921148803377333</v>
      </c>
      <c r="I12" s="107">
        <f>'Visions person'!I53/7</f>
        <v>61.241902274803962</v>
      </c>
      <c r="J12" s="604">
        <f>I12/$I$16</f>
        <v>0.67322099067759045</v>
      </c>
      <c r="K12" s="330"/>
      <c r="L12" s="143"/>
      <c r="M12" s="108">
        <f>IF(($U$1=0),C12,IF(($U$1=1),E12,IF(($U$1=2),G12,IF(($U$1=3),I12,IF(($U$1=4),K12,IF(($U$1=5),E12,""))))))</f>
        <v>0</v>
      </c>
      <c r="N12" s="103">
        <f t="shared" si="2"/>
        <v>0</v>
      </c>
      <c r="P12" s="114" t="s">
        <v>8</v>
      </c>
      <c r="Q12" s="115">
        <f>-'Breast cancer'!Y9</f>
        <v>0</v>
      </c>
      <c r="R12" s="115">
        <f>-'Breast cancer'!Y17</f>
        <v>-1.6842746006492715E-2</v>
      </c>
      <c r="S12" s="115">
        <f>-'Colon Cancer'!Y9</f>
        <v>-2.2211615208113211E-2</v>
      </c>
      <c r="T12" s="115">
        <f>-'Colon Cancer'!Y17</f>
        <v>-1.7041391546889439E-2</v>
      </c>
      <c r="U12" s="115">
        <f>-CVD_air!Y9</f>
        <v>-6.8036581816262487E-2</v>
      </c>
      <c r="V12" s="115">
        <f>-CVD_air!Y17</f>
        <v>-5.9996094910016007E-2</v>
      </c>
      <c r="W12" s="115">
        <f>-Depression!Y9</f>
        <v>-2.4862577260333807E-2</v>
      </c>
      <c r="X12" s="115">
        <f>-Depression!Y17</f>
        <v>-2.776203799678767E-2</v>
      </c>
      <c r="Y12" s="115">
        <f>-Dementia!Y9</f>
        <v>-3.1947064451229412E-2</v>
      </c>
      <c r="Z12" s="115">
        <f>-Dementia!Y17</f>
        <v>-3.5838227684848012E-2</v>
      </c>
      <c r="AA12" s="115">
        <f>-Diabetes!Y9</f>
        <v>-6.3314784514047484E-2</v>
      </c>
      <c r="AB12" s="116">
        <f>-Diabetes!Y17</f>
        <v>-5.5795800957192832E-2</v>
      </c>
      <c r="AC12" s="115">
        <f>-Stroke_air!Y9</f>
        <v>-6.8036581816262487E-2</v>
      </c>
      <c r="AD12" s="116">
        <f>-Stroke_air!Y17</f>
        <v>-5.9996094910016007E-2</v>
      </c>
      <c r="AE12" s="115" t="e">
        <f>('Health summary'!$AA$41+ 'Health summary'!$AB$41) /GBDUS!$R$214</f>
        <v>#REF!</v>
      </c>
      <c r="AF12" s="115" t="e">
        <f>('Health summary'!$AA$41+ 'Health summary'!$AB$41) /GBDUS!$R$214</f>
        <v>#REF!</v>
      </c>
      <c r="AG12" s="115">
        <f>-'All-cause mort'!Y9</f>
        <v>-1.7504415164414699E-2</v>
      </c>
      <c r="AH12" s="116">
        <f>-'All-cause mort'!Y17</f>
        <v>-2.2421759984030953E-2</v>
      </c>
    </row>
    <row r="13" spans="1:40" ht="10.15" customHeight="1" x14ac:dyDescent="0.25">
      <c r="A13" s="1153"/>
      <c r="B13" s="106" t="s">
        <v>220</v>
      </c>
      <c r="C13" s="107">
        <f>'Visions person'!C54/7</f>
        <v>0</v>
      </c>
      <c r="D13" s="104" t="e">
        <f t="shared" si="0"/>
        <v>#REF!</v>
      </c>
      <c r="E13" s="107">
        <f>'Visions person'!E54/7</f>
        <v>0</v>
      </c>
      <c r="F13" s="104">
        <f t="shared" si="1"/>
        <v>0</v>
      </c>
      <c r="G13" s="107">
        <f>'Visions person'!G54/7</f>
        <v>0</v>
      </c>
      <c r="H13" s="604">
        <f>G13/$G$16</f>
        <v>0</v>
      </c>
      <c r="I13" s="107">
        <f>'Visions person'!I54/7</f>
        <v>0</v>
      </c>
      <c r="J13" s="604">
        <f>I13/$I$16</f>
        <v>0</v>
      </c>
      <c r="K13" s="330"/>
      <c r="L13" s="143"/>
      <c r="M13" s="108">
        <f>IF(($U$1=0),C13,IF(($U$1=1),E13,IF(($U$1=2),G13,IF(($U$1=3),I13,IF(($U$1=4),K13,IF(($U$1=5),E13,""))))))</f>
        <v>0</v>
      </c>
      <c r="N13" s="103">
        <f t="shared" si="2"/>
        <v>0</v>
      </c>
      <c r="P13" s="114" t="s">
        <v>9</v>
      </c>
      <c r="Q13" s="115">
        <f>-'Breast cancer'!Y10</f>
        <v>0</v>
      </c>
      <c r="R13" s="115">
        <f>-'Breast cancer'!Y18</f>
        <v>-2.0534185982259423E-2</v>
      </c>
      <c r="S13" s="115">
        <f>-'Colon Cancer'!Y10</f>
        <v>-2.2488131945835543E-2</v>
      </c>
      <c r="T13" s="115">
        <f>-'Colon Cancer'!Y18</f>
        <v>-2.0777361304080033E-2</v>
      </c>
      <c r="U13" s="115">
        <f>-CVD_air!Y10</f>
        <v>-6.0747971021361757E-2</v>
      </c>
      <c r="V13" s="115">
        <f>-CVD_air!Y18</f>
        <v>-4.3026585500370307E-2</v>
      </c>
      <c r="W13" s="115">
        <f>-Depression!Y10</f>
        <v>-2.5171038209521268E-2</v>
      </c>
      <c r="X13" s="115">
        <f>-Depression!Y18</f>
        <v>-3.3932925384927426E-2</v>
      </c>
      <c r="Y13" s="115">
        <f>-Dementia!Y10</f>
        <v>-3.2334584968033431E-2</v>
      </c>
      <c r="Z13" s="115">
        <f>-Dementia!Y18</f>
        <v>-4.3882104400834288E-2</v>
      </c>
      <c r="AA13" s="115">
        <f>-Diabetes!Y10</f>
        <v>-5.6498473121696757E-2</v>
      </c>
      <c r="AB13" s="116">
        <f>-Diabetes!Y18</f>
        <v>-3.9996771822613852E-2</v>
      </c>
      <c r="AC13" s="115">
        <f>-Stroke_air!Y10</f>
        <v>-6.0747971021361757E-2</v>
      </c>
      <c r="AD13" s="116">
        <f>-Stroke_air!Y18</f>
        <v>-4.3026585500370307E-2</v>
      </c>
      <c r="AE13" s="115" t="e">
        <f>('Health summary'!$AA$41+ 'Health summary'!$AB$41) /GBDUS!$R$214</f>
        <v>#REF!</v>
      </c>
      <c r="AF13" s="115" t="e">
        <f>('Health summary'!$AA$41+ 'Health summary'!$AB$41) /GBDUS!$R$214</f>
        <v>#REF!</v>
      </c>
      <c r="AG13" s="115">
        <f>-'All-cause mort'!Y10</f>
        <v>-1.9499680924610852E-2</v>
      </c>
      <c r="AH13" s="116">
        <f>-'All-cause mort'!Y18</f>
        <v>-4.2061027870140766E-2</v>
      </c>
    </row>
    <row r="14" spans="1:40" ht="10.15" customHeight="1" thickBot="1" x14ac:dyDescent="0.3">
      <c r="A14" s="1153"/>
      <c r="B14" s="142" t="s">
        <v>143</v>
      </c>
      <c r="C14" s="107">
        <f>'Visions person'!C55/7</f>
        <v>0</v>
      </c>
      <c r="D14" s="104" t="e">
        <f t="shared" si="0"/>
        <v>#REF!</v>
      </c>
      <c r="E14" s="107">
        <f>'Visions person'!E55/7</f>
        <v>0</v>
      </c>
      <c r="F14" s="104">
        <f t="shared" si="1"/>
        <v>0</v>
      </c>
      <c r="G14" s="107">
        <f>'Visions person'!G55/7</f>
        <v>0</v>
      </c>
      <c r="H14" s="604">
        <f>G14/$G$16</f>
        <v>0</v>
      </c>
      <c r="I14" s="107">
        <f>'Visions person'!I55/7</f>
        <v>0</v>
      </c>
      <c r="J14" s="604">
        <f>I14/$I$16</f>
        <v>0</v>
      </c>
      <c r="K14" s="330"/>
      <c r="L14" s="143"/>
      <c r="M14" s="108">
        <f>IF(($U$1=0),C14,IF(($U$1=1),E14,IF(($U$1=2),G14,IF(($U$1=3),I14,IF(($U$1=4),K14,IF(($U$1=5),E14,""))))))</f>
        <v>0</v>
      </c>
      <c r="N14" s="103">
        <f t="shared" si="2"/>
        <v>0</v>
      </c>
      <c r="P14" s="117" t="s">
        <v>74</v>
      </c>
      <c r="Q14" s="1138">
        <f>'Breast cancer'!AS20</f>
        <v>-5.6793278556041056E-2</v>
      </c>
      <c r="R14" s="1151"/>
      <c r="S14" s="1138">
        <f>'Colon Cancer'!AS20</f>
        <v>-1.6607816123732796E-2</v>
      </c>
      <c r="T14" s="1151"/>
      <c r="U14" s="1138">
        <f>CVD_air!AT20</f>
        <v>-7.155047336439746E-2</v>
      </c>
      <c r="V14" s="1151"/>
      <c r="W14" s="1138">
        <f>Depression!AS20</f>
        <v>-1.7325630764858942E-2</v>
      </c>
      <c r="X14" s="1151"/>
      <c r="Y14" s="1138">
        <f>Dementia!AT20</f>
        <v>-3.5339336591901888E-2</v>
      </c>
      <c r="Z14" s="1151"/>
      <c r="AA14" s="1138">
        <f>Diabetes!AS20</f>
        <v>-6.9897281888980672E-2</v>
      </c>
      <c r="AB14" s="1139"/>
      <c r="AC14" s="1138">
        <f>Stroke_air!AT20</f>
        <v>-7.030585706552471E-2</v>
      </c>
      <c r="AD14" s="1139"/>
      <c r="AE14" s="1138" t="e">
        <f>'Health summary'!AA42</f>
        <v>#REF!</v>
      </c>
      <c r="AF14" s="1139"/>
      <c r="AG14" s="1138">
        <f>'All-cause mort'!AR20</f>
        <v>-1.5368940467217429E-2</v>
      </c>
      <c r="AH14" s="1139"/>
    </row>
    <row r="15" spans="1:40" ht="10.15" customHeight="1" x14ac:dyDescent="0.25">
      <c r="A15" s="1153"/>
      <c r="B15" s="106" t="s">
        <v>247</v>
      </c>
      <c r="C15" s="107" t="s">
        <v>223</v>
      </c>
      <c r="D15" s="104" t="s">
        <v>223</v>
      </c>
      <c r="E15" s="107" t="s">
        <v>223</v>
      </c>
      <c r="F15" s="104" t="s">
        <v>223</v>
      </c>
      <c r="G15" s="107" t="s">
        <v>223</v>
      </c>
      <c r="H15" s="604" t="s">
        <v>223</v>
      </c>
      <c r="I15" s="107" t="s">
        <v>223</v>
      </c>
      <c r="J15" s="604" t="s">
        <v>223</v>
      </c>
      <c r="K15" s="330"/>
      <c r="L15" s="143"/>
      <c r="M15" s="108" t="str">
        <f>IF(($U$1=0),C15,IF(($U$1=1),E15,IF(($U$1=2),G15,IF(($U$1=3),I15,IF(($U$1=4),K15,IF(($U$1=5),E15,""))))))</f>
        <v xml:space="preserve"> </v>
      </c>
      <c r="N15" s="103" t="s">
        <v>223</v>
      </c>
    </row>
    <row r="16" spans="1:40" ht="10.15" customHeight="1" x14ac:dyDescent="0.25">
      <c r="A16" s="1154"/>
      <c r="B16" s="106" t="s">
        <v>74</v>
      </c>
      <c r="C16" s="107" t="e">
        <f>SUM(C7:C15)</f>
        <v>#REF!</v>
      </c>
      <c r="D16" s="104" t="e">
        <f>SUM(D7:D15)</f>
        <v>#REF!</v>
      </c>
      <c r="E16" s="107">
        <f>SUM(E7:E15)</f>
        <v>21.428571428571427</v>
      </c>
      <c r="F16" s="104">
        <f>SUM(F7:F14)</f>
        <v>1</v>
      </c>
      <c r="G16" s="107">
        <f>SUM(G7:G15)</f>
        <v>92.836353046075473</v>
      </c>
      <c r="H16" s="604">
        <f>SUM(H7:H14)</f>
        <v>1</v>
      </c>
      <c r="I16" s="107">
        <f>SUM(I7:I15)</f>
        <v>90.968497897198034</v>
      </c>
      <c r="J16" s="604">
        <f>SUM(J7:J14)</f>
        <v>1</v>
      </c>
      <c r="K16" s="330"/>
      <c r="L16" s="143"/>
      <c r="M16" s="108">
        <f>SUM(M7:M15)</f>
        <v>21.428571428571427</v>
      </c>
      <c r="N16" s="103">
        <f t="shared" si="2"/>
        <v>1</v>
      </c>
      <c r="R16" s="1144" t="s">
        <v>192</v>
      </c>
      <c r="S16" s="1144"/>
      <c r="T16" s="1144"/>
      <c r="U16" s="1149" t="e">
        <f>'Health summary'!AC41+'Health summary'!AD41</f>
        <v>#REF!</v>
      </c>
      <c r="V16" s="1149"/>
      <c r="W16" s="1150" t="e">
        <f>-'Health summary'!AC42</f>
        <v>#REF!</v>
      </c>
      <c r="X16" s="1150"/>
      <c r="Y16" s="1150"/>
      <c r="Z16" s="1144"/>
      <c r="AA16" s="1144"/>
      <c r="AB16" s="1150"/>
      <c r="AC16" s="1150"/>
    </row>
    <row r="17" spans="1:32" ht="10.15" customHeight="1" x14ac:dyDescent="0.25">
      <c r="A17" s="1152" t="s">
        <v>221</v>
      </c>
      <c r="B17" s="106" t="s">
        <v>93</v>
      </c>
      <c r="C17" s="1164">
        <f>'Visions person'!C26:D26</f>
        <v>3</v>
      </c>
      <c r="D17" s="1165"/>
      <c r="E17" s="1164">
        <f>'Visions person'!E26:F26</f>
        <v>3</v>
      </c>
      <c r="F17" s="1165"/>
      <c r="G17" s="1164">
        <v>3</v>
      </c>
      <c r="H17" s="1165"/>
      <c r="I17" s="1164">
        <v>3</v>
      </c>
      <c r="J17" s="1165"/>
      <c r="K17" s="1166"/>
      <c r="L17" s="1167"/>
      <c r="M17" s="1142">
        <f>IF(($U$1=0),K17,IF(($U$1=1),G17,IF(($U$1=2),E17,IF(($U$1=3),I17,IF(($U$1=4),G17,IF(($U$1=5),E17,""))))))</f>
        <v>3</v>
      </c>
      <c r="N17" s="1143"/>
      <c r="R17" s="1144"/>
      <c r="S17" s="1144"/>
      <c r="T17" s="1144"/>
      <c r="U17" s="1149"/>
      <c r="V17" s="1149"/>
      <c r="W17" s="1150"/>
      <c r="X17" s="1150"/>
      <c r="Y17" s="1150"/>
      <c r="Z17" s="1144"/>
      <c r="AA17" s="1144"/>
      <c r="AB17" s="1150"/>
      <c r="AC17" s="1150"/>
      <c r="AF17" s="247"/>
    </row>
    <row r="18" spans="1:32" ht="10.15" customHeight="1" x14ac:dyDescent="0.25">
      <c r="A18" s="1153"/>
      <c r="B18" s="106" t="s">
        <v>94</v>
      </c>
      <c r="C18" s="1164">
        <f>'Visions person'!C27:D27</f>
        <v>10</v>
      </c>
      <c r="D18" s="1165"/>
      <c r="E18" s="1164">
        <f>'Visions person'!E27:F27</f>
        <v>10</v>
      </c>
      <c r="F18" s="1165"/>
      <c r="G18" s="1164">
        <v>10</v>
      </c>
      <c r="H18" s="1165"/>
      <c r="I18" s="1164">
        <v>10</v>
      </c>
      <c r="J18" s="1165"/>
      <c r="K18" s="1166"/>
      <c r="L18" s="1167"/>
      <c r="M18" s="1142">
        <f>IF(($U$1=0),K18,IF(($U$1=1),G18,IF(($U$1=2),E18,IF(($U$1=3),I18,IF(($U$1=4),G18,IF(($U$1=5),E18,""))))))</f>
        <v>10</v>
      </c>
      <c r="N18" s="1143"/>
      <c r="P18" s="94"/>
      <c r="AF18" s="247"/>
    </row>
    <row r="19" spans="1:32" ht="10.15" customHeight="1" x14ac:dyDescent="0.25">
      <c r="A19" s="1153"/>
      <c r="B19" s="142" t="s">
        <v>95</v>
      </c>
      <c r="C19" s="1164">
        <v>11</v>
      </c>
      <c r="D19" s="1165"/>
      <c r="E19" s="1164">
        <v>11</v>
      </c>
      <c r="F19" s="1165"/>
      <c r="G19" s="1164">
        <v>11</v>
      </c>
      <c r="H19" s="1165"/>
      <c r="I19" s="1164">
        <v>11</v>
      </c>
      <c r="J19" s="1165"/>
      <c r="K19" s="1166"/>
      <c r="L19" s="1167"/>
      <c r="M19" s="1142">
        <f t="shared" ref="M19:M25" si="3">IF(($U$1=0),C19,IF(($U$1=1),E19,IF(($U$1=2),G19,IF(($U$1=3),I19,IF(($U$1=4),K19,IF(($U$1=5),M19,""))))))</f>
        <v>11</v>
      </c>
      <c r="N19" s="1143"/>
      <c r="P19" s="94"/>
    </row>
    <row r="20" spans="1:32" ht="10.15" customHeight="1" x14ac:dyDescent="0.25">
      <c r="A20" s="1153"/>
      <c r="B20" s="106" t="s">
        <v>135</v>
      </c>
      <c r="C20" s="1164"/>
      <c r="D20" s="1165"/>
      <c r="E20" s="1164"/>
      <c r="F20" s="1165"/>
      <c r="G20" s="1164"/>
      <c r="H20" s="1165"/>
      <c r="I20" s="1164"/>
      <c r="J20" s="1165"/>
      <c r="K20" s="1166"/>
      <c r="L20" s="1167"/>
      <c r="M20" s="1142"/>
      <c r="N20" s="1143"/>
      <c r="P20" s="94"/>
    </row>
    <row r="21" spans="1:32" ht="9.6" customHeight="1" x14ac:dyDescent="0.25">
      <c r="A21" s="1153"/>
      <c r="B21" s="106" t="s">
        <v>98</v>
      </c>
      <c r="C21" s="1164">
        <f>'Visions person'!C30:D30</f>
        <v>9.9414765825122728</v>
      </c>
      <c r="D21" s="1165"/>
      <c r="E21" s="1164">
        <f>'Visions person'!E30:F30</f>
        <v>9.9414765825122728</v>
      </c>
      <c r="F21" s="1165"/>
      <c r="G21" s="1164">
        <f>'Visions person'!G30:H30</f>
        <v>9.9414765825122728</v>
      </c>
      <c r="H21" s="1165"/>
      <c r="I21" s="1164">
        <f>'Visions person'!I30:J30</f>
        <v>9.9414765825122728</v>
      </c>
      <c r="J21" s="1165"/>
      <c r="K21" s="1166"/>
      <c r="L21" s="1167"/>
      <c r="M21" s="1142">
        <f t="shared" si="3"/>
        <v>9.9414765825122728</v>
      </c>
      <c r="N21" s="1143"/>
      <c r="P21" s="94"/>
    </row>
    <row r="22" spans="1:32" ht="10.15" customHeight="1" x14ac:dyDescent="0.25">
      <c r="A22" s="1153"/>
      <c r="B22" s="106" t="s">
        <v>219</v>
      </c>
      <c r="C22" s="1164">
        <v>27</v>
      </c>
      <c r="D22" s="1165"/>
      <c r="E22" s="1164">
        <v>27</v>
      </c>
      <c r="F22" s="1165"/>
      <c r="G22" s="1164">
        <v>27</v>
      </c>
      <c r="H22" s="1165"/>
      <c r="I22" s="1164">
        <v>27</v>
      </c>
      <c r="J22" s="1165"/>
      <c r="K22" s="1166"/>
      <c r="L22" s="1167"/>
      <c r="M22" s="1142">
        <f t="shared" si="3"/>
        <v>27</v>
      </c>
      <c r="N22" s="1143"/>
      <c r="P22" s="94"/>
    </row>
    <row r="23" spans="1:32" ht="10.15" customHeight="1" x14ac:dyDescent="0.25">
      <c r="A23" s="1153"/>
      <c r="B23" s="106" t="s">
        <v>220</v>
      </c>
      <c r="C23" s="1164">
        <v>27</v>
      </c>
      <c r="D23" s="1165"/>
      <c r="E23" s="1164">
        <v>27</v>
      </c>
      <c r="F23" s="1165"/>
      <c r="G23" s="1164">
        <v>27</v>
      </c>
      <c r="H23" s="1165"/>
      <c r="I23" s="1164">
        <v>27</v>
      </c>
      <c r="J23" s="1165"/>
      <c r="K23" s="1166"/>
      <c r="L23" s="1167"/>
      <c r="M23" s="1142">
        <f t="shared" si="3"/>
        <v>27</v>
      </c>
      <c r="N23" s="1143"/>
      <c r="P23" s="94"/>
    </row>
    <row r="24" spans="1:32" ht="10.15" customHeight="1" x14ac:dyDescent="0.25">
      <c r="A24" s="1153"/>
      <c r="B24" s="142" t="s">
        <v>143</v>
      </c>
      <c r="C24" s="1164">
        <f>'Visions person'!C33:D33</f>
        <v>0</v>
      </c>
      <c r="D24" s="1165"/>
      <c r="E24" s="1164">
        <f>'Visions person'!E33:F33</f>
        <v>0</v>
      </c>
      <c r="F24" s="1165"/>
      <c r="G24" s="1164">
        <f>'Visions person'!G33:H33</f>
        <v>0</v>
      </c>
      <c r="H24" s="1165"/>
      <c r="I24" s="1164">
        <f>'Visions person'!I33:J33</f>
        <v>0</v>
      </c>
      <c r="J24" s="1165"/>
      <c r="K24" s="1166"/>
      <c r="L24" s="1167"/>
      <c r="M24" s="1142">
        <f t="shared" si="3"/>
        <v>0</v>
      </c>
      <c r="N24" s="1143"/>
      <c r="P24" s="93"/>
    </row>
    <row r="25" spans="1:32" ht="10.15" customHeight="1" x14ac:dyDescent="0.25">
      <c r="A25" s="1154"/>
      <c r="B25" s="106" t="s">
        <v>247</v>
      </c>
      <c r="C25" s="1164" t="s">
        <v>223</v>
      </c>
      <c r="D25" s="1165"/>
      <c r="E25" s="1164" t="s">
        <v>223</v>
      </c>
      <c r="F25" s="1165"/>
      <c r="G25" s="1164" t="s">
        <v>223</v>
      </c>
      <c r="H25" s="1165"/>
      <c r="I25" s="1164" t="s">
        <v>223</v>
      </c>
      <c r="J25" s="1165"/>
      <c r="K25" s="1166"/>
      <c r="L25" s="1167"/>
      <c r="M25" s="1142" t="str">
        <f t="shared" si="3"/>
        <v xml:space="preserve"> </v>
      </c>
      <c r="N25" s="1143"/>
      <c r="P25" s="93"/>
      <c r="V25" s="46"/>
      <c r="X25" s="89"/>
    </row>
    <row r="26" spans="1:32" ht="10.15" customHeight="1" x14ac:dyDescent="0.25">
      <c r="A26" s="1152" t="s">
        <v>229</v>
      </c>
      <c r="B26" s="106" t="s">
        <v>93</v>
      </c>
      <c r="C26" s="109" t="e">
        <f>'Visions person'!C35/7</f>
        <v>#REF!</v>
      </c>
      <c r="D26" s="104" t="e">
        <f>C26/$C$35</f>
        <v>#REF!</v>
      </c>
      <c r="E26" s="109" t="e">
        <f>'Visions person'!E35/7</f>
        <v>#REF!</v>
      </c>
      <c r="F26" s="104" t="e">
        <f>E26/$E$35</f>
        <v>#REF!</v>
      </c>
      <c r="G26" s="605">
        <f>'Visions person'!G35/7</f>
        <v>0.17142857142857143</v>
      </c>
      <c r="H26" s="604" t="e">
        <f>G26/$E$35</f>
        <v>#REF!</v>
      </c>
      <c r="I26" s="605">
        <f>'Visions person'!I35/7</f>
        <v>0.16428571428571428</v>
      </c>
      <c r="J26" s="604" t="e">
        <f>I26/$E$35</f>
        <v>#REF!</v>
      </c>
      <c r="K26" s="329"/>
      <c r="L26" s="143"/>
      <c r="M26" s="110" t="e">
        <f t="shared" ref="M26:M31" si="4">IF(($U$1=0),C26,IF(($U$1=1),E26,IF(($U$1=2),G26,IF(($U$1=3),I26,IF(($U$1=4),K26,IF(($U$1=5),E26,""))))))</f>
        <v>#REF!</v>
      </c>
      <c r="N26" s="103" t="e">
        <f>M26/$M$35</f>
        <v>#REF!</v>
      </c>
      <c r="P26" s="93"/>
    </row>
    <row r="27" spans="1:32" ht="10.15" customHeight="1" x14ac:dyDescent="0.25">
      <c r="A27" s="1153"/>
      <c r="B27" s="106" t="s">
        <v>94</v>
      </c>
      <c r="C27" s="109" t="e">
        <f>'Visions person'!C36/7</f>
        <v>#REF!</v>
      </c>
      <c r="D27" s="104" t="e">
        <f t="shared" ref="D27:D35" si="5">C27/$C$35</f>
        <v>#REF!</v>
      </c>
      <c r="E27" s="109" t="e">
        <f>'Visions person'!E36/7</f>
        <v>#REF!</v>
      </c>
      <c r="F27" s="104" t="e">
        <f t="shared" ref="F27:F35" si="6">E27/$E$35</f>
        <v>#REF!</v>
      </c>
      <c r="G27" s="605">
        <f>'Visions person'!G36/7</f>
        <v>1.5714285714285714</v>
      </c>
      <c r="H27" s="604" t="e">
        <f>G27/$E$35</f>
        <v>#REF!</v>
      </c>
      <c r="I27" s="605">
        <f>'Visions person'!I36/7</f>
        <v>1.92</v>
      </c>
      <c r="J27" s="604" t="e">
        <f>I27/$E$35</f>
        <v>#REF!</v>
      </c>
      <c r="K27" s="329"/>
      <c r="L27" s="143"/>
      <c r="M27" s="110" t="e">
        <f t="shared" si="4"/>
        <v>#REF!</v>
      </c>
      <c r="N27" s="103" t="e">
        <f t="shared" ref="N27:N35" si="7">M27/$M$35</f>
        <v>#REF!</v>
      </c>
      <c r="P27" s="93"/>
    </row>
    <row r="28" spans="1:32" ht="10.15" customHeight="1" x14ac:dyDescent="0.25">
      <c r="A28" s="1153"/>
      <c r="B28" s="142" t="s">
        <v>95</v>
      </c>
      <c r="C28" s="109">
        <f>'Visions person'!C37/7</f>
        <v>0</v>
      </c>
      <c r="D28" s="104" t="e">
        <f t="shared" si="5"/>
        <v>#REF!</v>
      </c>
      <c r="E28" s="109">
        <f>'Visions person'!E37/7</f>
        <v>0</v>
      </c>
      <c r="F28" s="104" t="e">
        <f t="shared" si="6"/>
        <v>#REF!</v>
      </c>
      <c r="G28" s="605">
        <f>'Visions person'!G37/7</f>
        <v>8.5714285714285715E-2</v>
      </c>
      <c r="H28" s="604" t="e">
        <f>G28/$E$35</f>
        <v>#REF!</v>
      </c>
      <c r="I28" s="605">
        <f>'Visions person'!I37/7</f>
        <v>9.4285714285714292E-2</v>
      </c>
      <c r="J28" s="604" t="e">
        <f>I28/$E$35</f>
        <v>#REF!</v>
      </c>
      <c r="K28" s="329"/>
      <c r="L28" s="143"/>
      <c r="M28" s="110">
        <f t="shared" si="4"/>
        <v>0</v>
      </c>
      <c r="N28" s="103" t="e">
        <f t="shared" si="7"/>
        <v>#REF!</v>
      </c>
      <c r="P28" s="93"/>
      <c r="W28" s="46"/>
      <c r="X28" s="46"/>
    </row>
    <row r="29" spans="1:32" ht="10.15" customHeight="1" x14ac:dyDescent="0.25">
      <c r="A29" s="1153"/>
      <c r="B29" s="106" t="s">
        <v>135</v>
      </c>
      <c r="C29" s="109"/>
      <c r="D29" s="104"/>
      <c r="E29" s="109"/>
      <c r="F29" s="104"/>
      <c r="G29" s="605"/>
      <c r="H29" s="604"/>
      <c r="I29" s="605"/>
      <c r="J29" s="604"/>
      <c r="K29" s="329"/>
      <c r="L29" s="143"/>
      <c r="M29" s="110"/>
      <c r="N29" s="103"/>
      <c r="P29" s="93"/>
      <c r="W29" s="46"/>
      <c r="X29" s="46"/>
    </row>
    <row r="30" spans="1:32" ht="10.15" customHeight="1" x14ac:dyDescent="0.25">
      <c r="A30" s="1153"/>
      <c r="B30" s="106" t="s">
        <v>98</v>
      </c>
      <c r="C30" s="109">
        <f>'Visions person'!C39/7</f>
        <v>0</v>
      </c>
      <c r="D30" s="104" t="e">
        <f t="shared" si="5"/>
        <v>#REF!</v>
      </c>
      <c r="E30" s="109">
        <f>'Visions person'!E39/7</f>
        <v>0</v>
      </c>
      <c r="F30" s="104" t="e">
        <f t="shared" si="6"/>
        <v>#REF!</v>
      </c>
      <c r="G30" s="605">
        <f>'Visions person'!G39/7</f>
        <v>0</v>
      </c>
      <c r="H30" s="604" t="e">
        <f>G30/$E$35</f>
        <v>#REF!</v>
      </c>
      <c r="I30" s="605">
        <f>'Visions person'!I39/7</f>
        <v>0</v>
      </c>
      <c r="J30" s="604" t="e">
        <f>I30/$E$35</f>
        <v>#REF!</v>
      </c>
      <c r="K30" s="329"/>
      <c r="L30" s="143"/>
      <c r="M30" s="110">
        <f t="shared" si="4"/>
        <v>0</v>
      </c>
      <c r="N30" s="103" t="e">
        <f t="shared" si="7"/>
        <v>#REF!</v>
      </c>
      <c r="P30" s="93"/>
      <c r="W30" s="46"/>
      <c r="X30" s="46"/>
    </row>
    <row r="31" spans="1:32" ht="10.15" customHeight="1" x14ac:dyDescent="0.25">
      <c r="A31" s="1153"/>
      <c r="B31" s="106" t="s">
        <v>219</v>
      </c>
      <c r="C31" s="109" t="e">
        <f>'Visions person'!C40/7</f>
        <v>#REF!</v>
      </c>
      <c r="D31" s="104" t="e">
        <f t="shared" si="5"/>
        <v>#REF!</v>
      </c>
      <c r="E31" s="109">
        <f>'Visions person'!E40/7</f>
        <v>0</v>
      </c>
      <c r="F31" s="104" t="e">
        <f t="shared" si="6"/>
        <v>#REF!</v>
      </c>
      <c r="G31" s="605">
        <f>'Visions person'!G40/7</f>
        <v>19.328571428571429</v>
      </c>
      <c r="H31" s="604" t="e">
        <f>G31/$E$35</f>
        <v>#REF!</v>
      </c>
      <c r="I31" s="605">
        <f>'Visions person'!I40/7</f>
        <v>17.728571428571428</v>
      </c>
      <c r="J31" s="604" t="e">
        <f>I31/$E$35</f>
        <v>#REF!</v>
      </c>
      <c r="K31" s="329"/>
      <c r="L31" s="143"/>
      <c r="M31" s="110">
        <f t="shared" si="4"/>
        <v>0</v>
      </c>
      <c r="N31" s="103" t="e">
        <f t="shared" si="7"/>
        <v>#REF!</v>
      </c>
      <c r="P31" s="93"/>
      <c r="W31" s="46"/>
      <c r="X31" s="46"/>
    </row>
    <row r="32" spans="1:32" ht="10.15" customHeight="1" x14ac:dyDescent="0.25">
      <c r="A32" s="1153"/>
      <c r="B32" s="106" t="s">
        <v>220</v>
      </c>
      <c r="C32" s="109">
        <f>'Visions person'!C41/7</f>
        <v>0</v>
      </c>
      <c r="D32" s="104" t="e">
        <f t="shared" si="5"/>
        <v>#REF!</v>
      </c>
      <c r="E32" s="109">
        <f>'Visions person'!E41/7</f>
        <v>0</v>
      </c>
      <c r="F32" s="104" t="e">
        <f t="shared" si="6"/>
        <v>#REF!</v>
      </c>
      <c r="G32" s="605">
        <f>'Visions person'!G41/7</f>
        <v>0</v>
      </c>
      <c r="H32" s="604" t="e">
        <f>G32/$E$35</f>
        <v>#REF!</v>
      </c>
      <c r="I32" s="605">
        <f>'Visions person'!I41/7</f>
        <v>0</v>
      </c>
      <c r="J32" s="604" t="e">
        <f>I32/$E$35</f>
        <v>#REF!</v>
      </c>
      <c r="K32" s="329"/>
      <c r="L32" s="143"/>
      <c r="M32" s="110">
        <f>IF(($U$1=0),C32,IF(($U$1=1),E32,IF(($U$1=2),G32,IF(($U$1=3),I32,IF(($U$1=4),K32,IF(($U$1=5),E32,""))))))</f>
        <v>0</v>
      </c>
      <c r="N32" s="103" t="e">
        <f t="shared" si="7"/>
        <v>#REF!</v>
      </c>
      <c r="P32" s="91"/>
      <c r="Q32" s="91"/>
      <c r="R32" s="91"/>
      <c r="S32" s="91"/>
      <c r="T32" s="91"/>
      <c r="U32" s="91"/>
      <c r="V32" s="91"/>
      <c r="W32" s="91"/>
      <c r="X32" s="46"/>
    </row>
    <row r="33" spans="1:27" ht="10.15" customHeight="1" x14ac:dyDescent="0.25">
      <c r="A33" s="1153"/>
      <c r="B33" s="142" t="s">
        <v>143</v>
      </c>
      <c r="C33" s="109">
        <f>'Visions person'!C42/7</f>
        <v>0.14285714285714285</v>
      </c>
      <c r="D33" s="104" t="e">
        <f t="shared" si="5"/>
        <v>#REF!</v>
      </c>
      <c r="E33" s="109">
        <f>'Visions person'!E42/7</f>
        <v>0</v>
      </c>
      <c r="F33" s="104" t="e">
        <f t="shared" si="6"/>
        <v>#REF!</v>
      </c>
      <c r="G33" s="605">
        <f>'Visions person'!G42/7</f>
        <v>0.14285714285714285</v>
      </c>
      <c r="H33" s="604" t="e">
        <f>G33/$E$35</f>
        <v>#REF!</v>
      </c>
      <c r="I33" s="605">
        <f>'Visions person'!I42/7</f>
        <v>0</v>
      </c>
      <c r="J33" s="604" t="e">
        <f>I33/$E$35</f>
        <v>#REF!</v>
      </c>
      <c r="K33" s="329"/>
      <c r="L33" s="143"/>
      <c r="M33" s="110">
        <f>IF(($U$1=0),C33,IF(($U$1=1),E33,IF(($U$1=2),G33,IF(($U$1=3),I33,IF(($U$1=4),K33,IF(($U$1=5),E33,""))))))</f>
        <v>0</v>
      </c>
      <c r="N33" s="103" t="e">
        <f t="shared" si="7"/>
        <v>#REF!</v>
      </c>
      <c r="P33" s="91"/>
      <c r="Q33" s="91"/>
      <c r="R33" s="91"/>
      <c r="S33" s="91"/>
      <c r="T33" s="91"/>
      <c r="U33" s="91"/>
      <c r="V33" s="91"/>
      <c r="W33" s="91"/>
      <c r="X33" s="46"/>
    </row>
    <row r="34" spans="1:27" ht="10.15" customHeight="1" x14ac:dyDescent="0.25">
      <c r="A34" s="1153"/>
      <c r="B34" s="130" t="s">
        <v>254</v>
      </c>
      <c r="C34" s="109" t="s">
        <v>223</v>
      </c>
      <c r="D34" s="104" t="s">
        <v>223</v>
      </c>
      <c r="E34" s="109" t="s">
        <v>223</v>
      </c>
      <c r="F34" s="104" t="s">
        <v>223</v>
      </c>
      <c r="G34" s="605" t="s">
        <v>223</v>
      </c>
      <c r="H34" s="604" t="s">
        <v>223</v>
      </c>
      <c r="I34" s="605" t="s">
        <v>223</v>
      </c>
      <c r="J34" s="604" t="s">
        <v>223</v>
      </c>
      <c r="K34" s="329"/>
      <c r="L34" s="143"/>
      <c r="M34" s="110" t="str">
        <f>IF(($U$1=0),C34,IF(($U$1=1),E34,IF(($U$1=2),G34,IF(($U$1=3),I34,IF(($U$1=4),K34,IF(($U$1=5),E34,""))))))</f>
        <v xml:space="preserve"> </v>
      </c>
      <c r="N34" s="103" t="s">
        <v>223</v>
      </c>
      <c r="W34" s="46"/>
      <c r="X34" s="46"/>
    </row>
    <row r="35" spans="1:27" ht="13.15" customHeight="1" x14ac:dyDescent="0.25">
      <c r="A35" s="1153"/>
      <c r="B35" s="106" t="s">
        <v>74</v>
      </c>
      <c r="C35" s="109" t="e">
        <f>SUM(C26:C34)</f>
        <v>#REF!</v>
      </c>
      <c r="D35" s="104" t="e">
        <f t="shared" si="5"/>
        <v>#REF!</v>
      </c>
      <c r="E35" s="109" t="e">
        <f>SUM(E26:E34)</f>
        <v>#REF!</v>
      </c>
      <c r="F35" s="104" t="e">
        <f t="shared" si="6"/>
        <v>#REF!</v>
      </c>
      <c r="G35" s="605">
        <f>SUM(G26:G34)</f>
        <v>21.3</v>
      </c>
      <c r="H35" s="604" t="e">
        <f>G35/$E$35</f>
        <v>#REF!</v>
      </c>
      <c r="I35" s="605">
        <f>SUM(I26:I34)</f>
        <v>19.907142857142855</v>
      </c>
      <c r="J35" s="604" t="e">
        <f>I35/$E$35</f>
        <v>#REF!</v>
      </c>
      <c r="K35" s="329"/>
      <c r="L35" s="143"/>
      <c r="M35" s="110" t="e">
        <f>SUM(M26:M34)</f>
        <v>#REF!</v>
      </c>
      <c r="N35" s="103" t="e">
        <f t="shared" si="7"/>
        <v>#REF!</v>
      </c>
      <c r="W35" s="46"/>
      <c r="X35" s="46"/>
    </row>
    <row r="36" spans="1:27" ht="13.15" customHeight="1" x14ac:dyDescent="0.25">
      <c r="A36" s="1161" t="s">
        <v>250</v>
      </c>
      <c r="B36" s="1161"/>
      <c r="C36" s="1162">
        <f>'Calibration Data'!$Q$872</f>
        <v>62557</v>
      </c>
      <c r="D36" s="1163"/>
      <c r="E36" s="1199"/>
      <c r="F36" s="1200"/>
      <c r="G36" s="1199"/>
      <c r="H36" s="1200"/>
      <c r="I36" s="1199"/>
      <c r="J36" s="1200"/>
      <c r="K36" s="1186"/>
      <c r="L36" s="1187"/>
      <c r="M36" s="1188"/>
      <c r="N36" s="1189"/>
      <c r="W36" s="46"/>
      <c r="X36" s="46"/>
    </row>
    <row r="37" spans="1:27" ht="13.9" customHeight="1" thickBot="1" x14ac:dyDescent="0.3">
      <c r="A37" s="1161" t="s">
        <v>144</v>
      </c>
      <c r="B37" s="1161"/>
      <c r="C37" s="1194">
        <f>Baseline!C24</f>
        <v>1.6482562797981899</v>
      </c>
      <c r="D37" s="1195"/>
      <c r="E37" s="1194">
        <f>Scenario!C25</f>
        <v>1.4878414069997554</v>
      </c>
      <c r="F37" s="1195"/>
      <c r="G37" s="1194">
        <f>Scenario!C25</f>
        <v>1.4878414069997554</v>
      </c>
      <c r="H37" s="1195"/>
      <c r="I37" s="1194">
        <f>Scenario!C25</f>
        <v>1.4878414069997554</v>
      </c>
      <c r="J37" s="1195"/>
      <c r="K37" s="1194" t="s">
        <v>223</v>
      </c>
      <c r="L37" s="1195"/>
      <c r="M37" s="1194">
        <f>IF(($U$1=0),C37,IF(($U$1=1),E37,IF(($U$1=2),G37,IF(($U$1=3),I37,IF(($U$1=4),K37,IF(($U$1=5),E37,""))))))</f>
        <v>1.4878414069997554</v>
      </c>
      <c r="N37" s="1195">
        <f>IF(($U$1=0),D37,IF(($U$1=1),F37,IF(($U$1=2),H37,IF(($U$1=3),J37,IF(($U$1=4),L37,IF(($U$1=5),F37,""))))))</f>
        <v>0</v>
      </c>
      <c r="W37" s="46"/>
      <c r="X37" s="46"/>
    </row>
    <row r="38" spans="1:27" ht="13.9" customHeight="1" thickBot="1" x14ac:dyDescent="0.3">
      <c r="A38" s="1179"/>
      <c r="B38" s="1179"/>
      <c r="C38" s="1180"/>
      <c r="D38" s="1181"/>
      <c r="E38" s="1181"/>
      <c r="F38" s="1181"/>
      <c r="G38" s="1181"/>
      <c r="H38" s="1181"/>
      <c r="I38" s="1181"/>
      <c r="J38" s="1181"/>
      <c r="K38" s="1181"/>
      <c r="L38" s="1181"/>
      <c r="M38" s="1181"/>
      <c r="N38" s="1196"/>
      <c r="W38" s="46"/>
      <c r="X38" s="46"/>
    </row>
    <row r="39" spans="1:27" ht="10.15" customHeight="1" x14ac:dyDescent="0.25">
      <c r="A39" s="1190" t="s">
        <v>205</v>
      </c>
      <c r="B39" s="1191"/>
      <c r="C39" s="1191"/>
      <c r="D39" s="1191"/>
      <c r="E39" s="1191"/>
      <c r="F39" s="1191"/>
      <c r="G39" s="1191"/>
      <c r="H39" s="1191"/>
      <c r="I39" s="1191"/>
      <c r="J39" s="1191"/>
      <c r="K39" s="1191"/>
      <c r="L39" s="1191"/>
      <c r="M39" s="1191"/>
      <c r="N39" s="1197">
        <v>1</v>
      </c>
      <c r="W39" s="46"/>
      <c r="X39" s="46"/>
    </row>
    <row r="40" spans="1:27" ht="10.15" customHeight="1" thickBot="1" x14ac:dyDescent="0.3">
      <c r="A40" s="1192"/>
      <c r="B40" s="1193"/>
      <c r="C40" s="1193"/>
      <c r="D40" s="1193"/>
      <c r="E40" s="1193"/>
      <c r="F40" s="1193"/>
      <c r="G40" s="1193"/>
      <c r="H40" s="1193"/>
      <c r="I40" s="1193"/>
      <c r="J40" s="1193"/>
      <c r="K40" s="1193"/>
      <c r="L40" s="1193"/>
      <c r="M40" s="1193"/>
      <c r="N40" s="1198"/>
      <c r="W40" s="46"/>
    </row>
    <row r="41" spans="1:27" ht="10.15" customHeight="1" x14ac:dyDescent="0.25">
      <c r="W41" s="46"/>
    </row>
    <row r="42" spans="1:27" ht="12.75" customHeight="1" x14ac:dyDescent="0.25">
      <c r="A42" s="305" t="s">
        <v>487</v>
      </c>
      <c r="B42" s="306"/>
      <c r="C42" s="306"/>
      <c r="D42" s="306"/>
      <c r="E42" s="306"/>
      <c r="F42" s="306"/>
      <c r="G42" s="307"/>
      <c r="P42" s="346" t="s">
        <v>230</v>
      </c>
      <c r="W42" s="46"/>
    </row>
    <row r="43" spans="1:27" ht="14.25" customHeight="1" x14ac:dyDescent="0.25">
      <c r="A43" s="1184" t="s">
        <v>212</v>
      </c>
      <c r="B43" s="1185"/>
      <c r="C43" s="332">
        <f>'air pollution'!C3</f>
        <v>9.4</v>
      </c>
      <c r="D43" s="332"/>
      <c r="E43" s="576">
        <f>'air pollution'!D3</f>
        <v>9.4</v>
      </c>
      <c r="F43" s="332"/>
      <c r="G43" s="332">
        <f>'air pollution'!E3</f>
        <v>6.4180285085811599</v>
      </c>
      <c r="H43" s="332"/>
      <c r="I43" s="332">
        <f>'air pollution'!F3</f>
        <v>6.4109393691100003</v>
      </c>
      <c r="J43" s="332"/>
      <c r="K43" s="332">
        <f>'air pollution'!G3</f>
        <v>0</v>
      </c>
      <c r="L43" s="109"/>
      <c r="M43" s="1182">
        <f>IF(($U$1=0),C43,IF(($U$1=1),E43,IF(($U$1=2),G43,IF(($U$1=3),I43,IF(($U$1=4),K43,IF(($U$1=5),E43,""))))))</f>
        <v>9.4</v>
      </c>
      <c r="N43" s="1183"/>
      <c r="O43" s="316"/>
      <c r="P43" s="345"/>
    </row>
    <row r="44" spans="1:27" ht="13.5" customHeight="1" x14ac:dyDescent="0.25">
      <c r="E44" s="481"/>
    </row>
    <row r="45" spans="1:27" ht="13.5" customHeight="1" x14ac:dyDescent="0.25">
      <c r="A45" s="569"/>
      <c r="B45" s="569"/>
      <c r="C45" s="569"/>
      <c r="D45" s="569"/>
      <c r="E45" s="569"/>
      <c r="F45" s="569"/>
      <c r="G45" s="569"/>
      <c r="H45" s="406"/>
      <c r="I45" s="406"/>
      <c r="J45" s="406"/>
      <c r="K45" s="406"/>
      <c r="L45" s="406"/>
      <c r="M45" s="406"/>
      <c r="X45" s="46"/>
      <c r="AA45"/>
    </row>
    <row r="46" spans="1:27" ht="16.5" customHeight="1" x14ac:dyDescent="0.25">
      <c r="A46" s="410"/>
      <c r="B46" s="410"/>
      <c r="C46" s="411"/>
      <c r="D46" s="411"/>
      <c r="E46" s="411"/>
      <c r="F46" s="411"/>
      <c r="G46" s="411"/>
      <c r="H46" s="411"/>
      <c r="I46" s="411"/>
      <c r="J46" s="412"/>
      <c r="K46" s="411"/>
      <c r="L46" s="412"/>
      <c r="M46" s="413"/>
      <c r="X46" s="46"/>
      <c r="AA46"/>
    </row>
    <row r="47" spans="1:27" ht="12.75" customHeight="1" x14ac:dyDescent="0.25">
      <c r="A47" s="410"/>
      <c r="B47" s="410"/>
      <c r="C47" s="411"/>
      <c r="D47" s="411"/>
      <c r="E47" s="411"/>
      <c r="F47" s="411"/>
      <c r="G47" s="411"/>
      <c r="H47" s="411"/>
      <c r="I47" s="411"/>
      <c r="J47" s="412"/>
      <c r="K47" s="411"/>
      <c r="L47" s="412"/>
      <c r="M47" s="413"/>
      <c r="X47" s="46"/>
      <c r="AA47"/>
    </row>
    <row r="48" spans="1:27" ht="15.75" customHeight="1" x14ac:dyDescent="0.25">
      <c r="A48" s="133"/>
      <c r="E48" s="133"/>
      <c r="I48" s="189"/>
    </row>
    <row r="49" spans="1:4" ht="13.5" customHeight="1" x14ac:dyDescent="0.25">
      <c r="A49" s="414"/>
      <c r="B49" s="337"/>
      <c r="C49" s="414"/>
    </row>
    <row r="50" spans="1:4" ht="15.75" customHeight="1" x14ac:dyDescent="0.25">
      <c r="A50" s="339"/>
      <c r="B50" s="337"/>
      <c r="C50" s="342"/>
    </row>
    <row r="51" spans="1:4" ht="12.75" customHeight="1" x14ac:dyDescent="0.25">
      <c r="A51" s="133"/>
      <c r="B51" s="337"/>
      <c r="C51" s="343"/>
    </row>
    <row r="52" spans="1:4" x14ac:dyDescent="0.25">
      <c r="A52" s="133"/>
      <c r="B52" s="338"/>
      <c r="C52" s="343"/>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97"/>
      <c r="B62" s="1"/>
      <c r="C62" s="1"/>
      <c r="D62" s="1"/>
    </row>
    <row r="63" spans="1:4" x14ac:dyDescent="0.25">
      <c r="A63" s="1"/>
      <c r="B63" s="1"/>
      <c r="C63" s="1"/>
      <c r="D63" s="1"/>
    </row>
  </sheetData>
  <mergeCells count="117">
    <mergeCell ref="E37:F37"/>
    <mergeCell ref="M38:N38"/>
    <mergeCell ref="E25:F25"/>
    <mergeCell ref="N39:N40"/>
    <mergeCell ref="M37:N37"/>
    <mergeCell ref="G25:H25"/>
    <mergeCell ref="M25:N25"/>
    <mergeCell ref="E24:F24"/>
    <mergeCell ref="G24:H24"/>
    <mergeCell ref="I24:J24"/>
    <mergeCell ref="G37:H37"/>
    <mergeCell ref="I37:J37"/>
    <mergeCell ref="E36:F36"/>
    <mergeCell ref="G36:H36"/>
    <mergeCell ref="I36:J36"/>
    <mergeCell ref="I25:J25"/>
    <mergeCell ref="K25:L25"/>
    <mergeCell ref="A38:B38"/>
    <mergeCell ref="C38:D38"/>
    <mergeCell ref="E38:F38"/>
    <mergeCell ref="G38:H38"/>
    <mergeCell ref="I38:J38"/>
    <mergeCell ref="M43:N43"/>
    <mergeCell ref="A43:B43"/>
    <mergeCell ref="G20:H20"/>
    <mergeCell ref="I21:J21"/>
    <mergeCell ref="G22:H22"/>
    <mergeCell ref="I22:J22"/>
    <mergeCell ref="K20:L20"/>
    <mergeCell ref="K36:L36"/>
    <mergeCell ref="M36:N36"/>
    <mergeCell ref="A39:M40"/>
    <mergeCell ref="K38:L38"/>
    <mergeCell ref="K37:L37"/>
    <mergeCell ref="E21:F21"/>
    <mergeCell ref="K24:L24"/>
    <mergeCell ref="G23:H23"/>
    <mergeCell ref="G21:H21"/>
    <mergeCell ref="I23:J23"/>
    <mergeCell ref="A37:B37"/>
    <mergeCell ref="C37:D37"/>
    <mergeCell ref="W1:AB2"/>
    <mergeCell ref="A4:N5"/>
    <mergeCell ref="E18:F18"/>
    <mergeCell ref="E19:F19"/>
    <mergeCell ref="E6:F6"/>
    <mergeCell ref="K19:L19"/>
    <mergeCell ref="I18:J18"/>
    <mergeCell ref="G18:H18"/>
    <mergeCell ref="I19:J19"/>
    <mergeCell ref="A1:T2"/>
    <mergeCell ref="K18:L18"/>
    <mergeCell ref="I6:J6"/>
    <mergeCell ref="C6:D6"/>
    <mergeCell ref="K6:L6"/>
    <mergeCell ref="E17:F17"/>
    <mergeCell ref="G19:H19"/>
    <mergeCell ref="K17:L17"/>
    <mergeCell ref="G17:H17"/>
    <mergeCell ref="I17:J17"/>
    <mergeCell ref="C17:D17"/>
    <mergeCell ref="C19:D19"/>
    <mergeCell ref="U1:V2"/>
    <mergeCell ref="G6:H6"/>
    <mergeCell ref="C18:D18"/>
    <mergeCell ref="A26:A35"/>
    <mergeCell ref="A36:B36"/>
    <mergeCell ref="C36:D36"/>
    <mergeCell ref="C22:D22"/>
    <mergeCell ref="M24:N24"/>
    <mergeCell ref="K22:L22"/>
    <mergeCell ref="K21:L21"/>
    <mergeCell ref="I20:J20"/>
    <mergeCell ref="C20:D20"/>
    <mergeCell ref="C23:D23"/>
    <mergeCell ref="C24:D24"/>
    <mergeCell ref="K23:L23"/>
    <mergeCell ref="E22:F22"/>
    <mergeCell ref="E23:F23"/>
    <mergeCell ref="C21:D21"/>
    <mergeCell ref="E20:F20"/>
    <mergeCell ref="C25:D25"/>
    <mergeCell ref="A7:A16"/>
    <mergeCell ref="A17:A25"/>
    <mergeCell ref="W6:X6"/>
    <mergeCell ref="W14:X14"/>
    <mergeCell ref="P4:AF5"/>
    <mergeCell ref="AC6:AD6"/>
    <mergeCell ref="AE14:AF14"/>
    <mergeCell ref="AE6:AF6"/>
    <mergeCell ref="Y6:Z6"/>
    <mergeCell ref="AA6:AB6"/>
    <mergeCell ref="U6:V6"/>
    <mergeCell ref="U14:V14"/>
    <mergeCell ref="S14:T14"/>
    <mergeCell ref="Q6:R6"/>
    <mergeCell ref="Y14:Z14"/>
    <mergeCell ref="AA14:AB14"/>
    <mergeCell ref="AB16:AC17"/>
    <mergeCell ref="M20:N20"/>
    <mergeCell ref="M23:N23"/>
    <mergeCell ref="M22:N22"/>
    <mergeCell ref="M21:N21"/>
    <mergeCell ref="AG4:AN5"/>
    <mergeCell ref="AC14:AD14"/>
    <mergeCell ref="AG6:AH6"/>
    <mergeCell ref="AG14:AH14"/>
    <mergeCell ref="M18:N18"/>
    <mergeCell ref="M19:N19"/>
    <mergeCell ref="R16:T17"/>
    <mergeCell ref="M6:N6"/>
    <mergeCell ref="S6:T6"/>
    <mergeCell ref="U16:V17"/>
    <mergeCell ref="M17:N17"/>
    <mergeCell ref="W16:Y17"/>
    <mergeCell ref="Z16:AA17"/>
    <mergeCell ref="Q14:R14"/>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25"/>
  <sheetViews>
    <sheetView topLeftCell="A4" workbookViewId="0">
      <selection activeCell="S8" sqref="S8:T8"/>
    </sheetView>
  </sheetViews>
  <sheetFormatPr defaultRowHeight="15" x14ac:dyDescent="0.25"/>
  <cols>
    <col min="1" max="1" width="17.85546875" customWidth="1"/>
    <col min="2" max="3" width="8.5703125" customWidth="1"/>
    <col min="4" max="4" width="6.140625" customWidth="1"/>
    <col min="5" max="6" width="5.7109375" customWidth="1"/>
    <col min="7" max="7" width="7.28515625" customWidth="1"/>
    <col min="8" max="8" width="6.5703125" customWidth="1"/>
    <col min="9" max="10" width="5.7109375" customWidth="1"/>
    <col min="11" max="11" width="6.7109375" customWidth="1"/>
    <col min="12" max="12" width="6.140625" customWidth="1"/>
    <col min="13" max="14" width="5.7109375" customWidth="1"/>
    <col min="15" max="15" width="7.42578125" customWidth="1"/>
    <col min="16" max="17" width="5.7109375" customWidth="1"/>
    <col min="18" max="18" width="4" customWidth="1"/>
    <col min="19" max="19" width="5.7109375" customWidth="1"/>
    <col min="20" max="20" width="2.5703125" customWidth="1"/>
    <col min="22" max="35" width="5.7109375" customWidth="1"/>
    <col min="36" max="36" width="7.28515625" customWidth="1"/>
    <col min="37" max="37" width="7" customWidth="1"/>
    <col min="38" max="38" width="6.85546875" customWidth="1"/>
  </cols>
  <sheetData>
    <row r="1" spans="1:38" x14ac:dyDescent="0.25">
      <c r="A1" s="133"/>
      <c r="B1" s="133"/>
      <c r="C1" s="133"/>
      <c r="D1" s="133"/>
      <c r="E1" s="133"/>
      <c r="F1" s="133"/>
      <c r="G1" s="133"/>
      <c r="H1" s="133"/>
      <c r="I1" s="133"/>
      <c r="J1" s="133"/>
      <c r="K1" s="133"/>
      <c r="L1" s="133"/>
      <c r="M1" s="133"/>
      <c r="N1" s="133"/>
      <c r="P1" s="133"/>
      <c r="Q1" s="133"/>
      <c r="R1" s="133"/>
      <c r="S1" s="133"/>
      <c r="T1" s="133"/>
    </row>
    <row r="2" spans="1:38" ht="13.15" customHeight="1" x14ac:dyDescent="0.25">
      <c r="A2" s="1204" t="s">
        <v>125</v>
      </c>
      <c r="B2" s="1205"/>
      <c r="C2" s="1205"/>
      <c r="D2" s="1205"/>
      <c r="E2" s="1205"/>
      <c r="F2" s="1205"/>
      <c r="G2" s="1205"/>
      <c r="H2" s="1205"/>
      <c r="I2" s="1205"/>
      <c r="J2" s="1205"/>
      <c r="K2" s="1205"/>
      <c r="L2" s="1205"/>
      <c r="M2" s="1205"/>
      <c r="N2" s="1206"/>
      <c r="P2" s="1213" t="s">
        <v>129</v>
      </c>
      <c r="Q2" s="1213"/>
      <c r="R2" s="1213"/>
      <c r="S2" s="1213"/>
      <c r="T2" s="1214"/>
    </row>
    <row r="3" spans="1:38" ht="28.15" customHeight="1" x14ac:dyDescent="0.25">
      <c r="A3" s="1207"/>
      <c r="B3" s="1208"/>
      <c r="C3" s="1208"/>
      <c r="D3" s="1208"/>
      <c r="E3" s="1208"/>
      <c r="F3" s="1208"/>
      <c r="G3" s="1208"/>
      <c r="H3" s="1208"/>
      <c r="I3" s="1208"/>
      <c r="J3" s="1208"/>
      <c r="K3" s="1208"/>
      <c r="L3" s="1208"/>
      <c r="M3" s="1208"/>
      <c r="N3" s="1209"/>
      <c r="P3" s="1215"/>
      <c r="Q3" s="1215"/>
      <c r="R3" s="1215"/>
      <c r="S3" s="1215"/>
      <c r="T3" s="1216"/>
      <c r="V3" s="1201" t="s">
        <v>122</v>
      </c>
      <c r="W3" s="1201"/>
      <c r="X3" s="1201"/>
      <c r="Y3" s="1201"/>
      <c r="Z3" s="1201"/>
      <c r="AA3" s="1201"/>
      <c r="AB3" s="1201"/>
      <c r="AC3" s="1201"/>
      <c r="AD3" s="1201"/>
      <c r="AE3" s="1201"/>
      <c r="AF3" s="1201"/>
      <c r="AG3" s="1201"/>
      <c r="AH3" s="1201"/>
      <c r="AI3" s="1201"/>
      <c r="AJ3" s="1201"/>
      <c r="AK3" s="1201"/>
      <c r="AL3" s="1201"/>
    </row>
    <row r="4" spans="1:38" ht="29.25" customHeight="1" x14ac:dyDescent="0.25">
      <c r="A4" s="134"/>
      <c r="B4" s="134"/>
      <c r="C4" s="1173" t="s">
        <v>218</v>
      </c>
      <c r="D4" s="1174"/>
      <c r="E4" s="1173" t="s">
        <v>514</v>
      </c>
      <c r="F4" s="1174"/>
      <c r="G4" s="1173" t="s">
        <v>417</v>
      </c>
      <c r="H4" s="1174"/>
      <c r="I4" s="1173" t="s">
        <v>419</v>
      </c>
      <c r="J4" s="1174"/>
      <c r="K4" s="1211" t="s">
        <v>224</v>
      </c>
      <c r="L4" s="1212"/>
      <c r="M4" s="1210" t="s">
        <v>62</v>
      </c>
      <c r="N4" s="1210"/>
      <c r="P4" s="201"/>
      <c r="Q4" s="1225" t="s">
        <v>127</v>
      </c>
      <c r="R4" s="1225"/>
      <c r="S4" s="1210" t="s">
        <v>62</v>
      </c>
      <c r="T4" s="1210"/>
      <c r="V4" s="1172"/>
      <c r="W4" s="1172"/>
      <c r="X4" s="1172"/>
      <c r="Y4" s="1172"/>
      <c r="Z4" s="1172"/>
      <c r="AA4" s="1172"/>
      <c r="AB4" s="1172"/>
      <c r="AC4" s="1172"/>
      <c r="AD4" s="1172"/>
      <c r="AE4" s="1172"/>
      <c r="AF4" s="1172"/>
      <c r="AG4" s="1172"/>
      <c r="AH4" s="1172"/>
      <c r="AI4" s="1172"/>
      <c r="AJ4" s="1172"/>
      <c r="AK4" s="1172"/>
      <c r="AL4" s="1172"/>
    </row>
    <row r="5" spans="1:38" ht="13.9" customHeight="1" x14ac:dyDescent="0.25">
      <c r="A5" s="134"/>
      <c r="B5" s="134" t="s">
        <v>126</v>
      </c>
      <c r="C5" s="134" t="s">
        <v>26</v>
      </c>
      <c r="D5" s="134" t="s">
        <v>27</v>
      </c>
      <c r="E5" s="134" t="s">
        <v>26</v>
      </c>
      <c r="F5" s="134" t="s">
        <v>27</v>
      </c>
      <c r="G5" s="134" t="s">
        <v>26</v>
      </c>
      <c r="H5" s="134" t="s">
        <v>27</v>
      </c>
      <c r="I5" s="134" t="s">
        <v>26</v>
      </c>
      <c r="J5" s="134" t="s">
        <v>27</v>
      </c>
      <c r="K5" s="131" t="s">
        <v>26</v>
      </c>
      <c r="L5" s="131" t="s">
        <v>27</v>
      </c>
      <c r="M5" s="135" t="s">
        <v>26</v>
      </c>
      <c r="N5" s="135" t="s">
        <v>27</v>
      </c>
      <c r="P5" s="210" t="s">
        <v>26</v>
      </c>
      <c r="Q5" s="1221"/>
      <c r="R5" s="1222"/>
      <c r="S5" s="1223"/>
      <c r="T5" s="1224"/>
      <c r="V5" s="111"/>
      <c r="W5" s="1226" t="s">
        <v>73</v>
      </c>
      <c r="X5" s="1227"/>
      <c r="Y5" s="1226" t="s">
        <v>71</v>
      </c>
      <c r="Z5" s="1227"/>
      <c r="AA5" s="1202" t="s">
        <v>187</v>
      </c>
      <c r="AB5" s="1203"/>
      <c r="AC5" s="1226" t="s">
        <v>30</v>
      </c>
      <c r="AD5" s="1227"/>
      <c r="AE5" s="1226" t="s">
        <v>32</v>
      </c>
      <c r="AF5" s="1227"/>
      <c r="AG5" s="1226" t="s">
        <v>33</v>
      </c>
      <c r="AH5" s="1227"/>
      <c r="AI5" s="1226" t="s">
        <v>186</v>
      </c>
      <c r="AJ5" s="1227"/>
      <c r="AK5" s="1202" t="s">
        <v>190</v>
      </c>
      <c r="AL5" s="1203"/>
    </row>
    <row r="6" spans="1:38" ht="41.45" customHeight="1" x14ac:dyDescent="0.25">
      <c r="A6" s="136" t="s">
        <v>99</v>
      </c>
      <c r="B6" s="137" t="s">
        <v>2</v>
      </c>
      <c r="C6" s="595">
        <v>0.31040378099999999</v>
      </c>
      <c r="D6" s="595">
        <v>0.31040378000000002</v>
      </c>
      <c r="E6" s="595">
        <v>0.31040378099999999</v>
      </c>
      <c r="F6" s="595">
        <v>0.31040378000000002</v>
      </c>
      <c r="G6" s="595">
        <v>0.31040378099999999</v>
      </c>
      <c r="H6" s="595">
        <v>0.31040378000000002</v>
      </c>
      <c r="I6" s="629">
        <v>0.31040378099999999</v>
      </c>
      <c r="J6" s="629">
        <v>0.31040378000000002</v>
      </c>
      <c r="K6" s="131">
        <f>E6</f>
        <v>0.31040378099999999</v>
      </c>
      <c r="L6" s="131">
        <f>F6</f>
        <v>0.31040378000000002</v>
      </c>
      <c r="M6" s="132">
        <f>IF(('user page'!$U$1=0),C6,IF(('user page'!$U$1=1),E6,IF(('user page'!$U$1=2),G6,IF(('user page'!$U$1=3),I6,IF(('user page'!$U$1=4),K6,IF(('user page'!$U$1=5),E6,""))))))</f>
        <v>0.31040378099999999</v>
      </c>
      <c r="N6" s="132">
        <f>IF(('user page'!$U$1=0),D6,IF(('user page'!$U$1=1),F6,IF(('user page'!$U$1=2),H6,IF(('user page'!$U$1=3),J6,IF(('user page'!$U$1=4),L6,IF(('user page'!$U$1=5),F6,""))))))</f>
        <v>0.31040378000000002</v>
      </c>
      <c r="P6" s="137" t="s">
        <v>2</v>
      </c>
      <c r="Q6" s="1217"/>
      <c r="R6" s="1218"/>
      <c r="S6" s="1219"/>
      <c r="T6" s="1220"/>
      <c r="V6" s="111"/>
      <c r="W6" s="115" t="str">
        <f>'user page'!Q7</f>
        <v>m</v>
      </c>
      <c r="X6" s="115" t="str">
        <f>'user page'!R7</f>
        <v>f</v>
      </c>
      <c r="Y6" s="115" t="str">
        <f>'user page'!S7</f>
        <v>m</v>
      </c>
      <c r="Z6" s="115" t="str">
        <f>'user page'!T7</f>
        <v>f</v>
      </c>
      <c r="AA6" s="115" t="str">
        <f>'user page'!U7</f>
        <v>m</v>
      </c>
      <c r="AB6" s="115" t="str">
        <f>'user page'!V7</f>
        <v>f</v>
      </c>
      <c r="AC6" s="115" t="str">
        <f>'user page'!W7</f>
        <v>m</v>
      </c>
      <c r="AD6" s="115" t="str">
        <f>'user page'!X7</f>
        <v>f</v>
      </c>
      <c r="AE6" s="115" t="str">
        <f>'user page'!Y7</f>
        <v>m</v>
      </c>
      <c r="AF6" s="115" t="str">
        <f>'user page'!Z7</f>
        <v>f</v>
      </c>
      <c r="AG6" s="115" t="str">
        <f>'user page'!AA7</f>
        <v>m</v>
      </c>
      <c r="AH6" s="115" t="str">
        <f>'user page'!AB7</f>
        <v>f</v>
      </c>
      <c r="AI6" s="115" t="str">
        <f>'user page'!AC7</f>
        <v>m</v>
      </c>
      <c r="AJ6" s="115" t="str">
        <f>'user page'!AD7</f>
        <v>f</v>
      </c>
      <c r="AK6" s="115" t="str">
        <f>'user page'!AE7</f>
        <v>m</v>
      </c>
      <c r="AL6" s="115" t="str">
        <f>'user page'!AF7</f>
        <v>f</v>
      </c>
    </row>
    <row r="7" spans="1:38" x14ac:dyDescent="0.25">
      <c r="A7" s="136"/>
      <c r="B7" s="137" t="s">
        <v>3</v>
      </c>
      <c r="C7" s="595">
        <v>0.67980168600000002</v>
      </c>
      <c r="D7" s="595">
        <v>0.72523490000000002</v>
      </c>
      <c r="E7" s="595">
        <v>0.67980168600000002</v>
      </c>
      <c r="F7" s="595">
        <v>0.72523490000000002</v>
      </c>
      <c r="G7" s="595">
        <v>0.67980168600000002</v>
      </c>
      <c r="H7" s="595">
        <v>0.72523490000000002</v>
      </c>
      <c r="I7" s="629">
        <v>0.4532890037662598</v>
      </c>
      <c r="J7" s="629">
        <v>0.56121452089639989</v>
      </c>
      <c r="K7" s="131">
        <f t="shared" ref="K7:L13" si="0">E7</f>
        <v>0.67980168600000002</v>
      </c>
      <c r="L7" s="131">
        <f t="shared" si="0"/>
        <v>0.72523490000000002</v>
      </c>
      <c r="M7" s="132">
        <f>IF(('user page'!$U$1=0),C7,IF(('user page'!$U$1=1),E7,IF(('user page'!$U$1=2),G7,IF(('user page'!$U$1=3),I7,IF(('user page'!$U$1=4),K7,IF(('user page'!$U$1=5),E7,""))))))</f>
        <v>0.67980168600000002</v>
      </c>
      <c r="N7" s="132">
        <f>IF(('user page'!$U$1=0),D7,IF(('user page'!$U$1=1),F7,IF(('user page'!$U$1=2),H7,IF(('user page'!$U$1=3),J7,IF(('user page'!$U$1=4),L7,IF(('user page'!$U$1=5),F7,""))))))</f>
        <v>0.72523490000000002</v>
      </c>
      <c r="P7" s="137" t="s">
        <v>3</v>
      </c>
      <c r="Q7" s="1217">
        <f>Baseline!I39</f>
        <v>0</v>
      </c>
      <c r="R7" s="1218"/>
      <c r="S7" s="1219">
        <f>Scenario!J35</f>
        <v>0</v>
      </c>
      <c r="T7" s="1220"/>
      <c r="V7" s="111" t="str">
        <f>'user page'!P8</f>
        <v>15-29</v>
      </c>
      <c r="W7" s="115">
        <f>'user page'!Q8</f>
        <v>0</v>
      </c>
      <c r="X7" s="115">
        <f>'user page'!R8</f>
        <v>-2.0532072237114396E-2</v>
      </c>
      <c r="Y7" s="115">
        <f>'user page'!S8</f>
        <v>-2.2054024114940951E-2</v>
      </c>
      <c r="Z7" s="115">
        <f>'user page'!T8</f>
        <v>-2.0767792847103284E-2</v>
      </c>
      <c r="AA7" s="115">
        <f>'user page'!U8</f>
        <v>-9.8692161513802112E-2</v>
      </c>
      <c r="AB7" s="115">
        <f>'user page'!V8</f>
        <v>-0.11215715464911169</v>
      </c>
      <c r="AC7" s="115">
        <f>'user page'!W8</f>
        <v>-1.2343367658936844E-2</v>
      </c>
      <c r="AD7" s="115">
        <f>'user page'!X8</f>
        <v>-1.6962488538488807E-2</v>
      </c>
      <c r="AE7" s="115">
        <f>'user page'!Y8</f>
        <v>-3.1904956623838077E-2</v>
      </c>
      <c r="AF7" s="115">
        <f>'user page'!Z8</f>
        <v>-4.2401297646715963E-2</v>
      </c>
      <c r="AG7" s="115">
        <f>'user page'!AA8</f>
        <v>-9.1908748960421893E-2</v>
      </c>
      <c r="AH7" s="115">
        <f>'user page'!AB8</f>
        <v>-0.1043962160467421</v>
      </c>
      <c r="AI7" s="115">
        <f>'user page'!AC8</f>
        <v>-9.8692161513802112E-2</v>
      </c>
      <c r="AJ7" s="115">
        <f>'user page'!AD8</f>
        <v>-0.11215715464911169</v>
      </c>
      <c r="AK7" s="115" t="e">
        <f>'user page'!AE8</f>
        <v>#REF!</v>
      </c>
      <c r="AL7" s="115" t="e">
        <f>'user page'!AF8</f>
        <v>#REF!</v>
      </c>
    </row>
    <row r="8" spans="1:38" x14ac:dyDescent="0.25">
      <c r="A8" s="136"/>
      <c r="B8" s="137" t="s">
        <v>4</v>
      </c>
      <c r="C8" s="595">
        <v>0.770005461</v>
      </c>
      <c r="D8" s="596">
        <v>1</v>
      </c>
      <c r="E8" s="595">
        <v>0.770005461</v>
      </c>
      <c r="F8" s="596">
        <v>1</v>
      </c>
      <c r="G8" s="595">
        <v>0.770005461</v>
      </c>
      <c r="H8" s="596">
        <v>1</v>
      </c>
      <c r="I8" s="629">
        <v>0.7339988387343549</v>
      </c>
      <c r="J8" s="630">
        <v>1</v>
      </c>
      <c r="K8" s="131">
        <f t="shared" si="0"/>
        <v>0.770005461</v>
      </c>
      <c r="L8" s="131">
        <f t="shared" si="0"/>
        <v>1</v>
      </c>
      <c r="M8" s="132">
        <f>IF(('user page'!$U$1=0),C8,IF(('user page'!$U$1=1),E8,IF(('user page'!$U$1=2),G8,IF(('user page'!$U$1=3),I8,IF(('user page'!$U$1=4),K8,IF(('user page'!$U$1=5),E8,""))))))</f>
        <v>0.770005461</v>
      </c>
      <c r="N8" s="132">
        <f>IF(('user page'!$U$1=0),D8,IF(('user page'!$U$1=1),F8,IF(('user page'!$U$1=2),H8,IF(('user page'!$U$1=3),J8,IF(('user page'!$U$1=4),L8,IF(('user page'!$U$1=5),F8,""))))))</f>
        <v>1</v>
      </c>
      <c r="P8" s="137" t="s">
        <v>4</v>
      </c>
      <c r="Q8" s="1217">
        <f>Baseline!I40</f>
        <v>0</v>
      </c>
      <c r="R8" s="1218"/>
      <c r="S8" s="1219">
        <f>Scenario!J36</f>
        <v>0</v>
      </c>
      <c r="T8" s="1220"/>
      <c r="V8" s="114" t="str">
        <f>'user page'!P9</f>
        <v>30-44</v>
      </c>
      <c r="W8" s="115">
        <f>'user page'!Q9</f>
        <v>0</v>
      </c>
      <c r="X8" s="115">
        <f>'user page'!R9</f>
        <v>-1.2077816092465166E-2</v>
      </c>
      <c r="Y8" s="115">
        <f>'user page'!S9</f>
        <v>-1.2725181395852436E-2</v>
      </c>
      <c r="Z8" s="115">
        <f>'user page'!T9</f>
        <v>-1.2219462987571372E-2</v>
      </c>
      <c r="AA8" s="115">
        <f>'user page'!U9</f>
        <v>-8.9441623428461403E-2</v>
      </c>
      <c r="AB8" s="115">
        <f>'user page'!V9</f>
        <v>-8.7283386093505833E-2</v>
      </c>
      <c r="AC8" s="115">
        <f>'user page'!W9</f>
        <v>-1.4284677316725114E-2</v>
      </c>
      <c r="AD8" s="115">
        <f>'user page'!X9</f>
        <v>-1.9836269273672325E-2</v>
      </c>
      <c r="AE8" s="115">
        <f>'user page'!Y9</f>
        <v>-1.8496455214315422E-2</v>
      </c>
      <c r="AF8" s="115">
        <f>'user page'!Z9</f>
        <v>-2.5538316328693189E-2</v>
      </c>
      <c r="AG8" s="115">
        <f>'user page'!AA9</f>
        <v>-8.3200354667795184E-2</v>
      </c>
      <c r="AH8" s="115">
        <f>'user page'!AB9</f>
        <v>-8.1226487998315555E-2</v>
      </c>
      <c r="AI8" s="115">
        <f>'user page'!AC9</f>
        <v>-8.9441623428461403E-2</v>
      </c>
      <c r="AJ8" s="115">
        <f>'user page'!AD9</f>
        <v>-8.7283386093505833E-2</v>
      </c>
      <c r="AK8" s="115" t="e">
        <f>'user page'!AE9</f>
        <v>#REF!</v>
      </c>
      <c r="AL8" s="115" t="e">
        <f>'user page'!AF9</f>
        <v>#REF!</v>
      </c>
    </row>
    <row r="9" spans="1:38" x14ac:dyDescent="0.25">
      <c r="A9" s="136"/>
      <c r="B9" s="137" t="s">
        <v>5</v>
      </c>
      <c r="C9" s="595">
        <v>0.44666535499999999</v>
      </c>
      <c r="D9" s="595">
        <v>0.60232887999999996</v>
      </c>
      <c r="E9" s="595">
        <v>0.44666535499999999</v>
      </c>
      <c r="F9" s="595">
        <v>0.60232887999999996</v>
      </c>
      <c r="G9" s="595">
        <v>0.44666535499999999</v>
      </c>
      <c r="H9" s="595">
        <v>0.60232887999999996</v>
      </c>
      <c r="I9" s="629">
        <v>0.52165531037423274</v>
      </c>
      <c r="J9" s="629">
        <v>0.7330929198090107</v>
      </c>
      <c r="K9" s="131">
        <f t="shared" si="0"/>
        <v>0.44666535499999999</v>
      </c>
      <c r="L9" s="131">
        <f t="shared" si="0"/>
        <v>0.60232887999999996</v>
      </c>
      <c r="M9" s="132">
        <f>IF(('user page'!$U$1=0),C9,IF(('user page'!$U$1=1),E9,IF(('user page'!$U$1=2),G9,IF(('user page'!$U$1=3),I9,IF(('user page'!$U$1=4),K9,IF(('user page'!$U$1=5),E9,""))))))</f>
        <v>0.44666535499999999</v>
      </c>
      <c r="N9" s="132">
        <f>IF(('user page'!$U$1=0),D9,IF(('user page'!$U$1=1),F9,IF(('user page'!$U$1=2),H9,IF(('user page'!$U$1=3),J9,IF(('user page'!$U$1=4),L9,IF(('user page'!$U$1=5),F9,""))))))</f>
        <v>0.60232887999999996</v>
      </c>
      <c r="P9" s="137" t="s">
        <v>5</v>
      </c>
      <c r="Q9" s="1217">
        <f>Baseline!I41</f>
        <v>0</v>
      </c>
      <c r="R9" s="1218"/>
      <c r="S9" s="1219">
        <f>Scenario!J37</f>
        <v>0</v>
      </c>
      <c r="T9" s="1220"/>
      <c r="V9" s="114" t="str">
        <f>'user page'!P10</f>
        <v>45-59</v>
      </c>
      <c r="W9" s="115">
        <f>'user page'!Q10</f>
        <v>0</v>
      </c>
      <c r="X9" s="115">
        <f>'user page'!R10</f>
        <v>-1.0272467501756033E-2</v>
      </c>
      <c r="Y9" s="115">
        <f>'user page'!S10</f>
        <v>-1.2562669989724662E-2</v>
      </c>
      <c r="Z9" s="115">
        <f>'user page'!T10</f>
        <v>-1.0393592091575199E-2</v>
      </c>
      <c r="AA9" s="115">
        <f>'user page'!U10</f>
        <v>-8.9676778948713287E-2</v>
      </c>
      <c r="AB9" s="115">
        <f>'user page'!V10</f>
        <v>-8.0073261307696209E-2</v>
      </c>
      <c r="AC9" s="115">
        <f>'user page'!W10</f>
        <v>-1.4105843834375076E-2</v>
      </c>
      <c r="AD9" s="115">
        <f>'user page'!X10</f>
        <v>-1.692943558069826E-2</v>
      </c>
      <c r="AE9" s="115">
        <f>'user page'!Y10</f>
        <v>-1.8277569425147688E-2</v>
      </c>
      <c r="AF9" s="115">
        <f>'user page'!Z10</f>
        <v>-2.185161789026091E-2</v>
      </c>
      <c r="AG9" s="115">
        <f>'user page'!AA10</f>
        <v>-8.342019376714449E-2</v>
      </c>
      <c r="AH9" s="115">
        <f>'user page'!AB10</f>
        <v>-7.4483669541426933E-2</v>
      </c>
      <c r="AI9" s="115">
        <f>'user page'!AC10</f>
        <v>-8.9676778948713287E-2</v>
      </c>
      <c r="AJ9" s="115">
        <f>'user page'!AD10</f>
        <v>-8.0073261307696209E-2</v>
      </c>
      <c r="AK9" s="115" t="e">
        <f>'user page'!AE10</f>
        <v>#REF!</v>
      </c>
      <c r="AL9" s="115" t="e">
        <f>'user page'!AF10</f>
        <v>#REF!</v>
      </c>
    </row>
    <row r="10" spans="1:38" x14ac:dyDescent="0.25">
      <c r="A10" s="136"/>
      <c r="B10" s="137" t="s">
        <v>6</v>
      </c>
      <c r="C10" s="595">
        <v>0.44889716099999999</v>
      </c>
      <c r="D10" s="595">
        <v>0.50844272000000001</v>
      </c>
      <c r="E10" s="595">
        <v>0.44889716099999999</v>
      </c>
      <c r="F10" s="595">
        <v>0.50844272000000001</v>
      </c>
      <c r="G10" s="595">
        <v>0.44889716099999999</v>
      </c>
      <c r="H10" s="595">
        <v>0.50844272000000001</v>
      </c>
      <c r="I10" s="629">
        <v>0.59681435257159521</v>
      </c>
      <c r="J10" s="629">
        <v>0.68408181931513456</v>
      </c>
      <c r="K10" s="131">
        <f t="shared" si="0"/>
        <v>0.44889716099999999</v>
      </c>
      <c r="L10" s="131">
        <f t="shared" si="0"/>
        <v>0.50844272000000001</v>
      </c>
      <c r="M10" s="132">
        <f>IF(('user page'!$U$1=0),C10,IF(('user page'!$U$1=1),E10,IF(('user page'!$U$1=2),G10,IF(('user page'!$U$1=3),I10,IF(('user page'!$U$1=4),K10,IF(('user page'!$U$1=5),E10,""))))))</f>
        <v>0.44889716099999999</v>
      </c>
      <c r="N10" s="132">
        <f>IF(('user page'!$U$1=0),D10,IF(('user page'!$U$1=1),F10,IF(('user page'!$U$1=2),H10,IF(('user page'!$U$1=3),J10,IF(('user page'!$U$1=4),L10,IF(('user page'!$U$1=5),F10,""))))))</f>
        <v>0.50844272000000001</v>
      </c>
      <c r="P10" s="137" t="s">
        <v>6</v>
      </c>
      <c r="Q10" s="1217">
        <f>Baseline!I42</f>
        <v>0</v>
      </c>
      <c r="R10" s="1218"/>
      <c r="S10" s="1219">
        <f>Scenario!J38</f>
        <v>0</v>
      </c>
      <c r="T10" s="1220"/>
      <c r="V10" s="114" t="str">
        <f>'user page'!P11</f>
        <v>60-69</v>
      </c>
      <c r="W10" s="115">
        <f>'user page'!Q11</f>
        <v>0</v>
      </c>
      <c r="X10" s="115">
        <f>'user page'!R11</f>
        <v>-1.1777919648697677E-2</v>
      </c>
      <c r="Y10" s="115">
        <f>'user page'!S11</f>
        <v>-1.3085746728089598E-2</v>
      </c>
      <c r="Z10" s="115">
        <f>'user page'!T11</f>
        <v>-1.192029734377209E-2</v>
      </c>
      <c r="AA10" s="115">
        <f>'user page'!U11</f>
        <v>-6.9865842183824856E-2</v>
      </c>
      <c r="AB10" s="115">
        <f>'user page'!V11</f>
        <v>-6.3110106265750643E-2</v>
      </c>
      <c r="AC10" s="115">
        <f>'user page'!W11</f>
        <v>-1.4681733222992821E-2</v>
      </c>
      <c r="AD10" s="115">
        <f>'user page'!X11</f>
        <v>-1.9727310839519507E-2</v>
      </c>
      <c r="AE10" s="115">
        <f>'user page'!Y11</f>
        <v>-1.8983622771776676E-2</v>
      </c>
      <c r="AF10" s="115">
        <f>'user page'!Z11</f>
        <v>-2.57709941308778E-2</v>
      </c>
      <c r="AG10" s="115">
        <f>'user page'!AA11</f>
        <v>-6.5026852891775788E-2</v>
      </c>
      <c r="AH10" s="115">
        <f>'user page'!AB11</f>
        <v>-5.8706611201918446E-2</v>
      </c>
      <c r="AI10" s="115">
        <f>'user page'!AC11</f>
        <v>-6.9865842183824856E-2</v>
      </c>
      <c r="AJ10" s="115">
        <f>'user page'!AD11</f>
        <v>-6.3110106265750643E-2</v>
      </c>
      <c r="AK10" s="115" t="e">
        <f>'user page'!AE11</f>
        <v>#REF!</v>
      </c>
      <c r="AL10" s="115" t="e">
        <f>'user page'!AF11</f>
        <v>#REF!</v>
      </c>
    </row>
    <row r="11" spans="1:38" x14ac:dyDescent="0.25">
      <c r="A11" s="136"/>
      <c r="B11" s="137" t="s">
        <v>7</v>
      </c>
      <c r="C11" s="595">
        <v>0.40697791900000002</v>
      </c>
      <c r="D11" s="595">
        <v>0.33441913000000001</v>
      </c>
      <c r="E11" s="595">
        <v>0.40697791900000002</v>
      </c>
      <c r="F11" s="595">
        <v>0.33441913000000001</v>
      </c>
      <c r="G11" s="595">
        <v>0.40697791900000002</v>
      </c>
      <c r="H11" s="595">
        <v>0.33441913000000001</v>
      </c>
      <c r="I11" s="629">
        <v>0.54446910268085802</v>
      </c>
      <c r="J11" s="629">
        <v>0.41035300232816008</v>
      </c>
      <c r="K11" s="131">
        <f t="shared" si="0"/>
        <v>0.40697791900000002</v>
      </c>
      <c r="L11" s="131">
        <f t="shared" si="0"/>
        <v>0.33441913000000001</v>
      </c>
      <c r="M11" s="132">
        <f>IF(('user page'!$U$1=0),C11,IF(('user page'!$U$1=1),E11,IF(('user page'!$U$1=2),G11,IF(('user page'!$U$1=3),I11,IF(('user page'!$U$1=4),K11,IF(('user page'!$U$1=5),E11,""))))))</f>
        <v>0.40697791900000002</v>
      </c>
      <c r="N11" s="132">
        <f>IF(('user page'!$U$1=0),D11,IF(('user page'!$U$1=1),F11,IF(('user page'!$U$1=2),H11,IF(('user page'!$U$1=3),J11,IF(('user page'!$U$1=4),L11,IF(('user page'!$U$1=5),F11,""))))))</f>
        <v>0.33441913000000001</v>
      </c>
      <c r="P11" s="137" t="s">
        <v>7</v>
      </c>
      <c r="Q11" s="1217">
        <f>Baseline!I43</f>
        <v>0</v>
      </c>
      <c r="R11" s="1218"/>
      <c r="S11" s="1219">
        <f>Scenario!J39</f>
        <v>0</v>
      </c>
      <c r="T11" s="1220"/>
      <c r="V11" s="114" t="str">
        <f>'user page'!P12</f>
        <v>70-79</v>
      </c>
      <c r="W11" s="115">
        <f>'user page'!Q12</f>
        <v>0</v>
      </c>
      <c r="X11" s="115">
        <f>'user page'!R12</f>
        <v>-1.6842746006492715E-2</v>
      </c>
      <c r="Y11" s="115">
        <f>'user page'!S12</f>
        <v>-2.2211615208113211E-2</v>
      </c>
      <c r="Z11" s="115">
        <f>'user page'!T12</f>
        <v>-1.7041391546889439E-2</v>
      </c>
      <c r="AA11" s="115">
        <f>'user page'!U12</f>
        <v>-6.8036581816262487E-2</v>
      </c>
      <c r="AB11" s="115">
        <f>'user page'!V12</f>
        <v>-5.9996094910016007E-2</v>
      </c>
      <c r="AC11" s="115">
        <f>'user page'!W12</f>
        <v>-2.4862577260333807E-2</v>
      </c>
      <c r="AD11" s="115">
        <f>'user page'!X12</f>
        <v>-2.776203799678767E-2</v>
      </c>
      <c r="AE11" s="115">
        <f>'user page'!Y12</f>
        <v>-3.1947064451229412E-2</v>
      </c>
      <c r="AF11" s="115">
        <f>'user page'!Z12</f>
        <v>-3.5838227684848012E-2</v>
      </c>
      <c r="AG11" s="115">
        <f>'user page'!AA12</f>
        <v>-6.3314784514047484E-2</v>
      </c>
      <c r="AH11" s="115">
        <f>'user page'!AB12</f>
        <v>-5.5795800957192832E-2</v>
      </c>
      <c r="AI11" s="115">
        <f>'user page'!AC12</f>
        <v>-6.8036581816262487E-2</v>
      </c>
      <c r="AJ11" s="115">
        <f>'user page'!AD12</f>
        <v>-5.9996094910016007E-2</v>
      </c>
      <c r="AK11" s="115" t="e">
        <f>'user page'!AE12</f>
        <v>#REF!</v>
      </c>
      <c r="AL11" s="115" t="e">
        <f>'user page'!AF12</f>
        <v>#REF!</v>
      </c>
    </row>
    <row r="12" spans="1:38" x14ac:dyDescent="0.25">
      <c r="A12" s="136"/>
      <c r="B12" s="137" t="s">
        <v>8</v>
      </c>
      <c r="C12" s="595">
        <v>0.38651410600000002</v>
      </c>
      <c r="D12" s="595">
        <v>0.30371119000000002</v>
      </c>
      <c r="E12" s="595">
        <v>0.38651410600000002</v>
      </c>
      <c r="F12" s="595">
        <v>0.30371119000000002</v>
      </c>
      <c r="G12" s="595">
        <v>0.38651410600000002</v>
      </c>
      <c r="H12" s="595">
        <v>0.30371119000000002</v>
      </c>
      <c r="I12" s="629">
        <v>0.4230748575035318</v>
      </c>
      <c r="J12" s="629">
        <v>0.29776091015087647</v>
      </c>
      <c r="K12" s="131">
        <f t="shared" si="0"/>
        <v>0.38651410600000002</v>
      </c>
      <c r="L12" s="131">
        <f t="shared" si="0"/>
        <v>0.30371119000000002</v>
      </c>
      <c r="M12" s="132">
        <f>IF(('user page'!$U$1=0),C12,IF(('user page'!$U$1=1),E12,IF(('user page'!$U$1=2),G12,IF(('user page'!$U$1=3),I12,IF(('user page'!$U$1=4),K12,IF(('user page'!$U$1=5),E12,""))))))</f>
        <v>0.38651410600000002</v>
      </c>
      <c r="N12" s="132">
        <f>IF(('user page'!$U$1=0),D12,IF(('user page'!$U$1=1),F12,IF(('user page'!$U$1=2),H12,IF(('user page'!$U$1=3),J12,IF(('user page'!$U$1=4),L12,IF(('user page'!$U$1=5),F12,""))))))</f>
        <v>0.30371119000000002</v>
      </c>
      <c r="P12" s="137" t="s">
        <v>8</v>
      </c>
      <c r="Q12" s="1217">
        <f>Baseline!I44</f>
        <v>0</v>
      </c>
      <c r="R12" s="1218"/>
      <c r="S12" s="1219">
        <f>Scenario!J40</f>
        <v>0</v>
      </c>
      <c r="T12" s="1220"/>
      <c r="V12" s="114" t="str">
        <f>'user page'!P13</f>
        <v>80+</v>
      </c>
      <c r="W12" s="115">
        <f>'user page'!Q13</f>
        <v>0</v>
      </c>
      <c r="X12" s="115">
        <f>'user page'!R13</f>
        <v>-2.0534185982259423E-2</v>
      </c>
      <c r="Y12" s="115">
        <f>'user page'!S13</f>
        <v>-2.2488131945835543E-2</v>
      </c>
      <c r="Z12" s="115">
        <f>'user page'!T13</f>
        <v>-2.0777361304080033E-2</v>
      </c>
      <c r="AA12" s="115">
        <f>'user page'!U13</f>
        <v>-6.0747971021361757E-2</v>
      </c>
      <c r="AB12" s="115">
        <f>'user page'!V13</f>
        <v>-4.3026585500370307E-2</v>
      </c>
      <c r="AC12" s="115">
        <f>'user page'!W13</f>
        <v>-2.5171038209521268E-2</v>
      </c>
      <c r="AD12" s="115">
        <f>'user page'!X13</f>
        <v>-3.3932925384927426E-2</v>
      </c>
      <c r="AE12" s="115">
        <f>'user page'!Y13</f>
        <v>-3.2334584968033431E-2</v>
      </c>
      <c r="AF12" s="115">
        <f>'user page'!Z13</f>
        <v>-4.3882104400834288E-2</v>
      </c>
      <c r="AG12" s="115">
        <f>'user page'!AA13</f>
        <v>-5.6498473121696757E-2</v>
      </c>
      <c r="AH12" s="115">
        <f>'user page'!AB13</f>
        <v>-3.9996771822613852E-2</v>
      </c>
      <c r="AI12" s="115">
        <f>'user page'!AC13</f>
        <v>-6.0747971021361757E-2</v>
      </c>
      <c r="AJ12" s="115">
        <f>'user page'!AD13</f>
        <v>-4.3026585500370307E-2</v>
      </c>
      <c r="AK12" s="115" t="e">
        <f>'user page'!AE13</f>
        <v>#REF!</v>
      </c>
      <c r="AL12" s="115" t="e">
        <f>'user page'!AF13</f>
        <v>#REF!</v>
      </c>
    </row>
    <row r="13" spans="1:38" ht="15.75" thickBot="1" x14ac:dyDescent="0.3">
      <c r="A13" s="136"/>
      <c r="B13" s="137" t="s">
        <v>9</v>
      </c>
      <c r="C13" s="595">
        <v>0.31097055200000001</v>
      </c>
      <c r="D13" s="595">
        <v>0.15790307000000001</v>
      </c>
      <c r="E13" s="595">
        <v>0.31097055200000001</v>
      </c>
      <c r="F13" s="595">
        <v>0.15790307000000001</v>
      </c>
      <c r="G13" s="595">
        <v>0.31097055200000001</v>
      </c>
      <c r="H13" s="595">
        <v>0.15790307000000001</v>
      </c>
      <c r="I13" s="629">
        <v>0.41598893658617847</v>
      </c>
      <c r="J13" s="629">
        <v>0.1160729036914178</v>
      </c>
      <c r="K13" s="131">
        <f t="shared" si="0"/>
        <v>0.31097055200000001</v>
      </c>
      <c r="L13" s="131">
        <f t="shared" si="0"/>
        <v>0.15790307000000001</v>
      </c>
      <c r="M13" s="132">
        <f>IF(('user page'!$U$1=0),C13,IF(('user page'!$U$1=1),E13,IF(('user page'!$U$1=2),G13,IF(('user page'!$U$1=3),I13,IF(('user page'!$U$1=4),K13,IF(('user page'!$U$1=5),E13,""))))))</f>
        <v>0.31097055200000001</v>
      </c>
      <c r="N13" s="132">
        <f>IF(('user page'!$U$1=0),D13,IF(('user page'!$U$1=1),F13,IF(('user page'!$U$1=2),H13,IF(('user page'!$U$1=3),J13,IF(('user page'!$U$1=4),L13,IF(('user page'!$U$1=5),F13,""))))))</f>
        <v>0.15790307000000001</v>
      </c>
      <c r="P13" s="137" t="s">
        <v>9</v>
      </c>
      <c r="Q13" s="1217">
        <f>Baseline!I45</f>
        <v>0</v>
      </c>
      <c r="R13" s="1218"/>
      <c r="S13" s="1219">
        <f>Scenario!J41</f>
        <v>0</v>
      </c>
      <c r="T13" s="1220"/>
      <c r="V13" s="114" t="str">
        <f>'user page'!P14</f>
        <v>total</v>
      </c>
      <c r="W13" s="1138">
        <f>'user page'!Q14</f>
        <v>-5.6793278556041056E-2</v>
      </c>
      <c r="X13" s="1151"/>
      <c r="Y13" s="1138">
        <f>'user page'!S14</f>
        <v>-1.6607816123732796E-2</v>
      </c>
      <c r="Z13" s="1151"/>
      <c r="AA13" s="1138">
        <f>'user page'!U14</f>
        <v>-7.155047336439746E-2</v>
      </c>
      <c r="AB13" s="1151"/>
      <c r="AC13" s="1138">
        <f>'user page'!W14</f>
        <v>-1.7325630764858942E-2</v>
      </c>
      <c r="AD13" s="1151"/>
      <c r="AE13" s="1138">
        <f>'user page'!Y14</f>
        <v>-3.5339336591901888E-2</v>
      </c>
      <c r="AF13" s="1151"/>
      <c r="AG13" s="1138">
        <f>'user page'!AA14</f>
        <v>-6.9897281888980672E-2</v>
      </c>
      <c r="AH13" s="1139"/>
      <c r="AI13" s="1138">
        <f>'user page'!AC14</f>
        <v>-7.030585706552471E-2</v>
      </c>
      <c r="AJ13" s="1139"/>
      <c r="AK13" s="1138" t="e">
        <f>'user page'!AE14</f>
        <v>#REF!</v>
      </c>
      <c r="AL13" s="1139"/>
    </row>
    <row r="14" spans="1:38" x14ac:dyDescent="0.25">
      <c r="A14" s="136"/>
      <c r="B14" s="137"/>
      <c r="C14" s="595"/>
      <c r="D14" s="595"/>
      <c r="E14" s="595"/>
      <c r="F14" s="595"/>
      <c r="G14" s="595"/>
      <c r="H14" s="595"/>
      <c r="I14" s="595"/>
      <c r="J14" s="595"/>
      <c r="K14" s="131"/>
      <c r="L14" s="131"/>
      <c r="M14" s="132"/>
      <c r="N14" s="132"/>
      <c r="P14" s="211" t="s">
        <v>27</v>
      </c>
      <c r="Q14" s="199"/>
      <c r="R14" s="200"/>
      <c r="S14" s="202"/>
      <c r="T14" s="203"/>
    </row>
    <row r="15" spans="1:38" ht="24" customHeight="1" x14ac:dyDescent="0.25">
      <c r="A15" s="136" t="s">
        <v>100</v>
      </c>
      <c r="B15" s="137" t="s">
        <v>2</v>
      </c>
      <c r="C15" s="595">
        <v>0.183234065</v>
      </c>
      <c r="D15" s="593">
        <v>0.13348889999999999</v>
      </c>
      <c r="E15" s="593">
        <v>0.183234065</v>
      </c>
      <c r="F15" s="593">
        <v>0.13348889999999999</v>
      </c>
      <c r="G15" s="593">
        <v>0.183234065</v>
      </c>
      <c r="H15" s="593">
        <v>0.13348889999999999</v>
      </c>
      <c r="I15" s="631">
        <v>0.183234065</v>
      </c>
      <c r="J15" s="631">
        <v>0.13348889999999999</v>
      </c>
      <c r="K15" s="328">
        <f>E15</f>
        <v>0.183234065</v>
      </c>
      <c r="L15" s="328">
        <f>F15</f>
        <v>0.13348889999999999</v>
      </c>
      <c r="M15" s="132">
        <f>IF(('user page'!$U$1=0),C15,IF(('user page'!$U$1=1),E15,IF(('user page'!$U$1=2),G15,IF(('user page'!$U$1=3),I15,IF(('user page'!$U$1=4),K15,IF(('user page'!$U$1=5),E15,""))))))</f>
        <v>0.183234065</v>
      </c>
      <c r="N15" s="132">
        <f>IF(('user page'!$U$1=0),D15,IF(('user page'!$U$1=1),F15,IF(('user page'!$U$1=2),H15,IF(('user page'!$U$1=3),J15,IF(('user page'!$U$1=4),L15,IF(('user page'!$U$1=5),F15,""))))))</f>
        <v>0.13348889999999999</v>
      </c>
      <c r="P15" s="137" t="s">
        <v>2</v>
      </c>
      <c r="Q15" s="1217"/>
      <c r="R15" s="1218"/>
      <c r="S15" s="1219"/>
      <c r="T15" s="1220"/>
    </row>
    <row r="16" spans="1:38" x14ac:dyDescent="0.25">
      <c r="A16" s="136"/>
      <c r="B16" s="137" t="s">
        <v>3</v>
      </c>
      <c r="C16" s="595">
        <v>0.39532173999999998</v>
      </c>
      <c r="D16" s="593">
        <v>0.29649363000000001</v>
      </c>
      <c r="E16" s="593">
        <v>0.39532173999999998</v>
      </c>
      <c r="F16" s="593">
        <v>0.29649363000000001</v>
      </c>
      <c r="G16" s="593">
        <v>0.39532173999999998</v>
      </c>
      <c r="H16" s="593">
        <v>0.29649363000000001</v>
      </c>
      <c r="I16" s="631">
        <v>0.58053271185491739</v>
      </c>
      <c r="J16" s="631">
        <v>0.35966541459766871</v>
      </c>
      <c r="K16" s="328">
        <f t="shared" ref="K16:L22" si="1">E16</f>
        <v>0.39532173999999998</v>
      </c>
      <c r="L16" s="328">
        <f t="shared" si="1"/>
        <v>0.29649363000000001</v>
      </c>
      <c r="M16" s="132">
        <f>IF(('user page'!$U$1=0),C16,IF(('user page'!$U$1=1),E16,IF(('user page'!$U$1=2),G16,IF(('user page'!$U$1=3),I16,IF(('user page'!$U$1=4),K16,IF(('user page'!$U$1=5),E16,""))))))</f>
        <v>0.39532173999999998</v>
      </c>
      <c r="N16" s="132">
        <f>IF(('user page'!$U$1=0),D16,IF(('user page'!$U$1=1),F16,IF(('user page'!$U$1=2),H16,IF(('user page'!$U$1=3),J16,IF(('user page'!$U$1=4),L16,IF(('user page'!$U$1=5),F16,""))))))</f>
        <v>0.29649363000000001</v>
      </c>
      <c r="P16" s="137" t="s">
        <v>3</v>
      </c>
      <c r="Q16" s="1217">
        <f>Baseline!I47</f>
        <v>0</v>
      </c>
      <c r="R16" s="1218"/>
      <c r="S16" s="1219">
        <f>Scenario!J43</f>
        <v>0</v>
      </c>
      <c r="T16" s="1220"/>
    </row>
    <row r="17" spans="1:20" x14ac:dyDescent="0.25">
      <c r="A17" s="136"/>
      <c r="B17" s="137" t="s">
        <v>4</v>
      </c>
      <c r="C17" s="595">
        <v>1.2510284089999999</v>
      </c>
      <c r="D17" s="596">
        <v>1</v>
      </c>
      <c r="E17" s="593">
        <v>1.2510284089999999</v>
      </c>
      <c r="F17" s="596">
        <v>1</v>
      </c>
      <c r="G17" s="593">
        <v>1.2510284089999999</v>
      </c>
      <c r="H17" s="596">
        <v>1</v>
      </c>
      <c r="I17" s="631">
        <v>1.6673045675193616</v>
      </c>
      <c r="J17" s="632">
        <v>1</v>
      </c>
      <c r="K17" s="328">
        <f t="shared" si="1"/>
        <v>1.2510284089999999</v>
      </c>
      <c r="L17" s="328">
        <f t="shared" si="1"/>
        <v>1</v>
      </c>
      <c r="M17" s="132">
        <f>IF(('user page'!$U$1=0),C17,IF(('user page'!$U$1=1),E17,IF(('user page'!$U$1=2),G17,IF(('user page'!$U$1=3),I17,IF(('user page'!$U$1=4),K17,IF(('user page'!$U$1=5),E17,""))))))</f>
        <v>1.2510284089999999</v>
      </c>
      <c r="N17" s="132">
        <f>IF(('user page'!$U$1=0),D17,IF(('user page'!$U$1=1),F17,IF(('user page'!$U$1=2),H17,IF(('user page'!$U$1=3),J17,IF(('user page'!$U$1=4),L17,IF(('user page'!$U$1=5),F17,""))))))</f>
        <v>1</v>
      </c>
      <c r="P17" s="137" t="s">
        <v>4</v>
      </c>
      <c r="Q17" s="1217">
        <f>Baseline!I48</f>
        <v>0</v>
      </c>
      <c r="R17" s="1218"/>
      <c r="S17" s="1219">
        <f>Scenario!J44</f>
        <v>0</v>
      </c>
      <c r="T17" s="1220"/>
    </row>
    <row r="18" spans="1:20" x14ac:dyDescent="0.25">
      <c r="A18" s="136"/>
      <c r="B18" s="137" t="s">
        <v>5</v>
      </c>
      <c r="C18" s="595">
        <v>2.5115441650000001</v>
      </c>
      <c r="D18" s="593">
        <v>0.904362</v>
      </c>
      <c r="E18" s="593">
        <v>2.5115441650000001</v>
      </c>
      <c r="F18" s="593">
        <v>0.904362</v>
      </c>
      <c r="G18" s="593">
        <v>2.5115441650000001</v>
      </c>
      <c r="H18" s="593">
        <v>0.904362</v>
      </c>
      <c r="I18" s="631">
        <v>3.6103707664374229</v>
      </c>
      <c r="J18" s="631">
        <v>1.5195527975391725</v>
      </c>
      <c r="K18" s="328">
        <f t="shared" si="1"/>
        <v>2.5115441650000001</v>
      </c>
      <c r="L18" s="328">
        <f t="shared" si="1"/>
        <v>0.904362</v>
      </c>
      <c r="M18" s="132">
        <f>IF(('user page'!$U$1=0),C18,IF(('user page'!$U$1=1),E18,IF(('user page'!$U$1=2),G18,IF(('user page'!$U$1=3),I18,IF(('user page'!$U$1=4),K18,IF(('user page'!$U$1=5),E18,""))))))</f>
        <v>2.5115441650000001</v>
      </c>
      <c r="N18" s="132">
        <f>IF(('user page'!$U$1=0),D18,IF(('user page'!$U$1=1),F18,IF(('user page'!$U$1=2),H18,IF(('user page'!$U$1=3),J18,IF(('user page'!$U$1=4),L18,IF(('user page'!$U$1=5),F18,""))))))</f>
        <v>0.904362</v>
      </c>
      <c r="P18" s="137" t="s">
        <v>5</v>
      </c>
      <c r="Q18" s="1229">
        <f>Baseline!I49</f>
        <v>0</v>
      </c>
      <c r="R18" s="1229"/>
      <c r="S18" s="1228">
        <f>Scenario!J45</f>
        <v>0</v>
      </c>
      <c r="T18" s="1228"/>
    </row>
    <row r="19" spans="1:20" x14ac:dyDescent="0.25">
      <c r="A19" s="136"/>
      <c r="B19" s="137" t="s">
        <v>6</v>
      </c>
      <c r="C19" s="595">
        <v>2.3363895970000002</v>
      </c>
      <c r="D19" s="593">
        <v>0.98345799</v>
      </c>
      <c r="E19" s="593">
        <v>2.3363895970000002</v>
      </c>
      <c r="F19" s="593">
        <v>0.98345799</v>
      </c>
      <c r="G19" s="593">
        <v>2.3363895970000002</v>
      </c>
      <c r="H19" s="593">
        <v>0.98345799</v>
      </c>
      <c r="I19" s="631">
        <v>3.6339508095383661</v>
      </c>
      <c r="J19" s="631">
        <v>1.7003787941387754</v>
      </c>
      <c r="K19" s="328">
        <f t="shared" si="1"/>
        <v>2.3363895970000002</v>
      </c>
      <c r="L19" s="328">
        <f t="shared" si="1"/>
        <v>0.98345799</v>
      </c>
      <c r="M19" s="132">
        <f>IF(('user page'!$U$1=0),C19,IF(('user page'!$U$1=1),E19,IF(('user page'!$U$1=2),G19,IF(('user page'!$U$1=3),I19,IF(('user page'!$U$1=4),K19,IF(('user page'!$U$1=5),E19,""))))))</f>
        <v>2.3363895970000002</v>
      </c>
      <c r="N19" s="132">
        <f>IF(('user page'!$U$1=0),D19,IF(('user page'!$U$1=1),F19,IF(('user page'!$U$1=2),H19,IF(('user page'!$U$1=3),J19,IF(('user page'!$U$1=4),L19,IF(('user page'!$U$1=5),F19,""))))))</f>
        <v>0.98345799</v>
      </c>
      <c r="P19" s="137" t="s">
        <v>6</v>
      </c>
      <c r="Q19" s="1229">
        <f>Baseline!I50</f>
        <v>0</v>
      </c>
      <c r="R19" s="1229"/>
      <c r="S19" s="1228">
        <f>Scenario!J46</f>
        <v>0</v>
      </c>
      <c r="T19" s="1228"/>
    </row>
    <row r="20" spans="1:20" x14ac:dyDescent="0.25">
      <c r="A20" s="136"/>
      <c r="B20" s="137" t="s">
        <v>7</v>
      </c>
      <c r="C20" s="595">
        <v>1.116587228</v>
      </c>
      <c r="D20" s="593">
        <v>0.24048923999999999</v>
      </c>
      <c r="E20" s="593">
        <v>1.116587228</v>
      </c>
      <c r="F20" s="593">
        <v>0.24048923999999999</v>
      </c>
      <c r="G20" s="593">
        <v>1.116587228</v>
      </c>
      <c r="H20" s="593">
        <v>0.24048923999999999</v>
      </c>
      <c r="I20" s="631">
        <v>1.8478900211196876</v>
      </c>
      <c r="J20" s="631">
        <v>0.72487796131944104</v>
      </c>
      <c r="K20" s="328">
        <f t="shared" si="1"/>
        <v>1.116587228</v>
      </c>
      <c r="L20" s="328">
        <f t="shared" si="1"/>
        <v>0.24048923999999999</v>
      </c>
      <c r="M20" s="132">
        <f>IF(('user page'!$U$1=0),C20,IF(('user page'!$U$1=1),E20,IF(('user page'!$U$1=2),G20,IF(('user page'!$U$1=3),I20,IF(('user page'!$U$1=4),K20,IF(('user page'!$U$1=5),E20,""))))))</f>
        <v>1.116587228</v>
      </c>
      <c r="N20" s="132">
        <f>IF(('user page'!$U$1=0),D20,IF(('user page'!$U$1=1),F20,IF(('user page'!$U$1=2),H20,IF(('user page'!$U$1=3),J20,IF(('user page'!$U$1=4),L20,IF(('user page'!$U$1=5),F20,""))))))</f>
        <v>0.24048923999999999</v>
      </c>
      <c r="P20" s="137" t="s">
        <v>7</v>
      </c>
      <c r="Q20" s="1229">
        <f>Baseline!I51</f>
        <v>0</v>
      </c>
      <c r="R20" s="1229"/>
      <c r="S20" s="1228">
        <f>Scenario!J47</f>
        <v>0</v>
      </c>
      <c r="T20" s="1228"/>
    </row>
    <row r="21" spans="1:20" x14ac:dyDescent="0.25">
      <c r="A21" s="136"/>
      <c r="B21" s="137" t="s">
        <v>8</v>
      </c>
      <c r="C21" s="595">
        <v>0.27123740200000002</v>
      </c>
      <c r="D21" s="593">
        <v>4.9200340000000002E-2</v>
      </c>
      <c r="E21" s="593">
        <v>0.27123740200000002</v>
      </c>
      <c r="F21" s="593">
        <v>4.9200340000000002E-2</v>
      </c>
      <c r="G21" s="593">
        <v>0.27123740200000002</v>
      </c>
      <c r="H21" s="593">
        <v>4.9200340000000002E-2</v>
      </c>
      <c r="I21" s="631">
        <v>0.45362148410804204</v>
      </c>
      <c r="J21" s="631">
        <v>0.12583404693735811</v>
      </c>
      <c r="K21" s="328">
        <f t="shared" si="1"/>
        <v>0.27123740200000002</v>
      </c>
      <c r="L21" s="328">
        <f t="shared" si="1"/>
        <v>4.9200340000000002E-2</v>
      </c>
      <c r="M21" s="132">
        <f>IF(('user page'!$U$1=0),C21,IF(('user page'!$U$1=1),E21,IF(('user page'!$U$1=2),G21,IF(('user page'!$U$1=3),I21,IF(('user page'!$U$1=4),K21,IF(('user page'!$U$1=5),E21,""))))))</f>
        <v>0.27123740200000002</v>
      </c>
      <c r="N21" s="132">
        <f>IF(('user page'!$U$1=0),D21,IF(('user page'!$U$1=1),F21,IF(('user page'!$U$1=2),H21,IF(('user page'!$U$1=3),J21,IF(('user page'!$U$1=4),L21,IF(('user page'!$U$1=5),F21,""))))))</f>
        <v>4.9200340000000002E-2</v>
      </c>
      <c r="P21" s="137" t="s">
        <v>8</v>
      </c>
      <c r="Q21" s="1229">
        <f>Baseline!I52</f>
        <v>0</v>
      </c>
      <c r="R21" s="1229"/>
      <c r="S21" s="1228">
        <f>Scenario!J48</f>
        <v>0</v>
      </c>
      <c r="T21" s="1228"/>
    </row>
    <row r="22" spans="1:20" x14ac:dyDescent="0.25">
      <c r="A22" s="136"/>
      <c r="B22" s="137" t="s">
        <v>9</v>
      </c>
      <c r="C22" s="595">
        <v>2.6675925999999999E-2</v>
      </c>
      <c r="D22" s="593">
        <v>6.7848999999999996E-9</v>
      </c>
      <c r="E22" s="593">
        <v>2.6675925999999999E-2</v>
      </c>
      <c r="F22" s="593">
        <v>6.7848999999999996E-9</v>
      </c>
      <c r="G22" s="593">
        <v>2.6675925999999999E-2</v>
      </c>
      <c r="H22" s="593">
        <v>6.7848999999999996E-9</v>
      </c>
      <c r="I22" s="631">
        <v>3.7218408154583722E-2</v>
      </c>
      <c r="J22" s="631">
        <v>1.1674879703044842E-8</v>
      </c>
      <c r="K22" s="328">
        <f t="shared" si="1"/>
        <v>2.6675925999999999E-2</v>
      </c>
      <c r="L22" s="328">
        <f t="shared" si="1"/>
        <v>6.7848999999999996E-9</v>
      </c>
      <c r="M22" s="132">
        <f>IF(('user page'!$U$1=0),C22,IF(('user page'!$U$1=1),E22,IF(('user page'!$U$1=2),G22,IF(('user page'!$U$1=3),I22,IF(('user page'!$U$1=4),K22,IF(('user page'!$U$1=5),E22,""))))))</f>
        <v>2.6675925999999999E-2</v>
      </c>
      <c r="N22" s="132">
        <f>IF(('user page'!$U$1=0),D22,IF(('user page'!$U$1=1),F22,IF(('user page'!$U$1=2),H22,IF(('user page'!$U$1=3),J22,IF(('user page'!$U$1=4),L22,IF(('user page'!$U$1=5),F22,""))))))</f>
        <v>6.7848999999999996E-9</v>
      </c>
      <c r="P22" s="137" t="s">
        <v>9</v>
      </c>
      <c r="Q22" s="1229">
        <f>Baseline!I53</f>
        <v>0</v>
      </c>
      <c r="R22" s="1229"/>
      <c r="S22" s="1228">
        <f>Scenario!J49</f>
        <v>0</v>
      </c>
      <c r="T22" s="1228"/>
    </row>
    <row r="25" spans="1:20" x14ac:dyDescent="0.25">
      <c r="A25" s="482"/>
    </row>
  </sheetData>
  <mergeCells count="61">
    <mergeCell ref="S22:T22"/>
    <mergeCell ref="S21:T21"/>
    <mergeCell ref="S20:T20"/>
    <mergeCell ref="S19:T19"/>
    <mergeCell ref="Q21:R21"/>
    <mergeCell ref="Q22:R22"/>
    <mergeCell ref="Q20:R20"/>
    <mergeCell ref="Q19:R19"/>
    <mergeCell ref="S17:T17"/>
    <mergeCell ref="S18:T18"/>
    <mergeCell ref="Q6:R6"/>
    <mergeCell ref="S9:T9"/>
    <mergeCell ref="S6:T6"/>
    <mergeCell ref="Q18:R18"/>
    <mergeCell ref="S13:T13"/>
    <mergeCell ref="S15:T15"/>
    <mergeCell ref="S16:T16"/>
    <mergeCell ref="S10:T10"/>
    <mergeCell ref="S11:T11"/>
    <mergeCell ref="Q9:R9"/>
    <mergeCell ref="Q15:R15"/>
    <mergeCell ref="Q16:R16"/>
    <mergeCell ref="Q17:R17"/>
    <mergeCell ref="Q10:R10"/>
    <mergeCell ref="S12:T12"/>
    <mergeCell ref="AI13:AJ13"/>
    <mergeCell ref="AK13:AL13"/>
    <mergeCell ref="W5:X5"/>
    <mergeCell ref="Y5:Z5"/>
    <mergeCell ref="AA5:AB5"/>
    <mergeCell ref="AC5:AD5"/>
    <mergeCell ref="AE5:AF5"/>
    <mergeCell ref="AG13:AH13"/>
    <mergeCell ref="AE13:AF13"/>
    <mergeCell ref="W13:X13"/>
    <mergeCell ref="Y13:Z13"/>
    <mergeCell ref="AA13:AB13"/>
    <mergeCell ref="AC13:AD13"/>
    <mergeCell ref="AI5:AJ5"/>
    <mergeCell ref="AG5:AH5"/>
    <mergeCell ref="S8:T8"/>
    <mergeCell ref="S7:T7"/>
    <mergeCell ref="Q5:R5"/>
    <mergeCell ref="S5:T5"/>
    <mergeCell ref="Q4:R4"/>
    <mergeCell ref="Q11:R11"/>
    <mergeCell ref="Q12:R12"/>
    <mergeCell ref="Q13:R13"/>
    <mergeCell ref="Q7:R7"/>
    <mergeCell ref="Q8:R8"/>
    <mergeCell ref="V3:AL4"/>
    <mergeCell ref="AK5:AL5"/>
    <mergeCell ref="A2:N3"/>
    <mergeCell ref="M4:N4"/>
    <mergeCell ref="K4:L4"/>
    <mergeCell ref="P2:T3"/>
    <mergeCell ref="S4:T4"/>
    <mergeCell ref="I4:J4"/>
    <mergeCell ref="C4:D4"/>
    <mergeCell ref="G4:H4"/>
    <mergeCell ref="E4:F4"/>
  </mergeCells>
  <pageMargins left="0.7" right="0.7" top="0.75" bottom="0.75" header="0.3" footer="0.3"/>
  <pageSetup paperSize="9"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L149"/>
  <sheetViews>
    <sheetView topLeftCell="A38" zoomScaleNormal="100" workbookViewId="0">
      <selection activeCell="E50" sqref="E50"/>
    </sheetView>
  </sheetViews>
  <sheetFormatPr defaultRowHeight="15" x14ac:dyDescent="0.25"/>
  <cols>
    <col min="1" max="1" width="14.140625" style="128" customWidth="1"/>
    <col min="2" max="2" width="17.5703125" style="128" customWidth="1"/>
    <col min="3" max="3" width="12.85546875" style="127" customWidth="1"/>
    <col min="4" max="4" width="14.140625" style="127" customWidth="1"/>
    <col min="5" max="10" width="12.7109375" style="127" customWidth="1"/>
    <col min="11" max="12" width="9.5703125" style="127" customWidth="1"/>
    <col min="13" max="13" width="8.85546875" style="127" customWidth="1"/>
    <col min="14" max="256" width="8.85546875" style="127"/>
    <col min="257" max="257" width="14.140625" style="127" customWidth="1"/>
    <col min="258" max="258" width="22.7109375" style="127" customWidth="1"/>
    <col min="259" max="266" width="12.7109375" style="127" customWidth="1"/>
    <col min="267" max="512" width="8.85546875" style="127"/>
    <col min="513" max="513" width="14.140625" style="127" customWidth="1"/>
    <col min="514" max="514" width="22.7109375" style="127" customWidth="1"/>
    <col min="515" max="522" width="12.7109375" style="127" customWidth="1"/>
    <col min="523" max="768" width="8.85546875" style="127"/>
    <col min="769" max="769" width="14.140625" style="127" customWidth="1"/>
    <col min="770" max="770" width="22.7109375" style="127" customWidth="1"/>
    <col min="771" max="778" width="12.7109375" style="127" customWidth="1"/>
    <col min="779" max="1024" width="8.85546875" style="127"/>
    <col min="1025" max="1025" width="14.140625" style="127" customWidth="1"/>
    <col min="1026" max="1026" width="22.7109375" style="127" customWidth="1"/>
    <col min="1027" max="1034" width="12.7109375" style="127" customWidth="1"/>
    <col min="1035" max="1280" width="8.85546875" style="127"/>
    <col min="1281" max="1281" width="14.140625" style="127" customWidth="1"/>
    <col min="1282" max="1282" width="22.7109375" style="127" customWidth="1"/>
    <col min="1283" max="1290" width="12.7109375" style="127" customWidth="1"/>
    <col min="1291" max="1536" width="8.85546875" style="127"/>
    <col min="1537" max="1537" width="14.140625" style="127" customWidth="1"/>
    <col min="1538" max="1538" width="22.7109375" style="127" customWidth="1"/>
    <col min="1539" max="1546" width="12.7109375" style="127" customWidth="1"/>
    <col min="1547" max="1792" width="8.85546875" style="127"/>
    <col min="1793" max="1793" width="14.140625" style="127" customWidth="1"/>
    <col min="1794" max="1794" width="22.7109375" style="127" customWidth="1"/>
    <col min="1795" max="1802" width="12.7109375" style="127" customWidth="1"/>
    <col min="1803" max="2048" width="8.85546875" style="127"/>
    <col min="2049" max="2049" width="14.140625" style="127" customWidth="1"/>
    <col min="2050" max="2050" width="22.7109375" style="127" customWidth="1"/>
    <col min="2051" max="2058" width="12.7109375" style="127" customWidth="1"/>
    <col min="2059" max="2304" width="8.85546875" style="127"/>
    <col min="2305" max="2305" width="14.140625" style="127" customWidth="1"/>
    <col min="2306" max="2306" width="22.7109375" style="127" customWidth="1"/>
    <col min="2307" max="2314" width="12.7109375" style="127" customWidth="1"/>
    <col min="2315" max="2560" width="8.85546875" style="127"/>
    <col min="2561" max="2561" width="14.140625" style="127" customWidth="1"/>
    <col min="2562" max="2562" width="22.7109375" style="127" customWidth="1"/>
    <col min="2563" max="2570" width="12.7109375" style="127" customWidth="1"/>
    <col min="2571" max="2816" width="8.85546875" style="127"/>
    <col min="2817" max="2817" width="14.140625" style="127" customWidth="1"/>
    <col min="2818" max="2818" width="22.7109375" style="127" customWidth="1"/>
    <col min="2819" max="2826" width="12.7109375" style="127" customWidth="1"/>
    <col min="2827" max="3072" width="8.85546875" style="127"/>
    <col min="3073" max="3073" width="14.140625" style="127" customWidth="1"/>
    <col min="3074" max="3074" width="22.7109375" style="127" customWidth="1"/>
    <col min="3075" max="3082" width="12.7109375" style="127" customWidth="1"/>
    <col min="3083" max="3328" width="8.85546875" style="127"/>
    <col min="3329" max="3329" width="14.140625" style="127" customWidth="1"/>
    <col min="3330" max="3330" width="22.7109375" style="127" customWidth="1"/>
    <col min="3331" max="3338" width="12.7109375" style="127" customWidth="1"/>
    <col min="3339" max="3584" width="8.85546875" style="127"/>
    <col min="3585" max="3585" width="14.140625" style="127" customWidth="1"/>
    <col min="3586" max="3586" width="22.7109375" style="127" customWidth="1"/>
    <col min="3587" max="3594" width="12.7109375" style="127" customWidth="1"/>
    <col min="3595" max="3840" width="8.85546875" style="127"/>
    <col min="3841" max="3841" width="14.140625" style="127" customWidth="1"/>
    <col min="3842" max="3842" width="22.7109375" style="127" customWidth="1"/>
    <col min="3843" max="3850" width="12.7109375" style="127" customWidth="1"/>
    <col min="3851" max="4096" width="8.85546875" style="127"/>
    <col min="4097" max="4097" width="14.140625" style="127" customWidth="1"/>
    <col min="4098" max="4098" width="22.7109375" style="127" customWidth="1"/>
    <col min="4099" max="4106" width="12.7109375" style="127" customWidth="1"/>
    <col min="4107" max="4352" width="8.85546875" style="127"/>
    <col min="4353" max="4353" width="14.140625" style="127" customWidth="1"/>
    <col min="4354" max="4354" width="22.7109375" style="127" customWidth="1"/>
    <col min="4355" max="4362" width="12.7109375" style="127" customWidth="1"/>
    <col min="4363" max="4608" width="8.85546875" style="127"/>
    <col min="4609" max="4609" width="14.140625" style="127" customWidth="1"/>
    <col min="4610" max="4610" width="22.7109375" style="127" customWidth="1"/>
    <col min="4611" max="4618" width="12.7109375" style="127" customWidth="1"/>
    <col min="4619" max="4864" width="8.85546875" style="127"/>
    <col min="4865" max="4865" width="14.140625" style="127" customWidth="1"/>
    <col min="4866" max="4866" width="22.7109375" style="127" customWidth="1"/>
    <col min="4867" max="4874" width="12.7109375" style="127" customWidth="1"/>
    <col min="4875" max="5120" width="8.85546875" style="127"/>
    <col min="5121" max="5121" width="14.140625" style="127" customWidth="1"/>
    <col min="5122" max="5122" width="22.7109375" style="127" customWidth="1"/>
    <col min="5123" max="5130" width="12.7109375" style="127" customWidth="1"/>
    <col min="5131" max="5376" width="8.85546875" style="127"/>
    <col min="5377" max="5377" width="14.140625" style="127" customWidth="1"/>
    <col min="5378" max="5378" width="22.7109375" style="127" customWidth="1"/>
    <col min="5379" max="5386" width="12.7109375" style="127" customWidth="1"/>
    <col min="5387" max="5632" width="8.85546875" style="127"/>
    <col min="5633" max="5633" width="14.140625" style="127" customWidth="1"/>
    <col min="5634" max="5634" width="22.7109375" style="127" customWidth="1"/>
    <col min="5635" max="5642" width="12.7109375" style="127" customWidth="1"/>
    <col min="5643" max="5888" width="8.85546875" style="127"/>
    <col min="5889" max="5889" width="14.140625" style="127" customWidth="1"/>
    <col min="5890" max="5890" width="22.7109375" style="127" customWidth="1"/>
    <col min="5891" max="5898" width="12.7109375" style="127" customWidth="1"/>
    <col min="5899" max="6144" width="8.85546875" style="127"/>
    <col min="6145" max="6145" width="14.140625" style="127" customWidth="1"/>
    <col min="6146" max="6146" width="22.7109375" style="127" customWidth="1"/>
    <col min="6147" max="6154" width="12.7109375" style="127" customWidth="1"/>
    <col min="6155" max="6400" width="8.85546875" style="127"/>
    <col min="6401" max="6401" width="14.140625" style="127" customWidth="1"/>
    <col min="6402" max="6402" width="22.7109375" style="127" customWidth="1"/>
    <col min="6403" max="6410" width="12.7109375" style="127" customWidth="1"/>
    <col min="6411" max="6656" width="8.85546875" style="127"/>
    <col min="6657" max="6657" width="14.140625" style="127" customWidth="1"/>
    <col min="6658" max="6658" width="22.7109375" style="127" customWidth="1"/>
    <col min="6659" max="6666" width="12.7109375" style="127" customWidth="1"/>
    <col min="6667" max="6912" width="8.85546875" style="127"/>
    <col min="6913" max="6913" width="14.140625" style="127" customWidth="1"/>
    <col min="6914" max="6914" width="22.7109375" style="127" customWidth="1"/>
    <col min="6915" max="6922" width="12.7109375" style="127" customWidth="1"/>
    <col min="6923" max="7168" width="8.85546875" style="127"/>
    <col min="7169" max="7169" width="14.140625" style="127" customWidth="1"/>
    <col min="7170" max="7170" width="22.7109375" style="127" customWidth="1"/>
    <col min="7171" max="7178" width="12.7109375" style="127" customWidth="1"/>
    <col min="7179" max="7424" width="8.85546875" style="127"/>
    <col min="7425" max="7425" width="14.140625" style="127" customWidth="1"/>
    <col min="7426" max="7426" width="22.7109375" style="127" customWidth="1"/>
    <col min="7427" max="7434" width="12.7109375" style="127" customWidth="1"/>
    <col min="7435" max="7680" width="8.85546875" style="127"/>
    <col min="7681" max="7681" width="14.140625" style="127" customWidth="1"/>
    <col min="7682" max="7682" width="22.7109375" style="127" customWidth="1"/>
    <col min="7683" max="7690" width="12.7109375" style="127" customWidth="1"/>
    <col min="7691" max="7936" width="8.85546875" style="127"/>
    <col min="7937" max="7937" width="14.140625" style="127" customWidth="1"/>
    <col min="7938" max="7938" width="22.7109375" style="127" customWidth="1"/>
    <col min="7939" max="7946" width="12.7109375" style="127" customWidth="1"/>
    <col min="7947" max="8192" width="8.85546875" style="127"/>
    <col min="8193" max="8193" width="14.140625" style="127" customWidth="1"/>
    <col min="8194" max="8194" width="22.7109375" style="127" customWidth="1"/>
    <col min="8195" max="8202" width="12.7109375" style="127" customWidth="1"/>
    <col min="8203" max="8448" width="8.85546875" style="127"/>
    <col min="8449" max="8449" width="14.140625" style="127" customWidth="1"/>
    <col min="8450" max="8450" width="22.7109375" style="127" customWidth="1"/>
    <col min="8451" max="8458" width="12.7109375" style="127" customWidth="1"/>
    <col min="8459" max="8704" width="8.85546875" style="127"/>
    <col min="8705" max="8705" width="14.140625" style="127" customWidth="1"/>
    <col min="8706" max="8706" width="22.7109375" style="127" customWidth="1"/>
    <col min="8707" max="8714" width="12.7109375" style="127" customWidth="1"/>
    <col min="8715" max="8960" width="8.85546875" style="127"/>
    <col min="8961" max="8961" width="14.140625" style="127" customWidth="1"/>
    <col min="8962" max="8962" width="22.7109375" style="127" customWidth="1"/>
    <col min="8963" max="8970" width="12.7109375" style="127" customWidth="1"/>
    <col min="8971" max="9216" width="8.85546875" style="127"/>
    <col min="9217" max="9217" width="14.140625" style="127" customWidth="1"/>
    <col min="9218" max="9218" width="22.7109375" style="127" customWidth="1"/>
    <col min="9219" max="9226" width="12.7109375" style="127" customWidth="1"/>
    <col min="9227" max="9472" width="8.85546875" style="127"/>
    <col min="9473" max="9473" width="14.140625" style="127" customWidth="1"/>
    <col min="9474" max="9474" width="22.7109375" style="127" customWidth="1"/>
    <col min="9475" max="9482" width="12.7109375" style="127" customWidth="1"/>
    <col min="9483" max="9728" width="8.85546875" style="127"/>
    <col min="9729" max="9729" width="14.140625" style="127" customWidth="1"/>
    <col min="9730" max="9730" width="22.7109375" style="127" customWidth="1"/>
    <col min="9731" max="9738" width="12.7109375" style="127" customWidth="1"/>
    <col min="9739" max="9984" width="8.85546875" style="127"/>
    <col min="9985" max="9985" width="14.140625" style="127" customWidth="1"/>
    <col min="9986" max="9986" width="22.7109375" style="127" customWidth="1"/>
    <col min="9987" max="9994" width="12.7109375" style="127" customWidth="1"/>
    <col min="9995" max="10240" width="8.85546875" style="127"/>
    <col min="10241" max="10241" width="14.140625" style="127" customWidth="1"/>
    <col min="10242" max="10242" width="22.7109375" style="127" customWidth="1"/>
    <col min="10243" max="10250" width="12.7109375" style="127" customWidth="1"/>
    <col min="10251" max="10496" width="8.85546875" style="127"/>
    <col min="10497" max="10497" width="14.140625" style="127" customWidth="1"/>
    <col min="10498" max="10498" width="22.7109375" style="127" customWidth="1"/>
    <col min="10499" max="10506" width="12.7109375" style="127" customWidth="1"/>
    <col min="10507" max="10752" width="8.85546875" style="127"/>
    <col min="10753" max="10753" width="14.140625" style="127" customWidth="1"/>
    <col min="10754" max="10754" width="22.7109375" style="127" customWidth="1"/>
    <col min="10755" max="10762" width="12.7109375" style="127" customWidth="1"/>
    <col min="10763" max="11008" width="8.85546875" style="127"/>
    <col min="11009" max="11009" width="14.140625" style="127" customWidth="1"/>
    <col min="11010" max="11010" width="22.7109375" style="127" customWidth="1"/>
    <col min="11011" max="11018" width="12.7109375" style="127" customWidth="1"/>
    <col min="11019" max="11264" width="8.85546875" style="127"/>
    <col min="11265" max="11265" width="14.140625" style="127" customWidth="1"/>
    <col min="11266" max="11266" width="22.7109375" style="127" customWidth="1"/>
    <col min="11267" max="11274" width="12.7109375" style="127" customWidth="1"/>
    <col min="11275" max="11520" width="8.85546875" style="127"/>
    <col min="11521" max="11521" width="14.140625" style="127" customWidth="1"/>
    <col min="11522" max="11522" width="22.7109375" style="127" customWidth="1"/>
    <col min="11523" max="11530" width="12.7109375" style="127" customWidth="1"/>
    <col min="11531" max="11776" width="8.85546875" style="127"/>
    <col min="11777" max="11777" width="14.140625" style="127" customWidth="1"/>
    <col min="11778" max="11778" width="22.7109375" style="127" customWidth="1"/>
    <col min="11779" max="11786" width="12.7109375" style="127" customWidth="1"/>
    <col min="11787" max="12032" width="8.85546875" style="127"/>
    <col min="12033" max="12033" width="14.140625" style="127" customWidth="1"/>
    <col min="12034" max="12034" width="22.7109375" style="127" customWidth="1"/>
    <col min="12035" max="12042" width="12.7109375" style="127" customWidth="1"/>
    <col min="12043" max="12288" width="8.85546875" style="127"/>
    <col min="12289" max="12289" width="14.140625" style="127" customWidth="1"/>
    <col min="12290" max="12290" width="22.7109375" style="127" customWidth="1"/>
    <col min="12291" max="12298" width="12.7109375" style="127" customWidth="1"/>
    <col min="12299" max="12544" width="8.85546875" style="127"/>
    <col min="12545" max="12545" width="14.140625" style="127" customWidth="1"/>
    <col min="12546" max="12546" width="22.7109375" style="127" customWidth="1"/>
    <col min="12547" max="12554" width="12.7109375" style="127" customWidth="1"/>
    <col min="12555" max="12800" width="8.85546875" style="127"/>
    <col min="12801" max="12801" width="14.140625" style="127" customWidth="1"/>
    <col min="12802" max="12802" width="22.7109375" style="127" customWidth="1"/>
    <col min="12803" max="12810" width="12.7109375" style="127" customWidth="1"/>
    <col min="12811" max="13056" width="8.85546875" style="127"/>
    <col min="13057" max="13057" width="14.140625" style="127" customWidth="1"/>
    <col min="13058" max="13058" width="22.7109375" style="127" customWidth="1"/>
    <col min="13059" max="13066" width="12.7109375" style="127" customWidth="1"/>
    <col min="13067" max="13312" width="8.85546875" style="127"/>
    <col min="13313" max="13313" width="14.140625" style="127" customWidth="1"/>
    <col min="13314" max="13314" width="22.7109375" style="127" customWidth="1"/>
    <col min="13315" max="13322" width="12.7109375" style="127" customWidth="1"/>
    <col min="13323" max="13568" width="8.85546875" style="127"/>
    <col min="13569" max="13569" width="14.140625" style="127" customWidth="1"/>
    <col min="13570" max="13570" width="22.7109375" style="127" customWidth="1"/>
    <col min="13571" max="13578" width="12.7109375" style="127" customWidth="1"/>
    <col min="13579" max="13824" width="8.85546875" style="127"/>
    <col min="13825" max="13825" width="14.140625" style="127" customWidth="1"/>
    <col min="13826" max="13826" width="22.7109375" style="127" customWidth="1"/>
    <col min="13827" max="13834" width="12.7109375" style="127" customWidth="1"/>
    <col min="13835" max="14080" width="8.85546875" style="127"/>
    <col min="14081" max="14081" width="14.140625" style="127" customWidth="1"/>
    <col min="14082" max="14082" width="22.7109375" style="127" customWidth="1"/>
    <col min="14083" max="14090" width="12.7109375" style="127" customWidth="1"/>
    <col min="14091" max="14336" width="8.85546875" style="127"/>
    <col min="14337" max="14337" width="14.140625" style="127" customWidth="1"/>
    <col min="14338" max="14338" width="22.7109375" style="127" customWidth="1"/>
    <col min="14339" max="14346" width="12.7109375" style="127" customWidth="1"/>
    <col min="14347" max="14592" width="8.85546875" style="127"/>
    <col min="14593" max="14593" width="14.140625" style="127" customWidth="1"/>
    <col min="14594" max="14594" width="22.7109375" style="127" customWidth="1"/>
    <col min="14595" max="14602" width="12.7109375" style="127" customWidth="1"/>
    <col min="14603" max="14848" width="8.85546875" style="127"/>
    <col min="14849" max="14849" width="14.140625" style="127" customWidth="1"/>
    <col min="14850" max="14850" width="22.7109375" style="127" customWidth="1"/>
    <col min="14851" max="14858" width="12.7109375" style="127" customWidth="1"/>
    <col min="14859" max="15104" width="8.85546875" style="127"/>
    <col min="15105" max="15105" width="14.140625" style="127" customWidth="1"/>
    <col min="15106" max="15106" width="22.7109375" style="127" customWidth="1"/>
    <col min="15107" max="15114" width="12.7109375" style="127" customWidth="1"/>
    <col min="15115" max="15360" width="8.85546875" style="127"/>
    <col min="15361" max="15361" width="14.140625" style="127" customWidth="1"/>
    <col min="15362" max="15362" width="22.7109375" style="127" customWidth="1"/>
    <col min="15363" max="15370" width="12.7109375" style="127" customWidth="1"/>
    <col min="15371" max="15616" width="8.85546875" style="127"/>
    <col min="15617" max="15617" width="14.140625" style="127" customWidth="1"/>
    <col min="15618" max="15618" width="22.7109375" style="127" customWidth="1"/>
    <col min="15619" max="15626" width="12.7109375" style="127" customWidth="1"/>
    <col min="15627" max="15872" width="8.85546875" style="127"/>
    <col min="15873" max="15873" width="14.140625" style="127" customWidth="1"/>
    <col min="15874" max="15874" width="22.7109375" style="127" customWidth="1"/>
    <col min="15875" max="15882" width="12.7109375" style="127" customWidth="1"/>
    <col min="15883" max="16128" width="8.85546875" style="127"/>
    <col min="16129" max="16129" width="14.140625" style="127" customWidth="1"/>
    <col min="16130" max="16130" width="22.7109375" style="127" customWidth="1"/>
    <col min="16131" max="16138" width="12.7109375" style="127" customWidth="1"/>
    <col min="16139" max="16384" width="8.85546875" style="127"/>
  </cols>
  <sheetData>
    <row r="2" spans="1:10" ht="15.75" thickBot="1" x14ac:dyDescent="0.3">
      <c r="A2" s="392"/>
      <c r="B2" s="507"/>
    </row>
    <row r="3" spans="1:10" ht="15.6" customHeight="1" x14ac:dyDescent="0.3">
      <c r="A3" s="149"/>
      <c r="B3" s="150"/>
      <c r="C3" s="1267" t="str">
        <f>"Scenarios for "&amp;'Calibration Data'!G233 &amp; " Areas"</f>
        <v>Scenarios for Urban Areas</v>
      </c>
      <c r="D3" s="1267"/>
      <c r="E3" s="1267"/>
      <c r="F3" s="1267"/>
      <c r="G3" s="1267"/>
      <c r="H3" s="1267"/>
      <c r="I3" s="1267"/>
      <c r="J3" s="1268"/>
    </row>
    <row r="4" spans="1:10" ht="12.6" customHeight="1" thickBot="1" x14ac:dyDescent="0.3">
      <c r="A4" s="151"/>
      <c r="B4" s="152"/>
      <c r="C4" s="1269" t="s">
        <v>131</v>
      </c>
      <c r="D4" s="1269"/>
      <c r="E4" s="1269" t="s">
        <v>132</v>
      </c>
      <c r="F4" s="1269"/>
      <c r="G4" s="1269" t="s">
        <v>133</v>
      </c>
      <c r="H4" s="1269"/>
      <c r="I4" s="1269" t="s">
        <v>124</v>
      </c>
      <c r="J4" s="1270"/>
    </row>
    <row r="5" spans="1:10" ht="12.75" hidden="1" customHeight="1" x14ac:dyDescent="0.25">
      <c r="A5" s="1235" t="s">
        <v>134</v>
      </c>
      <c r="B5" s="153" t="s">
        <v>93</v>
      </c>
      <c r="C5" s="579"/>
      <c r="D5" s="154"/>
      <c r="E5" s="155"/>
      <c r="F5" s="156"/>
      <c r="G5" s="157"/>
      <c r="H5" s="158"/>
      <c r="I5" s="155"/>
      <c r="J5" s="159"/>
    </row>
    <row r="6" spans="1:10" ht="12.75" hidden="1" customHeight="1" x14ac:dyDescent="0.25">
      <c r="A6" s="1236"/>
      <c r="B6" s="160" t="s">
        <v>94</v>
      </c>
      <c r="C6" s="580"/>
      <c r="D6" s="161"/>
      <c r="E6" s="162"/>
      <c r="F6" s="163"/>
      <c r="G6" s="580"/>
      <c r="H6" s="164"/>
      <c r="I6" s="162"/>
      <c r="J6" s="165"/>
    </row>
    <row r="7" spans="1:10" ht="12.75" hidden="1" customHeight="1" x14ac:dyDescent="0.25">
      <c r="A7" s="1236"/>
      <c r="B7" s="160" t="s">
        <v>95</v>
      </c>
      <c r="C7" s="580"/>
      <c r="D7" s="161"/>
      <c r="E7" s="162"/>
      <c r="F7" s="163"/>
      <c r="G7" s="580"/>
      <c r="H7" s="164"/>
      <c r="I7" s="162"/>
      <c r="J7" s="165"/>
    </row>
    <row r="8" spans="1:10" ht="12.75" hidden="1" customHeight="1" x14ac:dyDescent="0.25">
      <c r="A8" s="1236"/>
      <c r="B8" s="160" t="s">
        <v>135</v>
      </c>
      <c r="C8" s="580"/>
      <c r="D8" s="161"/>
      <c r="E8" s="162"/>
      <c r="F8" s="163"/>
      <c r="G8" s="580"/>
      <c r="H8" s="164"/>
      <c r="I8" s="162"/>
      <c r="J8" s="165"/>
    </row>
    <row r="9" spans="1:10" ht="12.75" hidden="1" customHeight="1" x14ac:dyDescent="0.25">
      <c r="A9" s="1236"/>
      <c r="B9" s="160" t="s">
        <v>136</v>
      </c>
      <c r="C9" s="580"/>
      <c r="D9" s="166"/>
      <c r="E9" s="162"/>
      <c r="F9" s="163"/>
      <c r="G9" s="580"/>
      <c r="H9" s="164"/>
      <c r="I9" s="162"/>
      <c r="J9" s="165"/>
    </row>
    <row r="10" spans="1:10" ht="12.75" hidden="1" customHeight="1" x14ac:dyDescent="0.25">
      <c r="A10" s="1236"/>
      <c r="B10" s="160" t="s">
        <v>137</v>
      </c>
      <c r="C10" s="580"/>
      <c r="D10" s="161"/>
      <c r="E10" s="162"/>
      <c r="F10" s="163"/>
      <c r="G10" s="580"/>
      <c r="H10" s="164"/>
      <c r="I10" s="162"/>
      <c r="J10" s="165"/>
    </row>
    <row r="11" spans="1:10" ht="12.75" hidden="1" customHeight="1" x14ac:dyDescent="0.25">
      <c r="A11" s="1236"/>
      <c r="B11" s="160" t="s">
        <v>96</v>
      </c>
      <c r="C11" s="580"/>
      <c r="D11" s="161"/>
      <c r="E11" s="162"/>
      <c r="F11" s="163"/>
      <c r="G11" s="580"/>
      <c r="H11" s="164"/>
      <c r="I11" s="162"/>
      <c r="J11" s="165"/>
    </row>
    <row r="12" spans="1:10" ht="12.75" hidden="1" customHeight="1" x14ac:dyDescent="0.25">
      <c r="A12" s="1236"/>
      <c r="B12" s="160" t="s">
        <v>143</v>
      </c>
      <c r="C12" s="167"/>
      <c r="D12" s="166"/>
      <c r="E12" s="168"/>
      <c r="F12" s="169"/>
      <c r="G12" s="167"/>
      <c r="H12" s="166"/>
      <c r="I12" s="168"/>
      <c r="J12" s="170"/>
    </row>
    <row r="13" spans="1:10" ht="12.75" hidden="1" customHeight="1" x14ac:dyDescent="0.25">
      <c r="A13" s="1236"/>
      <c r="B13" s="160" t="s">
        <v>97</v>
      </c>
      <c r="C13" s="580"/>
      <c r="D13" s="161"/>
      <c r="E13" s="162"/>
      <c r="F13" s="163"/>
      <c r="G13" s="580"/>
      <c r="H13" s="164"/>
      <c r="I13" s="162"/>
      <c r="J13" s="165"/>
    </row>
    <row r="14" spans="1:10" ht="12.75" hidden="1" customHeight="1" x14ac:dyDescent="0.25">
      <c r="A14" s="1236"/>
      <c r="B14" s="160"/>
      <c r="C14" s="308"/>
      <c r="D14" s="309"/>
      <c r="E14" s="310"/>
      <c r="F14" s="311"/>
      <c r="G14" s="308"/>
      <c r="H14" s="312"/>
      <c r="I14" s="310"/>
      <c r="J14" s="313"/>
    </row>
    <row r="15" spans="1:10" ht="12.75" hidden="1" customHeight="1" x14ac:dyDescent="0.25">
      <c r="A15" s="1236"/>
      <c r="B15" s="160"/>
      <c r="C15" s="308"/>
      <c r="D15" s="309"/>
      <c r="E15" s="310"/>
      <c r="F15" s="311"/>
      <c r="G15" s="308"/>
      <c r="H15" s="312"/>
      <c r="I15" s="310"/>
      <c r="J15" s="313"/>
    </row>
    <row r="16" spans="1:10" ht="12.75" hidden="1" customHeight="1" thickBot="1" x14ac:dyDescent="0.3">
      <c r="A16" s="1242"/>
      <c r="B16" s="171" t="s">
        <v>74</v>
      </c>
      <c r="C16" s="172">
        <f t="shared" ref="C16:J16" si="0">SUM(C5:C13)</f>
        <v>0</v>
      </c>
      <c r="D16" s="173">
        <f t="shared" si="0"/>
        <v>0</v>
      </c>
      <c r="E16" s="174">
        <f t="shared" si="0"/>
        <v>0</v>
      </c>
      <c r="F16" s="173">
        <f t="shared" si="0"/>
        <v>0</v>
      </c>
      <c r="G16" s="172">
        <f t="shared" si="0"/>
        <v>0</v>
      </c>
      <c r="H16" s="175">
        <f t="shared" si="0"/>
        <v>0</v>
      </c>
      <c r="I16" s="174">
        <f t="shared" si="0"/>
        <v>0</v>
      </c>
      <c r="J16" s="176">
        <f t="shared" si="0"/>
        <v>0</v>
      </c>
    </row>
    <row r="17" spans="1:10" ht="12.75" hidden="1" customHeight="1" x14ac:dyDescent="0.25">
      <c r="A17" s="1235" t="s">
        <v>138</v>
      </c>
      <c r="B17" s="153" t="s">
        <v>93</v>
      </c>
      <c r="C17" s="1250" t="s">
        <v>58</v>
      </c>
      <c r="D17" s="1251"/>
      <c r="E17" s="1252" t="s">
        <v>437</v>
      </c>
      <c r="F17" s="1252"/>
      <c r="G17" s="1250" t="s">
        <v>438</v>
      </c>
      <c r="H17" s="1251"/>
      <c r="I17" s="1252" t="s">
        <v>438</v>
      </c>
      <c r="J17" s="1261"/>
    </row>
    <row r="18" spans="1:10" ht="12.75" hidden="1" customHeight="1" x14ac:dyDescent="0.25">
      <c r="A18" s="1236"/>
      <c r="B18" s="160" t="s">
        <v>94</v>
      </c>
      <c r="C18" s="1256"/>
      <c r="D18" s="1257"/>
      <c r="E18" s="1258"/>
      <c r="F18" s="1258"/>
      <c r="G18" s="1256"/>
      <c r="H18" s="1257"/>
      <c r="I18" s="1258"/>
      <c r="J18" s="1259"/>
    </row>
    <row r="19" spans="1:10" ht="12.75" hidden="1" customHeight="1" x14ac:dyDescent="0.25">
      <c r="A19" s="1236"/>
      <c r="B19" s="160" t="s">
        <v>95</v>
      </c>
      <c r="C19" s="1243"/>
      <c r="D19" s="1243"/>
      <c r="E19" s="1244"/>
      <c r="F19" s="1244"/>
      <c r="G19" s="1243"/>
      <c r="H19" s="1243"/>
      <c r="I19" s="1244"/>
      <c r="J19" s="1253"/>
    </row>
    <row r="20" spans="1:10" ht="12.75" hidden="1" customHeight="1" x14ac:dyDescent="0.25">
      <c r="A20" s="1236"/>
      <c r="B20" s="160" t="s">
        <v>135</v>
      </c>
      <c r="C20" s="1262"/>
      <c r="D20" s="1263"/>
      <c r="E20" s="1264"/>
      <c r="F20" s="1265"/>
      <c r="G20" s="1262"/>
      <c r="H20" s="1263"/>
      <c r="I20" s="1264"/>
      <c r="J20" s="1266"/>
    </row>
    <row r="21" spans="1:10" ht="12.75" hidden="1" customHeight="1" x14ac:dyDescent="0.25">
      <c r="A21" s="1236"/>
      <c r="B21" s="160" t="s">
        <v>98</v>
      </c>
      <c r="C21" s="1243"/>
      <c r="D21" s="1243"/>
      <c r="E21" s="1244"/>
      <c r="F21" s="1244"/>
      <c r="G21" s="1243"/>
      <c r="H21" s="1243"/>
      <c r="I21" s="1244"/>
      <c r="J21" s="1253"/>
    </row>
    <row r="22" spans="1:10" ht="12.75" hidden="1" customHeight="1" x14ac:dyDescent="0.25">
      <c r="A22" s="1236"/>
      <c r="B22" s="160" t="s">
        <v>137</v>
      </c>
      <c r="C22" s="1256"/>
      <c r="D22" s="1257"/>
      <c r="E22" s="1258"/>
      <c r="F22" s="1258"/>
      <c r="G22" s="1256"/>
      <c r="H22" s="1257"/>
      <c r="I22" s="1258"/>
      <c r="J22" s="1259"/>
    </row>
    <row r="23" spans="1:10" ht="12.75" hidden="1" customHeight="1" x14ac:dyDescent="0.25">
      <c r="A23" s="1236"/>
      <c r="B23" s="160" t="s">
        <v>96</v>
      </c>
      <c r="C23" s="1243"/>
      <c r="D23" s="1243"/>
      <c r="E23" s="1244"/>
      <c r="F23" s="1244"/>
      <c r="G23" s="1243"/>
      <c r="H23" s="1243"/>
      <c r="I23" s="1244"/>
      <c r="J23" s="1253"/>
    </row>
    <row r="24" spans="1:10" ht="12.75" hidden="1" customHeight="1" x14ac:dyDescent="0.25">
      <c r="A24" s="1236"/>
      <c r="B24" s="160" t="s">
        <v>143</v>
      </c>
      <c r="C24" s="1243"/>
      <c r="D24" s="1243"/>
      <c r="E24" s="1244"/>
      <c r="F24" s="1244"/>
      <c r="G24" s="1243"/>
      <c r="H24" s="1243"/>
      <c r="I24" s="1244"/>
      <c r="J24" s="1253"/>
    </row>
    <row r="25" spans="1:10" ht="12.75" hidden="1" customHeight="1" thickBot="1" x14ac:dyDescent="0.3">
      <c r="A25" s="1236"/>
      <c r="B25" s="160" t="s">
        <v>97</v>
      </c>
      <c r="C25" s="1245"/>
      <c r="D25" s="1246"/>
      <c r="E25" s="1247"/>
      <c r="F25" s="1247"/>
      <c r="G25" s="1245"/>
      <c r="H25" s="1246"/>
      <c r="I25" s="1247"/>
      <c r="J25" s="1260"/>
    </row>
    <row r="26" spans="1:10" ht="12.75" customHeight="1" x14ac:dyDescent="0.25">
      <c r="A26" s="1235" t="s">
        <v>221</v>
      </c>
      <c r="B26" s="153" t="s">
        <v>93</v>
      </c>
      <c r="C26" s="1248">
        <v>3</v>
      </c>
      <c r="D26" s="1249"/>
      <c r="E26" s="1248">
        <v>3</v>
      </c>
      <c r="F26" s="1249"/>
      <c r="G26" s="1249">
        <v>1.3529977457106344</v>
      </c>
      <c r="H26" s="1249"/>
      <c r="I26" s="1254">
        <v>1.3529977457106344</v>
      </c>
      <c r="J26" s="1255"/>
    </row>
    <row r="27" spans="1:10" ht="12.75" customHeight="1" x14ac:dyDescent="0.25">
      <c r="A27" s="1236"/>
      <c r="B27" s="160" t="s">
        <v>245</v>
      </c>
      <c r="C27" s="1232">
        <v>10</v>
      </c>
      <c r="D27" s="1271"/>
      <c r="E27" s="1272">
        <v>10</v>
      </c>
      <c r="F27" s="1234"/>
      <c r="G27" s="1234">
        <v>5.3937477515005776</v>
      </c>
      <c r="H27" s="1234"/>
      <c r="I27" s="1230">
        <v>5.3937477515005776</v>
      </c>
      <c r="J27" s="1231"/>
    </row>
    <row r="28" spans="1:10" ht="12.75" customHeight="1" x14ac:dyDescent="0.25">
      <c r="A28" s="1236"/>
      <c r="B28" s="160" t="s">
        <v>95</v>
      </c>
      <c r="C28" s="1232">
        <v>5.2229884762330849</v>
      </c>
      <c r="D28" s="1233"/>
      <c r="E28" s="1230">
        <v>5.2229884762330849</v>
      </c>
      <c r="F28" s="1230"/>
      <c r="G28" s="1234">
        <v>5.2229884762330849</v>
      </c>
      <c r="H28" s="1234"/>
      <c r="I28" s="1230">
        <v>5.2229884762330849</v>
      </c>
      <c r="J28" s="1231"/>
    </row>
    <row r="29" spans="1:10" ht="12.75" customHeight="1" x14ac:dyDescent="0.25">
      <c r="A29" s="1236"/>
      <c r="B29" s="160"/>
      <c r="C29" s="1232"/>
      <c r="D29" s="1233"/>
      <c r="E29" s="1273"/>
      <c r="F29" s="1274"/>
      <c r="G29" s="1275"/>
      <c r="H29" s="1233"/>
      <c r="I29" s="1230"/>
      <c r="J29" s="1231"/>
    </row>
    <row r="30" spans="1:10" ht="12.75" customHeight="1" x14ac:dyDescent="0.25">
      <c r="A30" s="1236"/>
      <c r="B30" s="160" t="s">
        <v>98</v>
      </c>
      <c r="C30" s="1232">
        <v>9.9414765825122728</v>
      </c>
      <c r="D30" s="1233"/>
      <c r="E30" s="1230">
        <v>9.9414765825122728</v>
      </c>
      <c r="F30" s="1230"/>
      <c r="G30" s="1234">
        <v>9.9414765825122728</v>
      </c>
      <c r="H30" s="1234"/>
      <c r="I30" s="1230">
        <v>9.9414765825122728</v>
      </c>
      <c r="J30" s="1231"/>
    </row>
    <row r="31" spans="1:10" ht="12.75" customHeight="1" x14ac:dyDescent="0.25">
      <c r="A31" s="1236"/>
      <c r="B31" s="160" t="s">
        <v>219</v>
      </c>
      <c r="C31" s="1232">
        <v>17.369060172905783</v>
      </c>
      <c r="D31" s="1233"/>
      <c r="E31" s="1230">
        <v>17.369060172905783</v>
      </c>
      <c r="F31" s="1230"/>
      <c r="G31" s="1234">
        <v>17.369060172905783</v>
      </c>
      <c r="H31" s="1234"/>
      <c r="I31" s="1230">
        <v>17.369060172905783</v>
      </c>
      <c r="J31" s="1231"/>
    </row>
    <row r="32" spans="1:10" ht="12.75" customHeight="1" x14ac:dyDescent="0.25">
      <c r="A32" s="1236"/>
      <c r="B32" s="160" t="s">
        <v>220</v>
      </c>
      <c r="C32" s="1232">
        <v>14.510121342956582</v>
      </c>
      <c r="D32" s="1233"/>
      <c r="E32" s="1230">
        <v>14.510121342956582</v>
      </c>
      <c r="F32" s="1230"/>
      <c r="G32" s="1234">
        <v>14.510121342956582</v>
      </c>
      <c r="H32" s="1234"/>
      <c r="I32" s="1230">
        <v>14.510121342956582</v>
      </c>
      <c r="J32" s="1231"/>
    </row>
    <row r="33" spans="1:12" ht="12.75" customHeight="1" x14ac:dyDescent="0.25">
      <c r="A33" s="1236"/>
      <c r="B33" s="160" t="s">
        <v>248</v>
      </c>
      <c r="C33" s="1232"/>
      <c r="D33" s="1233"/>
      <c r="E33" s="1230"/>
      <c r="F33" s="1230"/>
      <c r="G33" s="1234"/>
      <c r="H33" s="1234"/>
      <c r="I33" s="1230"/>
      <c r="J33" s="1231"/>
    </row>
    <row r="34" spans="1:12" ht="12.75" customHeight="1" thickBot="1" x14ac:dyDescent="0.3">
      <c r="A34" s="1242"/>
      <c r="B34" s="171"/>
      <c r="C34" s="1237"/>
      <c r="D34" s="1238"/>
      <c r="E34" s="1239"/>
      <c r="F34" s="1239"/>
      <c r="G34" s="1240"/>
      <c r="H34" s="1240"/>
      <c r="I34" s="1239"/>
      <c r="J34" s="1241"/>
    </row>
    <row r="35" spans="1:12" ht="12.75" customHeight="1" x14ac:dyDescent="0.25">
      <c r="A35" s="1235" t="s">
        <v>222</v>
      </c>
      <c r="B35" s="153" t="s">
        <v>93</v>
      </c>
      <c r="C35" s="618" t="e">
        <f>'Inputs TO'!D12</f>
        <v>#REF!</v>
      </c>
      <c r="D35" s="156" t="e">
        <f>C35/$C$47</f>
        <v>#REF!</v>
      </c>
      <c r="E35" s="634" t="e">
        <f>'Inputs TO'!E12</f>
        <v>#REF!</v>
      </c>
      <c r="F35" s="606" t="e">
        <f>E35/$E$47</f>
        <v>#REF!</v>
      </c>
      <c r="G35" s="597">
        <v>1.2</v>
      </c>
      <c r="H35" s="606">
        <f>G35/$G$47</f>
        <v>8.0482897384305824E-3</v>
      </c>
      <c r="I35" s="634">
        <v>1.1499999999999999</v>
      </c>
      <c r="J35" s="177">
        <f>I35/$I$47</f>
        <v>8.2526013634732689E-3</v>
      </c>
      <c r="K35" s="560"/>
      <c r="L35" s="561"/>
    </row>
    <row r="36" spans="1:12" ht="12.75" customHeight="1" x14ac:dyDescent="0.25">
      <c r="A36" s="1236"/>
      <c r="B36" s="160" t="s">
        <v>245</v>
      </c>
      <c r="C36" s="985" t="e">
        <f>'Inputs TO'!D13</f>
        <v>#REF!</v>
      </c>
      <c r="D36" s="611" t="e">
        <f>C36/$C$47</f>
        <v>#REF!</v>
      </c>
      <c r="E36" s="612" t="e">
        <f>'Inputs TO'!E13</f>
        <v>#REF!</v>
      </c>
      <c r="F36" s="600" t="e">
        <f>E36/$E$47</f>
        <v>#REF!</v>
      </c>
      <c r="G36" s="613">
        <v>11</v>
      </c>
      <c r="H36" s="602">
        <f>G36/$G$47</f>
        <v>7.3775989268947004E-2</v>
      </c>
      <c r="I36" s="612">
        <v>13.44</v>
      </c>
      <c r="J36" s="601">
        <f>I36/$I$47</f>
        <v>9.6447793326157161E-2</v>
      </c>
      <c r="K36" s="560"/>
      <c r="L36" s="561"/>
    </row>
    <row r="37" spans="1:12" ht="12.75" customHeight="1" x14ac:dyDescent="0.25">
      <c r="A37" s="1236"/>
      <c r="B37" s="160" t="s">
        <v>95</v>
      </c>
      <c r="C37" s="619">
        <v>0</v>
      </c>
      <c r="D37" s="611" t="e">
        <f>C37/$C$47</f>
        <v>#REF!</v>
      </c>
      <c r="E37" s="612">
        <v>0</v>
      </c>
      <c r="F37" s="602" t="e">
        <f>E37/$E$47</f>
        <v>#REF!</v>
      </c>
      <c r="G37" s="613">
        <v>0.6</v>
      </c>
      <c r="H37" s="602">
        <f>G37/$G$47</f>
        <v>4.0241448692152912E-3</v>
      </c>
      <c r="I37" s="612">
        <v>0.66</v>
      </c>
      <c r="J37" s="601">
        <f>I37/$I$47</f>
        <v>4.7362755651237896E-3</v>
      </c>
      <c r="K37" s="560"/>
      <c r="L37" s="561"/>
    </row>
    <row r="38" spans="1:12" ht="12.75" customHeight="1" x14ac:dyDescent="0.25">
      <c r="A38" s="1236"/>
      <c r="B38" s="160"/>
      <c r="C38" s="620">
        <v>0</v>
      </c>
      <c r="D38" s="611"/>
      <c r="E38" s="612">
        <v>0</v>
      </c>
      <c r="F38" s="602"/>
      <c r="G38" s="614">
        <v>0</v>
      </c>
      <c r="H38" s="602"/>
      <c r="I38" s="615"/>
      <c r="J38" s="601"/>
      <c r="K38" s="560"/>
      <c r="L38" s="561"/>
    </row>
    <row r="39" spans="1:12" ht="12.75" customHeight="1" x14ac:dyDescent="0.25">
      <c r="A39" s="1236"/>
      <c r="B39" s="160" t="s">
        <v>246</v>
      </c>
      <c r="C39" s="620">
        <v>0</v>
      </c>
      <c r="D39" s="611" t="e">
        <f>C39/$C$47</f>
        <v>#REF!</v>
      </c>
      <c r="E39" s="612">
        <v>0</v>
      </c>
      <c r="F39" s="602" t="e">
        <f>E39/$E$47</f>
        <v>#REF!</v>
      </c>
      <c r="G39" s="613">
        <v>0</v>
      </c>
      <c r="H39" s="602">
        <f>G39/$G$47</f>
        <v>0</v>
      </c>
      <c r="I39" s="612">
        <v>0</v>
      </c>
      <c r="J39" s="601">
        <f>I39/$I$47</f>
        <v>0</v>
      </c>
      <c r="K39" s="560"/>
      <c r="L39" s="561"/>
    </row>
    <row r="40" spans="1:12" ht="12.75" customHeight="1" x14ac:dyDescent="0.25">
      <c r="A40" s="1236"/>
      <c r="B40" s="160" t="s">
        <v>219</v>
      </c>
      <c r="C40" s="621" t="e">
        <f>'Inputs TO'!D14</f>
        <v>#REF!</v>
      </c>
      <c r="D40" s="611" t="e">
        <f>C40/$C$47</f>
        <v>#REF!</v>
      </c>
      <c r="E40" s="612">
        <v>0</v>
      </c>
      <c r="F40" s="602" t="e">
        <f>E40/$E$47</f>
        <v>#REF!</v>
      </c>
      <c r="G40" s="613">
        <v>135.30000000000001</v>
      </c>
      <c r="H40" s="602">
        <f>G40/$G$47</f>
        <v>0.90744466800804824</v>
      </c>
      <c r="I40" s="612">
        <v>124.1</v>
      </c>
      <c r="J40" s="601">
        <f>I40/$I$47</f>
        <v>0.89056332974524577</v>
      </c>
      <c r="K40" s="560"/>
      <c r="L40" s="561"/>
    </row>
    <row r="41" spans="1:12" ht="12.75" customHeight="1" x14ac:dyDescent="0.25">
      <c r="A41" s="1236"/>
      <c r="B41" s="160" t="s">
        <v>220</v>
      </c>
      <c r="C41" s="619">
        <v>0</v>
      </c>
      <c r="D41" s="611" t="e">
        <f>C41/$C$47</f>
        <v>#REF!</v>
      </c>
      <c r="E41" s="612">
        <v>0</v>
      </c>
      <c r="F41" s="602" t="e">
        <f>E41/$E$47</f>
        <v>#REF!</v>
      </c>
      <c r="G41" s="614">
        <v>0</v>
      </c>
      <c r="H41" s="602">
        <f>G41/$G$47</f>
        <v>0</v>
      </c>
      <c r="I41" s="615">
        <v>0</v>
      </c>
      <c r="J41" s="601">
        <f>I41/$I$47</f>
        <v>0</v>
      </c>
      <c r="K41" s="560"/>
      <c r="L41" s="561"/>
    </row>
    <row r="42" spans="1:12" ht="12.75" customHeight="1" x14ac:dyDescent="0.25">
      <c r="A42" s="1236"/>
      <c r="B42" s="160" t="s">
        <v>248</v>
      </c>
      <c r="C42" s="620">
        <v>1</v>
      </c>
      <c r="D42" s="611" t="e">
        <f>C42/$C$47</f>
        <v>#REF!</v>
      </c>
      <c r="E42" s="612">
        <v>0</v>
      </c>
      <c r="F42" s="602" t="e">
        <f>E42/$E$47</f>
        <v>#REF!</v>
      </c>
      <c r="G42" s="613">
        <v>1</v>
      </c>
      <c r="H42" s="602">
        <f>G42/$G$47</f>
        <v>6.706908115358819E-3</v>
      </c>
      <c r="I42" s="612">
        <v>0</v>
      </c>
      <c r="J42" s="601">
        <f>I42/$I$47</f>
        <v>0</v>
      </c>
      <c r="K42" s="560"/>
      <c r="L42" s="561"/>
    </row>
    <row r="43" spans="1:12" ht="12.75" customHeight="1" x14ac:dyDescent="0.25">
      <c r="A43" s="1236"/>
      <c r="B43" s="160"/>
      <c r="C43" s="620">
        <v>0</v>
      </c>
      <c r="D43" s="611" t="s">
        <v>223</v>
      </c>
      <c r="E43" s="612">
        <v>0</v>
      </c>
      <c r="F43" s="602" t="s">
        <v>223</v>
      </c>
      <c r="G43" s="616">
        <v>0</v>
      </c>
      <c r="H43" s="602" t="s">
        <v>223</v>
      </c>
      <c r="I43" s="617">
        <v>0</v>
      </c>
      <c r="J43" s="601" t="s">
        <v>223</v>
      </c>
      <c r="K43" s="560"/>
      <c r="L43" s="561"/>
    </row>
    <row r="44" spans="1:12" ht="12.75" customHeight="1" x14ac:dyDescent="0.25">
      <c r="A44" s="577"/>
      <c r="B44" s="160"/>
      <c r="C44" s="620">
        <v>0</v>
      </c>
      <c r="D44" s="611"/>
      <c r="E44" s="613">
        <v>0</v>
      </c>
      <c r="F44" s="602"/>
      <c r="G44" s="613">
        <v>0</v>
      </c>
      <c r="H44" s="602"/>
      <c r="I44" s="613">
        <v>0</v>
      </c>
      <c r="J44" s="601"/>
      <c r="K44" s="560"/>
      <c r="L44" s="561"/>
    </row>
    <row r="45" spans="1:12" ht="12.75" customHeight="1" x14ac:dyDescent="0.25">
      <c r="A45" s="577"/>
      <c r="B45" s="160" t="s">
        <v>254</v>
      </c>
      <c r="C45" s="619">
        <v>0</v>
      </c>
      <c r="D45" s="611" t="e">
        <f>C45/$C$47</f>
        <v>#REF!</v>
      </c>
      <c r="E45" s="613">
        <v>0</v>
      </c>
      <c r="F45" s="602" t="e">
        <f>E45/$E$47</f>
        <v>#REF!</v>
      </c>
      <c r="G45" s="613">
        <v>1</v>
      </c>
      <c r="H45" s="602">
        <f>G45/$G$47</f>
        <v>6.706908115358819E-3</v>
      </c>
      <c r="I45" s="613">
        <v>1</v>
      </c>
      <c r="J45" s="601">
        <f>I45/$I$47</f>
        <v>7.1761750986724078E-3</v>
      </c>
      <c r="K45" s="560"/>
      <c r="L45" s="561"/>
    </row>
    <row r="46" spans="1:12" ht="12.75" customHeight="1" x14ac:dyDescent="0.25">
      <c r="A46" s="577"/>
      <c r="B46" s="160"/>
      <c r="C46" s="620">
        <v>0</v>
      </c>
      <c r="D46" s="611"/>
      <c r="E46" s="613">
        <v>0</v>
      </c>
      <c r="F46" s="602"/>
      <c r="G46" s="613">
        <v>0</v>
      </c>
      <c r="H46" s="602"/>
      <c r="I46" s="613">
        <v>0</v>
      </c>
      <c r="J46" s="601"/>
      <c r="K46" s="560"/>
      <c r="L46" s="561"/>
    </row>
    <row r="47" spans="1:12" ht="12.75" customHeight="1" thickBot="1" x14ac:dyDescent="0.3">
      <c r="A47" s="578"/>
      <c r="B47" s="171" t="s">
        <v>74</v>
      </c>
      <c r="C47" s="622" t="e">
        <f t="shared" ref="C47:J47" si="1">SUM(C35:C44)</f>
        <v>#REF!</v>
      </c>
      <c r="D47" s="623" t="e">
        <f t="shared" si="1"/>
        <v>#REF!</v>
      </c>
      <c r="E47" s="992" t="e">
        <f t="shared" si="1"/>
        <v>#REF!</v>
      </c>
      <c r="F47" s="623" t="e">
        <f t="shared" si="1"/>
        <v>#REF!</v>
      </c>
      <c r="G47" s="624">
        <f t="shared" si="1"/>
        <v>149.10000000000002</v>
      </c>
      <c r="H47" s="623">
        <f t="shared" si="1"/>
        <v>0.99999999999999989</v>
      </c>
      <c r="I47" s="624">
        <f t="shared" si="1"/>
        <v>139.35</v>
      </c>
      <c r="J47" s="625">
        <f t="shared" si="1"/>
        <v>1</v>
      </c>
      <c r="K47" s="560"/>
      <c r="L47" s="561"/>
    </row>
    <row r="48" spans="1:12" ht="12.75" customHeight="1" x14ac:dyDescent="0.25">
      <c r="A48" s="1235" t="s">
        <v>139</v>
      </c>
      <c r="B48" s="153" t="s">
        <v>93</v>
      </c>
      <c r="C48" s="993">
        <f>IF('Recreation Worksheet'!A10="minutes of moderate activity/week",'Recreation Worksheet'!B10,0)</f>
        <v>46.027397260273972</v>
      </c>
      <c r="D48" s="986" t="e">
        <f>C48/$C$57</f>
        <v>#REF!</v>
      </c>
      <c r="E48" s="991">
        <f>IF('Recreation Worksheet'!A10="minutes of moderate activity/week",'Recreation Worksheet'!B11,0)</f>
        <v>150</v>
      </c>
      <c r="F48" s="988">
        <f>E48/$E$57</f>
        <v>1</v>
      </c>
      <c r="G48" s="608">
        <f>G35/G26*60</f>
        <v>53.215166269315155</v>
      </c>
      <c r="H48" s="609">
        <f>G48/$G$57</f>
        <v>8.1887820454656854E-2</v>
      </c>
      <c r="I48" s="608">
        <f>I35/I26*60</f>
        <v>50.997867674760357</v>
      </c>
      <c r="J48" s="610">
        <f>I48/$I$57</f>
        <v>8.0087171232133866E-2</v>
      </c>
      <c r="L48" s="391"/>
    </row>
    <row r="49" spans="1:12" ht="12.75" customHeight="1" x14ac:dyDescent="0.25">
      <c r="A49" s="1236"/>
      <c r="B49" s="160" t="s">
        <v>245</v>
      </c>
      <c r="C49" s="603">
        <f>IF('Recreation Worksheet'!A10="minutes of vigorous activity/week",'Recreation Worksheet'!B10,0)</f>
        <v>0</v>
      </c>
      <c r="D49" s="987" t="e">
        <f>C49/$C$57</f>
        <v>#REF!</v>
      </c>
      <c r="E49" s="990">
        <f>IF('Recreation Worksheet'!A10="minutes of vigorous activity/week",'Recreation Worksheet'!B11,0)</f>
        <v>0</v>
      </c>
      <c r="F49" s="988">
        <f t="shared" ref="F49:F55" si="2">E49/$E$57</f>
        <v>0</v>
      </c>
      <c r="G49" s="603">
        <f>G36/G27*60</f>
        <v>122.36389805518499</v>
      </c>
      <c r="H49" s="609">
        <f>G49/$G$57</f>
        <v>0.18829430811818593</v>
      </c>
      <c r="I49" s="603">
        <f>I36/I27*60</f>
        <v>149.50643544197149</v>
      </c>
      <c r="J49" s="610">
        <f>I49/$I$57</f>
        <v>0.23478525753093465</v>
      </c>
      <c r="L49" s="391"/>
    </row>
    <row r="50" spans="1:12" ht="12.75" customHeight="1" x14ac:dyDescent="0.25">
      <c r="A50" s="1236"/>
      <c r="B50" s="160" t="s">
        <v>95</v>
      </c>
      <c r="C50" s="598">
        <f t="shared" ref="C50:C54" si="3">C37/C28*60</f>
        <v>0</v>
      </c>
      <c r="D50" s="987" t="e">
        <f>C50/$C$57</f>
        <v>#REF!</v>
      </c>
      <c r="E50" s="990">
        <f>E37/E28*60</f>
        <v>0</v>
      </c>
      <c r="F50" s="988">
        <f t="shared" si="2"/>
        <v>0</v>
      </c>
      <c r="G50" s="598">
        <f>G37/G28*60</f>
        <v>6.8926056727515235</v>
      </c>
      <c r="H50" s="609">
        <f>G50/$G$57</f>
        <v>1.0606383393383876E-2</v>
      </c>
      <c r="I50" s="598">
        <f>I37/I28*60</f>
        <v>7.5818662400266765</v>
      </c>
      <c r="J50" s="610">
        <f>I50/$I$57</f>
        <v>1.1906580559341096E-2</v>
      </c>
      <c r="L50" s="391"/>
    </row>
    <row r="51" spans="1:12" ht="12.75" customHeight="1" x14ac:dyDescent="0.25">
      <c r="A51" s="1236"/>
      <c r="B51" s="160"/>
      <c r="C51" s="603"/>
      <c r="D51" s="602"/>
      <c r="E51" s="989"/>
      <c r="F51" s="602"/>
      <c r="G51" s="603"/>
      <c r="H51" s="602"/>
      <c r="I51" s="603"/>
      <c r="J51" s="601"/>
      <c r="L51" s="391"/>
    </row>
    <row r="52" spans="1:12" ht="12.75" customHeight="1" x14ac:dyDescent="0.25">
      <c r="A52" s="1236"/>
      <c r="B52" s="160" t="s">
        <v>246</v>
      </c>
      <c r="C52" s="598">
        <f t="shared" si="3"/>
        <v>0</v>
      </c>
      <c r="D52" s="602" t="e">
        <f>C52/$C$57</f>
        <v>#REF!</v>
      </c>
      <c r="E52" s="598">
        <f>E39/E30*60</f>
        <v>0</v>
      </c>
      <c r="F52" s="609">
        <f t="shared" si="2"/>
        <v>0</v>
      </c>
      <c r="G52" s="598">
        <f>G39/G30*60</f>
        <v>0</v>
      </c>
      <c r="H52" s="609">
        <f>G52/$G$57</f>
        <v>0</v>
      </c>
      <c r="I52" s="598">
        <f>I39/I30*60</f>
        <v>0</v>
      </c>
      <c r="J52" s="610">
        <f>I52/$I$57</f>
        <v>0</v>
      </c>
      <c r="L52"/>
    </row>
    <row r="53" spans="1:12" ht="12.75" customHeight="1" x14ac:dyDescent="0.25">
      <c r="A53" s="1236"/>
      <c r="B53" s="160" t="s">
        <v>219</v>
      </c>
      <c r="C53" s="598" t="e">
        <f t="shared" si="3"/>
        <v>#REF!</v>
      </c>
      <c r="D53" s="602" t="e">
        <f>C53/$C$57</f>
        <v>#REF!</v>
      </c>
      <c r="E53" s="598">
        <f>E40/E31*60</f>
        <v>0</v>
      </c>
      <c r="F53" s="609">
        <f t="shared" si="2"/>
        <v>0</v>
      </c>
      <c r="G53" s="598">
        <f>G40/G31*60</f>
        <v>467.38280132527672</v>
      </c>
      <c r="H53" s="609">
        <f>G53/$G$57</f>
        <v>0.71921148803377333</v>
      </c>
      <c r="I53" s="598">
        <f>I40/I31*60</f>
        <v>428.69331592362772</v>
      </c>
      <c r="J53" s="610">
        <f>I53/$I$57</f>
        <v>0.67322099067759045</v>
      </c>
      <c r="L53"/>
    </row>
    <row r="54" spans="1:12" ht="12.75" customHeight="1" x14ac:dyDescent="0.25">
      <c r="A54" s="1236"/>
      <c r="B54" s="160" t="s">
        <v>220</v>
      </c>
      <c r="C54" s="598">
        <f t="shared" si="3"/>
        <v>0</v>
      </c>
      <c r="D54" s="602" t="e">
        <f>C54/$C$57</f>
        <v>#REF!</v>
      </c>
      <c r="E54" s="598">
        <f>E41/E32*60</f>
        <v>0</v>
      </c>
      <c r="F54" s="609">
        <f t="shared" si="2"/>
        <v>0</v>
      </c>
      <c r="G54" s="598">
        <f>G41/G32*60</f>
        <v>0</v>
      </c>
      <c r="H54" s="609">
        <f>G54/$G$57</f>
        <v>0</v>
      </c>
      <c r="I54" s="598">
        <f>I41/I32*60</f>
        <v>0</v>
      </c>
      <c r="J54" s="610">
        <f>I54/$I$57</f>
        <v>0</v>
      </c>
      <c r="L54"/>
    </row>
    <row r="55" spans="1:12" ht="12.75" customHeight="1" x14ac:dyDescent="0.25">
      <c r="A55" s="1236"/>
      <c r="B55" s="160" t="s">
        <v>248</v>
      </c>
      <c r="C55" s="603">
        <v>0</v>
      </c>
      <c r="D55" s="600" t="e">
        <f>C55/$C$57</f>
        <v>#REF!</v>
      </c>
      <c r="E55" s="603">
        <v>0</v>
      </c>
      <c r="F55" s="609">
        <f t="shared" si="2"/>
        <v>0</v>
      </c>
      <c r="G55" s="603">
        <v>0</v>
      </c>
      <c r="H55" s="609">
        <f>G55/$G$57</f>
        <v>0</v>
      </c>
      <c r="I55" s="603">
        <v>0</v>
      </c>
      <c r="J55" s="610">
        <f>I55/$I$57</f>
        <v>0</v>
      </c>
      <c r="L55"/>
    </row>
    <row r="56" spans="1:12" ht="12.75" customHeight="1" x14ac:dyDescent="0.25">
      <c r="A56" s="1236"/>
      <c r="B56" s="160"/>
      <c r="C56" s="603" t="s">
        <v>223</v>
      </c>
      <c r="D56" s="602" t="s">
        <v>223</v>
      </c>
      <c r="E56" s="603" t="s">
        <v>223</v>
      </c>
      <c r="F56" s="602" t="s">
        <v>223</v>
      </c>
      <c r="G56" s="603" t="s">
        <v>223</v>
      </c>
      <c r="H56" s="602" t="s">
        <v>223</v>
      </c>
      <c r="I56" s="603" t="s">
        <v>223</v>
      </c>
      <c r="J56" s="601" t="s">
        <v>223</v>
      </c>
      <c r="L56"/>
    </row>
    <row r="57" spans="1:12" ht="12.75" customHeight="1" thickBot="1" x14ac:dyDescent="0.3">
      <c r="A57" s="578"/>
      <c r="B57" s="171" t="s">
        <v>74</v>
      </c>
      <c r="C57" s="599" t="e">
        <f t="shared" ref="C57:J57" si="4">SUM(C48:C56)</f>
        <v>#REF!</v>
      </c>
      <c r="D57" s="607" t="e">
        <f t="shared" si="4"/>
        <v>#REF!</v>
      </c>
      <c r="E57" s="599">
        <f t="shared" si="4"/>
        <v>150</v>
      </c>
      <c r="F57" s="607">
        <f t="shared" si="4"/>
        <v>1</v>
      </c>
      <c r="G57" s="599">
        <f t="shared" si="4"/>
        <v>649.85447132252841</v>
      </c>
      <c r="H57" s="607">
        <f t="shared" si="4"/>
        <v>1</v>
      </c>
      <c r="I57" s="599">
        <f t="shared" si="4"/>
        <v>636.77948528038621</v>
      </c>
      <c r="J57" s="178">
        <f t="shared" si="4"/>
        <v>1</v>
      </c>
      <c r="L57"/>
    </row>
    <row r="58" spans="1:12" ht="15.75" x14ac:dyDescent="0.25">
      <c r="B58" s="129"/>
      <c r="C58" s="133"/>
      <c r="L58"/>
    </row>
    <row r="59" spans="1:12" x14ac:dyDescent="0.25">
      <c r="C59" s="478"/>
      <c r="D59" s="479"/>
      <c r="E59" s="478"/>
      <c r="L59"/>
    </row>
    <row r="60" spans="1:12" x14ac:dyDescent="0.25">
      <c r="C60" s="480"/>
      <c r="D60" s="480"/>
      <c r="E60" s="478"/>
      <c r="L60"/>
    </row>
    <row r="61" spans="1:12" x14ac:dyDescent="0.25">
      <c r="L61"/>
    </row>
    <row r="62" spans="1:12" x14ac:dyDescent="0.25">
      <c r="L62"/>
    </row>
    <row r="63" spans="1:12" x14ac:dyDescent="0.25">
      <c r="L63"/>
    </row>
    <row r="64" spans="1:12" x14ac:dyDescent="0.25">
      <c r="L64"/>
    </row>
    <row r="65" spans="12:12" x14ac:dyDescent="0.25">
      <c r="L65"/>
    </row>
    <row r="66" spans="12:12" x14ac:dyDescent="0.25">
      <c r="L66"/>
    </row>
    <row r="67" spans="12:12" x14ac:dyDescent="0.25">
      <c r="L67"/>
    </row>
    <row r="68" spans="12:12" x14ac:dyDescent="0.25">
      <c r="L68"/>
    </row>
    <row r="69" spans="12:12" x14ac:dyDescent="0.25">
      <c r="L69"/>
    </row>
    <row r="70" spans="12:12" x14ac:dyDescent="0.25">
      <c r="L70"/>
    </row>
    <row r="71" spans="12:12" x14ac:dyDescent="0.25">
      <c r="L71"/>
    </row>
    <row r="72" spans="12:12" x14ac:dyDescent="0.25">
      <c r="L72"/>
    </row>
    <row r="73" spans="12:12" x14ac:dyDescent="0.25">
      <c r="L73"/>
    </row>
    <row r="74" spans="12:12" x14ac:dyDescent="0.25">
      <c r="L74"/>
    </row>
    <row r="75" spans="12:12" x14ac:dyDescent="0.25">
      <c r="L75"/>
    </row>
    <row r="76" spans="12:12" x14ac:dyDescent="0.25">
      <c r="L76"/>
    </row>
    <row r="77" spans="12:12" x14ac:dyDescent="0.25">
      <c r="L77"/>
    </row>
    <row r="78" spans="12:12" x14ac:dyDescent="0.25">
      <c r="L78"/>
    </row>
    <row r="79" spans="12:12" x14ac:dyDescent="0.25">
      <c r="L79"/>
    </row>
    <row r="80" spans="12:12" x14ac:dyDescent="0.25">
      <c r="L80"/>
    </row>
    <row r="81" spans="12:12" x14ac:dyDescent="0.25">
      <c r="L81"/>
    </row>
    <row r="82" spans="12:12" x14ac:dyDescent="0.25">
      <c r="L82"/>
    </row>
    <row r="83" spans="12:12" x14ac:dyDescent="0.25">
      <c r="L83"/>
    </row>
    <row r="84" spans="12:12" x14ac:dyDescent="0.25">
      <c r="L84"/>
    </row>
    <row r="85" spans="12:12" x14ac:dyDescent="0.25">
      <c r="L85"/>
    </row>
    <row r="86" spans="12:12" x14ac:dyDescent="0.25">
      <c r="L86"/>
    </row>
    <row r="87" spans="12:12" x14ac:dyDescent="0.25">
      <c r="L87"/>
    </row>
    <row r="88" spans="12:12" x14ac:dyDescent="0.25">
      <c r="L88"/>
    </row>
    <row r="89" spans="12:12" x14ac:dyDescent="0.25">
      <c r="L89"/>
    </row>
    <row r="90" spans="12:12" x14ac:dyDescent="0.25">
      <c r="L90"/>
    </row>
    <row r="91" spans="12:12" x14ac:dyDescent="0.25">
      <c r="L91"/>
    </row>
    <row r="92" spans="12:12" x14ac:dyDescent="0.25">
      <c r="L92"/>
    </row>
    <row r="93" spans="12:12" x14ac:dyDescent="0.25">
      <c r="L93"/>
    </row>
    <row r="94" spans="12:12" x14ac:dyDescent="0.25">
      <c r="L94"/>
    </row>
    <row r="95" spans="12:12" x14ac:dyDescent="0.25">
      <c r="L95"/>
    </row>
    <row r="96" spans="12:12" x14ac:dyDescent="0.25">
      <c r="L96"/>
    </row>
    <row r="97" spans="12:12" x14ac:dyDescent="0.25">
      <c r="L97"/>
    </row>
    <row r="98" spans="12:12" x14ac:dyDescent="0.25">
      <c r="L98"/>
    </row>
    <row r="99" spans="12:12" x14ac:dyDescent="0.25">
      <c r="L99"/>
    </row>
    <row r="100" spans="12:12" x14ac:dyDescent="0.25">
      <c r="L100"/>
    </row>
    <row r="101" spans="12:12" x14ac:dyDescent="0.25">
      <c r="L101"/>
    </row>
    <row r="102" spans="12:12" x14ac:dyDescent="0.25">
      <c r="L102"/>
    </row>
    <row r="103" spans="12:12" x14ac:dyDescent="0.25">
      <c r="L103"/>
    </row>
    <row r="104" spans="12:12" x14ac:dyDescent="0.25">
      <c r="L104"/>
    </row>
    <row r="105" spans="12:12" x14ac:dyDescent="0.25">
      <c r="L105"/>
    </row>
    <row r="106" spans="12:12" x14ac:dyDescent="0.25">
      <c r="L106"/>
    </row>
    <row r="107" spans="12:12" x14ac:dyDescent="0.25">
      <c r="L107"/>
    </row>
    <row r="108" spans="12:12" x14ac:dyDescent="0.25">
      <c r="L108"/>
    </row>
    <row r="109" spans="12:12" x14ac:dyDescent="0.25">
      <c r="L109"/>
    </row>
    <row r="110" spans="12:12" x14ac:dyDescent="0.25">
      <c r="L110"/>
    </row>
    <row r="111" spans="12:12" x14ac:dyDescent="0.25">
      <c r="L111"/>
    </row>
    <row r="112" spans="12:12" x14ac:dyDescent="0.25">
      <c r="L112"/>
    </row>
    <row r="113" spans="12:12" x14ac:dyDescent="0.25">
      <c r="L113"/>
    </row>
    <row r="114" spans="12:12" x14ac:dyDescent="0.25">
      <c r="L114"/>
    </row>
    <row r="115" spans="12:12" x14ac:dyDescent="0.25">
      <c r="L115"/>
    </row>
    <row r="116" spans="12:12" x14ac:dyDescent="0.25">
      <c r="L116"/>
    </row>
    <row r="117" spans="12:12" x14ac:dyDescent="0.25">
      <c r="L117"/>
    </row>
    <row r="118" spans="12:12" x14ac:dyDescent="0.25">
      <c r="L118"/>
    </row>
    <row r="119" spans="12:12" x14ac:dyDescent="0.25">
      <c r="L119"/>
    </row>
    <row r="120" spans="12:12" x14ac:dyDescent="0.25">
      <c r="L120"/>
    </row>
    <row r="121" spans="12:12" x14ac:dyDescent="0.25">
      <c r="L121"/>
    </row>
    <row r="122" spans="12:12" x14ac:dyDescent="0.25">
      <c r="L122"/>
    </row>
    <row r="123" spans="12:12" x14ac:dyDescent="0.25">
      <c r="L123"/>
    </row>
    <row r="124" spans="12:12" x14ac:dyDescent="0.25">
      <c r="L124"/>
    </row>
    <row r="125" spans="12:12" x14ac:dyDescent="0.25">
      <c r="L125"/>
    </row>
    <row r="126" spans="12:12" x14ac:dyDescent="0.25">
      <c r="L126"/>
    </row>
    <row r="127" spans="12:12" x14ac:dyDescent="0.25">
      <c r="L127"/>
    </row>
    <row r="128" spans="12:12" x14ac:dyDescent="0.25">
      <c r="L128"/>
    </row>
    <row r="129" spans="12:12" x14ac:dyDescent="0.25">
      <c r="L129"/>
    </row>
    <row r="130" spans="12:12" x14ac:dyDescent="0.25">
      <c r="L130"/>
    </row>
    <row r="131" spans="12:12" x14ac:dyDescent="0.25">
      <c r="L131"/>
    </row>
    <row r="132" spans="12:12" x14ac:dyDescent="0.25">
      <c r="L132"/>
    </row>
    <row r="133" spans="12:12" x14ac:dyDescent="0.25">
      <c r="L133"/>
    </row>
    <row r="134" spans="12:12" x14ac:dyDescent="0.25">
      <c r="L134"/>
    </row>
    <row r="135" spans="12:12" x14ac:dyDescent="0.25">
      <c r="L135"/>
    </row>
    <row r="136" spans="12:12" x14ac:dyDescent="0.25">
      <c r="L136"/>
    </row>
    <row r="137" spans="12:12" x14ac:dyDescent="0.25">
      <c r="L137"/>
    </row>
    <row r="138" spans="12:12" x14ac:dyDescent="0.25">
      <c r="L138"/>
    </row>
    <row r="139" spans="12:12" x14ac:dyDescent="0.25">
      <c r="L139"/>
    </row>
    <row r="140" spans="12:12" x14ac:dyDescent="0.25">
      <c r="L140"/>
    </row>
    <row r="141" spans="12:12" x14ac:dyDescent="0.25">
      <c r="L141"/>
    </row>
    <row r="142" spans="12:12" x14ac:dyDescent="0.25">
      <c r="L142"/>
    </row>
    <row r="143" spans="12:12" x14ac:dyDescent="0.25">
      <c r="L143"/>
    </row>
    <row r="144" spans="12:12" x14ac:dyDescent="0.25">
      <c r="L144"/>
    </row>
    <row r="145" spans="12:12" x14ac:dyDescent="0.25">
      <c r="L145"/>
    </row>
    <row r="146" spans="12:12" x14ac:dyDescent="0.25">
      <c r="L146"/>
    </row>
    <row r="147" spans="12:12" x14ac:dyDescent="0.25">
      <c r="L147"/>
    </row>
    <row r="148" spans="12:12" x14ac:dyDescent="0.25">
      <c r="L148"/>
    </row>
    <row r="149" spans="12:12" x14ac:dyDescent="0.25">
      <c r="L149"/>
    </row>
  </sheetData>
  <mergeCells count="82">
    <mergeCell ref="I30:J30"/>
    <mergeCell ref="C31:D31"/>
    <mergeCell ref="E31:F31"/>
    <mergeCell ref="G31:H31"/>
    <mergeCell ref="I31:J31"/>
    <mergeCell ref="C30:D30"/>
    <mergeCell ref="E30:F30"/>
    <mergeCell ref="G30:H30"/>
    <mergeCell ref="C29:D29"/>
    <mergeCell ref="E29:F29"/>
    <mergeCell ref="G29:H29"/>
    <mergeCell ref="I29:J29"/>
    <mergeCell ref="C28:D28"/>
    <mergeCell ref="C27:D27"/>
    <mergeCell ref="E27:F27"/>
    <mergeCell ref="G27:H27"/>
    <mergeCell ref="I27:J27"/>
    <mergeCell ref="E28:F28"/>
    <mergeCell ref="G28:H28"/>
    <mergeCell ref="I28:J28"/>
    <mergeCell ref="A5:A16"/>
    <mergeCell ref="C3:J3"/>
    <mergeCell ref="C4:D4"/>
    <mergeCell ref="E4:F4"/>
    <mergeCell ref="G4:H4"/>
    <mergeCell ref="I4:J4"/>
    <mergeCell ref="E19:F19"/>
    <mergeCell ref="G19:H19"/>
    <mergeCell ref="I19:J19"/>
    <mergeCell ref="C20:D20"/>
    <mergeCell ref="E20:F20"/>
    <mergeCell ref="G20:H20"/>
    <mergeCell ref="I20:J20"/>
    <mergeCell ref="I17:J17"/>
    <mergeCell ref="C18:D18"/>
    <mergeCell ref="E18:F18"/>
    <mergeCell ref="G18:H18"/>
    <mergeCell ref="I18:J18"/>
    <mergeCell ref="C21:D21"/>
    <mergeCell ref="E21:F21"/>
    <mergeCell ref="G21:H21"/>
    <mergeCell ref="I21:J21"/>
    <mergeCell ref="I26:J26"/>
    <mergeCell ref="C22:D22"/>
    <mergeCell ref="E22:F22"/>
    <mergeCell ref="G22:H22"/>
    <mergeCell ref="I22:J22"/>
    <mergeCell ref="C23:D23"/>
    <mergeCell ref="E23:F23"/>
    <mergeCell ref="G23:H23"/>
    <mergeCell ref="I23:J23"/>
    <mergeCell ref="I24:J24"/>
    <mergeCell ref="I25:J25"/>
    <mergeCell ref="A48:A56"/>
    <mergeCell ref="A26:A34"/>
    <mergeCell ref="C24:D24"/>
    <mergeCell ref="E24:F24"/>
    <mergeCell ref="G24:H24"/>
    <mergeCell ref="C25:D25"/>
    <mergeCell ref="E25:F25"/>
    <mergeCell ref="G25:H25"/>
    <mergeCell ref="C26:D26"/>
    <mergeCell ref="E26:F26"/>
    <mergeCell ref="G26:H26"/>
    <mergeCell ref="A17:A25"/>
    <mergeCell ref="C17:D17"/>
    <mergeCell ref="E17:F17"/>
    <mergeCell ref="G17:H17"/>
    <mergeCell ref="C19:D19"/>
    <mergeCell ref="I32:J32"/>
    <mergeCell ref="C32:D32"/>
    <mergeCell ref="E32:F32"/>
    <mergeCell ref="G32:H32"/>
    <mergeCell ref="A35:A43"/>
    <mergeCell ref="C34:D34"/>
    <mergeCell ref="E34:F34"/>
    <mergeCell ref="G34:H34"/>
    <mergeCell ref="I34:J34"/>
    <mergeCell ref="C33:D33"/>
    <mergeCell ref="E33:F33"/>
    <mergeCell ref="G33:H33"/>
    <mergeCell ref="I33:J33"/>
  </mergeCells>
  <pageMargins left="0.70866141732283472" right="0.70866141732283472" top="0.74803149606299213" bottom="0.74803149606299213" header="0.31496062992125984" footer="0.31496062992125984"/>
  <pageSetup paperSize="9" scale="94"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W53"/>
  <sheetViews>
    <sheetView topLeftCell="O1" zoomScale="150" zoomScaleNormal="150" workbookViewId="0">
      <selection activeCell="AM15" sqref="AM15"/>
    </sheetView>
  </sheetViews>
  <sheetFormatPr defaultColWidth="9.140625" defaultRowHeight="16.5" x14ac:dyDescent="0.25"/>
  <cols>
    <col min="1" max="1" width="14.7109375" style="63" customWidth="1"/>
    <col min="2" max="2" width="9" style="63" customWidth="1"/>
    <col min="3" max="3" width="7.140625" style="63" customWidth="1"/>
    <col min="4" max="4" width="7.42578125" style="62" customWidth="1"/>
    <col min="5" max="5" width="8.7109375" style="62" customWidth="1"/>
    <col min="6" max="6" width="7.5703125" style="509" customWidth="1"/>
    <col min="7" max="7" width="6" style="62" customWidth="1"/>
    <col min="8" max="8" width="7.140625" style="47" customWidth="1"/>
    <col min="9" max="10" width="6.85546875" style="62" customWidth="1"/>
    <col min="11" max="11" width="6.28515625" style="62" customWidth="1"/>
    <col min="12" max="12" width="6.7109375" style="62" customWidth="1"/>
    <col min="13" max="13" width="6.7109375" style="63" customWidth="1"/>
    <col min="14" max="15" width="8.7109375" style="63" customWidth="1"/>
    <col min="16" max="16" width="7.42578125" style="63" customWidth="1"/>
    <col min="17" max="17" width="7.140625" style="63" customWidth="1"/>
    <col min="18" max="18" width="6.7109375" style="63" customWidth="1"/>
    <col min="19" max="21" width="7.7109375" style="63" customWidth="1"/>
    <col min="22" max="22" width="6.140625" style="63" customWidth="1"/>
    <col min="23" max="23" width="5.42578125" style="63" customWidth="1"/>
    <col min="24" max="24" width="6.7109375" style="63" customWidth="1"/>
    <col min="25" max="26" width="7.5703125" style="63" customWidth="1"/>
    <col min="27" max="27" width="5.28515625" style="63" customWidth="1"/>
    <col min="28" max="28" width="5.85546875" style="63" customWidth="1"/>
    <col min="29" max="29" width="7.28515625" style="63" customWidth="1"/>
    <col min="30" max="30" width="7" style="63" customWidth="1"/>
    <col min="31" max="31" width="5.42578125" style="63" customWidth="1"/>
    <col min="32" max="32" width="5.28515625" style="63" customWidth="1"/>
    <col min="33" max="34" width="7.28515625" style="64" customWidth="1"/>
    <col min="35" max="35" width="6.42578125" style="64" customWidth="1"/>
    <col min="36" max="36" width="7" style="64" customWidth="1"/>
    <col min="37" max="38" width="6.5703125" style="64" customWidth="1"/>
    <col min="39" max="39" width="9" style="64" customWidth="1"/>
    <col min="40" max="40" width="6.28515625" style="64" customWidth="1"/>
    <col min="41" max="43" width="5.28515625" style="64" customWidth="1"/>
    <col min="44" max="44" width="5.28515625" style="493" customWidth="1"/>
    <col min="45" max="49" width="5.28515625" style="64" customWidth="1"/>
    <col min="50" max="16384" width="9.140625" style="63"/>
  </cols>
  <sheetData>
    <row r="1" spans="1:44" ht="27.6" customHeight="1" thickBot="1" x14ac:dyDescent="0.35">
      <c r="A1" s="1303" t="s">
        <v>48</v>
      </c>
      <c r="B1" s="1303"/>
      <c r="C1" s="1303"/>
      <c r="D1" s="61">
        <v>0</v>
      </c>
      <c r="AD1" s="1032"/>
      <c r="AE1" s="1032"/>
      <c r="AF1" s="1032"/>
      <c r="AG1" s="1033"/>
    </row>
    <row r="2" spans="1:44" ht="18" customHeight="1" thickTop="1" thickBot="1" x14ac:dyDescent="0.3">
      <c r="A2" s="1298" t="s">
        <v>19</v>
      </c>
      <c r="B2" s="1299"/>
      <c r="C2" s="1299"/>
      <c r="D2" s="1282" t="s">
        <v>109</v>
      </c>
      <c r="E2" s="1282"/>
      <c r="F2" s="1282"/>
      <c r="G2" s="1282"/>
      <c r="H2" s="1282"/>
      <c r="I2" s="1282"/>
      <c r="J2" s="1282"/>
      <c r="K2" s="1282"/>
      <c r="L2" s="1282"/>
      <c r="M2" s="1282"/>
      <c r="N2" s="1282"/>
      <c r="O2" s="1282"/>
      <c r="P2" s="1282"/>
      <c r="Q2" s="1282"/>
      <c r="R2" s="1304" t="s">
        <v>21</v>
      </c>
      <c r="S2" s="1304"/>
      <c r="T2" s="1304"/>
      <c r="U2" s="1304"/>
      <c r="V2" s="1304"/>
      <c r="W2" s="1304"/>
      <c r="X2" s="1304"/>
      <c r="Y2" s="1304"/>
      <c r="Z2" s="1304"/>
      <c r="AA2" s="1304"/>
      <c r="AB2" s="1304"/>
      <c r="AC2" s="1305"/>
      <c r="AD2" s="1295" t="s">
        <v>14</v>
      </c>
      <c r="AE2" s="1296"/>
      <c r="AF2" s="1296"/>
      <c r="AG2" s="1297"/>
      <c r="AH2" s="1281" t="s">
        <v>101</v>
      </c>
      <c r="AI2" s="1282"/>
      <c r="AJ2" s="1282"/>
      <c r="AK2" s="1282"/>
    </row>
    <row r="3" spans="1:44" s="65" customFormat="1" ht="13.15" customHeight="1" x14ac:dyDescent="0.25">
      <c r="A3" s="57"/>
      <c r="B3" s="58"/>
      <c r="C3" s="58"/>
      <c r="D3" s="1282" t="s">
        <v>103</v>
      </c>
      <c r="E3" s="1282"/>
      <c r="F3" s="1282"/>
      <c r="G3" s="1282"/>
      <c r="H3" s="1282"/>
      <c r="I3" s="1282"/>
      <c r="J3" s="1284" t="s">
        <v>86</v>
      </c>
      <c r="K3" s="1285"/>
      <c r="L3" s="1285"/>
      <c r="M3" s="1285"/>
      <c r="N3" s="1285"/>
      <c r="O3" s="1285"/>
      <c r="P3" s="1285"/>
      <c r="Q3" s="1286"/>
      <c r="R3" s="1283" t="s">
        <v>17</v>
      </c>
      <c r="S3" s="1283"/>
      <c r="T3" s="1283"/>
      <c r="U3" s="1283"/>
      <c r="V3" s="1283"/>
      <c r="W3" s="1283"/>
      <c r="X3" s="1283" t="s">
        <v>18</v>
      </c>
      <c r="Y3" s="1283"/>
      <c r="Z3" s="1283"/>
      <c r="AA3" s="1283"/>
      <c r="AB3" s="1283"/>
      <c r="AC3" s="1288"/>
      <c r="AD3" s="1041" t="s">
        <v>110</v>
      </c>
      <c r="AE3" s="1028">
        <f>IF('Recreation Worksheet'!A10="Minutes of Moderate Activity/week",'Recreation Worksheet'!B9,0)</f>
        <v>3.8</v>
      </c>
      <c r="AF3" s="1029" t="s">
        <v>110</v>
      </c>
      <c r="AG3" s="1035">
        <f>IF('Recreation Worksheet'!A10="minutes of vigorous activity/week",'Recreation Worksheet'!B9,0)</f>
        <v>0</v>
      </c>
      <c r="AH3" s="1024"/>
      <c r="AI3" s="44"/>
      <c r="AJ3" s="44"/>
      <c r="AK3" s="44"/>
      <c r="AR3" s="494"/>
    </row>
    <row r="4" spans="1:44" ht="37.5" customHeight="1" x14ac:dyDescent="0.25">
      <c r="A4" s="1300" t="s">
        <v>16</v>
      </c>
      <c r="B4" s="1301"/>
      <c r="C4" s="1301"/>
      <c r="D4" s="1287" t="s">
        <v>91</v>
      </c>
      <c r="E4" s="1287"/>
      <c r="F4" s="1287" t="s">
        <v>104</v>
      </c>
      <c r="G4" s="1287"/>
      <c r="H4" s="1287" t="s">
        <v>84</v>
      </c>
      <c r="I4" s="1287"/>
      <c r="J4" s="1287" t="s">
        <v>92</v>
      </c>
      <c r="K4" s="1287"/>
      <c r="L4" s="1287" t="s">
        <v>104</v>
      </c>
      <c r="M4" s="1287"/>
      <c r="N4" s="1287" t="s">
        <v>102</v>
      </c>
      <c r="O4" s="1287"/>
      <c r="P4" s="1287" t="s">
        <v>105</v>
      </c>
      <c r="Q4" s="1287"/>
      <c r="R4" s="1289" t="s">
        <v>106</v>
      </c>
      <c r="S4" s="1289"/>
      <c r="T4" s="1289" t="s">
        <v>104</v>
      </c>
      <c r="U4" s="1289"/>
      <c r="V4" s="1289" t="s">
        <v>102</v>
      </c>
      <c r="W4" s="1289" t="s">
        <v>10</v>
      </c>
      <c r="X4" s="1289" t="s">
        <v>107</v>
      </c>
      <c r="Y4" s="1289"/>
      <c r="Z4" s="1289" t="s">
        <v>108</v>
      </c>
      <c r="AA4" s="1289"/>
      <c r="AB4" s="1289" t="s">
        <v>102</v>
      </c>
      <c r="AC4" s="1290"/>
      <c r="AD4" s="1291" t="str">
        <f>IF('Recreation Worksheet'!A10="Minutes of Moderate Activity/week",'Recreation Worksheet'!B8,"Moderate Activities")</f>
        <v>Horseback riding</v>
      </c>
      <c r="AE4" s="1292"/>
      <c r="AF4" s="1292" t="str">
        <f>IF('Recreation Worksheet'!A10="minutes of vigorous activity/week",'Recreation Worksheet'!B8,"Vigorous Activities")</f>
        <v>Vigorous Activities</v>
      </c>
      <c r="AG4" s="1293"/>
      <c r="AH4" s="1294" t="s">
        <v>103</v>
      </c>
      <c r="AI4" s="1287"/>
      <c r="AJ4" s="1287" t="s">
        <v>86</v>
      </c>
      <c r="AK4" s="1287"/>
    </row>
    <row r="5" spans="1:44" ht="13.15" customHeight="1" x14ac:dyDescent="0.25">
      <c r="A5" s="42"/>
      <c r="B5" s="59" t="s">
        <v>26</v>
      </c>
      <c r="C5" s="59" t="s">
        <v>27</v>
      </c>
      <c r="D5" s="56" t="s">
        <v>26</v>
      </c>
      <c r="E5" s="56" t="s">
        <v>27</v>
      </c>
      <c r="F5" s="487" t="s">
        <v>26</v>
      </c>
      <c r="G5" s="56" t="s">
        <v>27</v>
      </c>
      <c r="H5" s="56" t="s">
        <v>26</v>
      </c>
      <c r="I5" s="56" t="s">
        <v>27</v>
      </c>
      <c r="J5" s="56" t="s">
        <v>26</v>
      </c>
      <c r="K5" s="56" t="s">
        <v>27</v>
      </c>
      <c r="L5" s="56" t="s">
        <v>26</v>
      </c>
      <c r="M5" s="56" t="s">
        <v>27</v>
      </c>
      <c r="N5" s="56" t="s">
        <v>26</v>
      </c>
      <c r="O5" s="56" t="s">
        <v>27</v>
      </c>
      <c r="P5" s="56" t="s">
        <v>26</v>
      </c>
      <c r="Q5" s="56" t="s">
        <v>27</v>
      </c>
      <c r="R5" s="56" t="s">
        <v>26</v>
      </c>
      <c r="S5" s="56" t="s">
        <v>27</v>
      </c>
      <c r="T5" s="56" t="s">
        <v>26</v>
      </c>
      <c r="U5" s="56" t="s">
        <v>27</v>
      </c>
      <c r="V5" s="56" t="s">
        <v>26</v>
      </c>
      <c r="W5" s="56" t="s">
        <v>27</v>
      </c>
      <c r="X5" s="56" t="s">
        <v>26</v>
      </c>
      <c r="Y5" s="56" t="s">
        <v>27</v>
      </c>
      <c r="Z5" s="56" t="s">
        <v>26</v>
      </c>
      <c r="AA5" s="56" t="s">
        <v>27</v>
      </c>
      <c r="AB5" s="56" t="s">
        <v>26</v>
      </c>
      <c r="AC5" s="1034" t="s">
        <v>27</v>
      </c>
      <c r="AD5" s="1025" t="s">
        <v>26</v>
      </c>
      <c r="AE5" s="1030" t="s">
        <v>27</v>
      </c>
      <c r="AF5" s="1030" t="s">
        <v>26</v>
      </c>
      <c r="AG5" s="1034" t="s">
        <v>27</v>
      </c>
      <c r="AH5" s="1025" t="s">
        <v>26</v>
      </c>
      <c r="AI5" s="56" t="s">
        <v>27</v>
      </c>
      <c r="AJ5" s="56" t="s">
        <v>26</v>
      </c>
      <c r="AK5" s="56" t="s">
        <v>27</v>
      </c>
    </row>
    <row r="6" spans="1:44" ht="13.15" customHeight="1" x14ac:dyDescent="0.25">
      <c r="A6" s="40" t="s">
        <v>2</v>
      </c>
      <c r="B6" s="37">
        <f>'Calibration Data'!U11</f>
        <v>2.5145067698259187E-2</v>
      </c>
      <c r="C6" s="37">
        <f>'Calibration Data'!U3</f>
        <v>2.4329811212174497E-2</v>
      </c>
      <c r="D6" s="83">
        <f>'user page 2'!C6</f>
        <v>0.31040378099999999</v>
      </c>
      <c r="E6" s="83">
        <f>'user page 2'!D6</f>
        <v>0.31040378000000002</v>
      </c>
      <c r="F6" s="502">
        <f t="shared" ref="F6:G13" si="0">D6*B6</f>
        <v>7.8051240870406187E-3</v>
      </c>
      <c r="G6" s="502">
        <f t="shared" si="0"/>
        <v>7.5520653669453458E-3</v>
      </c>
      <c r="H6" s="45">
        <f t="shared" ref="H6:I13" si="1">F6/($F$14+$G$14)*$C$18/B6</f>
        <v>27.475495171078421</v>
      </c>
      <c r="I6" s="45">
        <f t="shared" si="1"/>
        <v>27.475495082563086</v>
      </c>
      <c r="J6" s="83">
        <f>'user page 2'!C15</f>
        <v>0.183234065</v>
      </c>
      <c r="K6" s="83">
        <f>'user page 2'!D15</f>
        <v>0.13348889999999999</v>
      </c>
      <c r="L6" s="502">
        <f t="shared" ref="L6:M13" si="2">J6*B6</f>
        <v>4.6074329690522246E-3</v>
      </c>
      <c r="M6" s="502">
        <f t="shared" si="2"/>
        <v>3.2477597359208401E-3</v>
      </c>
      <c r="N6" s="45">
        <f t="shared" ref="N6:O13" si="3">L6/($L$14+$M$14)*$C$19/B6</f>
        <v>0</v>
      </c>
      <c r="O6" s="45">
        <f t="shared" si="3"/>
        <v>0</v>
      </c>
      <c r="P6" s="220">
        <f t="shared" ref="P6:Q13" si="4">N6/(H6+N6)</f>
        <v>0</v>
      </c>
      <c r="Q6" s="220">
        <f t="shared" si="4"/>
        <v>0</v>
      </c>
      <c r="R6" s="83">
        <v>1.0662510447145248</v>
      </c>
      <c r="S6" s="83">
        <v>0.87533447251901875</v>
      </c>
      <c r="T6" s="628">
        <f t="shared" ref="T6:U13" si="5">R6*B6</f>
        <v>2.681095470268631E-2</v>
      </c>
      <c r="U6" s="628">
        <f t="shared" si="5"/>
        <v>2.1296722463896071E-2</v>
      </c>
      <c r="V6" s="43">
        <f>T6/($T$14+$U$14)*$V$15/B6</f>
        <v>3.2396800712896674</v>
      </c>
      <c r="W6" s="43">
        <f>U6/($T$14+$U$14)*$V$15/C6</f>
        <v>2.6596022206871255</v>
      </c>
      <c r="X6" s="83">
        <v>0.84739474343725973</v>
      </c>
      <c r="Y6" s="83">
        <v>0.83745444694719129</v>
      </c>
      <c r="Z6" s="43">
        <f t="shared" ref="Z6:AA13" si="6">X6*B6</f>
        <v>2.1307798190878871E-2</v>
      </c>
      <c r="AA6" s="43">
        <f t="shared" si="6"/>
        <v>2.0375108593021166E-2</v>
      </c>
      <c r="AB6" s="43">
        <f>Z6/($Z$14+$AA$14)*$AB$15/B6</f>
        <v>8.5656269600205519</v>
      </c>
      <c r="AC6" s="1042">
        <f>AA6/($Z$14+$AA$14)*$AB$15/C6</f>
        <v>8.4651485557522452</v>
      </c>
      <c r="AD6" s="1039">
        <f>$AE$3</f>
        <v>3.8</v>
      </c>
      <c r="AE6" s="1031">
        <f>$AE$3</f>
        <v>3.8</v>
      </c>
      <c r="AF6" s="1030">
        <f>$AG$3</f>
        <v>0</v>
      </c>
      <c r="AG6" s="1034">
        <f>$AG$3</f>
        <v>0</v>
      </c>
      <c r="AH6" s="1026">
        <f t="shared" ref="AH6:AI13" si="7">R6*H6/60</f>
        <v>0.4882629238368541</v>
      </c>
      <c r="AI6" s="43">
        <f t="shared" si="7"/>
        <v>0.40083746658823755</v>
      </c>
      <c r="AJ6" s="43">
        <f t="shared" ref="AJ6:AK13" si="8">X6*N6/60</f>
        <v>0</v>
      </c>
      <c r="AK6" s="43">
        <f t="shared" si="8"/>
        <v>0</v>
      </c>
    </row>
    <row r="7" spans="1:44" ht="13.15" customHeight="1" x14ac:dyDescent="0.25">
      <c r="A7" s="40" t="s">
        <v>3</v>
      </c>
      <c r="B7" s="37">
        <f>'Calibration Data'!U12</f>
        <v>5.2911744489026011E-2</v>
      </c>
      <c r="C7" s="37">
        <f>'Calibration Data'!U4</f>
        <v>5.1505027414997524E-2</v>
      </c>
      <c r="D7" s="83">
        <f>'user page 2'!C7</f>
        <v>0.67980168600000002</v>
      </c>
      <c r="E7" s="83">
        <f>'user page 2'!D7</f>
        <v>0.72523490000000002</v>
      </c>
      <c r="F7" s="502">
        <f t="shared" si="0"/>
        <v>3.5969493112841089E-2</v>
      </c>
      <c r="G7" s="502">
        <f t="shared" si="0"/>
        <v>3.7353243406812987E-2</v>
      </c>
      <c r="H7" s="45">
        <f t="shared" si="1"/>
        <v>60.1728750880904</v>
      </c>
      <c r="I7" s="45">
        <f t="shared" si="1"/>
        <v>64.194411320162175</v>
      </c>
      <c r="J7" s="83">
        <f>'user page 2'!C16</f>
        <v>0.39532173999999998</v>
      </c>
      <c r="K7" s="83">
        <f>'user page 2'!D16</f>
        <v>0.29649363000000001</v>
      </c>
      <c r="L7" s="502">
        <f t="shared" si="2"/>
        <v>2.0917162897837172E-2</v>
      </c>
      <c r="M7" s="502">
        <f t="shared" si="2"/>
        <v>1.5270912541522132E-2</v>
      </c>
      <c r="N7" s="45">
        <f t="shared" si="3"/>
        <v>0</v>
      </c>
      <c r="O7" s="45">
        <f t="shared" si="3"/>
        <v>0</v>
      </c>
      <c r="P7" s="220">
        <f t="shared" si="4"/>
        <v>0</v>
      </c>
      <c r="Q7" s="220">
        <f t="shared" si="4"/>
        <v>0</v>
      </c>
      <c r="R7" s="83">
        <v>1.0662510447145248</v>
      </c>
      <c r="S7" s="83">
        <v>0.87533447251901875</v>
      </c>
      <c r="T7" s="628">
        <f t="shared" si="5"/>
        <v>5.6417202839091983E-2</v>
      </c>
      <c r="U7" s="628">
        <f t="shared" si="5"/>
        <v>4.508412600438446E-2</v>
      </c>
      <c r="V7" s="43">
        <f t="shared" ref="V7:V13" si="9">T7/($T$14+$U$14)*$V$15/B7</f>
        <v>3.239680071289667</v>
      </c>
      <c r="W7" s="43">
        <f t="shared" ref="W7:W13" si="10">U7/($T$14+$U$14)*$V$15/C7</f>
        <v>2.6596022206871255</v>
      </c>
      <c r="X7" s="83">
        <v>0.89201119875320134</v>
      </c>
      <c r="Y7" s="83">
        <v>0.98171847430893688</v>
      </c>
      <c r="Z7" s="43">
        <f t="shared" si="6"/>
        <v>4.7197868629779184E-2</v>
      </c>
      <c r="AA7" s="43">
        <f t="shared" si="6"/>
        <v>5.0563436933091337E-2</v>
      </c>
      <c r="AB7" s="43">
        <f t="shared" ref="AB7:AB13" si="11">Z7/($Z$14+$AA$14)*$AB$15/B7</f>
        <v>9.0166185616023675</v>
      </c>
      <c r="AC7" s="1042">
        <f t="shared" ref="AC7:AC13" si="12">AA7/($Z$14+$AA$14)*$AB$15/C7</f>
        <v>9.9233967354831361</v>
      </c>
      <c r="AD7" s="1039">
        <f t="shared" ref="AD7:AE13" si="13">$AE$3</f>
        <v>3.8</v>
      </c>
      <c r="AE7" s="1031">
        <f t="shared" si="13"/>
        <v>3.8</v>
      </c>
      <c r="AF7" s="1030">
        <f t="shared" ref="AF7:AG13" si="14">$AG$3</f>
        <v>0</v>
      </c>
      <c r="AG7" s="1034">
        <f t="shared" si="14"/>
        <v>0</v>
      </c>
      <c r="AH7" s="1026">
        <f t="shared" si="7"/>
        <v>1.06932318210255</v>
      </c>
      <c r="AI7" s="43">
        <f t="shared" si="7"/>
        <v>0.93652635286005137</v>
      </c>
      <c r="AJ7" s="43">
        <f t="shared" si="8"/>
        <v>0</v>
      </c>
      <c r="AK7" s="43">
        <f t="shared" si="8"/>
        <v>0</v>
      </c>
    </row>
    <row r="8" spans="1:44" ht="13.15" customHeight="1" x14ac:dyDescent="0.25">
      <c r="A8" s="40" t="s">
        <v>4</v>
      </c>
      <c r="B8" s="37">
        <f>'Calibration Data'!U13</f>
        <v>8.0518567066835051E-2</v>
      </c>
      <c r="C8" s="37">
        <f>'Calibration Data'!U5</f>
        <v>7.8600316511341653E-2</v>
      </c>
      <c r="D8" s="83">
        <f>'user page 2'!C8</f>
        <v>0.770005461</v>
      </c>
      <c r="E8" s="83">
        <f>'user page 2'!D8</f>
        <v>1</v>
      </c>
      <c r="F8" s="502">
        <f t="shared" si="0"/>
        <v>6.1999736353357739E-2</v>
      </c>
      <c r="G8" s="502">
        <f t="shared" si="0"/>
        <v>7.8600316511341653E-2</v>
      </c>
      <c r="H8" s="45">
        <f t="shared" si="1"/>
        <v>68.157292598860167</v>
      </c>
      <c r="I8" s="45">
        <f t="shared" si="1"/>
        <v>88.515336644943829</v>
      </c>
      <c r="J8" s="83">
        <f>'user page 2'!C17</f>
        <v>1.2510284089999999</v>
      </c>
      <c r="K8" s="83">
        <f>'user page 2'!D17</f>
        <v>1</v>
      </c>
      <c r="L8" s="502">
        <f t="shared" si="2"/>
        <v>0.10073101485258244</v>
      </c>
      <c r="M8" s="502">
        <f t="shared" si="2"/>
        <v>7.8600316511341653E-2</v>
      </c>
      <c r="N8" s="45">
        <f t="shared" si="3"/>
        <v>0</v>
      </c>
      <c r="O8" s="45">
        <f t="shared" si="3"/>
        <v>0</v>
      </c>
      <c r="P8" s="220">
        <f t="shared" si="4"/>
        <v>0</v>
      </c>
      <c r="Q8" s="220">
        <f t="shared" si="4"/>
        <v>0</v>
      </c>
      <c r="R8" s="83">
        <v>1.0206231846929574</v>
      </c>
      <c r="S8" s="83">
        <v>1.0002107209990982</v>
      </c>
      <c r="T8" s="628">
        <f t="shared" si="5"/>
        <v>8.2179116346666664E-2</v>
      </c>
      <c r="U8" s="628">
        <f t="shared" si="5"/>
        <v>7.8616879248566363E-2</v>
      </c>
      <c r="V8" s="43">
        <f t="shared" si="9"/>
        <v>3.1010451132840284</v>
      </c>
      <c r="W8" s="43">
        <f t="shared" si="10"/>
        <v>3.0390242110183481</v>
      </c>
      <c r="X8" s="83">
        <v>1.0720996859255612</v>
      </c>
      <c r="Y8" s="83">
        <v>0.95696550895019128</v>
      </c>
      <c r="Z8" s="43">
        <f t="shared" si="6"/>
        <v>8.6323930463530082E-2</v>
      </c>
      <c r="AA8" s="43">
        <f t="shared" si="6"/>
        <v>7.5217791893922192E-2</v>
      </c>
      <c r="AB8" s="43">
        <f t="shared" si="11"/>
        <v>10.836987183026428</v>
      </c>
      <c r="AC8" s="1042">
        <f t="shared" si="12"/>
        <v>9.67318906183473</v>
      </c>
      <c r="AD8" s="1039">
        <f t="shared" si="13"/>
        <v>3.8</v>
      </c>
      <c r="AE8" s="1031">
        <f t="shared" si="13"/>
        <v>3.8</v>
      </c>
      <c r="AF8" s="1030">
        <f t="shared" si="14"/>
        <v>0</v>
      </c>
      <c r="AG8" s="1034">
        <f t="shared" si="14"/>
        <v>0</v>
      </c>
      <c r="AH8" s="1026">
        <f t="shared" si="7"/>
        <v>1.1593818838716399</v>
      </c>
      <c r="AI8" s="43">
        <f t="shared" si="7"/>
        <v>1.4755664780852862</v>
      </c>
      <c r="AJ8" s="43">
        <f t="shared" si="8"/>
        <v>0</v>
      </c>
      <c r="AK8" s="43">
        <f t="shared" si="8"/>
        <v>0</v>
      </c>
    </row>
    <row r="9" spans="1:44" ht="13.15" customHeight="1" x14ac:dyDescent="0.25">
      <c r="A9" s="40" t="s">
        <v>5</v>
      </c>
      <c r="B9" s="37">
        <f>'Calibration Data'!U14</f>
        <v>7.800885592339786E-2</v>
      </c>
      <c r="C9" s="37">
        <f>'Calibration Data'!U6</f>
        <v>7.578688236328468E-2</v>
      </c>
      <c r="D9" s="83">
        <f>'user page 2'!C9</f>
        <v>0.44666535499999999</v>
      </c>
      <c r="E9" s="83">
        <f>'user page 2'!D9</f>
        <v>0.60232887999999996</v>
      </c>
      <c r="F9" s="502">
        <f t="shared" si="0"/>
        <v>3.484385332416836E-2</v>
      </c>
      <c r="G9" s="502">
        <f t="shared" si="0"/>
        <v>4.5648627972569009E-2</v>
      </c>
      <c r="H9" s="45">
        <f t="shared" si="1"/>
        <v>39.53673426545835</v>
      </c>
      <c r="I9" s="45">
        <f t="shared" si="1"/>
        <v>53.31534358417197</v>
      </c>
      <c r="J9" s="83">
        <f>'user page 2'!C18</f>
        <v>2.5115441650000001</v>
      </c>
      <c r="K9" s="83">
        <f>'user page 2'!D18</f>
        <v>0.904362</v>
      </c>
      <c r="L9" s="502">
        <f t="shared" si="2"/>
        <v>0.19592268691273559</v>
      </c>
      <c r="M9" s="502">
        <f t="shared" si="2"/>
        <v>6.8538776507824861E-2</v>
      </c>
      <c r="N9" s="45">
        <f t="shared" si="3"/>
        <v>0</v>
      </c>
      <c r="O9" s="45">
        <f t="shared" si="3"/>
        <v>0</v>
      </c>
      <c r="P9" s="220">
        <f t="shared" si="4"/>
        <v>0</v>
      </c>
      <c r="Q9" s="220">
        <f t="shared" si="4"/>
        <v>0</v>
      </c>
      <c r="R9" s="83">
        <v>1.0590466457637511</v>
      </c>
      <c r="S9" s="83">
        <v>1.0338312494360427</v>
      </c>
      <c r="T9" s="628">
        <f t="shared" si="5"/>
        <v>8.2615017205542235E-2</v>
      </c>
      <c r="U9" s="628">
        <f t="shared" si="5"/>
        <v>7.8350847284496983E-2</v>
      </c>
      <c r="V9" s="43">
        <f t="shared" si="9"/>
        <v>3.2177903410782509</v>
      </c>
      <c r="W9" s="43">
        <f t="shared" si="10"/>
        <v>3.1411762853382919</v>
      </c>
      <c r="X9" s="83">
        <v>1.0734872746194433</v>
      </c>
      <c r="Y9" s="83">
        <v>0.98047195259287001</v>
      </c>
      <c r="Z9" s="43">
        <f t="shared" si="6"/>
        <v>8.3741514141389181E-2</v>
      </c>
      <c r="AA9" s="43">
        <f t="shared" si="6"/>
        <v>7.4306912531655875E-2</v>
      </c>
      <c r="AB9" s="43">
        <f t="shared" si="11"/>
        <v>10.851013193003226</v>
      </c>
      <c r="AC9" s="1042">
        <f t="shared" si="12"/>
        <v>9.9107966573022352</v>
      </c>
      <c r="AD9" s="1039">
        <f t="shared" si="13"/>
        <v>3.8</v>
      </c>
      <c r="AE9" s="1031">
        <f t="shared" si="13"/>
        <v>3.8</v>
      </c>
      <c r="AF9" s="1030">
        <f t="shared" si="14"/>
        <v>0</v>
      </c>
      <c r="AG9" s="1034">
        <f t="shared" si="14"/>
        <v>0</v>
      </c>
      <c r="AH9" s="1026">
        <f t="shared" si="7"/>
        <v>0.69785409680477373</v>
      </c>
      <c r="AI9" s="43">
        <f t="shared" si="7"/>
        <v>0.91865113786227348</v>
      </c>
      <c r="AJ9" s="43">
        <f t="shared" si="8"/>
        <v>0</v>
      </c>
      <c r="AK9" s="43">
        <f t="shared" si="8"/>
        <v>0</v>
      </c>
    </row>
    <row r="10" spans="1:44" ht="13.15" customHeight="1" x14ac:dyDescent="0.25">
      <c r="A10" s="40" t="s">
        <v>6</v>
      </c>
      <c r="B10" s="37">
        <f>'Calibration Data'!U15</f>
        <v>0.10460859695957286</v>
      </c>
      <c r="C10" s="37">
        <f>'Calibration Data'!U7</f>
        <v>0.11189794907044776</v>
      </c>
      <c r="D10" s="83">
        <f>'user page 2'!C10</f>
        <v>0.44889716099999999</v>
      </c>
      <c r="E10" s="83">
        <f>'user page 2'!D10</f>
        <v>0.50844272000000001</v>
      </c>
      <c r="F10" s="502">
        <f t="shared" si="0"/>
        <v>4.6958502191345487E-2</v>
      </c>
      <c r="G10" s="502">
        <f t="shared" si="0"/>
        <v>5.6893697587799927E-2</v>
      </c>
      <c r="H10" s="45">
        <f t="shared" si="1"/>
        <v>39.734283324874546</v>
      </c>
      <c r="I10" s="45">
        <f t="shared" si="1"/>
        <v>45.004978525470911</v>
      </c>
      <c r="J10" s="83">
        <f>'user page 2'!C19</f>
        <v>2.3363895970000002</v>
      </c>
      <c r="K10" s="83">
        <f>'user page 2'!D19</f>
        <v>0.98345799</v>
      </c>
      <c r="L10" s="502">
        <f t="shared" si="2"/>
        <v>0.24440643769311188</v>
      </c>
      <c r="M10" s="502">
        <f t="shared" si="2"/>
        <v>0.11004693207794491</v>
      </c>
      <c r="N10" s="45">
        <f t="shared" si="3"/>
        <v>0</v>
      </c>
      <c r="O10" s="45">
        <f t="shared" si="3"/>
        <v>0</v>
      </c>
      <c r="P10" s="220">
        <f t="shared" si="4"/>
        <v>0</v>
      </c>
      <c r="Q10" s="220">
        <f t="shared" si="4"/>
        <v>0</v>
      </c>
      <c r="R10" s="83">
        <v>1.039234548649123</v>
      </c>
      <c r="S10" s="83">
        <v>0.94737846202675691</v>
      </c>
      <c r="T10" s="628">
        <f t="shared" si="5"/>
        <v>0.10871286804609973</v>
      </c>
      <c r="U10" s="628">
        <f t="shared" si="5"/>
        <v>0.10600970689430916</v>
      </c>
      <c r="V10" s="43">
        <f t="shared" si="9"/>
        <v>3.1575935829968547</v>
      </c>
      <c r="W10" s="43">
        <f t="shared" si="10"/>
        <v>2.8784995228012922</v>
      </c>
      <c r="X10" s="83">
        <v>1.156495199006248</v>
      </c>
      <c r="Y10" s="83">
        <v>0.96279225292112047</v>
      </c>
      <c r="Z10" s="43">
        <f t="shared" si="6"/>
        <v>0.1209793401585256</v>
      </c>
      <c r="AA10" s="43">
        <f t="shared" si="6"/>
        <v>0.10773447848278919</v>
      </c>
      <c r="AB10" s="43">
        <f t="shared" si="11"/>
        <v>11.690073053274363</v>
      </c>
      <c r="AC10" s="1042">
        <f t="shared" si="12"/>
        <v>9.7320868962065603</v>
      </c>
      <c r="AD10" s="1039">
        <f t="shared" si="13"/>
        <v>3.8</v>
      </c>
      <c r="AE10" s="1031">
        <f t="shared" si="13"/>
        <v>3.8</v>
      </c>
      <c r="AF10" s="1030">
        <f t="shared" si="14"/>
        <v>0</v>
      </c>
      <c r="AG10" s="1034">
        <f t="shared" si="14"/>
        <v>0</v>
      </c>
      <c r="AH10" s="1026">
        <f t="shared" si="7"/>
        <v>0.68822066661703962</v>
      </c>
      <c r="AI10" s="43">
        <f t="shared" si="7"/>
        <v>0.71061245565013087</v>
      </c>
      <c r="AJ10" s="43">
        <f t="shared" si="8"/>
        <v>0</v>
      </c>
      <c r="AK10" s="43">
        <f t="shared" si="8"/>
        <v>0</v>
      </c>
    </row>
    <row r="11" spans="1:44" ht="13.15" customHeight="1" x14ac:dyDescent="0.25">
      <c r="A11" s="40" t="s">
        <v>7</v>
      </c>
      <c r="B11" s="37">
        <f>'Calibration Data'!U16</f>
        <v>7.6873891011397605E-2</v>
      </c>
      <c r="C11" s="37">
        <f>'Calibration Data'!U8</f>
        <v>8.1365794395511296E-2</v>
      </c>
      <c r="D11" s="83">
        <f>'user page 2'!C11</f>
        <v>0.40697791900000002</v>
      </c>
      <c r="E11" s="83">
        <f>'user page 2'!D11</f>
        <v>0.33441913000000001</v>
      </c>
      <c r="F11" s="502">
        <f t="shared" si="0"/>
        <v>3.1285976189251406E-2</v>
      </c>
      <c r="G11" s="502">
        <f t="shared" si="0"/>
        <v>2.7210278173505763E-2</v>
      </c>
      <c r="H11" s="45">
        <f t="shared" si="1"/>
        <v>36.023787507343691</v>
      </c>
      <c r="I11" s="45">
        <f t="shared" si="1"/>
        <v>29.601221872459234</v>
      </c>
      <c r="J11" s="83">
        <f>'user page 2'!C20</f>
        <v>1.116587228</v>
      </c>
      <c r="K11" s="83">
        <f>'user page 2'!D20</f>
        <v>0.24048923999999999</v>
      </c>
      <c r="L11" s="502">
        <f t="shared" si="2"/>
        <v>8.5836404869990571E-2</v>
      </c>
      <c r="M11" s="502">
        <f t="shared" si="2"/>
        <v>1.956759805617277E-2</v>
      </c>
      <c r="N11" s="45">
        <f t="shared" si="3"/>
        <v>0</v>
      </c>
      <c r="O11" s="45">
        <f t="shared" si="3"/>
        <v>0</v>
      </c>
      <c r="P11" s="220">
        <f t="shared" si="4"/>
        <v>0</v>
      </c>
      <c r="Q11" s="220">
        <f t="shared" si="4"/>
        <v>0</v>
      </c>
      <c r="R11" s="83">
        <v>1.0302290499606557</v>
      </c>
      <c r="S11" s="83">
        <v>0.93296966412520921</v>
      </c>
      <c r="T11" s="628">
        <f t="shared" si="5"/>
        <v>7.9197715703451146E-2</v>
      </c>
      <c r="U11" s="628">
        <f t="shared" si="5"/>
        <v>7.5911817868461004E-2</v>
      </c>
      <c r="V11" s="43">
        <f t="shared" si="9"/>
        <v>3.1302314202325836</v>
      </c>
      <c r="W11" s="43">
        <f t="shared" si="10"/>
        <v>2.8347200623784583</v>
      </c>
      <c r="X11" s="83">
        <v>1.0630716656428001</v>
      </c>
      <c r="Y11" s="83">
        <v>0.92915629547235501</v>
      </c>
      <c r="Z11" s="43">
        <f t="shared" si="6"/>
        <v>8.1722455361929527E-2</v>
      </c>
      <c r="AA11" s="43">
        <f t="shared" si="6"/>
        <v>7.5601540098698586E-2</v>
      </c>
      <c r="AB11" s="43">
        <f t="shared" si="11"/>
        <v>10.74573023987387</v>
      </c>
      <c r="AC11" s="1042">
        <f t="shared" si="12"/>
        <v>9.3920882519140712</v>
      </c>
      <c r="AD11" s="1039">
        <f t="shared" si="13"/>
        <v>3.8</v>
      </c>
      <c r="AE11" s="1031">
        <f t="shared" si="13"/>
        <v>3.8</v>
      </c>
      <c r="AF11" s="1030">
        <f t="shared" si="14"/>
        <v>0</v>
      </c>
      <c r="AG11" s="1034">
        <f t="shared" si="14"/>
        <v>0</v>
      </c>
      <c r="AH11" s="1026">
        <f t="shared" si="7"/>
        <v>0.61854587299458719</v>
      </c>
      <c r="AI11" s="43">
        <f t="shared" si="7"/>
        <v>0.46028403380073485</v>
      </c>
      <c r="AJ11" s="43">
        <f t="shared" si="8"/>
        <v>0</v>
      </c>
      <c r="AK11" s="43">
        <f t="shared" si="8"/>
        <v>0</v>
      </c>
    </row>
    <row r="12" spans="1:44" ht="13.15" customHeight="1" x14ac:dyDescent="0.25">
      <c r="A12" s="40" t="s">
        <v>8</v>
      </c>
      <c r="B12" s="37">
        <f>'Calibration Data'!U17</f>
        <v>4.9634733123391464E-2</v>
      </c>
      <c r="C12" s="37">
        <f>'Calibration Data'!U9</f>
        <v>5.2432181850152658E-2</v>
      </c>
      <c r="D12" s="83">
        <f>'user page 2'!C12</f>
        <v>0.38651410600000002</v>
      </c>
      <c r="E12" s="83">
        <f>'user page 2'!D12</f>
        <v>0.30371119000000002</v>
      </c>
      <c r="F12" s="502">
        <f t="shared" si="0"/>
        <v>1.918452449973624E-2</v>
      </c>
      <c r="G12" s="502">
        <f t="shared" si="0"/>
        <v>1.5924240344006267E-2</v>
      </c>
      <c r="H12" s="45">
        <f t="shared" si="1"/>
        <v>34.212426210609507</v>
      </c>
      <c r="I12" s="45">
        <f t="shared" si="1"/>
        <v>26.883098225686499</v>
      </c>
      <c r="J12" s="83">
        <f>'user page 2'!C21</f>
        <v>0.27123740200000002</v>
      </c>
      <c r="K12" s="83">
        <f>'user page 2'!D21</f>
        <v>4.9200340000000002E-2</v>
      </c>
      <c r="L12" s="502">
        <f t="shared" si="2"/>
        <v>1.3462796061352048E-2</v>
      </c>
      <c r="M12" s="502">
        <f t="shared" si="2"/>
        <v>2.5796811739693401E-3</v>
      </c>
      <c r="N12" s="45">
        <f t="shared" si="3"/>
        <v>0</v>
      </c>
      <c r="O12" s="45">
        <f t="shared" si="3"/>
        <v>0</v>
      </c>
      <c r="P12" s="220">
        <f t="shared" si="4"/>
        <v>0</v>
      </c>
      <c r="Q12" s="220">
        <f t="shared" si="4"/>
        <v>0</v>
      </c>
      <c r="R12" s="83">
        <v>0.95098066150214378</v>
      </c>
      <c r="S12" s="83">
        <v>0.89694766937134018</v>
      </c>
      <c r="T12" s="628">
        <f t="shared" si="5"/>
        <v>4.7201671339165183E-2</v>
      </c>
      <c r="U12" s="628">
        <f t="shared" si="5"/>
        <v>4.7028923310548712E-2</v>
      </c>
      <c r="V12" s="43">
        <f t="shared" si="9"/>
        <v>2.889444387907</v>
      </c>
      <c r="W12" s="43">
        <f t="shared" si="10"/>
        <v>2.7252714113213754</v>
      </c>
      <c r="X12" s="83">
        <v>1.0293386595342919</v>
      </c>
      <c r="Y12" s="83">
        <v>0.84850875826748196</v>
      </c>
      <c r="Z12" s="43">
        <f t="shared" si="6"/>
        <v>5.1090949659574086E-2</v>
      </c>
      <c r="AA12" s="43">
        <f t="shared" si="6"/>
        <v>4.4489165514927834E-2</v>
      </c>
      <c r="AB12" s="43">
        <f t="shared" si="11"/>
        <v>10.404750609302244</v>
      </c>
      <c r="AC12" s="1042">
        <f t="shared" si="12"/>
        <v>8.5768876334404833</v>
      </c>
      <c r="AD12" s="1039">
        <f t="shared" si="13"/>
        <v>3.8</v>
      </c>
      <c r="AE12" s="1031">
        <f t="shared" si="13"/>
        <v>3.8</v>
      </c>
      <c r="AF12" s="1030">
        <f t="shared" si="14"/>
        <v>0</v>
      </c>
      <c r="AG12" s="1034">
        <f t="shared" si="14"/>
        <v>0</v>
      </c>
      <c r="AH12" s="1026">
        <f t="shared" si="7"/>
        <v>0.54225592848931181</v>
      </c>
      <c r="AI12" s="43">
        <f t="shared" si="7"/>
        <v>0.40187887165017189</v>
      </c>
      <c r="AJ12" s="43">
        <f t="shared" si="8"/>
        <v>0</v>
      </c>
      <c r="AK12" s="43">
        <f t="shared" si="8"/>
        <v>0</v>
      </c>
    </row>
    <row r="13" spans="1:44" ht="13.15" customHeight="1" thickBot="1" x14ac:dyDescent="0.3">
      <c r="A13" s="41" t="s">
        <v>9</v>
      </c>
      <c r="B13" s="37">
        <f>'Calibration Data'!U18</f>
        <v>2.5224994804738079E-2</v>
      </c>
      <c r="C13" s="37">
        <f>'Calibration Data'!U10</f>
        <v>3.1155586105471811E-2</v>
      </c>
      <c r="D13" s="83">
        <f>'user page 2'!C13</f>
        <v>0.31097055200000001</v>
      </c>
      <c r="E13" s="83">
        <f>'user page 2'!D13</f>
        <v>0.15790307000000001</v>
      </c>
      <c r="F13" s="502">
        <f t="shared" si="0"/>
        <v>7.8442305586265328E-3</v>
      </c>
      <c r="G13" s="502">
        <f t="shared" si="0"/>
        <v>4.9195626937033428E-3</v>
      </c>
      <c r="H13" s="45">
        <f t="shared" si="1"/>
        <v>27.525663096944015</v>
      </c>
      <c r="I13" s="45">
        <f t="shared" si="1"/>
        <v>13.976843398320131</v>
      </c>
      <c r="J13" s="83">
        <f>'user page 2'!C22</f>
        <v>2.6675925999999999E-2</v>
      </c>
      <c r="K13" s="83">
        <f>'user page 2'!D22</f>
        <v>6.7848999999999996E-9</v>
      </c>
      <c r="L13" s="502">
        <f t="shared" si="2"/>
        <v>6.7290009476157742E-4</v>
      </c>
      <c r="M13" s="502">
        <f t="shared" si="2"/>
        <v>2.1138753616701568E-10</v>
      </c>
      <c r="N13" s="45">
        <f t="shared" si="3"/>
        <v>0</v>
      </c>
      <c r="O13" s="45">
        <f t="shared" si="3"/>
        <v>0</v>
      </c>
      <c r="P13" s="220">
        <f t="shared" si="4"/>
        <v>0</v>
      </c>
      <c r="Q13" s="220">
        <f t="shared" si="4"/>
        <v>0</v>
      </c>
      <c r="R13" s="83">
        <v>0.95098066150214378</v>
      </c>
      <c r="S13" s="83">
        <v>0.89694766937134018</v>
      </c>
      <c r="T13" s="628">
        <f t="shared" si="5"/>
        <v>2.3988482245797957E-2</v>
      </c>
      <c r="U13" s="628">
        <f t="shared" si="5"/>
        <v>2.7944930345201052E-2</v>
      </c>
      <c r="V13" s="43">
        <f t="shared" si="9"/>
        <v>2.889444387907</v>
      </c>
      <c r="W13" s="43">
        <f t="shared" si="10"/>
        <v>2.7252714113213758</v>
      </c>
      <c r="X13" s="83">
        <v>0.90228329150939157</v>
      </c>
      <c r="Y13" s="83">
        <v>0.83081180869133686</v>
      </c>
      <c r="Z13" s="43">
        <f t="shared" si="6"/>
        <v>2.2760091340726377E-2</v>
      </c>
      <c r="AA13" s="43">
        <f t="shared" si="6"/>
        <v>2.588442884312572E-2</v>
      </c>
      <c r="AB13" s="43">
        <f t="shared" si="11"/>
        <v>9.1204508255262127</v>
      </c>
      <c r="AC13" s="1042">
        <f t="shared" si="12"/>
        <v>8.3980035070359698</v>
      </c>
      <c r="AD13" s="1040">
        <f t="shared" si="13"/>
        <v>3.8</v>
      </c>
      <c r="AE13" s="1036">
        <f t="shared" si="13"/>
        <v>3.8</v>
      </c>
      <c r="AF13" s="1037">
        <f t="shared" si="14"/>
        <v>0</v>
      </c>
      <c r="AG13" s="1038">
        <f t="shared" si="14"/>
        <v>0</v>
      </c>
      <c r="AH13" s="1026">
        <f t="shared" si="7"/>
        <v>0.43627288833694944</v>
      </c>
      <c r="AI13" s="43">
        <f t="shared" si="7"/>
        <v>0.20894161852152407</v>
      </c>
      <c r="AJ13" s="43">
        <f t="shared" si="8"/>
        <v>0</v>
      </c>
      <c r="AK13" s="43">
        <f t="shared" si="8"/>
        <v>0</v>
      </c>
    </row>
    <row r="14" spans="1:44" ht="13.15" customHeight="1" thickTop="1" x14ac:dyDescent="0.25">
      <c r="B14" s="38">
        <f>SUM(B6:B13)</f>
        <v>0.49292645107661809</v>
      </c>
      <c r="C14" s="38">
        <f>SUM(C6:C13)</f>
        <v>0.50707354892338186</v>
      </c>
      <c r="D14" s="48">
        <f t="shared" ref="D14:O14" si="15">SUM(D6:D13)</f>
        <v>3.7602360210000003</v>
      </c>
      <c r="E14" s="48">
        <f t="shared" si="15"/>
        <v>3.9424436700000003</v>
      </c>
      <c r="F14" s="503">
        <f t="shared" si="15"/>
        <v>0.24589144031636748</v>
      </c>
      <c r="G14" s="503">
        <f t="shared" si="15"/>
        <v>0.27410203205668426</v>
      </c>
      <c r="H14" s="48"/>
      <c r="I14" s="48"/>
      <c r="J14" s="48">
        <f t="shared" si="15"/>
        <v>8.0920185319999991</v>
      </c>
      <c r="K14" s="48">
        <f t="shared" si="15"/>
        <v>3.6074921067849002</v>
      </c>
      <c r="L14" s="48">
        <f t="shared" si="15"/>
        <v>0.66655683635142349</v>
      </c>
      <c r="M14" s="48">
        <f t="shared" si="15"/>
        <v>0.297851976816084</v>
      </c>
      <c r="N14" s="48">
        <f t="shared" si="15"/>
        <v>0</v>
      </c>
      <c r="O14" s="48">
        <f t="shared" si="15"/>
        <v>0</v>
      </c>
      <c r="P14" s="48"/>
      <c r="Q14" s="48"/>
      <c r="R14" s="48"/>
      <c r="S14" s="48"/>
      <c r="T14" s="48">
        <f>SUM(T6:T13)</f>
        <v>0.50712302842850121</v>
      </c>
      <c r="U14" s="48">
        <f>SUM(U6:U13)</f>
        <v>0.48024395341986381</v>
      </c>
      <c r="W14" s="48"/>
      <c r="X14" s="48"/>
      <c r="Y14" s="48"/>
      <c r="Z14" s="48">
        <f>SUM(Z6:Z13)</f>
        <v>0.51512394794633298</v>
      </c>
      <c r="AA14" s="45">
        <f>SUM(AA6:AA13)</f>
        <v>0.47417286289123189</v>
      </c>
      <c r="AC14" s="45"/>
      <c r="AD14" s="1027"/>
      <c r="AE14" s="1027"/>
      <c r="AF14" s="1027"/>
      <c r="AG14" s="1027"/>
      <c r="AH14" s="45"/>
      <c r="AI14" s="45"/>
      <c r="AJ14" s="45"/>
      <c r="AK14" s="45"/>
    </row>
    <row r="15" spans="1:44" ht="13.15" customHeight="1" thickBot="1" x14ac:dyDescent="0.3">
      <c r="B15" s="37"/>
      <c r="C15" s="37"/>
      <c r="D15" s="77"/>
      <c r="E15" s="77"/>
      <c r="F15" s="488"/>
      <c r="G15" s="77"/>
      <c r="H15" s="77"/>
      <c r="I15" s="77"/>
      <c r="J15" s="77"/>
      <c r="K15" s="77"/>
      <c r="L15" s="77"/>
      <c r="M15" s="77"/>
      <c r="N15" s="77"/>
      <c r="O15" s="77"/>
      <c r="P15" s="77"/>
      <c r="Q15" s="77"/>
      <c r="R15" s="77"/>
      <c r="S15" s="77"/>
      <c r="T15" s="77"/>
      <c r="U15" s="77"/>
      <c r="V15" s="333">
        <f>'user page'!C17</f>
        <v>3</v>
      </c>
      <c r="W15" s="77"/>
      <c r="X15" s="77"/>
      <c r="Y15" s="77"/>
      <c r="Z15" s="77"/>
      <c r="AA15" s="77"/>
      <c r="AB15" s="333">
        <f>'user page'!C18</f>
        <v>10</v>
      </c>
      <c r="AC15" s="77"/>
      <c r="AD15" s="77"/>
      <c r="AE15" s="77"/>
      <c r="AF15" s="77"/>
      <c r="AG15" s="77"/>
      <c r="AH15" s="77"/>
      <c r="AI15" s="77"/>
      <c r="AJ15" s="77"/>
      <c r="AK15" s="77"/>
    </row>
    <row r="16" spans="1:44" ht="13.15" customHeight="1" x14ac:dyDescent="0.25">
      <c r="A16" s="1276" t="s">
        <v>22</v>
      </c>
      <c r="B16" s="1277"/>
      <c r="C16" s="51">
        <f>EXP(NORMINV(N17,LN(C17),LN((C17*C20))))</f>
        <v>11813.704525813917</v>
      </c>
      <c r="D16" s="66"/>
      <c r="E16" s="144"/>
      <c r="F16" s="510"/>
      <c r="G16" s="144"/>
      <c r="H16" s="145"/>
      <c r="I16" s="145"/>
      <c r="J16" s="1280" t="s">
        <v>117</v>
      </c>
      <c r="K16" s="1278"/>
      <c r="L16" s="1278"/>
      <c r="M16" s="1278"/>
      <c r="N16" s="1279"/>
      <c r="O16" s="1280" t="s">
        <v>20</v>
      </c>
      <c r="P16" s="1278"/>
      <c r="Q16" s="1278"/>
      <c r="R16" s="1278"/>
      <c r="S16" s="1279"/>
      <c r="T16" s="1280" t="s">
        <v>113</v>
      </c>
      <c r="U16" s="1278"/>
      <c r="V16" s="1278"/>
      <c r="W16" s="1278"/>
      <c r="X16" s="1279"/>
      <c r="Y16" s="1280" t="s">
        <v>114</v>
      </c>
      <c r="Z16" s="1278"/>
      <c r="AA16" s="1278"/>
      <c r="AB16" s="1278"/>
      <c r="AC16" s="1278"/>
      <c r="AD16" s="1280" t="s">
        <v>112</v>
      </c>
      <c r="AE16" s="1278"/>
      <c r="AF16" s="1278"/>
      <c r="AG16" s="1278"/>
      <c r="AH16" s="1279"/>
      <c r="AI16" s="1280" t="s">
        <v>115</v>
      </c>
      <c r="AJ16" s="1278"/>
      <c r="AK16" s="1278"/>
      <c r="AL16" s="1278"/>
      <c r="AM16" s="1279"/>
      <c r="AN16" s="1278" t="s">
        <v>116</v>
      </c>
      <c r="AO16" s="1278"/>
      <c r="AP16" s="1278"/>
      <c r="AQ16" s="1278"/>
      <c r="AR16" s="1279"/>
    </row>
    <row r="17" spans="1:44" ht="13.15" customHeight="1" thickBot="1" x14ac:dyDescent="0.3">
      <c r="A17" s="1276" t="s">
        <v>23</v>
      </c>
      <c r="B17" s="1277"/>
      <c r="C17" s="86">
        <f>C18+C19</f>
        <v>46.027397260273972</v>
      </c>
      <c r="D17" s="67" t="s">
        <v>120</v>
      </c>
      <c r="E17" s="68" t="s">
        <v>68</v>
      </c>
      <c r="F17" s="511" t="s">
        <v>15</v>
      </c>
      <c r="G17" s="69" t="s">
        <v>0</v>
      </c>
      <c r="H17" s="69" t="s">
        <v>87</v>
      </c>
      <c r="I17" s="69" t="s">
        <v>88</v>
      </c>
      <c r="J17" s="207">
        <v>0.1</v>
      </c>
      <c r="K17" s="70">
        <v>0.3</v>
      </c>
      <c r="L17" s="70">
        <v>0.5</v>
      </c>
      <c r="M17" s="70">
        <v>0.7</v>
      </c>
      <c r="N17" s="208">
        <v>0.9</v>
      </c>
      <c r="O17" s="207">
        <v>0.1</v>
      </c>
      <c r="P17" s="70">
        <v>0.3</v>
      </c>
      <c r="Q17" s="70">
        <v>0.5</v>
      </c>
      <c r="R17" s="70">
        <v>0.7</v>
      </c>
      <c r="S17" s="208">
        <v>0.9</v>
      </c>
      <c r="T17" s="207">
        <v>0.1</v>
      </c>
      <c r="U17" s="70">
        <v>0.3</v>
      </c>
      <c r="V17" s="70">
        <v>0.5</v>
      </c>
      <c r="W17" s="70">
        <v>0.7</v>
      </c>
      <c r="X17" s="208">
        <v>0.9</v>
      </c>
      <c r="Y17" s="207">
        <v>0.1</v>
      </c>
      <c r="Z17" s="70">
        <v>0.3</v>
      </c>
      <c r="AA17" s="70">
        <v>0.5</v>
      </c>
      <c r="AB17" s="70">
        <v>0.7</v>
      </c>
      <c r="AC17" s="70">
        <v>0.9</v>
      </c>
      <c r="AD17" s="221">
        <v>0.1</v>
      </c>
      <c r="AE17" s="222">
        <v>0.3</v>
      </c>
      <c r="AF17" s="222">
        <v>0.5</v>
      </c>
      <c r="AG17" s="222">
        <v>0.7</v>
      </c>
      <c r="AH17" s="223">
        <v>0.9</v>
      </c>
      <c r="AI17" s="221">
        <v>0.1</v>
      </c>
      <c r="AJ17" s="222">
        <v>0.3</v>
      </c>
      <c r="AK17" s="222">
        <v>0.5</v>
      </c>
      <c r="AL17" s="222">
        <v>0.7</v>
      </c>
      <c r="AM17" s="223">
        <v>0.9</v>
      </c>
      <c r="AN17" s="70">
        <v>0.1</v>
      </c>
      <c r="AO17" s="70">
        <v>0.3</v>
      </c>
      <c r="AP17" s="70">
        <v>0.5</v>
      </c>
      <c r="AQ17" s="70">
        <v>0.7</v>
      </c>
      <c r="AR17" s="495">
        <v>0.9</v>
      </c>
    </row>
    <row r="18" spans="1:44" ht="13.15" customHeight="1" thickBot="1" x14ac:dyDescent="0.3">
      <c r="A18" s="1276" t="s">
        <v>89</v>
      </c>
      <c r="B18" s="1277"/>
      <c r="C18" s="86">
        <f>'user page'!C7*7</f>
        <v>46.027397260273972</v>
      </c>
      <c r="D18" s="66" t="s">
        <v>74</v>
      </c>
      <c r="E18" s="63"/>
      <c r="F18" s="75">
        <f>C17</f>
        <v>46.027397260273972</v>
      </c>
      <c r="G18" s="75">
        <f>F18*Scenario!$C$20</f>
        <v>68.48146750026271</v>
      </c>
      <c r="H18" s="75">
        <f t="shared" ref="H18:H34" si="16">LN(F18)-(1/2*(LN(1+(G18/F18)^2)))</f>
        <v>3.2455296993630149</v>
      </c>
      <c r="I18" s="75">
        <f t="shared" ref="I18:I34" si="17">SQRT((LN(1+(G18/F18)^2)))</f>
        <v>1.0804694465331666</v>
      </c>
      <c r="J18" s="139">
        <f>NORMINV(O$17,$H18,$I18)</f>
        <v>1.8608523886353272</v>
      </c>
      <c r="K18" s="488">
        <f>NORMINV(P$17,$H18,$I18)</f>
        <v>2.6789309676356492</v>
      </c>
      <c r="L18" s="488">
        <f>NORMINV(Q$17,$H18,$I18)</f>
        <v>3.2455296993630149</v>
      </c>
      <c r="M18" s="488">
        <f>NORMINV(R$17,$H18,$I18)</f>
        <v>3.8121284310903807</v>
      </c>
      <c r="N18" s="78">
        <f>NORMINV(S$17,$H18,$I18)</f>
        <v>4.6302070100907029</v>
      </c>
      <c r="O18" s="139">
        <f t="shared" ref="O18:O34" si="18">EXP(J18)</f>
        <v>6.4292146259482337</v>
      </c>
      <c r="P18" s="77">
        <f t="shared" ref="P18:P34" si="19">EXP(K18)</f>
        <v>14.569509690283903</v>
      </c>
      <c r="Q18" s="77">
        <f t="shared" ref="Q18:Q34" si="20">EXP(L18)</f>
        <v>25.675306652436245</v>
      </c>
      <c r="R18" s="77">
        <f t="shared" ref="R18:R34" si="21">EXP(M18)</f>
        <v>45.246640807429344</v>
      </c>
      <c r="S18" s="78">
        <f t="shared" ref="S18:S34" si="22">EXP(N18)</f>
        <v>102.53528775288159</v>
      </c>
      <c r="T18" s="139">
        <f>O18*(1-($C$19/$C$17))</f>
        <v>6.4292146259482337</v>
      </c>
      <c r="U18" s="77">
        <f>P18*(1-($C$19/$C$17))</f>
        <v>14.569509690283903</v>
      </c>
      <c r="V18" s="77">
        <f>Q18*(1-($C$19/$C$17))</f>
        <v>25.675306652436245</v>
      </c>
      <c r="W18" s="77">
        <f>R18*(1-($C$19/$C$17))</f>
        <v>45.246640807429344</v>
      </c>
      <c r="X18" s="78">
        <f>S18*(1-($C$19/$C$17))</f>
        <v>102.53528775288159</v>
      </c>
      <c r="Y18" s="139">
        <f t="shared" ref="Y18:Y34" si="23">O18-T18</f>
        <v>0</v>
      </c>
      <c r="Z18" s="77">
        <f t="shared" ref="Z18:Z34" si="24">P18-U18</f>
        <v>0</v>
      </c>
      <c r="AA18" s="77">
        <f t="shared" ref="AA18:AA34" si="25">Q18-V18</f>
        <v>0</v>
      </c>
      <c r="AB18" s="77">
        <f t="shared" ref="AB18:AB34" si="26">R18-W18</f>
        <v>0</v>
      </c>
      <c r="AC18" s="77">
        <f t="shared" ref="AC18:AC34" si="27">S18-X18</f>
        <v>0</v>
      </c>
      <c r="AD18" s="138"/>
      <c r="AE18" s="75"/>
      <c r="AF18" s="75"/>
      <c r="AG18" s="75"/>
      <c r="AH18" s="76"/>
      <c r="AI18" s="75"/>
      <c r="AJ18" s="75"/>
      <c r="AK18" s="75"/>
      <c r="AL18" s="75"/>
      <c r="AM18" s="76"/>
      <c r="AN18" s="77"/>
      <c r="AO18" s="77"/>
      <c r="AP18" s="77"/>
      <c r="AQ18" s="77"/>
      <c r="AR18" s="496"/>
    </row>
    <row r="19" spans="1:44" ht="13.15" customHeight="1" x14ac:dyDescent="0.25">
      <c r="A19" s="1276" t="s">
        <v>90</v>
      </c>
      <c r="B19" s="1277"/>
      <c r="C19" s="86">
        <f>'user page'!C8*7</f>
        <v>0</v>
      </c>
      <c r="D19" s="66" t="s">
        <v>118</v>
      </c>
      <c r="E19" s="60" t="s">
        <v>2</v>
      </c>
      <c r="F19" s="488">
        <f>H6+N6</f>
        <v>27.475495171078421</v>
      </c>
      <c r="G19" s="77">
        <f>F19*Scenario!$C$20</f>
        <v>40.879179393352302</v>
      </c>
      <c r="H19" s="77">
        <f t="shared" si="16"/>
        <v>2.7295874102866562</v>
      </c>
      <c r="I19" s="77">
        <f t="shared" si="17"/>
        <v>1.0804694465331666</v>
      </c>
      <c r="J19" s="139">
        <f t="shared" ref="J19:J34" si="28">NORMINV(O$17,$H19,$I19)</f>
        <v>1.3449100995589685</v>
      </c>
      <c r="K19" s="488">
        <f t="shared" ref="K19:K34" si="29">NORMINV(P$17,$H19,$I19)</f>
        <v>2.1629886785592904</v>
      </c>
      <c r="L19" s="488">
        <f t="shared" ref="L19:L34" si="30">NORMINV(Q$17,$H19,$I19)</f>
        <v>2.7295874102866562</v>
      </c>
      <c r="M19" s="488">
        <f t="shared" ref="M19:M34" si="31">NORMINV(R$17,$H19,$I19)</f>
        <v>3.2961861420140219</v>
      </c>
      <c r="N19" s="78">
        <f t="shared" ref="N19:N34" si="32">NORMINV(S$17,$H19,$I19)</f>
        <v>4.1142647210143437</v>
      </c>
      <c r="O19" s="139">
        <f t="shared" si="18"/>
        <v>3.8378415014470018</v>
      </c>
      <c r="P19" s="77">
        <f t="shared" si="19"/>
        <v>8.6970916664426863</v>
      </c>
      <c r="Q19" s="77">
        <f t="shared" si="20"/>
        <v>15.326562133328213</v>
      </c>
      <c r="R19" s="77">
        <f t="shared" si="21"/>
        <v>27.009432099368833</v>
      </c>
      <c r="S19" s="78">
        <f t="shared" si="22"/>
        <v>61.207193350273407</v>
      </c>
      <c r="T19" s="139">
        <f>O19*(1-$P6)</f>
        <v>3.8378415014470018</v>
      </c>
      <c r="U19" s="77">
        <f>P19*(1-$P6)</f>
        <v>8.6970916664426863</v>
      </c>
      <c r="V19" s="77">
        <f>Q19*(1-$P6)</f>
        <v>15.326562133328213</v>
      </c>
      <c r="W19" s="77">
        <f>R19*(1-$P6)</f>
        <v>27.009432099368833</v>
      </c>
      <c r="X19" s="78">
        <f>S19*(1-$P6)</f>
        <v>61.207193350273407</v>
      </c>
      <c r="Y19" s="139">
        <f t="shared" si="23"/>
        <v>0</v>
      </c>
      <c r="Z19" s="77">
        <f t="shared" si="24"/>
        <v>0</v>
      </c>
      <c r="AA19" s="77">
        <f t="shared" si="25"/>
        <v>0</v>
      </c>
      <c r="AB19" s="77">
        <f t="shared" si="26"/>
        <v>0</v>
      </c>
      <c r="AC19" s="77">
        <f t="shared" si="27"/>
        <v>0</v>
      </c>
      <c r="AD19" s="194">
        <f>T19*$AD6/60</f>
        <v>0.24306329509164343</v>
      </c>
      <c r="AE19" s="184">
        <f>U19*$AD6/60</f>
        <v>0.55081580554137011</v>
      </c>
      <c r="AF19" s="184">
        <f>V19*$AD6/60</f>
        <v>0.9706822684441202</v>
      </c>
      <c r="AG19" s="184">
        <f>W19*$AD6/60</f>
        <v>1.7105973662933593</v>
      </c>
      <c r="AH19" s="215">
        <f>X19*$AD6/60</f>
        <v>3.8764555788506487</v>
      </c>
      <c r="AI19" s="184">
        <f>Y19*$AF6/60</f>
        <v>0</v>
      </c>
      <c r="AJ19" s="184">
        <f t="shared" ref="AJ19:AM26" si="33">Z19*$AF6/60</f>
        <v>0</v>
      </c>
      <c r="AK19" s="184">
        <f t="shared" si="33"/>
        <v>0</v>
      </c>
      <c r="AL19" s="184">
        <f t="shared" si="33"/>
        <v>0</v>
      </c>
      <c r="AM19" s="215">
        <f t="shared" si="33"/>
        <v>0</v>
      </c>
      <c r="AN19" s="77">
        <f>AD19+AI19</f>
        <v>0.24306329509164343</v>
      </c>
      <c r="AO19" s="77">
        <f>AE19+AJ19</f>
        <v>0.55081580554137011</v>
      </c>
      <c r="AP19" s="77">
        <f>AF19+AK19</f>
        <v>0.9706822684441202</v>
      </c>
      <c r="AQ19" s="77">
        <f>AG19+AL19</f>
        <v>1.7105973662933593</v>
      </c>
      <c r="AR19" s="496">
        <f>AH19+AM19</f>
        <v>3.8764555788506487</v>
      </c>
    </row>
    <row r="20" spans="1:44" ht="13.15" customHeight="1" thickBot="1" x14ac:dyDescent="0.3">
      <c r="A20" s="1276" t="s">
        <v>28</v>
      </c>
      <c r="B20" s="1277"/>
      <c r="C20" s="90">
        <f>'user page'!C37:D37</f>
        <v>1.6482562797981899</v>
      </c>
      <c r="D20" s="71"/>
      <c r="E20" s="60" t="s">
        <v>3</v>
      </c>
      <c r="F20" s="488">
        <f t="shared" ref="F20:F26" si="34">H7+N7</f>
        <v>60.1728750880904</v>
      </c>
      <c r="G20" s="77">
        <f>F20*Scenario!$C$20</f>
        <v>89.527695134284954</v>
      </c>
      <c r="H20" s="77">
        <f t="shared" si="16"/>
        <v>3.5135145583952379</v>
      </c>
      <c r="I20" s="77">
        <f t="shared" si="17"/>
        <v>1.0804694465331666</v>
      </c>
      <c r="J20" s="139">
        <f t="shared" si="28"/>
        <v>2.1288372476675503</v>
      </c>
      <c r="K20" s="488">
        <f t="shared" si="29"/>
        <v>2.9469158266678721</v>
      </c>
      <c r="L20" s="488">
        <f t="shared" si="30"/>
        <v>3.5135145583952379</v>
      </c>
      <c r="M20" s="488">
        <f t="shared" si="31"/>
        <v>4.0801132901226032</v>
      </c>
      <c r="N20" s="78">
        <f t="shared" si="32"/>
        <v>4.8981918691229254</v>
      </c>
      <c r="O20" s="139">
        <f t="shared" si="18"/>
        <v>8.4050880916442292</v>
      </c>
      <c r="P20" s="77">
        <f t="shared" si="19"/>
        <v>19.04711843102287</v>
      </c>
      <c r="Q20" s="77">
        <f t="shared" si="20"/>
        <v>33.566030495035349</v>
      </c>
      <c r="R20" s="77">
        <f t="shared" si="21"/>
        <v>59.152170826983067</v>
      </c>
      <c r="S20" s="78">
        <f t="shared" si="22"/>
        <v>134.0471855748556</v>
      </c>
      <c r="T20" s="139">
        <f t="shared" ref="T20:T26" si="35">O20*(1-$P7)</f>
        <v>8.4050880916442292</v>
      </c>
      <c r="U20" s="77">
        <f t="shared" ref="U20:U26" si="36">P20*(1-$P7)</f>
        <v>19.04711843102287</v>
      </c>
      <c r="V20" s="77">
        <f t="shared" ref="V20:V26" si="37">Q20*(1-$P7)</f>
        <v>33.566030495035349</v>
      </c>
      <c r="W20" s="77">
        <f t="shared" ref="W20:W26" si="38">R20*(1-$P7)</f>
        <v>59.152170826983067</v>
      </c>
      <c r="X20" s="78">
        <f t="shared" ref="X20:X26" si="39">S20*(1-$P7)</f>
        <v>134.0471855748556</v>
      </c>
      <c r="Y20" s="139">
        <f t="shared" si="23"/>
        <v>0</v>
      </c>
      <c r="Z20" s="77">
        <f t="shared" si="24"/>
        <v>0</v>
      </c>
      <c r="AA20" s="77">
        <f t="shared" si="25"/>
        <v>0</v>
      </c>
      <c r="AB20" s="77">
        <f t="shared" si="26"/>
        <v>0</v>
      </c>
      <c r="AC20" s="77">
        <f t="shared" si="27"/>
        <v>0</v>
      </c>
      <c r="AD20" s="194">
        <f t="shared" ref="AD20:AD26" si="40">T20*$AD7/60</f>
        <v>0.53232224580413445</v>
      </c>
      <c r="AE20" s="184">
        <f t="shared" ref="AE20:AE26" si="41">U20*$AD7/60</f>
        <v>1.2063175006314484</v>
      </c>
      <c r="AF20" s="184">
        <f t="shared" ref="AF20:AF26" si="42">V20*$AD7/60</f>
        <v>2.1258485980189055</v>
      </c>
      <c r="AG20" s="184">
        <f t="shared" ref="AG20:AG26" si="43">W20*$AD7/60</f>
        <v>3.7463041523755942</v>
      </c>
      <c r="AH20" s="215">
        <f t="shared" ref="AH20:AH26" si="44">X20*$AD7/60</f>
        <v>8.4896550864075202</v>
      </c>
      <c r="AI20" s="184">
        <f t="shared" ref="AI20:AI26" si="45">Y20*$AF7/60</f>
        <v>0</v>
      </c>
      <c r="AJ20" s="184">
        <f t="shared" si="33"/>
        <v>0</v>
      </c>
      <c r="AK20" s="184">
        <f t="shared" si="33"/>
        <v>0</v>
      </c>
      <c r="AL20" s="184">
        <f t="shared" si="33"/>
        <v>0</v>
      </c>
      <c r="AM20" s="215">
        <f t="shared" si="33"/>
        <v>0</v>
      </c>
      <c r="AN20" s="77">
        <f t="shared" ref="AN20:AN34" si="46">AD20+AI20</f>
        <v>0.53232224580413445</v>
      </c>
      <c r="AO20" s="77">
        <f t="shared" ref="AO20:AO34" si="47">AE20+AJ20</f>
        <v>1.2063175006314484</v>
      </c>
      <c r="AP20" s="77">
        <f t="shared" ref="AP20:AP34" si="48">AF20+AK20</f>
        <v>2.1258485980189055</v>
      </c>
      <c r="AQ20" s="77">
        <f t="shared" ref="AQ20:AQ34" si="49">AG20+AL20</f>
        <v>3.7463041523755942</v>
      </c>
      <c r="AR20" s="496">
        <f t="shared" ref="AR20:AR34" si="50">AH20+AM20</f>
        <v>8.4896550864075202</v>
      </c>
    </row>
    <row r="21" spans="1:44" ht="13.15" customHeight="1" x14ac:dyDescent="0.25">
      <c r="A21" s="1276"/>
      <c r="B21" s="1277"/>
      <c r="C21" s="52"/>
      <c r="D21" s="71"/>
      <c r="E21" s="60" t="s">
        <v>4</v>
      </c>
      <c r="F21" s="488">
        <f t="shared" si="34"/>
        <v>68.157292598860167</v>
      </c>
      <c r="G21" s="77">
        <f>F21*Scenario!$C$20</f>
        <v>101.40724211758213</v>
      </c>
      <c r="H21" s="77">
        <f t="shared" si="16"/>
        <v>3.6381110480254519</v>
      </c>
      <c r="I21" s="77">
        <f t="shared" si="17"/>
        <v>1.0804694465331666</v>
      </c>
      <c r="J21" s="139">
        <f t="shared" si="28"/>
        <v>2.2534337372977644</v>
      </c>
      <c r="K21" s="488">
        <f t="shared" si="29"/>
        <v>3.0715123162980862</v>
      </c>
      <c r="L21" s="488">
        <f t="shared" si="30"/>
        <v>3.6381110480254519</v>
      </c>
      <c r="M21" s="488">
        <f t="shared" si="31"/>
        <v>4.2047097797528172</v>
      </c>
      <c r="N21" s="78">
        <f t="shared" si="32"/>
        <v>5.0227883587531394</v>
      </c>
      <c r="O21" s="139">
        <f t="shared" si="18"/>
        <v>9.5203702256662623</v>
      </c>
      <c r="P21" s="77">
        <f t="shared" si="19"/>
        <v>21.574505492181675</v>
      </c>
      <c r="Q21" s="77">
        <f t="shared" si="20"/>
        <v>38.019950990927306</v>
      </c>
      <c r="R21" s="77">
        <f t="shared" si="21"/>
        <v>67.001149754109093</v>
      </c>
      <c r="S21" s="78">
        <f t="shared" si="22"/>
        <v>151.83408198302004</v>
      </c>
      <c r="T21" s="139">
        <f t="shared" si="35"/>
        <v>9.5203702256662623</v>
      </c>
      <c r="U21" s="77">
        <f t="shared" si="36"/>
        <v>21.574505492181675</v>
      </c>
      <c r="V21" s="77">
        <f t="shared" si="37"/>
        <v>38.019950990927306</v>
      </c>
      <c r="W21" s="77">
        <f t="shared" si="38"/>
        <v>67.001149754109093</v>
      </c>
      <c r="X21" s="78">
        <f t="shared" si="39"/>
        <v>151.83408198302004</v>
      </c>
      <c r="Y21" s="139">
        <f t="shared" si="23"/>
        <v>0</v>
      </c>
      <c r="Z21" s="77">
        <f t="shared" si="24"/>
        <v>0</v>
      </c>
      <c r="AA21" s="77">
        <f t="shared" si="25"/>
        <v>0</v>
      </c>
      <c r="AB21" s="77">
        <f t="shared" si="26"/>
        <v>0</v>
      </c>
      <c r="AC21" s="77">
        <f t="shared" si="27"/>
        <v>0</v>
      </c>
      <c r="AD21" s="194">
        <f t="shared" si="40"/>
        <v>0.60295678095886318</v>
      </c>
      <c r="AE21" s="184">
        <f t="shared" si="41"/>
        <v>1.3663853478381727</v>
      </c>
      <c r="AF21" s="184">
        <f t="shared" si="42"/>
        <v>2.4079302294253959</v>
      </c>
      <c r="AG21" s="184">
        <f t="shared" si="43"/>
        <v>4.2434061510935761</v>
      </c>
      <c r="AH21" s="215">
        <f t="shared" si="44"/>
        <v>9.6161585255912687</v>
      </c>
      <c r="AI21" s="184">
        <f t="shared" si="45"/>
        <v>0</v>
      </c>
      <c r="AJ21" s="184">
        <f t="shared" si="33"/>
        <v>0</v>
      </c>
      <c r="AK21" s="184">
        <f t="shared" si="33"/>
        <v>0</v>
      </c>
      <c r="AL21" s="184">
        <f t="shared" si="33"/>
        <v>0</v>
      </c>
      <c r="AM21" s="215">
        <f t="shared" si="33"/>
        <v>0</v>
      </c>
      <c r="AN21" s="77">
        <f t="shared" si="46"/>
        <v>0.60295678095886318</v>
      </c>
      <c r="AO21" s="77">
        <f t="shared" si="47"/>
        <v>1.3663853478381727</v>
      </c>
      <c r="AP21" s="77">
        <f t="shared" si="48"/>
        <v>2.4079302294253959</v>
      </c>
      <c r="AQ21" s="77">
        <f t="shared" si="49"/>
        <v>4.2434061510935761</v>
      </c>
      <c r="AR21" s="496">
        <f t="shared" si="50"/>
        <v>9.6161585255912687</v>
      </c>
    </row>
    <row r="22" spans="1:44" ht="13.15" customHeight="1" x14ac:dyDescent="0.25">
      <c r="A22" s="1276"/>
      <c r="B22" s="1277"/>
      <c r="C22" s="36"/>
      <c r="D22" s="71"/>
      <c r="E22" s="60" t="s">
        <v>5</v>
      </c>
      <c r="F22" s="488">
        <f t="shared" si="34"/>
        <v>39.53673426545835</v>
      </c>
      <c r="G22" s="77">
        <f>F22*Scenario!$C$20</f>
        <v>58.824390337694993</v>
      </c>
      <c r="H22" s="77">
        <f t="shared" si="16"/>
        <v>3.0935231087004516</v>
      </c>
      <c r="I22" s="77">
        <f t="shared" si="17"/>
        <v>1.0804694465331666</v>
      </c>
      <c r="J22" s="139">
        <f t="shared" si="28"/>
        <v>1.7088457979727638</v>
      </c>
      <c r="K22" s="488">
        <f t="shared" si="29"/>
        <v>2.5269243769730858</v>
      </c>
      <c r="L22" s="488">
        <f t="shared" si="30"/>
        <v>3.0935231087004516</v>
      </c>
      <c r="M22" s="488">
        <f t="shared" si="31"/>
        <v>3.6601218404278173</v>
      </c>
      <c r="N22" s="78">
        <f t="shared" si="32"/>
        <v>4.4782004194281395</v>
      </c>
      <c r="O22" s="139">
        <f t="shared" si="18"/>
        <v>5.5225836204538963</v>
      </c>
      <c r="P22" s="77">
        <f t="shared" si="19"/>
        <v>12.514955597976961</v>
      </c>
      <c r="Q22" s="77">
        <f t="shared" si="20"/>
        <v>22.054642163693892</v>
      </c>
      <c r="R22" s="77">
        <f t="shared" si="21"/>
        <v>38.866078042435241</v>
      </c>
      <c r="S22" s="78">
        <f t="shared" si="22"/>
        <v>88.076030060837198</v>
      </c>
      <c r="T22" s="139">
        <f t="shared" si="35"/>
        <v>5.5225836204538963</v>
      </c>
      <c r="U22" s="77">
        <f t="shared" si="36"/>
        <v>12.514955597976961</v>
      </c>
      <c r="V22" s="77">
        <f t="shared" si="37"/>
        <v>22.054642163693892</v>
      </c>
      <c r="W22" s="77">
        <f t="shared" si="38"/>
        <v>38.866078042435241</v>
      </c>
      <c r="X22" s="78">
        <f t="shared" si="39"/>
        <v>88.076030060837198</v>
      </c>
      <c r="Y22" s="139">
        <f t="shared" si="23"/>
        <v>0</v>
      </c>
      <c r="Z22" s="77">
        <f t="shared" si="24"/>
        <v>0</v>
      </c>
      <c r="AA22" s="77">
        <f t="shared" si="25"/>
        <v>0</v>
      </c>
      <c r="AB22" s="77">
        <f t="shared" si="26"/>
        <v>0</v>
      </c>
      <c r="AC22" s="77">
        <f t="shared" si="27"/>
        <v>0</v>
      </c>
      <c r="AD22" s="194">
        <f t="shared" si="40"/>
        <v>0.34976362929541344</v>
      </c>
      <c r="AE22" s="184">
        <f t="shared" si="41"/>
        <v>0.79261385453854083</v>
      </c>
      <c r="AF22" s="184">
        <f t="shared" si="42"/>
        <v>1.396794003700613</v>
      </c>
      <c r="AG22" s="184">
        <f t="shared" si="43"/>
        <v>2.4615182760208985</v>
      </c>
      <c r="AH22" s="215">
        <f t="shared" si="44"/>
        <v>5.5781485705196889</v>
      </c>
      <c r="AI22" s="184">
        <f t="shared" si="45"/>
        <v>0</v>
      </c>
      <c r="AJ22" s="184">
        <f t="shared" si="33"/>
        <v>0</v>
      </c>
      <c r="AK22" s="184">
        <f t="shared" si="33"/>
        <v>0</v>
      </c>
      <c r="AL22" s="184">
        <f t="shared" si="33"/>
        <v>0</v>
      </c>
      <c r="AM22" s="215">
        <f t="shared" si="33"/>
        <v>0</v>
      </c>
      <c r="AN22" s="77">
        <f t="shared" si="46"/>
        <v>0.34976362929541344</v>
      </c>
      <c r="AO22" s="77">
        <f t="shared" si="47"/>
        <v>0.79261385453854083</v>
      </c>
      <c r="AP22" s="77">
        <f t="shared" si="48"/>
        <v>1.396794003700613</v>
      </c>
      <c r="AQ22" s="77">
        <f t="shared" si="49"/>
        <v>2.4615182760208985</v>
      </c>
      <c r="AR22" s="496">
        <f t="shared" si="50"/>
        <v>5.5781485705196889</v>
      </c>
    </row>
    <row r="23" spans="1:44" ht="13.15" customHeight="1" x14ac:dyDescent="0.25">
      <c r="A23" s="1276" t="s">
        <v>85</v>
      </c>
      <c r="B23" s="1277"/>
      <c r="C23" s="53">
        <f>C20*C17</f>
        <v>75.864946577012574</v>
      </c>
      <c r="D23" s="71"/>
      <c r="E23" s="60" t="s">
        <v>6</v>
      </c>
      <c r="F23" s="488">
        <f t="shared" si="34"/>
        <v>39.734283324874546</v>
      </c>
      <c r="G23" s="77">
        <f>F23*Scenario!$C$20</f>
        <v>59.118312008208264</v>
      </c>
      <c r="H23" s="77">
        <f t="shared" si="16"/>
        <v>3.0985072624145604</v>
      </c>
      <c r="I23" s="77">
        <f t="shared" si="17"/>
        <v>1.0804694465331666</v>
      </c>
      <c r="J23" s="139">
        <f t="shared" si="28"/>
        <v>1.7138299516868727</v>
      </c>
      <c r="K23" s="488">
        <f t="shared" si="29"/>
        <v>2.5319085306871947</v>
      </c>
      <c r="L23" s="488">
        <f t="shared" si="30"/>
        <v>3.0985072624145604</v>
      </c>
      <c r="M23" s="488">
        <f t="shared" si="31"/>
        <v>3.6651059941419262</v>
      </c>
      <c r="N23" s="78">
        <f t="shared" si="32"/>
        <v>4.4831845731422479</v>
      </c>
      <c r="O23" s="139">
        <f t="shared" si="18"/>
        <v>5.5501777356492203</v>
      </c>
      <c r="P23" s="77">
        <f t="shared" si="19"/>
        <v>12.577487765920226</v>
      </c>
      <c r="Q23" s="77">
        <f t="shared" si="20"/>
        <v>22.16484028440729</v>
      </c>
      <c r="R23" s="77">
        <f t="shared" si="21"/>
        <v>39.060276104139788</v>
      </c>
      <c r="S23" s="78">
        <f t="shared" si="22"/>
        <v>88.516110336026514</v>
      </c>
      <c r="T23" s="139">
        <f t="shared" si="35"/>
        <v>5.5501777356492203</v>
      </c>
      <c r="U23" s="77">
        <f t="shared" si="36"/>
        <v>12.577487765920226</v>
      </c>
      <c r="V23" s="77">
        <f t="shared" si="37"/>
        <v>22.16484028440729</v>
      </c>
      <c r="W23" s="77">
        <f t="shared" si="38"/>
        <v>39.060276104139788</v>
      </c>
      <c r="X23" s="78">
        <f t="shared" si="39"/>
        <v>88.516110336026514</v>
      </c>
      <c r="Y23" s="139">
        <f t="shared" si="23"/>
        <v>0</v>
      </c>
      <c r="Z23" s="77">
        <f t="shared" si="24"/>
        <v>0</v>
      </c>
      <c r="AA23" s="77">
        <f t="shared" si="25"/>
        <v>0</v>
      </c>
      <c r="AB23" s="77">
        <f t="shared" si="26"/>
        <v>0</v>
      </c>
      <c r="AC23" s="77">
        <f t="shared" si="27"/>
        <v>0</v>
      </c>
      <c r="AD23" s="194">
        <f t="shared" si="40"/>
        <v>0.35151125659111732</v>
      </c>
      <c r="AE23" s="184">
        <f t="shared" si="41"/>
        <v>0.79657422517494758</v>
      </c>
      <c r="AF23" s="184">
        <f t="shared" si="42"/>
        <v>1.4037732180124616</v>
      </c>
      <c r="AG23" s="184">
        <f t="shared" si="43"/>
        <v>2.4738174865955198</v>
      </c>
      <c r="AH23" s="215">
        <f t="shared" si="44"/>
        <v>5.6060203212816786</v>
      </c>
      <c r="AI23" s="184">
        <f t="shared" si="45"/>
        <v>0</v>
      </c>
      <c r="AJ23" s="184">
        <f t="shared" si="33"/>
        <v>0</v>
      </c>
      <c r="AK23" s="184">
        <f t="shared" si="33"/>
        <v>0</v>
      </c>
      <c r="AL23" s="184">
        <f t="shared" si="33"/>
        <v>0</v>
      </c>
      <c r="AM23" s="215">
        <f t="shared" si="33"/>
        <v>0</v>
      </c>
      <c r="AN23" s="77">
        <f t="shared" si="46"/>
        <v>0.35151125659111732</v>
      </c>
      <c r="AO23" s="77">
        <f t="shared" si="47"/>
        <v>0.79657422517494758</v>
      </c>
      <c r="AP23" s="77">
        <f t="shared" si="48"/>
        <v>1.4037732180124616</v>
      </c>
      <c r="AQ23" s="77">
        <f t="shared" si="49"/>
        <v>2.4738174865955198</v>
      </c>
      <c r="AR23" s="496">
        <f t="shared" si="50"/>
        <v>5.6060203212816786</v>
      </c>
    </row>
    <row r="24" spans="1:44" ht="13.15" customHeight="1" x14ac:dyDescent="0.25">
      <c r="A24" s="1276" t="s">
        <v>77</v>
      </c>
      <c r="B24" s="1277"/>
      <c r="C24" s="54">
        <f>'Calibration Data'!$S$366</f>
        <v>1.6482562797981899</v>
      </c>
      <c r="D24" s="71"/>
      <c r="E24" s="60" t="s">
        <v>7</v>
      </c>
      <c r="F24" s="488">
        <f t="shared" si="34"/>
        <v>36.023787507343691</v>
      </c>
      <c r="G24" s="77">
        <f>F24*Scenario!$C$20</f>
        <v>53.597682690386449</v>
      </c>
      <c r="H24" s="77">
        <f t="shared" si="16"/>
        <v>3.0004723718946709</v>
      </c>
      <c r="I24" s="77">
        <f t="shared" si="17"/>
        <v>1.0804694465331666</v>
      </c>
      <c r="J24" s="139">
        <f t="shared" si="28"/>
        <v>1.6157950611669831</v>
      </c>
      <c r="K24" s="488">
        <f t="shared" si="29"/>
        <v>2.4338736401673051</v>
      </c>
      <c r="L24" s="488">
        <f t="shared" si="30"/>
        <v>3.0004723718946709</v>
      </c>
      <c r="M24" s="488">
        <f t="shared" si="31"/>
        <v>3.5670711036220366</v>
      </c>
      <c r="N24" s="78">
        <f t="shared" si="32"/>
        <v>4.3851496826223588</v>
      </c>
      <c r="O24" s="139">
        <f t="shared" si="18"/>
        <v>5.0318869914498121</v>
      </c>
      <c r="P24" s="77">
        <f t="shared" si="19"/>
        <v>11.402967632540168</v>
      </c>
      <c r="Q24" s="77">
        <f t="shared" si="20"/>
        <v>20.095027007567662</v>
      </c>
      <c r="R24" s="77">
        <f t="shared" si="21"/>
        <v>35.412720920345137</v>
      </c>
      <c r="S24" s="78">
        <f t="shared" si="22"/>
        <v>80.250234379474009</v>
      </c>
      <c r="T24" s="139">
        <f t="shared" si="35"/>
        <v>5.0318869914498121</v>
      </c>
      <c r="U24" s="77">
        <f t="shared" si="36"/>
        <v>11.402967632540168</v>
      </c>
      <c r="V24" s="77">
        <f t="shared" si="37"/>
        <v>20.095027007567662</v>
      </c>
      <c r="W24" s="77">
        <f t="shared" si="38"/>
        <v>35.412720920345137</v>
      </c>
      <c r="X24" s="78">
        <f t="shared" si="39"/>
        <v>80.250234379474009</v>
      </c>
      <c r="Y24" s="139">
        <f t="shared" si="23"/>
        <v>0</v>
      </c>
      <c r="Z24" s="77">
        <f t="shared" si="24"/>
        <v>0</v>
      </c>
      <c r="AA24" s="77">
        <f t="shared" si="25"/>
        <v>0</v>
      </c>
      <c r="AB24" s="77">
        <f t="shared" si="26"/>
        <v>0</v>
      </c>
      <c r="AC24" s="77">
        <f t="shared" si="27"/>
        <v>0</v>
      </c>
      <c r="AD24" s="194">
        <f t="shared" si="40"/>
        <v>0.31868617612515476</v>
      </c>
      <c r="AE24" s="184">
        <f t="shared" si="41"/>
        <v>0.72218795006087733</v>
      </c>
      <c r="AF24" s="184">
        <f t="shared" si="42"/>
        <v>1.2726850438126185</v>
      </c>
      <c r="AG24" s="184">
        <f t="shared" si="43"/>
        <v>2.2428056582885252</v>
      </c>
      <c r="AH24" s="215">
        <f t="shared" si="44"/>
        <v>5.0825148440333541</v>
      </c>
      <c r="AI24" s="184">
        <f t="shared" si="45"/>
        <v>0</v>
      </c>
      <c r="AJ24" s="184">
        <f t="shared" si="33"/>
        <v>0</v>
      </c>
      <c r="AK24" s="184">
        <f t="shared" si="33"/>
        <v>0</v>
      </c>
      <c r="AL24" s="184">
        <f t="shared" si="33"/>
        <v>0</v>
      </c>
      <c r="AM24" s="184">
        <f t="shared" si="33"/>
        <v>0</v>
      </c>
      <c r="AN24" s="139">
        <f t="shared" si="46"/>
        <v>0.31868617612515476</v>
      </c>
      <c r="AO24" s="77">
        <f t="shared" si="47"/>
        <v>0.72218795006087733</v>
      </c>
      <c r="AP24" s="77">
        <f t="shared" si="48"/>
        <v>1.2726850438126185</v>
      </c>
      <c r="AQ24" s="77">
        <f t="shared" si="49"/>
        <v>2.2428056582885252</v>
      </c>
      <c r="AR24" s="496">
        <f t="shared" si="50"/>
        <v>5.0825148440333541</v>
      </c>
    </row>
    <row r="25" spans="1:44" ht="13.15" customHeight="1" x14ac:dyDescent="0.25">
      <c r="A25" s="1276" t="s">
        <v>454</v>
      </c>
      <c r="B25" s="1277"/>
      <c r="C25" s="54">
        <f>Baseline!C24-(-0.0108*('user page'!C7+'user page'!C8))-1.2682</f>
        <v>0.45106997842832697</v>
      </c>
      <c r="D25" s="71"/>
      <c r="E25" s="60" t="s">
        <v>8</v>
      </c>
      <c r="F25" s="488">
        <f t="shared" si="34"/>
        <v>34.212426210609507</v>
      </c>
      <c r="G25" s="77">
        <f>F25*Scenario!$C$20</f>
        <v>50.902664350068562</v>
      </c>
      <c r="H25" s="77">
        <f t="shared" si="16"/>
        <v>2.9488818051224133</v>
      </c>
      <c r="I25" s="77">
        <f t="shared" si="17"/>
        <v>1.0804694465331666</v>
      </c>
      <c r="J25" s="139">
        <f t="shared" si="28"/>
        <v>1.5642044943947255</v>
      </c>
      <c r="K25" s="488">
        <f t="shared" si="29"/>
        <v>2.3822830733950475</v>
      </c>
      <c r="L25" s="488">
        <f t="shared" si="30"/>
        <v>2.9488818051224133</v>
      </c>
      <c r="M25" s="488">
        <f t="shared" si="31"/>
        <v>3.515480536849779</v>
      </c>
      <c r="N25" s="78">
        <f t="shared" si="32"/>
        <v>4.3335591158501012</v>
      </c>
      <c r="O25" s="139">
        <f t="shared" si="18"/>
        <v>4.7788718040824563</v>
      </c>
      <c r="P25" s="77">
        <f t="shared" si="19"/>
        <v>10.829599431506749</v>
      </c>
      <c r="Q25" s="77">
        <f t="shared" si="20"/>
        <v>19.084601488848513</v>
      </c>
      <c r="R25" s="77">
        <f t="shared" si="21"/>
        <v>33.632085497873653</v>
      </c>
      <c r="S25" s="78">
        <f t="shared" si="22"/>
        <v>76.215062659143584</v>
      </c>
      <c r="T25" s="139">
        <f t="shared" si="35"/>
        <v>4.7788718040824563</v>
      </c>
      <c r="U25" s="77">
        <f t="shared" si="36"/>
        <v>10.829599431506749</v>
      </c>
      <c r="V25" s="77">
        <f t="shared" si="37"/>
        <v>19.084601488848513</v>
      </c>
      <c r="W25" s="77">
        <f t="shared" si="38"/>
        <v>33.632085497873653</v>
      </c>
      <c r="X25" s="78">
        <f t="shared" si="39"/>
        <v>76.215062659143584</v>
      </c>
      <c r="Y25" s="139">
        <f t="shared" si="23"/>
        <v>0</v>
      </c>
      <c r="Z25" s="77">
        <f t="shared" si="24"/>
        <v>0</v>
      </c>
      <c r="AA25" s="77">
        <f t="shared" si="25"/>
        <v>0</v>
      </c>
      <c r="AB25" s="77">
        <f t="shared" si="26"/>
        <v>0</v>
      </c>
      <c r="AC25" s="77">
        <f t="shared" si="27"/>
        <v>0</v>
      </c>
      <c r="AD25" s="194">
        <f t="shared" si="40"/>
        <v>0.30266188092522223</v>
      </c>
      <c r="AE25" s="184">
        <f t="shared" si="41"/>
        <v>0.68587463066209398</v>
      </c>
      <c r="AF25" s="184">
        <f t="shared" si="42"/>
        <v>1.2086914276270724</v>
      </c>
      <c r="AG25" s="184">
        <f t="shared" si="43"/>
        <v>2.130032081531998</v>
      </c>
      <c r="AH25" s="215">
        <f t="shared" si="44"/>
        <v>4.8269539684124263</v>
      </c>
      <c r="AI25" s="184">
        <f t="shared" si="45"/>
        <v>0</v>
      </c>
      <c r="AJ25" s="184">
        <f t="shared" si="33"/>
        <v>0</v>
      </c>
      <c r="AK25" s="184">
        <f t="shared" si="33"/>
        <v>0</v>
      </c>
      <c r="AL25" s="184">
        <f t="shared" si="33"/>
        <v>0</v>
      </c>
      <c r="AM25" s="215">
        <f t="shared" si="33"/>
        <v>0</v>
      </c>
      <c r="AN25" s="77">
        <f t="shared" si="46"/>
        <v>0.30266188092522223</v>
      </c>
      <c r="AO25" s="77">
        <f t="shared" si="47"/>
        <v>0.68587463066209398</v>
      </c>
      <c r="AP25" s="77">
        <f t="shared" si="48"/>
        <v>1.2086914276270724</v>
      </c>
      <c r="AQ25" s="77">
        <f t="shared" si="49"/>
        <v>2.130032081531998</v>
      </c>
      <c r="AR25" s="496">
        <f t="shared" si="50"/>
        <v>4.8269539684124263</v>
      </c>
    </row>
    <row r="26" spans="1:44" ht="13.15" customHeight="1" thickBot="1" x14ac:dyDescent="0.3">
      <c r="D26" s="71"/>
      <c r="E26" s="60" t="s">
        <v>9</v>
      </c>
      <c r="F26" s="79">
        <f t="shared" si="34"/>
        <v>27.525663096944015</v>
      </c>
      <c r="G26" s="77">
        <f>F26*Scenario!$C$20</f>
        <v>40.953821310758428</v>
      </c>
      <c r="H26" s="77">
        <f t="shared" si="16"/>
        <v>2.7314116605882188</v>
      </c>
      <c r="I26" s="77">
        <f t="shared" si="17"/>
        <v>1.0804694465331666</v>
      </c>
      <c r="J26" s="139">
        <f t="shared" si="28"/>
        <v>1.3467343498605311</v>
      </c>
      <c r="K26" s="488">
        <f t="shared" si="29"/>
        <v>2.1648129288608531</v>
      </c>
      <c r="L26" s="488">
        <f t="shared" si="30"/>
        <v>2.7314116605882188</v>
      </c>
      <c r="M26" s="488">
        <f t="shared" si="31"/>
        <v>3.2980103923155846</v>
      </c>
      <c r="N26" s="78">
        <f t="shared" si="32"/>
        <v>4.1160889713159063</v>
      </c>
      <c r="O26" s="139">
        <f t="shared" si="18"/>
        <v>3.8448490748039021</v>
      </c>
      <c r="P26" s="77">
        <f t="shared" si="19"/>
        <v>8.7129718188203462</v>
      </c>
      <c r="Q26" s="77">
        <f t="shared" si="20"/>
        <v>15.354547136986621</v>
      </c>
      <c r="R26" s="77">
        <f t="shared" si="21"/>
        <v>27.058749033560407</v>
      </c>
      <c r="S26" s="78">
        <f t="shared" si="22"/>
        <v>61.318952498536902</v>
      </c>
      <c r="T26" s="139">
        <f t="shared" si="35"/>
        <v>3.8448490748039021</v>
      </c>
      <c r="U26" s="77">
        <f t="shared" si="36"/>
        <v>8.7129718188203462</v>
      </c>
      <c r="V26" s="77">
        <f t="shared" si="37"/>
        <v>15.354547136986621</v>
      </c>
      <c r="W26" s="77">
        <f t="shared" si="38"/>
        <v>27.058749033560407</v>
      </c>
      <c r="X26" s="78">
        <f t="shared" si="39"/>
        <v>61.318952498536902</v>
      </c>
      <c r="Y26" s="139">
        <f t="shared" si="23"/>
        <v>0</v>
      </c>
      <c r="Z26" s="77">
        <f t="shared" si="24"/>
        <v>0</v>
      </c>
      <c r="AA26" s="77">
        <f t="shared" si="25"/>
        <v>0</v>
      </c>
      <c r="AB26" s="77">
        <f t="shared" si="26"/>
        <v>0</v>
      </c>
      <c r="AC26" s="77">
        <f t="shared" si="27"/>
        <v>0</v>
      </c>
      <c r="AD26" s="216">
        <f t="shared" si="40"/>
        <v>0.24350710807091377</v>
      </c>
      <c r="AE26" s="185">
        <f t="shared" si="41"/>
        <v>0.55182154852528853</v>
      </c>
      <c r="AF26" s="185">
        <f t="shared" si="42"/>
        <v>0.97245465200915271</v>
      </c>
      <c r="AG26" s="185">
        <f t="shared" si="43"/>
        <v>1.7137207721254923</v>
      </c>
      <c r="AH26" s="217">
        <f t="shared" si="44"/>
        <v>3.8835336582406703</v>
      </c>
      <c r="AI26" s="184">
        <f t="shared" si="45"/>
        <v>0</v>
      </c>
      <c r="AJ26" s="184">
        <f t="shared" si="33"/>
        <v>0</v>
      </c>
      <c r="AK26" s="184">
        <f t="shared" si="33"/>
        <v>0</v>
      </c>
      <c r="AL26" s="184">
        <f t="shared" si="33"/>
        <v>0</v>
      </c>
      <c r="AM26" s="184">
        <f t="shared" si="33"/>
        <v>0</v>
      </c>
      <c r="AN26" s="140">
        <f t="shared" si="46"/>
        <v>0.24350710807091377</v>
      </c>
      <c r="AO26" s="77">
        <f t="shared" si="47"/>
        <v>0.55182154852528853</v>
      </c>
      <c r="AP26" s="77">
        <f t="shared" si="48"/>
        <v>0.97245465200915271</v>
      </c>
      <c r="AQ26" s="77">
        <f t="shared" si="49"/>
        <v>1.7137207721254923</v>
      </c>
      <c r="AR26" s="496">
        <f t="shared" si="50"/>
        <v>3.8835336582406703</v>
      </c>
    </row>
    <row r="27" spans="1:44" ht="13.15" customHeight="1" x14ac:dyDescent="0.25">
      <c r="D27" s="66" t="s">
        <v>119</v>
      </c>
      <c r="E27" s="87" t="s">
        <v>2</v>
      </c>
      <c r="F27" s="488">
        <f>I6+O6</f>
        <v>27.475495082563086</v>
      </c>
      <c r="G27" s="75">
        <f>F27*Scenario!$C$20</f>
        <v>40.879179261655523</v>
      </c>
      <c r="H27" s="75">
        <f t="shared" si="16"/>
        <v>2.7295874070650461</v>
      </c>
      <c r="I27" s="75">
        <f t="shared" si="17"/>
        <v>1.0804694465331666</v>
      </c>
      <c r="J27" s="138">
        <f t="shared" si="28"/>
        <v>1.3449100963373584</v>
      </c>
      <c r="K27" s="75">
        <f t="shared" si="29"/>
        <v>2.1629886753376804</v>
      </c>
      <c r="L27" s="75">
        <f t="shared" si="30"/>
        <v>2.7295874070650461</v>
      </c>
      <c r="M27" s="75">
        <f t="shared" si="31"/>
        <v>3.2961861387924118</v>
      </c>
      <c r="N27" s="76">
        <f t="shared" si="32"/>
        <v>4.1142647177927341</v>
      </c>
      <c r="O27" s="138">
        <f t="shared" si="18"/>
        <v>3.8378414890829728</v>
      </c>
      <c r="P27" s="75">
        <f t="shared" si="19"/>
        <v>8.6970916384240482</v>
      </c>
      <c r="Q27" s="75">
        <f t="shared" si="20"/>
        <v>15.326562083952007</v>
      </c>
      <c r="R27" s="75">
        <f t="shared" si="21"/>
        <v>27.009432012354974</v>
      </c>
      <c r="S27" s="76">
        <f t="shared" si="22"/>
        <v>61.207193153087722</v>
      </c>
      <c r="T27" s="138">
        <f>O27*(1-$Q6)</f>
        <v>3.8378414890829728</v>
      </c>
      <c r="U27" s="75">
        <f>P27*(1-$Q6)</f>
        <v>8.6970916384240482</v>
      </c>
      <c r="V27" s="75">
        <f>Q27*(1-$Q6)</f>
        <v>15.326562083952007</v>
      </c>
      <c r="W27" s="75">
        <f>R27*(1-$Q6)</f>
        <v>27.009432012354974</v>
      </c>
      <c r="X27" s="76">
        <f>S27*(1-$Q6)</f>
        <v>61.207193153087722</v>
      </c>
      <c r="Y27" s="138">
        <f t="shared" si="23"/>
        <v>0</v>
      </c>
      <c r="Z27" s="75">
        <f t="shared" si="24"/>
        <v>0</v>
      </c>
      <c r="AA27" s="75">
        <f t="shared" si="25"/>
        <v>0</v>
      </c>
      <c r="AB27" s="75">
        <f t="shared" si="26"/>
        <v>0</v>
      </c>
      <c r="AC27" s="75">
        <f t="shared" si="27"/>
        <v>0</v>
      </c>
      <c r="AD27" s="218">
        <f>T27*$AE6/60</f>
        <v>0.24306329430858828</v>
      </c>
      <c r="AE27" s="183">
        <f>U27*$AE6/60</f>
        <v>0.55081580376685635</v>
      </c>
      <c r="AF27" s="183">
        <f>V27*$AE6/60</f>
        <v>0.97068226531696034</v>
      </c>
      <c r="AG27" s="183">
        <f>W27*$AE6/60</f>
        <v>1.7105973607824818</v>
      </c>
      <c r="AH27" s="219">
        <f>X27*$AE6/60</f>
        <v>3.8764555663622224</v>
      </c>
      <c r="AI27" s="183">
        <f>Y27*$AG6/60</f>
        <v>0</v>
      </c>
      <c r="AJ27" s="183">
        <f>Z27*$AG6/60</f>
        <v>0</v>
      </c>
      <c r="AK27" s="183">
        <f>AA27*$AG6/60</f>
        <v>0</v>
      </c>
      <c r="AL27" s="183">
        <f>AB27*$AG6/60</f>
        <v>0</v>
      </c>
      <c r="AM27" s="183">
        <f>AC27*$AG6/60</f>
        <v>0</v>
      </c>
      <c r="AN27" s="138">
        <f t="shared" si="46"/>
        <v>0.24306329430858828</v>
      </c>
      <c r="AO27" s="75">
        <f t="shared" si="47"/>
        <v>0.55081580376685635</v>
      </c>
      <c r="AP27" s="75">
        <f t="shared" si="48"/>
        <v>0.97068226531696034</v>
      </c>
      <c r="AQ27" s="75">
        <f t="shared" si="49"/>
        <v>1.7105973607824818</v>
      </c>
      <c r="AR27" s="497">
        <f t="shared" si="50"/>
        <v>3.8764555663622224</v>
      </c>
    </row>
    <row r="28" spans="1:44" ht="13.15" customHeight="1" x14ac:dyDescent="0.25">
      <c r="D28" s="71"/>
      <c r="E28" s="60" t="s">
        <v>3</v>
      </c>
      <c r="F28" s="488">
        <f t="shared" ref="F28:F34" si="51">I7+O7</f>
        <v>64.194411320162175</v>
      </c>
      <c r="G28" s="77">
        <f>F28*Scenario!$C$20</f>
        <v>95.511103260111113</v>
      </c>
      <c r="H28" s="77">
        <f t="shared" si="16"/>
        <v>3.5782090433730898</v>
      </c>
      <c r="I28" s="77">
        <f t="shared" si="17"/>
        <v>1.0804694465331666</v>
      </c>
      <c r="J28" s="139">
        <f t="shared" si="28"/>
        <v>2.1935317326454022</v>
      </c>
      <c r="K28" s="488">
        <f t="shared" si="29"/>
        <v>3.011610311645724</v>
      </c>
      <c r="L28" s="488">
        <f t="shared" si="30"/>
        <v>3.5782090433730898</v>
      </c>
      <c r="M28" s="488">
        <f t="shared" si="31"/>
        <v>4.1448077751004551</v>
      </c>
      <c r="N28" s="78">
        <f t="shared" si="32"/>
        <v>4.9628863541007773</v>
      </c>
      <c r="O28" s="139">
        <f t="shared" si="18"/>
        <v>8.9668256892713813</v>
      </c>
      <c r="P28" s="77">
        <f t="shared" si="19"/>
        <v>20.320095279391577</v>
      </c>
      <c r="Q28" s="77">
        <f t="shared" si="20"/>
        <v>35.809350389672211</v>
      </c>
      <c r="R28" s="77">
        <f t="shared" si="21"/>
        <v>63.105490289251811</v>
      </c>
      <c r="S28" s="78">
        <f t="shared" si="22"/>
        <v>143.00596663371897</v>
      </c>
      <c r="T28" s="139">
        <f t="shared" ref="T28:T34" si="52">O28*(1-$Q7)</f>
        <v>8.9668256892713813</v>
      </c>
      <c r="U28" s="77">
        <f t="shared" ref="U28:U34" si="53">P28*(1-$Q7)</f>
        <v>20.320095279391577</v>
      </c>
      <c r="V28" s="77">
        <f t="shared" ref="V28:V34" si="54">Q28*(1-$Q7)</f>
        <v>35.809350389672211</v>
      </c>
      <c r="W28" s="77">
        <f t="shared" ref="W28:W34" si="55">R28*(1-$Q7)</f>
        <v>63.105490289251811</v>
      </c>
      <c r="X28" s="78">
        <f t="shared" ref="X28:X34" si="56">S28*(1-$Q7)</f>
        <v>143.00596663371897</v>
      </c>
      <c r="Y28" s="139">
        <f t="shared" si="23"/>
        <v>0</v>
      </c>
      <c r="Z28" s="77">
        <f t="shared" si="24"/>
        <v>0</v>
      </c>
      <c r="AA28" s="77">
        <f t="shared" si="25"/>
        <v>0</v>
      </c>
      <c r="AB28" s="77">
        <f t="shared" si="26"/>
        <v>0</v>
      </c>
      <c r="AC28" s="77">
        <f t="shared" si="27"/>
        <v>0</v>
      </c>
      <c r="AD28" s="194">
        <f t="shared" ref="AD28:AD34" si="57">T28*$AE7/60</f>
        <v>0.56789896032052078</v>
      </c>
      <c r="AE28" s="184">
        <f t="shared" ref="AE28:AE34" si="58">U28*$AE7/60</f>
        <v>1.2869393676947998</v>
      </c>
      <c r="AF28" s="184">
        <f t="shared" ref="AF28:AF34" si="59">V28*$AE7/60</f>
        <v>2.26792552467924</v>
      </c>
      <c r="AG28" s="184">
        <f t="shared" ref="AG28:AG34" si="60">W28*$AE7/60</f>
        <v>3.9966810516526148</v>
      </c>
      <c r="AH28" s="184">
        <f t="shared" ref="AH28:AH34" si="61">X28*$AE7/60</f>
        <v>9.0570445534688684</v>
      </c>
      <c r="AI28" s="194">
        <f t="shared" ref="AI28:AI34" si="62">Y28*$AG7/60</f>
        <v>0</v>
      </c>
      <c r="AJ28" s="184">
        <f t="shared" ref="AJ28:AJ34" si="63">Z28*$AG7/60</f>
        <v>0</v>
      </c>
      <c r="AK28" s="184">
        <f t="shared" ref="AK28:AK34" si="64">AA28*$AG7/60</f>
        <v>0</v>
      </c>
      <c r="AL28" s="184">
        <f t="shared" ref="AL28:AL34" si="65">AB28*$AG7/60</f>
        <v>0</v>
      </c>
      <c r="AM28" s="184">
        <f t="shared" ref="AM28:AM34" si="66">AC28*$AG7/60</f>
        <v>0</v>
      </c>
      <c r="AN28" s="139">
        <f t="shared" si="46"/>
        <v>0.56789896032052078</v>
      </c>
      <c r="AO28" s="77">
        <f t="shared" si="47"/>
        <v>1.2869393676947998</v>
      </c>
      <c r="AP28" s="77">
        <f t="shared" si="48"/>
        <v>2.26792552467924</v>
      </c>
      <c r="AQ28" s="77">
        <f t="shared" si="49"/>
        <v>3.9966810516526148</v>
      </c>
      <c r="AR28" s="496">
        <f t="shared" si="50"/>
        <v>9.0570445534688684</v>
      </c>
    </row>
    <row r="29" spans="1:44" ht="13.15" customHeight="1" x14ac:dyDescent="0.25">
      <c r="D29" s="71"/>
      <c r="E29" s="60" t="s">
        <v>4</v>
      </c>
      <c r="F29" s="488">
        <f t="shared" si="51"/>
        <v>88.515336644943829</v>
      </c>
      <c r="G29" s="77">
        <f>F29*Scenario!$C$20</f>
        <v>131.69678301487025</v>
      </c>
      <c r="H29" s="77">
        <f t="shared" si="16"/>
        <v>3.8994687199772167</v>
      </c>
      <c r="I29" s="77">
        <f t="shared" si="17"/>
        <v>1.0804694465331668</v>
      </c>
      <c r="J29" s="139">
        <f t="shared" si="28"/>
        <v>2.5147914092495287</v>
      </c>
      <c r="K29" s="488">
        <f t="shared" si="29"/>
        <v>3.3328699882498509</v>
      </c>
      <c r="L29" s="488">
        <f t="shared" si="30"/>
        <v>3.8994687199772167</v>
      </c>
      <c r="M29" s="488">
        <f t="shared" si="31"/>
        <v>4.466067451704582</v>
      </c>
      <c r="N29" s="78">
        <f t="shared" si="32"/>
        <v>5.2841460307049051</v>
      </c>
      <c r="O29" s="139">
        <f t="shared" si="18"/>
        <v>12.364029487923666</v>
      </c>
      <c r="P29" s="77">
        <f t="shared" si="19"/>
        <v>28.018639587520628</v>
      </c>
      <c r="Q29" s="77">
        <f t="shared" si="20"/>
        <v>49.376209542138952</v>
      </c>
      <c r="R29" s="77">
        <f t="shared" si="21"/>
        <v>87.013863079743913</v>
      </c>
      <c r="S29" s="78">
        <f t="shared" si="22"/>
        <v>197.1857209763609</v>
      </c>
      <c r="T29" s="139">
        <f t="shared" si="52"/>
        <v>12.364029487923666</v>
      </c>
      <c r="U29" s="77">
        <f t="shared" si="53"/>
        <v>28.018639587520628</v>
      </c>
      <c r="V29" s="77">
        <f t="shared" si="54"/>
        <v>49.376209542138952</v>
      </c>
      <c r="W29" s="77">
        <f t="shared" si="55"/>
        <v>87.013863079743913</v>
      </c>
      <c r="X29" s="78">
        <f t="shared" si="56"/>
        <v>197.1857209763609</v>
      </c>
      <c r="Y29" s="139">
        <f t="shared" si="23"/>
        <v>0</v>
      </c>
      <c r="Z29" s="77">
        <f t="shared" si="24"/>
        <v>0</v>
      </c>
      <c r="AA29" s="77">
        <f t="shared" si="25"/>
        <v>0</v>
      </c>
      <c r="AB29" s="77">
        <f t="shared" si="26"/>
        <v>0</v>
      </c>
      <c r="AC29" s="77">
        <f t="shared" si="27"/>
        <v>0</v>
      </c>
      <c r="AD29" s="194">
        <f t="shared" si="57"/>
        <v>0.78305520090183223</v>
      </c>
      <c r="AE29" s="184">
        <f t="shared" si="58"/>
        <v>1.774513840542973</v>
      </c>
      <c r="AF29" s="184">
        <f t="shared" si="59"/>
        <v>3.1271599376688002</v>
      </c>
      <c r="AG29" s="184">
        <f t="shared" si="60"/>
        <v>5.5108779950504481</v>
      </c>
      <c r="AH29" s="184">
        <f t="shared" si="61"/>
        <v>12.488428995169523</v>
      </c>
      <c r="AI29" s="194">
        <f t="shared" si="62"/>
        <v>0</v>
      </c>
      <c r="AJ29" s="184">
        <f t="shared" si="63"/>
        <v>0</v>
      </c>
      <c r="AK29" s="184">
        <f t="shared" si="64"/>
        <v>0</v>
      </c>
      <c r="AL29" s="184">
        <f t="shared" si="65"/>
        <v>0</v>
      </c>
      <c r="AM29" s="184">
        <f t="shared" si="66"/>
        <v>0</v>
      </c>
      <c r="AN29" s="139">
        <f t="shared" si="46"/>
        <v>0.78305520090183223</v>
      </c>
      <c r="AO29" s="77">
        <f t="shared" si="47"/>
        <v>1.774513840542973</v>
      </c>
      <c r="AP29" s="77">
        <f t="shared" si="48"/>
        <v>3.1271599376688002</v>
      </c>
      <c r="AQ29" s="77">
        <f t="shared" si="49"/>
        <v>5.5108779950504481</v>
      </c>
      <c r="AR29" s="496">
        <f t="shared" si="50"/>
        <v>12.488428995169523</v>
      </c>
    </row>
    <row r="30" spans="1:44" ht="13.15" customHeight="1" x14ac:dyDescent="0.25">
      <c r="D30" s="71"/>
      <c r="E30" s="60" t="s">
        <v>5</v>
      </c>
      <c r="F30" s="488">
        <f t="shared" si="51"/>
        <v>53.31534358417197</v>
      </c>
      <c r="G30" s="77">
        <f>F30*Scenario!$C$20</f>
        <v>79.32477581294981</v>
      </c>
      <c r="H30" s="77">
        <f t="shared" si="16"/>
        <v>3.3925170494220271</v>
      </c>
      <c r="I30" s="77">
        <f t="shared" si="17"/>
        <v>1.0804694465331666</v>
      </c>
      <c r="J30" s="139">
        <f t="shared" si="28"/>
        <v>2.0078397386943392</v>
      </c>
      <c r="K30" s="488">
        <f t="shared" si="29"/>
        <v>2.8259183176946614</v>
      </c>
      <c r="L30" s="488">
        <f t="shared" si="30"/>
        <v>3.3925170494220271</v>
      </c>
      <c r="M30" s="488">
        <f t="shared" si="31"/>
        <v>3.9591157811493929</v>
      </c>
      <c r="N30" s="78">
        <f t="shared" si="32"/>
        <v>4.7771943601497151</v>
      </c>
      <c r="O30" s="139">
        <f t="shared" si="18"/>
        <v>7.4472120337480359</v>
      </c>
      <c r="P30" s="184">
        <f t="shared" si="19"/>
        <v>16.876435801874962</v>
      </c>
      <c r="Q30" s="77">
        <f t="shared" si="20"/>
        <v>29.740716992161868</v>
      </c>
      <c r="R30" s="77">
        <f t="shared" si="21"/>
        <v>52.410962693295524</v>
      </c>
      <c r="S30" s="78">
        <f t="shared" si="22"/>
        <v>118.77065446768393</v>
      </c>
      <c r="T30" s="139">
        <f t="shared" si="52"/>
        <v>7.4472120337480359</v>
      </c>
      <c r="U30" s="77">
        <f t="shared" si="53"/>
        <v>16.876435801874962</v>
      </c>
      <c r="V30" s="77">
        <f t="shared" si="54"/>
        <v>29.740716992161868</v>
      </c>
      <c r="W30" s="77">
        <f t="shared" si="55"/>
        <v>52.410962693295524</v>
      </c>
      <c r="X30" s="78">
        <f t="shared" si="56"/>
        <v>118.77065446768393</v>
      </c>
      <c r="Y30" s="139">
        <f t="shared" si="23"/>
        <v>0</v>
      </c>
      <c r="Z30" s="77">
        <f t="shared" si="24"/>
        <v>0</v>
      </c>
      <c r="AA30" s="77">
        <f t="shared" si="25"/>
        <v>0</v>
      </c>
      <c r="AB30" s="77">
        <f t="shared" si="26"/>
        <v>0</v>
      </c>
      <c r="AC30" s="77">
        <f t="shared" si="27"/>
        <v>0</v>
      </c>
      <c r="AD30" s="194">
        <f t="shared" si="57"/>
        <v>0.47165676213737562</v>
      </c>
      <c r="AE30" s="184">
        <f t="shared" si="58"/>
        <v>1.0688409341187475</v>
      </c>
      <c r="AF30" s="184">
        <f t="shared" si="59"/>
        <v>1.8835787428369182</v>
      </c>
      <c r="AG30" s="184">
        <f t="shared" si="60"/>
        <v>3.3193609705753828</v>
      </c>
      <c r="AH30" s="184">
        <f t="shared" si="61"/>
        <v>7.5221414496199817</v>
      </c>
      <c r="AI30" s="194">
        <f t="shared" si="62"/>
        <v>0</v>
      </c>
      <c r="AJ30" s="184">
        <f t="shared" si="63"/>
        <v>0</v>
      </c>
      <c r="AK30" s="184">
        <f t="shared" si="64"/>
        <v>0</v>
      </c>
      <c r="AL30" s="184">
        <f t="shared" si="65"/>
        <v>0</v>
      </c>
      <c r="AM30" s="184">
        <f t="shared" si="66"/>
        <v>0</v>
      </c>
      <c r="AN30" s="139">
        <f t="shared" si="46"/>
        <v>0.47165676213737562</v>
      </c>
      <c r="AO30" s="77">
        <f t="shared" si="47"/>
        <v>1.0688409341187475</v>
      </c>
      <c r="AP30" s="77">
        <f t="shared" si="48"/>
        <v>1.8835787428369182</v>
      </c>
      <c r="AQ30" s="77">
        <f t="shared" si="49"/>
        <v>3.3193609705753828</v>
      </c>
      <c r="AR30" s="496">
        <f t="shared" si="50"/>
        <v>7.5221414496199817</v>
      </c>
    </row>
    <row r="31" spans="1:44" ht="13.15" customHeight="1" x14ac:dyDescent="0.25">
      <c r="D31" s="71"/>
      <c r="E31" s="60" t="s">
        <v>6</v>
      </c>
      <c r="F31" s="488">
        <f t="shared" si="51"/>
        <v>45.004978525470911</v>
      </c>
      <c r="G31" s="77">
        <f>F31*Scenario!$C$20</f>
        <v>66.960270571330412</v>
      </c>
      <c r="H31" s="77">
        <f t="shared" si="16"/>
        <v>3.2230660051043509</v>
      </c>
      <c r="I31" s="77">
        <f t="shared" si="17"/>
        <v>1.0804694465331666</v>
      </c>
      <c r="J31" s="139">
        <f t="shared" si="28"/>
        <v>1.8383886943766632</v>
      </c>
      <c r="K31" s="488">
        <f t="shared" si="29"/>
        <v>2.6564672733769852</v>
      </c>
      <c r="L31" s="488">
        <f t="shared" si="30"/>
        <v>3.2230660051043509</v>
      </c>
      <c r="M31" s="488">
        <f t="shared" si="31"/>
        <v>3.7896647368317167</v>
      </c>
      <c r="N31" s="78">
        <f t="shared" si="32"/>
        <v>4.6077433158320389</v>
      </c>
      <c r="O31" s="139">
        <f t="shared" si="18"/>
        <v>6.2864007830001167</v>
      </c>
      <c r="P31" s="184">
        <f t="shared" si="19"/>
        <v>14.245873322578666</v>
      </c>
      <c r="Q31" s="77">
        <f t="shared" si="20"/>
        <v>25.104974282895082</v>
      </c>
      <c r="R31" s="77">
        <f t="shared" si="21"/>
        <v>44.241565221972586</v>
      </c>
      <c r="S31" s="78">
        <f t="shared" si="22"/>
        <v>100.25764431838195</v>
      </c>
      <c r="T31" s="139">
        <f t="shared" si="52"/>
        <v>6.2864007830001167</v>
      </c>
      <c r="U31" s="184">
        <f t="shared" si="53"/>
        <v>14.245873322578666</v>
      </c>
      <c r="V31" s="77">
        <f t="shared" si="54"/>
        <v>25.104974282895082</v>
      </c>
      <c r="W31" s="77">
        <f t="shared" si="55"/>
        <v>44.241565221972586</v>
      </c>
      <c r="X31" s="78">
        <f t="shared" si="56"/>
        <v>100.25764431838195</v>
      </c>
      <c r="Y31" s="139">
        <f t="shared" si="23"/>
        <v>0</v>
      </c>
      <c r="Z31" s="77">
        <f t="shared" si="24"/>
        <v>0</v>
      </c>
      <c r="AA31" s="77">
        <f t="shared" si="25"/>
        <v>0</v>
      </c>
      <c r="AB31" s="77">
        <f t="shared" si="26"/>
        <v>0</v>
      </c>
      <c r="AC31" s="77">
        <f t="shared" si="27"/>
        <v>0</v>
      </c>
      <c r="AD31" s="194">
        <f t="shared" si="57"/>
        <v>0.39813871625667402</v>
      </c>
      <c r="AE31" s="184">
        <f t="shared" si="58"/>
        <v>0.90223864376331542</v>
      </c>
      <c r="AF31" s="184">
        <f t="shared" si="59"/>
        <v>1.5899817045833551</v>
      </c>
      <c r="AG31" s="184">
        <f t="shared" si="60"/>
        <v>2.8019657973915968</v>
      </c>
      <c r="AH31" s="184">
        <f t="shared" si="61"/>
        <v>6.3496508068308559</v>
      </c>
      <c r="AI31" s="194">
        <f t="shared" si="62"/>
        <v>0</v>
      </c>
      <c r="AJ31" s="184">
        <f t="shared" si="63"/>
        <v>0</v>
      </c>
      <c r="AK31" s="184">
        <f t="shared" si="64"/>
        <v>0</v>
      </c>
      <c r="AL31" s="184">
        <f t="shared" si="65"/>
        <v>0</v>
      </c>
      <c r="AM31" s="184">
        <f t="shared" si="66"/>
        <v>0</v>
      </c>
      <c r="AN31" s="139">
        <f t="shared" si="46"/>
        <v>0.39813871625667402</v>
      </c>
      <c r="AO31" s="77">
        <f t="shared" si="47"/>
        <v>0.90223864376331542</v>
      </c>
      <c r="AP31" s="77">
        <f t="shared" si="48"/>
        <v>1.5899817045833551</v>
      </c>
      <c r="AQ31" s="77">
        <f t="shared" si="49"/>
        <v>2.8019657973915968</v>
      </c>
      <c r="AR31" s="496">
        <f t="shared" si="50"/>
        <v>6.3496508068308559</v>
      </c>
    </row>
    <row r="32" spans="1:44" ht="13.15" customHeight="1" x14ac:dyDescent="0.25">
      <c r="A32" s="73"/>
      <c r="D32" s="71"/>
      <c r="E32" s="60" t="s">
        <v>7</v>
      </c>
      <c r="F32" s="488">
        <f t="shared" si="51"/>
        <v>29.601221872459234</v>
      </c>
      <c r="G32" s="77">
        <f>F32*Scenario!$C$20</f>
        <v>44.04192359963168</v>
      </c>
      <c r="H32" s="77">
        <f t="shared" si="16"/>
        <v>2.8041085275071711</v>
      </c>
      <c r="I32" s="77">
        <f t="shared" si="17"/>
        <v>1.0804694465331666</v>
      </c>
      <c r="J32" s="139">
        <f t="shared" si="28"/>
        <v>1.4194312167794834</v>
      </c>
      <c r="K32" s="488">
        <f t="shared" si="29"/>
        <v>2.2375097957798054</v>
      </c>
      <c r="L32" s="488">
        <f t="shared" si="30"/>
        <v>2.8041085275071711</v>
      </c>
      <c r="M32" s="488">
        <f t="shared" si="31"/>
        <v>3.3707072592345368</v>
      </c>
      <c r="N32" s="78">
        <f t="shared" si="32"/>
        <v>4.1887858382348586</v>
      </c>
      <c r="O32" s="139">
        <f t="shared" si="18"/>
        <v>4.1347679846457801</v>
      </c>
      <c r="P32" s="184">
        <f t="shared" si="19"/>
        <v>9.36996907464221</v>
      </c>
      <c r="Q32" s="77">
        <f t="shared" si="20"/>
        <v>16.51234903777981</v>
      </c>
      <c r="R32" s="77">
        <f t="shared" si="21"/>
        <v>29.0991003890671</v>
      </c>
      <c r="S32" s="78">
        <f t="shared" si="22"/>
        <v>65.942677257337337</v>
      </c>
      <c r="T32" s="139">
        <f t="shared" si="52"/>
        <v>4.1347679846457801</v>
      </c>
      <c r="U32" s="77">
        <f t="shared" si="53"/>
        <v>9.36996907464221</v>
      </c>
      <c r="V32" s="77">
        <f t="shared" si="54"/>
        <v>16.51234903777981</v>
      </c>
      <c r="W32" s="77">
        <f t="shared" si="55"/>
        <v>29.0991003890671</v>
      </c>
      <c r="X32" s="78">
        <f t="shared" si="56"/>
        <v>65.942677257337337</v>
      </c>
      <c r="Y32" s="139">
        <f t="shared" si="23"/>
        <v>0</v>
      </c>
      <c r="Z32" s="77">
        <f t="shared" si="24"/>
        <v>0</v>
      </c>
      <c r="AA32" s="77">
        <f t="shared" si="25"/>
        <v>0</v>
      </c>
      <c r="AB32" s="77">
        <f t="shared" si="26"/>
        <v>0</v>
      </c>
      <c r="AC32" s="77">
        <f t="shared" si="27"/>
        <v>0</v>
      </c>
      <c r="AD32" s="194">
        <f t="shared" si="57"/>
        <v>0.26186863902756607</v>
      </c>
      <c r="AE32" s="184">
        <f t="shared" si="58"/>
        <v>0.59343137472733987</v>
      </c>
      <c r="AF32" s="184">
        <f t="shared" si="59"/>
        <v>1.0457821057260546</v>
      </c>
      <c r="AG32" s="184">
        <f t="shared" si="60"/>
        <v>1.8429430246409162</v>
      </c>
      <c r="AH32" s="184">
        <f t="shared" si="61"/>
        <v>4.1763695596313646</v>
      </c>
      <c r="AI32" s="194">
        <f t="shared" si="62"/>
        <v>0</v>
      </c>
      <c r="AJ32" s="184">
        <f t="shared" si="63"/>
        <v>0</v>
      </c>
      <c r="AK32" s="184">
        <f t="shared" si="64"/>
        <v>0</v>
      </c>
      <c r="AL32" s="184">
        <f t="shared" si="65"/>
        <v>0</v>
      </c>
      <c r="AM32" s="184">
        <f t="shared" si="66"/>
        <v>0</v>
      </c>
      <c r="AN32" s="139">
        <f t="shared" si="46"/>
        <v>0.26186863902756607</v>
      </c>
      <c r="AO32" s="77">
        <f t="shared" si="47"/>
        <v>0.59343137472733987</v>
      </c>
      <c r="AP32" s="77">
        <f t="shared" si="48"/>
        <v>1.0457821057260546</v>
      </c>
      <c r="AQ32" s="77">
        <f t="shared" si="49"/>
        <v>1.8429430246409162</v>
      </c>
      <c r="AR32" s="496">
        <f t="shared" si="50"/>
        <v>4.1763695596313646</v>
      </c>
    </row>
    <row r="33" spans="1:49" ht="13.15" customHeight="1" x14ac:dyDescent="0.25">
      <c r="A33" s="73"/>
      <c r="D33" s="71"/>
      <c r="E33" s="60" t="s">
        <v>8</v>
      </c>
      <c r="F33" s="488">
        <f t="shared" si="51"/>
        <v>26.883098225686499</v>
      </c>
      <c r="G33" s="77">
        <f>F33*Scenario!$C$20</f>
        <v>39.997786688618028</v>
      </c>
      <c r="H33" s="77">
        <f t="shared" si="16"/>
        <v>2.707790657939289</v>
      </c>
      <c r="I33" s="77">
        <f t="shared" si="17"/>
        <v>1.0804694465331666</v>
      </c>
      <c r="J33" s="139">
        <f t="shared" si="28"/>
        <v>1.3231133472116012</v>
      </c>
      <c r="K33" s="488">
        <f t="shared" si="29"/>
        <v>2.1411919262119232</v>
      </c>
      <c r="L33" s="488">
        <f t="shared" si="30"/>
        <v>2.707790657939289</v>
      </c>
      <c r="M33" s="488">
        <f t="shared" si="31"/>
        <v>3.2743893896666547</v>
      </c>
      <c r="N33" s="78">
        <f t="shared" si="32"/>
        <v>4.0924679686669769</v>
      </c>
      <c r="O33" s="139">
        <f t="shared" si="18"/>
        <v>3.7550941089723886</v>
      </c>
      <c r="P33" s="184">
        <f t="shared" si="19"/>
        <v>8.509574371307</v>
      </c>
      <c r="Q33" s="77">
        <f t="shared" si="20"/>
        <v>14.996107357732379</v>
      </c>
      <c r="R33" s="77">
        <f t="shared" si="21"/>
        <v>26.427083902446103</v>
      </c>
      <c r="S33" s="78">
        <f t="shared" si="22"/>
        <v>59.88750996873852</v>
      </c>
      <c r="T33" s="139">
        <f t="shared" si="52"/>
        <v>3.7550941089723886</v>
      </c>
      <c r="U33" s="77">
        <f t="shared" si="53"/>
        <v>8.509574371307</v>
      </c>
      <c r="V33" s="77">
        <f t="shared" si="54"/>
        <v>14.996107357732379</v>
      </c>
      <c r="W33" s="77">
        <f t="shared" si="55"/>
        <v>26.427083902446103</v>
      </c>
      <c r="X33" s="78">
        <f t="shared" si="56"/>
        <v>59.88750996873852</v>
      </c>
      <c r="Y33" s="139">
        <f t="shared" si="23"/>
        <v>0</v>
      </c>
      <c r="Z33" s="77">
        <f t="shared" si="24"/>
        <v>0</v>
      </c>
      <c r="AA33" s="77">
        <f t="shared" si="25"/>
        <v>0</v>
      </c>
      <c r="AB33" s="77">
        <f t="shared" si="26"/>
        <v>0</v>
      </c>
      <c r="AC33" s="77">
        <f t="shared" si="27"/>
        <v>0</v>
      </c>
      <c r="AD33" s="194">
        <f t="shared" si="57"/>
        <v>0.23782262690158459</v>
      </c>
      <c r="AE33" s="184">
        <f t="shared" si="58"/>
        <v>0.53893971018277653</v>
      </c>
      <c r="AF33" s="184">
        <f t="shared" si="59"/>
        <v>0.94975346598971733</v>
      </c>
      <c r="AG33" s="184">
        <f t="shared" si="60"/>
        <v>1.6737153138215863</v>
      </c>
      <c r="AH33" s="184">
        <f t="shared" si="61"/>
        <v>3.7928756313534393</v>
      </c>
      <c r="AI33" s="194">
        <f t="shared" si="62"/>
        <v>0</v>
      </c>
      <c r="AJ33" s="184">
        <f t="shared" si="63"/>
        <v>0</v>
      </c>
      <c r="AK33" s="184">
        <f t="shared" si="64"/>
        <v>0</v>
      </c>
      <c r="AL33" s="184">
        <f t="shared" si="65"/>
        <v>0</v>
      </c>
      <c r="AM33" s="184">
        <f t="shared" si="66"/>
        <v>0</v>
      </c>
      <c r="AN33" s="139">
        <f t="shared" si="46"/>
        <v>0.23782262690158459</v>
      </c>
      <c r="AO33" s="77">
        <f t="shared" si="47"/>
        <v>0.53893971018277653</v>
      </c>
      <c r="AP33" s="77">
        <f t="shared" si="48"/>
        <v>0.94975346598971733</v>
      </c>
      <c r="AQ33" s="77">
        <f t="shared" si="49"/>
        <v>1.6737153138215863</v>
      </c>
      <c r="AR33" s="496">
        <f t="shared" si="50"/>
        <v>3.7928756313534393</v>
      </c>
    </row>
    <row r="34" spans="1:49" ht="13.15" customHeight="1" thickBot="1" x14ac:dyDescent="0.3">
      <c r="A34" s="73"/>
      <c r="D34" s="67"/>
      <c r="E34" s="88" t="s">
        <v>9</v>
      </c>
      <c r="F34" s="79">
        <f t="shared" si="51"/>
        <v>13.976843398320131</v>
      </c>
      <c r="G34" s="79">
        <f>F34*Scenario!$C$20</f>
        <v>20.795326347171866</v>
      </c>
      <c r="H34" s="79">
        <f t="shared" si="16"/>
        <v>2.0536948047529138</v>
      </c>
      <c r="I34" s="79">
        <f t="shared" si="17"/>
        <v>1.0804694465331666</v>
      </c>
      <c r="J34" s="140">
        <f t="shared" si="28"/>
        <v>0.66901749402522603</v>
      </c>
      <c r="K34" s="79">
        <f t="shared" si="29"/>
        <v>1.487096073025548</v>
      </c>
      <c r="L34" s="79">
        <f t="shared" si="30"/>
        <v>2.0536948047529138</v>
      </c>
      <c r="M34" s="79">
        <f t="shared" si="31"/>
        <v>2.6202935364802795</v>
      </c>
      <c r="N34" s="80">
        <f t="shared" si="32"/>
        <v>3.4383721154806013</v>
      </c>
      <c r="O34" s="140">
        <f t="shared" si="18"/>
        <v>1.9523182137136761</v>
      </c>
      <c r="P34" s="185">
        <f t="shared" si="19"/>
        <v>4.4242292080930428</v>
      </c>
      <c r="Q34" s="79">
        <f t="shared" si="20"/>
        <v>7.796655071667038</v>
      </c>
      <c r="R34" s="79">
        <f t="shared" si="21"/>
        <v>13.73975611285123</v>
      </c>
      <c r="S34" s="80">
        <f t="shared" si="22"/>
        <v>31.136230702330771</v>
      </c>
      <c r="T34" s="140">
        <f t="shared" si="52"/>
        <v>1.9523182137136761</v>
      </c>
      <c r="U34" s="79">
        <f t="shared" si="53"/>
        <v>4.4242292080930428</v>
      </c>
      <c r="V34" s="79">
        <f t="shared" si="54"/>
        <v>7.796655071667038</v>
      </c>
      <c r="W34" s="79">
        <f t="shared" si="55"/>
        <v>13.73975611285123</v>
      </c>
      <c r="X34" s="80">
        <f t="shared" si="56"/>
        <v>31.136230702330771</v>
      </c>
      <c r="Y34" s="140">
        <f t="shared" si="23"/>
        <v>0</v>
      </c>
      <c r="Z34" s="79">
        <f t="shared" si="24"/>
        <v>0</v>
      </c>
      <c r="AA34" s="79">
        <f t="shared" si="25"/>
        <v>0</v>
      </c>
      <c r="AB34" s="79">
        <f t="shared" si="26"/>
        <v>0</v>
      </c>
      <c r="AC34" s="79">
        <f t="shared" si="27"/>
        <v>0</v>
      </c>
      <c r="AD34" s="216">
        <f t="shared" si="57"/>
        <v>0.12364682020186614</v>
      </c>
      <c r="AE34" s="185">
        <f t="shared" si="58"/>
        <v>0.28020118317922604</v>
      </c>
      <c r="AF34" s="185">
        <f t="shared" si="59"/>
        <v>0.49378815453891239</v>
      </c>
      <c r="AG34" s="185">
        <f t="shared" si="60"/>
        <v>0.87018455381391113</v>
      </c>
      <c r="AH34" s="185">
        <f t="shared" si="61"/>
        <v>1.9719612778142819</v>
      </c>
      <c r="AI34" s="216">
        <f t="shared" si="62"/>
        <v>0</v>
      </c>
      <c r="AJ34" s="185">
        <f t="shared" si="63"/>
        <v>0</v>
      </c>
      <c r="AK34" s="185">
        <f t="shared" si="64"/>
        <v>0</v>
      </c>
      <c r="AL34" s="185">
        <f t="shared" si="65"/>
        <v>0</v>
      </c>
      <c r="AM34" s="217">
        <f t="shared" si="66"/>
        <v>0</v>
      </c>
      <c r="AN34" s="140">
        <f t="shared" si="46"/>
        <v>0.12364682020186614</v>
      </c>
      <c r="AO34" s="79">
        <f t="shared" si="47"/>
        <v>0.28020118317922604</v>
      </c>
      <c r="AP34" s="79">
        <f t="shared" si="48"/>
        <v>0.49378815453891239</v>
      </c>
      <c r="AQ34" s="79">
        <f t="shared" si="49"/>
        <v>0.87018455381391113</v>
      </c>
      <c r="AR34" s="498">
        <f t="shared" si="50"/>
        <v>1.9719612778142819</v>
      </c>
    </row>
    <row r="35" spans="1:49" ht="10.5" customHeight="1" x14ac:dyDescent="0.25">
      <c r="A35" s="64"/>
      <c r="B35" s="64"/>
      <c r="C35" s="64"/>
      <c r="D35" s="64"/>
      <c r="E35" s="64"/>
      <c r="F35" s="81"/>
      <c r="G35" s="64"/>
      <c r="H35" s="64"/>
      <c r="I35" s="64"/>
      <c r="J35" s="64"/>
    </row>
    <row r="36" spans="1:49" ht="13.15" customHeight="1" x14ac:dyDescent="0.25">
      <c r="A36" s="64"/>
      <c r="B36" s="64"/>
      <c r="C36" s="64"/>
      <c r="D36" s="64"/>
      <c r="E36" s="64"/>
      <c r="F36" s="81"/>
      <c r="G36" s="64"/>
      <c r="H36" s="64"/>
      <c r="I36" s="64"/>
      <c r="J36" s="64"/>
      <c r="S36" s="1302"/>
      <c r="T36" s="1302"/>
      <c r="U36" s="1302"/>
      <c r="V36" s="1302"/>
      <c r="W36" s="1302"/>
      <c r="X36" s="1302"/>
      <c r="Y36" s="1302"/>
      <c r="Z36" s="1302"/>
      <c r="AA36" s="1302"/>
      <c r="AW36" s="63"/>
    </row>
    <row r="37" spans="1:49" ht="13.15" customHeight="1" x14ac:dyDescent="0.25">
      <c r="A37" s="64"/>
      <c r="B37" s="64"/>
      <c r="C37" s="64"/>
      <c r="D37" s="64"/>
      <c r="E37" s="64"/>
      <c r="F37" s="81"/>
      <c r="G37" s="64"/>
      <c r="H37" s="64"/>
      <c r="I37" s="64"/>
      <c r="J37" s="64"/>
      <c r="S37" s="47"/>
      <c r="T37" s="47"/>
      <c r="U37" s="77"/>
      <c r="V37" s="77"/>
      <c r="W37" s="47"/>
      <c r="X37" s="47"/>
      <c r="Y37" s="47"/>
      <c r="Z37" s="47"/>
      <c r="AA37" s="47"/>
      <c r="AW37" s="63"/>
    </row>
    <row r="38" spans="1:49" ht="13.15" customHeight="1" x14ac:dyDescent="0.25">
      <c r="A38" s="60"/>
      <c r="B38" s="81"/>
      <c r="C38" s="81"/>
      <c r="D38" s="81"/>
      <c r="E38" s="81"/>
      <c r="F38" s="513"/>
      <c r="G38" s="81"/>
      <c r="H38" s="81"/>
      <c r="I38" s="82"/>
      <c r="J38" s="82"/>
      <c r="S38" s="47"/>
      <c r="T38" s="47"/>
      <c r="U38" s="405"/>
      <c r="V38" s="405"/>
      <c r="W38" s="47"/>
      <c r="X38" s="47"/>
      <c r="Y38" s="47"/>
      <c r="Z38" s="47"/>
      <c r="AA38" s="47"/>
      <c r="AW38" s="63"/>
    </row>
    <row r="39" spans="1:49" x14ac:dyDescent="0.25">
      <c r="A39" s="60"/>
      <c r="B39" s="81"/>
      <c r="C39" s="81"/>
      <c r="D39" s="81"/>
      <c r="E39" s="81"/>
      <c r="F39" s="513"/>
      <c r="G39" s="81"/>
      <c r="H39" s="81"/>
      <c r="I39" s="82"/>
      <c r="J39" s="82"/>
      <c r="S39" s="47"/>
      <c r="T39" s="47"/>
      <c r="U39" s="405"/>
      <c r="V39" s="405"/>
      <c r="W39" s="47"/>
      <c r="X39" s="47"/>
      <c r="Y39" s="47"/>
      <c r="Z39" s="47"/>
      <c r="AA39" s="47"/>
      <c r="AK39" s="63"/>
      <c r="AL39" s="63"/>
      <c r="AM39" s="63"/>
      <c r="AN39" s="63"/>
      <c r="AO39" s="63"/>
      <c r="AP39" s="63"/>
      <c r="AQ39" s="63"/>
      <c r="AR39" s="499"/>
      <c r="AS39" s="63"/>
      <c r="AT39" s="63"/>
      <c r="AU39" s="63"/>
      <c r="AV39" s="63"/>
      <c r="AW39" s="63"/>
    </row>
    <row r="40" spans="1:49" x14ac:dyDescent="0.25">
      <c r="A40" s="60"/>
      <c r="B40" s="81"/>
      <c r="C40" s="81"/>
      <c r="D40" s="81"/>
      <c r="E40" s="81"/>
      <c r="F40" s="81"/>
      <c r="G40" s="81"/>
      <c r="H40" s="81"/>
      <c r="I40" s="82"/>
      <c r="J40" s="82"/>
      <c r="K40" s="77"/>
      <c r="L40" s="77"/>
      <c r="M40" s="77"/>
      <c r="N40" s="77"/>
      <c r="O40" s="77"/>
      <c r="P40" s="77"/>
      <c r="Q40" s="77"/>
      <c r="S40" s="47"/>
      <c r="T40" s="47"/>
      <c r="U40" s="405"/>
      <c r="V40" s="405"/>
      <c r="W40" s="47"/>
      <c r="X40" s="47"/>
      <c r="Y40" s="47"/>
      <c r="Z40" s="47"/>
      <c r="AA40" s="47"/>
      <c r="AK40" s="63"/>
      <c r="AL40" s="63"/>
      <c r="AM40" s="63"/>
      <c r="AN40" s="63"/>
      <c r="AO40" s="63"/>
      <c r="AP40" s="63"/>
      <c r="AQ40" s="63"/>
      <c r="AR40" s="499"/>
      <c r="AS40" s="63"/>
      <c r="AT40" s="63"/>
      <c r="AU40" s="63"/>
      <c r="AV40" s="63"/>
      <c r="AW40" s="63"/>
    </row>
    <row r="41" spans="1:49" x14ac:dyDescent="0.25">
      <c r="A41" s="60"/>
      <c r="B41" s="81"/>
      <c r="C41" s="81"/>
      <c r="D41" s="81"/>
      <c r="E41" s="81"/>
      <c r="F41" s="81"/>
      <c r="G41" s="81"/>
      <c r="H41" s="81"/>
      <c r="I41" s="82"/>
      <c r="J41" s="82"/>
      <c r="K41" s="77"/>
      <c r="L41" s="77"/>
      <c r="M41" s="296"/>
      <c r="N41" s="77"/>
      <c r="O41" s="77"/>
      <c r="P41" s="77"/>
      <c r="Q41"/>
      <c r="R41"/>
      <c r="S41" s="47"/>
      <c r="T41" s="406"/>
      <c r="U41" s="405"/>
      <c r="V41" s="405"/>
      <c r="W41" s="406"/>
      <c r="X41" s="406"/>
      <c r="Y41" s="406"/>
      <c r="Z41" s="406"/>
      <c r="AA41" s="47"/>
      <c r="AC41" s="64"/>
      <c r="AD41" s="64"/>
      <c r="AE41" s="64"/>
      <c r="AF41" s="64"/>
      <c r="AK41" s="63"/>
      <c r="AL41" s="63"/>
      <c r="AM41" s="63"/>
      <c r="AN41" s="63"/>
      <c r="AO41" s="63"/>
      <c r="AP41" s="63"/>
      <c r="AQ41" s="63"/>
      <c r="AR41" s="499"/>
      <c r="AS41" s="63"/>
      <c r="AT41" s="63"/>
      <c r="AU41" s="63"/>
      <c r="AV41" s="63"/>
      <c r="AW41" s="63"/>
    </row>
    <row r="42" spans="1:49" x14ac:dyDescent="0.25">
      <c r="A42" s="60"/>
      <c r="B42" s="81"/>
      <c r="C42" s="81"/>
      <c r="D42" s="81"/>
      <c r="E42" s="81"/>
      <c r="F42" s="81"/>
      <c r="G42" s="81"/>
      <c r="H42" s="81"/>
      <c r="I42" s="82"/>
      <c r="J42" s="82"/>
      <c r="K42" s="77"/>
      <c r="L42" s="77"/>
      <c r="M42" s="77"/>
      <c r="N42" s="77"/>
      <c r="O42" s="77"/>
      <c r="P42" s="77"/>
      <c r="Q42"/>
      <c r="R42"/>
      <c r="S42" s="47"/>
      <c r="T42" s="406"/>
      <c r="U42" s="405"/>
      <c r="V42" s="405"/>
      <c r="W42" s="406"/>
      <c r="X42" s="406"/>
      <c r="Y42" s="406"/>
      <c r="Z42" s="406"/>
      <c r="AA42" s="47"/>
      <c r="AC42" s="64"/>
      <c r="AD42" s="64"/>
      <c r="AE42" s="64"/>
      <c r="AF42" s="64"/>
      <c r="AK42" s="63"/>
      <c r="AL42" s="63"/>
      <c r="AM42" s="63"/>
      <c r="AN42" s="63"/>
      <c r="AO42" s="63"/>
      <c r="AP42" s="63"/>
      <c r="AQ42" s="63"/>
      <c r="AR42" s="499"/>
      <c r="AS42" s="63"/>
      <c r="AT42" s="63"/>
      <c r="AU42" s="63"/>
      <c r="AV42" s="63"/>
      <c r="AW42" s="63"/>
    </row>
    <row r="43" spans="1:49" ht="17.45" customHeight="1" x14ac:dyDescent="0.25">
      <c r="A43" s="60"/>
      <c r="B43" s="81"/>
      <c r="C43" s="81"/>
      <c r="D43" s="81"/>
      <c r="E43" s="81"/>
      <c r="F43" s="81"/>
      <c r="G43" s="81"/>
      <c r="H43" s="81"/>
      <c r="I43" s="82"/>
      <c r="J43" s="82"/>
      <c r="K43" s="77"/>
      <c r="L43" s="77"/>
      <c r="M43" s="77"/>
      <c r="N43" s="77"/>
      <c r="O43" s="77"/>
      <c r="P43" s="77"/>
      <c r="Q43"/>
      <c r="R43" s="188"/>
      <c r="S43" s="47"/>
      <c r="T43" s="407"/>
      <c r="U43" s="405"/>
      <c r="V43" s="405"/>
      <c r="W43" s="407"/>
      <c r="X43" s="407"/>
      <c r="Y43" s="406"/>
      <c r="Z43" s="406"/>
      <c r="AA43" s="47"/>
      <c r="AC43" s="64"/>
      <c r="AD43" s="64"/>
      <c r="AE43" s="64"/>
      <c r="AF43" s="64"/>
      <c r="AK43" s="63"/>
      <c r="AL43" s="63"/>
      <c r="AM43" s="63"/>
      <c r="AN43" s="63"/>
      <c r="AO43" s="63"/>
      <c r="AP43" s="63"/>
      <c r="AQ43" s="63"/>
      <c r="AR43" s="499"/>
      <c r="AS43" s="63"/>
      <c r="AT43" s="63"/>
      <c r="AU43" s="63"/>
      <c r="AV43" s="63"/>
      <c r="AW43" s="63"/>
    </row>
    <row r="44" spans="1:49" x14ac:dyDescent="0.25">
      <c r="A44" s="60"/>
      <c r="B44" s="81"/>
      <c r="C44" s="81"/>
      <c r="D44" s="81"/>
      <c r="E44" s="81"/>
      <c r="F44" s="81"/>
      <c r="G44" s="81"/>
      <c r="H44" s="81"/>
      <c r="I44" s="82"/>
      <c r="J44" s="82"/>
      <c r="K44" s="77"/>
      <c r="L44" s="77"/>
      <c r="M44" s="77"/>
      <c r="N44" s="77"/>
      <c r="O44" s="77"/>
      <c r="P44" s="77"/>
      <c r="Q44"/>
      <c r="R44" s="188"/>
      <c r="S44" s="47"/>
      <c r="T44" s="407"/>
      <c r="U44" s="405"/>
      <c r="V44" s="405"/>
      <c r="W44" s="407"/>
      <c r="X44" s="406"/>
      <c r="Y44" s="406"/>
      <c r="Z44" s="406"/>
      <c r="AA44" s="47"/>
      <c r="AC44" s="64"/>
      <c r="AD44" s="64"/>
      <c r="AE44" s="64"/>
      <c r="AF44" s="64"/>
      <c r="AK44" s="63"/>
      <c r="AL44" s="63"/>
      <c r="AM44" s="63"/>
      <c r="AN44" s="63"/>
      <c r="AO44" s="63"/>
      <c r="AP44" s="63"/>
      <c r="AQ44" s="63"/>
      <c r="AR44" s="499"/>
      <c r="AS44" s="63"/>
      <c r="AT44" s="63"/>
      <c r="AU44" s="63"/>
      <c r="AV44" s="63"/>
      <c r="AW44" s="63"/>
    </row>
    <row r="45" spans="1:49" x14ac:dyDescent="0.25">
      <c r="A45" s="60"/>
      <c r="B45" s="81"/>
      <c r="C45" s="81"/>
      <c r="D45" s="81"/>
      <c r="E45" s="81"/>
      <c r="F45" s="81"/>
      <c r="G45" s="81"/>
      <c r="H45" s="81"/>
      <c r="I45" s="82"/>
      <c r="J45" s="82"/>
      <c r="K45" s="77"/>
      <c r="L45" s="77"/>
      <c r="M45" s="77"/>
      <c r="N45" s="77"/>
      <c r="O45" s="77"/>
      <c r="P45" s="77"/>
      <c r="Q45"/>
      <c r="R45" s="189"/>
      <c r="S45" s="47"/>
      <c r="T45" s="408"/>
      <c r="U45" s="405"/>
      <c r="V45" s="405"/>
      <c r="W45" s="408"/>
      <c r="X45" s="407"/>
      <c r="Y45" s="406"/>
      <c r="Z45" s="406"/>
      <c r="AA45" s="47"/>
      <c r="AC45" s="64"/>
      <c r="AD45" s="64"/>
      <c r="AE45" s="64"/>
      <c r="AF45" s="64"/>
      <c r="AK45" s="63"/>
      <c r="AL45" s="63"/>
      <c r="AM45" s="63"/>
      <c r="AN45" s="63"/>
      <c r="AO45" s="63"/>
      <c r="AP45" s="63"/>
      <c r="AQ45" s="63"/>
      <c r="AR45" s="499"/>
      <c r="AS45" s="63"/>
      <c r="AT45" s="63"/>
      <c r="AU45" s="63"/>
      <c r="AV45" s="63"/>
      <c r="AW45" s="63"/>
    </row>
    <row r="46" spans="1:49" x14ac:dyDescent="0.25">
      <c r="A46" s="60"/>
      <c r="B46" s="81"/>
      <c r="C46" s="81"/>
      <c r="D46" s="81"/>
      <c r="E46" s="81"/>
      <c r="F46" s="81"/>
      <c r="G46" s="81"/>
      <c r="H46" s="81"/>
      <c r="I46" s="82"/>
      <c r="J46" s="82"/>
      <c r="K46" s="77"/>
      <c r="L46" s="77"/>
      <c r="M46" s="77"/>
      <c r="N46" s="77"/>
      <c r="O46" s="77"/>
      <c r="P46" s="77"/>
      <c r="Q46"/>
      <c r="R46" s="188"/>
      <c r="S46" s="188"/>
      <c r="T46" s="188"/>
      <c r="U46" s="188"/>
      <c r="V46" s="188"/>
      <c r="W46" s="188"/>
      <c r="X46" s="188"/>
      <c r="Y46"/>
      <c r="Z46"/>
      <c r="AC46" s="64"/>
      <c r="AD46" s="64"/>
      <c r="AE46" s="64"/>
      <c r="AF46" s="64"/>
      <c r="AK46" s="63"/>
      <c r="AL46" s="63"/>
      <c r="AM46" s="63"/>
      <c r="AN46" s="63"/>
      <c r="AO46" s="63"/>
      <c r="AP46" s="63"/>
      <c r="AQ46" s="63"/>
      <c r="AR46" s="499"/>
      <c r="AS46" s="63"/>
      <c r="AT46" s="63"/>
      <c r="AU46" s="63"/>
      <c r="AV46" s="63"/>
      <c r="AW46" s="63"/>
    </row>
    <row r="47" spans="1:49" x14ac:dyDescent="0.25">
      <c r="A47" s="60"/>
      <c r="B47" s="81"/>
      <c r="C47" s="81"/>
      <c r="D47" s="81"/>
      <c r="E47" s="81"/>
      <c r="F47" s="81"/>
      <c r="G47" s="81"/>
      <c r="H47" s="81"/>
      <c r="I47" s="82"/>
      <c r="J47" s="82"/>
      <c r="K47" s="77"/>
      <c r="L47" s="77"/>
      <c r="M47" s="77"/>
      <c r="N47" s="77"/>
      <c r="O47" s="77"/>
      <c r="P47" s="77"/>
      <c r="Q47"/>
      <c r="R47" s="190"/>
      <c r="S47" s="190"/>
      <c r="T47" s="190"/>
      <c r="U47" s="190"/>
      <c r="V47" s="190"/>
      <c r="W47" s="190"/>
      <c r="X47" s="190"/>
      <c r="Y47"/>
      <c r="Z47"/>
      <c r="AA47" s="64"/>
      <c r="AB47" s="64"/>
      <c r="AC47" s="64"/>
      <c r="AD47" s="64"/>
      <c r="AE47" s="64"/>
      <c r="AF47" s="64"/>
      <c r="AK47" s="63"/>
      <c r="AL47" s="63"/>
      <c r="AM47" s="63"/>
      <c r="AN47" s="63"/>
      <c r="AO47" s="63"/>
      <c r="AP47" s="63"/>
      <c r="AQ47" s="63"/>
      <c r="AR47" s="499"/>
      <c r="AS47" s="63"/>
      <c r="AT47" s="63"/>
      <c r="AU47" s="63"/>
      <c r="AV47" s="63"/>
      <c r="AW47" s="63"/>
    </row>
    <row r="48" spans="1:49" x14ac:dyDescent="0.25">
      <c r="A48" s="60"/>
      <c r="B48" s="81"/>
      <c r="C48" s="81"/>
      <c r="D48" s="81"/>
      <c r="E48" s="81"/>
      <c r="F48" s="81"/>
      <c r="G48" s="81"/>
      <c r="H48" s="81"/>
      <c r="I48" s="82"/>
      <c r="J48" s="82"/>
      <c r="K48" s="77"/>
      <c r="L48" s="77"/>
      <c r="M48" s="77"/>
      <c r="N48" s="77"/>
      <c r="O48" s="77"/>
      <c r="P48" s="77"/>
      <c r="Q48"/>
      <c r="R48" s="191"/>
      <c r="S48" s="191"/>
      <c r="T48" s="191"/>
      <c r="U48" s="191"/>
      <c r="V48" s="191"/>
      <c r="W48" s="191"/>
      <c r="X48" s="191"/>
      <c r="Y48" s="191"/>
      <c r="Z48"/>
      <c r="AA48" s="64"/>
      <c r="AB48" s="64"/>
      <c r="AC48" s="64"/>
      <c r="AD48" s="64"/>
      <c r="AE48" s="64"/>
      <c r="AF48" s="64"/>
      <c r="AK48" s="63"/>
      <c r="AL48" s="63"/>
      <c r="AM48" s="63"/>
      <c r="AN48" s="63"/>
      <c r="AO48" s="63"/>
      <c r="AP48" s="63"/>
      <c r="AQ48" s="63"/>
      <c r="AR48" s="499"/>
      <c r="AS48" s="63"/>
      <c r="AT48" s="63"/>
      <c r="AU48" s="63"/>
      <c r="AV48" s="63"/>
      <c r="AW48" s="63"/>
    </row>
    <row r="49" spans="1:49" x14ac:dyDescent="0.25">
      <c r="A49" s="60"/>
      <c r="B49" s="81"/>
      <c r="C49" s="81"/>
      <c r="D49" s="81"/>
      <c r="E49" s="81"/>
      <c r="F49" s="81"/>
      <c r="G49" s="81"/>
      <c r="H49" s="81"/>
      <c r="I49" s="82"/>
      <c r="J49" s="82"/>
      <c r="K49" s="77"/>
      <c r="L49" s="77"/>
      <c r="M49" s="77"/>
      <c r="N49" s="77"/>
      <c r="O49" s="77"/>
      <c r="P49" s="77"/>
      <c r="Q49"/>
      <c r="R49" s="191"/>
      <c r="S49"/>
      <c r="T49"/>
      <c r="U49"/>
      <c r="V49"/>
      <c r="W49"/>
      <c r="X49"/>
      <c r="Y49"/>
      <c r="Z49"/>
      <c r="AA49" s="64"/>
      <c r="AB49" s="64"/>
      <c r="AC49" s="64"/>
      <c r="AD49" s="64"/>
      <c r="AE49" s="64"/>
      <c r="AF49" s="64"/>
      <c r="AK49" s="63"/>
      <c r="AL49" s="63"/>
      <c r="AM49" s="63"/>
      <c r="AN49" s="63"/>
      <c r="AO49" s="63"/>
      <c r="AP49" s="63"/>
      <c r="AQ49" s="63"/>
      <c r="AR49" s="499"/>
      <c r="AS49" s="63"/>
      <c r="AT49" s="63"/>
      <c r="AU49" s="63"/>
      <c r="AV49" s="63"/>
      <c r="AW49" s="63"/>
    </row>
    <row r="50" spans="1:49" x14ac:dyDescent="0.25">
      <c r="A50" s="60"/>
      <c r="B50" s="81"/>
      <c r="C50" s="81"/>
      <c r="D50" s="81"/>
      <c r="E50" s="81"/>
      <c r="F50" s="81"/>
      <c r="G50" s="81"/>
      <c r="H50" s="81"/>
      <c r="I50" s="82"/>
      <c r="J50" s="82"/>
      <c r="K50" s="77"/>
      <c r="L50" s="77"/>
      <c r="M50" s="77"/>
      <c r="N50" s="77"/>
      <c r="O50" s="77"/>
      <c r="P50" s="77"/>
      <c r="Q50"/>
      <c r="R50"/>
      <c r="S50"/>
      <c r="T50"/>
      <c r="U50"/>
      <c r="V50"/>
      <c r="W50"/>
      <c r="X50"/>
      <c r="Y50"/>
      <c r="Z50"/>
      <c r="AA50" s="64"/>
      <c r="AB50" s="64"/>
      <c r="AC50" s="64"/>
      <c r="AD50" s="64"/>
      <c r="AE50" s="64"/>
      <c r="AF50" s="64"/>
      <c r="AK50" s="63"/>
      <c r="AL50" s="63"/>
      <c r="AM50" s="63"/>
      <c r="AN50" s="63"/>
      <c r="AO50" s="63"/>
      <c r="AP50" s="63"/>
      <c r="AQ50" s="63"/>
      <c r="AR50" s="499"/>
      <c r="AS50" s="63"/>
      <c r="AT50" s="63"/>
      <c r="AU50" s="63"/>
      <c r="AV50" s="63"/>
      <c r="AW50" s="63"/>
    </row>
    <row r="51" spans="1:49" x14ac:dyDescent="0.25">
      <c r="A51" s="60"/>
      <c r="B51" s="81"/>
      <c r="C51" s="81"/>
      <c r="D51" s="81"/>
      <c r="E51" s="81"/>
      <c r="F51" s="81"/>
      <c r="G51" s="81"/>
      <c r="H51" s="81"/>
      <c r="I51" s="82"/>
      <c r="J51" s="82"/>
      <c r="K51" s="77"/>
      <c r="L51" s="77"/>
      <c r="M51" s="77"/>
      <c r="N51" s="77"/>
      <c r="O51" s="77"/>
      <c r="P51" s="77"/>
      <c r="Q51" s="77"/>
      <c r="R51" s="77"/>
      <c r="S51" s="77"/>
      <c r="T51" s="77"/>
      <c r="U51" s="77"/>
      <c r="V51" s="77"/>
      <c r="W51" s="77"/>
      <c r="X51" s="77"/>
      <c r="Y51" s="64"/>
      <c r="Z51" s="64"/>
      <c r="AA51" s="64"/>
      <c r="AB51" s="64"/>
      <c r="AC51" s="64"/>
      <c r="AD51" s="64"/>
      <c r="AE51" s="64"/>
      <c r="AF51" s="64"/>
      <c r="AK51" s="63"/>
      <c r="AL51" s="63"/>
      <c r="AM51" s="63"/>
      <c r="AN51" s="63"/>
      <c r="AO51" s="63"/>
      <c r="AP51" s="63"/>
      <c r="AQ51" s="63"/>
      <c r="AR51" s="499"/>
      <c r="AS51" s="63"/>
      <c r="AT51" s="63"/>
      <c r="AU51" s="63"/>
      <c r="AV51" s="63"/>
      <c r="AW51" s="63"/>
    </row>
    <row r="52" spans="1:49" x14ac:dyDescent="0.25">
      <c r="A52" s="60"/>
      <c r="B52" s="81"/>
      <c r="C52" s="81"/>
      <c r="D52" s="81"/>
      <c r="E52" s="81"/>
      <c r="F52" s="81"/>
      <c r="G52" s="81"/>
      <c r="H52" s="81"/>
      <c r="I52" s="82"/>
      <c r="J52" s="82"/>
      <c r="K52" s="77"/>
      <c r="L52" s="77"/>
      <c r="M52" s="77"/>
      <c r="N52" s="77"/>
      <c r="O52" s="77"/>
      <c r="P52" s="77"/>
      <c r="Q52" s="77"/>
      <c r="R52" s="77"/>
      <c r="S52" s="77"/>
      <c r="T52" s="77"/>
      <c r="U52" s="77"/>
      <c r="V52" s="77"/>
      <c r="W52" s="77"/>
      <c r="X52" s="77"/>
    </row>
    <row r="53" spans="1:49" x14ac:dyDescent="0.25">
      <c r="A53" s="60"/>
      <c r="B53" s="81"/>
      <c r="C53" s="81"/>
      <c r="D53" s="81"/>
      <c r="E53" s="81"/>
      <c r="F53" s="81"/>
      <c r="G53" s="81"/>
      <c r="H53" s="81"/>
      <c r="I53" s="82"/>
      <c r="J53" s="82"/>
      <c r="K53" s="77"/>
      <c r="L53" s="77"/>
      <c r="M53" s="77"/>
      <c r="N53" s="77"/>
      <c r="O53" s="77"/>
      <c r="P53" s="77"/>
      <c r="Q53" s="77"/>
      <c r="R53" s="77"/>
      <c r="S53" s="77"/>
      <c r="T53" s="77"/>
      <c r="U53" s="77"/>
      <c r="V53" s="77"/>
      <c r="W53" s="77"/>
      <c r="X53" s="77"/>
    </row>
  </sheetData>
  <mergeCells count="46">
    <mergeCell ref="S36:AA36"/>
    <mergeCell ref="A22:B22"/>
    <mergeCell ref="A23:B23"/>
    <mergeCell ref="A1:C1"/>
    <mergeCell ref="L4:M4"/>
    <mergeCell ref="R2:AC2"/>
    <mergeCell ref="A21:B21"/>
    <mergeCell ref="A19:B19"/>
    <mergeCell ref="A20:B20"/>
    <mergeCell ref="A16:B16"/>
    <mergeCell ref="V4:W4"/>
    <mergeCell ref="A17:B17"/>
    <mergeCell ref="A18:B18"/>
    <mergeCell ref="P4:Q4"/>
    <mergeCell ref="R4:S4"/>
    <mergeCell ref="T4:U4"/>
    <mergeCell ref="A2:C2"/>
    <mergeCell ref="A4:C4"/>
    <mergeCell ref="D4:E4"/>
    <mergeCell ref="J4:K4"/>
    <mergeCell ref="H4:I4"/>
    <mergeCell ref="AH2:AK2"/>
    <mergeCell ref="R3:W3"/>
    <mergeCell ref="J3:Q3"/>
    <mergeCell ref="N4:O4"/>
    <mergeCell ref="D3:I3"/>
    <mergeCell ref="AJ4:AK4"/>
    <mergeCell ref="X3:AC3"/>
    <mergeCell ref="D2:Q2"/>
    <mergeCell ref="F4:G4"/>
    <mergeCell ref="AB4:AC4"/>
    <mergeCell ref="AD4:AE4"/>
    <mergeCell ref="AF4:AG4"/>
    <mergeCell ref="AH4:AI4"/>
    <mergeCell ref="AD2:AG2"/>
    <mergeCell ref="X4:Y4"/>
    <mergeCell ref="Z4:AA4"/>
    <mergeCell ref="A25:B25"/>
    <mergeCell ref="AN16:AR16"/>
    <mergeCell ref="AI16:AM16"/>
    <mergeCell ref="AD16:AH16"/>
    <mergeCell ref="Y16:AC16"/>
    <mergeCell ref="T16:X16"/>
    <mergeCell ref="A24:B24"/>
    <mergeCell ref="O16:S16"/>
    <mergeCell ref="J16:N16"/>
  </mergeCells>
  <phoneticPr fontId="36" type="noConversion"/>
  <pageMargins left="0.42" right="0.93" top="0.98425196850393704" bottom="0.98425196850393704" header="0.51181102362204722" footer="0.51181102362204722"/>
  <pageSetup paperSize="5" orientation="landscape" r:id="rId1"/>
  <headerFooter alignWithMargins="0"/>
  <ignoredErrors>
    <ignoredError sqref="A7" twoDigitTextYear="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Z50"/>
  <sheetViews>
    <sheetView zoomScale="90" zoomScaleNormal="90" workbookViewId="0">
      <selection activeCell="C16" sqref="C16"/>
    </sheetView>
  </sheetViews>
  <sheetFormatPr defaultColWidth="9.140625" defaultRowHeight="16.5" x14ac:dyDescent="0.25"/>
  <cols>
    <col min="1" max="1" width="9.85546875" style="63" customWidth="1"/>
    <col min="2" max="2" width="17.42578125" style="63" customWidth="1"/>
    <col min="3" max="3" width="7.140625" style="63" customWidth="1"/>
    <col min="4" max="4" width="7.42578125" style="62" customWidth="1"/>
    <col min="5" max="5" width="8.7109375" style="62" customWidth="1"/>
    <col min="6" max="6" width="7.28515625" style="500" customWidth="1"/>
    <col min="7" max="7" width="6" style="62" customWidth="1"/>
    <col min="8" max="8" width="7.140625" style="47" customWidth="1"/>
    <col min="9" max="9" width="7.7109375" style="62" customWidth="1"/>
    <col min="10" max="10" width="7.140625" style="62" customWidth="1"/>
    <col min="11" max="11" width="6.28515625" style="62" customWidth="1"/>
    <col min="12" max="12" width="6.7109375" style="62" customWidth="1"/>
    <col min="13" max="13" width="6.7109375" style="63" customWidth="1"/>
    <col min="14" max="15" width="8.7109375" style="63" customWidth="1"/>
    <col min="16" max="17" width="6.85546875" style="63" customWidth="1"/>
    <col min="18" max="18" width="6.7109375" style="63" customWidth="1"/>
    <col min="19" max="21" width="7.7109375" style="63" customWidth="1"/>
    <col min="22" max="22" width="6.5703125" style="63" customWidth="1"/>
    <col min="23" max="23" width="5.42578125" style="63" customWidth="1"/>
    <col min="24" max="24" width="6.7109375" style="63" customWidth="1"/>
    <col min="25" max="25" width="7.5703125" style="63" customWidth="1"/>
    <col min="26" max="26" width="6.42578125" style="63" customWidth="1"/>
    <col min="27" max="27" width="5.28515625" style="63" customWidth="1"/>
    <col min="28" max="28" width="5.85546875" style="63" customWidth="1"/>
    <col min="29" max="29" width="7.28515625" style="63" customWidth="1"/>
    <col min="30" max="30" width="5.28515625" style="63" customWidth="1"/>
    <col min="31" max="31" width="5.42578125" style="63" customWidth="1"/>
    <col min="32" max="32" width="5.28515625" style="63" customWidth="1"/>
    <col min="33" max="34" width="7.28515625" style="64" customWidth="1"/>
    <col min="35" max="35" width="6.42578125" style="64" customWidth="1"/>
    <col min="36" max="36" width="7" style="64" customWidth="1"/>
    <col min="37" max="38" width="6.5703125" style="64" customWidth="1"/>
    <col min="39" max="39" width="9" style="64" customWidth="1"/>
    <col min="40" max="40" width="10.7109375" style="64" customWidth="1"/>
    <col min="41" max="43" width="5.28515625" style="64" customWidth="1"/>
    <col min="44" max="44" width="7.7109375" style="508" customWidth="1"/>
    <col min="45" max="49" width="5.28515625" style="64" customWidth="1"/>
    <col min="50" max="16384" width="9.140625" style="63"/>
  </cols>
  <sheetData>
    <row r="1" spans="1:51" ht="27.6" customHeight="1" x14ac:dyDescent="0.3">
      <c r="A1" s="1303"/>
      <c r="B1" s="1303"/>
      <c r="C1" s="1303"/>
      <c r="D1" s="61"/>
    </row>
    <row r="2" spans="1:51" ht="18" customHeight="1" thickBot="1" x14ac:dyDescent="0.3">
      <c r="A2" s="1298" t="s">
        <v>19</v>
      </c>
      <c r="B2" s="1299"/>
      <c r="C2" s="1299"/>
      <c r="D2" s="1282" t="s">
        <v>109</v>
      </c>
      <c r="E2" s="1282"/>
      <c r="F2" s="1282"/>
      <c r="G2" s="1282"/>
      <c r="H2" s="1282"/>
      <c r="I2" s="1282"/>
      <c r="J2" s="1282"/>
      <c r="K2" s="1282"/>
      <c r="L2" s="1282"/>
      <c r="M2" s="1282"/>
      <c r="N2" s="1282"/>
      <c r="O2" s="1282"/>
      <c r="P2" s="1282"/>
      <c r="Q2" s="1282"/>
      <c r="R2" s="1282" t="s">
        <v>21</v>
      </c>
      <c r="S2" s="1282"/>
      <c r="T2" s="1282"/>
      <c r="U2" s="1282"/>
      <c r="V2" s="1282"/>
      <c r="W2" s="1282"/>
      <c r="X2" s="1282"/>
      <c r="Y2" s="1282"/>
      <c r="Z2" s="1282"/>
      <c r="AA2" s="1282"/>
      <c r="AB2" s="1282"/>
      <c r="AC2" s="1282"/>
      <c r="AD2" s="1282" t="s">
        <v>14</v>
      </c>
      <c r="AE2" s="1282"/>
      <c r="AF2" s="1282"/>
      <c r="AG2" s="1282"/>
      <c r="AH2" s="1282" t="s">
        <v>101</v>
      </c>
      <c r="AI2" s="1282"/>
      <c r="AJ2" s="1282"/>
      <c r="AK2" s="1282"/>
    </row>
    <row r="3" spans="1:51" s="65" customFormat="1" ht="13.15" customHeight="1" x14ac:dyDescent="0.25">
      <c r="A3" s="57"/>
      <c r="B3" s="58"/>
      <c r="C3" s="58"/>
      <c r="D3" s="1282" t="s">
        <v>103</v>
      </c>
      <c r="E3" s="1282"/>
      <c r="F3" s="1282"/>
      <c r="G3" s="1282"/>
      <c r="H3" s="1282"/>
      <c r="I3" s="1282"/>
      <c r="J3" s="1284" t="s">
        <v>86</v>
      </c>
      <c r="K3" s="1285"/>
      <c r="L3" s="1285"/>
      <c r="M3" s="1285"/>
      <c r="N3" s="1285"/>
      <c r="O3" s="1285"/>
      <c r="P3" s="1285"/>
      <c r="Q3" s="1286"/>
      <c r="R3" s="1310" t="s">
        <v>17</v>
      </c>
      <c r="S3" s="1310"/>
      <c r="T3" s="1310"/>
      <c r="U3" s="1310"/>
      <c r="V3" s="1310"/>
      <c r="W3" s="1310"/>
      <c r="X3" s="1310" t="s">
        <v>18</v>
      </c>
      <c r="Y3" s="1310"/>
      <c r="Z3" s="1310"/>
      <c r="AA3" s="1310"/>
      <c r="AB3" s="1310"/>
      <c r="AC3" s="1310"/>
      <c r="AD3" s="55" t="s">
        <v>110</v>
      </c>
      <c r="AE3" s="984">
        <f>Baseline!AE3</f>
        <v>3.8</v>
      </c>
      <c r="AF3" s="55" t="s">
        <v>110</v>
      </c>
      <c r="AG3" s="994">
        <f>Baseline!AG3</f>
        <v>0</v>
      </c>
      <c r="AH3" s="44"/>
      <c r="AI3" s="44"/>
      <c r="AJ3" s="44"/>
      <c r="AK3" s="44"/>
      <c r="AR3" s="514"/>
    </row>
    <row r="4" spans="1:51" ht="13.15" customHeight="1" x14ac:dyDescent="0.25">
      <c r="A4" s="1300" t="s">
        <v>16</v>
      </c>
      <c r="B4" s="1301"/>
      <c r="C4" s="1301"/>
      <c r="D4" s="1287" t="s">
        <v>91</v>
      </c>
      <c r="E4" s="1287"/>
      <c r="F4" s="1287" t="s">
        <v>104</v>
      </c>
      <c r="G4" s="1287"/>
      <c r="H4" s="1287" t="s">
        <v>84</v>
      </c>
      <c r="I4" s="1287"/>
      <c r="J4" s="1287" t="s">
        <v>92</v>
      </c>
      <c r="K4" s="1287"/>
      <c r="L4" s="1287" t="s">
        <v>104</v>
      </c>
      <c r="M4" s="1287"/>
      <c r="N4" s="1287" t="s">
        <v>102</v>
      </c>
      <c r="O4" s="1287"/>
      <c r="P4" s="1287" t="s">
        <v>105</v>
      </c>
      <c r="Q4" s="1287"/>
      <c r="R4" s="1287" t="s">
        <v>106</v>
      </c>
      <c r="S4" s="1287"/>
      <c r="T4" s="1287" t="s">
        <v>104</v>
      </c>
      <c r="U4" s="1287"/>
      <c r="V4" s="1287" t="s">
        <v>102</v>
      </c>
      <c r="W4" s="1287" t="s">
        <v>10</v>
      </c>
      <c r="X4" s="1287" t="s">
        <v>107</v>
      </c>
      <c r="Y4" s="1287"/>
      <c r="Z4" s="1287" t="s">
        <v>108</v>
      </c>
      <c r="AA4" s="1287"/>
      <c r="AB4" s="1287" t="s">
        <v>102</v>
      </c>
      <c r="AC4" s="1287"/>
      <c r="AD4" s="1287" t="s">
        <v>103</v>
      </c>
      <c r="AE4" s="1287"/>
      <c r="AF4" s="1287" t="s">
        <v>86</v>
      </c>
      <c r="AG4" s="1287"/>
      <c r="AH4" s="1287" t="s">
        <v>103</v>
      </c>
      <c r="AI4" s="1287"/>
      <c r="AJ4" s="1287" t="s">
        <v>86</v>
      </c>
      <c r="AK4" s="1287"/>
    </row>
    <row r="5" spans="1:51" ht="13.15" customHeight="1" x14ac:dyDescent="0.25">
      <c r="A5" s="42"/>
      <c r="B5" s="59" t="s">
        <v>26</v>
      </c>
      <c r="C5" s="59" t="s">
        <v>27</v>
      </c>
      <c r="D5" s="56" t="s">
        <v>26</v>
      </c>
      <c r="E5" s="56" t="s">
        <v>27</v>
      </c>
      <c r="F5" s="501" t="s">
        <v>26</v>
      </c>
      <c r="G5" s="56" t="s">
        <v>27</v>
      </c>
      <c r="H5" s="56" t="s">
        <v>26</v>
      </c>
      <c r="I5" s="56" t="s">
        <v>27</v>
      </c>
      <c r="J5" s="56" t="s">
        <v>26</v>
      </c>
      <c r="K5" s="56" t="s">
        <v>27</v>
      </c>
      <c r="L5" s="56" t="s">
        <v>26</v>
      </c>
      <c r="M5" s="56" t="s">
        <v>27</v>
      </c>
      <c r="N5" s="56" t="s">
        <v>26</v>
      </c>
      <c r="O5" s="56" t="s">
        <v>27</v>
      </c>
      <c r="P5" s="56" t="s">
        <v>26</v>
      </c>
      <c r="Q5" s="56" t="s">
        <v>27</v>
      </c>
      <c r="R5" s="56" t="s">
        <v>26</v>
      </c>
      <c r="S5" s="56" t="s">
        <v>27</v>
      </c>
      <c r="T5" s="56" t="s">
        <v>26</v>
      </c>
      <c r="U5" s="56" t="s">
        <v>27</v>
      </c>
      <c r="V5" s="56" t="s">
        <v>26</v>
      </c>
      <c r="W5" s="56" t="s">
        <v>27</v>
      </c>
      <c r="X5" s="56" t="s">
        <v>26</v>
      </c>
      <c r="Y5" s="56" t="s">
        <v>27</v>
      </c>
      <c r="Z5" s="56" t="s">
        <v>26</v>
      </c>
      <c r="AA5" s="56" t="s">
        <v>27</v>
      </c>
      <c r="AB5" s="56" t="s">
        <v>26</v>
      </c>
      <c r="AC5" s="56" t="s">
        <v>27</v>
      </c>
      <c r="AD5" s="56" t="s">
        <v>26</v>
      </c>
      <c r="AE5" s="56" t="s">
        <v>27</v>
      </c>
      <c r="AF5" s="56" t="s">
        <v>26</v>
      </c>
      <c r="AG5" s="56" t="s">
        <v>27</v>
      </c>
      <c r="AH5" s="56" t="s">
        <v>26</v>
      </c>
      <c r="AI5" s="56" t="s">
        <v>27</v>
      </c>
      <c r="AJ5" s="56" t="s">
        <v>26</v>
      </c>
      <c r="AK5" s="56" t="s">
        <v>27</v>
      </c>
    </row>
    <row r="6" spans="1:51" ht="13.15" customHeight="1" x14ac:dyDescent="0.25">
      <c r="A6" s="40" t="s">
        <v>2</v>
      </c>
      <c r="B6" s="37">
        <f>'Calibration Data'!U11</f>
        <v>2.5145067698259187E-2</v>
      </c>
      <c r="C6" s="37">
        <f>'Calibration Data'!U3</f>
        <v>2.4329811212174497E-2</v>
      </c>
      <c r="D6" s="83">
        <f>'user page 2'!M6</f>
        <v>0.31040378099999999</v>
      </c>
      <c r="E6" s="83">
        <f>'user page 2'!N6</f>
        <v>0.31040378000000002</v>
      </c>
      <c r="F6" s="502">
        <f t="shared" ref="F6:G13" si="0">D6*B6</f>
        <v>7.8051240870406187E-3</v>
      </c>
      <c r="G6" s="502">
        <f t="shared" si="0"/>
        <v>7.5520653669453458E-3</v>
      </c>
      <c r="H6" s="45">
        <f t="shared" ref="H6:I13" si="1">F6/($F$14+$G$14)*$C$18/B6</f>
        <v>89.540676227175226</v>
      </c>
      <c r="I6" s="45">
        <f t="shared" si="1"/>
        <v>89.540675938710052</v>
      </c>
      <c r="J6" s="83">
        <f>'user page 2'!M15</f>
        <v>0.183234065</v>
      </c>
      <c r="K6" s="83">
        <f>'user page 2'!N15</f>
        <v>0.13348889999999999</v>
      </c>
      <c r="L6" s="502">
        <f t="shared" ref="L6:M13" si="2">J6*B6</f>
        <v>4.6074329690522246E-3</v>
      </c>
      <c r="M6" s="502">
        <f t="shared" si="2"/>
        <v>3.2477597359208401E-3</v>
      </c>
      <c r="N6" s="45">
        <f t="shared" ref="N6:O13" si="3">L6/($L$14+$M$14)*$C$19/B6</f>
        <v>0</v>
      </c>
      <c r="O6" s="45">
        <f t="shared" si="3"/>
        <v>0</v>
      </c>
      <c r="P6" s="220">
        <f t="shared" ref="P6:Q13" si="4">N6/(H6+N6)</f>
        <v>0</v>
      </c>
      <c r="Q6" s="220">
        <f t="shared" si="4"/>
        <v>0</v>
      </c>
      <c r="R6" s="83">
        <v>1.0662510447145248</v>
      </c>
      <c r="S6" s="83">
        <v>0.87533447251901875</v>
      </c>
      <c r="T6" s="43">
        <f t="shared" ref="T6:U13" si="5">R6*B6</f>
        <v>2.681095470268631E-2</v>
      </c>
      <c r="U6" s="43">
        <f t="shared" si="5"/>
        <v>2.1296722463896071E-2</v>
      </c>
      <c r="V6" s="43">
        <f>T6/($T$14+$U$14)*$V$15/B6</f>
        <v>3.2396800712896674</v>
      </c>
      <c r="W6" s="43">
        <f>U6/($T$14+$U$14)*$V$15/C6</f>
        <v>2.6596022206871255</v>
      </c>
      <c r="X6" s="83">
        <v>0.84739474343725973</v>
      </c>
      <c r="Y6" s="83">
        <v>0.83745444694719129</v>
      </c>
      <c r="Z6" s="43">
        <f t="shared" ref="Z6:AA13" si="6">X6*B6</f>
        <v>2.1307798190878871E-2</v>
      </c>
      <c r="AA6" s="43">
        <f t="shared" si="6"/>
        <v>2.0375108593021166E-2</v>
      </c>
      <c r="AB6" s="43">
        <f>Z6/($Z$14+$AA$14)*$AB$15/B6</f>
        <v>8.5656269600205519</v>
      </c>
      <c r="AC6" s="43">
        <f>AA6/($Z$14+$AA$14)*$AB$15/C6</f>
        <v>8.4651485557522452</v>
      </c>
      <c r="AD6" s="95">
        <f>$AE$3</f>
        <v>3.8</v>
      </c>
      <c r="AE6" s="95">
        <f>$AE$3</f>
        <v>3.8</v>
      </c>
      <c r="AF6" s="95">
        <f>$AG$3</f>
        <v>0</v>
      </c>
      <c r="AG6" s="95">
        <f>$AG$3</f>
        <v>0</v>
      </c>
      <c r="AH6" s="43">
        <f t="shared" ref="AH6:AI13" si="7">R6*H6/60</f>
        <v>1.5912139928611768</v>
      </c>
      <c r="AI6" s="43">
        <f t="shared" si="7"/>
        <v>1.3063006723634527</v>
      </c>
      <c r="AJ6" s="43">
        <f t="shared" ref="AJ6:AK13" si="8">X6*N6/60</f>
        <v>0</v>
      </c>
      <c r="AK6" s="43">
        <f t="shared" si="8"/>
        <v>0</v>
      </c>
    </row>
    <row r="7" spans="1:51" ht="13.15" customHeight="1" x14ac:dyDescent="0.25">
      <c r="A7" s="40" t="s">
        <v>3</v>
      </c>
      <c r="B7" s="37">
        <f>'Calibration Data'!U12</f>
        <v>5.2911744489026011E-2</v>
      </c>
      <c r="C7" s="37">
        <f>'Calibration Data'!U4</f>
        <v>5.1505027414997524E-2</v>
      </c>
      <c r="D7" s="83">
        <f>'user page 2'!M7</f>
        <v>0.67980168600000002</v>
      </c>
      <c r="E7" s="83">
        <f>'user page 2'!N7</f>
        <v>0.72523490000000002</v>
      </c>
      <c r="F7" s="502">
        <f t="shared" si="0"/>
        <v>3.5969493112841089E-2</v>
      </c>
      <c r="G7" s="502">
        <f t="shared" si="0"/>
        <v>3.7353243406812987E-2</v>
      </c>
      <c r="H7" s="45">
        <f t="shared" si="1"/>
        <v>196.09910184958031</v>
      </c>
      <c r="I7" s="45">
        <f t="shared" si="1"/>
        <v>209.20500117731422</v>
      </c>
      <c r="J7" s="83">
        <f>'user page 2'!M16</f>
        <v>0.39532173999999998</v>
      </c>
      <c r="K7" s="83">
        <f>'user page 2'!N16</f>
        <v>0.29649363000000001</v>
      </c>
      <c r="L7" s="502">
        <f t="shared" si="2"/>
        <v>2.0917162897837172E-2</v>
      </c>
      <c r="M7" s="502">
        <f t="shared" si="2"/>
        <v>1.5270912541522132E-2</v>
      </c>
      <c r="N7" s="45">
        <f t="shared" si="3"/>
        <v>0</v>
      </c>
      <c r="O7" s="45">
        <f t="shared" si="3"/>
        <v>0</v>
      </c>
      <c r="P7" s="220">
        <f t="shared" si="4"/>
        <v>0</v>
      </c>
      <c r="Q7" s="220">
        <f t="shared" si="4"/>
        <v>0</v>
      </c>
      <c r="R7" s="83">
        <v>1.0662510447145248</v>
      </c>
      <c r="S7" s="83">
        <v>0.87533447251901875</v>
      </c>
      <c r="T7" s="43">
        <f t="shared" si="5"/>
        <v>5.6417202839091983E-2</v>
      </c>
      <c r="U7" s="43">
        <f t="shared" si="5"/>
        <v>4.508412600438446E-2</v>
      </c>
      <c r="V7" s="43">
        <f t="shared" ref="V7:W13" si="9">T7/($T$14+$U$14)*$V$15/B7</f>
        <v>3.239680071289667</v>
      </c>
      <c r="W7" s="43">
        <f t="shared" si="9"/>
        <v>2.6596022206871255</v>
      </c>
      <c r="X7" s="83">
        <v>0.89201119875320134</v>
      </c>
      <c r="Y7" s="83">
        <v>0.98171847430893688</v>
      </c>
      <c r="Z7" s="43">
        <f t="shared" si="6"/>
        <v>4.7197868629779184E-2</v>
      </c>
      <c r="AA7" s="43">
        <f t="shared" si="6"/>
        <v>5.0563436933091337E-2</v>
      </c>
      <c r="AB7" s="43">
        <f t="shared" ref="AB7:AB13" si="10">Z7/($Z$14+$AA$14)*$AB$15/B7</f>
        <v>9.0166185616023675</v>
      </c>
      <c r="AC7" s="43">
        <f t="shared" ref="AC7:AC13" si="11">AA7/($Z$14+$AA$14)*$AB$15/C7</f>
        <v>9.9233967354831361</v>
      </c>
      <c r="AD7" s="95">
        <f t="shared" ref="AD7:AE13" si="12">$AE$3</f>
        <v>3.8</v>
      </c>
      <c r="AE7" s="95">
        <f t="shared" si="12"/>
        <v>3.8</v>
      </c>
      <c r="AF7" s="95">
        <f t="shared" ref="AF7:AG9" si="13">$AG$3</f>
        <v>0</v>
      </c>
      <c r="AG7" s="95">
        <f t="shared" si="13"/>
        <v>0</v>
      </c>
      <c r="AH7" s="43">
        <f t="shared" si="7"/>
        <v>3.4848478702449168</v>
      </c>
      <c r="AI7" s="43">
        <f t="shared" si="7"/>
        <v>3.0520724892314175</v>
      </c>
      <c r="AJ7" s="43">
        <f t="shared" si="8"/>
        <v>0</v>
      </c>
      <c r="AK7" s="43">
        <f t="shared" si="8"/>
        <v>0</v>
      </c>
    </row>
    <row r="8" spans="1:51" ht="13.15" customHeight="1" x14ac:dyDescent="0.25">
      <c r="A8" s="40" t="s">
        <v>4</v>
      </c>
      <c r="B8" s="37">
        <f>'Calibration Data'!U13</f>
        <v>8.0518567066835051E-2</v>
      </c>
      <c r="C8" s="37">
        <f>'Calibration Data'!U5</f>
        <v>7.8600316511341653E-2</v>
      </c>
      <c r="D8" s="83">
        <f>'user page 2'!M8</f>
        <v>0.770005461</v>
      </c>
      <c r="E8" s="83">
        <f>'user page 2'!N8</f>
        <v>1</v>
      </c>
      <c r="F8" s="502">
        <f t="shared" si="0"/>
        <v>6.1999736353357739E-2</v>
      </c>
      <c r="G8" s="502">
        <f t="shared" si="0"/>
        <v>7.8600316511341653E-2</v>
      </c>
      <c r="H8" s="45">
        <f t="shared" si="1"/>
        <v>222.11974820164252</v>
      </c>
      <c r="I8" s="45">
        <f t="shared" si="1"/>
        <v>288.46515960182586</v>
      </c>
      <c r="J8" s="83">
        <f>'user page 2'!M17</f>
        <v>1.2510284089999999</v>
      </c>
      <c r="K8" s="83">
        <f>'user page 2'!N17</f>
        <v>1</v>
      </c>
      <c r="L8" s="502">
        <f t="shared" si="2"/>
        <v>0.10073101485258244</v>
      </c>
      <c r="M8" s="502">
        <f t="shared" si="2"/>
        <v>7.8600316511341653E-2</v>
      </c>
      <c r="N8" s="45">
        <f t="shared" si="3"/>
        <v>0</v>
      </c>
      <c r="O8" s="45">
        <f t="shared" si="3"/>
        <v>0</v>
      </c>
      <c r="P8" s="220">
        <f t="shared" si="4"/>
        <v>0</v>
      </c>
      <c r="Q8" s="220">
        <f t="shared" si="4"/>
        <v>0</v>
      </c>
      <c r="R8" s="83">
        <v>1.0206231846929574</v>
      </c>
      <c r="S8" s="83">
        <v>1.0002107209990982</v>
      </c>
      <c r="T8" s="43">
        <f t="shared" si="5"/>
        <v>8.2179116346666664E-2</v>
      </c>
      <c r="U8" s="43">
        <f t="shared" si="5"/>
        <v>7.8616879248566363E-2</v>
      </c>
      <c r="V8" s="43">
        <f t="shared" si="9"/>
        <v>3.1010451132840284</v>
      </c>
      <c r="W8" s="43">
        <f t="shared" si="9"/>
        <v>3.0390242110183481</v>
      </c>
      <c r="X8" s="83">
        <v>1.0720996859255612</v>
      </c>
      <c r="Y8" s="83">
        <v>0.95696550895019128</v>
      </c>
      <c r="Z8" s="43">
        <f t="shared" si="6"/>
        <v>8.6323930463530082E-2</v>
      </c>
      <c r="AA8" s="43">
        <f t="shared" si="6"/>
        <v>7.5217791893922192E-2</v>
      </c>
      <c r="AB8" s="43">
        <f t="shared" si="10"/>
        <v>10.836987183026428</v>
      </c>
      <c r="AC8" s="43">
        <f t="shared" si="11"/>
        <v>9.67318906183473</v>
      </c>
      <c r="AD8" s="95">
        <f t="shared" si="12"/>
        <v>3.8</v>
      </c>
      <c r="AE8" s="95">
        <f t="shared" si="12"/>
        <v>3.8</v>
      </c>
      <c r="AF8" s="95">
        <f t="shared" si="13"/>
        <v>0</v>
      </c>
      <c r="AG8" s="95">
        <f t="shared" si="13"/>
        <v>0</v>
      </c>
      <c r="AH8" s="43">
        <f t="shared" si="7"/>
        <v>3.7783427465459698</v>
      </c>
      <c r="AI8" s="43">
        <f t="shared" si="7"/>
        <v>4.8087657544743694</v>
      </c>
      <c r="AJ8" s="43">
        <f t="shared" si="8"/>
        <v>0</v>
      </c>
      <c r="AK8" s="43">
        <f t="shared" si="8"/>
        <v>0</v>
      </c>
    </row>
    <row r="9" spans="1:51" ht="13.15" customHeight="1" x14ac:dyDescent="0.25">
      <c r="A9" s="40" t="s">
        <v>5</v>
      </c>
      <c r="B9" s="37">
        <f>'Calibration Data'!U14</f>
        <v>7.800885592339786E-2</v>
      </c>
      <c r="C9" s="37">
        <f>'Calibration Data'!U6</f>
        <v>7.578688236328468E-2</v>
      </c>
      <c r="D9" s="83">
        <f>'user page 2'!M9</f>
        <v>0.44666535499999999</v>
      </c>
      <c r="E9" s="83">
        <f>'user page 2'!N9</f>
        <v>0.60232887999999996</v>
      </c>
      <c r="F9" s="502">
        <f t="shared" si="0"/>
        <v>3.484385332416836E-2</v>
      </c>
      <c r="G9" s="502">
        <f t="shared" si="0"/>
        <v>4.5648627972569009E-2</v>
      </c>
      <c r="H9" s="45">
        <f t="shared" si="1"/>
        <v>128.84739291868121</v>
      </c>
      <c r="I9" s="45">
        <f t="shared" si="1"/>
        <v>173.75089650198902</v>
      </c>
      <c r="J9" s="83">
        <f>'user page 2'!M18</f>
        <v>2.5115441650000001</v>
      </c>
      <c r="K9" s="83">
        <f>'user page 2'!N18</f>
        <v>0.904362</v>
      </c>
      <c r="L9" s="502">
        <f t="shared" si="2"/>
        <v>0.19592268691273559</v>
      </c>
      <c r="M9" s="502">
        <f t="shared" si="2"/>
        <v>6.8538776507824861E-2</v>
      </c>
      <c r="N9" s="45">
        <f t="shared" si="3"/>
        <v>0</v>
      </c>
      <c r="O9" s="45">
        <f t="shared" si="3"/>
        <v>0</v>
      </c>
      <c r="P9" s="220">
        <f t="shared" si="4"/>
        <v>0</v>
      </c>
      <c r="Q9" s="220">
        <f t="shared" si="4"/>
        <v>0</v>
      </c>
      <c r="R9" s="83">
        <v>1.0590466457637511</v>
      </c>
      <c r="S9" s="83">
        <v>1.0338312494360427</v>
      </c>
      <c r="T9" s="43">
        <f t="shared" si="5"/>
        <v>8.2615017205542235E-2</v>
      </c>
      <c r="U9" s="43">
        <f t="shared" si="5"/>
        <v>7.8350847284496983E-2</v>
      </c>
      <c r="V9" s="43">
        <f t="shared" si="9"/>
        <v>3.2177903410782509</v>
      </c>
      <c r="W9" s="43">
        <f t="shared" si="9"/>
        <v>3.1411762853382919</v>
      </c>
      <c r="X9" s="83">
        <v>1.0734872746194433</v>
      </c>
      <c r="Y9" s="83">
        <v>0.98047195259287001</v>
      </c>
      <c r="Z9" s="43">
        <f t="shared" si="6"/>
        <v>8.3741514141389181E-2</v>
      </c>
      <c r="AA9" s="43">
        <f t="shared" si="6"/>
        <v>7.4306912531655875E-2</v>
      </c>
      <c r="AB9" s="43">
        <f t="shared" si="10"/>
        <v>10.851013193003226</v>
      </c>
      <c r="AC9" s="43">
        <f t="shared" si="11"/>
        <v>9.9107966573022352</v>
      </c>
      <c r="AD9" s="95">
        <f t="shared" si="12"/>
        <v>3.8</v>
      </c>
      <c r="AE9" s="95">
        <f t="shared" si="12"/>
        <v>3.8</v>
      </c>
      <c r="AF9" s="95">
        <f t="shared" si="13"/>
        <v>0</v>
      </c>
      <c r="AG9" s="95">
        <f t="shared" si="13"/>
        <v>0</v>
      </c>
      <c r="AH9" s="43">
        <f t="shared" si="7"/>
        <v>2.2742566547655572</v>
      </c>
      <c r="AI9" s="43">
        <f t="shared" si="7"/>
        <v>2.9938184403547305</v>
      </c>
      <c r="AJ9" s="43">
        <f t="shared" si="8"/>
        <v>0</v>
      </c>
      <c r="AK9" s="43">
        <f t="shared" si="8"/>
        <v>0</v>
      </c>
    </row>
    <row r="10" spans="1:51" ht="13.15" customHeight="1" x14ac:dyDescent="0.25">
      <c r="A10" s="40" t="s">
        <v>6</v>
      </c>
      <c r="B10" s="37">
        <f>'Calibration Data'!U15</f>
        <v>0.10460859695957286</v>
      </c>
      <c r="C10" s="37">
        <f>'Calibration Data'!U7</f>
        <v>0.11189794907044776</v>
      </c>
      <c r="D10" s="83">
        <f>'user page 2'!M10</f>
        <v>0.44889716099999999</v>
      </c>
      <c r="E10" s="83">
        <f>'user page 2'!N10</f>
        <v>0.50844272000000001</v>
      </c>
      <c r="F10" s="502">
        <f t="shared" si="0"/>
        <v>4.6958502191345487E-2</v>
      </c>
      <c r="G10" s="502">
        <f t="shared" si="0"/>
        <v>5.6893697587799927E-2</v>
      </c>
      <c r="H10" s="45">
        <f t="shared" si="1"/>
        <v>129.49119119267152</v>
      </c>
      <c r="I10" s="45">
        <f t="shared" si="1"/>
        <v>146.66801037318646</v>
      </c>
      <c r="J10" s="83">
        <f>'user page 2'!M19</f>
        <v>2.3363895970000002</v>
      </c>
      <c r="K10" s="83">
        <f>'user page 2'!N19</f>
        <v>0.98345799</v>
      </c>
      <c r="L10" s="502">
        <f t="shared" si="2"/>
        <v>0.24440643769311188</v>
      </c>
      <c r="M10" s="502">
        <f t="shared" si="2"/>
        <v>0.11004693207794491</v>
      </c>
      <c r="N10" s="45">
        <f t="shared" si="3"/>
        <v>0</v>
      </c>
      <c r="O10" s="45">
        <f t="shared" si="3"/>
        <v>0</v>
      </c>
      <c r="P10" s="220">
        <f t="shared" si="4"/>
        <v>0</v>
      </c>
      <c r="Q10" s="220">
        <f t="shared" si="4"/>
        <v>0</v>
      </c>
      <c r="R10" s="83">
        <v>1.039234548649123</v>
      </c>
      <c r="S10" s="83">
        <v>0.94737846202675691</v>
      </c>
      <c r="T10" s="43">
        <f t="shared" si="5"/>
        <v>0.10871286804609973</v>
      </c>
      <c r="U10" s="43">
        <f t="shared" si="5"/>
        <v>0.10600970689430916</v>
      </c>
      <c r="V10" s="43">
        <f t="shared" si="9"/>
        <v>3.1575935829968547</v>
      </c>
      <c r="W10" s="43">
        <f t="shared" si="9"/>
        <v>2.8784995228012922</v>
      </c>
      <c r="X10" s="83">
        <v>1.156495199006248</v>
      </c>
      <c r="Y10" s="83">
        <v>0.96279225292112047</v>
      </c>
      <c r="Z10" s="43">
        <f t="shared" si="6"/>
        <v>0.1209793401585256</v>
      </c>
      <c r="AA10" s="43">
        <f t="shared" si="6"/>
        <v>0.10773447848278919</v>
      </c>
      <c r="AB10" s="43">
        <f t="shared" si="10"/>
        <v>11.690073053274363</v>
      </c>
      <c r="AC10" s="43">
        <f t="shared" si="11"/>
        <v>9.7320868962065603</v>
      </c>
      <c r="AD10" s="95">
        <f t="shared" si="12"/>
        <v>3.8</v>
      </c>
      <c r="AE10" s="95">
        <f t="shared" si="12"/>
        <v>3.8</v>
      </c>
      <c r="AF10" s="95">
        <f>$AG$3</f>
        <v>0</v>
      </c>
      <c r="AG10" s="95">
        <f>$AG$3</f>
        <v>0</v>
      </c>
      <c r="AH10" s="43">
        <f t="shared" si="7"/>
        <v>2.2428619938858882</v>
      </c>
      <c r="AI10" s="43">
        <f t="shared" si="7"/>
        <v>2.3158352349312303</v>
      </c>
      <c r="AJ10" s="43">
        <f t="shared" si="8"/>
        <v>0</v>
      </c>
      <c r="AK10" s="43">
        <f t="shared" si="8"/>
        <v>0</v>
      </c>
    </row>
    <row r="11" spans="1:51" ht="13.15" customHeight="1" x14ac:dyDescent="0.25">
      <c r="A11" s="40" t="s">
        <v>7</v>
      </c>
      <c r="B11" s="37">
        <f>'Calibration Data'!U16</f>
        <v>7.6873891011397605E-2</v>
      </c>
      <c r="C11" s="37">
        <f>'Calibration Data'!U8</f>
        <v>8.1365794395511296E-2</v>
      </c>
      <c r="D11" s="83">
        <f>'user page 2'!M11</f>
        <v>0.40697791900000002</v>
      </c>
      <c r="E11" s="83">
        <f>'user page 2'!N11</f>
        <v>0.33441913000000001</v>
      </c>
      <c r="F11" s="502">
        <f t="shared" si="0"/>
        <v>3.1285976189251406E-2</v>
      </c>
      <c r="G11" s="502">
        <f t="shared" si="0"/>
        <v>2.7210278173505763E-2</v>
      </c>
      <c r="H11" s="45">
        <f t="shared" si="1"/>
        <v>117.39895035875398</v>
      </c>
      <c r="I11" s="45">
        <f t="shared" si="1"/>
        <v>96.468267709353754</v>
      </c>
      <c r="J11" s="83">
        <f>'user page 2'!M20</f>
        <v>1.116587228</v>
      </c>
      <c r="K11" s="83">
        <f>'user page 2'!N20</f>
        <v>0.24048923999999999</v>
      </c>
      <c r="L11" s="502">
        <f t="shared" si="2"/>
        <v>8.5836404869990571E-2</v>
      </c>
      <c r="M11" s="502">
        <f t="shared" si="2"/>
        <v>1.956759805617277E-2</v>
      </c>
      <c r="N11" s="45">
        <f t="shared" si="3"/>
        <v>0</v>
      </c>
      <c r="O11" s="45">
        <f t="shared" si="3"/>
        <v>0</v>
      </c>
      <c r="P11" s="220">
        <f t="shared" si="4"/>
        <v>0</v>
      </c>
      <c r="Q11" s="220">
        <f t="shared" si="4"/>
        <v>0</v>
      </c>
      <c r="R11" s="83">
        <v>1.0302290499606557</v>
      </c>
      <c r="S11" s="83">
        <v>0.93296966412520921</v>
      </c>
      <c r="T11" s="43">
        <f t="shared" si="5"/>
        <v>7.9197715703451146E-2</v>
      </c>
      <c r="U11" s="43">
        <f t="shared" si="5"/>
        <v>7.5911817868461004E-2</v>
      </c>
      <c r="V11" s="43">
        <f t="shared" si="9"/>
        <v>3.1302314202325836</v>
      </c>
      <c r="W11" s="43">
        <f t="shared" si="9"/>
        <v>2.8347200623784583</v>
      </c>
      <c r="X11" s="83">
        <v>1.0630716656428001</v>
      </c>
      <c r="Y11" s="83">
        <v>0.92915629547235501</v>
      </c>
      <c r="Z11" s="43">
        <f t="shared" si="6"/>
        <v>8.1722455361929527E-2</v>
      </c>
      <c r="AA11" s="43">
        <f t="shared" si="6"/>
        <v>7.5601540098698586E-2</v>
      </c>
      <c r="AB11" s="43">
        <f t="shared" si="10"/>
        <v>10.74573023987387</v>
      </c>
      <c r="AC11" s="43">
        <f t="shared" si="11"/>
        <v>9.3920882519140712</v>
      </c>
      <c r="AD11" s="95">
        <f t="shared" si="12"/>
        <v>3.8</v>
      </c>
      <c r="AE11" s="95">
        <f t="shared" si="12"/>
        <v>3.8</v>
      </c>
      <c r="AF11" s="95">
        <f>$AG$3</f>
        <v>0</v>
      </c>
      <c r="AG11" s="95">
        <f>$AG$3</f>
        <v>0</v>
      </c>
      <c r="AH11" s="43">
        <f t="shared" si="7"/>
        <v>2.0157968182412884</v>
      </c>
      <c r="AI11" s="43">
        <f t="shared" si="7"/>
        <v>1.5000327887256089</v>
      </c>
      <c r="AJ11" s="43">
        <f t="shared" si="8"/>
        <v>0</v>
      </c>
      <c r="AK11" s="43">
        <f t="shared" si="8"/>
        <v>0</v>
      </c>
    </row>
    <row r="12" spans="1:51" ht="13.15" customHeight="1" x14ac:dyDescent="0.25">
      <c r="A12" s="40" t="s">
        <v>8</v>
      </c>
      <c r="B12" s="37">
        <f>'Calibration Data'!U17</f>
        <v>4.9634733123391464E-2</v>
      </c>
      <c r="C12" s="37">
        <f>'Calibration Data'!U9</f>
        <v>5.2432181850152658E-2</v>
      </c>
      <c r="D12" s="83">
        <f>'user page 2'!M12</f>
        <v>0.38651410600000002</v>
      </c>
      <c r="E12" s="83">
        <f>'user page 2'!N12</f>
        <v>0.30371119000000002</v>
      </c>
      <c r="F12" s="502">
        <f t="shared" si="0"/>
        <v>1.918452449973624E-2</v>
      </c>
      <c r="G12" s="502">
        <f t="shared" si="0"/>
        <v>1.5924240344006267E-2</v>
      </c>
      <c r="H12" s="45">
        <f t="shared" si="1"/>
        <v>111.49585327564705</v>
      </c>
      <c r="I12" s="45">
        <f t="shared" si="1"/>
        <v>87.610096896210464</v>
      </c>
      <c r="J12" s="83">
        <f>'user page 2'!M21</f>
        <v>0.27123740200000002</v>
      </c>
      <c r="K12" s="83">
        <f>'user page 2'!N21</f>
        <v>4.9200340000000002E-2</v>
      </c>
      <c r="L12" s="502">
        <f t="shared" si="2"/>
        <v>1.3462796061352048E-2</v>
      </c>
      <c r="M12" s="502">
        <f t="shared" si="2"/>
        <v>2.5796811739693401E-3</v>
      </c>
      <c r="N12" s="45">
        <f t="shared" si="3"/>
        <v>0</v>
      </c>
      <c r="O12" s="45">
        <f t="shared" si="3"/>
        <v>0</v>
      </c>
      <c r="P12" s="220">
        <f t="shared" si="4"/>
        <v>0</v>
      </c>
      <c r="Q12" s="220">
        <f t="shared" si="4"/>
        <v>0</v>
      </c>
      <c r="R12" s="83">
        <v>0.95098066150214378</v>
      </c>
      <c r="S12" s="83">
        <v>0.89694766937134018</v>
      </c>
      <c r="T12" s="43">
        <f t="shared" si="5"/>
        <v>4.7201671339165183E-2</v>
      </c>
      <c r="U12" s="43">
        <f t="shared" si="5"/>
        <v>4.7028923310548712E-2</v>
      </c>
      <c r="V12" s="43">
        <f t="shared" si="9"/>
        <v>2.889444387907</v>
      </c>
      <c r="W12" s="43">
        <f t="shared" si="9"/>
        <v>2.7252714113213754</v>
      </c>
      <c r="X12" s="83">
        <v>1.0293386595342919</v>
      </c>
      <c r="Y12" s="83">
        <v>0.84850875826748196</v>
      </c>
      <c r="Z12" s="43">
        <f t="shared" si="6"/>
        <v>5.1090949659574086E-2</v>
      </c>
      <c r="AA12" s="43">
        <f t="shared" si="6"/>
        <v>4.4489165514927834E-2</v>
      </c>
      <c r="AB12" s="43">
        <f t="shared" si="10"/>
        <v>10.404750609302244</v>
      </c>
      <c r="AC12" s="43">
        <f t="shared" si="11"/>
        <v>8.5768876334404833</v>
      </c>
      <c r="AD12" s="95">
        <f t="shared" si="12"/>
        <v>3.8</v>
      </c>
      <c r="AE12" s="95">
        <f t="shared" si="12"/>
        <v>3.8</v>
      </c>
      <c r="AF12" s="95">
        <v>6</v>
      </c>
      <c r="AG12" s="95">
        <v>6</v>
      </c>
      <c r="AH12" s="43">
        <f t="shared" si="7"/>
        <v>1.7671733383803465</v>
      </c>
      <c r="AI12" s="43">
        <f t="shared" si="7"/>
        <v>1.309694537074221</v>
      </c>
      <c r="AJ12" s="43">
        <f t="shared" si="8"/>
        <v>0</v>
      </c>
      <c r="AK12" s="43">
        <f t="shared" si="8"/>
        <v>0</v>
      </c>
    </row>
    <row r="13" spans="1:51" ht="13.15" customHeight="1" x14ac:dyDescent="0.25">
      <c r="A13" s="41" t="s">
        <v>9</v>
      </c>
      <c r="B13" s="37">
        <f>'Calibration Data'!U18</f>
        <v>2.5224994804738079E-2</v>
      </c>
      <c r="C13" s="37">
        <f>'Calibration Data'!U10</f>
        <v>3.1155586105471811E-2</v>
      </c>
      <c r="D13" s="83">
        <f>'user page 2'!M13</f>
        <v>0.31097055200000001</v>
      </c>
      <c r="E13" s="83">
        <f>'user page 2'!N13</f>
        <v>0.15790307000000001</v>
      </c>
      <c r="F13" s="502">
        <f t="shared" si="0"/>
        <v>7.8442305586265328E-3</v>
      </c>
      <c r="G13" s="502">
        <f t="shared" si="0"/>
        <v>4.9195626937033428E-3</v>
      </c>
      <c r="H13" s="45">
        <f t="shared" si="1"/>
        <v>89.704169914147897</v>
      </c>
      <c r="I13" s="45">
        <f t="shared" si="1"/>
        <v>45.549534289168285</v>
      </c>
      <c r="J13" s="83">
        <f>'user page 2'!M22</f>
        <v>2.6675925999999999E-2</v>
      </c>
      <c r="K13" s="83">
        <f>'user page 2'!N22</f>
        <v>6.7848999999999996E-9</v>
      </c>
      <c r="L13" s="502">
        <f t="shared" si="2"/>
        <v>6.7290009476157742E-4</v>
      </c>
      <c r="M13" s="502">
        <f t="shared" si="2"/>
        <v>2.1138753616701568E-10</v>
      </c>
      <c r="N13" s="45">
        <f t="shared" si="3"/>
        <v>0</v>
      </c>
      <c r="O13" s="45">
        <f t="shared" si="3"/>
        <v>0</v>
      </c>
      <c r="P13" s="220">
        <f t="shared" si="4"/>
        <v>0</v>
      </c>
      <c r="Q13" s="220">
        <f t="shared" si="4"/>
        <v>0</v>
      </c>
      <c r="R13" s="83">
        <v>0.95098066150214378</v>
      </c>
      <c r="S13" s="83">
        <v>0.89694766937134018</v>
      </c>
      <c r="T13" s="43">
        <f t="shared" si="5"/>
        <v>2.3988482245797957E-2</v>
      </c>
      <c r="U13" s="43">
        <f t="shared" si="5"/>
        <v>2.7944930345201052E-2</v>
      </c>
      <c r="V13" s="43">
        <f t="shared" si="9"/>
        <v>2.889444387907</v>
      </c>
      <c r="W13" s="43">
        <f t="shared" si="9"/>
        <v>2.7252714113213758</v>
      </c>
      <c r="X13" s="83">
        <v>0.90228329150939157</v>
      </c>
      <c r="Y13" s="83">
        <v>0.83081180869133686</v>
      </c>
      <c r="Z13" s="43">
        <f t="shared" si="6"/>
        <v>2.2760091340726377E-2</v>
      </c>
      <c r="AA13" s="43">
        <f t="shared" si="6"/>
        <v>2.588442884312572E-2</v>
      </c>
      <c r="AB13" s="43">
        <f t="shared" si="10"/>
        <v>9.1204508255262127</v>
      </c>
      <c r="AC13" s="43">
        <f t="shared" si="11"/>
        <v>8.3980035070359698</v>
      </c>
      <c r="AD13" s="95">
        <f t="shared" si="12"/>
        <v>3.8</v>
      </c>
      <c r="AE13" s="95">
        <f t="shared" si="12"/>
        <v>3.8</v>
      </c>
      <c r="AF13" s="95">
        <v>6</v>
      </c>
      <c r="AG13" s="95">
        <v>6</v>
      </c>
      <c r="AH13" s="43">
        <f t="shared" si="7"/>
        <v>1.4217821807409512</v>
      </c>
      <c r="AI13" s="43">
        <f t="shared" si="7"/>
        <v>0.68092581036032407</v>
      </c>
      <c r="AJ13" s="43">
        <f t="shared" si="8"/>
        <v>0</v>
      </c>
      <c r="AK13" s="43">
        <f t="shared" si="8"/>
        <v>0</v>
      </c>
    </row>
    <row r="14" spans="1:51" ht="13.15" customHeight="1" x14ac:dyDescent="0.25">
      <c r="B14" s="38">
        <f t="shared" ref="B14:O14" si="14">SUM(B6:B13)</f>
        <v>0.49292645107661809</v>
      </c>
      <c r="C14" s="38">
        <f t="shared" si="14"/>
        <v>0.50707354892338186</v>
      </c>
      <c r="D14" s="48">
        <f t="shared" si="14"/>
        <v>3.7602360210000003</v>
      </c>
      <c r="E14" s="48">
        <f t="shared" si="14"/>
        <v>3.9424436700000003</v>
      </c>
      <c r="F14" s="503">
        <f t="shared" si="14"/>
        <v>0.24589144031636748</v>
      </c>
      <c r="G14" s="48">
        <f t="shared" si="14"/>
        <v>0.27410203205668426</v>
      </c>
      <c r="H14" s="48"/>
      <c r="I14" s="48"/>
      <c r="J14" s="48">
        <f t="shared" si="14"/>
        <v>8.0920185319999991</v>
      </c>
      <c r="K14" s="48">
        <f t="shared" si="14"/>
        <v>3.6074921067849002</v>
      </c>
      <c r="L14" s="48">
        <f t="shared" si="14"/>
        <v>0.66655683635142349</v>
      </c>
      <c r="M14" s="48">
        <f t="shared" si="14"/>
        <v>0.297851976816084</v>
      </c>
      <c r="N14" s="48">
        <f t="shared" si="14"/>
        <v>0</v>
      </c>
      <c r="O14" s="48">
        <f t="shared" si="14"/>
        <v>0</v>
      </c>
      <c r="P14" s="48"/>
      <c r="Q14" s="48"/>
      <c r="R14" s="48"/>
      <c r="S14" s="48"/>
      <c r="T14" s="48">
        <f>SUM(T6:T13)</f>
        <v>0.50712302842850121</v>
      </c>
      <c r="U14" s="48">
        <f>SUM(U6:U13)</f>
        <v>0.48024395341986381</v>
      </c>
      <c r="V14" s="48"/>
      <c r="W14" s="48"/>
      <c r="X14" s="48"/>
      <c r="Y14" s="48"/>
      <c r="Z14" s="48">
        <f>SUM(Z6:Z13)</f>
        <v>0.51512394794633298</v>
      </c>
      <c r="AA14" s="45">
        <f>SUM(AA6:AA13)</f>
        <v>0.47417286289123189</v>
      </c>
      <c r="AB14" s="45"/>
      <c r="AC14" s="45"/>
      <c r="AD14" s="45"/>
      <c r="AE14" s="45"/>
      <c r="AF14" s="45"/>
      <c r="AG14" s="45"/>
      <c r="AH14" s="45"/>
      <c r="AI14" s="45"/>
      <c r="AJ14" s="45"/>
      <c r="AK14" s="45"/>
    </row>
    <row r="15" spans="1:51" ht="13.15" customHeight="1" thickBot="1" x14ac:dyDescent="0.3">
      <c r="B15" s="37"/>
      <c r="C15" s="37"/>
      <c r="D15" s="77"/>
      <c r="E15" s="77"/>
      <c r="F15" s="296"/>
      <c r="G15" s="77"/>
      <c r="H15" s="77"/>
      <c r="I15" s="77"/>
      <c r="J15" s="77"/>
      <c r="K15" s="77"/>
      <c r="L15" s="77"/>
      <c r="M15" s="77"/>
      <c r="N15" s="77"/>
      <c r="O15" s="77"/>
      <c r="P15" s="77"/>
      <c r="Q15" s="77"/>
      <c r="R15" s="77"/>
      <c r="S15" s="77"/>
      <c r="T15" s="77"/>
      <c r="U15" s="77"/>
      <c r="V15" s="517">
        <f>IF(('user page'!$U$1=0),'user page'!C17,IF(('user page'!$U$1=1),'user page'!E17,IF(('user page'!$U$1=2),'user page'!G17,IF(('user page'!$U$1=3),'user page'!I17,IF(('user page'!$U$1=4),'user page'!M17,IF(('user page'!$U$1=5),'user page'!O16,""))))))</f>
        <v>3</v>
      </c>
      <c r="W15" s="77"/>
      <c r="X15" s="77"/>
      <c r="Y15" s="77"/>
      <c r="Z15" s="77"/>
      <c r="AA15" s="77"/>
      <c r="AB15" s="517">
        <f>IF(('user page'!$U$1=0),'user page'!C18,IF(('user page'!$U$1=1),'user page'!E18,IF(('user page'!$U$1=2),'user page'!G18,IF(('user page'!$U$1=3),'user page'!I18,IF(('user page'!$U$1=4),'user page'!M18,IF(('user page'!$U$1=5),'user page'!T17,""))))))</f>
        <v>10</v>
      </c>
      <c r="AC15" s="77"/>
      <c r="AD15" s="77"/>
      <c r="AE15" s="77"/>
      <c r="AF15" s="77"/>
      <c r="AG15" s="77"/>
      <c r="AH15" s="77"/>
      <c r="AI15" s="77"/>
      <c r="AJ15" s="77"/>
      <c r="AK15" s="77"/>
    </row>
    <row r="16" spans="1:51" ht="13.15" customHeight="1" x14ac:dyDescent="0.25">
      <c r="A16" s="1308" t="s">
        <v>22</v>
      </c>
      <c r="B16" s="1309"/>
      <c r="C16" s="198">
        <f>EXP(NORMINV(P17,LN(C17),LN((C17*C20))))</f>
        <v>8.7995222966085507</v>
      </c>
      <c r="D16" s="66"/>
      <c r="E16" s="84"/>
      <c r="F16" s="504"/>
      <c r="G16" s="84"/>
      <c r="H16" s="85"/>
      <c r="I16" s="145"/>
      <c r="J16" s="486" t="s">
        <v>117</v>
      </c>
      <c r="K16" s="145"/>
      <c r="L16" s="145"/>
      <c r="M16" s="518"/>
      <c r="N16" s="180"/>
      <c r="O16" s="179" t="s">
        <v>20</v>
      </c>
      <c r="P16" s="518"/>
      <c r="Q16" s="518"/>
      <c r="R16" s="518"/>
      <c r="S16" s="518"/>
      <c r="T16" s="179" t="s">
        <v>113</v>
      </c>
      <c r="U16" s="180"/>
      <c r="V16" s="180"/>
      <c r="W16" s="518"/>
      <c r="X16" s="518"/>
      <c r="Y16" s="181" t="s">
        <v>114</v>
      </c>
      <c r="Z16" s="182"/>
      <c r="AA16" s="182"/>
      <c r="AB16" s="518"/>
      <c r="AC16" s="518"/>
      <c r="AD16" s="181" t="s">
        <v>112</v>
      </c>
      <c r="AE16" s="182"/>
      <c r="AF16" s="182"/>
      <c r="AG16" s="519"/>
      <c r="AH16" s="520"/>
      <c r="AI16" s="181" t="s">
        <v>115</v>
      </c>
      <c r="AJ16" s="182"/>
      <c r="AK16" s="182"/>
      <c r="AL16" s="519"/>
      <c r="AM16" s="182"/>
      <c r="AN16" s="181" t="s">
        <v>116</v>
      </c>
      <c r="AO16" s="519"/>
      <c r="AP16" s="519"/>
      <c r="AQ16" s="519"/>
      <c r="AR16" s="523"/>
      <c r="AY16" s="64"/>
    </row>
    <row r="17" spans="1:52" ht="13.15" customHeight="1" thickBot="1" x14ac:dyDescent="0.3">
      <c r="A17" s="1306" t="s">
        <v>23</v>
      </c>
      <c r="B17" s="1307"/>
      <c r="C17" s="86">
        <f>C18+C19</f>
        <v>150</v>
      </c>
      <c r="D17" s="67" t="s">
        <v>120</v>
      </c>
      <c r="E17" s="68" t="s">
        <v>68</v>
      </c>
      <c r="F17" s="505" t="s">
        <v>15</v>
      </c>
      <c r="G17" s="69" t="s">
        <v>0</v>
      </c>
      <c r="H17" s="69" t="s">
        <v>87</v>
      </c>
      <c r="I17" s="69" t="s">
        <v>88</v>
      </c>
      <c r="J17" s="207">
        <v>0.1</v>
      </c>
      <c r="K17" s="70">
        <v>0.3</v>
      </c>
      <c r="L17" s="70">
        <v>0.5</v>
      </c>
      <c r="M17" s="70">
        <v>0.7</v>
      </c>
      <c r="N17" s="70">
        <v>0.9</v>
      </c>
      <c r="O17" s="207">
        <v>0.1</v>
      </c>
      <c r="P17" s="70">
        <v>0.3</v>
      </c>
      <c r="Q17" s="70">
        <v>0.5</v>
      </c>
      <c r="R17" s="70">
        <v>0.7</v>
      </c>
      <c r="S17" s="70">
        <v>0.9</v>
      </c>
      <c r="T17" s="207">
        <v>0.1</v>
      </c>
      <c r="U17" s="70">
        <v>0.3</v>
      </c>
      <c r="V17" s="70">
        <v>0.5</v>
      </c>
      <c r="W17" s="70">
        <v>0.7</v>
      </c>
      <c r="X17" s="70">
        <v>0.9</v>
      </c>
      <c r="Y17" s="207">
        <v>0.1</v>
      </c>
      <c r="Z17" s="70">
        <v>0.3</v>
      </c>
      <c r="AA17" s="70">
        <v>0.5</v>
      </c>
      <c r="AB17" s="70">
        <v>0.7</v>
      </c>
      <c r="AC17" s="70">
        <v>0.9</v>
      </c>
      <c r="AD17" s="207">
        <v>0.1</v>
      </c>
      <c r="AE17" s="70">
        <v>0.3</v>
      </c>
      <c r="AF17" s="70">
        <v>0.5</v>
      </c>
      <c r="AG17" s="70">
        <v>0.7</v>
      </c>
      <c r="AH17" s="70">
        <v>0.9</v>
      </c>
      <c r="AI17" s="207">
        <v>0.1</v>
      </c>
      <c r="AJ17" s="70">
        <v>0.3</v>
      </c>
      <c r="AK17" s="70">
        <v>0.5</v>
      </c>
      <c r="AL17" s="70">
        <v>0.7</v>
      </c>
      <c r="AM17" s="70">
        <v>0.9</v>
      </c>
      <c r="AN17" s="524">
        <v>0.1</v>
      </c>
      <c r="AO17" s="70">
        <v>0.3</v>
      </c>
      <c r="AP17" s="70">
        <v>0.5</v>
      </c>
      <c r="AQ17" s="70">
        <v>0.7</v>
      </c>
      <c r="AR17" s="522">
        <v>0.9</v>
      </c>
      <c r="AS17" s="222"/>
      <c r="AT17" s="222"/>
      <c r="AU17" s="222"/>
      <c r="AV17" s="222"/>
      <c r="AW17" s="222"/>
      <c r="AX17" s="64"/>
      <c r="AY17" s="64"/>
      <c r="AZ17" s="64"/>
    </row>
    <row r="18" spans="1:52" ht="13.15" customHeight="1" thickBot="1" x14ac:dyDescent="0.3">
      <c r="A18" s="1306" t="s">
        <v>89</v>
      </c>
      <c r="B18" s="1307"/>
      <c r="C18" s="86">
        <f>'user page'!M7*7</f>
        <v>150</v>
      </c>
      <c r="D18" s="66" t="s">
        <v>74</v>
      </c>
      <c r="E18" s="63"/>
      <c r="F18" s="506">
        <f>C17</f>
        <v>150</v>
      </c>
      <c r="G18" s="75">
        <f>F18*Scenario!$C$20</f>
        <v>223.17621104996331</v>
      </c>
      <c r="H18" s="183">
        <f t="shared" ref="H18:H34" si="15">LN(F18)-(1/2*(LN(1+(G18/F18)^2)))</f>
        <v>4.4269281816504122</v>
      </c>
      <c r="I18" s="75">
        <f t="shared" ref="I18:I34" si="16">SQRT((LN(1+(G18/F18)^2)))</f>
        <v>1.0804694465331666</v>
      </c>
      <c r="J18" s="194">
        <f>NORMINV(O$17,$H18,$I18)</f>
        <v>3.0422508709227243</v>
      </c>
      <c r="K18" s="184">
        <f>NORMINV(P$17,$H18,$I18)</f>
        <v>3.8603294499230465</v>
      </c>
      <c r="L18" s="184">
        <f>NORMINV(Q$17,$H18,$I18)</f>
        <v>4.4269281816504122</v>
      </c>
      <c r="M18" s="184">
        <f>NORMINV(R$17,$H18,$I18)</f>
        <v>4.993526913377778</v>
      </c>
      <c r="N18" s="184">
        <f>NORMINV(S$17,$H18,$I18)</f>
        <v>5.8116054923781002</v>
      </c>
      <c r="O18" s="138">
        <f t="shared" ref="O18:O34" si="17">EXP(J18)</f>
        <v>20.952351236349159</v>
      </c>
      <c r="P18" s="75">
        <f t="shared" ref="P18:P34" si="18">EXP(K18)</f>
        <v>47.480991401371668</v>
      </c>
      <c r="Q18" s="571">
        <f t="shared" ref="Q18:Q34" si="19">EXP(L18)</f>
        <v>83.67399042981458</v>
      </c>
      <c r="R18" s="488">
        <f t="shared" ref="R18:R34" si="20">EXP(M18)</f>
        <v>147.45557048849747</v>
      </c>
      <c r="S18" s="488">
        <f t="shared" ref="S18:S34" si="21">EXP(N18)</f>
        <v>334.15517883751596</v>
      </c>
      <c r="T18" s="139">
        <f>O18*(1-($C$19/$C$17))</f>
        <v>20.952351236349159</v>
      </c>
      <c r="U18" s="488">
        <f>P18*(1-($C$19/$C$17))</f>
        <v>47.480991401371668</v>
      </c>
      <c r="V18" s="571">
        <f>Q18*(1-($C$19/$C$17))</f>
        <v>83.67399042981458</v>
      </c>
      <c r="W18" s="488">
        <f>R18*(1-($C$19/$C$17))</f>
        <v>147.45557048849747</v>
      </c>
      <c r="X18" s="488">
        <f>S18*(1-($C$19/$C$17))</f>
        <v>334.15517883751596</v>
      </c>
      <c r="Y18" s="139">
        <f t="shared" ref="Y18:Y34" si="22">O18-T18</f>
        <v>0</v>
      </c>
      <c r="Z18" s="488">
        <f t="shared" ref="Z18:Z34" si="23">P18-U18</f>
        <v>0</v>
      </c>
      <c r="AA18" s="488">
        <f t="shared" ref="AA18:AA34" si="24">Q18-V18</f>
        <v>0</v>
      </c>
      <c r="AB18" s="488">
        <f t="shared" ref="AB18:AB34" si="25">R18-W18</f>
        <v>0</v>
      </c>
      <c r="AC18" s="488">
        <f t="shared" ref="AC18:AC34" si="26">S18-X18</f>
        <v>0</v>
      </c>
      <c r="AD18" s="139"/>
      <c r="AE18" s="488"/>
      <c r="AF18" s="488"/>
      <c r="AI18" s="138"/>
      <c r="AJ18" s="75"/>
      <c r="AK18" s="75"/>
      <c r="AL18" s="516"/>
      <c r="AN18" s="138"/>
      <c r="AO18" s="75"/>
      <c r="AP18" s="75"/>
      <c r="AQ18" s="516"/>
      <c r="AX18" s="64"/>
      <c r="AY18" s="64"/>
      <c r="AZ18" s="64"/>
    </row>
    <row r="19" spans="1:52" ht="13.15" customHeight="1" x14ac:dyDescent="0.25">
      <c r="A19" s="1306" t="s">
        <v>90</v>
      </c>
      <c r="B19" s="1307"/>
      <c r="C19" s="86">
        <f>'user page'!M8*7</f>
        <v>0</v>
      </c>
      <c r="D19" s="66" t="s">
        <v>118</v>
      </c>
      <c r="E19" s="60" t="s">
        <v>2</v>
      </c>
      <c r="F19" s="296">
        <f>H6+N6</f>
        <v>89.540676227175226</v>
      </c>
      <c r="G19" s="77">
        <f>F19*Scenario!$C$20</f>
        <v>133.22232570154995</v>
      </c>
      <c r="H19" s="184">
        <f t="shared" si="15"/>
        <v>3.9109858925740535</v>
      </c>
      <c r="I19" s="77">
        <f t="shared" si="16"/>
        <v>1.0804694465331666</v>
      </c>
      <c r="J19" s="194">
        <f t="shared" ref="J19:J34" si="27">NORMINV(O$17,$H19,$I19)</f>
        <v>2.526308581846366</v>
      </c>
      <c r="K19" s="184">
        <f t="shared" ref="K19:K34" si="28">NORMINV(P$17,$H19,$I19)</f>
        <v>3.3443871608466877</v>
      </c>
      <c r="L19" s="184">
        <f t="shared" ref="L19:L34" si="29">NORMINV(Q$17,$H19,$I19)</f>
        <v>3.9109858925740535</v>
      </c>
      <c r="M19" s="184">
        <f t="shared" ref="M19:M34" si="30">NORMINV(R$17,$H19,$I19)</f>
        <v>4.4775846243014188</v>
      </c>
      <c r="N19" s="184">
        <f t="shared" ref="N19:N34" si="31">NORMINV(S$17,$H19,$I19)</f>
        <v>5.295663203301741</v>
      </c>
      <c r="O19" s="139">
        <f t="shared" si="17"/>
        <v>12.507251321679968</v>
      </c>
      <c r="P19" s="77">
        <f t="shared" si="18"/>
        <v>28.343200520103405</v>
      </c>
      <c r="Q19" s="488">
        <f t="shared" si="19"/>
        <v>49.948171238078572</v>
      </c>
      <c r="R19" s="488">
        <f t="shared" si="20"/>
        <v>88.02180996669307</v>
      </c>
      <c r="S19" s="488">
        <f t="shared" si="21"/>
        <v>199.46987118615894</v>
      </c>
      <c r="T19" s="139">
        <f>O19*(1-Scenario!$P6)</f>
        <v>12.507251321679968</v>
      </c>
      <c r="U19" s="488">
        <f>P19*(1-Scenario!$P6)</f>
        <v>28.343200520103405</v>
      </c>
      <c r="V19" s="488">
        <f>Q19*(1-Scenario!$P6)</f>
        <v>49.948171238078572</v>
      </c>
      <c r="W19" s="488">
        <f>R19*(1-Scenario!$P6)</f>
        <v>88.02180996669307</v>
      </c>
      <c r="X19" s="488">
        <f>S19*(1-Scenario!$P6)</f>
        <v>199.46987118615894</v>
      </c>
      <c r="Y19" s="139">
        <f t="shared" si="22"/>
        <v>0</v>
      </c>
      <c r="Z19" s="488">
        <f t="shared" si="23"/>
        <v>0</v>
      </c>
      <c r="AA19" s="488">
        <f t="shared" si="24"/>
        <v>0</v>
      </c>
      <c r="AB19" s="488">
        <f t="shared" si="25"/>
        <v>0</v>
      </c>
      <c r="AC19" s="488">
        <f t="shared" si="26"/>
        <v>0</v>
      </c>
      <c r="AD19" s="194">
        <f>T19*Scenario!$AD6/60</f>
        <v>0.79212591703973134</v>
      </c>
      <c r="AE19" s="184">
        <f>U19*Scenario!$AD6/60</f>
        <v>1.7950693662732156</v>
      </c>
      <c r="AF19" s="184">
        <f>V19*Scenario!$AD6/60</f>
        <v>3.1633841784116425</v>
      </c>
      <c r="AG19" s="184">
        <f>W19*Scenario!$AD6/60</f>
        <v>5.5747146312238947</v>
      </c>
      <c r="AH19" s="184">
        <f>X19*Scenario!$AD6/60</f>
        <v>12.633091841790066</v>
      </c>
      <c r="AI19" s="194">
        <f>Y19*Scenario!$AF6/60</f>
        <v>0</v>
      </c>
      <c r="AJ19" s="184">
        <f>Z19*Scenario!$AF6/60</f>
        <v>0</v>
      </c>
      <c r="AK19" s="184">
        <f>AA19*Scenario!$AF6/60</f>
        <v>0</v>
      </c>
      <c r="AL19" s="184">
        <f>AB19*Scenario!$AF6/60</f>
        <v>0</v>
      </c>
      <c r="AM19" s="184">
        <f>AC19*Scenario!$AF6/60</f>
        <v>0</v>
      </c>
      <c r="AN19" s="194">
        <f>AD19+AI19</f>
        <v>0.79212591703973134</v>
      </c>
      <c r="AO19" s="184">
        <f>AE19+AJ19</f>
        <v>1.7950693662732156</v>
      </c>
      <c r="AP19" s="184">
        <f>AF19+AK19</f>
        <v>3.1633841784116425</v>
      </c>
      <c r="AQ19" s="184">
        <f>AG19+AL19</f>
        <v>5.5747146312238947</v>
      </c>
      <c r="AR19" s="184">
        <f>AH19+AM19</f>
        <v>12.633091841790066</v>
      </c>
    </row>
    <row r="20" spans="1:52" ht="13.15" customHeight="1" thickBot="1" x14ac:dyDescent="0.3">
      <c r="A20" s="1306" t="s">
        <v>28</v>
      </c>
      <c r="B20" s="1307"/>
      <c r="C20" s="295">
        <f>IF(('user page'!U1=0),'user page'!C37,IF(('user page'!U1=1),'user page'!E37,IF(('user page'!U1=2),'user page'!G37,IF(('user page'!U1=3),'user page'!I37,IF(('user page'!U1=4),'user page'!K37,"")))))</f>
        <v>1.4878414069997554</v>
      </c>
      <c r="D20" s="71"/>
      <c r="E20" s="60" t="s">
        <v>3</v>
      </c>
      <c r="F20" s="296">
        <f t="shared" ref="F20:F26" si="32">H7+N7</f>
        <v>196.09910184958031</v>
      </c>
      <c r="G20" s="77">
        <f>F20*Scenario!$C$20</f>
        <v>291.76436360726791</v>
      </c>
      <c r="H20" s="184">
        <f t="shared" si="15"/>
        <v>4.6949130406826356</v>
      </c>
      <c r="I20" s="77">
        <f t="shared" si="16"/>
        <v>1.0804694465331666</v>
      </c>
      <c r="J20" s="194">
        <f t="shared" si="27"/>
        <v>3.3102357299549476</v>
      </c>
      <c r="K20" s="184">
        <f t="shared" si="28"/>
        <v>4.1283143089552699</v>
      </c>
      <c r="L20" s="184">
        <f t="shared" si="29"/>
        <v>4.6949130406826356</v>
      </c>
      <c r="M20" s="184">
        <f t="shared" si="30"/>
        <v>5.2615117724100013</v>
      </c>
      <c r="N20" s="184">
        <f t="shared" si="31"/>
        <v>6.0795903514103236</v>
      </c>
      <c r="O20" s="139">
        <f t="shared" si="17"/>
        <v>27.391581727233437</v>
      </c>
      <c r="P20" s="77">
        <f t="shared" si="18"/>
        <v>62.073198458244221</v>
      </c>
      <c r="Q20" s="488">
        <f t="shared" si="19"/>
        <v>109.3892958097135</v>
      </c>
      <c r="R20" s="488">
        <f t="shared" si="20"/>
        <v>192.772699570079</v>
      </c>
      <c r="S20" s="488">
        <f t="shared" si="21"/>
        <v>436.85020298948535</v>
      </c>
      <c r="T20" s="139">
        <f>O20*(1-Scenario!$P7)</f>
        <v>27.391581727233437</v>
      </c>
      <c r="U20" s="488">
        <f>P20*(1-Scenario!$P7)</f>
        <v>62.073198458244221</v>
      </c>
      <c r="V20" s="488">
        <f>Q20*(1-Scenario!$P7)</f>
        <v>109.3892958097135</v>
      </c>
      <c r="W20" s="488">
        <f>R20*(1-Scenario!$P7)</f>
        <v>192.772699570079</v>
      </c>
      <c r="X20" s="488">
        <f>S20*(1-Scenario!$P7)</f>
        <v>436.85020298948535</v>
      </c>
      <c r="Y20" s="139">
        <f t="shared" si="22"/>
        <v>0</v>
      </c>
      <c r="Z20" s="488">
        <f t="shared" si="23"/>
        <v>0</v>
      </c>
      <c r="AA20" s="488">
        <f t="shared" si="24"/>
        <v>0</v>
      </c>
      <c r="AB20" s="488">
        <f t="shared" si="25"/>
        <v>0</v>
      </c>
      <c r="AC20" s="488">
        <f t="shared" si="26"/>
        <v>0</v>
      </c>
      <c r="AD20" s="194">
        <f>T20*Scenario!$AD7/60</f>
        <v>1.7348001760581178</v>
      </c>
      <c r="AE20" s="184">
        <f>U20*Scenario!$AD7/60</f>
        <v>3.9313025690221339</v>
      </c>
      <c r="AF20" s="184">
        <f>V20*Scenario!$AD7/60</f>
        <v>6.9279887346151883</v>
      </c>
      <c r="AG20" s="184">
        <f>W20*Scenario!$AD7/60</f>
        <v>12.208937639438336</v>
      </c>
      <c r="AH20" s="184">
        <f>X20*Scenario!$AD7/60</f>
        <v>27.667179522667407</v>
      </c>
      <c r="AI20" s="194">
        <f>Y20*Scenario!$AF7/60</f>
        <v>0</v>
      </c>
      <c r="AJ20" s="184">
        <f>Z20*Scenario!$AF7/60</f>
        <v>0</v>
      </c>
      <c r="AK20" s="184">
        <f>AA20*Scenario!$AF7/60</f>
        <v>0</v>
      </c>
      <c r="AL20" s="184">
        <f>AB20*Scenario!$AF7/60</f>
        <v>0</v>
      </c>
      <c r="AM20" s="184">
        <f>AC20*Scenario!$AF7/60</f>
        <v>0</v>
      </c>
      <c r="AN20" s="194">
        <f t="shared" ref="AN20:AN34" si="33">AD20+AI20</f>
        <v>1.7348001760581178</v>
      </c>
      <c r="AO20" s="184">
        <f t="shared" ref="AO20:AO34" si="34">AE20+AJ20</f>
        <v>3.9313025690221339</v>
      </c>
      <c r="AP20" s="184">
        <f t="shared" ref="AP20:AP34" si="35">AF20+AK20</f>
        <v>6.9279887346151883</v>
      </c>
      <c r="AQ20" s="184">
        <f t="shared" ref="AQ20:AQ34" si="36">AG20+AL20</f>
        <v>12.208937639438336</v>
      </c>
      <c r="AR20" s="184">
        <f t="shared" ref="AR20:AR34" si="37">AH20+AM20</f>
        <v>27.667179522667407</v>
      </c>
    </row>
    <row r="21" spans="1:52" ht="13.15" customHeight="1" x14ac:dyDescent="0.25">
      <c r="A21" s="1308" t="s">
        <v>24</v>
      </c>
      <c r="B21" s="1309"/>
      <c r="C21" s="196">
        <v>5</v>
      </c>
      <c r="D21" s="71"/>
      <c r="E21" s="60" t="s">
        <v>4</v>
      </c>
      <c r="F21" s="296">
        <f t="shared" si="32"/>
        <v>222.11974820164252</v>
      </c>
      <c r="G21" s="77">
        <f>F21*Scenario!$C$20</f>
        <v>330.47895868676318</v>
      </c>
      <c r="H21" s="184">
        <f t="shared" si="15"/>
        <v>4.8195095303128497</v>
      </c>
      <c r="I21" s="77">
        <f t="shared" si="16"/>
        <v>1.0804694465331666</v>
      </c>
      <c r="J21" s="194">
        <f t="shared" si="27"/>
        <v>3.4348322195851617</v>
      </c>
      <c r="K21" s="184">
        <f t="shared" si="28"/>
        <v>4.2529107985854839</v>
      </c>
      <c r="L21" s="184">
        <f t="shared" si="29"/>
        <v>4.8195095303128497</v>
      </c>
      <c r="M21" s="184">
        <f t="shared" si="30"/>
        <v>5.3861082620402154</v>
      </c>
      <c r="N21" s="184">
        <f t="shared" si="31"/>
        <v>6.2041868410405376</v>
      </c>
      <c r="O21" s="139">
        <f t="shared" si="17"/>
        <v>31.026206539001667</v>
      </c>
      <c r="P21" s="77">
        <f t="shared" si="18"/>
        <v>70.309772362913549</v>
      </c>
      <c r="Q21" s="488">
        <f t="shared" si="19"/>
        <v>123.90430456864712</v>
      </c>
      <c r="R21" s="488">
        <f t="shared" si="20"/>
        <v>218.35196125223081</v>
      </c>
      <c r="S21" s="488">
        <f t="shared" si="21"/>
        <v>494.8164278910927</v>
      </c>
      <c r="T21" s="139">
        <f>O21*(1-Scenario!$P8)</f>
        <v>31.026206539001667</v>
      </c>
      <c r="U21" s="488">
        <f>P21*(1-Scenario!$P8)</f>
        <v>70.309772362913549</v>
      </c>
      <c r="V21" s="488">
        <f>Q21*(1-Scenario!$P8)</f>
        <v>123.90430456864712</v>
      </c>
      <c r="W21" s="488">
        <f>R21*(1-Scenario!$P8)</f>
        <v>218.35196125223081</v>
      </c>
      <c r="X21" s="488">
        <f>S21*(1-Scenario!$P8)</f>
        <v>494.8164278910927</v>
      </c>
      <c r="Y21" s="139">
        <f t="shared" si="22"/>
        <v>0</v>
      </c>
      <c r="Z21" s="488">
        <f t="shared" si="23"/>
        <v>0</v>
      </c>
      <c r="AA21" s="488">
        <f t="shared" si="24"/>
        <v>0</v>
      </c>
      <c r="AB21" s="488">
        <f t="shared" si="25"/>
        <v>0</v>
      </c>
      <c r="AC21" s="488">
        <f t="shared" si="26"/>
        <v>0</v>
      </c>
      <c r="AD21" s="194">
        <f>T21*Scenario!$AD8/60</f>
        <v>1.9649930808034388</v>
      </c>
      <c r="AE21" s="184">
        <f>U21*Scenario!$AD8/60</f>
        <v>4.4529522496511911</v>
      </c>
      <c r="AF21" s="184">
        <f>V21*Scenario!$AD8/60</f>
        <v>7.8472726226809844</v>
      </c>
      <c r="AG21" s="184">
        <f>W21*Scenario!$AD8/60</f>
        <v>13.828957545974617</v>
      </c>
      <c r="AH21" s="184">
        <f>X21*Scenario!$AD8/60</f>
        <v>31.338373766435872</v>
      </c>
      <c r="AI21" s="194">
        <f>Y21*Scenario!$AF8/60</f>
        <v>0</v>
      </c>
      <c r="AJ21" s="184">
        <f>Z21*Scenario!$AF8/60</f>
        <v>0</v>
      </c>
      <c r="AK21" s="184">
        <f>AA21*Scenario!$AF8/60</f>
        <v>0</v>
      </c>
      <c r="AL21" s="184">
        <f>AB21*Scenario!$AF8/60</f>
        <v>0</v>
      </c>
      <c r="AM21" s="184">
        <f>AC21*Scenario!$AF8/60</f>
        <v>0</v>
      </c>
      <c r="AN21" s="194">
        <f t="shared" si="33"/>
        <v>1.9649930808034388</v>
      </c>
      <c r="AO21" s="184">
        <f t="shared" si="34"/>
        <v>4.4529522496511911</v>
      </c>
      <c r="AP21" s="184">
        <f t="shared" si="35"/>
        <v>7.8472726226809844</v>
      </c>
      <c r="AQ21" s="184">
        <f t="shared" si="36"/>
        <v>13.828957545974617</v>
      </c>
      <c r="AR21" s="184">
        <f t="shared" si="37"/>
        <v>31.338373766435872</v>
      </c>
    </row>
    <row r="22" spans="1:52" ht="13.15" customHeight="1" x14ac:dyDescent="0.25">
      <c r="A22" s="1308" t="s">
        <v>25</v>
      </c>
      <c r="B22" s="1309"/>
      <c r="C22" s="197"/>
      <c r="D22" s="71"/>
      <c r="E22" s="60" t="s">
        <v>5</v>
      </c>
      <c r="F22" s="296">
        <f t="shared" si="32"/>
        <v>128.84739291868121</v>
      </c>
      <c r="G22" s="77">
        <f>F22*Scenario!$C$20</f>
        <v>191.70448636838097</v>
      </c>
      <c r="H22" s="184">
        <f t="shared" si="15"/>
        <v>4.274921590987848</v>
      </c>
      <c r="I22" s="77">
        <f t="shared" si="16"/>
        <v>1.0804694465331666</v>
      </c>
      <c r="J22" s="194">
        <f t="shared" si="27"/>
        <v>2.89024428026016</v>
      </c>
      <c r="K22" s="184">
        <f t="shared" si="28"/>
        <v>3.7083228592604822</v>
      </c>
      <c r="L22" s="184">
        <f t="shared" si="29"/>
        <v>4.274921590987848</v>
      </c>
      <c r="M22" s="184">
        <f t="shared" si="30"/>
        <v>4.8415203227152137</v>
      </c>
      <c r="N22" s="184">
        <f t="shared" si="31"/>
        <v>5.6595989017155359</v>
      </c>
      <c r="O22" s="139">
        <f t="shared" si="17"/>
        <v>17.997705548800631</v>
      </c>
      <c r="P22" s="77">
        <f t="shared" si="18"/>
        <v>40.785346368407041</v>
      </c>
      <c r="Q22" s="488">
        <f t="shared" si="19"/>
        <v>71.874503479895225</v>
      </c>
      <c r="R22" s="488">
        <f t="shared" si="20"/>
        <v>126.66177219186478</v>
      </c>
      <c r="S22" s="488">
        <f t="shared" si="21"/>
        <v>287.03349082326389</v>
      </c>
      <c r="T22" s="139">
        <f>O22*(1-Scenario!$P9)</f>
        <v>17.997705548800631</v>
      </c>
      <c r="U22" s="488">
        <f>P22*(1-Scenario!$P9)</f>
        <v>40.785346368407041</v>
      </c>
      <c r="V22" s="488">
        <f>Q22*(1-Scenario!$P9)</f>
        <v>71.874503479895225</v>
      </c>
      <c r="W22" s="488">
        <f>R22*(1-Scenario!$P9)</f>
        <v>126.66177219186478</v>
      </c>
      <c r="X22" s="488">
        <f>S22*(1-Scenario!$P9)</f>
        <v>287.03349082326389</v>
      </c>
      <c r="Y22" s="139">
        <f t="shared" si="22"/>
        <v>0</v>
      </c>
      <c r="Z22" s="488">
        <f t="shared" si="23"/>
        <v>0</v>
      </c>
      <c r="AA22" s="488">
        <f t="shared" si="24"/>
        <v>0</v>
      </c>
      <c r="AB22" s="488">
        <f t="shared" si="25"/>
        <v>0</v>
      </c>
      <c r="AC22" s="488">
        <f t="shared" si="26"/>
        <v>0</v>
      </c>
      <c r="AD22" s="194">
        <f>T22*Scenario!$AD9/60</f>
        <v>1.1398546847573734</v>
      </c>
      <c r="AE22" s="184">
        <f>U22*Scenario!$AD9/60</f>
        <v>2.5830719366657791</v>
      </c>
      <c r="AF22" s="184">
        <f>V22*Scenario!$AD9/60</f>
        <v>4.5520518870600304</v>
      </c>
      <c r="AG22" s="184">
        <f>W22*Scenario!$AD9/60</f>
        <v>8.0219122388181017</v>
      </c>
      <c r="AH22" s="184">
        <f>X22*Scenario!$AD9/60</f>
        <v>18.178787752140046</v>
      </c>
      <c r="AI22" s="194">
        <f>Y22*Scenario!$AF9/60</f>
        <v>0</v>
      </c>
      <c r="AJ22" s="184">
        <f>Z22*Scenario!$AF9/60</f>
        <v>0</v>
      </c>
      <c r="AK22" s="184">
        <f>AA22*Scenario!$AF9/60</f>
        <v>0</v>
      </c>
      <c r="AL22" s="184">
        <f>AB22*Scenario!$AF9/60</f>
        <v>0</v>
      </c>
      <c r="AM22" s="184">
        <f>AC22*Scenario!$AF9/60</f>
        <v>0</v>
      </c>
      <c r="AN22" s="194">
        <f t="shared" si="33"/>
        <v>1.1398546847573734</v>
      </c>
      <c r="AO22" s="184">
        <f t="shared" si="34"/>
        <v>2.5830719366657791</v>
      </c>
      <c r="AP22" s="184">
        <f t="shared" si="35"/>
        <v>4.5520518870600304</v>
      </c>
      <c r="AQ22" s="184">
        <f t="shared" si="36"/>
        <v>8.0219122388181017</v>
      </c>
      <c r="AR22" s="184">
        <f t="shared" si="37"/>
        <v>18.178787752140046</v>
      </c>
    </row>
    <row r="23" spans="1:52" ht="13.15" customHeight="1" x14ac:dyDescent="0.25">
      <c r="A23" s="1306" t="s">
        <v>85</v>
      </c>
      <c r="B23" s="1307"/>
      <c r="C23" s="53">
        <f>C20*C17</f>
        <v>223.17621104996331</v>
      </c>
      <c r="D23" s="71"/>
      <c r="E23" s="60" t="s">
        <v>6</v>
      </c>
      <c r="F23" s="296">
        <f t="shared" si="32"/>
        <v>129.49119119267152</v>
      </c>
      <c r="G23" s="77">
        <f>F23*Scenario!$C$20</f>
        <v>192.66235609817875</v>
      </c>
      <c r="H23" s="184">
        <f t="shared" si="15"/>
        <v>4.2799057447019564</v>
      </c>
      <c r="I23" s="77">
        <f t="shared" si="16"/>
        <v>1.0804694465331666</v>
      </c>
      <c r="J23" s="194">
        <f t="shared" si="27"/>
        <v>2.8952284339742684</v>
      </c>
      <c r="K23" s="184">
        <f t="shared" si="28"/>
        <v>3.7133070129745906</v>
      </c>
      <c r="L23" s="184">
        <f t="shared" si="29"/>
        <v>4.2799057447019564</v>
      </c>
      <c r="M23" s="184">
        <f t="shared" si="30"/>
        <v>4.8465044764293221</v>
      </c>
      <c r="N23" s="184">
        <f t="shared" si="31"/>
        <v>5.6645830554296444</v>
      </c>
      <c r="O23" s="139">
        <f t="shared" si="17"/>
        <v>18.087632799213957</v>
      </c>
      <c r="P23" s="77">
        <f t="shared" si="18"/>
        <v>40.989134237150694</v>
      </c>
      <c r="Q23" s="488">
        <f t="shared" si="19"/>
        <v>72.233631284005838</v>
      </c>
      <c r="R23" s="488">
        <f t="shared" si="20"/>
        <v>127.29464980366973</v>
      </c>
      <c r="S23" s="488">
        <f t="shared" si="21"/>
        <v>288.46768100580056</v>
      </c>
      <c r="T23" s="139">
        <f>O23*(1-Scenario!$P10)</f>
        <v>18.087632799213957</v>
      </c>
      <c r="U23" s="488">
        <f>P23*(1-Scenario!$P10)</f>
        <v>40.989134237150694</v>
      </c>
      <c r="V23" s="488">
        <f>Q23*(1-Scenario!$P10)</f>
        <v>72.233631284005838</v>
      </c>
      <c r="W23" s="488">
        <f>R23*(1-Scenario!$P10)</f>
        <v>127.29464980366973</v>
      </c>
      <c r="X23" s="488">
        <f>S23*(1-Scenario!$P10)</f>
        <v>288.46768100580056</v>
      </c>
      <c r="Y23" s="139">
        <f t="shared" si="22"/>
        <v>0</v>
      </c>
      <c r="Z23" s="488">
        <f t="shared" si="23"/>
        <v>0</v>
      </c>
      <c r="AA23" s="488">
        <f t="shared" si="24"/>
        <v>0</v>
      </c>
      <c r="AB23" s="488">
        <f t="shared" si="25"/>
        <v>0</v>
      </c>
      <c r="AC23" s="488">
        <f t="shared" si="26"/>
        <v>0</v>
      </c>
      <c r="AD23" s="194">
        <f>T23*Scenario!$AD10/60</f>
        <v>1.1455500772835505</v>
      </c>
      <c r="AE23" s="184">
        <f>U23*Scenario!$AD10/60</f>
        <v>2.5959785016862105</v>
      </c>
      <c r="AF23" s="184">
        <f>V23*Scenario!$AD10/60</f>
        <v>4.5747966479870366</v>
      </c>
      <c r="AG23" s="184">
        <f>W23*Scenario!$AD10/60</f>
        <v>8.0619944875657499</v>
      </c>
      <c r="AH23" s="184">
        <f>X23*Scenario!$AD10/60</f>
        <v>18.269619797034032</v>
      </c>
      <c r="AI23" s="194">
        <f>Y23*Scenario!$AF10/60</f>
        <v>0</v>
      </c>
      <c r="AJ23" s="184">
        <f>Z23*Scenario!$AF10/60</f>
        <v>0</v>
      </c>
      <c r="AK23" s="184">
        <f>AA23*Scenario!$AF10/60</f>
        <v>0</v>
      </c>
      <c r="AL23" s="184">
        <f>AB23*Scenario!$AF10/60</f>
        <v>0</v>
      </c>
      <c r="AM23" s="184">
        <f>AC23*Scenario!$AF10/60</f>
        <v>0</v>
      </c>
      <c r="AN23" s="194">
        <f t="shared" si="33"/>
        <v>1.1455500772835505</v>
      </c>
      <c r="AO23" s="184">
        <f t="shared" si="34"/>
        <v>2.5959785016862105</v>
      </c>
      <c r="AP23" s="184">
        <f t="shared" si="35"/>
        <v>4.5747966479870366</v>
      </c>
      <c r="AQ23" s="184">
        <f t="shared" si="36"/>
        <v>8.0619944875657499</v>
      </c>
      <c r="AR23" s="184">
        <f t="shared" si="37"/>
        <v>18.269619797034032</v>
      </c>
    </row>
    <row r="24" spans="1:52" ht="13.15" customHeight="1" x14ac:dyDescent="0.25">
      <c r="A24" s="1306" t="s">
        <v>77</v>
      </c>
      <c r="B24" s="1307"/>
      <c r="C24" s="54">
        <f>Baseline!C24</f>
        <v>1.6482562797981899</v>
      </c>
      <c r="D24" s="71"/>
      <c r="E24" s="60" t="s">
        <v>7</v>
      </c>
      <c r="F24" s="296">
        <f t="shared" si="32"/>
        <v>117.39895035875398</v>
      </c>
      <c r="G24" s="77">
        <f>F24*Scenario!$C$20</f>
        <v>174.67101948206297</v>
      </c>
      <c r="H24" s="184">
        <f t="shared" si="15"/>
        <v>4.1818708541820673</v>
      </c>
      <c r="I24" s="77">
        <f t="shared" si="16"/>
        <v>1.0804694465331666</v>
      </c>
      <c r="J24" s="194">
        <f t="shared" si="27"/>
        <v>2.7971935434543793</v>
      </c>
      <c r="K24" s="184">
        <f t="shared" si="28"/>
        <v>3.6152721224547015</v>
      </c>
      <c r="L24" s="184">
        <f t="shared" si="29"/>
        <v>4.1818708541820673</v>
      </c>
      <c r="M24" s="184">
        <f t="shared" si="30"/>
        <v>4.748469585909433</v>
      </c>
      <c r="N24" s="184">
        <f t="shared" si="31"/>
        <v>5.5665481649097552</v>
      </c>
      <c r="O24" s="139">
        <f t="shared" si="17"/>
        <v>16.398560284635536</v>
      </c>
      <c r="P24" s="77">
        <f t="shared" si="18"/>
        <v>37.161457016760352</v>
      </c>
      <c r="Q24" s="488">
        <f t="shared" si="19"/>
        <v>65.488257658590996</v>
      </c>
      <c r="R24" s="488">
        <f t="shared" si="20"/>
        <v>115.407527999339</v>
      </c>
      <c r="S24" s="488">
        <f t="shared" si="21"/>
        <v>261.5297816831071</v>
      </c>
      <c r="T24" s="139">
        <f>O24*(1-Scenario!$P11)</f>
        <v>16.398560284635536</v>
      </c>
      <c r="U24" s="488">
        <f>P24*(1-Scenario!$P11)</f>
        <v>37.161457016760352</v>
      </c>
      <c r="V24" s="488">
        <f>Q24*(1-Scenario!$P11)</f>
        <v>65.488257658590996</v>
      </c>
      <c r="W24" s="488">
        <f>R24*(1-Scenario!$P11)</f>
        <v>115.407527999339</v>
      </c>
      <c r="X24" s="488">
        <f>S24*(1-Scenario!$P11)</f>
        <v>261.5297816831071</v>
      </c>
      <c r="Y24" s="139">
        <f t="shared" si="22"/>
        <v>0</v>
      </c>
      <c r="Z24" s="488">
        <f t="shared" si="23"/>
        <v>0</v>
      </c>
      <c r="AA24" s="488">
        <f t="shared" si="24"/>
        <v>0</v>
      </c>
      <c r="AB24" s="488">
        <f t="shared" si="25"/>
        <v>0</v>
      </c>
      <c r="AC24" s="488">
        <f t="shared" si="26"/>
        <v>0</v>
      </c>
      <c r="AD24" s="194">
        <f>T24*Scenario!$AD11/60</f>
        <v>1.038575484693584</v>
      </c>
      <c r="AE24" s="184">
        <f>U24*Scenario!$AD11/60</f>
        <v>2.3535589443948219</v>
      </c>
      <c r="AF24" s="184">
        <f>V24*Scenario!$AD11/60</f>
        <v>4.1475896517107627</v>
      </c>
      <c r="AG24" s="184">
        <f>W24*Scenario!$AD11/60</f>
        <v>7.3091434399581363</v>
      </c>
      <c r="AH24" s="184">
        <f>X24*Scenario!$AD11/60</f>
        <v>16.563552839930118</v>
      </c>
      <c r="AI24" s="194">
        <f>Y24*Scenario!$AF11/60</f>
        <v>0</v>
      </c>
      <c r="AJ24" s="184">
        <f>Z24*Scenario!$AF11/60</f>
        <v>0</v>
      </c>
      <c r="AK24" s="184">
        <f>AA24*Scenario!$AF11/60</f>
        <v>0</v>
      </c>
      <c r="AL24" s="184">
        <f>AB24*Scenario!$AF11/60</f>
        <v>0</v>
      </c>
      <c r="AM24" s="184">
        <f>AC24*Scenario!$AF11/60</f>
        <v>0</v>
      </c>
      <c r="AN24" s="194">
        <f t="shared" si="33"/>
        <v>1.038575484693584</v>
      </c>
      <c r="AO24" s="184">
        <f t="shared" si="34"/>
        <v>2.3535589443948219</v>
      </c>
      <c r="AP24" s="184">
        <f t="shared" si="35"/>
        <v>4.1475896517107627</v>
      </c>
      <c r="AQ24" s="184">
        <f t="shared" si="36"/>
        <v>7.3091434399581363</v>
      </c>
      <c r="AR24" s="184">
        <f t="shared" si="37"/>
        <v>16.563552839930118</v>
      </c>
    </row>
    <row r="25" spans="1:52" ht="13.15" customHeight="1" x14ac:dyDescent="0.25">
      <c r="A25" s="1306" t="s">
        <v>473</v>
      </c>
      <c r="B25" s="1307"/>
      <c r="C25" s="54">
        <f>(-0.0108*('user page'!E7+'user page'!E8))+1.2682+Baseline!C25</f>
        <v>1.4878414069997554</v>
      </c>
      <c r="D25" s="71"/>
      <c r="E25" s="60" t="s">
        <v>8</v>
      </c>
      <c r="F25" s="296">
        <f t="shared" si="32"/>
        <v>111.49585327564705</v>
      </c>
      <c r="G25" s="77">
        <f>F25*Scenario!$C$20</f>
        <v>165.888147212277</v>
      </c>
      <c r="H25" s="184">
        <f t="shared" si="15"/>
        <v>4.1302802874098106</v>
      </c>
      <c r="I25" s="77">
        <f t="shared" si="16"/>
        <v>1.0804694465331666</v>
      </c>
      <c r="J25" s="194">
        <f t="shared" si="27"/>
        <v>2.7456029766821226</v>
      </c>
      <c r="K25" s="184">
        <f t="shared" si="28"/>
        <v>3.5636815556824448</v>
      </c>
      <c r="L25" s="184">
        <f t="shared" si="29"/>
        <v>4.1302802874098106</v>
      </c>
      <c r="M25" s="184">
        <f t="shared" si="30"/>
        <v>4.6968790191371763</v>
      </c>
      <c r="N25" s="184">
        <f t="shared" si="31"/>
        <v>5.5149575981374985</v>
      </c>
      <c r="O25" s="139">
        <f t="shared" si="17"/>
        <v>15.574001861518722</v>
      </c>
      <c r="P25" s="77">
        <f t="shared" si="18"/>
        <v>35.292891004463968</v>
      </c>
      <c r="Q25" s="488">
        <f t="shared" si="19"/>
        <v>62.195353066336693</v>
      </c>
      <c r="R25" s="488">
        <f t="shared" si="20"/>
        <v>109.604564345749</v>
      </c>
      <c r="S25" s="488">
        <f t="shared" si="21"/>
        <v>248.37944527310194</v>
      </c>
      <c r="T25" s="139">
        <f>O25*(1-Scenario!$P12)</f>
        <v>15.574001861518722</v>
      </c>
      <c r="U25" s="488">
        <f>P25*(1-Scenario!$P12)</f>
        <v>35.292891004463968</v>
      </c>
      <c r="V25" s="488">
        <f>Q25*(1-Scenario!$P12)</f>
        <v>62.195353066336693</v>
      </c>
      <c r="W25" s="488">
        <f>R25*(1-Scenario!$P12)</f>
        <v>109.604564345749</v>
      </c>
      <c r="X25" s="488">
        <f>S25*(1-Scenario!$P12)</f>
        <v>248.37944527310194</v>
      </c>
      <c r="Y25" s="139">
        <f t="shared" si="22"/>
        <v>0</v>
      </c>
      <c r="Z25" s="488">
        <f t="shared" si="23"/>
        <v>0</v>
      </c>
      <c r="AA25" s="488">
        <f t="shared" si="24"/>
        <v>0</v>
      </c>
      <c r="AB25" s="488">
        <f t="shared" si="25"/>
        <v>0</v>
      </c>
      <c r="AC25" s="488">
        <f t="shared" si="26"/>
        <v>0</v>
      </c>
      <c r="AD25" s="194">
        <f>T25*Scenario!$AD12/60</f>
        <v>0.98635345122951901</v>
      </c>
      <c r="AE25" s="184">
        <f>U25*Scenario!$AD12/60</f>
        <v>2.2352164302827178</v>
      </c>
      <c r="AF25" s="184">
        <f>V25*Scenario!$AD12/60</f>
        <v>3.939039027534657</v>
      </c>
      <c r="AG25" s="184">
        <f>W25*Scenario!$AD12/60</f>
        <v>6.9416224085641023</v>
      </c>
      <c r="AH25" s="184">
        <f>X25*Scenario!$AD12/60</f>
        <v>15.730698200629787</v>
      </c>
      <c r="AI25" s="194">
        <f>Y25*Scenario!$AF12/60</f>
        <v>0</v>
      </c>
      <c r="AJ25" s="184">
        <f>Z25*Scenario!$AF12/60</f>
        <v>0</v>
      </c>
      <c r="AK25" s="184">
        <f>AA25*Scenario!$AF12/60</f>
        <v>0</v>
      </c>
      <c r="AL25" s="184">
        <f>AB25*Scenario!$AF12/60</f>
        <v>0</v>
      </c>
      <c r="AM25" s="184">
        <f>AC25*Scenario!$AF12/60</f>
        <v>0</v>
      </c>
      <c r="AN25" s="194">
        <f t="shared" si="33"/>
        <v>0.98635345122951901</v>
      </c>
      <c r="AO25" s="184">
        <f t="shared" si="34"/>
        <v>2.2352164302827178</v>
      </c>
      <c r="AP25" s="184">
        <f t="shared" si="35"/>
        <v>3.939039027534657</v>
      </c>
      <c r="AQ25" s="184">
        <f t="shared" si="36"/>
        <v>6.9416224085641023</v>
      </c>
      <c r="AR25" s="184">
        <f t="shared" si="37"/>
        <v>15.730698200629787</v>
      </c>
    </row>
    <row r="26" spans="1:52" ht="13.15" customHeight="1" thickBot="1" x14ac:dyDescent="0.3">
      <c r="D26" s="71"/>
      <c r="E26" s="88" t="s">
        <v>9</v>
      </c>
      <c r="F26" s="512">
        <f t="shared" si="32"/>
        <v>89.704169914147897</v>
      </c>
      <c r="G26" s="79">
        <f>F26*Scenario!$C$20</f>
        <v>133.46557837881093</v>
      </c>
      <c r="H26" s="185">
        <f t="shared" si="15"/>
        <v>3.9128101428756161</v>
      </c>
      <c r="I26" s="79">
        <f t="shared" si="16"/>
        <v>1.0804694465331666</v>
      </c>
      <c r="J26" s="216">
        <f t="shared" si="27"/>
        <v>2.5281328321479286</v>
      </c>
      <c r="K26" s="185">
        <f t="shared" si="28"/>
        <v>3.3462114111482504</v>
      </c>
      <c r="L26" s="185">
        <f t="shared" si="29"/>
        <v>3.9128101428756161</v>
      </c>
      <c r="M26" s="185">
        <f t="shared" si="30"/>
        <v>4.4794088746029814</v>
      </c>
      <c r="N26" s="185">
        <f t="shared" si="31"/>
        <v>5.2974874536033036</v>
      </c>
      <c r="O26" s="140">
        <f t="shared" si="17"/>
        <v>12.530088502709152</v>
      </c>
      <c r="P26" s="79">
        <f t="shared" si="18"/>
        <v>28.394952802405598</v>
      </c>
      <c r="Q26" s="79">
        <f t="shared" si="19"/>
        <v>50.039372366072492</v>
      </c>
      <c r="R26" s="79">
        <f t="shared" si="20"/>
        <v>88.182530332585245</v>
      </c>
      <c r="S26" s="79">
        <f t="shared" si="21"/>
        <v>199.83408626755335</v>
      </c>
      <c r="T26" s="140">
        <f>O26*(1-Scenario!$P13)</f>
        <v>12.530088502709152</v>
      </c>
      <c r="U26" s="79">
        <f>P26*(1-Scenario!$P13)</f>
        <v>28.394952802405598</v>
      </c>
      <c r="V26" s="79">
        <f>Q26*(1-Scenario!$P13)</f>
        <v>50.039372366072492</v>
      </c>
      <c r="W26" s="79">
        <f>R26*(1-Scenario!$P13)</f>
        <v>88.182530332585245</v>
      </c>
      <c r="X26" s="79">
        <f>S26*(1-Scenario!$P13)</f>
        <v>199.83408626755335</v>
      </c>
      <c r="Y26" s="140">
        <f t="shared" si="22"/>
        <v>0</v>
      </c>
      <c r="Z26" s="79">
        <f t="shared" si="23"/>
        <v>0</v>
      </c>
      <c r="AA26" s="79">
        <f t="shared" si="24"/>
        <v>0</v>
      </c>
      <c r="AB26" s="79">
        <f t="shared" si="25"/>
        <v>0</v>
      </c>
      <c r="AC26" s="79">
        <f t="shared" si="26"/>
        <v>0</v>
      </c>
      <c r="AD26" s="216">
        <f>T26*Scenario!$AD13/60</f>
        <v>0.79357227183824619</v>
      </c>
      <c r="AE26" s="185">
        <f>U26*Scenario!$AD13/60</f>
        <v>1.7983470108190212</v>
      </c>
      <c r="AF26" s="185">
        <f>V26*Scenario!$AD13/60</f>
        <v>3.1691602498512577</v>
      </c>
      <c r="AG26" s="185">
        <f>W26*Scenario!$AD13/60</f>
        <v>5.5848935877303978</v>
      </c>
      <c r="AH26" s="217">
        <f>X26*Scenario!$AD13/60</f>
        <v>12.656158796945045</v>
      </c>
      <c r="AI26" s="194">
        <f>Y26*Scenario!$AF13/60</f>
        <v>0</v>
      </c>
      <c r="AJ26" s="184">
        <f>Z26*Scenario!$AF13/60</f>
        <v>0</v>
      </c>
      <c r="AK26" s="184">
        <f>AA26*Scenario!$AF13/60</f>
        <v>0</v>
      </c>
      <c r="AL26" s="185">
        <f>AB26*Scenario!$AF13/60</f>
        <v>0</v>
      </c>
      <c r="AM26" s="184">
        <f>AC26*Scenario!$AF13/60</f>
        <v>0</v>
      </c>
      <c r="AN26" s="216">
        <f t="shared" si="33"/>
        <v>0.79357227183824619</v>
      </c>
      <c r="AO26" s="185">
        <f t="shared" si="34"/>
        <v>1.7983470108190212</v>
      </c>
      <c r="AP26" s="185">
        <f t="shared" si="35"/>
        <v>3.1691602498512577</v>
      </c>
      <c r="AQ26" s="185">
        <f t="shared" si="36"/>
        <v>5.5848935877303978</v>
      </c>
      <c r="AR26" s="185">
        <f t="shared" si="37"/>
        <v>12.656158796945045</v>
      </c>
    </row>
    <row r="27" spans="1:52" ht="13.15" customHeight="1" x14ac:dyDescent="0.25">
      <c r="D27" s="66" t="s">
        <v>119</v>
      </c>
      <c r="E27" s="60" t="s">
        <v>2</v>
      </c>
      <c r="F27" s="296">
        <f>I6+O6</f>
        <v>89.540675938710052</v>
      </c>
      <c r="G27" s="488">
        <f>F27*Scenario!$C$20</f>
        <v>133.22232527235951</v>
      </c>
      <c r="H27" s="184">
        <f t="shared" si="15"/>
        <v>3.910985889352443</v>
      </c>
      <c r="I27" s="488">
        <f t="shared" si="16"/>
        <v>1.0804694465331666</v>
      </c>
      <c r="J27" s="194">
        <f t="shared" si="27"/>
        <v>2.5263085786247554</v>
      </c>
      <c r="K27" s="184">
        <f t="shared" si="28"/>
        <v>3.3443871576250772</v>
      </c>
      <c r="L27" s="184">
        <f t="shared" si="29"/>
        <v>3.910985889352443</v>
      </c>
      <c r="M27" s="184">
        <f t="shared" si="30"/>
        <v>4.4775846210798083</v>
      </c>
      <c r="N27" s="184">
        <f t="shared" si="31"/>
        <v>5.2956632000801305</v>
      </c>
      <c r="O27" s="138">
        <f t="shared" si="17"/>
        <v>12.507251281386475</v>
      </c>
      <c r="P27" s="488">
        <f t="shared" si="18"/>
        <v>28.343200428792652</v>
      </c>
      <c r="Q27" s="488">
        <f t="shared" si="19"/>
        <v>49.948171077165014</v>
      </c>
      <c r="R27" s="488">
        <f t="shared" si="20"/>
        <v>88.021809683121077</v>
      </c>
      <c r="S27" s="488">
        <f t="shared" si="21"/>
        <v>199.46987054354469</v>
      </c>
      <c r="T27" s="139">
        <f>O27*(1-Scenario!$Q6)</f>
        <v>12.507251281386475</v>
      </c>
      <c r="U27" s="488">
        <f>P27*(1-Scenario!$Q6)</f>
        <v>28.343200428792652</v>
      </c>
      <c r="V27" s="488">
        <f>Q27*(1-Scenario!$Q6)</f>
        <v>49.948171077165014</v>
      </c>
      <c r="W27" s="488">
        <f>R27*(1-Scenario!$Q6)</f>
        <v>88.021809683121077</v>
      </c>
      <c r="X27" s="488">
        <f>S27*(1-Scenario!$Q6)</f>
        <v>199.46987054354469</v>
      </c>
      <c r="Y27" s="139">
        <f t="shared" si="22"/>
        <v>0</v>
      </c>
      <c r="Z27" s="488">
        <f t="shared" si="23"/>
        <v>0</v>
      </c>
      <c r="AA27" s="488">
        <f t="shared" si="24"/>
        <v>0</v>
      </c>
      <c r="AB27" s="488">
        <f t="shared" si="25"/>
        <v>0</v>
      </c>
      <c r="AC27" s="488">
        <f t="shared" si="26"/>
        <v>0</v>
      </c>
      <c r="AD27" s="194">
        <f>T27*Scenario!$AE6/60</f>
        <v>0.79212591448781011</v>
      </c>
      <c r="AE27" s="184">
        <f>U27*Scenario!$AE6/60</f>
        <v>1.7950693604902013</v>
      </c>
      <c r="AF27" s="184">
        <f>V27*Scenario!$AE6/60</f>
        <v>3.1633841682204511</v>
      </c>
      <c r="AG27" s="184">
        <f>W27*Scenario!$AE6/60</f>
        <v>5.5747146132643346</v>
      </c>
      <c r="AH27" s="184">
        <f>X27*Scenario!$AE6/60</f>
        <v>12.633091801091162</v>
      </c>
      <c r="AI27" s="218">
        <f>Y27*Scenario!$AG6/60</f>
        <v>0</v>
      </c>
      <c r="AJ27" s="183">
        <f>Z27*Scenario!$AG6/60</f>
        <v>0</v>
      </c>
      <c r="AK27" s="183">
        <f>AA27*Scenario!$AG6/60</f>
        <v>0</v>
      </c>
      <c r="AL27" s="184">
        <f>AB27*Scenario!$AG6/60</f>
        <v>0</v>
      </c>
      <c r="AM27" s="183">
        <f>AC27*Scenario!$AG6/60</f>
        <v>0</v>
      </c>
      <c r="AN27" s="194">
        <f t="shared" si="33"/>
        <v>0.79212591448781011</v>
      </c>
      <c r="AO27" s="184">
        <f t="shared" si="34"/>
        <v>1.7950693604902013</v>
      </c>
      <c r="AP27" s="184">
        <f t="shared" si="35"/>
        <v>3.1633841682204511</v>
      </c>
      <c r="AQ27" s="184">
        <f t="shared" si="36"/>
        <v>5.5747146132643346</v>
      </c>
      <c r="AR27" s="184">
        <f t="shared" si="37"/>
        <v>12.633091801091162</v>
      </c>
    </row>
    <row r="28" spans="1:52" ht="13.15" customHeight="1" x14ac:dyDescent="0.25">
      <c r="D28" s="71"/>
      <c r="E28" s="60" t="s">
        <v>3</v>
      </c>
      <c r="F28" s="296">
        <f t="shared" ref="F28:F34" si="38">I7+O7</f>
        <v>209.20500117731422</v>
      </c>
      <c r="G28" s="77">
        <f>F28*Scenario!$C$20</f>
        <v>311.26386330304069</v>
      </c>
      <c r="H28" s="184">
        <f t="shared" si="15"/>
        <v>4.7596075256604866</v>
      </c>
      <c r="I28" s="77">
        <f t="shared" si="16"/>
        <v>1.0804694465331666</v>
      </c>
      <c r="J28" s="194">
        <f t="shared" si="27"/>
        <v>3.3749302149327987</v>
      </c>
      <c r="K28" s="184">
        <f t="shared" si="28"/>
        <v>4.1930087939331209</v>
      </c>
      <c r="L28" s="184">
        <f t="shared" si="29"/>
        <v>4.7596075256604866</v>
      </c>
      <c r="M28" s="184">
        <f t="shared" si="30"/>
        <v>5.3262062573878524</v>
      </c>
      <c r="N28" s="184">
        <f t="shared" si="31"/>
        <v>6.1442848363881746</v>
      </c>
      <c r="O28" s="139">
        <f t="shared" si="17"/>
        <v>29.222244433786184</v>
      </c>
      <c r="P28" s="488">
        <f t="shared" si="18"/>
        <v>66.221739080160049</v>
      </c>
      <c r="Q28" s="488">
        <f t="shared" si="19"/>
        <v>116.7001151091996</v>
      </c>
      <c r="R28" s="488">
        <f t="shared" si="20"/>
        <v>205.65628531765105</v>
      </c>
      <c r="S28" s="488">
        <f t="shared" si="21"/>
        <v>466.04623054738789</v>
      </c>
      <c r="T28" s="139">
        <f>O28*(1-Scenario!$Q7)</f>
        <v>29.222244433786184</v>
      </c>
      <c r="U28" s="488">
        <f>P28*(1-Scenario!$Q7)</f>
        <v>66.221739080160049</v>
      </c>
      <c r="V28" s="488">
        <f>Q28*(1-Scenario!$Q7)</f>
        <v>116.7001151091996</v>
      </c>
      <c r="W28" s="488">
        <f>R28*(1-Scenario!$Q7)</f>
        <v>205.65628531765105</v>
      </c>
      <c r="X28" s="488">
        <f>S28*(1-Scenario!$Q7)</f>
        <v>466.04623054738789</v>
      </c>
      <c r="Y28" s="139">
        <f t="shared" si="22"/>
        <v>0</v>
      </c>
      <c r="Z28" s="488">
        <f t="shared" si="23"/>
        <v>0</v>
      </c>
      <c r="AA28" s="488">
        <f t="shared" si="24"/>
        <v>0</v>
      </c>
      <c r="AB28" s="488">
        <f t="shared" si="25"/>
        <v>0</v>
      </c>
      <c r="AC28" s="488">
        <f t="shared" si="26"/>
        <v>0</v>
      </c>
      <c r="AD28" s="194">
        <f>T28*Scenario!$AE7/60</f>
        <v>1.8507421474731247</v>
      </c>
      <c r="AE28" s="184">
        <f>U28*Scenario!$AE7/60</f>
        <v>4.1940434750768025</v>
      </c>
      <c r="AF28" s="184">
        <f>V28*Scenario!$AE7/60</f>
        <v>7.3910072902493074</v>
      </c>
      <c r="AG28" s="184">
        <f>W28*Scenario!$AE7/60</f>
        <v>13.024898070117899</v>
      </c>
      <c r="AH28" s="184">
        <f>X28*Scenario!$AE7/60</f>
        <v>29.516261268001234</v>
      </c>
      <c r="AI28" s="194">
        <f>Y28*Scenario!$AG7/60</f>
        <v>0</v>
      </c>
      <c r="AJ28" s="184">
        <f>Z28*Scenario!$AG7/60</f>
        <v>0</v>
      </c>
      <c r="AK28" s="184">
        <f>AA28*Scenario!$AG7/60</f>
        <v>0</v>
      </c>
      <c r="AL28" s="184">
        <f>AB28*Scenario!$AG7/60</f>
        <v>0</v>
      </c>
      <c r="AM28" s="184">
        <f>AC28*Scenario!$AG7/60</f>
        <v>0</v>
      </c>
      <c r="AN28" s="194">
        <f t="shared" si="33"/>
        <v>1.8507421474731247</v>
      </c>
      <c r="AO28" s="184">
        <f t="shared" si="34"/>
        <v>4.1940434750768025</v>
      </c>
      <c r="AP28" s="184">
        <f t="shared" si="35"/>
        <v>7.3910072902493074</v>
      </c>
      <c r="AQ28" s="184">
        <f t="shared" si="36"/>
        <v>13.024898070117899</v>
      </c>
      <c r="AR28" s="184">
        <f t="shared" si="37"/>
        <v>29.516261268001234</v>
      </c>
    </row>
    <row r="29" spans="1:52" ht="13.15" customHeight="1" x14ac:dyDescent="0.25">
      <c r="D29" s="71"/>
      <c r="E29" s="60" t="s">
        <v>4</v>
      </c>
      <c r="F29" s="296">
        <f t="shared" si="38"/>
        <v>288.46515960182586</v>
      </c>
      <c r="G29" s="77">
        <f>F29*Scenario!$C$20</f>
        <v>429.19040893238957</v>
      </c>
      <c r="H29" s="184">
        <f t="shared" si="15"/>
        <v>5.0808672022646135</v>
      </c>
      <c r="I29" s="77">
        <f t="shared" si="16"/>
        <v>1.0804694465331666</v>
      </c>
      <c r="J29" s="194">
        <f t="shared" si="27"/>
        <v>3.6961898915369256</v>
      </c>
      <c r="K29" s="184">
        <f t="shared" si="28"/>
        <v>4.5142684705372478</v>
      </c>
      <c r="L29" s="184">
        <f t="shared" si="29"/>
        <v>5.0808672022646135</v>
      </c>
      <c r="M29" s="184">
        <f t="shared" si="30"/>
        <v>5.6474659339919793</v>
      </c>
      <c r="N29" s="184">
        <f t="shared" si="31"/>
        <v>6.4655445129923015</v>
      </c>
      <c r="O29" s="139">
        <f t="shared" si="17"/>
        <v>40.2934889561798</v>
      </c>
      <c r="P29" s="488">
        <f t="shared" si="18"/>
        <v>91.310745084330605</v>
      </c>
      <c r="Q29" s="488">
        <f t="shared" si="19"/>
        <v>160.91354002572066</v>
      </c>
      <c r="R29" s="488">
        <f t="shared" si="20"/>
        <v>283.57196450095125</v>
      </c>
      <c r="S29" s="488">
        <f t="shared" si="21"/>
        <v>642.6141799676044</v>
      </c>
      <c r="T29" s="139">
        <f>O29*(1-Scenario!$Q8)</f>
        <v>40.2934889561798</v>
      </c>
      <c r="U29" s="488">
        <f>P29*(1-Scenario!$Q8)</f>
        <v>91.310745084330605</v>
      </c>
      <c r="V29" s="488">
        <f>Q29*(1-Scenario!$Q8)</f>
        <v>160.91354002572066</v>
      </c>
      <c r="W29" s="488">
        <f>R29*(1-Scenario!$Q8)</f>
        <v>283.57196450095125</v>
      </c>
      <c r="X29" s="488">
        <f>S29*(1-Scenario!$Q8)</f>
        <v>642.6141799676044</v>
      </c>
      <c r="Y29" s="139">
        <f t="shared" si="22"/>
        <v>0</v>
      </c>
      <c r="Z29" s="488">
        <f t="shared" si="23"/>
        <v>0</v>
      </c>
      <c r="AA29" s="488">
        <f t="shared" si="24"/>
        <v>0</v>
      </c>
      <c r="AB29" s="488">
        <f t="shared" si="25"/>
        <v>0</v>
      </c>
      <c r="AC29" s="488">
        <f t="shared" si="26"/>
        <v>0</v>
      </c>
      <c r="AD29" s="194">
        <f>T29*Scenario!$AE8/60</f>
        <v>2.5519209672247203</v>
      </c>
      <c r="AE29" s="184">
        <f>U29*Scenario!$AE8/60</f>
        <v>5.783013855340938</v>
      </c>
      <c r="AF29" s="184">
        <f>V29*Scenario!$AE8/60</f>
        <v>10.191190868295642</v>
      </c>
      <c r="AG29" s="184">
        <f>W29*Scenario!$AE8/60</f>
        <v>17.959557751726912</v>
      </c>
      <c r="AH29" s="184">
        <f>X29*Scenario!$AE8/60</f>
        <v>40.698898064614944</v>
      </c>
      <c r="AI29" s="194">
        <f>Y29*Scenario!$AG8/60</f>
        <v>0</v>
      </c>
      <c r="AJ29" s="184">
        <f>Z29*Scenario!$AG8/60</f>
        <v>0</v>
      </c>
      <c r="AK29" s="184">
        <f>AA29*Scenario!$AG8/60</f>
        <v>0</v>
      </c>
      <c r="AL29" s="184">
        <f>AB29*Scenario!$AG8/60</f>
        <v>0</v>
      </c>
      <c r="AM29" s="184">
        <f>AC29*Scenario!$AG8/60</f>
        <v>0</v>
      </c>
      <c r="AN29" s="194">
        <f t="shared" si="33"/>
        <v>2.5519209672247203</v>
      </c>
      <c r="AO29" s="184">
        <f t="shared" si="34"/>
        <v>5.783013855340938</v>
      </c>
      <c r="AP29" s="184">
        <f t="shared" si="35"/>
        <v>10.191190868295642</v>
      </c>
      <c r="AQ29" s="184">
        <f t="shared" si="36"/>
        <v>17.959557751726912</v>
      </c>
      <c r="AR29" s="184">
        <f t="shared" si="37"/>
        <v>40.698898064614944</v>
      </c>
    </row>
    <row r="30" spans="1:52" ht="13.15" customHeight="1" x14ac:dyDescent="0.25">
      <c r="D30" s="71"/>
      <c r="E30" s="60" t="s">
        <v>5</v>
      </c>
      <c r="F30" s="296">
        <f t="shared" si="38"/>
        <v>173.75089650198902</v>
      </c>
      <c r="G30" s="77">
        <f>F30*Scenario!$C$20</f>
        <v>258.51377831898822</v>
      </c>
      <c r="H30" s="184">
        <f t="shared" si="15"/>
        <v>4.5739155317094244</v>
      </c>
      <c r="I30" s="77">
        <f t="shared" si="16"/>
        <v>1.0804694465331666</v>
      </c>
      <c r="J30" s="194">
        <f t="shared" si="27"/>
        <v>3.1892382209817365</v>
      </c>
      <c r="K30" s="184">
        <f t="shared" si="28"/>
        <v>4.0073167999820587</v>
      </c>
      <c r="L30" s="184">
        <f t="shared" si="29"/>
        <v>4.5739155317094244</v>
      </c>
      <c r="M30" s="184">
        <f t="shared" si="30"/>
        <v>5.1405142634367902</v>
      </c>
      <c r="N30" s="184">
        <f t="shared" si="31"/>
        <v>5.9585928424371124</v>
      </c>
      <c r="O30" s="139">
        <f t="shared" si="17"/>
        <v>24.269932074268159</v>
      </c>
      <c r="P30" s="488">
        <f t="shared" si="18"/>
        <v>54.999098818610392</v>
      </c>
      <c r="Q30" s="488">
        <f t="shared" si="19"/>
        <v>96.922872340527547</v>
      </c>
      <c r="R30" s="488">
        <f t="shared" si="20"/>
        <v>170.80358377725778</v>
      </c>
      <c r="S30" s="488">
        <f t="shared" si="21"/>
        <v>387.06507929200581</v>
      </c>
      <c r="T30" s="139">
        <f>O30*(1-Scenario!$Q9)</f>
        <v>24.269932074268159</v>
      </c>
      <c r="U30" s="488">
        <f>P30*(1-Scenario!$Q9)</f>
        <v>54.999098818610392</v>
      </c>
      <c r="V30" s="488">
        <f>Q30*(1-Scenario!$Q9)</f>
        <v>96.922872340527547</v>
      </c>
      <c r="W30" s="488">
        <f>R30*(1-Scenario!$Q9)</f>
        <v>170.80358377725778</v>
      </c>
      <c r="X30" s="488">
        <f>S30*(1-Scenario!$Q9)</f>
        <v>387.06507929200581</v>
      </c>
      <c r="Y30" s="139">
        <f t="shared" si="22"/>
        <v>0</v>
      </c>
      <c r="Z30" s="488">
        <f t="shared" si="23"/>
        <v>0</v>
      </c>
      <c r="AA30" s="488">
        <f t="shared" si="24"/>
        <v>0</v>
      </c>
      <c r="AB30" s="488">
        <f t="shared" si="25"/>
        <v>0</v>
      </c>
      <c r="AC30" s="488">
        <f t="shared" si="26"/>
        <v>0</v>
      </c>
      <c r="AD30" s="194">
        <f>T30*Scenario!$AE9/60</f>
        <v>1.5370956980369832</v>
      </c>
      <c r="AE30" s="184">
        <f>U30*Scenario!$AE9/60</f>
        <v>3.4832762585119914</v>
      </c>
      <c r="AF30" s="184">
        <f>V30*Scenario!$AE9/60</f>
        <v>6.1384485815667444</v>
      </c>
      <c r="AG30" s="184">
        <f>W30*Scenario!$AE9/60</f>
        <v>10.817560305892991</v>
      </c>
      <c r="AH30" s="184">
        <f>X30*Scenario!$AE9/60</f>
        <v>24.514121688493699</v>
      </c>
      <c r="AI30" s="194">
        <f>Y30*Scenario!$AG9/60</f>
        <v>0</v>
      </c>
      <c r="AJ30" s="184">
        <f>Z30*Scenario!$AG9/60</f>
        <v>0</v>
      </c>
      <c r="AK30" s="184">
        <f>AA30*Scenario!$AG9/60</f>
        <v>0</v>
      </c>
      <c r="AL30" s="184">
        <f>AB30*Scenario!$AG9/60</f>
        <v>0</v>
      </c>
      <c r="AM30" s="184">
        <f>AC30*Scenario!$AG9/60</f>
        <v>0</v>
      </c>
      <c r="AN30" s="194">
        <f t="shared" si="33"/>
        <v>1.5370956980369832</v>
      </c>
      <c r="AO30" s="184">
        <f t="shared" si="34"/>
        <v>3.4832762585119914</v>
      </c>
      <c r="AP30" s="184">
        <f t="shared" si="35"/>
        <v>6.1384485815667444</v>
      </c>
      <c r="AQ30" s="184">
        <f t="shared" si="36"/>
        <v>10.817560305892991</v>
      </c>
      <c r="AR30" s="184">
        <f t="shared" si="37"/>
        <v>24.514121688493699</v>
      </c>
    </row>
    <row r="31" spans="1:52" ht="13.15" customHeight="1" x14ac:dyDescent="0.25">
      <c r="D31" s="71"/>
      <c r="E31" s="60" t="s">
        <v>6</v>
      </c>
      <c r="F31" s="296">
        <f t="shared" si="38"/>
        <v>146.66801037318646</v>
      </c>
      <c r="G31" s="77">
        <f>F31*Scenario!$C$20</f>
        <v>218.21873891549646</v>
      </c>
      <c r="H31" s="184">
        <f t="shared" si="15"/>
        <v>4.4044644873917473</v>
      </c>
      <c r="I31" s="77">
        <f t="shared" si="16"/>
        <v>1.0804694465331666</v>
      </c>
      <c r="J31" s="194">
        <f t="shared" si="27"/>
        <v>3.0197871766640594</v>
      </c>
      <c r="K31" s="184">
        <f t="shared" si="28"/>
        <v>3.8378657556643816</v>
      </c>
      <c r="L31" s="184">
        <f t="shared" si="29"/>
        <v>4.4044644873917473</v>
      </c>
      <c r="M31" s="184">
        <f t="shared" si="30"/>
        <v>4.9710632191191131</v>
      </c>
      <c r="N31" s="184">
        <f t="shared" si="31"/>
        <v>5.7891417981194353</v>
      </c>
      <c r="O31" s="139">
        <f t="shared" si="17"/>
        <v>20.48693112317001</v>
      </c>
      <c r="P31" s="184">
        <f t="shared" si="18"/>
        <v>46.426283595903662</v>
      </c>
      <c r="Q31" s="488">
        <f t="shared" si="19"/>
        <v>81.815317975506247</v>
      </c>
      <c r="R31" s="488">
        <f t="shared" si="20"/>
        <v>144.18010094660701</v>
      </c>
      <c r="S31" s="488">
        <f t="shared" si="21"/>
        <v>326.73250157329812</v>
      </c>
      <c r="T31" s="139">
        <f>O31*(1-Scenario!$Q10)</f>
        <v>20.48693112317001</v>
      </c>
      <c r="U31" s="488">
        <f>P31*(1-Scenario!$Q10)</f>
        <v>46.426283595903662</v>
      </c>
      <c r="V31" s="488">
        <f>Q31*(1-Scenario!$Q10)</f>
        <v>81.815317975506247</v>
      </c>
      <c r="W31" s="488">
        <f>R31*(1-Scenario!$Q10)</f>
        <v>144.18010094660701</v>
      </c>
      <c r="X31" s="488">
        <f>S31*(1-Scenario!$Q10)</f>
        <v>326.73250157329812</v>
      </c>
      <c r="Y31" s="139">
        <f t="shared" si="22"/>
        <v>0</v>
      </c>
      <c r="Z31" s="488">
        <f t="shared" si="23"/>
        <v>0</v>
      </c>
      <c r="AA31" s="488">
        <f t="shared" si="24"/>
        <v>0</v>
      </c>
      <c r="AB31" s="488">
        <f t="shared" si="25"/>
        <v>0</v>
      </c>
      <c r="AC31" s="488">
        <f t="shared" si="26"/>
        <v>0</v>
      </c>
      <c r="AD31" s="194">
        <f>T31*Scenario!$AE10/60</f>
        <v>1.2975056378007672</v>
      </c>
      <c r="AE31" s="184">
        <f>U31*Scenario!$AE10/60</f>
        <v>2.9403312944072315</v>
      </c>
      <c r="AF31" s="184">
        <f>V31*Scenario!$AE10/60</f>
        <v>5.1816368051153949</v>
      </c>
      <c r="AG31" s="184">
        <f>W31*Scenario!$AE10/60</f>
        <v>9.1314063932851113</v>
      </c>
      <c r="AH31" s="184">
        <f>X31*Scenario!$AE10/60</f>
        <v>20.693058432975548</v>
      </c>
      <c r="AI31" s="194">
        <f>Y31*Scenario!$AG10/60</f>
        <v>0</v>
      </c>
      <c r="AJ31" s="184">
        <f>Z31*Scenario!$AG10/60</f>
        <v>0</v>
      </c>
      <c r="AK31" s="184">
        <f>AA31*Scenario!$AG10/60</f>
        <v>0</v>
      </c>
      <c r="AL31" s="184">
        <f>AB31*Scenario!$AG10/60</f>
        <v>0</v>
      </c>
      <c r="AM31" s="184">
        <f>AC31*Scenario!$AG10/60</f>
        <v>0</v>
      </c>
      <c r="AN31" s="194">
        <f t="shared" si="33"/>
        <v>1.2975056378007672</v>
      </c>
      <c r="AO31" s="184">
        <f t="shared" si="34"/>
        <v>2.9403312944072315</v>
      </c>
      <c r="AP31" s="184">
        <f t="shared" si="35"/>
        <v>5.1816368051153949</v>
      </c>
      <c r="AQ31" s="184">
        <f t="shared" si="36"/>
        <v>9.1314063932851113</v>
      </c>
      <c r="AR31" s="184">
        <f t="shared" si="37"/>
        <v>20.693058432975548</v>
      </c>
    </row>
    <row r="32" spans="1:52" ht="13.15" customHeight="1" x14ac:dyDescent="0.25">
      <c r="A32" s="73"/>
      <c r="D32" s="71"/>
      <c r="E32" s="60" t="s">
        <v>7</v>
      </c>
      <c r="F32" s="296">
        <f t="shared" si="38"/>
        <v>96.468267709353754</v>
      </c>
      <c r="G32" s="77">
        <f>F32*Scenario!$C$20</f>
        <v>143.52948315951397</v>
      </c>
      <c r="H32" s="184">
        <f t="shared" si="15"/>
        <v>3.9855070097945684</v>
      </c>
      <c r="I32" s="77">
        <f t="shared" si="16"/>
        <v>1.0804694465331668</v>
      </c>
      <c r="J32" s="194">
        <f t="shared" si="27"/>
        <v>2.6008296990668804</v>
      </c>
      <c r="K32" s="184">
        <f t="shared" si="28"/>
        <v>3.4189082780672027</v>
      </c>
      <c r="L32" s="184">
        <f t="shared" si="29"/>
        <v>3.9855070097945684</v>
      </c>
      <c r="M32" s="184">
        <f t="shared" si="30"/>
        <v>4.5521057415219346</v>
      </c>
      <c r="N32" s="184">
        <f t="shared" si="31"/>
        <v>5.3701843205222559</v>
      </c>
      <c r="O32" s="139">
        <f t="shared" si="17"/>
        <v>13.474913521390267</v>
      </c>
      <c r="P32" s="184">
        <f t="shared" si="18"/>
        <v>30.536059930753645</v>
      </c>
      <c r="Q32" s="488">
        <f t="shared" si="19"/>
        <v>53.812566060621727</v>
      </c>
      <c r="R32" s="488">
        <f t="shared" si="20"/>
        <v>94.831889660799106</v>
      </c>
      <c r="S32" s="488">
        <f t="shared" si="21"/>
        <v>214.90247499042977</v>
      </c>
      <c r="T32" s="139">
        <f>O32*(1-Scenario!$Q11)</f>
        <v>13.474913521390267</v>
      </c>
      <c r="U32" s="488">
        <f>P32*(1-Scenario!$Q11)</f>
        <v>30.536059930753645</v>
      </c>
      <c r="V32" s="488">
        <f>Q32*(1-Scenario!$Q11)</f>
        <v>53.812566060621727</v>
      </c>
      <c r="W32" s="488">
        <f>R32*(1-Scenario!$Q11)</f>
        <v>94.831889660799106</v>
      </c>
      <c r="X32" s="488">
        <f>S32*(1-Scenario!$Q11)</f>
        <v>214.90247499042977</v>
      </c>
      <c r="Y32" s="139">
        <f t="shared" si="22"/>
        <v>0</v>
      </c>
      <c r="Z32" s="488">
        <f t="shared" si="23"/>
        <v>0</v>
      </c>
      <c r="AA32" s="488">
        <f t="shared" si="24"/>
        <v>0</v>
      </c>
      <c r="AB32" s="488">
        <f t="shared" si="25"/>
        <v>0</v>
      </c>
      <c r="AC32" s="488">
        <f t="shared" si="26"/>
        <v>0</v>
      </c>
      <c r="AD32" s="194">
        <f>T32*Scenario!$AE11/60</f>
        <v>0.85341118968805019</v>
      </c>
      <c r="AE32" s="184">
        <f>U32*Scenario!$AE11/60</f>
        <v>1.9339504622810642</v>
      </c>
      <c r="AF32" s="184">
        <f>V32*Scenario!$AE11/60</f>
        <v>3.4081291838393759</v>
      </c>
      <c r="AG32" s="184">
        <f>W32*Scenario!$AE11/60</f>
        <v>6.0060196785172764</v>
      </c>
      <c r="AH32" s="184">
        <f>X32*Scenario!$AE11/60</f>
        <v>13.610490082727217</v>
      </c>
      <c r="AI32" s="194">
        <f>Y32*Scenario!$AG11/60</f>
        <v>0</v>
      </c>
      <c r="AJ32" s="184">
        <f>Z32*Scenario!$AG11/60</f>
        <v>0</v>
      </c>
      <c r="AK32" s="184">
        <f>AA32*Scenario!$AG11/60</f>
        <v>0</v>
      </c>
      <c r="AL32" s="184">
        <f>AB32*Scenario!$AG11/60</f>
        <v>0</v>
      </c>
      <c r="AM32" s="184">
        <f>AC32*Scenario!$AG11/60</f>
        <v>0</v>
      </c>
      <c r="AN32" s="194">
        <f t="shared" si="33"/>
        <v>0.85341118968805019</v>
      </c>
      <c r="AO32" s="184">
        <f t="shared" si="34"/>
        <v>1.9339504622810642</v>
      </c>
      <c r="AP32" s="184">
        <f t="shared" si="35"/>
        <v>3.4081291838393759</v>
      </c>
      <c r="AQ32" s="184">
        <f t="shared" si="36"/>
        <v>6.0060196785172764</v>
      </c>
      <c r="AR32" s="184">
        <f t="shared" si="37"/>
        <v>13.610490082727217</v>
      </c>
    </row>
    <row r="33" spans="1:49" ht="13.15" customHeight="1" x14ac:dyDescent="0.25">
      <c r="A33" s="73"/>
      <c r="D33" s="71"/>
      <c r="E33" s="60" t="s">
        <v>8</v>
      </c>
      <c r="F33" s="296">
        <f t="shared" si="38"/>
        <v>87.610096896210464</v>
      </c>
      <c r="G33" s="77">
        <f>F33*Scenario!$C$20</f>
        <v>130.34992983344267</v>
      </c>
      <c r="H33" s="184">
        <f t="shared" si="15"/>
        <v>3.8891891402266858</v>
      </c>
      <c r="I33" s="77">
        <f t="shared" si="16"/>
        <v>1.0804694465331666</v>
      </c>
      <c r="J33" s="194">
        <f t="shared" si="27"/>
        <v>2.5045118294989983</v>
      </c>
      <c r="K33" s="184">
        <f t="shared" si="28"/>
        <v>3.3225904084993201</v>
      </c>
      <c r="L33" s="184">
        <f t="shared" si="29"/>
        <v>3.8891891402266858</v>
      </c>
      <c r="M33" s="184">
        <f t="shared" si="30"/>
        <v>4.4557878719540511</v>
      </c>
      <c r="N33" s="184">
        <f t="shared" si="31"/>
        <v>5.2738664509543733</v>
      </c>
      <c r="O33" s="139">
        <f t="shared" si="17"/>
        <v>12.237583480133233</v>
      </c>
      <c r="P33" s="184">
        <f t="shared" si="18"/>
        <v>27.732095049348704</v>
      </c>
      <c r="Q33" s="488">
        <f t="shared" si="19"/>
        <v>48.871242728324262</v>
      </c>
      <c r="R33" s="488">
        <f t="shared" si="20"/>
        <v>86.123978789221638</v>
      </c>
      <c r="S33" s="488">
        <f t="shared" si="21"/>
        <v>195.16911730883524</v>
      </c>
      <c r="T33" s="139">
        <f>O33*(1-Scenario!$Q12)</f>
        <v>12.237583480133233</v>
      </c>
      <c r="U33" s="488">
        <f>P33*(1-Scenario!$Q12)</f>
        <v>27.732095049348704</v>
      </c>
      <c r="V33" s="488">
        <f>Q33*(1-Scenario!$Q12)</f>
        <v>48.871242728324262</v>
      </c>
      <c r="W33" s="488">
        <f>R33*(1-Scenario!$Q12)</f>
        <v>86.123978789221638</v>
      </c>
      <c r="X33" s="488">
        <f>S33*(1-Scenario!$Q12)</f>
        <v>195.16911730883524</v>
      </c>
      <c r="Y33" s="139">
        <f t="shared" si="22"/>
        <v>0</v>
      </c>
      <c r="Z33" s="488">
        <f t="shared" si="23"/>
        <v>0</v>
      </c>
      <c r="AA33" s="488">
        <f t="shared" si="24"/>
        <v>0</v>
      </c>
      <c r="AB33" s="488">
        <f t="shared" si="25"/>
        <v>0</v>
      </c>
      <c r="AC33" s="488">
        <f t="shared" si="26"/>
        <v>0</v>
      </c>
      <c r="AD33" s="194">
        <f>T33*Scenario!$AE12/60</f>
        <v>0.77504695374177146</v>
      </c>
      <c r="AE33" s="184">
        <f>U33*Scenario!$AE12/60</f>
        <v>1.7563660197920845</v>
      </c>
      <c r="AF33" s="184">
        <f>V33*Scenario!$AE12/60</f>
        <v>3.0951787061272027</v>
      </c>
      <c r="AG33" s="184">
        <f>W33*Scenario!$AE12/60</f>
        <v>5.4545186566507038</v>
      </c>
      <c r="AH33" s="184">
        <f>X33*Scenario!$AE12/60</f>
        <v>12.360710762892898</v>
      </c>
      <c r="AI33" s="194">
        <f>Y33*Scenario!$AG12/60</f>
        <v>0</v>
      </c>
      <c r="AJ33" s="184">
        <f>Z33*Scenario!$AG12/60</f>
        <v>0</v>
      </c>
      <c r="AK33" s="184">
        <f>AA33*Scenario!$AG12/60</f>
        <v>0</v>
      </c>
      <c r="AL33" s="184">
        <f>AB33*Scenario!$AG12/60</f>
        <v>0</v>
      </c>
      <c r="AM33" s="184">
        <f>AC33*Scenario!$AG12/60</f>
        <v>0</v>
      </c>
      <c r="AN33" s="194">
        <f t="shared" si="33"/>
        <v>0.77504695374177146</v>
      </c>
      <c r="AO33" s="184">
        <f t="shared" si="34"/>
        <v>1.7563660197920845</v>
      </c>
      <c r="AP33" s="184">
        <f t="shared" si="35"/>
        <v>3.0951787061272027</v>
      </c>
      <c r="AQ33" s="184">
        <f t="shared" si="36"/>
        <v>5.4545186566507038</v>
      </c>
      <c r="AR33" s="184">
        <f t="shared" si="37"/>
        <v>12.360710762892898</v>
      </c>
    </row>
    <row r="34" spans="1:49" ht="13.15" customHeight="1" thickBot="1" x14ac:dyDescent="0.3">
      <c r="A34" s="73"/>
      <c r="D34" s="67"/>
      <c r="E34" s="88" t="s">
        <v>9</v>
      </c>
      <c r="F34" s="512">
        <f t="shared" si="38"/>
        <v>45.549534289168285</v>
      </c>
      <c r="G34" s="79">
        <f>F34*Scenario!$C$20</f>
        <v>67.770483184979753</v>
      </c>
      <c r="H34" s="185">
        <f t="shared" si="15"/>
        <v>3.2350932870403106</v>
      </c>
      <c r="I34" s="79">
        <f t="shared" si="16"/>
        <v>1.0804694465331668</v>
      </c>
      <c r="J34" s="216">
        <f t="shared" si="27"/>
        <v>1.8504159763126227</v>
      </c>
      <c r="K34" s="185">
        <f t="shared" si="28"/>
        <v>2.6684945553129449</v>
      </c>
      <c r="L34" s="185">
        <f t="shared" si="29"/>
        <v>3.2350932870403106</v>
      </c>
      <c r="M34" s="185">
        <f t="shared" si="30"/>
        <v>3.8016920187676764</v>
      </c>
      <c r="N34" s="185">
        <f t="shared" si="31"/>
        <v>4.6197705977679986</v>
      </c>
      <c r="O34" s="140">
        <f t="shared" si="17"/>
        <v>6.362465607191889</v>
      </c>
      <c r="P34" s="185">
        <f t="shared" si="18"/>
        <v>14.418246972803219</v>
      </c>
      <c r="Q34" s="79">
        <f t="shared" si="19"/>
        <v>25.408741974629184</v>
      </c>
      <c r="R34" s="79">
        <f t="shared" si="20"/>
        <v>44.776883760631236</v>
      </c>
      <c r="S34" s="79">
        <f t="shared" si="21"/>
        <v>101.47075184241729</v>
      </c>
      <c r="T34" s="140">
        <f>O34*(1-Scenario!$Q13)</f>
        <v>6.362465607191889</v>
      </c>
      <c r="U34" s="79">
        <f>P34*(1-Scenario!$Q13)</f>
        <v>14.418246972803219</v>
      </c>
      <c r="V34" s="79">
        <f>Q34*(1-Scenario!$Q13)</f>
        <v>25.408741974629184</v>
      </c>
      <c r="W34" s="79">
        <f>R34*(1-Scenario!$Q13)</f>
        <v>44.776883760631236</v>
      </c>
      <c r="X34" s="79">
        <f>S34*(1-Scenario!$Q13)</f>
        <v>101.47075184241729</v>
      </c>
      <c r="Y34" s="140">
        <f t="shared" si="22"/>
        <v>0</v>
      </c>
      <c r="Z34" s="79">
        <f t="shared" si="23"/>
        <v>0</v>
      </c>
      <c r="AA34" s="79">
        <f t="shared" si="24"/>
        <v>0</v>
      </c>
      <c r="AB34" s="79">
        <f t="shared" si="25"/>
        <v>0</v>
      </c>
      <c r="AC34" s="79">
        <f t="shared" si="26"/>
        <v>0</v>
      </c>
      <c r="AD34" s="216">
        <f>T34*Scenario!$AE13/60</f>
        <v>0.40295615512215294</v>
      </c>
      <c r="AE34" s="185">
        <f>U34*Scenario!$AE13/60</f>
        <v>0.91315564161087048</v>
      </c>
      <c r="AF34" s="185">
        <f>V34*Scenario!$AE13/60</f>
        <v>1.6092203250598482</v>
      </c>
      <c r="AG34" s="185">
        <f>W34*Scenario!$AE13/60</f>
        <v>2.8358693048399783</v>
      </c>
      <c r="AH34" s="217">
        <f>X34*Scenario!$AE13/60</f>
        <v>6.4264809500197613</v>
      </c>
      <c r="AI34" s="216">
        <f>Y34*Scenario!$AG13/60</f>
        <v>0</v>
      </c>
      <c r="AJ34" s="185">
        <f>Z34*Scenario!$AG13/60</f>
        <v>0</v>
      </c>
      <c r="AK34" s="185">
        <f>AA34*Scenario!$AG13/60</f>
        <v>0</v>
      </c>
      <c r="AL34" s="185">
        <f>AB34*Scenario!$AG13/60</f>
        <v>0</v>
      </c>
      <c r="AM34" s="185">
        <f>AC34*Scenario!$AG13/60</f>
        <v>0</v>
      </c>
      <c r="AN34" s="216">
        <f t="shared" si="33"/>
        <v>0.40295615512215294</v>
      </c>
      <c r="AO34" s="185">
        <f t="shared" si="34"/>
        <v>0.91315564161087048</v>
      </c>
      <c r="AP34" s="185">
        <f t="shared" si="35"/>
        <v>1.6092203250598482</v>
      </c>
      <c r="AQ34" s="185">
        <f t="shared" si="36"/>
        <v>2.8358693048399783</v>
      </c>
      <c r="AR34" s="185">
        <f t="shared" si="37"/>
        <v>6.4264809500197613</v>
      </c>
    </row>
    <row r="35" spans="1:49" ht="13.15" customHeight="1" x14ac:dyDescent="0.25">
      <c r="A35" s="60"/>
      <c r="B35" s="81"/>
      <c r="C35" s="81"/>
      <c r="D35" s="81"/>
      <c r="E35" s="81"/>
      <c r="F35" s="493"/>
      <c r="G35" s="81"/>
      <c r="H35" s="81"/>
      <c r="I35" s="82"/>
      <c r="J35" s="82"/>
      <c r="X35" s="47"/>
      <c r="Y35" s="47"/>
      <c r="Z35" s="47"/>
      <c r="AA35" s="47"/>
      <c r="AB35" s="47"/>
      <c r="AC35" s="1302"/>
      <c r="AD35" s="1302"/>
      <c r="AE35" s="1302"/>
      <c r="AF35" s="1302"/>
      <c r="AG35" s="1302"/>
      <c r="AH35" s="1302"/>
      <c r="AI35" s="1302"/>
      <c r="AJ35" s="1302"/>
      <c r="AK35" s="1302"/>
      <c r="AW35" s="63"/>
    </row>
    <row r="36" spans="1:49" ht="13.15" customHeight="1" x14ac:dyDescent="0.25">
      <c r="A36" s="60"/>
      <c r="B36" s="81"/>
      <c r="C36" s="81"/>
      <c r="D36" s="81"/>
      <c r="E36" s="81"/>
      <c r="F36" s="493"/>
      <c r="G36" s="81"/>
      <c r="H36" s="81"/>
      <c r="I36" s="82"/>
      <c r="J36" s="82"/>
      <c r="X36" s="184"/>
      <c r="Y36" s="47"/>
      <c r="Z36" s="47"/>
      <c r="AA36" s="47"/>
      <c r="AB36" s="47"/>
      <c r="AC36" s="47"/>
      <c r="AD36" s="47"/>
      <c r="AE36" s="77"/>
      <c r="AF36" s="77"/>
      <c r="AG36" s="47"/>
      <c r="AH36" s="47"/>
      <c r="AI36" s="47"/>
      <c r="AJ36" s="47"/>
      <c r="AK36" s="47"/>
      <c r="AW36" s="63"/>
    </row>
    <row r="37" spans="1:49" ht="13.15" customHeight="1" x14ac:dyDescent="0.25">
      <c r="A37" s="60"/>
      <c r="B37" s="81"/>
      <c r="C37" s="81"/>
      <c r="D37" s="81"/>
      <c r="E37" s="81"/>
      <c r="F37" s="493"/>
      <c r="G37" s="81"/>
      <c r="H37" s="81"/>
      <c r="I37" s="82"/>
      <c r="J37" s="82"/>
      <c r="X37" s="47"/>
      <c r="Y37" s="47"/>
      <c r="Z37" s="47"/>
      <c r="AA37" s="47"/>
      <c r="AB37" s="47"/>
      <c r="AC37" s="47"/>
      <c r="AD37" s="47"/>
      <c r="AE37" s="405"/>
      <c r="AF37" s="405"/>
      <c r="AG37" s="47"/>
      <c r="AH37" s="47"/>
      <c r="AI37" s="47"/>
      <c r="AJ37" s="47"/>
      <c r="AK37" s="47"/>
      <c r="AW37" s="63"/>
    </row>
    <row r="38" spans="1:49" ht="27" customHeight="1" x14ac:dyDescent="0.25">
      <c r="A38" s="60"/>
      <c r="B38" s="81"/>
      <c r="C38" s="81"/>
      <c r="D38" s="81"/>
      <c r="E38" s="81"/>
      <c r="F38" s="493"/>
      <c r="G38" s="81"/>
      <c r="H38" s="81"/>
      <c r="I38" s="82"/>
      <c r="J38" s="82"/>
      <c r="X38" s="47"/>
      <c r="Y38" s="47"/>
      <c r="Z38" s="47"/>
      <c r="AA38" s="47"/>
      <c r="AB38" s="47"/>
      <c r="AC38" s="47"/>
      <c r="AD38" s="47"/>
      <c r="AE38" s="405"/>
      <c r="AF38" s="405"/>
      <c r="AG38" s="47"/>
      <c r="AH38" s="47"/>
      <c r="AI38" s="47"/>
      <c r="AJ38" s="47"/>
      <c r="AK38" s="47"/>
      <c r="AL38" s="63"/>
      <c r="AM38" s="63"/>
      <c r="AN38" s="63"/>
      <c r="AO38" s="63"/>
      <c r="AP38" s="63"/>
      <c r="AQ38" s="63"/>
      <c r="AR38" s="515"/>
      <c r="AS38" s="63"/>
      <c r="AT38" s="63"/>
      <c r="AU38" s="63"/>
      <c r="AV38" s="63"/>
      <c r="AW38" s="63"/>
    </row>
    <row r="39" spans="1:49" x14ac:dyDescent="0.25">
      <c r="A39" s="60"/>
      <c r="B39" s="81"/>
      <c r="C39" s="81"/>
      <c r="D39" s="81"/>
      <c r="E39" s="81"/>
      <c r="F39" s="493"/>
      <c r="G39" s="81"/>
      <c r="H39" s="81"/>
      <c r="I39" s="82"/>
      <c r="J39" s="82"/>
      <c r="X39" s="47"/>
      <c r="Y39" s="47"/>
      <c r="Z39" s="47"/>
      <c r="AA39" s="47"/>
      <c r="AB39" s="47"/>
      <c r="AC39" s="47"/>
      <c r="AD39" s="47"/>
      <c r="AE39" s="405"/>
      <c r="AF39" s="405"/>
      <c r="AG39" s="47"/>
      <c r="AH39" s="47"/>
      <c r="AI39" s="47"/>
      <c r="AJ39" s="47"/>
      <c r="AK39" s="47"/>
      <c r="AL39" s="63"/>
      <c r="AM39" s="63"/>
      <c r="AN39" s="63"/>
      <c r="AO39" s="63"/>
      <c r="AP39" s="63"/>
      <c r="AQ39" s="63"/>
      <c r="AR39" s="515"/>
      <c r="AS39" s="63"/>
      <c r="AT39" s="63"/>
      <c r="AU39" s="63"/>
      <c r="AV39" s="63"/>
      <c r="AW39" s="63"/>
    </row>
    <row r="40" spans="1:49" x14ac:dyDescent="0.25">
      <c r="A40" s="60"/>
      <c r="B40" s="81"/>
      <c r="C40" s="81"/>
      <c r="D40" s="81"/>
      <c r="E40" s="81"/>
      <c r="F40" s="493"/>
      <c r="G40" s="81"/>
      <c r="H40" s="81"/>
      <c r="I40" s="82"/>
      <c r="J40" s="82"/>
      <c r="X40" s="47"/>
      <c r="Y40" s="47"/>
      <c r="Z40" s="47"/>
      <c r="AA40" s="47"/>
      <c r="AB40" s="47"/>
      <c r="AC40" s="47"/>
      <c r="AD40" s="406"/>
      <c r="AE40" s="405"/>
      <c r="AF40" s="405"/>
      <c r="AG40" s="406"/>
      <c r="AH40" s="406"/>
      <c r="AI40" s="406"/>
      <c r="AJ40" s="406"/>
      <c r="AK40" s="47"/>
      <c r="AL40" s="63"/>
      <c r="AM40" s="63"/>
      <c r="AN40" s="63"/>
      <c r="AO40" s="63"/>
      <c r="AP40" s="63"/>
      <c r="AQ40" s="63"/>
      <c r="AR40" s="515"/>
      <c r="AS40" s="63"/>
      <c r="AT40" s="63"/>
      <c r="AU40" s="63"/>
      <c r="AV40" s="63"/>
      <c r="AW40" s="63"/>
    </row>
    <row r="41" spans="1:49" x14ac:dyDescent="0.25">
      <c r="A41" s="60"/>
      <c r="B41" s="81"/>
      <c r="C41" s="81"/>
      <c r="D41" s="81"/>
      <c r="E41" s="81"/>
      <c r="F41" s="493"/>
      <c r="G41" s="81"/>
      <c r="H41" s="81"/>
      <c r="I41" s="82"/>
      <c r="J41" s="82"/>
      <c r="X41" s="47"/>
      <c r="Y41" s="47"/>
      <c r="Z41" s="47"/>
      <c r="AA41" s="47"/>
      <c r="AB41" s="47"/>
      <c r="AC41" s="47"/>
      <c r="AD41" s="406"/>
      <c r="AE41" s="405"/>
      <c r="AF41" s="405"/>
      <c r="AG41" s="406"/>
      <c r="AH41" s="406"/>
      <c r="AI41" s="406"/>
      <c r="AJ41" s="406"/>
      <c r="AK41" s="47"/>
      <c r="AL41" s="63"/>
      <c r="AM41" s="63"/>
      <c r="AN41" s="63"/>
      <c r="AO41" s="63"/>
      <c r="AP41" s="63"/>
      <c r="AQ41" s="63"/>
      <c r="AR41" s="515"/>
      <c r="AS41" s="63"/>
      <c r="AT41" s="63"/>
      <c r="AU41" s="63"/>
      <c r="AV41" s="63"/>
      <c r="AW41" s="63"/>
    </row>
    <row r="42" spans="1:49" x14ac:dyDescent="0.25">
      <c r="A42" s="60"/>
      <c r="B42" s="81"/>
      <c r="C42" s="81"/>
      <c r="D42" s="81"/>
      <c r="E42" s="81"/>
      <c r="F42" s="493"/>
      <c r="G42" s="81"/>
      <c r="H42" s="81"/>
      <c r="I42" s="82"/>
      <c r="J42" s="82"/>
      <c r="X42" s="47"/>
      <c r="Y42" s="47"/>
      <c r="Z42" s="47"/>
      <c r="AA42" s="47"/>
      <c r="AB42" s="47"/>
      <c r="AC42" s="47"/>
      <c r="AD42" s="407"/>
      <c r="AE42" s="405"/>
      <c r="AF42" s="405"/>
      <c r="AG42" s="407"/>
      <c r="AH42" s="407"/>
      <c r="AI42" s="406"/>
      <c r="AJ42" s="406"/>
      <c r="AK42" s="47"/>
      <c r="AL42" s="63"/>
      <c r="AM42" s="63"/>
      <c r="AN42" s="63"/>
      <c r="AO42" s="63"/>
      <c r="AP42" s="63"/>
      <c r="AQ42" s="63"/>
      <c r="AR42" s="515"/>
      <c r="AS42" s="63"/>
      <c r="AT42" s="63"/>
      <c r="AU42" s="63"/>
      <c r="AV42" s="63"/>
      <c r="AW42" s="63"/>
    </row>
    <row r="43" spans="1:49" x14ac:dyDescent="0.25">
      <c r="A43" s="60"/>
      <c r="B43" s="81"/>
      <c r="C43" s="81"/>
      <c r="D43" s="81"/>
      <c r="E43" s="81"/>
      <c r="F43" s="493"/>
      <c r="G43" s="81"/>
      <c r="H43" s="81"/>
      <c r="I43" s="82"/>
      <c r="J43" s="82"/>
      <c r="W43" s="521"/>
      <c r="X43" s="47"/>
      <c r="Y43" s="47"/>
      <c r="Z43" s="47"/>
      <c r="AA43" s="47"/>
      <c r="AB43" s="47"/>
      <c r="AC43" s="47"/>
      <c r="AD43" s="407"/>
      <c r="AE43" s="405"/>
      <c r="AF43" s="405"/>
      <c r="AG43" s="407"/>
      <c r="AH43" s="406"/>
      <c r="AI43" s="406"/>
      <c r="AJ43" s="406"/>
      <c r="AK43" s="47"/>
      <c r="AL43" s="63"/>
      <c r="AM43" s="63"/>
      <c r="AN43" s="63"/>
      <c r="AO43" s="63"/>
      <c r="AP43" s="63"/>
      <c r="AQ43" s="63"/>
      <c r="AR43" s="515"/>
      <c r="AS43" s="63"/>
      <c r="AT43" s="63"/>
      <c r="AU43" s="63"/>
      <c r="AV43" s="63"/>
      <c r="AW43" s="63"/>
    </row>
    <row r="44" spans="1:49" x14ac:dyDescent="0.25">
      <c r="A44" s="60"/>
      <c r="B44" s="81"/>
      <c r="C44" s="81"/>
      <c r="D44" s="81"/>
      <c r="E44" s="81"/>
      <c r="F44" s="493"/>
      <c r="G44" s="81"/>
      <c r="H44" s="81"/>
      <c r="I44" s="82"/>
      <c r="J44" s="82"/>
      <c r="X44" s="47"/>
      <c r="Y44" s="47"/>
      <c r="Z44" s="47"/>
      <c r="AA44" s="47"/>
      <c r="AB44" s="47"/>
      <c r="AC44" s="47"/>
      <c r="AD44" s="408"/>
      <c r="AE44" s="405"/>
      <c r="AF44" s="405"/>
      <c r="AG44" s="408"/>
      <c r="AH44" s="407"/>
      <c r="AI44" s="406"/>
      <c r="AJ44" s="406"/>
      <c r="AK44" s="47"/>
      <c r="AL44" s="63"/>
      <c r="AM44" s="63"/>
      <c r="AN44" s="63"/>
      <c r="AO44" s="63"/>
      <c r="AP44" s="63"/>
      <c r="AQ44" s="63"/>
      <c r="AR44" s="515"/>
      <c r="AS44" s="63"/>
      <c r="AT44" s="63"/>
      <c r="AU44" s="63"/>
      <c r="AV44" s="63"/>
      <c r="AW44" s="63"/>
    </row>
    <row r="45" spans="1:49" x14ac:dyDescent="0.25">
      <c r="A45" s="60"/>
      <c r="B45" s="81"/>
      <c r="C45" s="81"/>
      <c r="D45" s="81"/>
      <c r="E45" s="81"/>
      <c r="F45" s="493"/>
      <c r="G45" s="81"/>
      <c r="H45" s="81"/>
      <c r="I45" s="82"/>
      <c r="J45" s="82"/>
      <c r="X45" s="47"/>
      <c r="Y45" s="47"/>
      <c r="Z45" s="47"/>
      <c r="AA45" s="47"/>
      <c r="AB45" s="47"/>
      <c r="AC45" s="409"/>
      <c r="AD45" s="409"/>
      <c r="AE45" s="409"/>
      <c r="AF45" s="409"/>
      <c r="AG45" s="409"/>
      <c r="AH45" s="409"/>
      <c r="AI45" s="409"/>
      <c r="AJ45" s="409"/>
      <c r="AK45" s="47"/>
      <c r="AL45" s="63"/>
      <c r="AM45" s="63"/>
      <c r="AN45" s="63"/>
      <c r="AO45" s="63"/>
      <c r="AP45" s="63"/>
      <c r="AQ45" s="63"/>
      <c r="AR45" s="515"/>
      <c r="AS45" s="63"/>
      <c r="AT45" s="63"/>
      <c r="AU45" s="63"/>
      <c r="AV45" s="63"/>
      <c r="AW45" s="63"/>
    </row>
    <row r="46" spans="1:49" x14ac:dyDescent="0.25">
      <c r="A46" s="60"/>
      <c r="B46" s="81"/>
      <c r="C46" s="81"/>
      <c r="D46" s="81"/>
      <c r="E46" s="81"/>
      <c r="F46" s="493"/>
      <c r="G46" s="81"/>
      <c r="H46" s="81"/>
      <c r="I46" s="82"/>
      <c r="J46" s="82"/>
      <c r="L46" s="63"/>
      <c r="Y46" s="64"/>
      <c r="Z46" s="64"/>
      <c r="AA46" s="64"/>
      <c r="AB46" s="64"/>
      <c r="AC46" s="64"/>
      <c r="AD46" s="64"/>
      <c r="AE46" s="64"/>
      <c r="AF46" s="64"/>
      <c r="AK46" s="63"/>
      <c r="AL46" s="63"/>
      <c r="AM46" s="63"/>
      <c r="AN46" s="63"/>
      <c r="AO46" s="63"/>
      <c r="AP46" s="63"/>
      <c r="AQ46" s="63"/>
      <c r="AR46" s="515"/>
      <c r="AS46" s="63"/>
      <c r="AT46" s="63"/>
      <c r="AU46" s="63"/>
      <c r="AV46" s="63"/>
      <c r="AW46" s="63"/>
    </row>
    <row r="47" spans="1:49" x14ac:dyDescent="0.25">
      <c r="A47" s="60"/>
      <c r="B47" s="81"/>
      <c r="C47" s="81"/>
      <c r="D47" s="81"/>
      <c r="E47" s="81"/>
      <c r="F47" s="493"/>
      <c r="G47" s="81"/>
      <c r="H47" s="81"/>
      <c r="I47" s="82"/>
      <c r="J47" s="82"/>
      <c r="L47" s="63"/>
      <c r="Y47" s="64"/>
      <c r="Z47" s="64"/>
      <c r="AA47" s="64"/>
      <c r="AB47" s="64"/>
      <c r="AC47" s="64"/>
      <c r="AD47" s="64"/>
      <c r="AE47" s="64"/>
      <c r="AF47" s="64"/>
      <c r="AK47" s="63"/>
      <c r="AL47" s="63"/>
      <c r="AM47" s="63"/>
      <c r="AN47" s="63"/>
      <c r="AO47" s="63"/>
      <c r="AP47" s="63"/>
      <c r="AQ47" s="63"/>
      <c r="AR47" s="515"/>
      <c r="AS47" s="63"/>
      <c r="AT47" s="63"/>
      <c r="AU47" s="63"/>
      <c r="AV47" s="63"/>
      <c r="AW47" s="63"/>
    </row>
    <row r="48" spans="1:49" x14ac:dyDescent="0.25">
      <c r="A48" s="60"/>
      <c r="B48" s="81"/>
      <c r="C48" s="81"/>
      <c r="D48" s="81"/>
      <c r="E48" s="81"/>
      <c r="F48" s="493"/>
      <c r="G48" s="81"/>
      <c r="H48" s="81"/>
      <c r="I48" s="82"/>
      <c r="J48" s="82"/>
      <c r="L48" s="63"/>
      <c r="Y48" s="64"/>
      <c r="Z48" s="64"/>
      <c r="AA48" s="64"/>
      <c r="AB48" s="64"/>
      <c r="AC48" s="64"/>
      <c r="AD48" s="64"/>
      <c r="AE48" s="64"/>
      <c r="AF48" s="64"/>
      <c r="AK48" s="63"/>
      <c r="AL48" s="63"/>
      <c r="AM48" s="63"/>
      <c r="AN48" s="63"/>
      <c r="AO48" s="63"/>
      <c r="AP48" s="63"/>
      <c r="AQ48" s="63"/>
      <c r="AR48" s="515"/>
      <c r="AS48" s="63"/>
      <c r="AT48" s="63"/>
      <c r="AU48" s="63"/>
      <c r="AV48" s="63"/>
      <c r="AW48" s="63"/>
    </row>
    <row r="49" spans="1:49" x14ac:dyDescent="0.25">
      <c r="A49" s="60"/>
      <c r="B49" s="81"/>
      <c r="C49" s="81"/>
      <c r="D49" s="81"/>
      <c r="E49" s="81"/>
      <c r="F49" s="493"/>
      <c r="G49" s="81"/>
      <c r="H49" s="81"/>
      <c r="I49" s="82"/>
      <c r="J49" s="82"/>
      <c r="L49" s="63"/>
      <c r="Y49" s="64"/>
      <c r="Z49" s="64"/>
      <c r="AA49" s="64"/>
      <c r="AB49" s="64"/>
      <c r="AC49" s="64"/>
      <c r="AD49" s="64"/>
      <c r="AE49" s="64"/>
      <c r="AF49" s="64"/>
      <c r="AK49" s="63"/>
      <c r="AL49" s="63"/>
      <c r="AM49" s="63"/>
      <c r="AN49" s="63"/>
      <c r="AO49" s="63"/>
      <c r="AP49" s="63"/>
      <c r="AQ49" s="63"/>
      <c r="AR49" s="515"/>
      <c r="AS49" s="63"/>
      <c r="AT49" s="63"/>
      <c r="AU49" s="63"/>
      <c r="AV49" s="63"/>
      <c r="AW49" s="63"/>
    </row>
    <row r="50" spans="1:49" x14ac:dyDescent="0.25">
      <c r="L50" s="63"/>
      <c r="Y50" s="64"/>
      <c r="Z50" s="64"/>
      <c r="AA50" s="64"/>
      <c r="AB50" s="64"/>
      <c r="AC50" s="64"/>
      <c r="AD50" s="64"/>
      <c r="AE50" s="64"/>
      <c r="AF50" s="64"/>
      <c r="AK50" s="63"/>
      <c r="AL50" s="63"/>
      <c r="AM50" s="63"/>
      <c r="AN50" s="63"/>
      <c r="AO50" s="63"/>
      <c r="AP50" s="63"/>
      <c r="AQ50" s="63"/>
      <c r="AR50" s="515"/>
      <c r="AS50" s="63"/>
      <c r="AT50" s="63"/>
      <c r="AU50" s="63"/>
      <c r="AV50" s="63"/>
      <c r="AW50" s="63"/>
    </row>
  </sheetData>
  <mergeCells count="39">
    <mergeCell ref="AC35:AK35"/>
    <mergeCell ref="AH2:AK2"/>
    <mergeCell ref="A1:C1"/>
    <mergeCell ref="A2:C2"/>
    <mergeCell ref="D2:Q2"/>
    <mergeCell ref="R2:AC2"/>
    <mergeCell ref="AD2:AG2"/>
    <mergeCell ref="D3:I3"/>
    <mergeCell ref="J3:Q3"/>
    <mergeCell ref="R3:W3"/>
    <mergeCell ref="X3:AC3"/>
    <mergeCell ref="A4:C4"/>
    <mergeCell ref="D4:E4"/>
    <mergeCell ref="F4:G4"/>
    <mergeCell ref="H4:I4"/>
    <mergeCell ref="J4:K4"/>
    <mergeCell ref="L4:M4"/>
    <mergeCell ref="AJ4:AK4"/>
    <mergeCell ref="N4:O4"/>
    <mergeCell ref="P4:Q4"/>
    <mergeCell ref="R4:S4"/>
    <mergeCell ref="T4:U4"/>
    <mergeCell ref="V4:W4"/>
    <mergeCell ref="X4:Y4"/>
    <mergeCell ref="Z4:AA4"/>
    <mergeCell ref="AB4:AC4"/>
    <mergeCell ref="AD4:AE4"/>
    <mergeCell ref="AF4:AG4"/>
    <mergeCell ref="AH4:AI4"/>
    <mergeCell ref="A25:B25"/>
    <mergeCell ref="A22:B22"/>
    <mergeCell ref="A23:B23"/>
    <mergeCell ref="A24:B24"/>
    <mergeCell ref="A16:B16"/>
    <mergeCell ref="A17:B17"/>
    <mergeCell ref="A18:B18"/>
    <mergeCell ref="A19:B19"/>
    <mergeCell ref="A20:B20"/>
    <mergeCell ref="A21:B21"/>
  </mergeCells>
  <pageMargins left="0.42" right="0.93" top="0.98425196850393704" bottom="0.98425196850393704" header="0.51181102362204722" footer="0.51181102362204722"/>
  <pageSetup paperSize="5"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7"/>
  <sheetViews>
    <sheetView zoomScaleNormal="100" workbookViewId="0">
      <selection activeCell="K4" sqref="K4"/>
    </sheetView>
  </sheetViews>
  <sheetFormatPr defaultRowHeight="15" x14ac:dyDescent="0.25"/>
  <cols>
    <col min="18" max="18" width="11.140625" customWidth="1"/>
  </cols>
  <sheetData>
    <row r="1" spans="1:28" ht="16.5" x14ac:dyDescent="0.25">
      <c r="A1" s="63"/>
      <c r="B1" s="63"/>
      <c r="C1" s="63"/>
      <c r="D1" s="63"/>
      <c r="E1" s="63"/>
      <c r="F1" s="63"/>
      <c r="G1" s="64"/>
      <c r="H1" s="64"/>
      <c r="I1" s="64"/>
      <c r="J1" s="60"/>
      <c r="K1" s="72"/>
      <c r="L1" s="64"/>
      <c r="M1" s="64"/>
    </row>
    <row r="2" spans="1:28" ht="47.25" customHeight="1" x14ac:dyDescent="0.25">
      <c r="A2" s="205"/>
      <c r="B2" s="206"/>
      <c r="C2" s="1330" t="s">
        <v>73</v>
      </c>
      <c r="D2" s="1331"/>
      <c r="E2" s="1330" t="s">
        <v>83</v>
      </c>
      <c r="F2" s="1331"/>
      <c r="G2" s="1330" t="s">
        <v>31</v>
      </c>
      <c r="H2" s="1331"/>
      <c r="I2" s="1330" t="s">
        <v>32</v>
      </c>
      <c r="J2" s="1331"/>
      <c r="K2" s="1330" t="s">
        <v>30</v>
      </c>
      <c r="L2" s="1332"/>
      <c r="M2" s="1338" t="s">
        <v>33</v>
      </c>
      <c r="N2" s="1332"/>
      <c r="O2" s="1315" t="s">
        <v>207</v>
      </c>
      <c r="P2" s="1316"/>
      <c r="Q2" s="1315" t="s">
        <v>206</v>
      </c>
      <c r="R2" s="1316"/>
      <c r="S2" s="1315" t="s">
        <v>209</v>
      </c>
      <c r="T2" s="1316"/>
      <c r="U2" s="1315" t="s">
        <v>208</v>
      </c>
      <c r="V2" s="1316"/>
      <c r="W2" s="1315" t="s">
        <v>210</v>
      </c>
      <c r="X2" s="1316"/>
      <c r="Y2" s="1315" t="s">
        <v>210</v>
      </c>
      <c r="Z2" s="1316"/>
      <c r="AA2" s="1315" t="s">
        <v>210</v>
      </c>
      <c r="AB2" s="1316"/>
    </row>
    <row r="3" spans="1:28" ht="17.25" x14ac:dyDescent="0.3">
      <c r="A3" s="1321" t="s">
        <v>34</v>
      </c>
      <c r="B3" s="1322"/>
      <c r="C3" s="1324"/>
      <c r="D3" s="1325"/>
      <c r="E3" s="39" t="s">
        <v>26</v>
      </c>
      <c r="F3" s="39" t="s">
        <v>27</v>
      </c>
      <c r="G3" s="1326"/>
      <c r="H3" s="1327"/>
      <c r="I3" s="1326"/>
      <c r="J3" s="1327"/>
      <c r="K3" s="39" t="s">
        <v>82</v>
      </c>
      <c r="L3" s="74" t="s">
        <v>4</v>
      </c>
      <c r="M3" s="1317"/>
      <c r="N3" s="1318"/>
      <c r="O3" s="1317"/>
      <c r="P3" s="1318"/>
      <c r="Q3" s="1317"/>
      <c r="R3" s="1318"/>
      <c r="S3" s="1317"/>
      <c r="T3" s="1318"/>
      <c r="U3" s="1317"/>
      <c r="V3" s="1318"/>
      <c r="W3" s="1317"/>
      <c r="X3" s="1318"/>
      <c r="Y3" s="1317"/>
      <c r="Z3" s="1318"/>
      <c r="AA3" s="1317"/>
      <c r="AB3" s="1318"/>
    </row>
    <row r="4" spans="1:28" ht="16.5" customHeight="1" x14ac:dyDescent="0.25">
      <c r="A4" s="1301" t="s">
        <v>81</v>
      </c>
      <c r="B4" s="1323"/>
      <c r="C4" s="1328">
        <f>IF(('user page'!$N$39=0),C5^(1/C6^0.25),IF(('user page'!$N$39=1),C5^(1/C6^0.5),IF(('user page'!$N$39=2),C5^(1/C6^0.375),IF(('user page'!$N$39=4),C5^(1/C6),IF(('user page'!$N$39=3),C5^(1/(LN(C6))),"")))))</f>
        <v>0.97319906938028322</v>
      </c>
      <c r="D4" s="1329"/>
      <c r="E4" s="209">
        <f>IF(('user page'!$N$39=0),E5^(1/E6^0.25),IF(('user page'!$N$39=1),E5^(1/E6^0.5),IF(('user page'!$N$39=2),E5^(1/E6^0.375),IF(('user page'!$N$39=4),E5^(1/E6),IF(('user page'!$N$39=3),E5^(1/(LN(E6))),"")))))</f>
        <v>0.96065247560449929</v>
      </c>
      <c r="F4" s="209">
        <f>IF(('user page'!$N$39=0),F5^(1/F6^0.25),IF(('user page'!$N$39=1),F5^(1/F6^0.5),IF(('user page'!$N$39=2),F5^(1/F6^0.375),IF(('user page'!$N$39=4),F5^(1/F6),IF(('user page'!$N$39=3),F5^(1/(LN(F6))),"")))))</f>
        <v>0.97288384048792509</v>
      </c>
      <c r="G4" s="1328">
        <f>IF(('user page'!$N$39=0),G5^(1/G6^0.25),IF(('user page'!$N$39=1),G5^(1/G6^0.5),IF(('user page'!$N$39=2),G5^(1/G6^0.375),IF(('user page'!$N$39=4),G5^(1/G6),IF(('user page'!$N$39=3),G5^(1/(LN(G6))),"")))))</f>
        <v>0.93831941951583364</v>
      </c>
      <c r="H4" s="1329"/>
      <c r="I4" s="1328">
        <f>IF(('user page'!$N$39=0),I5^(1/I6^0.25),IF(('user page'!$N$39=1),I5^(1/I6^0.5),IF(('user page'!$N$39=2),I5^(1/I6^0.375),IF(('user page'!$N$39=4),I5^(1/I6),IF(('user page'!$N$39=3),I5^(1/(LN(I6))),"")))))</f>
        <v>0.94314906211536642</v>
      </c>
      <c r="J4" s="1329"/>
      <c r="K4" s="209">
        <f>IF(('user page'!$N$39=0),K5^(1/K6^0.25),IF(('user page'!$N$39=1),K5^(1/K6^0.5),IF(('user page'!$N$39=2),K5^(1/K6^0.375),IF(('user page'!$N$39=4),K5^(1/K6),IF(('user page'!$N$39=3),K5^(1/(LN(K6))),"")))))</f>
        <v>0.95590188686474464</v>
      </c>
      <c r="L4" s="209">
        <f>IF(('user page'!$N$39=0),L5^(1/L6^0.25),IF(('user page'!$N$39=1),L5^(1/L6^0.5),IF(('user page'!$N$39=2),L5^(1/L6^0.375),IF(('user page'!$N$39=4),L5^(1/L6),IF(('user page'!$N$39=3),L5^(1/(LN(L6))),"")))))</f>
        <v>0.97795094343237232</v>
      </c>
      <c r="M4" s="1328">
        <f>IF(('user page'!$N$39=0),M5^(1/M6^0.25),IF(('user page'!$N$39=1),M5^(1/M6^0.5),IF(('user page'!$N$39=2),M5^(1/M6^0.375),IF(('user page'!$N$39=4),M5^(1/M6),IF(('user page'!$N$39=3),M5^(1/(LN(M6))),"")))))</f>
        <v>0.94277975044398532</v>
      </c>
      <c r="N4" s="1329"/>
      <c r="O4" s="1319">
        <f>O5^(1/O6^0.25)</f>
        <v>0.89073615217571622</v>
      </c>
      <c r="P4" s="1320"/>
      <c r="Q4" s="1319">
        <f>IF(('user page'!$N$39=0),Q5^(1/Q6^0.25),IF(('user page'!$N$39=1),Q5^(1/Q6^0.5),IF(('user page'!$N$39=2),Q5^(1/Q6^0.375),IF(('user page'!$N$39=4),Q5^(1/Q6),IF(('user page'!$N$39=3),Q5^(1/(LN(Q6))),"")))))</f>
        <v>0.92549259217415814</v>
      </c>
      <c r="R4" s="1320"/>
      <c r="S4" s="1319">
        <f>IF(('user page'!$N$39=0),S5^(1/S6^0.25),IF(('user page'!$N$39=1),S5^(1/S6^0.5),IF(('user page'!$N$39=2),S5^(1/S6^0.375),IF(('user page'!$N$39=4),S5^(1/S6),IF(('user page'!$N$39=3),S5^(1/(LN(S6))),"")))))</f>
        <v>0.93147217571033913</v>
      </c>
      <c r="T4" s="1320"/>
      <c r="U4" s="1319">
        <f>U5^(1/U6^0.375)</f>
        <v>0.95369008020895385</v>
      </c>
      <c r="V4" s="1320"/>
      <c r="W4" s="1319">
        <f>W5^(1/W6)</f>
        <v>0.98668298749634353</v>
      </c>
      <c r="X4" s="1320"/>
      <c r="Y4" s="1319">
        <f>(Y5/W5)^(1/(Y6-W6))</f>
        <v>0.9935921153695555</v>
      </c>
      <c r="Z4" s="1320"/>
      <c r="AA4" s="1319">
        <f>(AA5/Y5)^(1/(AA6-Y6))</f>
        <v>0.99808957471175141</v>
      </c>
      <c r="AB4" s="1320"/>
    </row>
    <row r="5" spans="1:28" ht="20.25" customHeight="1" x14ac:dyDescent="0.25">
      <c r="A5" s="1334" t="s">
        <v>145</v>
      </c>
      <c r="B5" s="1335"/>
      <c r="C5" s="1336">
        <v>0.94399999999999995</v>
      </c>
      <c r="D5" s="1337"/>
      <c r="E5" s="192">
        <v>0.8</v>
      </c>
      <c r="F5" s="192">
        <v>0.86</v>
      </c>
      <c r="G5" s="1336">
        <v>0.84</v>
      </c>
      <c r="H5" s="1337"/>
      <c r="I5" s="1336">
        <v>0.72</v>
      </c>
      <c r="J5" s="1337"/>
      <c r="K5" s="192">
        <v>0.85961557225572693</v>
      </c>
      <c r="L5" s="193">
        <v>0.92794549014833527</v>
      </c>
      <c r="M5" s="1311">
        <v>0.83</v>
      </c>
      <c r="N5" s="1312"/>
      <c r="O5" s="1311">
        <v>0.81</v>
      </c>
      <c r="P5" s="1312"/>
      <c r="Q5" s="1311">
        <v>0.72</v>
      </c>
      <c r="R5" s="1312"/>
      <c r="S5" s="1311">
        <v>0.78</v>
      </c>
      <c r="T5" s="1312"/>
      <c r="U5" s="1311">
        <v>0.89</v>
      </c>
      <c r="V5" s="1312"/>
      <c r="W5" s="1311">
        <v>0.86</v>
      </c>
      <c r="X5" s="1312"/>
      <c r="Y5" s="1311">
        <v>0.8</v>
      </c>
      <c r="Z5" s="1312"/>
      <c r="AA5" s="1311">
        <v>0.75</v>
      </c>
      <c r="AB5" s="1312"/>
    </row>
    <row r="6" spans="1:28" ht="16.5" customHeight="1" x14ac:dyDescent="0.25">
      <c r="A6" s="1301" t="s">
        <v>146</v>
      </c>
      <c r="B6" s="1323"/>
      <c r="C6" s="1313">
        <v>4.5</v>
      </c>
      <c r="D6" s="1333"/>
      <c r="E6" s="204">
        <v>30.9</v>
      </c>
      <c r="F6" s="204">
        <v>30.1</v>
      </c>
      <c r="G6" s="1313">
        <v>7.5</v>
      </c>
      <c r="H6" s="1333"/>
      <c r="I6" s="1313">
        <v>31.5</v>
      </c>
      <c r="J6" s="1333"/>
      <c r="K6" s="204">
        <v>11.25</v>
      </c>
      <c r="L6" s="204">
        <v>11.25</v>
      </c>
      <c r="M6" s="1313">
        <v>10</v>
      </c>
      <c r="N6" s="1314"/>
      <c r="O6" s="1313">
        <v>11</v>
      </c>
      <c r="P6" s="1314"/>
      <c r="Q6" s="1313">
        <f>3*6</f>
        <v>18</v>
      </c>
      <c r="R6" s="1314"/>
      <c r="S6" s="1313">
        <f>0.5*3.5*7</f>
        <v>12.25</v>
      </c>
      <c r="T6" s="1314"/>
      <c r="U6" s="1313">
        <v>11</v>
      </c>
      <c r="V6" s="1314"/>
      <c r="W6" s="1313">
        <v>11.25</v>
      </c>
      <c r="X6" s="1314"/>
      <c r="Y6" s="1313">
        <v>22.5</v>
      </c>
      <c r="Z6" s="1314"/>
      <c r="AA6" s="1313">
        <v>56.25</v>
      </c>
      <c r="AB6" s="1314"/>
    </row>
    <row r="7" spans="1:28" x14ac:dyDescent="0.25">
      <c r="A7" s="77"/>
      <c r="B7" s="77"/>
      <c r="C7" s="77"/>
      <c r="D7" s="77"/>
      <c r="E7" s="77"/>
      <c r="F7" s="77"/>
      <c r="G7" s="77"/>
      <c r="H7" s="77"/>
      <c r="I7" s="77"/>
      <c r="J7" s="77"/>
      <c r="K7" s="77"/>
      <c r="L7" s="77"/>
      <c r="M7" s="77"/>
      <c r="N7" s="64"/>
      <c r="O7" s="64"/>
      <c r="Q7" s="64"/>
    </row>
  </sheetData>
  <mergeCells count="61">
    <mergeCell ref="W2:X2"/>
    <mergeCell ref="W3:X3"/>
    <mergeCell ref="W4:X4"/>
    <mergeCell ref="W5:X5"/>
    <mergeCell ref="W6:X6"/>
    <mergeCell ref="U2:V2"/>
    <mergeCell ref="U3:V3"/>
    <mergeCell ref="U4:V4"/>
    <mergeCell ref="U5:V5"/>
    <mergeCell ref="U6:V6"/>
    <mergeCell ref="S2:T2"/>
    <mergeCell ref="S3:T3"/>
    <mergeCell ref="S4:T4"/>
    <mergeCell ref="S5:T5"/>
    <mergeCell ref="S6:T6"/>
    <mergeCell ref="O6:P6"/>
    <mergeCell ref="Q2:R2"/>
    <mergeCell ref="Q3:R3"/>
    <mergeCell ref="Q4:R4"/>
    <mergeCell ref="Q5:R5"/>
    <mergeCell ref="Q6:R6"/>
    <mergeCell ref="M2:N2"/>
    <mergeCell ref="O2:P2"/>
    <mergeCell ref="O3:P3"/>
    <mergeCell ref="O4:P4"/>
    <mergeCell ref="O5:P5"/>
    <mergeCell ref="M3:N3"/>
    <mergeCell ref="M4:N4"/>
    <mergeCell ref="M5:N5"/>
    <mergeCell ref="G6:H6"/>
    <mergeCell ref="I6:J6"/>
    <mergeCell ref="A5:B5"/>
    <mergeCell ref="M6:N6"/>
    <mergeCell ref="C6:D6"/>
    <mergeCell ref="G5:H5"/>
    <mergeCell ref="C5:D5"/>
    <mergeCell ref="I5:J5"/>
    <mergeCell ref="A6:B6"/>
    <mergeCell ref="A3:B3"/>
    <mergeCell ref="A4:B4"/>
    <mergeCell ref="Y2:Z2"/>
    <mergeCell ref="Y3:Z3"/>
    <mergeCell ref="Y4:Z4"/>
    <mergeCell ref="C3:D3"/>
    <mergeCell ref="G3:H3"/>
    <mergeCell ref="I3:J3"/>
    <mergeCell ref="G4:H4"/>
    <mergeCell ref="C4:D4"/>
    <mergeCell ref="I4:J4"/>
    <mergeCell ref="C2:D2"/>
    <mergeCell ref="E2:F2"/>
    <mergeCell ref="G2:H2"/>
    <mergeCell ref="I2:J2"/>
    <mergeCell ref="K2:L2"/>
    <mergeCell ref="Y5:Z5"/>
    <mergeCell ref="Y6:Z6"/>
    <mergeCell ref="AA2:AB2"/>
    <mergeCell ref="AA3:AB3"/>
    <mergeCell ref="AA4:AB4"/>
    <mergeCell ref="AA5:AB5"/>
    <mergeCell ref="AA6:AB6"/>
  </mergeCell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5"/>
  <sheetViews>
    <sheetView zoomScale="80" zoomScaleNormal="80" workbookViewId="0">
      <selection activeCell="D6" sqref="D6"/>
    </sheetView>
  </sheetViews>
  <sheetFormatPr defaultColWidth="9.140625" defaultRowHeight="15" x14ac:dyDescent="0.25"/>
  <cols>
    <col min="1" max="1" width="12.28515625" style="99" customWidth="1"/>
    <col min="2" max="2" width="8.5703125" style="102" customWidth="1"/>
    <col min="3" max="3" width="9.42578125" style="99" customWidth="1"/>
    <col min="4" max="4" width="11.42578125" style="99" customWidth="1"/>
    <col min="5" max="5" width="10.28515625" style="99" customWidth="1"/>
    <col min="6" max="7" width="12.42578125" style="10" customWidth="1"/>
    <col min="8" max="9" width="9.140625" style="10"/>
    <col min="10" max="10" width="9.140625" style="10" customWidth="1"/>
    <col min="11" max="16384" width="9.140625" style="10"/>
  </cols>
  <sheetData>
    <row r="1" spans="1:27" x14ac:dyDescent="0.25">
      <c r="A1" s="100" t="s">
        <v>62</v>
      </c>
      <c r="B1" s="1339" t="s">
        <v>61</v>
      </c>
      <c r="C1" s="1340"/>
      <c r="D1" s="1340"/>
      <c r="E1" s="1340"/>
      <c r="F1" s="1340"/>
      <c r="G1" s="1340"/>
    </row>
    <row r="2" spans="1:27" x14ac:dyDescent="0.25">
      <c r="A2" s="100"/>
      <c r="B2" s="100"/>
      <c r="C2" s="101">
        <v>0</v>
      </c>
      <c r="D2" s="101">
        <v>1</v>
      </c>
      <c r="E2" s="101">
        <v>2</v>
      </c>
      <c r="F2" s="101">
        <v>3</v>
      </c>
      <c r="G2" s="101">
        <v>4</v>
      </c>
    </row>
    <row r="3" spans="1:27" x14ac:dyDescent="0.25">
      <c r="A3" s="100" t="s">
        <v>60</v>
      </c>
      <c r="B3" s="393" t="s">
        <v>249</v>
      </c>
      <c r="C3" s="394">
        <f>'Calibration Data'!Q289</f>
        <v>0</v>
      </c>
      <c r="D3" s="394">
        <f>'Calibration Data'!Q305</f>
        <v>0</v>
      </c>
      <c r="E3" s="394">
        <f>'Calibration Data'!Q321</f>
        <v>0</v>
      </c>
      <c r="F3" s="394">
        <f>'Calibration Data'!Q337</f>
        <v>0</v>
      </c>
      <c r="G3" s="394">
        <f>'Calibration Data'!Q353</f>
        <v>0</v>
      </c>
    </row>
    <row r="4" spans="1:27" x14ac:dyDescent="0.25">
      <c r="A4" s="100"/>
      <c r="B4" s="393" t="s">
        <v>244</v>
      </c>
      <c r="C4" s="394">
        <f>'Calibration Data'!Q290</f>
        <v>0</v>
      </c>
      <c r="D4" s="394">
        <f>'Calibration Data'!Q306</f>
        <v>0</v>
      </c>
      <c r="E4" s="394">
        <f>'Calibration Data'!Q322</f>
        <v>0</v>
      </c>
      <c r="F4" s="394">
        <f>'Calibration Data'!Q338</f>
        <v>0</v>
      </c>
      <c r="G4" s="394">
        <f>'Calibration Data'!Q354</f>
        <v>0</v>
      </c>
    </row>
    <row r="5" spans="1:27" x14ac:dyDescent="0.25">
      <c r="A5" s="100"/>
      <c r="B5" s="393" t="s">
        <v>4</v>
      </c>
      <c r="C5" s="395">
        <f>'Calibration Data'!Q291</f>
        <v>57.8</v>
      </c>
      <c r="D5" s="395">
        <f>'Calibration Data'!Q307</f>
        <v>41</v>
      </c>
      <c r="E5" s="395">
        <f>'Calibration Data'!Q323</f>
        <v>45.5</v>
      </c>
      <c r="F5" s="395">
        <f>'Calibration Data'!Q339</f>
        <v>37.924999999999997</v>
      </c>
      <c r="G5" s="395">
        <f>'Calibration Data'!Q355</f>
        <v>41</v>
      </c>
    </row>
    <row r="6" spans="1:27" x14ac:dyDescent="0.25">
      <c r="A6" s="100"/>
      <c r="B6" s="393" t="s">
        <v>5</v>
      </c>
      <c r="C6" s="395">
        <f>'Calibration Data'!Q292</f>
        <v>51.25</v>
      </c>
      <c r="D6" s="395">
        <f>'Calibration Data'!Q308</f>
        <v>51.25</v>
      </c>
      <c r="E6" s="395">
        <f>'Calibration Data'!Q324</f>
        <v>64.75</v>
      </c>
      <c r="F6" s="395">
        <f>'Calibration Data'!Q340</f>
        <v>46.125</v>
      </c>
      <c r="G6" s="395">
        <f>'Calibration Data'!Q356</f>
        <v>44.8</v>
      </c>
      <c r="K6" s="393"/>
    </row>
    <row r="7" spans="1:27" x14ac:dyDescent="0.25">
      <c r="A7" s="100"/>
      <c r="B7" s="393" t="s">
        <v>6</v>
      </c>
      <c r="C7" s="395">
        <f>'Calibration Data'!Q293</f>
        <v>58.274999999999999</v>
      </c>
      <c r="D7" s="395">
        <f>'Calibration Data'!Q309</f>
        <v>61.5</v>
      </c>
      <c r="E7" s="395">
        <f>'Calibration Data'!Q325</f>
        <v>53.725000000000001</v>
      </c>
      <c r="F7" s="395">
        <f>'Calibration Data'!Q341</f>
        <v>52.2</v>
      </c>
      <c r="G7" s="395">
        <f>'Calibration Data'!Q357</f>
        <v>46.7</v>
      </c>
      <c r="K7" s="393"/>
    </row>
    <row r="8" spans="1:27" x14ac:dyDescent="0.25">
      <c r="A8" s="100"/>
      <c r="B8" s="393" t="s">
        <v>7</v>
      </c>
      <c r="C8" s="395">
        <f>'Calibration Data'!Q294</f>
        <v>41</v>
      </c>
      <c r="D8" s="395">
        <f>'Calibration Data'!Q310</f>
        <v>31.25</v>
      </c>
      <c r="E8" s="395">
        <f>'Calibration Data'!Q326</f>
        <v>44.0833333333333</v>
      </c>
      <c r="F8" s="395">
        <f>'Calibration Data'!Q342</f>
        <v>42.5</v>
      </c>
      <c r="G8" s="395">
        <f>'Calibration Data'!Q358</f>
        <v>32.799999999999997</v>
      </c>
      <c r="K8" s="393"/>
    </row>
    <row r="9" spans="1:27" x14ac:dyDescent="0.25">
      <c r="A9" s="100"/>
      <c r="B9" s="393" t="s">
        <v>8</v>
      </c>
      <c r="C9" s="395">
        <f>'Calibration Data'!Q295</f>
        <v>4.375</v>
      </c>
      <c r="D9" s="395">
        <f>'Calibration Data'!Q311</f>
        <v>5</v>
      </c>
      <c r="E9" s="395">
        <f>'Calibration Data'!Q327</f>
        <v>8.3333333333333304</v>
      </c>
      <c r="F9" s="395">
        <f>'Calibration Data'!Q343</f>
        <v>3.75</v>
      </c>
      <c r="G9" s="395">
        <f>'Calibration Data'!Q359</f>
        <v>13.125</v>
      </c>
      <c r="H9"/>
      <c r="I9"/>
      <c r="J9"/>
      <c r="K9" s="393"/>
      <c r="L9"/>
      <c r="M9"/>
      <c r="N9"/>
      <c r="O9"/>
      <c r="P9"/>
      <c r="Q9"/>
      <c r="R9"/>
      <c r="S9"/>
      <c r="T9"/>
      <c r="U9"/>
      <c r="V9"/>
      <c r="W9"/>
      <c r="X9"/>
      <c r="Y9"/>
      <c r="Z9"/>
      <c r="AA9"/>
    </row>
    <row r="10" spans="1:27" x14ac:dyDescent="0.25">
      <c r="A10" s="100"/>
      <c r="B10" s="393" t="s">
        <v>9</v>
      </c>
      <c r="C10" s="395">
        <f>'Calibration Data'!Q296</f>
        <v>0</v>
      </c>
      <c r="D10" s="395">
        <f>'Calibration Data'!Q312</f>
        <v>10</v>
      </c>
      <c r="E10" s="395">
        <f>'Calibration Data'!Q328</f>
        <v>3.75</v>
      </c>
      <c r="F10" s="395">
        <f>'Calibration Data'!Q344</f>
        <v>5.2083333333333304</v>
      </c>
      <c r="G10" s="395">
        <f>'Calibration Data'!Q360</f>
        <v>0</v>
      </c>
      <c r="H10"/>
      <c r="I10"/>
      <c r="J10"/>
      <c r="K10" s="393"/>
      <c r="L10"/>
      <c r="M10"/>
      <c r="N10"/>
      <c r="O10"/>
      <c r="P10"/>
      <c r="Q10"/>
      <c r="R10"/>
      <c r="S10"/>
      <c r="T10"/>
      <c r="U10"/>
      <c r="V10"/>
      <c r="W10"/>
      <c r="X10"/>
      <c r="Y10"/>
      <c r="Z10"/>
      <c r="AA10"/>
    </row>
    <row r="11" spans="1:27" x14ac:dyDescent="0.25">
      <c r="A11" s="100" t="s">
        <v>59</v>
      </c>
      <c r="B11" s="393" t="s">
        <v>249</v>
      </c>
      <c r="C11" s="394">
        <f>'Calibration Data'!Q281</f>
        <v>0</v>
      </c>
      <c r="D11" s="394">
        <f>'Calibration Data'!Q297</f>
        <v>0</v>
      </c>
      <c r="E11" s="394">
        <f>'Calibration Data'!Q313</f>
        <v>0</v>
      </c>
      <c r="F11" s="394">
        <f>'Calibration Data'!Q329</f>
        <v>0</v>
      </c>
      <c r="G11" s="394">
        <f>'Calibration Data'!Q345</f>
        <v>0</v>
      </c>
      <c r="H11"/>
      <c r="I11"/>
      <c r="J11"/>
      <c r="K11" s="393"/>
      <c r="L11"/>
      <c r="M11"/>
      <c r="N11"/>
      <c r="O11"/>
      <c r="P11"/>
      <c r="Q11"/>
      <c r="R11"/>
      <c r="S11"/>
      <c r="T11"/>
      <c r="U11"/>
      <c r="V11"/>
      <c r="W11"/>
      <c r="X11"/>
      <c r="Y11"/>
      <c r="Z11"/>
      <c r="AA11"/>
    </row>
    <row r="12" spans="1:27" x14ac:dyDescent="0.25">
      <c r="A12" s="100"/>
      <c r="B12" s="393" t="s">
        <v>244</v>
      </c>
      <c r="C12" s="394">
        <f>'Calibration Data'!Q282</f>
        <v>0</v>
      </c>
      <c r="D12" s="394">
        <f>'Calibration Data'!Q298</f>
        <v>0</v>
      </c>
      <c r="E12" s="394">
        <f>'Calibration Data'!Q314</f>
        <v>0</v>
      </c>
      <c r="F12" s="394">
        <f>'Calibration Data'!Q330</f>
        <v>0</v>
      </c>
      <c r="G12" s="394">
        <f>'Calibration Data'!Q346</f>
        <v>0</v>
      </c>
      <c r="K12" s="393"/>
    </row>
    <row r="13" spans="1:27" x14ac:dyDescent="0.25">
      <c r="A13" s="100"/>
      <c r="B13" s="393" t="s">
        <v>4</v>
      </c>
      <c r="C13" s="395">
        <f>'Calibration Data'!Q283</f>
        <v>8.8666666666666707</v>
      </c>
      <c r="D13" s="395">
        <f>'Calibration Data'!Q299</f>
        <v>24.6</v>
      </c>
      <c r="E13" s="395">
        <f>'Calibration Data'!Q315</f>
        <v>29.85</v>
      </c>
      <c r="F13" s="395">
        <f>'Calibration Data'!Q331</f>
        <v>30.4</v>
      </c>
      <c r="G13" s="395">
        <f>'Calibration Data'!Q347</f>
        <v>41</v>
      </c>
      <c r="K13" s="393"/>
      <c r="M13"/>
      <c r="N13"/>
    </row>
    <row r="14" spans="1:27" x14ac:dyDescent="0.25">
      <c r="A14" s="100"/>
      <c r="B14" s="393" t="s">
        <v>5</v>
      </c>
      <c r="C14" s="395">
        <f>'Calibration Data'!Q284</f>
        <v>41</v>
      </c>
      <c r="D14" s="395">
        <f>'Calibration Data'!Q300</f>
        <v>35.875</v>
      </c>
      <c r="E14" s="395">
        <f>'Calibration Data'!Q316</f>
        <v>38.85</v>
      </c>
      <c r="F14" s="395">
        <f>'Calibration Data'!Q332</f>
        <v>41</v>
      </c>
      <c r="G14" s="395">
        <f>'Calibration Data'!Q348</f>
        <v>42.266666666666701</v>
      </c>
      <c r="K14"/>
      <c r="M14"/>
      <c r="N14"/>
    </row>
    <row r="15" spans="1:27" x14ac:dyDescent="0.25">
      <c r="A15" s="100"/>
      <c r="B15" s="393" t="s">
        <v>6</v>
      </c>
      <c r="C15" s="395">
        <f>'Calibration Data'!Q285</f>
        <v>41.65</v>
      </c>
      <c r="D15" s="395">
        <f>'Calibration Data'!Q301</f>
        <v>43.05</v>
      </c>
      <c r="E15" s="395">
        <f>'Calibration Data'!Q317</f>
        <v>46.066666666666698</v>
      </c>
      <c r="F15" s="395">
        <f>'Calibration Data'!Q333</f>
        <v>41</v>
      </c>
      <c r="G15" s="395">
        <f>'Calibration Data'!Q349</f>
        <v>41</v>
      </c>
      <c r="K15"/>
      <c r="M15"/>
      <c r="N15"/>
    </row>
    <row r="16" spans="1:27" x14ac:dyDescent="0.25">
      <c r="A16" s="100"/>
      <c r="B16" s="393" t="s">
        <v>7</v>
      </c>
      <c r="C16" s="395">
        <f>'Calibration Data'!Q286</f>
        <v>32.799999999999997</v>
      </c>
      <c r="D16" s="395">
        <f>'Calibration Data'!Q302</f>
        <v>18</v>
      </c>
      <c r="E16" s="395">
        <f>'Calibration Data'!Q318</f>
        <v>31.75</v>
      </c>
      <c r="F16" s="395">
        <f>'Calibration Data'!Q334</f>
        <v>20.5</v>
      </c>
      <c r="G16" s="395">
        <f>'Calibration Data'!Q350</f>
        <v>4.5</v>
      </c>
      <c r="K16"/>
      <c r="M16"/>
      <c r="N16"/>
    </row>
    <row r="17" spans="1:14" x14ac:dyDescent="0.25">
      <c r="A17" s="100"/>
      <c r="B17" s="393" t="s">
        <v>8</v>
      </c>
      <c r="C17" s="395">
        <f>'Calibration Data'!Q287</f>
        <v>5.8333333333333304</v>
      </c>
      <c r="D17" s="395">
        <f>'Calibration Data'!Q303</f>
        <v>5</v>
      </c>
      <c r="E17" s="395">
        <f>'Calibration Data'!Q319</f>
        <v>2.5</v>
      </c>
      <c r="F17" s="395">
        <f>'Calibration Data'!Q335</f>
        <v>3.75</v>
      </c>
      <c r="G17" s="395">
        <f>'Calibration Data'!Q351</f>
        <v>0</v>
      </c>
      <c r="K17"/>
      <c r="M17"/>
      <c r="N17"/>
    </row>
    <row r="18" spans="1:14" x14ac:dyDescent="0.25">
      <c r="A18" s="100"/>
      <c r="B18" s="393" t="s">
        <v>9</v>
      </c>
      <c r="C18" s="395">
        <f>'Calibration Data'!Q288</f>
        <v>6.5</v>
      </c>
      <c r="D18" s="395">
        <f>'Calibration Data'!Q304</f>
        <v>3.125</v>
      </c>
      <c r="E18" s="395">
        <f>'Calibration Data'!Q320</f>
        <v>0.83333333333333304</v>
      </c>
      <c r="F18" s="395">
        <f>'Calibration Data'!Q336</f>
        <v>0</v>
      </c>
      <c r="G18" s="395">
        <f>'Calibration Data'!Q352</f>
        <v>0</v>
      </c>
      <c r="K18"/>
      <c r="M18"/>
      <c r="N18"/>
    </row>
    <row r="19" spans="1:14" x14ac:dyDescent="0.25">
      <c r="A19" s="100" t="s">
        <v>58</v>
      </c>
      <c r="B19" s="100"/>
      <c r="C19" s="396"/>
      <c r="D19" s="396"/>
      <c r="E19" s="396"/>
      <c r="F19" s="396"/>
      <c r="G19" s="396"/>
      <c r="K19"/>
      <c r="M19"/>
      <c r="N19"/>
    </row>
    <row r="20" spans="1:14" x14ac:dyDescent="0.25">
      <c r="A20" s="100" t="str">
        <f t="shared" ref="A20:G35" si="0">A3</f>
        <v>men</v>
      </c>
      <c r="B20" s="100" t="str">
        <f t="shared" si="0"/>
        <v>00-04</v>
      </c>
      <c r="C20" s="396">
        <f>C3</f>
        <v>0</v>
      </c>
      <c r="D20" s="396">
        <f>D3</f>
        <v>0</v>
      </c>
      <c r="E20" s="396">
        <f>E3</f>
        <v>0</v>
      </c>
      <c r="F20" s="396">
        <f>F3</f>
        <v>0</v>
      </c>
      <c r="G20" s="396">
        <f>G3</f>
        <v>0</v>
      </c>
      <c r="K20"/>
      <c r="M20"/>
      <c r="N20"/>
    </row>
    <row r="21" spans="1:14" x14ac:dyDescent="0.25">
      <c r="A21" s="100"/>
      <c r="B21" s="100" t="str">
        <f t="shared" si="0"/>
        <v>05-14</v>
      </c>
      <c r="C21" s="396">
        <f t="shared" si="0"/>
        <v>0</v>
      </c>
      <c r="D21" s="396">
        <f t="shared" si="0"/>
        <v>0</v>
      </c>
      <c r="E21" s="396">
        <f t="shared" si="0"/>
        <v>0</v>
      </c>
      <c r="F21" s="396">
        <f t="shared" si="0"/>
        <v>0</v>
      </c>
      <c r="G21" s="396">
        <f t="shared" si="0"/>
        <v>0</v>
      </c>
      <c r="K21"/>
      <c r="M21"/>
      <c r="N21"/>
    </row>
    <row r="22" spans="1:14" x14ac:dyDescent="0.25">
      <c r="A22" s="100"/>
      <c r="B22" s="100" t="str">
        <f t="shared" si="0"/>
        <v>15-29</v>
      </c>
      <c r="C22" s="396">
        <f t="shared" si="0"/>
        <v>57.8</v>
      </c>
      <c r="D22" s="396">
        <f t="shared" si="0"/>
        <v>41</v>
      </c>
      <c r="E22" s="396">
        <f t="shared" si="0"/>
        <v>45.5</v>
      </c>
      <c r="F22" s="396">
        <f t="shared" si="0"/>
        <v>37.924999999999997</v>
      </c>
      <c r="G22" s="396">
        <f t="shared" si="0"/>
        <v>41</v>
      </c>
      <c r="K22"/>
      <c r="M22"/>
      <c r="N22"/>
    </row>
    <row r="23" spans="1:14" x14ac:dyDescent="0.25">
      <c r="A23" s="100"/>
      <c r="B23" s="100" t="str">
        <f t="shared" si="0"/>
        <v>30-44</v>
      </c>
      <c r="C23" s="396">
        <f t="shared" si="0"/>
        <v>51.25</v>
      </c>
      <c r="D23" s="396">
        <f t="shared" si="0"/>
        <v>51.25</v>
      </c>
      <c r="E23" s="396">
        <f t="shared" si="0"/>
        <v>64.75</v>
      </c>
      <c r="F23" s="396">
        <f t="shared" si="0"/>
        <v>46.125</v>
      </c>
      <c r="G23" s="396">
        <f t="shared" si="0"/>
        <v>44.8</v>
      </c>
      <c r="K23"/>
      <c r="M23"/>
      <c r="N23"/>
    </row>
    <row r="24" spans="1:14" x14ac:dyDescent="0.25">
      <c r="A24" s="100"/>
      <c r="B24" s="100" t="str">
        <f t="shared" si="0"/>
        <v>45-59</v>
      </c>
      <c r="C24" s="396">
        <f t="shared" si="0"/>
        <v>58.274999999999999</v>
      </c>
      <c r="D24" s="396">
        <f t="shared" si="0"/>
        <v>61.5</v>
      </c>
      <c r="E24" s="396">
        <f t="shared" si="0"/>
        <v>53.725000000000001</v>
      </c>
      <c r="F24" s="396">
        <f t="shared" si="0"/>
        <v>52.2</v>
      </c>
      <c r="G24" s="396">
        <f t="shared" si="0"/>
        <v>46.7</v>
      </c>
      <c r="K24"/>
      <c r="M24"/>
      <c r="N24"/>
    </row>
    <row r="25" spans="1:14" x14ac:dyDescent="0.25">
      <c r="A25" s="100"/>
      <c r="B25" s="100" t="str">
        <f t="shared" si="0"/>
        <v>60-69</v>
      </c>
      <c r="C25" s="396">
        <f t="shared" si="0"/>
        <v>41</v>
      </c>
      <c r="D25" s="396">
        <f t="shared" si="0"/>
        <v>31.25</v>
      </c>
      <c r="E25" s="396">
        <f t="shared" si="0"/>
        <v>44.0833333333333</v>
      </c>
      <c r="F25" s="396">
        <f t="shared" si="0"/>
        <v>42.5</v>
      </c>
      <c r="G25" s="396">
        <f t="shared" si="0"/>
        <v>32.799999999999997</v>
      </c>
      <c r="K25"/>
      <c r="M25"/>
      <c r="N25"/>
    </row>
    <row r="26" spans="1:14" x14ac:dyDescent="0.25">
      <c r="A26" s="100"/>
      <c r="B26" s="100" t="str">
        <f t="shared" si="0"/>
        <v>70-79</v>
      </c>
      <c r="C26" s="396">
        <f t="shared" si="0"/>
        <v>4.375</v>
      </c>
      <c r="D26" s="396">
        <f t="shared" si="0"/>
        <v>5</v>
      </c>
      <c r="E26" s="396">
        <f t="shared" si="0"/>
        <v>8.3333333333333304</v>
      </c>
      <c r="F26" s="396">
        <f t="shared" si="0"/>
        <v>3.75</v>
      </c>
      <c r="G26" s="396">
        <f t="shared" si="0"/>
        <v>13.125</v>
      </c>
      <c r="K26"/>
      <c r="M26"/>
      <c r="N26"/>
    </row>
    <row r="27" spans="1:14" x14ac:dyDescent="0.25">
      <c r="A27" s="100"/>
      <c r="B27" s="100" t="str">
        <f t="shared" si="0"/>
        <v>80+</v>
      </c>
      <c r="C27" s="396">
        <f t="shared" si="0"/>
        <v>0</v>
      </c>
      <c r="D27" s="396">
        <f t="shared" si="0"/>
        <v>10</v>
      </c>
      <c r="E27" s="396">
        <f t="shared" si="0"/>
        <v>3.75</v>
      </c>
      <c r="F27" s="396">
        <f t="shared" si="0"/>
        <v>5.2083333333333304</v>
      </c>
      <c r="G27" s="396">
        <f t="shared" si="0"/>
        <v>0</v>
      </c>
      <c r="K27"/>
      <c r="M27"/>
      <c r="N27"/>
    </row>
    <row r="28" spans="1:14" x14ac:dyDescent="0.25">
      <c r="A28" s="100" t="str">
        <f t="shared" si="0"/>
        <v>women</v>
      </c>
      <c r="B28" s="100" t="str">
        <f t="shared" si="0"/>
        <v>00-04</v>
      </c>
      <c r="C28" s="396">
        <f t="shared" si="0"/>
        <v>0</v>
      </c>
      <c r="D28" s="396">
        <f t="shared" si="0"/>
        <v>0</v>
      </c>
      <c r="E28" s="396">
        <f t="shared" si="0"/>
        <v>0</v>
      </c>
      <c r="F28" s="396">
        <f t="shared" si="0"/>
        <v>0</v>
      </c>
      <c r="G28" s="396">
        <f t="shared" si="0"/>
        <v>0</v>
      </c>
      <c r="K28"/>
    </row>
    <row r="29" spans="1:14" x14ac:dyDescent="0.25">
      <c r="A29" s="100"/>
      <c r="B29" s="100" t="str">
        <f t="shared" si="0"/>
        <v>05-14</v>
      </c>
      <c r="C29" s="396">
        <f t="shared" si="0"/>
        <v>0</v>
      </c>
      <c r="D29" s="396">
        <f t="shared" si="0"/>
        <v>0</v>
      </c>
      <c r="E29" s="396">
        <f t="shared" si="0"/>
        <v>0</v>
      </c>
      <c r="F29" s="396">
        <f t="shared" si="0"/>
        <v>0</v>
      </c>
      <c r="G29" s="396">
        <f t="shared" si="0"/>
        <v>0</v>
      </c>
      <c r="K29"/>
    </row>
    <row r="30" spans="1:14" x14ac:dyDescent="0.25">
      <c r="A30" s="100"/>
      <c r="B30" s="100" t="str">
        <f t="shared" ref="B30:B35" si="1">B13</f>
        <v>15-29</v>
      </c>
      <c r="C30" s="396">
        <f t="shared" si="0"/>
        <v>8.8666666666666707</v>
      </c>
      <c r="D30" s="396">
        <f t="shared" si="0"/>
        <v>24.6</v>
      </c>
      <c r="E30" s="396">
        <f t="shared" si="0"/>
        <v>29.85</v>
      </c>
      <c r="F30" s="396">
        <f t="shared" si="0"/>
        <v>30.4</v>
      </c>
      <c r="G30" s="396">
        <f t="shared" si="0"/>
        <v>41</v>
      </c>
      <c r="K30"/>
    </row>
    <row r="31" spans="1:14" x14ac:dyDescent="0.25">
      <c r="A31" s="100"/>
      <c r="B31" s="100" t="str">
        <f t="shared" si="1"/>
        <v>30-44</v>
      </c>
      <c r="C31" s="396">
        <f t="shared" si="0"/>
        <v>41</v>
      </c>
      <c r="D31" s="396">
        <f t="shared" si="0"/>
        <v>35.875</v>
      </c>
      <c r="E31" s="396">
        <f t="shared" si="0"/>
        <v>38.85</v>
      </c>
      <c r="F31" s="396">
        <f t="shared" si="0"/>
        <v>41</v>
      </c>
      <c r="G31" s="396">
        <f t="shared" si="0"/>
        <v>42.266666666666701</v>
      </c>
      <c r="K31"/>
    </row>
    <row r="32" spans="1:14" x14ac:dyDescent="0.25">
      <c r="A32" s="100"/>
      <c r="B32" s="100" t="str">
        <f t="shared" si="1"/>
        <v>45-59</v>
      </c>
      <c r="C32" s="396">
        <f t="shared" si="0"/>
        <v>41.65</v>
      </c>
      <c r="D32" s="396">
        <f t="shared" si="0"/>
        <v>43.05</v>
      </c>
      <c r="E32" s="396">
        <f t="shared" si="0"/>
        <v>46.066666666666698</v>
      </c>
      <c r="F32" s="396">
        <f t="shared" si="0"/>
        <v>41</v>
      </c>
      <c r="G32" s="396">
        <f t="shared" si="0"/>
        <v>41</v>
      </c>
      <c r="K32"/>
    </row>
    <row r="33" spans="1:11" x14ac:dyDescent="0.25">
      <c r="A33" s="100"/>
      <c r="B33" s="100" t="str">
        <f t="shared" si="1"/>
        <v>60-69</v>
      </c>
      <c r="C33" s="396">
        <f t="shared" si="0"/>
        <v>32.799999999999997</v>
      </c>
      <c r="D33" s="396">
        <f t="shared" si="0"/>
        <v>18</v>
      </c>
      <c r="E33" s="396">
        <f t="shared" si="0"/>
        <v>31.75</v>
      </c>
      <c r="F33" s="396">
        <f t="shared" si="0"/>
        <v>20.5</v>
      </c>
      <c r="G33" s="396">
        <f t="shared" si="0"/>
        <v>4.5</v>
      </c>
      <c r="K33"/>
    </row>
    <row r="34" spans="1:11" x14ac:dyDescent="0.25">
      <c r="A34" s="100"/>
      <c r="B34" s="100" t="str">
        <f t="shared" si="1"/>
        <v>70-79</v>
      </c>
      <c r="C34" s="396">
        <f t="shared" si="0"/>
        <v>5.8333333333333304</v>
      </c>
      <c r="D34" s="396">
        <f t="shared" si="0"/>
        <v>5</v>
      </c>
      <c r="E34" s="396">
        <f t="shared" si="0"/>
        <v>2.5</v>
      </c>
      <c r="F34" s="396">
        <f t="shared" si="0"/>
        <v>3.75</v>
      </c>
      <c r="G34" s="396">
        <f t="shared" si="0"/>
        <v>0</v>
      </c>
      <c r="K34"/>
    </row>
    <row r="35" spans="1:11" x14ac:dyDescent="0.25">
      <c r="A35" s="100"/>
      <c r="B35" s="100" t="str">
        <f t="shared" si="1"/>
        <v>80+</v>
      </c>
      <c r="C35" s="396">
        <f t="shared" si="0"/>
        <v>6.5</v>
      </c>
      <c r="D35" s="396">
        <f t="shared" si="0"/>
        <v>3.125</v>
      </c>
      <c r="E35" s="396">
        <f t="shared" si="0"/>
        <v>0.83333333333333304</v>
      </c>
      <c r="F35" s="396">
        <f t="shared" si="0"/>
        <v>0</v>
      </c>
      <c r="G35" s="396">
        <f t="shared" si="0"/>
        <v>0</v>
      </c>
      <c r="K35"/>
    </row>
    <row r="36" spans="1:11" x14ac:dyDescent="0.25">
      <c r="K36"/>
    </row>
    <row r="37" spans="1:11" x14ac:dyDescent="0.25">
      <c r="K37"/>
    </row>
    <row r="38" spans="1:11" x14ac:dyDescent="0.25">
      <c r="K38"/>
    </row>
    <row r="39" spans="1:11" x14ac:dyDescent="0.25">
      <c r="K39"/>
    </row>
    <row r="40" spans="1:11" x14ac:dyDescent="0.25">
      <c r="K40"/>
    </row>
    <row r="41" spans="1:11" x14ac:dyDescent="0.25">
      <c r="K41"/>
    </row>
    <row r="42" spans="1:11" x14ac:dyDescent="0.25">
      <c r="K42"/>
    </row>
    <row r="43" spans="1:11" x14ac:dyDescent="0.25">
      <c r="K43"/>
    </row>
    <row r="44" spans="1:11" x14ac:dyDescent="0.25">
      <c r="K44"/>
    </row>
    <row r="45" spans="1:11" x14ac:dyDescent="0.25">
      <c r="K45"/>
    </row>
  </sheetData>
  <mergeCells count="1">
    <mergeCell ref="B1:G1"/>
  </mergeCells>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3008"/>
  <sheetViews>
    <sheetView zoomScale="70" zoomScaleNormal="70" workbookViewId="0">
      <pane ySplit="5" topLeftCell="A2864" activePane="bottomLeft" state="frozen"/>
      <selection pane="bottomLeft"/>
    </sheetView>
  </sheetViews>
  <sheetFormatPr defaultColWidth="9.140625" defaultRowHeight="15" x14ac:dyDescent="0.25"/>
  <cols>
    <col min="1" max="1" width="27.140625" style="1" customWidth="1"/>
    <col min="2" max="2" width="13.42578125" style="1" customWidth="1"/>
    <col min="3" max="3" width="13" style="1" customWidth="1"/>
    <col min="4" max="4" width="14.7109375" style="1" customWidth="1"/>
    <col min="5" max="5" width="17.85546875" style="1" customWidth="1"/>
    <col min="6" max="7" width="17.5703125" style="1" customWidth="1"/>
    <col min="8" max="8" width="12.28515625" style="1" customWidth="1"/>
    <col min="9" max="9" width="14.28515625" style="1" customWidth="1"/>
    <col min="10" max="10" width="16.42578125" style="3" customWidth="1"/>
    <col min="11" max="16384" width="9.140625" style="1"/>
  </cols>
  <sheetData>
    <row r="1" spans="1:11" ht="28.5" customHeight="1" x14ac:dyDescent="0.5">
      <c r="A1" s="2" t="s">
        <v>11</v>
      </c>
    </row>
    <row r="2" spans="1:11" ht="18.75" x14ac:dyDescent="0.3">
      <c r="A2" s="9" t="s">
        <v>87</v>
      </c>
      <c r="B2" s="9" t="s">
        <v>88</v>
      </c>
      <c r="C2" s="9" t="s">
        <v>0</v>
      </c>
      <c r="D2" s="9" t="s">
        <v>15</v>
      </c>
      <c r="E2" s="4" t="s">
        <v>232</v>
      </c>
      <c r="F2" s="4"/>
      <c r="G2" s="4"/>
      <c r="H2" s="4"/>
      <c r="I2" s="4"/>
      <c r="J2" s="1"/>
      <c r="K2" s="3"/>
    </row>
    <row r="3" spans="1:11" ht="18.75" customHeight="1" x14ac:dyDescent="0.3">
      <c r="A3" s="9">
        <f>LN(D3)-(1/2*(LN(1+(C3/D3)^2)))</f>
        <v>4.4269281816504122</v>
      </c>
      <c r="B3" s="9">
        <f>SQRT((LN(1+(C3/D3)^2)))</f>
        <v>1.0804694465331666</v>
      </c>
      <c r="C3" s="9">
        <f>Scenario!C17*Scenario!C20</f>
        <v>223.17621104996331</v>
      </c>
      <c r="D3" s="9">
        <f>Scenario!C17</f>
        <v>150</v>
      </c>
      <c r="E3" s="398">
        <f>'user page'!C36</f>
        <v>62557</v>
      </c>
      <c r="F3" s="6"/>
      <c r="G3" s="6"/>
      <c r="H3" s="6"/>
      <c r="I3" s="6"/>
      <c r="J3" s="1"/>
      <c r="K3" s="3"/>
    </row>
    <row r="4" spans="1:11" ht="13.5" customHeight="1" x14ac:dyDescent="0.35">
      <c r="A4" s="5"/>
      <c r="B4" s="6"/>
      <c r="C4" s="6"/>
      <c r="D4" s="6"/>
      <c r="E4" s="6"/>
    </row>
    <row r="5" spans="1:11" ht="20.25" x14ac:dyDescent="0.35">
      <c r="A5" s="7" t="s">
        <v>12</v>
      </c>
      <c r="B5" s="4" t="s">
        <v>1</v>
      </c>
      <c r="C5" s="4" t="s">
        <v>13</v>
      </c>
      <c r="D5" s="8"/>
      <c r="E5" s="8"/>
      <c r="F5" s="8"/>
      <c r="G5" s="8"/>
      <c r="H5" s="4"/>
    </row>
    <row r="6" spans="1:11" ht="18.75" x14ac:dyDescent="0.3">
      <c r="A6" s="7">
        <v>0</v>
      </c>
      <c r="B6" s="4">
        <v>0</v>
      </c>
      <c r="C6" s="4">
        <v>0</v>
      </c>
      <c r="D6" s="8">
        <f>C6</f>
        <v>0</v>
      </c>
      <c r="E6" s="8">
        <f>A6/7</f>
        <v>0</v>
      </c>
      <c r="F6" s="8"/>
      <c r="G6" s="8"/>
      <c r="H6" s="4"/>
    </row>
    <row r="7" spans="1:11" ht="18.75" x14ac:dyDescent="0.3">
      <c r="A7" s="3">
        <v>1</v>
      </c>
      <c r="B7" s="9">
        <f>LOGNORMDIST(A7,$A$3,$B$3)</f>
        <v>2.0906475633131428E-5</v>
      </c>
      <c r="C7" s="3">
        <f>$E$3*B7</f>
        <v>1.3078463961818028</v>
      </c>
      <c r="D7" s="3">
        <f>C7-C6</f>
        <v>1.3078463961818028</v>
      </c>
      <c r="E7" s="8">
        <f t="shared" ref="E7:E70" si="0">A7/7</f>
        <v>0.14285714285714285</v>
      </c>
      <c r="F7" s="3"/>
      <c r="G7" s="3"/>
      <c r="H7" s="3"/>
    </row>
    <row r="8" spans="1:11" ht="18.75" x14ac:dyDescent="0.3">
      <c r="A8" s="3">
        <v>2</v>
      </c>
      <c r="B8" s="9">
        <f t="shared" ref="B8:B71" si="1">LOGNORMDIST(A8,$A$3,$B$3)</f>
        <v>2.7443033947165151E-4</v>
      </c>
      <c r="C8" s="3">
        <f t="shared" ref="C8:C71" si="2">$E$3*B8</f>
        <v>17.167538746328106</v>
      </c>
      <c r="D8" s="3">
        <f t="shared" ref="D8:D71" si="3">C8-C7</f>
        <v>15.859692350146302</v>
      </c>
      <c r="E8" s="8">
        <f t="shared" si="0"/>
        <v>0.2857142857142857</v>
      </c>
      <c r="F8" s="3"/>
      <c r="G8" s="3"/>
      <c r="H8" s="3"/>
    </row>
    <row r="9" spans="1:11" ht="18.75" x14ac:dyDescent="0.3">
      <c r="A9" s="3">
        <v>3</v>
      </c>
      <c r="B9" s="9">
        <f t="shared" si="1"/>
        <v>1.0334923494345533E-3</v>
      </c>
      <c r="C9" s="3">
        <f t="shared" si="2"/>
        <v>64.65218090357736</v>
      </c>
      <c r="D9" s="3">
        <f t="shared" si="3"/>
        <v>47.484642157249255</v>
      </c>
      <c r="E9" s="8">
        <f t="shared" si="0"/>
        <v>0.42857142857142855</v>
      </c>
      <c r="F9" s="3"/>
      <c r="G9" s="3"/>
      <c r="H9" s="3"/>
    </row>
    <row r="10" spans="1:11" ht="18.75" x14ac:dyDescent="0.3">
      <c r="A10" s="3">
        <v>4</v>
      </c>
      <c r="B10" s="9">
        <f t="shared" si="1"/>
        <v>2.4451037624090861E-3</v>
      </c>
      <c r="C10" s="3">
        <f t="shared" si="2"/>
        <v>152.95835606502519</v>
      </c>
      <c r="D10" s="3">
        <f t="shared" si="3"/>
        <v>88.306175161447825</v>
      </c>
      <c r="E10" s="8">
        <f t="shared" si="0"/>
        <v>0.5714285714285714</v>
      </c>
      <c r="F10" s="3"/>
      <c r="G10" s="3"/>
      <c r="H10" s="3"/>
    </row>
    <row r="11" spans="1:11" ht="18.75" x14ac:dyDescent="0.3">
      <c r="A11" s="3">
        <v>5</v>
      </c>
      <c r="B11" s="9">
        <f t="shared" si="1"/>
        <v>4.5582551374607457E-3</v>
      </c>
      <c r="C11" s="3">
        <f t="shared" si="2"/>
        <v>285.15076663413186</v>
      </c>
      <c r="D11" s="3">
        <f t="shared" si="3"/>
        <v>132.19241056910667</v>
      </c>
      <c r="E11" s="8">
        <f t="shared" si="0"/>
        <v>0.7142857142857143</v>
      </c>
      <c r="F11" s="3"/>
      <c r="G11" s="3"/>
      <c r="H11" s="3"/>
    </row>
    <row r="12" spans="1:11" ht="18.75" x14ac:dyDescent="0.3">
      <c r="A12" s="3">
        <v>6</v>
      </c>
      <c r="B12" s="9">
        <f t="shared" si="1"/>
        <v>7.3657999655541853E-3</v>
      </c>
      <c r="C12" s="3">
        <f t="shared" si="2"/>
        <v>460.78234844517317</v>
      </c>
      <c r="D12" s="3">
        <f t="shared" si="3"/>
        <v>175.63158181104131</v>
      </c>
      <c r="E12" s="8">
        <f t="shared" si="0"/>
        <v>0.8571428571428571</v>
      </c>
      <c r="F12" s="3"/>
      <c r="G12" s="3"/>
      <c r="H12" s="3"/>
    </row>
    <row r="13" spans="1:11" ht="18.75" x14ac:dyDescent="0.3">
      <c r="A13" s="3">
        <v>7</v>
      </c>
      <c r="B13" s="9">
        <f t="shared" si="1"/>
        <v>1.0831058284044419E-2</v>
      </c>
      <c r="C13" s="3">
        <f t="shared" si="2"/>
        <v>677.55851307496675</v>
      </c>
      <c r="D13" s="3">
        <f t="shared" si="3"/>
        <v>216.77616462979358</v>
      </c>
      <c r="E13" s="8">
        <f t="shared" si="0"/>
        <v>1</v>
      </c>
      <c r="F13" s="3"/>
      <c r="G13" s="3"/>
      <c r="H13" s="3"/>
    </row>
    <row r="14" spans="1:11" ht="18.75" x14ac:dyDescent="0.3">
      <c r="A14" s="3">
        <v>8</v>
      </c>
      <c r="B14" s="9">
        <f t="shared" si="1"/>
        <v>1.4903171103872395E-2</v>
      </c>
      <c r="C14" s="3">
        <f t="shared" si="2"/>
        <v>932.29767474494543</v>
      </c>
      <c r="D14" s="3">
        <f t="shared" si="3"/>
        <v>254.73916166997867</v>
      </c>
      <c r="E14" s="8">
        <f t="shared" si="0"/>
        <v>1.1428571428571428</v>
      </c>
      <c r="F14" s="3"/>
      <c r="G14" s="3"/>
      <c r="H14" s="3"/>
    </row>
    <row r="15" spans="1:11" ht="18.75" x14ac:dyDescent="0.3">
      <c r="A15" s="3">
        <v>9</v>
      </c>
      <c r="B15" s="9">
        <f t="shared" si="1"/>
        <v>1.9525771398871482E-2</v>
      </c>
      <c r="C15" s="3">
        <f t="shared" si="2"/>
        <v>1221.4736813992033</v>
      </c>
      <c r="D15" s="3">
        <f t="shared" si="3"/>
        <v>289.17600665425789</v>
      </c>
      <c r="E15" s="8">
        <f t="shared" si="0"/>
        <v>1.2857142857142858</v>
      </c>
      <c r="F15" s="3"/>
      <c r="G15" s="3"/>
      <c r="H15" s="3"/>
    </row>
    <row r="16" spans="1:11" ht="18.75" x14ac:dyDescent="0.3">
      <c r="A16" s="3">
        <v>10</v>
      </c>
      <c r="B16" s="9">
        <f t="shared" si="1"/>
        <v>2.4641814158532914E-2</v>
      </c>
      <c r="C16" s="3">
        <f t="shared" si="2"/>
        <v>1541.5179683153435</v>
      </c>
      <c r="D16" s="3">
        <f t="shared" si="3"/>
        <v>320.04428691614021</v>
      </c>
      <c r="E16" s="8">
        <f t="shared" si="0"/>
        <v>1.4285714285714286</v>
      </c>
      <c r="F16" s="3"/>
      <c r="G16" s="3"/>
      <c r="H16" s="3"/>
    </row>
    <row r="17" spans="1:8" ht="18.75" x14ac:dyDescent="0.3">
      <c r="A17" s="3">
        <v>11</v>
      </c>
      <c r="B17" s="9">
        <f t="shared" si="1"/>
        <v>3.0196198956220714E-2</v>
      </c>
      <c r="C17" s="3">
        <f t="shared" si="2"/>
        <v>1888.9836181042992</v>
      </c>
      <c r="D17" s="3">
        <f t="shared" si="3"/>
        <v>347.46564978895572</v>
      </c>
      <c r="E17" s="8">
        <f t="shared" si="0"/>
        <v>1.5714285714285714</v>
      </c>
      <c r="F17" s="3"/>
      <c r="G17" s="3"/>
      <c r="H17" s="3"/>
    </row>
    <row r="18" spans="1:8" ht="18.75" x14ac:dyDescent="0.3">
      <c r="A18" s="3">
        <v>12</v>
      </c>
      <c r="B18" s="9">
        <f t="shared" si="1"/>
        <v>3.6137116617700096E-2</v>
      </c>
      <c r="C18" s="3">
        <f t="shared" si="2"/>
        <v>2260.629604253465</v>
      </c>
      <c r="D18" s="3">
        <f t="shared" si="3"/>
        <v>371.64598614916576</v>
      </c>
      <c r="E18" s="8">
        <f t="shared" si="0"/>
        <v>1.7142857142857142</v>
      </c>
      <c r="F18" s="3"/>
      <c r="G18" s="3"/>
      <c r="H18" s="3"/>
    </row>
    <row r="19" spans="1:8" ht="18.75" x14ac:dyDescent="0.3">
      <c r="A19" s="3">
        <v>13</v>
      </c>
      <c r="B19" s="9">
        <f t="shared" si="1"/>
        <v>4.2416656512492434E-2</v>
      </c>
      <c r="C19" s="3">
        <f t="shared" si="2"/>
        <v>2653.4587814519891</v>
      </c>
      <c r="D19" s="3">
        <f t="shared" si="3"/>
        <v>392.82917719852412</v>
      </c>
      <c r="E19" s="8">
        <f t="shared" si="0"/>
        <v>1.8571428571428572</v>
      </c>
      <c r="F19" s="3"/>
      <c r="G19" s="3"/>
      <c r="H19" s="3"/>
    </row>
    <row r="20" spans="1:8" ht="18.75" x14ac:dyDescent="0.3">
      <c r="A20" s="3">
        <v>14</v>
      </c>
      <c r="B20" s="9">
        <f t="shared" si="1"/>
        <v>4.8990987541260578E-2</v>
      </c>
      <c r="C20" s="3">
        <f t="shared" si="2"/>
        <v>3064.7292076186382</v>
      </c>
      <c r="D20" s="3">
        <f t="shared" si="3"/>
        <v>411.27042616664903</v>
      </c>
      <c r="E20" s="8">
        <f t="shared" si="0"/>
        <v>2</v>
      </c>
      <c r="F20" s="3"/>
      <c r="G20" s="3"/>
      <c r="H20" s="3"/>
    </row>
    <row r="21" spans="1:8" ht="18.75" x14ac:dyDescent="0.3">
      <c r="A21" s="3">
        <v>15</v>
      </c>
      <c r="B21" s="9">
        <f t="shared" si="1"/>
        <v>5.5820297645485302E-2</v>
      </c>
      <c r="C21" s="3">
        <f t="shared" si="2"/>
        <v>3491.9503598086239</v>
      </c>
      <c r="D21" s="3">
        <f t="shared" si="3"/>
        <v>427.22115218998579</v>
      </c>
      <c r="E21" s="8">
        <f t="shared" si="0"/>
        <v>2.1428571428571428</v>
      </c>
      <c r="F21" s="3"/>
      <c r="G21" s="3"/>
      <c r="H21" s="3"/>
    </row>
    <row r="22" spans="1:8" ht="18.75" x14ac:dyDescent="0.3">
      <c r="A22" s="3">
        <v>16</v>
      </c>
      <c r="B22" s="9">
        <f t="shared" si="1"/>
        <v>6.286860183672828E-2</v>
      </c>
      <c r="C22" s="3">
        <f t="shared" si="2"/>
        <v>3932.871125100211</v>
      </c>
      <c r="D22" s="3">
        <f t="shared" si="3"/>
        <v>440.92076529158703</v>
      </c>
      <c r="E22" s="8">
        <f t="shared" si="0"/>
        <v>2.2857142857142856</v>
      </c>
      <c r="F22" s="3"/>
      <c r="G22" s="3"/>
      <c r="H22" s="3"/>
    </row>
    <row r="23" spans="1:8" ht="18.75" x14ac:dyDescent="0.3">
      <c r="A23" s="3">
        <v>17</v>
      </c>
      <c r="B23" s="9">
        <f t="shared" si="1"/>
        <v>7.0103484404814218E-2</v>
      </c>
      <c r="C23" s="3">
        <f t="shared" si="2"/>
        <v>4385.4636739119633</v>
      </c>
      <c r="D23" s="3">
        <f t="shared" si="3"/>
        <v>452.59254881175229</v>
      </c>
      <c r="E23" s="8">
        <f t="shared" si="0"/>
        <v>2.4285714285714284</v>
      </c>
      <c r="F23" s="3"/>
      <c r="G23" s="3"/>
      <c r="H23" s="3"/>
    </row>
    <row r="24" spans="1:8" ht="18.75" x14ac:dyDescent="0.3">
      <c r="A24" s="3">
        <v>18</v>
      </c>
      <c r="B24" s="9">
        <f t="shared" si="1"/>
        <v>7.7495814347697631E-2</v>
      </c>
      <c r="C24" s="3">
        <f t="shared" si="2"/>
        <v>4847.9056581489203</v>
      </c>
      <c r="D24" s="3">
        <f t="shared" si="3"/>
        <v>462.44198423695707</v>
      </c>
      <c r="E24" s="8">
        <f t="shared" si="0"/>
        <v>2.5714285714285716</v>
      </c>
      <c r="F24" s="3"/>
      <c r="G24" s="3"/>
      <c r="H24" s="3"/>
    </row>
    <row r="25" spans="1:8" ht="18.75" x14ac:dyDescent="0.3">
      <c r="A25" s="3">
        <v>19</v>
      </c>
      <c r="B25" s="9">
        <f t="shared" si="1"/>
        <v>8.5019456926179765E-2</v>
      </c>
      <c r="C25" s="3">
        <f t="shared" si="2"/>
        <v>5318.5621669310276</v>
      </c>
      <c r="D25" s="3">
        <f t="shared" si="3"/>
        <v>470.65650878210727</v>
      </c>
      <c r="E25" s="8">
        <f t="shared" si="0"/>
        <v>2.7142857142857144</v>
      </c>
      <c r="F25" s="3"/>
      <c r="G25" s="3"/>
      <c r="H25" s="3"/>
    </row>
    <row r="26" spans="1:8" ht="18.75" x14ac:dyDescent="0.3">
      <c r="A26" s="3">
        <v>20</v>
      </c>
      <c r="B26" s="9">
        <f t="shared" si="1"/>
        <v>9.2650994396342889E-2</v>
      </c>
      <c r="C26" s="3">
        <f t="shared" si="2"/>
        <v>5795.9682564520217</v>
      </c>
      <c r="D26" s="3">
        <f t="shared" si="3"/>
        <v>477.4060895209941</v>
      </c>
      <c r="E26" s="8">
        <f t="shared" si="0"/>
        <v>2.8571428571428572</v>
      </c>
      <c r="F26" s="3"/>
      <c r="G26" s="3"/>
      <c r="H26" s="3"/>
    </row>
    <row r="27" spans="1:8" ht="18.75" x14ac:dyDescent="0.3">
      <c r="A27" s="3">
        <v>21</v>
      </c>
      <c r="B27" s="9">
        <f t="shared" si="1"/>
        <v>0.10036946294746445</v>
      </c>
      <c r="C27" s="3">
        <f t="shared" si="2"/>
        <v>6278.8124936045333</v>
      </c>
      <c r="D27" s="3">
        <f t="shared" si="3"/>
        <v>482.8442371525116</v>
      </c>
      <c r="E27" s="8">
        <f t="shared" si="0"/>
        <v>3</v>
      </c>
      <c r="F27" s="3"/>
      <c r="G27" s="3"/>
      <c r="H27" s="3"/>
    </row>
    <row r="28" spans="1:8" ht="18.75" x14ac:dyDescent="0.3">
      <c r="A28" s="3">
        <v>22</v>
      </c>
      <c r="B28" s="9">
        <f t="shared" si="1"/>
        <v>0.10815610919954696</v>
      </c>
      <c r="C28" s="3">
        <f t="shared" si="2"/>
        <v>6765.9217231960592</v>
      </c>
      <c r="D28" s="3">
        <f t="shared" si="3"/>
        <v>487.10922959152595</v>
      </c>
      <c r="E28" s="8">
        <f t="shared" si="0"/>
        <v>3.1428571428571428</v>
      </c>
      <c r="F28" s="3"/>
      <c r="G28" s="3"/>
      <c r="H28" s="3"/>
    </row>
    <row r="29" spans="1:8" ht="18.75" x14ac:dyDescent="0.3">
      <c r="A29" s="3">
        <v>23</v>
      </c>
      <c r="B29" s="9">
        <f t="shared" si="1"/>
        <v>0.11599416739818096</v>
      </c>
      <c r="C29" s="3">
        <f t="shared" si="2"/>
        <v>7256.247129928006</v>
      </c>
      <c r="D29" s="3">
        <f t="shared" si="3"/>
        <v>490.32540673194671</v>
      </c>
      <c r="E29" s="8">
        <f t="shared" si="0"/>
        <v>3.2857142857142856</v>
      </c>
      <c r="F29" s="3"/>
      <c r="G29" s="3"/>
      <c r="H29" s="3"/>
    </row>
    <row r="30" spans="1:8" ht="18.75" x14ac:dyDescent="0.3">
      <c r="A30" s="3">
        <v>24</v>
      </c>
      <c r="B30" s="9">
        <f t="shared" si="1"/>
        <v>0.12386865713568945</v>
      </c>
      <c r="C30" s="3">
        <f t="shared" si="2"/>
        <v>7748.8515844373251</v>
      </c>
      <c r="D30" s="3">
        <f t="shared" si="3"/>
        <v>492.60445450931911</v>
      </c>
      <c r="E30" s="8">
        <f t="shared" si="0"/>
        <v>3.4285714285714284</v>
      </c>
      <c r="F30" s="3"/>
      <c r="G30" s="3"/>
      <c r="H30" s="3"/>
    </row>
    <row r="31" spans="1:8" ht="18.75" x14ac:dyDescent="0.3">
      <c r="A31" s="3">
        <v>25</v>
      </c>
      <c r="B31" s="9">
        <f t="shared" si="1"/>
        <v>0.1317662006850204</v>
      </c>
      <c r="C31" s="3">
        <f t="shared" si="2"/>
        <v>8242.8982162528209</v>
      </c>
      <c r="D31" s="3">
        <f t="shared" si="3"/>
        <v>494.04663181549586</v>
      </c>
      <c r="E31" s="8">
        <f t="shared" si="0"/>
        <v>3.5714285714285716</v>
      </c>
      <c r="F31" s="3"/>
      <c r="G31" s="3"/>
      <c r="H31" s="3"/>
    </row>
    <row r="32" spans="1:8" ht="18.75" x14ac:dyDescent="0.3">
      <c r="A32" s="3">
        <v>26</v>
      </c>
      <c r="B32" s="9">
        <f t="shared" si="1"/>
        <v>0.13967485864276913</v>
      </c>
      <c r="C32" s="3">
        <f t="shared" si="2"/>
        <v>8737.6401321157082</v>
      </c>
      <c r="D32" s="3">
        <f t="shared" si="3"/>
        <v>494.74191586288725</v>
      </c>
      <c r="E32" s="8">
        <f t="shared" si="0"/>
        <v>3.7142857142857144</v>
      </c>
      <c r="F32" s="3"/>
      <c r="G32" s="3"/>
      <c r="H32" s="3"/>
    </row>
    <row r="33" spans="1:8" ht="18.75" x14ac:dyDescent="0.3">
      <c r="A33" s="3">
        <v>27</v>
      </c>
      <c r="B33" s="9">
        <f t="shared" si="1"/>
        <v>0.14758398240512605</v>
      </c>
      <c r="C33" s="3">
        <f t="shared" si="2"/>
        <v>9232.4111873174697</v>
      </c>
      <c r="D33" s="3">
        <f t="shared" si="3"/>
        <v>494.77105520176156</v>
      </c>
      <c r="E33" s="8">
        <f t="shared" si="0"/>
        <v>3.8571428571428572</v>
      </c>
      <c r="F33" s="3"/>
      <c r="G33" s="3"/>
      <c r="H33" s="3"/>
    </row>
    <row r="34" spans="1:8" ht="18.75" x14ac:dyDescent="0.3">
      <c r="A34" s="3">
        <v>28</v>
      </c>
      <c r="B34" s="9">
        <f t="shared" si="1"/>
        <v>0.15548408196004063</v>
      </c>
      <c r="C34" s="3">
        <f t="shared" si="2"/>
        <v>9726.6177151742613</v>
      </c>
      <c r="D34" s="3">
        <f t="shared" si="3"/>
        <v>494.20652785679158</v>
      </c>
      <c r="E34" s="8">
        <f t="shared" si="0"/>
        <v>4</v>
      </c>
      <c r="F34" s="3"/>
      <c r="G34" s="3"/>
      <c r="H34" s="3"/>
    </row>
    <row r="35" spans="1:8" ht="18.75" x14ac:dyDescent="0.3">
      <c r="A35" s="3">
        <v>29</v>
      </c>
      <c r="B35" s="9">
        <f t="shared" si="1"/>
        <v>0.16336670751627425</v>
      </c>
      <c r="C35" s="3">
        <f t="shared" si="2"/>
        <v>10219.731122095567</v>
      </c>
      <c r="D35" s="3">
        <f t="shared" si="3"/>
        <v>493.1134069213058</v>
      </c>
      <c r="E35" s="8">
        <f t="shared" si="0"/>
        <v>4.1428571428571432</v>
      </c>
      <c r="F35" s="3"/>
      <c r="G35" s="3"/>
      <c r="H35" s="3"/>
    </row>
    <row r="36" spans="1:8" ht="18.75" x14ac:dyDescent="0.3">
      <c r="A36" s="3">
        <v>30</v>
      </c>
      <c r="B36" s="9">
        <f t="shared" si="1"/>
        <v>0.17122434357101793</v>
      </c>
      <c r="C36" s="3">
        <f t="shared" si="2"/>
        <v>10711.281260772168</v>
      </c>
      <c r="D36" s="3">
        <f t="shared" si="3"/>
        <v>491.55013867660091</v>
      </c>
      <c r="E36" s="8">
        <f t="shared" si="0"/>
        <v>4.2857142857142856</v>
      </c>
      <c r="F36" s="3"/>
      <c r="G36" s="3"/>
      <c r="H36" s="3"/>
    </row>
    <row r="37" spans="1:8" ht="18.75" x14ac:dyDescent="0.3">
      <c r="A37" s="3">
        <v>31</v>
      </c>
      <c r="B37" s="9">
        <f t="shared" si="1"/>
        <v>0.17905031412080824</v>
      </c>
      <c r="C37" s="3">
        <f t="shared" si="2"/>
        <v>11200.850500455401</v>
      </c>
      <c r="D37" s="3">
        <f t="shared" si="3"/>
        <v>489.56923968323281</v>
      </c>
      <c r="E37" s="8">
        <f t="shared" si="0"/>
        <v>4.4285714285714288</v>
      </c>
      <c r="F37" s="3"/>
      <c r="G37" s="3"/>
      <c r="H37" s="3"/>
    </row>
    <row r="38" spans="1:8" ht="18.75" x14ac:dyDescent="0.3">
      <c r="A38" s="3">
        <v>32</v>
      </c>
      <c r="B38" s="9">
        <f t="shared" si="1"/>
        <v>0.18683869783218471</v>
      </c>
      <c r="C38" s="3">
        <f t="shared" si="2"/>
        <v>11688.068420287978</v>
      </c>
      <c r="D38" s="3">
        <f t="shared" si="3"/>
        <v>487.21791983257754</v>
      </c>
      <c r="E38" s="8">
        <f t="shared" si="0"/>
        <v>4.5714285714285712</v>
      </c>
      <c r="F38" s="3"/>
      <c r="G38" s="3"/>
      <c r="H38" s="3"/>
    </row>
    <row r="39" spans="1:8" ht="18.75" x14ac:dyDescent="0.3">
      <c r="A39" s="3">
        <v>33</v>
      </c>
      <c r="B39" s="9">
        <f t="shared" si="1"/>
        <v>0.19458425210078523</v>
      </c>
      <c r="C39" s="3">
        <f t="shared" si="2"/>
        <v>12172.607058668822</v>
      </c>
      <c r="D39" s="3">
        <f t="shared" si="3"/>
        <v>484.53863838084362</v>
      </c>
      <c r="E39" s="8">
        <f t="shared" si="0"/>
        <v>4.7142857142857144</v>
      </c>
      <c r="F39" s="3"/>
      <c r="G39" s="3"/>
      <c r="H39" s="3"/>
    </row>
    <row r="40" spans="1:8" ht="18.75" x14ac:dyDescent="0.3">
      <c r="A40" s="3">
        <v>34</v>
      </c>
      <c r="B40" s="9">
        <f t="shared" si="1"/>
        <v>0.20228234503558232</v>
      </c>
      <c r="C40" s="3">
        <f t="shared" si="2"/>
        <v>12654.176658390923</v>
      </c>
      <c r="D40" s="3">
        <f t="shared" si="3"/>
        <v>481.56959972210097</v>
      </c>
      <c r="E40" s="8">
        <f t="shared" si="0"/>
        <v>4.8571428571428568</v>
      </c>
      <c r="F40" s="3"/>
      <c r="G40" s="3"/>
      <c r="H40" s="3"/>
    </row>
    <row r="41" spans="1:8" ht="18.75" x14ac:dyDescent="0.3">
      <c r="A41" s="3">
        <v>35</v>
      </c>
      <c r="B41" s="9">
        <f t="shared" si="1"/>
        <v>0.20992889450612423</v>
      </c>
      <c r="C41" s="3">
        <f t="shared" si="2"/>
        <v>13132.521853619613</v>
      </c>
      <c r="D41" s="3">
        <f t="shared" si="3"/>
        <v>478.3451952286905</v>
      </c>
      <c r="E41" s="8">
        <f t="shared" si="0"/>
        <v>5</v>
      </c>
      <c r="F41" s="3"/>
      <c r="G41" s="3"/>
      <c r="H41" s="3"/>
    </row>
    <row r="42" spans="1:8" ht="18.75" x14ac:dyDescent="0.3">
      <c r="A42" s="3">
        <v>36</v>
      </c>
      <c r="B42" s="9">
        <f t="shared" si="1"/>
        <v>0.21752031348371528</v>
      </c>
      <c r="C42" s="3">
        <f t="shared" si="2"/>
        <v>13607.418250600776</v>
      </c>
      <c r="D42" s="3">
        <f t="shared" si="3"/>
        <v>474.89639698116298</v>
      </c>
      <c r="E42" s="8">
        <f t="shared" si="0"/>
        <v>5.1428571428571432</v>
      </c>
      <c r="F42" s="3"/>
      <c r="G42" s="3"/>
      <c r="H42" s="3"/>
    </row>
    <row r="43" spans="1:8" ht="18.75" x14ac:dyDescent="0.3">
      <c r="A43" s="3">
        <v>37</v>
      </c>
      <c r="B43" s="9">
        <f t="shared" si="1"/>
        <v>0.22505346099203041</v>
      </c>
      <c r="C43" s="3">
        <f t="shared" si="2"/>
        <v>14078.669359278447</v>
      </c>
      <c r="D43" s="3">
        <f t="shared" si="3"/>
        <v>471.25110867767035</v>
      </c>
      <c r="E43" s="8">
        <f t="shared" si="0"/>
        <v>5.2857142857142856</v>
      </c>
      <c r="F43" s="3"/>
      <c r="G43" s="3"/>
      <c r="H43" s="3"/>
    </row>
    <row r="44" spans="1:8" ht="18.75" x14ac:dyDescent="0.3">
      <c r="A44" s="3">
        <v>38</v>
      </c>
      <c r="B44" s="9">
        <f t="shared" si="1"/>
        <v>0.23252559805884518</v>
      </c>
      <c r="C44" s="3">
        <f t="shared" si="2"/>
        <v>14546.103837767178</v>
      </c>
      <c r="D44" s="3">
        <f t="shared" si="3"/>
        <v>467.43447848873075</v>
      </c>
      <c r="E44" s="8">
        <f t="shared" si="0"/>
        <v>5.4285714285714288</v>
      </c>
      <c r="F44" s="3"/>
      <c r="G44" s="3"/>
      <c r="H44" s="3"/>
    </row>
    <row r="45" spans="1:8" ht="18.75" x14ac:dyDescent="0.3">
      <c r="A45" s="3">
        <v>39</v>
      </c>
      <c r="B45" s="9">
        <f t="shared" si="1"/>
        <v>0.23993434812876019</v>
      </c>
      <c r="C45" s="3">
        <f t="shared" si="2"/>
        <v>15009.573015890852</v>
      </c>
      <c r="D45" s="3">
        <f t="shared" si="3"/>
        <v>463.46917812367428</v>
      </c>
      <c r="E45" s="8">
        <f t="shared" si="0"/>
        <v>5.5714285714285712</v>
      </c>
      <c r="F45" s="3"/>
      <c r="G45" s="3"/>
      <c r="H45" s="3"/>
    </row>
    <row r="46" spans="1:8" ht="18.75" x14ac:dyDescent="0.3">
      <c r="A46" s="3">
        <v>40</v>
      </c>
      <c r="B46" s="9">
        <f t="shared" si="1"/>
        <v>0.2472776614575849</v>
      </c>
      <c r="C46" s="3">
        <f t="shared" si="2"/>
        <v>15468.948667802139</v>
      </c>
      <c r="D46" s="3">
        <f t="shared" si="3"/>
        <v>459.3756519112867</v>
      </c>
      <c r="E46" s="8">
        <f t="shared" si="0"/>
        <v>5.7142857142857144</v>
      </c>
      <c r="F46" s="3"/>
      <c r="G46" s="3"/>
      <c r="H46" s="3"/>
    </row>
    <row r="47" spans="1:8" ht="18.75" x14ac:dyDescent="0.3">
      <c r="A47" s="3">
        <v>41</v>
      </c>
      <c r="B47" s="9">
        <f t="shared" si="1"/>
        <v>0.25455378306305515</v>
      </c>
      <c r="C47" s="3">
        <f t="shared" si="2"/>
        <v>15924.121007075541</v>
      </c>
      <c r="D47" s="3">
        <f t="shared" si="3"/>
        <v>455.17233927340203</v>
      </c>
      <c r="E47" s="8">
        <f t="shared" si="0"/>
        <v>5.8571428571428568</v>
      </c>
      <c r="F47" s="3"/>
      <c r="G47" s="3"/>
      <c r="H47" s="3"/>
    </row>
    <row r="48" spans="1:8" ht="18.75" x14ac:dyDescent="0.3">
      <c r="A48" s="3">
        <v>42</v>
      </c>
      <c r="B48" s="9">
        <f t="shared" si="1"/>
        <v>0.26176122385443795</v>
      </c>
      <c r="C48" s="3">
        <f t="shared" si="2"/>
        <v>16374.996880662075</v>
      </c>
      <c r="D48" s="3">
        <f t="shared" si="3"/>
        <v>450.875873586534</v>
      </c>
      <c r="E48" s="8">
        <f t="shared" si="0"/>
        <v>6</v>
      </c>
      <c r="F48" s="3"/>
      <c r="G48" s="3"/>
      <c r="H48" s="3"/>
    </row>
    <row r="49" spans="1:8" ht="18.75" x14ac:dyDescent="0.3">
      <c r="A49" s="3">
        <v>43</v>
      </c>
      <c r="B49" s="9">
        <f t="shared" si="1"/>
        <v>0.26889873460595926</v>
      </c>
      <c r="C49" s="3">
        <f t="shared" si="2"/>
        <v>16821.498140744992</v>
      </c>
      <c r="D49" s="3">
        <f t="shared" si="3"/>
        <v>446.50126008291772</v>
      </c>
      <c r="E49" s="8">
        <f t="shared" si="0"/>
        <v>6.1428571428571432</v>
      </c>
      <c r="F49" s="3"/>
      <c r="G49" s="3"/>
      <c r="H49" s="3"/>
    </row>
    <row r="50" spans="1:8" ht="18.75" x14ac:dyDescent="0.3">
      <c r="A50" s="3">
        <v>44</v>
      </c>
      <c r="B50" s="9">
        <f t="shared" si="1"/>
        <v>0.27596528247647151</v>
      </c>
      <c r="C50" s="3">
        <f t="shared" si="2"/>
        <v>17263.56017588063</v>
      </c>
      <c r="D50" s="3">
        <f t="shared" si="3"/>
        <v>442.06203513563742</v>
      </c>
      <c r="E50" s="8">
        <f t="shared" si="0"/>
        <v>6.2857142857142856</v>
      </c>
      <c r="F50" s="3"/>
      <c r="G50" s="3"/>
      <c r="H50" s="3"/>
    </row>
    <row r="51" spans="1:8" ht="18.75" x14ac:dyDescent="0.3">
      <c r="A51" s="3">
        <v>45</v>
      </c>
      <c r="B51" s="9">
        <f t="shared" si="1"/>
        <v>0.28296002981090979</v>
      </c>
      <c r="C51" s="3">
        <f t="shared" si="2"/>
        <v>17701.130584881084</v>
      </c>
      <c r="D51" s="3">
        <f t="shared" si="3"/>
        <v>437.57040900045467</v>
      </c>
      <c r="E51" s="8">
        <f t="shared" si="0"/>
        <v>6.4285714285714288</v>
      </c>
      <c r="F51" s="3"/>
      <c r="G51" s="3"/>
      <c r="H51" s="3"/>
    </row>
    <row r="52" spans="1:8" ht="18.75" x14ac:dyDescent="0.3">
      <c r="A52" s="3">
        <v>46</v>
      </c>
      <c r="B52" s="9">
        <f t="shared" si="1"/>
        <v>0.28988231498836359</v>
      </c>
      <c r="C52" s="3">
        <f t="shared" si="2"/>
        <v>18134.167978727062</v>
      </c>
      <c r="D52" s="3">
        <f t="shared" si="3"/>
        <v>433.03739384597793</v>
      </c>
      <c r="E52" s="8">
        <f t="shared" si="0"/>
        <v>6.5714285714285712</v>
      </c>
      <c r="F52" s="3"/>
      <c r="G52" s="3"/>
      <c r="H52" s="3"/>
    </row>
    <row r="53" spans="1:8" ht="18.75" x14ac:dyDescent="0.3">
      <c r="A53" s="3">
        <v>47</v>
      </c>
      <c r="B53" s="9">
        <f t="shared" si="1"/>
        <v>0.29673163510746658</v>
      </c>
      <c r="C53" s="3">
        <f t="shared" si="2"/>
        <v>18562.640897417787</v>
      </c>
      <c r="D53" s="3">
        <f t="shared" si="3"/>
        <v>428.47291869072433</v>
      </c>
      <c r="E53" s="8">
        <f t="shared" si="0"/>
        <v>6.7142857142857144</v>
      </c>
      <c r="F53" s="3"/>
      <c r="G53" s="3"/>
      <c r="H53" s="3"/>
    </row>
    <row r="54" spans="1:8" ht="18.75" x14ac:dyDescent="0.3">
      <c r="A54" s="3">
        <v>48</v>
      </c>
      <c r="B54" s="9">
        <f t="shared" si="1"/>
        <v>0.30350763032268324</v>
      </c>
      <c r="C54" s="3">
        <f t="shared" si="2"/>
        <v>18986.526830096096</v>
      </c>
      <c r="D54" s="3">
        <f t="shared" si="3"/>
        <v>423.88593267830947</v>
      </c>
      <c r="E54" s="8">
        <f t="shared" si="0"/>
        <v>6.8571428571428568</v>
      </c>
      <c r="F54" s="3"/>
      <c r="G54" s="3"/>
      <c r="H54" s="3"/>
    </row>
    <row r="55" spans="1:8" ht="18.75" x14ac:dyDescent="0.3">
      <c r="A55" s="3">
        <v>49</v>
      </c>
      <c r="B55" s="9">
        <f t="shared" si="1"/>
        <v>0.3102100696653019</v>
      </c>
      <c r="C55" s="3">
        <f t="shared" si="2"/>
        <v>19405.811328052292</v>
      </c>
      <c r="D55" s="3">
        <f t="shared" si="3"/>
        <v>419.28449795619599</v>
      </c>
      <c r="E55" s="8">
        <f t="shared" si="0"/>
        <v>7</v>
      </c>
      <c r="F55" s="3"/>
      <c r="G55" s="3"/>
      <c r="H55" s="3"/>
    </row>
    <row r="56" spans="1:8" ht="18.75" x14ac:dyDescent="0.3">
      <c r="A56" s="3">
        <v>50</v>
      </c>
      <c r="B56" s="9">
        <f t="shared" si="1"/>
        <v>0.31683883820084968</v>
      </c>
      <c r="C56" s="3">
        <f t="shared" si="2"/>
        <v>19820.487201330554</v>
      </c>
      <c r="D56" s="3">
        <f t="shared" si="3"/>
        <v>414.67587327826186</v>
      </c>
      <c r="E56" s="8">
        <f t="shared" si="0"/>
        <v>7.1428571428571432</v>
      </c>
      <c r="F56" s="3"/>
      <c r="G56" s="3"/>
      <c r="H56" s="3"/>
    </row>
    <row r="57" spans="1:8" ht="18.75" x14ac:dyDescent="0.3">
      <c r="A57" s="3">
        <v>51</v>
      </c>
      <c r="B57" s="9">
        <f t="shared" si="1"/>
        <v>0.32339392539049366</v>
      </c>
      <c r="C57" s="3">
        <f t="shared" si="2"/>
        <v>20230.553790653114</v>
      </c>
      <c r="D57" s="3">
        <f t="shared" si="3"/>
        <v>410.06658932255959</v>
      </c>
      <c r="E57" s="8">
        <f t="shared" si="0"/>
        <v>7.2857142857142856</v>
      </c>
      <c r="F57" s="3"/>
      <c r="G57" s="3"/>
      <c r="H57" s="3"/>
    </row>
    <row r="58" spans="1:8" ht="18.75" x14ac:dyDescent="0.3">
      <c r="A58" s="3">
        <v>52</v>
      </c>
      <c r="B58" s="9">
        <f t="shared" si="1"/>
        <v>0.32987541453804581</v>
      </c>
      <c r="C58" s="3">
        <f t="shared" si="2"/>
        <v>20636.01630725653</v>
      </c>
      <c r="D58" s="3">
        <f t="shared" si="3"/>
        <v>405.46251660341659</v>
      </c>
      <c r="E58" s="8">
        <f t="shared" si="0"/>
        <v>7.4285714285714288</v>
      </c>
      <c r="F58" s="3"/>
      <c r="G58" s="3"/>
      <c r="H58" s="3"/>
    </row>
    <row r="59" spans="1:8" ht="18.75" x14ac:dyDescent="0.3">
      <c r="A59" s="3">
        <v>53</v>
      </c>
      <c r="B59" s="9">
        <f t="shared" si="1"/>
        <v>0.33628347321664498</v>
      </c>
      <c r="C59" s="3">
        <f t="shared" si="2"/>
        <v>21036.885234013658</v>
      </c>
      <c r="D59" s="3">
        <f t="shared" si="3"/>
        <v>400.86892675712807</v>
      </c>
      <c r="E59" s="8">
        <f t="shared" si="0"/>
        <v>7.5714285714285712</v>
      </c>
      <c r="F59" s="3"/>
      <c r="G59" s="3"/>
      <c r="H59" s="3"/>
    </row>
    <row r="60" spans="1:8" ht="18.75" x14ac:dyDescent="0.3">
      <c r="A60" s="3">
        <v>54</v>
      </c>
      <c r="B60" s="9">
        <f t="shared" si="1"/>
        <v>0.34261834458025181</v>
      </c>
      <c r="C60" s="3">
        <f t="shared" si="2"/>
        <v>21433.175781906812</v>
      </c>
      <c r="D60" s="3">
        <f t="shared" si="3"/>
        <v>396.29054789315342</v>
      </c>
      <c r="E60" s="8">
        <f t="shared" si="0"/>
        <v>7.7142857142857144</v>
      </c>
      <c r="F60" s="3"/>
      <c r="G60" s="3"/>
      <c r="H60" s="3"/>
    </row>
    <row r="61" spans="1:8" ht="18.75" x14ac:dyDescent="0.3">
      <c r="A61" s="3">
        <v>55</v>
      </c>
      <c r="B61" s="9">
        <f t="shared" si="1"/>
        <v>0.34888033947491137</v>
      </c>
      <c r="C61" s="3">
        <f t="shared" si="2"/>
        <v>21824.907396532031</v>
      </c>
      <c r="D61" s="3">
        <f t="shared" si="3"/>
        <v>391.73161462521966</v>
      </c>
      <c r="E61" s="8">
        <f t="shared" si="0"/>
        <v>7.8571428571428568</v>
      </c>
      <c r="F61" s="3"/>
      <c r="G61" s="3"/>
      <c r="H61" s="3"/>
    </row>
    <row r="62" spans="1:8" ht="18.75" x14ac:dyDescent="0.3">
      <c r="A62" s="3">
        <v>56</v>
      </c>
      <c r="B62" s="9">
        <f t="shared" si="1"/>
        <v>0.35506982927348235</v>
      </c>
      <c r="C62" s="3">
        <f t="shared" si="2"/>
        <v>22212.103309861235</v>
      </c>
      <c r="D62" s="3">
        <f t="shared" si="3"/>
        <v>387.1959133292039</v>
      </c>
      <c r="E62" s="8">
        <f t="shared" si="0"/>
        <v>8</v>
      </c>
      <c r="F62" s="3"/>
      <c r="G62" s="3"/>
      <c r="H62" s="3"/>
    </row>
    <row r="63" spans="1:8" ht="18.75" x14ac:dyDescent="0.3">
      <c r="A63" s="3">
        <v>57</v>
      </c>
      <c r="B63" s="9">
        <f t="shared" si="1"/>
        <v>0.36118723936530017</v>
      </c>
      <c r="C63" s="3">
        <f t="shared" si="2"/>
        <v>22594.790132975082</v>
      </c>
      <c r="D63" s="3">
        <f t="shared" si="3"/>
        <v>382.68682311384691</v>
      </c>
      <c r="E63" s="8">
        <f t="shared" si="0"/>
        <v>8.1428571428571423</v>
      </c>
      <c r="F63" s="3"/>
      <c r="G63" s="3"/>
      <c r="H63" s="3"/>
    </row>
    <row r="64" spans="1:8" ht="18.75" x14ac:dyDescent="0.3">
      <c r="A64" s="3">
        <v>58</v>
      </c>
      <c r="B64" s="9">
        <f t="shared" si="1"/>
        <v>0.36723304323917433</v>
      </c>
      <c r="C64" s="3">
        <f t="shared" si="2"/>
        <v>22972.997485913027</v>
      </c>
      <c r="D64" s="3">
        <f t="shared" si="3"/>
        <v>378.20735293794496</v>
      </c>
      <c r="E64" s="8">
        <f t="shared" si="0"/>
        <v>8.2857142857142865</v>
      </c>
      <c r="F64" s="3"/>
      <c r="G64" s="3"/>
      <c r="H64" s="3"/>
    </row>
    <row r="65" spans="1:8" ht="18.75" x14ac:dyDescent="0.3">
      <c r="A65" s="3">
        <v>59</v>
      </c>
      <c r="B65" s="9">
        <f t="shared" si="1"/>
        <v>0.37320775710429299</v>
      </c>
      <c r="C65" s="3">
        <f t="shared" si="2"/>
        <v>23346.757661173258</v>
      </c>
      <c r="D65" s="3">
        <f t="shared" si="3"/>
        <v>373.76017526023134</v>
      </c>
      <c r="E65" s="8">
        <f t="shared" si="0"/>
        <v>8.4285714285714288</v>
      </c>
      <c r="F65" s="3"/>
      <c r="G65" s="3"/>
      <c r="H65" s="3"/>
    </row>
    <row r="66" spans="1:8" ht="18.75" x14ac:dyDescent="0.3">
      <c r="A66" s="3">
        <v>60</v>
      </c>
      <c r="B66" s="9">
        <f t="shared" si="1"/>
        <v>0.37911193499912221</v>
      </c>
      <c r="C66" s="3">
        <f t="shared" si="2"/>
        <v>23716.10531774009</v>
      </c>
      <c r="D66" s="3">
        <f t="shared" si="3"/>
        <v>369.34765656683157</v>
      </c>
      <c r="E66" s="8">
        <f t="shared" si="0"/>
        <v>8.5714285714285712</v>
      </c>
      <c r="F66" s="3"/>
      <c r="G66" s="3"/>
      <c r="H66" s="3"/>
    </row>
    <row r="67" spans="1:8" ht="18.75" x14ac:dyDescent="0.3">
      <c r="A67" s="3">
        <v>61</v>
      </c>
      <c r="B67" s="9">
        <f t="shared" si="1"/>
        <v>0.38494616434331896</v>
      </c>
      <c r="C67" s="3">
        <f t="shared" si="2"/>
        <v>24081.077202825003</v>
      </c>
      <c r="D67" s="3">
        <f t="shared" si="3"/>
        <v>364.97188508491308</v>
      </c>
      <c r="E67" s="8">
        <f t="shared" si="0"/>
        <v>8.7142857142857135</v>
      </c>
      <c r="F67" s="3"/>
      <c r="G67" s="3"/>
      <c r="H67" s="3"/>
    </row>
    <row r="68" spans="1:8" ht="18.75" x14ac:dyDescent="0.3">
      <c r="A68" s="3">
        <v>62</v>
      </c>
      <c r="B68" s="9">
        <f t="shared" si="1"/>
        <v>0.39071106189206956</v>
      </c>
      <c r="C68" s="3">
        <f t="shared" si="2"/>
        <v>24441.711898782196</v>
      </c>
      <c r="D68" s="3">
        <f t="shared" si="3"/>
        <v>360.63469595719289</v>
      </c>
      <c r="E68" s="8">
        <f t="shared" si="0"/>
        <v>8.8571428571428577</v>
      </c>
      <c r="F68" s="3"/>
      <c r="G68" s="3"/>
      <c r="H68" s="3"/>
    </row>
    <row r="69" spans="1:8" ht="18.75" x14ac:dyDescent="0.3">
      <c r="A69" s="3">
        <v>63</v>
      </c>
      <c r="B69" s="9">
        <f t="shared" si="1"/>
        <v>0.39640727005622278</v>
      </c>
      <c r="C69" s="3">
        <f t="shared" si="2"/>
        <v>24798.049592907129</v>
      </c>
      <c r="D69" s="3">
        <f t="shared" si="3"/>
        <v>356.33769412493348</v>
      </c>
      <c r="E69" s="8">
        <f t="shared" si="0"/>
        <v>9</v>
      </c>
      <c r="F69" s="3"/>
      <c r="G69" s="3"/>
      <c r="H69" s="3"/>
    </row>
    <row r="70" spans="1:8" ht="18.75" x14ac:dyDescent="0.3">
      <c r="A70" s="3">
        <v>64</v>
      </c>
      <c r="B70" s="9">
        <f t="shared" si="1"/>
        <v>0.40203545355510878</v>
      </c>
      <c r="C70" s="3">
        <f t="shared" si="2"/>
        <v>25150.131868046941</v>
      </c>
      <c r="D70" s="3">
        <f t="shared" si="3"/>
        <v>352.08227513981183</v>
      </c>
      <c r="E70" s="8">
        <f t="shared" si="0"/>
        <v>9.1428571428571423</v>
      </c>
      <c r="F70" s="3"/>
      <c r="G70" s="3"/>
      <c r="H70" s="3"/>
    </row>
    <row r="71" spans="1:8" ht="18.75" x14ac:dyDescent="0.3">
      <c r="A71" s="3">
        <v>65</v>
      </c>
      <c r="B71" s="9">
        <f t="shared" si="1"/>
        <v>0.40759629637210693</v>
      </c>
      <c r="C71" s="3">
        <f t="shared" si="2"/>
        <v>25498.001512149895</v>
      </c>
      <c r="D71" s="3">
        <f t="shared" si="3"/>
        <v>347.86964410295332</v>
      </c>
      <c r="E71" s="8">
        <f t="shared" ref="E71:E134" si="4">A71/7</f>
        <v>9.2857142857142865</v>
      </c>
      <c r="F71" s="3"/>
      <c r="G71" s="3"/>
      <c r="H71" s="3"/>
    </row>
    <row r="72" spans="1:8" ht="18.75" x14ac:dyDescent="0.3">
      <c r="A72" s="3">
        <v>66</v>
      </c>
      <c r="B72" s="9">
        <f t="shared" ref="B72:B135" si="5">LOGNORMDIST(A72,$A$3,$B$3)</f>
        <v>0.41309049898587019</v>
      </c>
      <c r="C72" s="3">
        <f t="shared" ref="C72:C135" si="6">$E$3*B72</f>
        <v>25841.702345059082</v>
      </c>
      <c r="D72" s="3">
        <f t="shared" ref="D72:D135" si="7">C72-C71</f>
        <v>343.70083290918774</v>
      </c>
      <c r="E72" s="8">
        <f t="shared" si="4"/>
        <v>9.4285714285714288</v>
      </c>
      <c r="F72" s="3"/>
      <c r="G72" s="3"/>
      <c r="H72" s="3"/>
    </row>
    <row r="73" spans="1:8" ht="18.75" x14ac:dyDescent="0.3">
      <c r="A73" s="3">
        <v>67</v>
      </c>
      <c r="B73" s="9">
        <f t="shared" si="5"/>
        <v>0.41851877585266739</v>
      </c>
      <c r="C73" s="3">
        <f t="shared" si="6"/>
        <v>26181.279061015313</v>
      </c>
      <c r="D73" s="3">
        <f t="shared" si="7"/>
        <v>339.57671595623106</v>
      </c>
      <c r="E73" s="8">
        <f t="shared" si="4"/>
        <v>9.5714285714285712</v>
      </c>
      <c r="F73" s="3"/>
      <c r="G73" s="3"/>
      <c r="H73" s="3"/>
    </row>
    <row r="74" spans="1:8" ht="18.75" x14ac:dyDescent="0.3">
      <c r="A74" s="3">
        <v>68</v>
      </c>
      <c r="B74" s="9">
        <f t="shared" si="5"/>
        <v>0.42388185311760002</v>
      </c>
      <c r="C74" s="3">
        <f t="shared" si="6"/>
        <v>26516.777085477705</v>
      </c>
      <c r="D74" s="3">
        <f t="shared" si="7"/>
        <v>335.49802446239119</v>
      </c>
      <c r="E74" s="8">
        <f t="shared" si="4"/>
        <v>9.7142857142857135</v>
      </c>
      <c r="F74" s="3"/>
      <c r="G74" s="3"/>
      <c r="H74" s="3"/>
    </row>
    <row r="75" spans="1:8" ht="18.75" x14ac:dyDescent="0.3">
      <c r="A75" s="3">
        <v>69</v>
      </c>
      <c r="B75" s="9">
        <f t="shared" si="5"/>
        <v>0.42918046653452052</v>
      </c>
      <c r="C75" s="3">
        <f t="shared" si="6"/>
        <v>26848.242445</v>
      </c>
      <c r="D75" s="3">
        <f t="shared" si="7"/>
        <v>331.46535952229533</v>
      </c>
      <c r="E75" s="8">
        <f t="shared" si="4"/>
        <v>9.8571428571428577</v>
      </c>
      <c r="F75" s="3"/>
      <c r="G75" s="3"/>
      <c r="H75" s="3"/>
    </row>
    <row r="76" spans="1:8" ht="18.75" x14ac:dyDescent="0.3">
      <c r="A76" s="3">
        <v>70</v>
      </c>
      <c r="B76" s="9">
        <f t="shared" si="5"/>
        <v>0.43441535957634086</v>
      </c>
      <c r="C76" s="3">
        <f t="shared" si="6"/>
        <v>27175.721649017156</v>
      </c>
      <c r="D76" s="3">
        <f t="shared" si="7"/>
        <v>327.47920401715601</v>
      </c>
      <c r="E76" s="8">
        <f t="shared" si="4"/>
        <v>10</v>
      </c>
      <c r="F76" s="3"/>
      <c r="G76" s="3"/>
      <c r="H76" s="3"/>
    </row>
    <row r="77" spans="1:8" ht="18.75" x14ac:dyDescent="0.3">
      <c r="A77" s="3">
        <v>71</v>
      </c>
      <c r="B77" s="9">
        <f t="shared" si="5"/>
        <v>0.43958728171909539</v>
      </c>
      <c r="C77" s="3">
        <f t="shared" si="6"/>
        <v>27499.261582501451</v>
      </c>
      <c r="D77" s="3">
        <f t="shared" si="7"/>
        <v>323.53993348429503</v>
      </c>
      <c r="E77" s="8">
        <f t="shared" si="4"/>
        <v>10.142857142857142</v>
      </c>
      <c r="F77" s="3"/>
      <c r="G77" s="3"/>
      <c r="H77" s="3"/>
    </row>
    <row r="78" spans="1:8" ht="18.75" x14ac:dyDescent="0.3">
      <c r="A78" s="3">
        <v>72</v>
      </c>
      <c r="B78" s="9">
        <f t="shared" si="5"/>
        <v>0.44469698688464232</v>
      </c>
      <c r="C78" s="3">
        <f t="shared" si="6"/>
        <v>27818.909408542571</v>
      </c>
      <c r="D78" s="3">
        <f t="shared" si="7"/>
        <v>319.64782604112042</v>
      </c>
      <c r="E78" s="8">
        <f t="shared" si="4"/>
        <v>10.285714285714286</v>
      </c>
      <c r="F78" s="3"/>
      <c r="G78" s="3"/>
      <c r="H78" s="3"/>
    </row>
    <row r="79" spans="1:8" ht="18.75" x14ac:dyDescent="0.3">
      <c r="A79" s="3">
        <v>73</v>
      </c>
      <c r="B79" s="9">
        <f t="shared" si="5"/>
        <v>0.44974523202825029</v>
      </c>
      <c r="C79" s="3">
        <f t="shared" si="6"/>
        <v>28134.712479991253</v>
      </c>
      <c r="D79" s="3">
        <f t="shared" si="7"/>
        <v>315.80307144868129</v>
      </c>
      <c r="E79" s="8">
        <f t="shared" si="4"/>
        <v>10.428571428571429</v>
      </c>
      <c r="F79" s="3"/>
      <c r="G79" s="3"/>
      <c r="H79" s="3"/>
    </row>
    <row r="80" spans="1:8" ht="18.75" x14ac:dyDescent="0.3">
      <c r="A80" s="3">
        <v>74</v>
      </c>
      <c r="B80" s="9">
        <f t="shared" si="5"/>
        <v>0.45473277585855837</v>
      </c>
      <c r="C80" s="3">
        <f t="shared" si="6"/>
        <v>28446.718259383837</v>
      </c>
      <c r="D80" s="3">
        <f t="shared" si="7"/>
        <v>312.00577939258437</v>
      </c>
      <c r="E80" s="8">
        <f t="shared" si="4"/>
        <v>10.571428571428571</v>
      </c>
      <c r="F80" s="3"/>
      <c r="G80" s="3"/>
      <c r="H80" s="3"/>
    </row>
    <row r="81" spans="1:8" ht="18.75" x14ac:dyDescent="0.3">
      <c r="A81" s="3">
        <v>75</v>
      </c>
      <c r="B81" s="9">
        <f t="shared" si="5"/>
        <v>0.45966037767850837</v>
      </c>
      <c r="C81" s="3">
        <f t="shared" si="6"/>
        <v>28754.974246434449</v>
      </c>
      <c r="D81" s="3">
        <f t="shared" si="7"/>
        <v>308.25598705061202</v>
      </c>
      <c r="E81" s="8">
        <f t="shared" si="4"/>
        <v>10.714285714285714</v>
      </c>
      <c r="F81" s="3"/>
      <c r="G81" s="3"/>
      <c r="H81" s="3"/>
    </row>
    <row r="82" spans="1:8" ht="18.75" x14ac:dyDescent="0.3">
      <c r="A82" s="3">
        <v>76</v>
      </c>
      <c r="B82" s="9">
        <f t="shared" si="5"/>
        <v>0.46452879633687166</v>
      </c>
      <c r="C82" s="3">
        <f t="shared" si="6"/>
        <v>29059.527912445679</v>
      </c>
      <c r="D82" s="3">
        <f t="shared" si="7"/>
        <v>304.55366601123023</v>
      </c>
      <c r="E82" s="8">
        <f t="shared" si="4"/>
        <v>10.857142857142858</v>
      </c>
      <c r="F82" s="3"/>
      <c r="G82" s="3"/>
      <c r="H82" s="3"/>
    </row>
    <row r="83" spans="1:8" ht="18.75" x14ac:dyDescent="0.3">
      <c r="A83" s="3">
        <v>77</v>
      </c>
      <c r="B83" s="9">
        <f t="shared" si="5"/>
        <v>0.46933878928089184</v>
      </c>
      <c r="C83" s="3">
        <f t="shared" si="6"/>
        <v>29360.426641044753</v>
      </c>
      <c r="D83" s="3">
        <f t="shared" si="7"/>
        <v>300.89872859907337</v>
      </c>
      <c r="E83" s="8">
        <f t="shared" si="4"/>
        <v>11</v>
      </c>
      <c r="F83" s="3"/>
      <c r="G83" s="3"/>
      <c r="H83" s="3"/>
    </row>
    <row r="84" spans="1:8" ht="18.75" x14ac:dyDescent="0.3">
      <c r="A84" s="3">
        <v>78</v>
      </c>
      <c r="B84" s="9">
        <f t="shared" si="5"/>
        <v>0.4740911117014156</v>
      </c>
      <c r="C84" s="3">
        <f t="shared" si="6"/>
        <v>29657.717674705455</v>
      </c>
      <c r="D84" s="3">
        <f t="shared" si="7"/>
        <v>297.29103366070194</v>
      </c>
      <c r="E84" s="8">
        <f t="shared" si="4"/>
        <v>11.142857142857142</v>
      </c>
      <c r="F84" s="3"/>
      <c r="G84" s="3"/>
      <c r="H84" s="3"/>
    </row>
    <row r="85" spans="1:8" ht="18.75" x14ac:dyDescent="0.3">
      <c r="A85" s="3">
        <v>79</v>
      </c>
      <c r="B85" s="9">
        <f t="shared" si="5"/>
        <v>0.47878651576262299</v>
      </c>
      <c r="C85" s="3">
        <f t="shared" si="6"/>
        <v>29951.448066562407</v>
      </c>
      <c r="D85" s="3">
        <f t="shared" si="7"/>
        <v>293.73039185695234</v>
      </c>
      <c r="E85" s="8">
        <f t="shared" si="4"/>
        <v>11.285714285714286</v>
      </c>
      <c r="F85" s="3"/>
      <c r="G85" s="3"/>
      <c r="H85" s="3"/>
    </row>
    <row r="86" spans="1:8" ht="18.75" x14ac:dyDescent="0.3">
      <c r="A86" s="3">
        <v>80</v>
      </c>
      <c r="B86" s="9">
        <f t="shared" si="5"/>
        <v>0.48342574990915582</v>
      </c>
      <c r="C86" s="3">
        <f t="shared" si="6"/>
        <v>30241.664637067061</v>
      </c>
      <c r="D86" s="3">
        <f t="shared" si="7"/>
        <v>290.21657050465365</v>
      </c>
      <c r="E86" s="8">
        <f t="shared" si="4"/>
        <v>11.428571428571429</v>
      </c>
      <c r="F86" s="3"/>
      <c r="G86" s="3"/>
      <c r="H86" s="3"/>
    </row>
    <row r="87" spans="1:8" ht="18.75" x14ac:dyDescent="0.3">
      <c r="A87" s="3">
        <v>81</v>
      </c>
      <c r="B87" s="9">
        <f t="shared" si="5"/>
        <v>0.48800955824407077</v>
      </c>
      <c r="C87" s="3">
        <f t="shared" si="6"/>
        <v>30528.413935074335</v>
      </c>
      <c r="D87" s="3">
        <f t="shared" si="7"/>
        <v>286.74929800727477</v>
      </c>
      <c r="E87" s="8">
        <f t="shared" si="4"/>
        <v>11.571428571428571</v>
      </c>
      <c r="F87" s="3"/>
      <c r="G87" s="3"/>
      <c r="H87" s="3"/>
    </row>
    <row r="88" spans="1:8" ht="18.75" x14ac:dyDescent="0.3">
      <c r="A88" s="3">
        <v>82</v>
      </c>
      <c r="B88" s="9">
        <f t="shared" si="5"/>
        <v>0.492538679971597</v>
      </c>
      <c r="C88" s="3">
        <f t="shared" si="6"/>
        <v>30811.742202983194</v>
      </c>
      <c r="D88" s="3">
        <f t="shared" si="7"/>
        <v>283.32826790885883</v>
      </c>
      <c r="E88" s="8">
        <f t="shared" si="4"/>
        <v>11.714285714285714</v>
      </c>
      <c r="F88" s="3"/>
      <c r="G88" s="3"/>
      <c r="H88" s="3"/>
    </row>
    <row r="89" spans="1:8" ht="18.75" x14ac:dyDescent="0.3">
      <c r="A89" s="3">
        <v>83</v>
      </c>
      <c r="B89" s="9">
        <f t="shared" si="5"/>
        <v>0.49701384889920674</v>
      </c>
      <c r="C89" s="3">
        <f t="shared" si="6"/>
        <v>31091.695345587676</v>
      </c>
      <c r="D89" s="3">
        <f t="shared" si="7"/>
        <v>279.9531426044814</v>
      </c>
      <c r="E89" s="8">
        <f t="shared" si="4"/>
        <v>11.857142857142858</v>
      </c>
      <c r="F89" s="3"/>
      <c r="G89" s="3"/>
      <c r="H89" s="3"/>
    </row>
    <row r="90" spans="1:8" ht="18.75" x14ac:dyDescent="0.3">
      <c r="A90" s="3">
        <v>84</v>
      </c>
      <c r="B90" s="9">
        <f t="shared" si="5"/>
        <v>0.50143579299395791</v>
      </c>
      <c r="C90" s="3">
        <f t="shared" si="6"/>
        <v>31368.318902323026</v>
      </c>
      <c r="D90" s="3">
        <f t="shared" si="7"/>
        <v>276.62355673535058</v>
      </c>
      <c r="E90" s="8">
        <f t="shared" si="4"/>
        <v>12</v>
      </c>
      <c r="F90" s="3"/>
      <c r="G90" s="3"/>
      <c r="H90" s="3"/>
    </row>
    <row r="91" spans="1:8" ht="18.75" x14ac:dyDescent="0.3">
      <c r="A91" s="3">
        <v>85</v>
      </c>
      <c r="B91" s="9">
        <f t="shared" si="5"/>
        <v>0.50580523398850974</v>
      </c>
      <c r="C91" s="3">
        <f t="shared" si="6"/>
        <v>31641.658022619205</v>
      </c>
      <c r="D91" s="3">
        <f t="shared" si="7"/>
        <v>273.33912029617932</v>
      </c>
      <c r="E91" s="8">
        <f t="shared" si="4"/>
        <v>12.142857142857142</v>
      </c>
      <c r="F91" s="3"/>
      <c r="G91" s="3"/>
      <c r="H91" s="3"/>
    </row>
    <row r="92" spans="1:8" ht="18.75" x14ac:dyDescent="0.3">
      <c r="A92" s="3">
        <v>86</v>
      </c>
      <c r="B92" s="9">
        <f t="shared" si="5"/>
        <v>0.51012288703258757</v>
      </c>
      <c r="C92" s="3">
        <f t="shared" si="6"/>
        <v>31911.75744409758</v>
      </c>
      <c r="D92" s="3">
        <f t="shared" si="7"/>
        <v>270.09942147837501</v>
      </c>
      <c r="E92" s="8">
        <f t="shared" si="4"/>
        <v>12.285714285714286</v>
      </c>
      <c r="F92" s="3"/>
      <c r="G92" s="3"/>
      <c r="H92" s="3"/>
    </row>
    <row r="93" spans="1:8" ht="18.75" x14ac:dyDescent="0.3">
      <c r="A93" s="3">
        <v>87</v>
      </c>
      <c r="B93" s="9">
        <f t="shared" si="5"/>
        <v>0.51438946038603817</v>
      </c>
      <c r="C93" s="3">
        <f t="shared" si="6"/>
        <v>32178.66147336939</v>
      </c>
      <c r="D93" s="3">
        <f t="shared" si="7"/>
        <v>266.90402927180912</v>
      </c>
      <c r="E93" s="8">
        <f t="shared" si="4"/>
        <v>12.428571428571429</v>
      </c>
      <c r="F93" s="3"/>
      <c r="G93" s="3"/>
      <c r="H93" s="3"/>
    </row>
    <row r="94" spans="1:8" ht="18.75" x14ac:dyDescent="0.3">
      <c r="A94" s="3">
        <v>88</v>
      </c>
      <c r="B94" s="9">
        <f t="shared" si="5"/>
        <v>0.51860565514992829</v>
      </c>
      <c r="C94" s="3">
        <f t="shared" si="6"/>
        <v>32442.413969214063</v>
      </c>
      <c r="D94" s="3">
        <f t="shared" si="7"/>
        <v>263.75249584467383</v>
      </c>
      <c r="E94" s="8">
        <f t="shared" si="4"/>
        <v>12.571428571428571</v>
      </c>
      <c r="F94" s="3"/>
      <c r="G94" s="3"/>
      <c r="H94" s="3"/>
    </row>
    <row r="95" spans="1:8" ht="18.75" x14ac:dyDescent="0.3">
      <c r="A95" s="3">
        <v>89</v>
      </c>
      <c r="B95" s="9">
        <f t="shared" si="5"/>
        <v>0.52277216503244395</v>
      </c>
      <c r="C95" s="3">
        <f t="shared" si="6"/>
        <v>32703.058327934596</v>
      </c>
      <c r="D95" s="3">
        <f t="shared" si="7"/>
        <v>260.64435872053218</v>
      </c>
      <c r="E95" s="8">
        <f t="shared" si="4"/>
        <v>12.714285714285714</v>
      </c>
      <c r="F95" s="3"/>
      <c r="G95" s="3"/>
      <c r="H95" s="3"/>
    </row>
    <row r="96" spans="1:8" ht="18.75" x14ac:dyDescent="0.3">
      <c r="A96" s="3">
        <v>90</v>
      </c>
      <c r="B96" s="9">
        <f t="shared" si="5"/>
        <v>0.5268896761466132</v>
      </c>
      <c r="C96" s="3">
        <f t="shared" si="6"/>
        <v>32960.637470703681</v>
      </c>
      <c r="D96" s="3">
        <f t="shared" si="7"/>
        <v>257.57914276908559</v>
      </c>
      <c r="E96" s="8">
        <f t="shared" si="4"/>
        <v>12.857142857142858</v>
      </c>
      <c r="F96" s="3"/>
      <c r="G96" s="3"/>
      <c r="H96" s="3"/>
    </row>
    <row r="97" spans="1:8" ht="18.75" x14ac:dyDescent="0.3">
      <c r="A97" s="3">
        <v>91</v>
      </c>
      <c r="B97" s="9">
        <f t="shared" si="5"/>
        <v>0.53095886683711591</v>
      </c>
      <c r="C97" s="3">
        <f t="shared" si="6"/>
        <v>33215.193832729463</v>
      </c>
      <c r="D97" s="3">
        <f t="shared" si="7"/>
        <v>254.55636202578171</v>
      </c>
      <c r="E97" s="8">
        <f t="shared" si="4"/>
        <v>13</v>
      </c>
      <c r="F97" s="3"/>
      <c r="G97" s="3"/>
      <c r="H97" s="3"/>
    </row>
    <row r="98" spans="1:8" ht="18.75" x14ac:dyDescent="0.3">
      <c r="A98" s="3">
        <v>92</v>
      </c>
      <c r="B98" s="9">
        <f t="shared" si="5"/>
        <v>0.53498040753368081</v>
      </c>
      <c r="C98" s="3">
        <f t="shared" si="6"/>
        <v>33466.76935408447</v>
      </c>
      <c r="D98" s="3">
        <f t="shared" si="7"/>
        <v>251.57552135500737</v>
      </c>
      <c r="E98" s="8">
        <f t="shared" si="4"/>
        <v>13.142857142857142</v>
      </c>
      <c r="F98" s="3"/>
      <c r="G98" s="3"/>
      <c r="H98" s="3"/>
    </row>
    <row r="99" spans="1:8" ht="18.75" x14ac:dyDescent="0.3">
      <c r="A99" s="3">
        <v>93</v>
      </c>
      <c r="B99" s="9">
        <f t="shared" si="5"/>
        <v>0.53895496062876336</v>
      </c>
      <c r="C99" s="3">
        <f t="shared" si="6"/>
        <v>33715.40547205355</v>
      </c>
      <c r="D99" s="3">
        <f t="shared" si="7"/>
        <v>248.63611796907935</v>
      </c>
      <c r="E99" s="8">
        <f t="shared" si="4"/>
        <v>13.285714285714286</v>
      </c>
      <c r="F99" s="3"/>
      <c r="G99" s="3"/>
      <c r="H99" s="3"/>
    </row>
    <row r="100" spans="1:8" ht="18.75" x14ac:dyDescent="0.3">
      <c r="A100" s="3">
        <v>94</v>
      </c>
      <c r="B100" s="9">
        <f t="shared" si="5"/>
        <v>0.54288318037739658</v>
      </c>
      <c r="C100" s="3">
        <f t="shared" si="6"/>
        <v>33961.143114868799</v>
      </c>
      <c r="D100" s="3">
        <f t="shared" si="7"/>
        <v>245.73764281524927</v>
      </c>
      <c r="E100" s="8">
        <f t="shared" si="4"/>
        <v>13.428571428571429</v>
      </c>
      <c r="F100" s="3"/>
      <c r="G100" s="3"/>
      <c r="H100" s="3"/>
    </row>
    <row r="101" spans="1:8" ht="18.75" x14ac:dyDescent="0.3">
      <c r="A101" s="3">
        <v>95</v>
      </c>
      <c r="B101" s="9">
        <f t="shared" si="5"/>
        <v>0.54676571281727193</v>
      </c>
      <c r="C101" s="3">
        <f t="shared" si="6"/>
        <v>34204.022696710083</v>
      </c>
      <c r="D101" s="3">
        <f t="shared" si="7"/>
        <v>242.87958184128365</v>
      </c>
      <c r="E101" s="8">
        <f t="shared" si="4"/>
        <v>13.571428571428571</v>
      </c>
      <c r="F101" s="3"/>
      <c r="G101" s="3"/>
      <c r="H101" s="3"/>
    </row>
    <row r="102" spans="1:8" ht="18.75" x14ac:dyDescent="0.3">
      <c r="A102" s="3">
        <v>96</v>
      </c>
      <c r="B102" s="9">
        <f t="shared" si="5"/>
        <v>0.55060319570726834</v>
      </c>
      <c r="C102" s="3">
        <f t="shared" si="6"/>
        <v>34444.084113859586</v>
      </c>
      <c r="D102" s="3">
        <f t="shared" si="7"/>
        <v>240.06141714950354</v>
      </c>
      <c r="E102" s="8">
        <f t="shared" si="4"/>
        <v>13.714285714285714</v>
      </c>
      <c r="F102" s="3"/>
      <c r="G102" s="3"/>
      <c r="H102" s="3"/>
    </row>
    <row r="103" spans="1:8" ht="18.75" x14ac:dyDescent="0.3">
      <c r="A103" s="3">
        <v>97</v>
      </c>
      <c r="B103" s="9">
        <f t="shared" si="5"/>
        <v>0.55439625848279461</v>
      </c>
      <c r="C103" s="3">
        <f t="shared" si="6"/>
        <v>34681.366741908183</v>
      </c>
      <c r="D103" s="3">
        <f t="shared" si="7"/>
        <v>237.28262804859696</v>
      </c>
      <c r="E103" s="8">
        <f t="shared" si="4"/>
        <v>13.857142857142858</v>
      </c>
      <c r="F103" s="3"/>
      <c r="G103" s="3"/>
      <c r="H103" s="3"/>
    </row>
    <row r="104" spans="1:8" ht="18.75" x14ac:dyDescent="0.3">
      <c r="A104" s="3">
        <v>98</v>
      </c>
      <c r="B104" s="9">
        <f t="shared" si="5"/>
        <v>0.55814552222643921</v>
      </c>
      <c r="C104" s="3">
        <f t="shared" si="6"/>
        <v>34915.909433919354</v>
      </c>
      <c r="D104" s="3">
        <f t="shared" si="7"/>
        <v>234.54269201117131</v>
      </c>
      <c r="E104" s="8">
        <f t="shared" si="4"/>
        <v>14</v>
      </c>
      <c r="F104" s="3"/>
      <c r="G104" s="3"/>
      <c r="H104" s="3"/>
    </row>
    <row r="105" spans="1:8" ht="18.75" x14ac:dyDescent="0.3">
      <c r="A105" s="3">
        <v>99</v>
      </c>
      <c r="B105" s="9">
        <f t="shared" si="5"/>
        <v>0.56185159965254372</v>
      </c>
      <c r="C105" s="3">
        <f t="shared" si="6"/>
        <v>35147.750519464178</v>
      </c>
      <c r="D105" s="3">
        <f t="shared" si="7"/>
        <v>231.84108554482373</v>
      </c>
      <c r="E105" s="8">
        <f t="shared" si="4"/>
        <v>14.142857142857142</v>
      </c>
      <c r="F105" s="3"/>
      <c r="G105" s="3"/>
      <c r="H105" s="3"/>
    </row>
    <row r="106" spans="1:8" ht="18.75" x14ac:dyDescent="0.3">
      <c r="A106" s="3">
        <v>100</v>
      </c>
      <c r="B106" s="9">
        <f t="shared" si="5"/>
        <v>0.56551509510443421</v>
      </c>
      <c r="C106" s="3">
        <f t="shared" si="6"/>
        <v>35376.927804448089</v>
      </c>
      <c r="D106" s="3">
        <f t="shared" si="7"/>
        <v>229.17728498391079</v>
      </c>
      <c r="E106" s="8">
        <f t="shared" si="4"/>
        <v>14.285714285714286</v>
      </c>
      <c r="F106" s="3"/>
      <c r="G106" s="3"/>
      <c r="H106" s="3"/>
    </row>
    <row r="107" spans="1:8" ht="18.75" x14ac:dyDescent="0.3">
      <c r="A107" s="3">
        <v>101</v>
      </c>
      <c r="B107" s="9">
        <f t="shared" si="5"/>
        <v>0.56913660456313342</v>
      </c>
      <c r="C107" s="3">
        <f t="shared" si="6"/>
        <v>35603.478571655935</v>
      </c>
      <c r="D107" s="3">
        <f t="shared" si="7"/>
        <v>226.55076720784564</v>
      </c>
      <c r="E107" s="8">
        <f t="shared" si="4"/>
        <v>14.428571428571429</v>
      </c>
      <c r="F107" s="3"/>
      <c r="G107" s="3"/>
      <c r="H107" s="3"/>
    </row>
    <row r="108" spans="1:8" ht="18.75" x14ac:dyDescent="0.3">
      <c r="A108" s="3">
        <v>102</v>
      </c>
      <c r="B108" s="9">
        <f t="shared" si="5"/>
        <v>0.5727167156664914</v>
      </c>
      <c r="C108" s="3">
        <f t="shared" si="6"/>
        <v>35827.439581948704</v>
      </c>
      <c r="D108" s="3">
        <f t="shared" si="7"/>
        <v>223.96101029276906</v>
      </c>
      <c r="E108" s="8">
        <f t="shared" si="4"/>
        <v>14.571428571428571</v>
      </c>
      <c r="F108" s="3"/>
      <c r="G108" s="3"/>
      <c r="H108" s="3"/>
    </row>
    <row r="109" spans="1:8" ht="18.75" x14ac:dyDescent="0.3">
      <c r="A109" s="3">
        <v>103</v>
      </c>
      <c r="B109" s="9">
        <f t="shared" si="5"/>
        <v>0.576256007737738</v>
      </c>
      <c r="C109" s="3">
        <f t="shared" si="6"/>
        <v>36048.847076049678</v>
      </c>
      <c r="D109" s="3">
        <f t="shared" si="7"/>
        <v>221.40749410097487</v>
      </c>
      <c r="E109" s="8">
        <f t="shared" si="4"/>
        <v>14.714285714285714</v>
      </c>
      <c r="F109" s="3"/>
      <c r="G109" s="3"/>
      <c r="H109" s="3"/>
    </row>
    <row r="110" spans="1:8" ht="18.75" x14ac:dyDescent="0.3">
      <c r="A110" s="3">
        <v>104</v>
      </c>
      <c r="B110" s="9">
        <f t="shared" si="5"/>
        <v>0.57975505182255138</v>
      </c>
      <c r="C110" s="3">
        <f t="shared" si="6"/>
        <v>36267.736776863348</v>
      </c>
      <c r="D110" s="3">
        <f t="shared" si="7"/>
        <v>218.88970081367006</v>
      </c>
      <c r="E110" s="8">
        <f t="shared" si="4"/>
        <v>14.857142857142858</v>
      </c>
      <c r="F110" s="3"/>
      <c r="G110" s="3"/>
      <c r="H110" s="3"/>
    </row>
    <row r="111" spans="1:8" ht="18.75" x14ac:dyDescent="0.3">
      <c r="A111" s="3">
        <v>105</v>
      </c>
      <c r="B111" s="9">
        <f t="shared" si="5"/>
        <v>0.58321441073381486</v>
      </c>
      <c r="C111" s="3">
        <f t="shared" si="6"/>
        <v>36484.143892275257</v>
      </c>
      <c r="D111" s="3">
        <f t="shared" si="7"/>
        <v>216.40711541190831</v>
      </c>
      <c r="E111" s="8">
        <f t="shared" si="4"/>
        <v>15</v>
      </c>
      <c r="F111" s="3"/>
      <c r="G111" s="3"/>
      <c r="H111" s="3"/>
    </row>
    <row r="112" spans="1:8" ht="18.75" x14ac:dyDescent="0.3">
      <c r="A112" s="3">
        <v>106</v>
      </c>
      <c r="B112" s="9">
        <f t="shared" si="5"/>
        <v>0.58663463910328395</v>
      </c>
      <c r="C112" s="3">
        <f t="shared" si="6"/>
        <v>36698.103118384133</v>
      </c>
      <c r="D112" s="3">
        <f t="shared" si="7"/>
        <v>213.95922610887646</v>
      </c>
      <c r="E112" s="8">
        <f t="shared" si="4"/>
        <v>15.142857142857142</v>
      </c>
      <c r="F112" s="3"/>
      <c r="G112" s="3"/>
      <c r="H112" s="3"/>
    </row>
    <row r="113" spans="1:8" ht="18.75" x14ac:dyDescent="0.3">
      <c r="A113" s="3">
        <v>107</v>
      </c>
      <c r="B113" s="9">
        <f t="shared" si="5"/>
        <v>0.59001628343946799</v>
      </c>
      <c r="C113" s="3">
        <f t="shared" si="6"/>
        <v>36909.648643122797</v>
      </c>
      <c r="D113" s="3">
        <f t="shared" si="7"/>
        <v>211.54552473866352</v>
      </c>
      <c r="E113" s="8">
        <f t="shared" si="4"/>
        <v>15.285714285714286</v>
      </c>
      <c r="F113" s="3"/>
      <c r="G113" s="3"/>
      <c r="H113" s="3"/>
    </row>
    <row r="114" spans="1:8" ht="18.75" x14ac:dyDescent="0.3">
      <c r="A114" s="3">
        <v>108</v>
      </c>
      <c r="B114" s="9">
        <f t="shared" si="5"/>
        <v>0.59335988219107194</v>
      </c>
      <c r="C114" s="3">
        <f t="shared" si="6"/>
        <v>37118.814150226885</v>
      </c>
      <c r="D114" s="3">
        <f t="shared" si="7"/>
        <v>209.16550710408774</v>
      </c>
      <c r="E114" s="8">
        <f t="shared" si="4"/>
        <v>15.428571428571429</v>
      </c>
      <c r="F114" s="3"/>
      <c r="G114" s="3"/>
      <c r="H114" s="3"/>
    </row>
    <row r="115" spans="1:8" ht="18.75" x14ac:dyDescent="0.3">
      <c r="A115" s="3">
        <v>109</v>
      </c>
      <c r="B115" s="9">
        <f t="shared" si="5"/>
        <v>0.59666596581540432</v>
      </c>
      <c r="C115" s="3">
        <f t="shared" si="6"/>
        <v>37325.63282351425</v>
      </c>
      <c r="D115" s="3">
        <f t="shared" si="7"/>
        <v>206.81867328736553</v>
      </c>
      <c r="E115" s="8">
        <f t="shared" si="4"/>
        <v>15.571428571428571</v>
      </c>
      <c r="F115" s="3"/>
      <c r="G115" s="3"/>
      <c r="H115" s="3"/>
    </row>
    <row r="116" spans="1:8" ht="18.75" x14ac:dyDescent="0.3">
      <c r="A116" s="3">
        <v>110</v>
      </c>
      <c r="B116" s="9">
        <f t="shared" si="5"/>
        <v>0.59993505685120707</v>
      </c>
      <c r="C116" s="3">
        <f t="shared" si="6"/>
        <v>37530.137351440964</v>
      </c>
      <c r="D116" s="3">
        <f t="shared" si="7"/>
        <v>204.50452792671422</v>
      </c>
      <c r="E116" s="8">
        <f t="shared" si="4"/>
        <v>15.714285714285714</v>
      </c>
      <c r="F116" s="3"/>
      <c r="G116" s="3"/>
      <c r="H116" s="3"/>
    </row>
    <row r="117" spans="1:8" ht="18.75" x14ac:dyDescent="0.3">
      <c r="A117" s="3">
        <v>111</v>
      </c>
      <c r="B117" s="9">
        <f t="shared" si="5"/>
        <v>0.60316766999539584</v>
      </c>
      <c r="C117" s="3">
        <f t="shared" si="6"/>
        <v>37732.359931901978</v>
      </c>
      <c r="D117" s="3">
        <f t="shared" si="7"/>
        <v>202.22258046101342</v>
      </c>
      <c r="E117" s="8">
        <f t="shared" si="4"/>
        <v>15.857142857142858</v>
      </c>
      <c r="F117" s="3"/>
      <c r="G117" s="3"/>
      <c r="H117" s="3"/>
    </row>
    <row r="118" spans="1:8" ht="18.75" x14ac:dyDescent="0.3">
      <c r="A118" s="3">
        <v>112</v>
      </c>
      <c r="B118" s="9">
        <f t="shared" si="5"/>
        <v>0.60636431218325981</v>
      </c>
      <c r="C118" s="3">
        <f t="shared" si="6"/>
        <v>37932.332277248184</v>
      </c>
      <c r="D118" s="3">
        <f t="shared" si="7"/>
        <v>199.97234534620657</v>
      </c>
      <c r="E118" s="8">
        <f t="shared" si="4"/>
        <v>16</v>
      </c>
      <c r="F118" s="3"/>
      <c r="G118" s="3"/>
      <c r="H118" s="3"/>
    </row>
    <row r="119" spans="1:8" ht="18.75" x14ac:dyDescent="0.3">
      <c r="A119" s="3">
        <v>113</v>
      </c>
      <c r="B119" s="9">
        <f t="shared" si="5"/>
        <v>0.6095254826716856</v>
      </c>
      <c r="C119" s="3">
        <f t="shared" si="6"/>
        <v>38130.085619492638</v>
      </c>
      <c r="D119" s="3">
        <f t="shared" si="7"/>
        <v>197.75334224445396</v>
      </c>
      <c r="E119" s="8">
        <f t="shared" si="4"/>
        <v>16.142857142857142</v>
      </c>
      <c r="F119" s="3"/>
      <c r="G119" s="3"/>
      <c r="H119" s="3"/>
    </row>
    <row r="120" spans="1:8" ht="18.75" x14ac:dyDescent="0.3">
      <c r="A120" s="3">
        <v>114</v>
      </c>
      <c r="B120" s="9">
        <f t="shared" si="5"/>
        <v>0.61265167312502289</v>
      </c>
      <c r="C120" s="3">
        <f t="shared" si="6"/>
        <v>38325.650715682059</v>
      </c>
      <c r="D120" s="3">
        <f t="shared" si="7"/>
        <v>195.56509618942073</v>
      </c>
      <c r="E120" s="8">
        <f t="shared" si="4"/>
        <v>16.285714285714285</v>
      </c>
      <c r="F120" s="3"/>
      <c r="G120" s="3"/>
      <c r="H120" s="3"/>
    </row>
    <row r="121" spans="1:8" ht="18.75" x14ac:dyDescent="0.3">
      <c r="A121" s="3">
        <v>115</v>
      </c>
      <c r="B121" s="9">
        <f t="shared" si="5"/>
        <v>0.61574336770323357</v>
      </c>
      <c r="C121" s="3">
        <f t="shared" si="6"/>
        <v>38519.057853411185</v>
      </c>
      <c r="D121" s="3">
        <f t="shared" si="7"/>
        <v>193.40713772912568</v>
      </c>
      <c r="E121" s="8">
        <f t="shared" si="4"/>
        <v>16.428571428571427</v>
      </c>
      <c r="F121" s="3"/>
      <c r="G121" s="3"/>
      <c r="H121" s="3"/>
    </row>
    <row r="122" spans="1:8" ht="18.75" x14ac:dyDescent="0.3">
      <c r="A122" s="3">
        <v>116</v>
      </c>
      <c r="B122" s="9">
        <f t="shared" si="5"/>
        <v>0.61880104315199214</v>
      </c>
      <c r="C122" s="3">
        <f t="shared" si="6"/>
        <v>38710.336856459173</v>
      </c>
      <c r="D122" s="3">
        <f t="shared" si="7"/>
        <v>191.27900304798823</v>
      </c>
      <c r="E122" s="8">
        <f t="shared" si="4"/>
        <v>16.571428571428573</v>
      </c>
      <c r="F122" s="3"/>
      <c r="G122" s="3"/>
      <c r="H122" s="3"/>
    </row>
    <row r="123" spans="1:8" ht="18.75" x14ac:dyDescent="0.3">
      <c r="A123" s="3">
        <v>117</v>
      </c>
      <c r="B123" s="9">
        <f t="shared" si="5"/>
        <v>0.62182516889444139</v>
      </c>
      <c r="C123" s="3">
        <f t="shared" si="6"/>
        <v>38899.517090529567</v>
      </c>
      <c r="D123" s="3">
        <f t="shared" si="7"/>
        <v>189.18023407039436</v>
      </c>
      <c r="E123" s="8">
        <f t="shared" si="4"/>
        <v>16.714285714285715</v>
      </c>
      <c r="F123" s="3"/>
      <c r="G123" s="3"/>
      <c r="H123" s="3"/>
    </row>
    <row r="124" spans="1:8" ht="18.75" x14ac:dyDescent="0.3">
      <c r="A124" s="3">
        <v>118</v>
      </c>
      <c r="B124" s="9">
        <f t="shared" si="5"/>
        <v>0.62481620712432506</v>
      </c>
      <c r="C124" s="3">
        <f t="shared" si="6"/>
        <v>39086.627469076404</v>
      </c>
      <c r="D124" s="3">
        <f t="shared" si="7"/>
        <v>187.11037854683673</v>
      </c>
      <c r="E124" s="8">
        <f t="shared" si="4"/>
        <v>16.857142857142858</v>
      </c>
      <c r="F124" s="3"/>
      <c r="G124" s="3"/>
      <c r="H124" s="3"/>
    </row>
    <row r="125" spans="1:8" ht="18.75" x14ac:dyDescent="0.3">
      <c r="A125" s="3">
        <v>119</v>
      </c>
      <c r="B125" s="9">
        <f t="shared" si="5"/>
        <v>0.62777461290024617</v>
      </c>
      <c r="C125" s="3">
        <f t="shared" si="6"/>
        <v>39271.696459200699</v>
      </c>
      <c r="D125" s="3">
        <f t="shared" si="7"/>
        <v>185.06899012429494</v>
      </c>
      <c r="E125" s="8">
        <f t="shared" si="4"/>
        <v>17</v>
      </c>
      <c r="F125" s="3"/>
      <c r="G125" s="3"/>
      <c r="H125" s="3"/>
    </row>
    <row r="126" spans="1:8" ht="18.75" x14ac:dyDescent="0.3">
      <c r="A126" s="3">
        <v>120</v>
      </c>
      <c r="B126" s="9">
        <f t="shared" si="5"/>
        <v>0.63070083424082068</v>
      </c>
      <c r="C126" s="3">
        <f t="shared" si="6"/>
        <v>39454.752087603018</v>
      </c>
      <c r="D126" s="3">
        <f t="shared" si="7"/>
        <v>183.05562840231869</v>
      </c>
      <c r="E126" s="8">
        <f t="shared" si="4"/>
        <v>17.142857142857142</v>
      </c>
      <c r="F126" s="3"/>
      <c r="G126" s="3"/>
      <c r="H126" s="3"/>
    </row>
    <row r="127" spans="1:8" ht="18.75" x14ac:dyDescent="0.3">
      <c r="A127" s="3">
        <v>121</v>
      </c>
      <c r="B127" s="9">
        <f t="shared" si="5"/>
        <v>0.63359531222051357</v>
      </c>
      <c r="C127" s="3">
        <f t="shared" si="6"/>
        <v>39635.821946578668</v>
      </c>
      <c r="D127" s="3">
        <f t="shared" si="7"/>
        <v>181.06985897565028</v>
      </c>
      <c r="E127" s="8">
        <f t="shared" si="4"/>
        <v>17.285714285714285</v>
      </c>
      <c r="F127" s="3"/>
      <c r="G127" s="3"/>
      <c r="H127" s="3"/>
    </row>
    <row r="128" spans="1:8" ht="18.75" x14ac:dyDescent="0.3">
      <c r="A128" s="3">
        <v>122</v>
      </c>
      <c r="B128" s="9">
        <f t="shared" si="5"/>
        <v>0.63645848106596414</v>
      </c>
      <c r="C128" s="3">
        <f t="shared" si="6"/>
        <v>39814.933200043517</v>
      </c>
      <c r="D128" s="3">
        <f t="shared" si="7"/>
        <v>179.11125346484914</v>
      </c>
      <c r="E128" s="8">
        <f t="shared" si="4"/>
        <v>17.428571428571427</v>
      </c>
      <c r="F128" s="3"/>
      <c r="G128" s="3"/>
      <c r="H128" s="3"/>
    </row>
    <row r="129" spans="1:8" ht="18.75" x14ac:dyDescent="0.3">
      <c r="A129" s="3">
        <v>123</v>
      </c>
      <c r="B129" s="9">
        <f t="shared" si="5"/>
        <v>0.63929076825262854</v>
      </c>
      <c r="C129" s="3">
        <f t="shared" si="6"/>
        <v>39992.112589579687</v>
      </c>
      <c r="D129" s="3">
        <f t="shared" si="7"/>
        <v>177.17938953616977</v>
      </c>
      <c r="E129" s="8">
        <f t="shared" si="4"/>
        <v>17.571428571428573</v>
      </c>
      <c r="F129" s="3"/>
      <c r="G129" s="3"/>
      <c r="H129" s="3"/>
    </row>
    <row r="130" spans="1:8" ht="18.75" x14ac:dyDescent="0.3">
      <c r="A130" s="3">
        <v>124</v>
      </c>
      <c r="B130" s="9">
        <f t="shared" si="5"/>
        <v>0.64209259460157331</v>
      </c>
      <c r="C130" s="3">
        <f t="shared" si="6"/>
        <v>40167.38644049062</v>
      </c>
      <c r="D130" s="3">
        <f t="shared" si="7"/>
        <v>175.27385091093311</v>
      </c>
      <c r="E130" s="8">
        <f t="shared" si="4"/>
        <v>17.714285714285715</v>
      </c>
      <c r="F130" s="3"/>
      <c r="G130" s="3"/>
      <c r="H130" s="3"/>
    </row>
    <row r="131" spans="1:8" ht="18.75" x14ac:dyDescent="0.3">
      <c r="A131" s="3">
        <v>125</v>
      </c>
      <c r="B131" s="9">
        <f t="shared" si="5"/>
        <v>0.64486437437627486</v>
      </c>
      <c r="C131" s="3">
        <f t="shared" si="6"/>
        <v>40340.780667856627</v>
      </c>
      <c r="D131" s="3">
        <f t="shared" si="7"/>
        <v>173.39422736600682</v>
      </c>
      <c r="E131" s="8">
        <f t="shared" si="4"/>
        <v>17.857142857142858</v>
      </c>
      <c r="F131" s="3"/>
      <c r="G131" s="3"/>
      <c r="H131" s="3"/>
    </row>
    <row r="132" spans="1:8" ht="18.75" x14ac:dyDescent="0.3">
      <c r="A132" s="3">
        <v>126</v>
      </c>
      <c r="B132" s="9">
        <f t="shared" si="5"/>
        <v>0.6476065153792957</v>
      </c>
      <c r="C132" s="3">
        <f t="shared" si="6"/>
        <v>40512.320782582603</v>
      </c>
      <c r="D132" s="3">
        <f t="shared" si="7"/>
        <v>171.54011472597631</v>
      </c>
      <c r="E132" s="8">
        <f t="shared" si="4"/>
        <v>18</v>
      </c>
      <c r="F132" s="3"/>
      <c r="G132" s="3"/>
      <c r="H132" s="3"/>
    </row>
    <row r="133" spans="1:8" ht="18.75" x14ac:dyDescent="0.3">
      <c r="A133" s="3">
        <v>127</v>
      </c>
      <c r="B133" s="9">
        <f t="shared" si="5"/>
        <v>0.65031941904871204</v>
      </c>
      <c r="C133" s="3">
        <f t="shared" si="6"/>
        <v>40682.031897430279</v>
      </c>
      <c r="D133" s="3">
        <f t="shared" si="7"/>
        <v>169.71111484767607</v>
      </c>
      <c r="E133" s="8">
        <f t="shared" si="4"/>
        <v>18.142857142857142</v>
      </c>
      <c r="F133" s="3"/>
      <c r="G133" s="3"/>
      <c r="H133" s="3"/>
    </row>
    <row r="134" spans="1:8" ht="18.75" x14ac:dyDescent="0.3">
      <c r="A134" s="3">
        <v>128</v>
      </c>
      <c r="B134" s="9">
        <f t="shared" si="5"/>
        <v>0.65300348055418289</v>
      </c>
      <c r="C134" s="3">
        <f t="shared" si="6"/>
        <v>40849.938733028022</v>
      </c>
      <c r="D134" s="3">
        <f t="shared" si="7"/>
        <v>167.90683559774334</v>
      </c>
      <c r="E134" s="8">
        <f t="shared" si="4"/>
        <v>18.285714285714285</v>
      </c>
      <c r="F134" s="3"/>
      <c r="G134" s="3"/>
      <c r="H134" s="3"/>
    </row>
    <row r="135" spans="1:8" ht="18.75" x14ac:dyDescent="0.3">
      <c r="A135" s="3">
        <v>129</v>
      </c>
      <c r="B135" s="9">
        <f t="shared" si="5"/>
        <v>0.65565908889256497</v>
      </c>
      <c r="C135" s="3">
        <f t="shared" si="6"/>
        <v>41016.065623852184</v>
      </c>
      <c r="D135" s="3">
        <f t="shared" si="7"/>
        <v>166.12689082416182</v>
      </c>
      <c r="E135" s="8">
        <f t="shared" ref="E135:E198" si="8">A135/7</f>
        <v>18.428571428571427</v>
      </c>
      <c r="F135" s="3"/>
      <c r="G135" s="3"/>
      <c r="H135" s="3"/>
    </row>
    <row r="136" spans="1:8" ht="18.75" x14ac:dyDescent="0.3">
      <c r="A136" s="3">
        <v>130</v>
      </c>
      <c r="B136" s="9">
        <f t="shared" ref="B136:B199" si="9">LOGNORMDIST(A136,$A$3,$B$3)</f>
        <v>0.65828662698297957</v>
      </c>
      <c r="C136" s="3">
        <f t="shared" ref="C136:C199" si="10">$E$3*B136</f>
        <v>41180.436524174256</v>
      </c>
      <c r="D136" s="3">
        <f t="shared" ref="D136:D199" si="11">C136-C135</f>
        <v>164.37090032207198</v>
      </c>
      <c r="E136" s="8">
        <f t="shared" si="8"/>
        <v>18.571428571428573</v>
      </c>
      <c r="F136" s="3"/>
      <c r="G136" s="3"/>
      <c r="H136" s="3"/>
    </row>
    <row r="137" spans="1:8" ht="18.75" x14ac:dyDescent="0.3">
      <c r="A137" s="3">
        <v>131</v>
      </c>
      <c r="B137" s="9">
        <f t="shared" si="9"/>
        <v>0.66088647176125337</v>
      </c>
      <c r="C137" s="3">
        <f t="shared" si="10"/>
        <v>41343.07501396873</v>
      </c>
      <c r="D137" s="3">
        <f t="shared" si="11"/>
        <v>162.63848979447357</v>
      </c>
      <c r="E137" s="8">
        <f t="shared" si="8"/>
        <v>18.714285714285715</v>
      </c>
      <c r="F137" s="3"/>
      <c r="G137" s="3"/>
      <c r="H137" s="3"/>
    </row>
    <row r="138" spans="1:8" ht="18.75" x14ac:dyDescent="0.3">
      <c r="A138" s="3">
        <v>132</v>
      </c>
      <c r="B138" s="9">
        <f t="shared" si="9"/>
        <v>0.66345899427365773</v>
      </c>
      <c r="C138" s="3">
        <f t="shared" si="10"/>
        <v>41504.004304777205</v>
      </c>
      <c r="D138" s="3">
        <f t="shared" si="11"/>
        <v>160.92929080847534</v>
      </c>
      <c r="E138" s="8">
        <f t="shared" si="8"/>
        <v>18.857142857142858</v>
      </c>
      <c r="F138" s="3"/>
      <c r="G138" s="3"/>
      <c r="H138" s="3"/>
    </row>
    <row r="139" spans="1:8" ht="18.75" x14ac:dyDescent="0.3">
      <c r="A139" s="3">
        <v>133</v>
      </c>
      <c r="B139" s="9">
        <f t="shared" si="9"/>
        <v>0.66600455976988304</v>
      </c>
      <c r="C139" s="3">
        <f t="shared" si="10"/>
        <v>41663.247245524573</v>
      </c>
      <c r="D139" s="3">
        <f t="shared" si="11"/>
        <v>159.24294074736827</v>
      </c>
      <c r="E139" s="8">
        <f t="shared" si="8"/>
        <v>19</v>
      </c>
      <c r="F139" s="3"/>
      <c r="G139" s="3"/>
      <c r="H139" s="3"/>
    </row>
    <row r="140" spans="1:8" ht="18.75" x14ac:dyDescent="0.3">
      <c r="A140" s="3">
        <v>134</v>
      </c>
      <c r="B140" s="9">
        <f t="shared" si="9"/>
        <v>0.66852352779518842</v>
      </c>
      <c r="C140" s="3">
        <f t="shared" si="10"/>
        <v>41820.826328283605</v>
      </c>
      <c r="D140" s="3">
        <f t="shared" si="11"/>
        <v>157.57908275903173</v>
      </c>
      <c r="E140" s="8">
        <f t="shared" si="8"/>
        <v>19.142857142857142</v>
      </c>
      <c r="F140" s="3"/>
      <c r="G140" s="3"/>
      <c r="H140" s="3"/>
    </row>
    <row r="141" spans="1:8" ht="18.75" x14ac:dyDescent="0.3">
      <c r="A141" s="3">
        <v>135</v>
      </c>
      <c r="B141" s="9">
        <f t="shared" si="9"/>
        <v>0.67101625228167627</v>
      </c>
      <c r="C141" s="3">
        <f t="shared" si="10"/>
        <v>41976.763693984823</v>
      </c>
      <c r="D141" s="3">
        <f t="shared" si="11"/>
        <v>155.93736570121837</v>
      </c>
      <c r="E141" s="8">
        <f t="shared" si="8"/>
        <v>19.285714285714285</v>
      </c>
      <c r="F141" s="3"/>
      <c r="G141" s="3"/>
      <c r="H141" s="3"/>
    </row>
    <row r="142" spans="1:8" ht="18.75" x14ac:dyDescent="0.3">
      <c r="A142" s="3">
        <v>136</v>
      </c>
      <c r="B142" s="9">
        <f t="shared" si="9"/>
        <v>0.67348308163864234</v>
      </c>
      <c r="C142" s="3">
        <f t="shared" si="10"/>
        <v>42131.081138068548</v>
      </c>
      <c r="D142" s="3">
        <f t="shared" si="11"/>
        <v>154.31744408372469</v>
      </c>
      <c r="E142" s="8">
        <f t="shared" si="8"/>
        <v>19.428571428571427</v>
      </c>
      <c r="F142" s="3"/>
      <c r="G142" s="3"/>
      <c r="H142" s="3"/>
    </row>
    <row r="143" spans="1:8" ht="18.75" x14ac:dyDescent="0.3">
      <c r="A143" s="3">
        <v>137</v>
      </c>
      <c r="B143" s="9">
        <f t="shared" si="9"/>
        <v>0.67592435884196356</v>
      </c>
      <c r="C143" s="3">
        <f t="shared" si="10"/>
        <v>42283.800116076716</v>
      </c>
      <c r="D143" s="3">
        <f t="shared" si="11"/>
        <v>152.71897800816805</v>
      </c>
      <c r="E143" s="8">
        <f t="shared" si="8"/>
        <v>19.571428571428573</v>
      </c>
      <c r="F143" s="3"/>
      <c r="G143" s="3"/>
      <c r="H143" s="3"/>
    </row>
    <row r="144" spans="1:8" ht="18.75" x14ac:dyDescent="0.3">
      <c r="A144" s="3">
        <v>138</v>
      </c>
      <c r="B144" s="9">
        <f t="shared" si="9"/>
        <v>0.67834042152248797</v>
      </c>
      <c r="C144" s="3">
        <f t="shared" si="10"/>
        <v>42434.941749182282</v>
      </c>
      <c r="D144" s="3">
        <f t="shared" si="11"/>
        <v>151.14163310556614</v>
      </c>
      <c r="E144" s="8">
        <f t="shared" si="8"/>
        <v>19.714285714285715</v>
      </c>
      <c r="F144" s="3"/>
      <c r="G144" s="3"/>
      <c r="H144" s="3"/>
    </row>
    <row r="145" spans="1:8" ht="18.75" x14ac:dyDescent="0.3">
      <c r="A145" s="3">
        <v>139</v>
      </c>
      <c r="B145" s="9">
        <f t="shared" si="9"/>
        <v>0.68073160205339056</v>
      </c>
      <c r="C145" s="3">
        <f t="shared" si="10"/>
        <v>42584.526829653951</v>
      </c>
      <c r="D145" s="3">
        <f t="shared" si="11"/>
        <v>149.58508047166833</v>
      </c>
      <c r="E145" s="8">
        <f t="shared" si="8"/>
        <v>19.857142857142858</v>
      </c>
      <c r="F145" s="3"/>
      <c r="G145" s="3"/>
      <c r="H145" s="3"/>
    </row>
    <row r="146" spans="1:8" ht="18.75" x14ac:dyDescent="0.3">
      <c r="A146" s="3">
        <v>140</v>
      </c>
      <c r="B146" s="9">
        <f t="shared" si="9"/>
        <v>0.68309822763647621</v>
      </c>
      <c r="C146" s="3">
        <f t="shared" si="10"/>
        <v>42732.575826255044</v>
      </c>
      <c r="D146" s="3">
        <f t="shared" si="11"/>
        <v>148.04899660109368</v>
      </c>
      <c r="E146" s="8">
        <f t="shared" si="8"/>
        <v>20</v>
      </c>
      <c r="F146" s="3"/>
      <c r="G146" s="3"/>
      <c r="H146" s="3"/>
    </row>
    <row r="147" spans="1:8" ht="18.75" x14ac:dyDescent="0.3">
      <c r="A147" s="3">
        <v>141</v>
      </c>
      <c r="B147" s="9">
        <f t="shared" si="9"/>
        <v>0.68544062038739773</v>
      </c>
      <c r="C147" s="3">
        <f t="shared" si="10"/>
        <v>42879.10888957444</v>
      </c>
      <c r="D147" s="3">
        <f t="shared" si="11"/>
        <v>146.5330633193953</v>
      </c>
      <c r="E147" s="8">
        <f t="shared" si="8"/>
        <v>20.142857142857142</v>
      </c>
      <c r="F147" s="3"/>
      <c r="G147" s="3"/>
      <c r="H147" s="3"/>
    </row>
    <row r="148" spans="1:8" ht="18.75" x14ac:dyDescent="0.3">
      <c r="A148" s="3">
        <v>142</v>
      </c>
      <c r="B148" s="9">
        <f t="shared" si="9"/>
        <v>0.68775909741977537</v>
      </c>
      <c r="C148" s="3">
        <f t="shared" si="10"/>
        <v>43024.145857288888</v>
      </c>
      <c r="D148" s="3">
        <f t="shared" si="11"/>
        <v>145.03696771444811</v>
      </c>
      <c r="E148" s="8">
        <f t="shared" si="8"/>
        <v>20.285714285714285</v>
      </c>
      <c r="F148" s="3"/>
      <c r="G148" s="3"/>
      <c r="H148" s="3"/>
    </row>
    <row r="149" spans="1:8" ht="18.75" x14ac:dyDescent="0.3">
      <c r="A149" s="3">
        <v>143</v>
      </c>
      <c r="B149" s="9">
        <f t="shared" si="9"/>
        <v>0.69005397092820042</v>
      </c>
      <c r="C149" s="3">
        <f t="shared" si="10"/>
        <v>43167.706259355436</v>
      </c>
      <c r="D149" s="3">
        <f t="shared" si="11"/>
        <v>143.5604020665487</v>
      </c>
      <c r="E149" s="8">
        <f t="shared" si="8"/>
        <v>20.428571428571427</v>
      </c>
      <c r="F149" s="3"/>
      <c r="G149" s="3"/>
      <c r="H149" s="3"/>
    </row>
    <row r="150" spans="1:8" ht="18.75" x14ac:dyDescent="0.3">
      <c r="A150" s="3">
        <v>144</v>
      </c>
      <c r="B150" s="9">
        <f t="shared" si="9"/>
        <v>0.69232554827010839</v>
      </c>
      <c r="C150" s="3">
        <f t="shared" si="10"/>
        <v>43309.809323133173</v>
      </c>
      <c r="D150" s="3">
        <f t="shared" si="11"/>
        <v>142.10306377773668</v>
      </c>
      <c r="E150" s="8">
        <f t="shared" si="8"/>
        <v>20.571428571428573</v>
      </c>
      <c r="F150" s="3"/>
      <c r="G150" s="3"/>
      <c r="H150" s="3"/>
    </row>
    <row r="151" spans="1:8" ht="18.75" x14ac:dyDescent="0.3">
      <c r="A151" s="3">
        <v>145</v>
      </c>
      <c r="B151" s="9">
        <f t="shared" si="9"/>
        <v>0.69457413204650964</v>
      </c>
      <c r="C151" s="3">
        <f t="shared" si="10"/>
        <v>43450.473978433503</v>
      </c>
      <c r="D151" s="3">
        <f t="shared" si="11"/>
        <v>140.6646553003302</v>
      </c>
      <c r="E151" s="8">
        <f t="shared" si="8"/>
        <v>20.714285714285715</v>
      </c>
      <c r="F151" s="3"/>
      <c r="G151" s="3"/>
      <c r="H151" s="3"/>
    </row>
    <row r="152" spans="1:8" ht="18.75" x14ac:dyDescent="0.3">
      <c r="A152" s="3">
        <v>146</v>
      </c>
      <c r="B152" s="9">
        <f t="shared" si="9"/>
        <v>0.6968000201815745</v>
      </c>
      <c r="C152" s="3">
        <f t="shared" si="10"/>
        <v>43589.718862498754</v>
      </c>
      <c r="D152" s="3">
        <f t="shared" si="11"/>
        <v>139.24488406525052</v>
      </c>
      <c r="E152" s="8">
        <f t="shared" si="8"/>
        <v>20.857142857142858</v>
      </c>
      <c r="F152" s="3"/>
      <c r="G152" s="3"/>
      <c r="H152" s="3"/>
    </row>
    <row r="153" spans="1:8" ht="18.75" x14ac:dyDescent="0.3">
      <c r="A153" s="3">
        <v>147</v>
      </c>
      <c r="B153" s="9">
        <f t="shared" si="9"/>
        <v>0.69900350600106176</v>
      </c>
      <c r="C153" s="3">
        <f t="shared" si="10"/>
        <v>43727.562324908424</v>
      </c>
      <c r="D153" s="3">
        <f t="shared" si="11"/>
        <v>137.84346240966988</v>
      </c>
      <c r="E153" s="8">
        <f t="shared" si="8"/>
        <v>21</v>
      </c>
      <c r="F153" s="3"/>
      <c r="G153" s="3"/>
      <c r="H153" s="3"/>
    </row>
    <row r="154" spans="1:8" ht="18.75" x14ac:dyDescent="0.3">
      <c r="A154" s="3">
        <v>148</v>
      </c>
      <c r="B154" s="9">
        <f t="shared" si="9"/>
        <v>0.70118487830959031</v>
      </c>
      <c r="C154" s="3">
        <f t="shared" si="10"/>
        <v>43864.022432413039</v>
      </c>
      <c r="D154" s="3">
        <f t="shared" si="11"/>
        <v>136.46010750461573</v>
      </c>
      <c r="E154" s="8">
        <f t="shared" si="8"/>
        <v>21.142857142857142</v>
      </c>
      <c r="F154" s="3"/>
      <c r="G154" s="3"/>
      <c r="H154" s="3"/>
    </row>
    <row r="155" spans="1:8" ht="18.75" x14ac:dyDescent="0.3">
      <c r="A155" s="3">
        <v>149</v>
      </c>
      <c r="B155" s="9">
        <f t="shared" si="9"/>
        <v>0.70334442146675091</v>
      </c>
      <c r="C155" s="3">
        <f t="shared" si="10"/>
        <v>43999.116973695534</v>
      </c>
      <c r="D155" s="3">
        <f t="shared" si="11"/>
        <v>135.0945412824949</v>
      </c>
      <c r="E155" s="8">
        <f t="shared" si="8"/>
        <v>21.285714285714285</v>
      </c>
      <c r="F155" s="3"/>
      <c r="G155" s="3"/>
      <c r="H155" s="3"/>
    </row>
    <row r="156" spans="1:8" ht="18.75" x14ac:dyDescent="0.3">
      <c r="A156" s="3">
        <v>150</v>
      </c>
      <c r="B156" s="9">
        <f t="shared" si="9"/>
        <v>0.70548241546205703</v>
      </c>
      <c r="C156" s="3">
        <f t="shared" si="10"/>
        <v>44132.863464059905</v>
      </c>
      <c r="D156" s="3">
        <f t="shared" si="11"/>
        <v>133.7464903643704</v>
      </c>
      <c r="E156" s="8">
        <f t="shared" si="8"/>
        <v>21.428571428571427</v>
      </c>
      <c r="F156" s="3"/>
      <c r="G156" s="3"/>
      <c r="H156" s="3"/>
    </row>
    <row r="157" spans="1:8" ht="18.75" x14ac:dyDescent="0.3">
      <c r="A157" s="3">
        <v>151</v>
      </c>
      <c r="B157" s="9">
        <f t="shared" si="9"/>
        <v>0.7075991359887408</v>
      </c>
      <c r="C157" s="3">
        <f t="shared" si="10"/>
        <v>44265.27915004766</v>
      </c>
      <c r="D157" s="3">
        <f t="shared" si="11"/>
        <v>132.41568598775484</v>
      </c>
      <c r="E157" s="8">
        <f t="shared" si="8"/>
        <v>21.571428571428573</v>
      </c>
      <c r="F157" s="3"/>
      <c r="G157" s="3"/>
      <c r="H157" s="3"/>
    </row>
    <row r="158" spans="1:8" ht="18.75" x14ac:dyDescent="0.3">
      <c r="A158" s="3">
        <v>152</v>
      </c>
      <c r="B158" s="9">
        <f t="shared" si="9"/>
        <v>0.70969485451639103</v>
      </c>
      <c r="C158" s="3">
        <f t="shared" si="10"/>
        <v>44396.381013981874</v>
      </c>
      <c r="D158" s="3">
        <f t="shared" si="11"/>
        <v>131.10186393421463</v>
      </c>
      <c r="E158" s="8">
        <f t="shared" si="8"/>
        <v>21.714285714285715</v>
      </c>
      <c r="F158" s="3"/>
      <c r="G158" s="3"/>
      <c r="H158" s="3"/>
    </row>
    <row r="159" spans="1:8" ht="18.75" x14ac:dyDescent="0.3">
      <c r="A159" s="3">
        <v>153</v>
      </c>
      <c r="B159" s="9">
        <f t="shared" si="9"/>
        <v>0.71176983836244245</v>
      </c>
      <c r="C159" s="3">
        <f t="shared" si="10"/>
        <v>44526.185778439314</v>
      </c>
      <c r="D159" s="3">
        <f t="shared" si="11"/>
        <v>129.80476445743989</v>
      </c>
      <c r="E159" s="8">
        <f t="shared" si="8"/>
        <v>21.857142857142858</v>
      </c>
      <c r="F159" s="3"/>
      <c r="G159" s="3"/>
      <c r="H159" s="3"/>
    </row>
    <row r="160" spans="1:8" ht="18.75" x14ac:dyDescent="0.3">
      <c r="A160" s="3">
        <v>154</v>
      </c>
      <c r="B160" s="9">
        <f t="shared" si="9"/>
        <v>0.71382435076252071</v>
      </c>
      <c r="C160" s="3">
        <f t="shared" si="10"/>
        <v>44654.709910651007</v>
      </c>
      <c r="D160" s="3">
        <f t="shared" si="11"/>
        <v>128.52413221169263</v>
      </c>
      <c r="E160" s="8">
        <f t="shared" si="8"/>
        <v>22</v>
      </c>
      <c r="F160" s="3"/>
      <c r="G160" s="3"/>
      <c r="H160" s="3"/>
    </row>
    <row r="161" spans="1:8" ht="18.75" x14ac:dyDescent="0.3">
      <c r="A161" s="3">
        <v>155</v>
      </c>
      <c r="B161" s="9">
        <f t="shared" si="9"/>
        <v>0.71585865093964762</v>
      </c>
      <c r="C161" s="3">
        <f t="shared" si="10"/>
        <v>44781.969626831538</v>
      </c>
      <c r="D161" s="3">
        <f t="shared" si="11"/>
        <v>127.25971618053154</v>
      </c>
      <c r="E161" s="8">
        <f t="shared" si="8"/>
        <v>22.142857142857142</v>
      </c>
      <c r="F161" s="3"/>
      <c r="G161" s="3"/>
      <c r="H161" s="3"/>
    </row>
    <row r="162" spans="1:8" ht="18.75" x14ac:dyDescent="0.3">
      <c r="A162" s="3">
        <v>156</v>
      </c>
      <c r="B162" s="9">
        <f t="shared" si="9"/>
        <v>0.71787299417231976</v>
      </c>
      <c r="C162" s="3">
        <f t="shared" si="10"/>
        <v>44907.98089643781</v>
      </c>
      <c r="D162" s="3">
        <f t="shared" si="11"/>
        <v>126.01126960627153</v>
      </c>
      <c r="E162" s="8">
        <f t="shared" si="8"/>
        <v>22.285714285714285</v>
      </c>
      <c r="F162" s="3"/>
      <c r="G162" s="3"/>
      <c r="H162" s="3"/>
    </row>
    <row r="163" spans="1:8" ht="18.75" x14ac:dyDescent="0.3">
      <c r="A163" s="3">
        <v>157</v>
      </c>
      <c r="B163" s="9">
        <f t="shared" si="9"/>
        <v>0.71986763186146119</v>
      </c>
      <c r="C163" s="3">
        <f t="shared" si="10"/>
        <v>45032.759446357428</v>
      </c>
      <c r="D163" s="3">
        <f t="shared" si="11"/>
        <v>124.77854991961794</v>
      </c>
      <c r="E163" s="8">
        <f t="shared" si="8"/>
        <v>22.428571428571427</v>
      </c>
      <c r="F163" s="3"/>
      <c r="G163" s="3"/>
      <c r="H163" s="3"/>
    </row>
    <row r="164" spans="1:8" ht="18.75" x14ac:dyDescent="0.3">
      <c r="A164" s="3">
        <v>158</v>
      </c>
      <c r="B164" s="9">
        <f t="shared" si="9"/>
        <v>0.7218428115962684</v>
      </c>
      <c r="C164" s="3">
        <f t="shared" si="10"/>
        <v>45156.320765027762</v>
      </c>
      <c r="D164" s="3">
        <f t="shared" si="11"/>
        <v>123.561318670334</v>
      </c>
      <c r="E164" s="8">
        <f t="shared" si="8"/>
        <v>22.571428571428573</v>
      </c>
      <c r="F164" s="3"/>
      <c r="G164" s="3"/>
      <c r="H164" s="3"/>
    </row>
    <row r="165" spans="1:8" ht="18.75" x14ac:dyDescent="0.3">
      <c r="A165" s="3">
        <v>159</v>
      </c>
      <c r="B165" s="9">
        <f t="shared" si="9"/>
        <v>0.72379877721894981</v>
      </c>
      <c r="C165" s="3">
        <f t="shared" si="10"/>
        <v>45278.680106485845</v>
      </c>
      <c r="D165" s="3">
        <f t="shared" si="11"/>
        <v>122.35934145808278</v>
      </c>
      <c r="E165" s="8">
        <f t="shared" si="8"/>
        <v>22.714285714285715</v>
      </c>
      <c r="F165" s="3"/>
      <c r="G165" s="3"/>
      <c r="H165" s="3"/>
    </row>
    <row r="166" spans="1:8" ht="18.75" x14ac:dyDescent="0.3">
      <c r="A166" s="3">
        <v>160</v>
      </c>
      <c r="B166" s="9">
        <f t="shared" si="9"/>
        <v>0.72573576888837743</v>
      </c>
      <c r="C166" s="3">
        <f t="shared" si="10"/>
        <v>45399.852494350227</v>
      </c>
      <c r="D166" s="3">
        <f t="shared" si="11"/>
        <v>121.17238786438247</v>
      </c>
      <c r="E166" s="8">
        <f t="shared" si="8"/>
        <v>22.857142857142858</v>
      </c>
      <c r="F166" s="3"/>
      <c r="G166" s="3"/>
      <c r="H166" s="3"/>
    </row>
    <row r="167" spans="1:8" ht="18.75" x14ac:dyDescent="0.3">
      <c r="A167" s="3">
        <v>161</v>
      </c>
      <c r="B167" s="9">
        <f t="shared" si="9"/>
        <v>0.72765402314265648</v>
      </c>
      <c r="C167" s="3">
        <f t="shared" si="10"/>
        <v>45519.85272573516</v>
      </c>
      <c r="D167" s="3">
        <f t="shared" si="11"/>
        <v>120.0002313849327</v>
      </c>
      <c r="E167" s="8">
        <f t="shared" si="8"/>
        <v>23</v>
      </c>
      <c r="F167" s="3"/>
      <c r="G167" s="3"/>
      <c r="H167" s="3"/>
    </row>
    <row r="168" spans="1:8" ht="18.75" x14ac:dyDescent="0.3">
      <c r="A168" s="3">
        <v>162</v>
      </c>
      <c r="B168" s="9">
        <f t="shared" si="9"/>
        <v>0.72955377296062784</v>
      </c>
      <c r="C168" s="3">
        <f t="shared" si="10"/>
        <v>45638.695375097996</v>
      </c>
      <c r="D168" s="3">
        <f t="shared" si="11"/>
        <v>118.8426493628358</v>
      </c>
      <c r="E168" s="8">
        <f t="shared" si="8"/>
        <v>23.142857142857142</v>
      </c>
      <c r="F168" s="3"/>
      <c r="G168" s="3"/>
      <c r="H168" s="3"/>
    </row>
    <row r="169" spans="1:8" ht="18.75" x14ac:dyDescent="0.3">
      <c r="A169" s="3">
        <v>163</v>
      </c>
      <c r="B169" s="9">
        <f t="shared" si="9"/>
        <v>0.73143524782231617</v>
      </c>
      <c r="C169" s="3">
        <f t="shared" si="10"/>
        <v>45756.394798020636</v>
      </c>
      <c r="D169" s="3">
        <f t="shared" si="11"/>
        <v>117.69942292264022</v>
      </c>
      <c r="E169" s="8">
        <f t="shared" si="8"/>
        <v>23.285714285714285</v>
      </c>
      <c r="F169" s="3"/>
      <c r="G169" s="3"/>
      <c r="H169" s="3"/>
    </row>
    <row r="170" spans="1:8" ht="18.75" x14ac:dyDescent="0.3">
      <c r="A170" s="3">
        <v>164</v>
      </c>
      <c r="B170" s="9">
        <f t="shared" si="9"/>
        <v>0.73329867376833269</v>
      </c>
      <c r="C170" s="3">
        <f t="shared" si="10"/>
        <v>45872.965134925587</v>
      </c>
      <c r="D170" s="3">
        <f t="shared" si="11"/>
        <v>116.57033690495155</v>
      </c>
      <c r="E170" s="8">
        <f t="shared" si="8"/>
        <v>23.428571428571427</v>
      </c>
      <c r="F170" s="3"/>
      <c r="G170" s="3"/>
      <c r="H170" s="3"/>
    </row>
    <row r="171" spans="1:8" ht="18.75" x14ac:dyDescent="0.3">
      <c r="A171" s="3">
        <v>165</v>
      </c>
      <c r="B171" s="9">
        <f t="shared" si="9"/>
        <v>0.73514427345825073</v>
      </c>
      <c r="C171" s="3">
        <f t="shared" si="10"/>
        <v>45988.420314727788</v>
      </c>
      <c r="D171" s="3">
        <f t="shared" si="11"/>
        <v>115.45517980220029</v>
      </c>
      <c r="E171" s="8">
        <f t="shared" si="8"/>
        <v>23.571428571428573</v>
      </c>
      <c r="F171" s="3"/>
      <c r="G171" s="3"/>
      <c r="H171" s="3"/>
    </row>
    <row r="172" spans="1:8" ht="18.75" x14ac:dyDescent="0.3">
      <c r="A172" s="3">
        <v>166</v>
      </c>
      <c r="B172" s="9">
        <f t="shared" si="9"/>
        <v>0.73697226622796408</v>
      </c>
      <c r="C172" s="3">
        <f t="shared" si="10"/>
        <v>46102.77405842275</v>
      </c>
      <c r="D172" s="3">
        <f t="shared" si="11"/>
        <v>114.35374369496276</v>
      </c>
      <c r="E172" s="8">
        <f t="shared" si="8"/>
        <v>23.714285714285715</v>
      </c>
      <c r="F172" s="3"/>
      <c r="G172" s="3"/>
      <c r="H172" s="3"/>
    </row>
    <row r="173" spans="1:8" ht="18.75" x14ac:dyDescent="0.3">
      <c r="A173" s="3">
        <v>167</v>
      </c>
      <c r="B173" s="9">
        <f t="shared" si="9"/>
        <v>0.73878286814603966</v>
      </c>
      <c r="C173" s="3">
        <f t="shared" si="10"/>
        <v>46216.039882611803</v>
      </c>
      <c r="D173" s="3">
        <f t="shared" si="11"/>
        <v>113.26582418905309</v>
      </c>
      <c r="E173" s="8">
        <f t="shared" si="8"/>
        <v>23.857142857142858</v>
      </c>
      <c r="F173" s="3"/>
      <c r="G173" s="3"/>
      <c r="H173" s="3"/>
    </row>
    <row r="174" spans="1:8" ht="18.75" x14ac:dyDescent="0.3">
      <c r="A174" s="3">
        <v>168</v>
      </c>
      <c r="B174" s="9">
        <f t="shared" si="9"/>
        <v>0.74057629206908571</v>
      </c>
      <c r="C174" s="3">
        <f t="shared" si="10"/>
        <v>46328.231102965794</v>
      </c>
      <c r="D174" s="3">
        <f t="shared" si="11"/>
        <v>112.1912203539905</v>
      </c>
      <c r="E174" s="8">
        <f t="shared" si="8"/>
        <v>24</v>
      </c>
      <c r="F174" s="3"/>
      <c r="G174" s="3"/>
      <c r="H174" s="3"/>
    </row>
    <row r="175" spans="1:8" ht="18.75" x14ac:dyDescent="0.3">
      <c r="A175" s="3">
        <v>169</v>
      </c>
      <c r="B175" s="9">
        <f t="shared" si="9"/>
        <v>0.74235274769614135</v>
      </c>
      <c r="C175" s="3">
        <f t="shared" si="10"/>
        <v>46439.360837627515</v>
      </c>
      <c r="D175" s="3">
        <f t="shared" si="11"/>
        <v>111.12973466172116</v>
      </c>
      <c r="E175" s="8">
        <f t="shared" si="8"/>
        <v>24.142857142857142</v>
      </c>
      <c r="F175" s="3"/>
      <c r="G175" s="3"/>
      <c r="H175" s="3"/>
    </row>
    <row r="176" spans="1:8" ht="18.75" x14ac:dyDescent="0.3">
      <c r="A176" s="3">
        <v>170</v>
      </c>
      <c r="B176" s="9">
        <f t="shared" si="9"/>
        <v>0.74411244162210499</v>
      </c>
      <c r="C176" s="3">
        <f t="shared" si="10"/>
        <v>46549.442010554019</v>
      </c>
      <c r="D176" s="3">
        <f t="shared" si="11"/>
        <v>110.08117292650422</v>
      </c>
      <c r="E176" s="8">
        <f t="shared" si="8"/>
        <v>24.285714285714285</v>
      </c>
      <c r="F176" s="3"/>
      <c r="G176" s="3"/>
      <c r="H176" s="3"/>
    </row>
    <row r="177" spans="1:8" ht="18.75" x14ac:dyDescent="0.3">
      <c r="A177" s="3">
        <v>171</v>
      </c>
      <c r="B177" s="9">
        <f t="shared" si="9"/>
        <v>0.74585557739021713</v>
      </c>
      <c r="C177" s="3">
        <f t="shared" si="10"/>
        <v>46658.487354799814</v>
      </c>
      <c r="D177" s="3">
        <f t="shared" si="11"/>
        <v>109.04534424579469</v>
      </c>
      <c r="E177" s="8">
        <f t="shared" si="8"/>
        <v>24.428571428571427</v>
      </c>
      <c r="F177" s="3"/>
      <c r="G177" s="3"/>
      <c r="H177" s="3"/>
    </row>
    <row r="178" spans="1:8" ht="18.75" x14ac:dyDescent="0.3">
      <c r="A178" s="3">
        <v>172</v>
      </c>
      <c r="B178" s="9">
        <f t="shared" si="9"/>
        <v>0.7475823555436083</v>
      </c>
      <c r="C178" s="3">
        <f t="shared" si="10"/>
        <v>46766.509415741508</v>
      </c>
      <c r="D178" s="3">
        <f t="shared" si="11"/>
        <v>108.02206094169378</v>
      </c>
      <c r="E178" s="8">
        <f t="shared" si="8"/>
        <v>24.571428571428573</v>
      </c>
      <c r="F178" s="3"/>
      <c r="G178" s="3"/>
      <c r="H178" s="3"/>
    </row>
    <row r="179" spans="1:8" ht="18.75" x14ac:dyDescent="0.3">
      <c r="A179" s="3">
        <v>173</v>
      </c>
      <c r="B179" s="9">
        <f t="shared" si="9"/>
        <v>0.74929297367593151</v>
      </c>
      <c r="C179" s="3">
        <f t="shared" si="10"/>
        <v>46873.520554245246</v>
      </c>
      <c r="D179" s="3">
        <f t="shared" si="11"/>
        <v>107.01113850373804</v>
      </c>
      <c r="E179" s="8">
        <f t="shared" si="8"/>
        <v>24.714285714285715</v>
      </c>
      <c r="F179" s="3"/>
      <c r="G179" s="3"/>
      <c r="H179" s="3"/>
    </row>
    <row r="180" spans="1:8" ht="18.75" x14ac:dyDescent="0.3">
      <c r="A180" s="3">
        <v>174</v>
      </c>
      <c r="B180" s="9">
        <f t="shared" si="9"/>
        <v>0.7509876264810853</v>
      </c>
      <c r="C180" s="3">
        <f t="shared" si="10"/>
        <v>46979.532949777255</v>
      </c>
      <c r="D180" s="3">
        <f t="shared" si="11"/>
        <v>106.01239553200867</v>
      </c>
      <c r="E180" s="8">
        <f t="shared" si="8"/>
        <v>24.857142857142858</v>
      </c>
      <c r="F180" s="3"/>
      <c r="G180" s="3"/>
      <c r="H180" s="3"/>
    </row>
    <row r="181" spans="1:8" ht="18.75" x14ac:dyDescent="0.3">
      <c r="A181" s="3">
        <v>175</v>
      </c>
      <c r="B181" s="9">
        <f t="shared" si="9"/>
        <v>0.75266650580205197</v>
      </c>
      <c r="C181" s="3">
        <f t="shared" si="10"/>
        <v>47084.558603458965</v>
      </c>
      <c r="D181" s="3">
        <f t="shared" si="11"/>
        <v>105.02565368171054</v>
      </c>
      <c r="E181" s="8">
        <f t="shared" si="8"/>
        <v>25</v>
      </c>
      <c r="F181" s="3"/>
      <c r="G181" s="3"/>
      <c r="H181" s="3"/>
    </row>
    <row r="182" spans="1:8" ht="18.75" x14ac:dyDescent="0.3">
      <c r="A182" s="3">
        <v>176</v>
      </c>
      <c r="B182" s="9">
        <f t="shared" si="9"/>
        <v>0.75432980067885524</v>
      </c>
      <c r="C182" s="3">
        <f t="shared" si="10"/>
        <v>47188.609341067146</v>
      </c>
      <c r="D182" s="3">
        <f t="shared" si="11"/>
        <v>104.0507376081805</v>
      </c>
      <c r="E182" s="8">
        <f t="shared" si="8"/>
        <v>25.142857142857142</v>
      </c>
      <c r="F182" s="3"/>
      <c r="G182" s="3"/>
      <c r="H182" s="3"/>
    </row>
    <row r="183" spans="1:8" ht="18.75" x14ac:dyDescent="0.3">
      <c r="A183" s="3">
        <v>177</v>
      </c>
      <c r="B183" s="9">
        <f t="shared" si="9"/>
        <v>0.75597769739566112</v>
      </c>
      <c r="C183" s="3">
        <f t="shared" si="10"/>
        <v>47291.696815980373</v>
      </c>
      <c r="D183" s="3">
        <f t="shared" si="11"/>
        <v>103.0874749132272</v>
      </c>
      <c r="E183" s="8">
        <f t="shared" si="8"/>
        <v>25.285714285714285</v>
      </c>
      <c r="F183" s="3"/>
      <c r="G183" s="3"/>
      <c r="H183" s="3"/>
    </row>
    <row r="184" spans="1:8" ht="18.75" x14ac:dyDescent="0.3">
      <c r="A184" s="3">
        <v>178</v>
      </c>
      <c r="B184" s="9">
        <f t="shared" si="9"/>
        <v>0.75761037952702592</v>
      </c>
      <c r="C184" s="3">
        <f t="shared" si="10"/>
        <v>47393.832512072164</v>
      </c>
      <c r="D184" s="3">
        <f t="shared" si="11"/>
        <v>102.13569609179103</v>
      </c>
      <c r="E184" s="8">
        <f t="shared" si="8"/>
        <v>25.428571428571427</v>
      </c>
      <c r="F184" s="3"/>
      <c r="G184" s="3"/>
      <c r="H184" s="3"/>
    </row>
    <row r="185" spans="1:8" ht="18.75" x14ac:dyDescent="0.3">
      <c r="A185" s="3">
        <v>179</v>
      </c>
      <c r="B185" s="9">
        <f t="shared" si="9"/>
        <v>0.75922802798331479</v>
      </c>
      <c r="C185" s="3">
        <f t="shared" si="10"/>
        <v>47495.027746552223</v>
      </c>
      <c r="D185" s="3">
        <f t="shared" si="11"/>
        <v>101.1952344800593</v>
      </c>
      <c r="E185" s="8">
        <f t="shared" si="8"/>
        <v>25.571428571428573</v>
      </c>
      <c r="F185" s="3"/>
      <c r="G185" s="3"/>
      <c r="H185" s="3"/>
    </row>
    <row r="186" spans="1:8" ht="18.75" x14ac:dyDescent="0.3">
      <c r="A186" s="3">
        <v>180</v>
      </c>
      <c r="B186" s="9">
        <f t="shared" si="9"/>
        <v>0.7608308210552992</v>
      </c>
      <c r="C186" s="3">
        <f t="shared" si="10"/>
        <v>47595.29367275635</v>
      </c>
      <c r="D186" s="3">
        <f t="shared" si="11"/>
        <v>100.26592620412703</v>
      </c>
      <c r="E186" s="8">
        <f t="shared" si="8"/>
        <v>25.714285714285715</v>
      </c>
      <c r="F186" s="3"/>
      <c r="G186" s="3"/>
      <c r="H186" s="3"/>
    </row>
    <row r="187" spans="1:8" ht="18.75" x14ac:dyDescent="0.3">
      <c r="A187" s="3">
        <v>181</v>
      </c>
      <c r="B187" s="9">
        <f t="shared" si="9"/>
        <v>0.76241893445794939</v>
      </c>
      <c r="C187" s="3">
        <f t="shared" si="10"/>
        <v>47694.641282885939</v>
      </c>
      <c r="D187" s="3">
        <f t="shared" si="11"/>
        <v>99.347610129589157</v>
      </c>
      <c r="E187" s="8">
        <f t="shared" si="8"/>
        <v>25.857142857142858</v>
      </c>
      <c r="F187" s="3"/>
      <c r="G187" s="3"/>
      <c r="H187" s="3"/>
    </row>
    <row r="188" spans="1:8" ht="18.75" x14ac:dyDescent="0.3">
      <c r="A188" s="3">
        <v>182</v>
      </c>
      <c r="B188" s="9">
        <f t="shared" si="9"/>
        <v>0.76399254137343398</v>
      </c>
      <c r="C188" s="3">
        <f t="shared" si="10"/>
        <v>47793.081410697909</v>
      </c>
      <c r="D188" s="3">
        <f t="shared" si="11"/>
        <v>98.440127811969433</v>
      </c>
      <c r="E188" s="8">
        <f t="shared" si="8"/>
        <v>26</v>
      </c>
      <c r="F188" s="3"/>
      <c r="G188" s="3"/>
      <c r="H188" s="3"/>
    </row>
    <row r="189" spans="1:8" ht="18.75" x14ac:dyDescent="0.3">
      <c r="A189" s="3">
        <v>183</v>
      </c>
      <c r="B189" s="9">
        <f t="shared" si="9"/>
        <v>0.76555181249334381</v>
      </c>
      <c r="C189" s="3">
        <f t="shared" si="10"/>
        <v>47890.624734146106</v>
      </c>
      <c r="D189" s="3">
        <f t="shared" si="11"/>
        <v>97.543323448197043</v>
      </c>
      <c r="E189" s="8">
        <f t="shared" si="8"/>
        <v>26.142857142857142</v>
      </c>
      <c r="F189" s="3"/>
      <c r="G189" s="3"/>
      <c r="H189" s="3"/>
    </row>
    <row r="190" spans="1:8" ht="18.75" x14ac:dyDescent="0.3">
      <c r="A190" s="3">
        <v>184</v>
      </c>
      <c r="B190" s="9">
        <f t="shared" si="9"/>
        <v>0.76709691606014785</v>
      </c>
      <c r="C190" s="3">
        <f t="shared" si="10"/>
        <v>47987.281777974669</v>
      </c>
      <c r="D190" s="3">
        <f t="shared" si="11"/>
        <v>96.657043828563474</v>
      </c>
      <c r="E190" s="8">
        <f t="shared" si="8"/>
        <v>26.285714285714285</v>
      </c>
      <c r="F190" s="3"/>
      <c r="G190" s="3"/>
      <c r="H190" s="3"/>
    </row>
    <row r="191" spans="1:8" ht="18.75" x14ac:dyDescent="0.3">
      <c r="A191" s="3">
        <v>185</v>
      </c>
      <c r="B191" s="9">
        <f t="shared" si="9"/>
        <v>0.76862801790790114</v>
      </c>
      <c r="C191" s="3">
        <f t="shared" si="10"/>
        <v>48083.062916264571</v>
      </c>
      <c r="D191" s="3">
        <f t="shared" si="11"/>
        <v>95.781138289901719</v>
      </c>
      <c r="E191" s="8">
        <f t="shared" si="8"/>
        <v>26.428571428571427</v>
      </c>
      <c r="F191" s="3"/>
      <c r="G191" s="3"/>
      <c r="H191" s="3"/>
    </row>
    <row r="192" spans="1:8" ht="18.75" x14ac:dyDescent="0.3">
      <c r="A192" s="3">
        <v>186</v>
      </c>
      <c r="B192" s="9">
        <f t="shared" si="9"/>
        <v>0.77014528150221384</v>
      </c>
      <c r="C192" s="3">
        <f t="shared" si="10"/>
        <v>48177.978374933991</v>
      </c>
      <c r="D192" s="3">
        <f t="shared" si="11"/>
        <v>94.915458669420332</v>
      </c>
      <c r="E192" s="8">
        <f t="shared" si="8"/>
        <v>26.571428571428573</v>
      </c>
      <c r="F192" s="3"/>
      <c r="G192" s="3"/>
      <c r="H192" s="3"/>
    </row>
    <row r="193" spans="1:8" ht="18.75" x14ac:dyDescent="0.3">
      <c r="A193" s="3">
        <v>187</v>
      </c>
      <c r="B193" s="9">
        <f t="shared" si="9"/>
        <v>0.77164886797949328</v>
      </c>
      <c r="C193" s="3">
        <f t="shared" si="10"/>
        <v>48272.038234193162</v>
      </c>
      <c r="D193" s="3">
        <f t="shared" si="11"/>
        <v>94.05985925917048</v>
      </c>
      <c r="E193" s="8">
        <f t="shared" si="8"/>
        <v>26.714285714285715</v>
      </c>
      <c r="F193" s="3"/>
      <c r="G193" s="3"/>
      <c r="H193" s="3"/>
    </row>
    <row r="194" spans="1:8" ht="18.75" x14ac:dyDescent="0.3">
      <c r="A194" s="3">
        <v>188</v>
      </c>
      <c r="B194" s="9">
        <f t="shared" si="9"/>
        <v>0.77313893618547858</v>
      </c>
      <c r="C194" s="3">
        <f t="shared" si="10"/>
        <v>48365.252430954984</v>
      </c>
      <c r="D194" s="3">
        <f t="shared" si="11"/>
        <v>93.214196761822677</v>
      </c>
      <c r="E194" s="8">
        <f t="shared" si="8"/>
        <v>26.857142857142858</v>
      </c>
      <c r="F194" s="3"/>
      <c r="G194" s="3"/>
      <c r="H194" s="3"/>
    </row>
    <row r="195" spans="1:8" ht="18.75" x14ac:dyDescent="0.3">
      <c r="A195" s="3">
        <v>189</v>
      </c>
      <c r="B195" s="9">
        <f t="shared" si="9"/>
        <v>0.77461564271307282</v>
      </c>
      <c r="C195" s="3">
        <f t="shared" si="10"/>
        <v>48457.630761201697</v>
      </c>
      <c r="D195" s="3">
        <f t="shared" si="11"/>
        <v>92.378330246712721</v>
      </c>
      <c r="E195" s="8">
        <f t="shared" si="8"/>
        <v>27</v>
      </c>
      <c r="F195" s="3"/>
      <c r="G195" s="3"/>
      <c r="H195" s="3"/>
    </row>
    <row r="196" spans="1:8" ht="18.75" x14ac:dyDescent="0.3">
      <c r="A196" s="3">
        <v>190</v>
      </c>
      <c r="B196" s="9">
        <f t="shared" si="9"/>
        <v>0.77607914193948946</v>
      </c>
      <c r="C196" s="3">
        <f t="shared" si="10"/>
        <v>48549.18288230864</v>
      </c>
      <c r="D196" s="3">
        <f t="shared" si="11"/>
        <v>91.55212110694265</v>
      </c>
      <c r="E196" s="8">
        <f t="shared" si="8"/>
        <v>27.142857142857142</v>
      </c>
      <c r="F196" s="3"/>
      <c r="G196" s="3"/>
      <c r="H196" s="3"/>
    </row>
    <row r="197" spans="1:8" ht="18.75" x14ac:dyDescent="0.3">
      <c r="A197" s="3">
        <v>191</v>
      </c>
      <c r="B197" s="9">
        <f t="shared" si="9"/>
        <v>0.77752958606272649</v>
      </c>
      <c r="C197" s="3">
        <f t="shared" si="10"/>
        <v>48639.91831532598</v>
      </c>
      <c r="D197" s="3">
        <f t="shared" si="11"/>
        <v>90.735433017340256</v>
      </c>
      <c r="E197" s="8">
        <f t="shared" si="8"/>
        <v>27.285714285714285</v>
      </c>
      <c r="F197" s="3"/>
      <c r="G197" s="3"/>
      <c r="H197" s="3"/>
    </row>
    <row r="198" spans="1:8" ht="18.75" x14ac:dyDescent="0.3">
      <c r="A198" s="3">
        <v>192</v>
      </c>
      <c r="B198" s="9">
        <f t="shared" si="9"/>
        <v>0.77896712513737676</v>
      </c>
      <c r="C198" s="3">
        <f t="shared" si="10"/>
        <v>48729.846447218879</v>
      </c>
      <c r="D198" s="3">
        <f t="shared" si="11"/>
        <v>89.928131892898818</v>
      </c>
      <c r="E198" s="8">
        <f t="shared" si="8"/>
        <v>27.428571428571427</v>
      </c>
      <c r="F198" s="3"/>
      <c r="G198" s="3"/>
      <c r="H198" s="3"/>
    </row>
    <row r="199" spans="1:8" ht="18.75" x14ac:dyDescent="0.3">
      <c r="A199" s="3">
        <v>193</v>
      </c>
      <c r="B199" s="9">
        <f t="shared" si="9"/>
        <v>0.78039190710979101</v>
      </c>
      <c r="C199" s="3">
        <f t="shared" si="10"/>
        <v>48818.976533067194</v>
      </c>
      <c r="D199" s="3">
        <f t="shared" si="11"/>
        <v>89.130085848315503</v>
      </c>
      <c r="E199" s="8">
        <f t="shared" ref="E199:E262" si="12">A199/7</f>
        <v>27.571428571428573</v>
      </c>
      <c r="F199" s="3"/>
      <c r="G199" s="3"/>
      <c r="H199" s="3"/>
    </row>
    <row r="200" spans="1:8" ht="18.75" x14ac:dyDescent="0.3">
      <c r="A200" s="3">
        <v>194</v>
      </c>
      <c r="B200" s="9">
        <f t="shared" ref="B200:B263" si="13">LOGNORMDIST(A200,$A$3,$B$3)</f>
        <v>0.78180407785260175</v>
      </c>
      <c r="C200" s="3">
        <f t="shared" ref="C200:C263" si="14">$E$3*B200</f>
        <v>48907.317698225204</v>
      </c>
      <c r="D200" s="3">
        <f t="shared" ref="D200:D263" si="15">C200-C199</f>
        <v>88.341165158009971</v>
      </c>
      <c r="E200" s="8">
        <f t="shared" si="12"/>
        <v>27.714285714285715</v>
      </c>
      <c r="F200" s="3"/>
      <c r="G200" s="3"/>
      <c r="H200" s="3"/>
    </row>
    <row r="201" spans="1:8" ht="18.75" x14ac:dyDescent="0.3">
      <c r="A201" s="3">
        <v>195</v>
      </c>
      <c r="B201" s="9">
        <f t="shared" si="13"/>
        <v>0.78320378119862233</v>
      </c>
      <c r="C201" s="3">
        <f t="shared" si="14"/>
        <v>48994.87894044222</v>
      </c>
      <c r="D201" s="3">
        <f t="shared" si="15"/>
        <v>87.561242217016115</v>
      </c>
      <c r="E201" s="8">
        <f t="shared" si="12"/>
        <v>27.857142857142858</v>
      </c>
      <c r="F201" s="3"/>
      <c r="G201" s="3"/>
      <c r="H201" s="3"/>
    </row>
    <row r="202" spans="1:8" ht="18.75" x14ac:dyDescent="0.3">
      <c r="A202" s="3">
        <v>196</v>
      </c>
      <c r="B202" s="9">
        <f t="shared" si="13"/>
        <v>0.78459115897413145</v>
      </c>
      <c r="C202" s="3">
        <f t="shared" si="14"/>
        <v>49081.669131944742</v>
      </c>
      <c r="D202" s="3">
        <f t="shared" si="15"/>
        <v>86.790191502521338</v>
      </c>
      <c r="E202" s="8">
        <f t="shared" si="12"/>
        <v>28</v>
      </c>
      <c r="F202" s="3"/>
      <c r="G202" s="3"/>
      <c r="H202" s="3"/>
    </row>
    <row r="203" spans="1:8" ht="18.75" x14ac:dyDescent="0.3">
      <c r="A203" s="3">
        <v>197</v>
      </c>
      <c r="B203" s="9">
        <f t="shared" si="13"/>
        <v>0.78596635103155599</v>
      </c>
      <c r="C203" s="3">
        <f t="shared" si="14"/>
        <v>49167.69702148105</v>
      </c>
      <c r="D203" s="3">
        <f t="shared" si="15"/>
        <v>86.027889536308066</v>
      </c>
      <c r="E203" s="8">
        <f t="shared" si="12"/>
        <v>28.142857142857142</v>
      </c>
      <c r="F203" s="3"/>
      <c r="G203" s="3"/>
      <c r="H203" s="3"/>
    </row>
    <row r="204" spans="1:8" ht="18.75" x14ac:dyDescent="0.3">
      <c r="A204" s="3">
        <v>198</v>
      </c>
      <c r="B204" s="9">
        <f t="shared" si="13"/>
        <v>0.78732949528156027</v>
      </c>
      <c r="C204" s="3">
        <f t="shared" si="14"/>
        <v>49252.971236328565</v>
      </c>
      <c r="D204" s="3">
        <f t="shared" si="15"/>
        <v>85.274214847515395</v>
      </c>
      <c r="E204" s="8">
        <f t="shared" si="12"/>
        <v>28.285714285714285</v>
      </c>
      <c r="F204" s="3"/>
      <c r="G204" s="3"/>
      <c r="H204" s="3"/>
    </row>
    <row r="205" spans="1:8" ht="18.75" x14ac:dyDescent="0.3">
      <c r="A205" s="3">
        <v>199</v>
      </c>
      <c r="B205" s="9">
        <f t="shared" si="13"/>
        <v>0.78868072772455755</v>
      </c>
      <c r="C205" s="3">
        <f t="shared" si="14"/>
        <v>49337.500284265145</v>
      </c>
      <c r="D205" s="3">
        <f t="shared" si="15"/>
        <v>84.529047936579445</v>
      </c>
      <c r="E205" s="8">
        <f t="shared" si="12"/>
        <v>28.428571428571427</v>
      </c>
      <c r="F205" s="3"/>
      <c r="G205" s="3"/>
      <c r="H205" s="3"/>
    </row>
    <row r="206" spans="1:8" ht="18.75" x14ac:dyDescent="0.3">
      <c r="A206" s="3">
        <v>200</v>
      </c>
      <c r="B206" s="9">
        <f t="shared" si="13"/>
        <v>0.79002018248165007</v>
      </c>
      <c r="C206" s="3">
        <f t="shared" si="14"/>
        <v>49421.29255550458</v>
      </c>
      <c r="D206" s="3">
        <f t="shared" si="15"/>
        <v>83.792271239435649</v>
      </c>
      <c r="E206" s="8">
        <f t="shared" si="12"/>
        <v>28.571428571428573</v>
      </c>
      <c r="F206" s="3"/>
      <c r="G206" s="3"/>
      <c r="H206" s="3"/>
    </row>
    <row r="207" spans="1:8" ht="18.75" x14ac:dyDescent="0.3">
      <c r="A207" s="3">
        <v>201</v>
      </c>
      <c r="B207" s="9">
        <f t="shared" si="13"/>
        <v>0.7913479918250117</v>
      </c>
      <c r="C207" s="3">
        <f t="shared" si="14"/>
        <v>49504.356324597255</v>
      </c>
      <c r="D207" s="3">
        <f t="shared" si="15"/>
        <v>83.063769092674193</v>
      </c>
      <c r="E207" s="8">
        <f t="shared" si="12"/>
        <v>28.714285714285715</v>
      </c>
      <c r="F207" s="3"/>
      <c r="G207" s="3"/>
      <c r="H207" s="3"/>
    </row>
    <row r="208" spans="1:8" ht="18.75" x14ac:dyDescent="0.3">
      <c r="A208" s="3">
        <v>202</v>
      </c>
      <c r="B208" s="9">
        <f t="shared" si="13"/>
        <v>0.79266428620772078</v>
      </c>
      <c r="C208" s="3">
        <f t="shared" si="14"/>
        <v>49586.699752296387</v>
      </c>
      <c r="D208" s="3">
        <f t="shared" si="15"/>
        <v>82.343427699132008</v>
      </c>
      <c r="E208" s="8">
        <f t="shared" si="12"/>
        <v>28.857142857142858</v>
      </c>
      <c r="F208" s="3"/>
      <c r="G208" s="3"/>
      <c r="H208" s="3"/>
    </row>
    <row r="209" spans="1:8" ht="18.75" x14ac:dyDescent="0.3">
      <c r="A209" s="3">
        <v>203</v>
      </c>
      <c r="B209" s="9">
        <f t="shared" si="13"/>
        <v>0.79396919429305612</v>
      </c>
      <c r="C209" s="3">
        <f t="shared" si="14"/>
        <v>49668.330887390715</v>
      </c>
      <c r="D209" s="3">
        <f t="shared" si="15"/>
        <v>81.631135094328783</v>
      </c>
      <c r="E209" s="8">
        <f t="shared" si="12"/>
        <v>29</v>
      </c>
      <c r="F209" s="3"/>
      <c r="G209" s="3"/>
      <c r="H209" s="3"/>
    </row>
    <row r="210" spans="1:8" ht="18.75" x14ac:dyDescent="0.3">
      <c r="A210" s="3">
        <v>204</v>
      </c>
      <c r="B210" s="9">
        <f t="shared" si="13"/>
        <v>0.79526284298326599</v>
      </c>
      <c r="C210" s="3">
        <f t="shared" si="14"/>
        <v>49749.257668504171</v>
      </c>
      <c r="D210" s="3">
        <f t="shared" si="15"/>
        <v>80.926781113455945</v>
      </c>
      <c r="E210" s="8">
        <f t="shared" si="12"/>
        <v>29.142857142857142</v>
      </c>
      <c r="F210" s="3"/>
      <c r="G210" s="3"/>
      <c r="H210" s="3"/>
    </row>
    <row r="211" spans="1:8" ht="18.75" x14ac:dyDescent="0.3">
      <c r="A211" s="3">
        <v>205</v>
      </c>
      <c r="B211" s="9">
        <f t="shared" si="13"/>
        <v>0.79654535744781774</v>
      </c>
      <c r="C211" s="3">
        <f t="shared" si="14"/>
        <v>49829.487925863134</v>
      </c>
      <c r="D211" s="3">
        <f t="shared" si="15"/>
        <v>80.230257358962263</v>
      </c>
      <c r="E211" s="8">
        <f t="shared" si="12"/>
        <v>29.285714285714285</v>
      </c>
      <c r="F211" s="3"/>
      <c r="G211" s="3"/>
      <c r="H211" s="3"/>
    </row>
    <row r="212" spans="1:8" ht="18.75" x14ac:dyDescent="0.3">
      <c r="A212" s="3">
        <v>206</v>
      </c>
      <c r="B212" s="9">
        <f t="shared" si="13"/>
        <v>0.79781686115113959</v>
      </c>
      <c r="C212" s="3">
        <f t="shared" si="14"/>
        <v>49909.029383031841</v>
      </c>
      <c r="D212" s="3">
        <f t="shared" si="15"/>
        <v>79.541457168706984</v>
      </c>
      <c r="E212" s="8">
        <f t="shared" si="12"/>
        <v>29.428571428571427</v>
      </c>
      <c r="F212" s="3"/>
      <c r="G212" s="3"/>
      <c r="H212" s="3"/>
    </row>
    <row r="213" spans="1:8" ht="18.75" x14ac:dyDescent="0.3">
      <c r="A213" s="3">
        <v>207</v>
      </c>
      <c r="B213" s="9">
        <f t="shared" si="13"/>
        <v>0.79907747587986611</v>
      </c>
      <c r="C213" s="3">
        <f t="shared" si="14"/>
        <v>49987.889658616783</v>
      </c>
      <c r="D213" s="3">
        <f t="shared" si="15"/>
        <v>78.860275584942428</v>
      </c>
      <c r="E213" s="8">
        <f t="shared" si="12"/>
        <v>29.571428571428573</v>
      </c>
      <c r="F213" s="3"/>
      <c r="G213" s="3"/>
      <c r="H213" s="3"/>
    </row>
    <row r="214" spans="1:8" ht="18.75" x14ac:dyDescent="0.3">
      <c r="A214" s="3">
        <v>208</v>
      </c>
      <c r="B214" s="9">
        <f t="shared" si="13"/>
        <v>0.80032732176959298</v>
      </c>
      <c r="C214" s="3">
        <f t="shared" si="14"/>
        <v>50066.076267940429</v>
      </c>
      <c r="D214" s="3">
        <f t="shared" si="15"/>
        <v>78.186609323645825</v>
      </c>
      <c r="E214" s="8">
        <f t="shared" si="12"/>
        <v>29.714285714285715</v>
      </c>
      <c r="F214" s="3"/>
      <c r="G214" s="3"/>
      <c r="H214" s="3"/>
    </row>
    <row r="215" spans="1:8" ht="18.75" x14ac:dyDescent="0.3">
      <c r="A215" s="3">
        <v>209</v>
      </c>
      <c r="B215" s="9">
        <f t="shared" si="13"/>
        <v>0.80156651733115247</v>
      </c>
      <c r="C215" s="3">
        <f t="shared" si="14"/>
        <v>50143.596624684906</v>
      </c>
      <c r="D215" s="3">
        <f t="shared" si="15"/>
        <v>77.520356744476885</v>
      </c>
      <c r="E215" s="8">
        <f t="shared" si="12"/>
        <v>29.857142857142858</v>
      </c>
      <c r="F215" s="3"/>
      <c r="G215" s="3"/>
      <c r="H215" s="3"/>
    </row>
    <row r="216" spans="1:8" ht="18.75" x14ac:dyDescent="0.3">
      <c r="A216" s="3">
        <v>210</v>
      </c>
      <c r="B216" s="9">
        <f t="shared" si="13"/>
        <v>0.80279517947641965</v>
      </c>
      <c r="C216" s="3">
        <f t="shared" si="14"/>
        <v>50220.458042506383</v>
      </c>
      <c r="D216" s="3">
        <f t="shared" si="15"/>
        <v>76.861417821477517</v>
      </c>
      <c r="E216" s="8">
        <f t="shared" si="12"/>
        <v>30</v>
      </c>
      <c r="F216" s="3"/>
      <c r="G216" s="3"/>
      <c r="H216" s="3"/>
    </row>
    <row r="217" spans="1:8" ht="18.75" x14ac:dyDescent="0.3">
      <c r="A217" s="3">
        <v>211</v>
      </c>
      <c r="B217" s="9">
        <f t="shared" si="13"/>
        <v>0.80401342354365646</v>
      </c>
      <c r="C217" s="3">
        <f t="shared" si="14"/>
        <v>50296.667736620519</v>
      </c>
      <c r="D217" s="3">
        <f t="shared" si="15"/>
        <v>76.209694114135345</v>
      </c>
      <c r="E217" s="8">
        <f t="shared" si="12"/>
        <v>30.142857142857142</v>
      </c>
      <c r="F217" s="3"/>
      <c r="G217" s="3"/>
      <c r="H217" s="3"/>
    </row>
    <row r="218" spans="1:8" ht="18.75" x14ac:dyDescent="0.3">
      <c r="A218" s="3">
        <v>212</v>
      </c>
      <c r="B218" s="9">
        <f t="shared" si="13"/>
        <v>0.80522136332240246</v>
      </c>
      <c r="C218" s="3">
        <f t="shared" si="14"/>
        <v>50372.232825359533</v>
      </c>
      <c r="D218" s="3">
        <f t="shared" si="15"/>
        <v>75.565088739014755</v>
      </c>
      <c r="E218" s="8">
        <f t="shared" si="12"/>
        <v>30.285714285714285</v>
      </c>
      <c r="F218" s="3"/>
      <c r="G218" s="3"/>
      <c r="H218" s="3"/>
    </row>
    <row r="219" spans="1:8" ht="18.75" x14ac:dyDescent="0.3">
      <c r="A219" s="3">
        <v>213</v>
      </c>
      <c r="B219" s="9">
        <f t="shared" si="13"/>
        <v>0.80641911107792397</v>
      </c>
      <c r="C219" s="3">
        <f t="shared" si="14"/>
        <v>50447.160331701692</v>
      </c>
      <c r="D219" s="3">
        <f t="shared" si="15"/>
        <v>74.927506342159177</v>
      </c>
      <c r="E219" s="8">
        <f t="shared" si="12"/>
        <v>30.428571428571427</v>
      </c>
      <c r="F219" s="3"/>
      <c r="G219" s="3"/>
      <c r="H219" s="3"/>
    </row>
    <row r="220" spans="1:8" ht="18.75" x14ac:dyDescent="0.3">
      <c r="A220" s="3">
        <v>214</v>
      </c>
      <c r="B220" s="9">
        <f t="shared" si="13"/>
        <v>0.80760677757522426</v>
      </c>
      <c r="C220" s="3">
        <f t="shared" si="14"/>
        <v>50521.457184773302</v>
      </c>
      <c r="D220" s="3">
        <f t="shared" si="15"/>
        <v>74.296853071609803</v>
      </c>
      <c r="E220" s="8">
        <f t="shared" si="12"/>
        <v>30.571428571428573</v>
      </c>
      <c r="F220" s="3"/>
      <c r="G220" s="3"/>
      <c r="H220" s="3"/>
    </row>
    <row r="221" spans="1:8" ht="18.75" x14ac:dyDescent="0.3">
      <c r="A221" s="3">
        <v>215</v>
      </c>
      <c r="B221" s="9">
        <f t="shared" si="13"/>
        <v>0.80878447210263149</v>
      </c>
      <c r="C221" s="3">
        <f t="shared" si="14"/>
        <v>50595.130221324318</v>
      </c>
      <c r="D221" s="3">
        <f t="shared" si="15"/>
        <v>73.673036551015684</v>
      </c>
      <c r="E221" s="8">
        <f t="shared" si="12"/>
        <v>30.714285714285715</v>
      </c>
      <c r="F221" s="3"/>
      <c r="G221" s="3"/>
      <c r="H221" s="3"/>
    </row>
    <row r="222" spans="1:8" ht="18.75" x14ac:dyDescent="0.3">
      <c r="A222" s="3">
        <v>216</v>
      </c>
      <c r="B222" s="9">
        <f t="shared" si="13"/>
        <v>0.80995230249496231</v>
      </c>
      <c r="C222" s="3">
        <f t="shared" si="14"/>
        <v>50668.186187177358</v>
      </c>
      <c r="D222" s="3">
        <f t="shared" si="15"/>
        <v>73.055965853040107</v>
      </c>
      <c r="E222" s="8">
        <f t="shared" si="12"/>
        <v>30.857142857142858</v>
      </c>
      <c r="F222" s="3"/>
      <c r="G222" s="3"/>
      <c r="H222" s="3"/>
    </row>
    <row r="223" spans="1:8" ht="18.75" x14ac:dyDescent="0.3">
      <c r="A223" s="3">
        <v>217</v>
      </c>
      <c r="B223" s="9">
        <f t="shared" si="13"/>
        <v>0.81111037515627771</v>
      </c>
      <c r="C223" s="3">
        <f t="shared" si="14"/>
        <v>50740.631738651267</v>
      </c>
      <c r="D223" s="3">
        <f t="shared" si="15"/>
        <v>72.445551473909291</v>
      </c>
      <c r="E223" s="8">
        <f t="shared" si="12"/>
        <v>31</v>
      </c>
      <c r="F223" s="3"/>
      <c r="G223" s="3"/>
      <c r="H223" s="3"/>
    </row>
    <row r="224" spans="1:8" ht="18.75" x14ac:dyDescent="0.3">
      <c r="A224" s="3">
        <v>218</v>
      </c>
      <c r="B224" s="9">
        <f t="shared" si="13"/>
        <v>0.81225879508223597</v>
      </c>
      <c r="C224" s="3">
        <f t="shared" si="14"/>
        <v>50812.473443959432</v>
      </c>
      <c r="D224" s="3">
        <f t="shared" si="15"/>
        <v>71.841705308164819</v>
      </c>
      <c r="E224" s="8">
        <f t="shared" si="12"/>
        <v>31.142857142857142</v>
      </c>
      <c r="F224" s="3"/>
      <c r="G224" s="3"/>
      <c r="H224" s="3"/>
    </row>
    <row r="225" spans="1:8" ht="18.75" x14ac:dyDescent="0.3">
      <c r="A225" s="3">
        <v>219</v>
      </c>
      <c r="B225" s="9">
        <f t="shared" si="13"/>
        <v>0.81339766588204909</v>
      </c>
      <c r="C225" s="3">
        <f t="shared" si="14"/>
        <v>50883.717784583343</v>
      </c>
      <c r="D225" s="3">
        <f t="shared" si="15"/>
        <v>71.24434062391083</v>
      </c>
      <c r="E225" s="8">
        <f t="shared" si="12"/>
        <v>31.285714285714285</v>
      </c>
      <c r="F225" s="3"/>
      <c r="G225" s="3"/>
      <c r="H225" s="3"/>
    </row>
    <row r="226" spans="1:8" ht="18.75" x14ac:dyDescent="0.3">
      <c r="A226" s="3">
        <v>220</v>
      </c>
      <c r="B226" s="9">
        <f t="shared" si="13"/>
        <v>0.81452708980005117</v>
      </c>
      <c r="C226" s="3">
        <f t="shared" si="14"/>
        <v>50954.371156621804</v>
      </c>
      <c r="D226" s="3">
        <f t="shared" si="15"/>
        <v>70.653372038461384</v>
      </c>
      <c r="E226" s="8">
        <f t="shared" si="12"/>
        <v>31.428571428571427</v>
      </c>
      <c r="F226" s="3"/>
      <c r="G226" s="3"/>
      <c r="H226" s="3"/>
    </row>
    <row r="227" spans="1:8" ht="18.75" x14ac:dyDescent="0.3">
      <c r="A227" s="3">
        <v>221</v>
      </c>
      <c r="B227" s="9">
        <f t="shared" si="13"/>
        <v>0.81564716773688728</v>
      </c>
      <c r="C227" s="3">
        <f t="shared" si="14"/>
        <v>51024.439872116454</v>
      </c>
      <c r="D227" s="3">
        <f t="shared" si="15"/>
        <v>70.06871549464995</v>
      </c>
      <c r="E227" s="8">
        <f t="shared" si="12"/>
        <v>31.571428571428573</v>
      </c>
      <c r="F227" s="3"/>
      <c r="G227" s="3"/>
      <c r="H227" s="3"/>
    </row>
    <row r="228" spans="1:8" ht="18.75" x14ac:dyDescent="0.3">
      <c r="A228" s="3">
        <v>222</v>
      </c>
      <c r="B228" s="9">
        <f t="shared" si="13"/>
        <v>0.81675799927033044</v>
      </c>
      <c r="C228" s="3">
        <f t="shared" si="14"/>
        <v>51093.930160354059</v>
      </c>
      <c r="D228" s="3">
        <f t="shared" si="15"/>
        <v>69.490288237604545</v>
      </c>
      <c r="E228" s="8">
        <f t="shared" si="12"/>
        <v>31.714285714285715</v>
      </c>
      <c r="F228" s="3"/>
      <c r="G228" s="3"/>
      <c r="H228" s="3"/>
    </row>
    <row r="229" spans="1:8" ht="18.75" x14ac:dyDescent="0.3">
      <c r="A229" s="3">
        <v>223</v>
      </c>
      <c r="B229" s="9">
        <f t="shared" si="13"/>
        <v>0.81785968267572828</v>
      </c>
      <c r="C229" s="3">
        <f t="shared" si="14"/>
        <v>51162.848169145531</v>
      </c>
      <c r="D229" s="3">
        <f t="shared" si="15"/>
        <v>68.918008791471948</v>
      </c>
      <c r="E229" s="8">
        <f t="shared" si="12"/>
        <v>31.857142857142858</v>
      </c>
      <c r="F229" s="3"/>
      <c r="G229" s="3"/>
      <c r="H229" s="3"/>
    </row>
    <row r="230" spans="1:8" ht="18.75" x14ac:dyDescent="0.3">
      <c r="A230" s="3">
        <v>224</v>
      </c>
      <c r="B230" s="9">
        <f t="shared" si="13"/>
        <v>0.81895231494609577</v>
      </c>
      <c r="C230" s="3">
        <f t="shared" si="14"/>
        <v>51231.19996608291</v>
      </c>
      <c r="D230" s="3">
        <f t="shared" si="15"/>
        <v>68.351796937378822</v>
      </c>
      <c r="E230" s="8">
        <f t="shared" si="12"/>
        <v>32</v>
      </c>
      <c r="F230" s="3"/>
      <c r="G230" s="3"/>
      <c r="H230" s="3"/>
    </row>
    <row r="231" spans="1:8" ht="18.75" x14ac:dyDescent="0.3">
      <c r="A231" s="3">
        <v>225</v>
      </c>
      <c r="B231" s="9">
        <f t="shared" si="13"/>
        <v>0.8200359918118536</v>
      </c>
      <c r="C231" s="3">
        <f t="shared" si="14"/>
        <v>51298.991539774128</v>
      </c>
      <c r="D231" s="3">
        <f t="shared" si="15"/>
        <v>67.791573691218218</v>
      </c>
      <c r="E231" s="8">
        <f t="shared" si="12"/>
        <v>32.142857142857146</v>
      </c>
      <c r="F231" s="3"/>
      <c r="G231" s="3"/>
      <c r="H231" s="3"/>
    </row>
    <row r="232" spans="1:8" ht="18.75" x14ac:dyDescent="0.3">
      <c r="A232" s="3">
        <v>226</v>
      </c>
      <c r="B232" s="9">
        <f t="shared" si="13"/>
        <v>0.82111080776022005</v>
      </c>
      <c r="C232" s="3">
        <f t="shared" si="14"/>
        <v>51366.228801056088</v>
      </c>
      <c r="D232" s="3">
        <f t="shared" si="15"/>
        <v>67.237261281959945</v>
      </c>
      <c r="E232" s="8">
        <f t="shared" si="12"/>
        <v>32.285714285714285</v>
      </c>
      <c r="F232" s="3"/>
      <c r="G232" s="3"/>
      <c r="H232" s="3"/>
    </row>
    <row r="233" spans="1:8" ht="18.75" x14ac:dyDescent="0.3">
      <c r="A233" s="3">
        <v>227</v>
      </c>
      <c r="B233" s="9">
        <f t="shared" si="13"/>
        <v>0.82217685605426571</v>
      </c>
      <c r="C233" s="3">
        <f t="shared" si="14"/>
        <v>51432.917584186704</v>
      </c>
      <c r="D233" s="3">
        <f t="shared" si="15"/>
        <v>66.688783130615775</v>
      </c>
      <c r="E233" s="8">
        <f t="shared" si="12"/>
        <v>32.428571428571431</v>
      </c>
      <c r="F233" s="3"/>
      <c r="G233" s="3"/>
      <c r="H233" s="3"/>
    </row>
    <row r="234" spans="1:8" ht="18.75" x14ac:dyDescent="0.3">
      <c r="A234" s="3">
        <v>228</v>
      </c>
      <c r="B234" s="9">
        <f t="shared" si="13"/>
        <v>0.82323422875163621</v>
      </c>
      <c r="C234" s="3">
        <f t="shared" si="14"/>
        <v>51499.063648016105</v>
      </c>
      <c r="D234" s="3">
        <f t="shared" si="15"/>
        <v>66.146063829401101</v>
      </c>
      <c r="E234" s="8">
        <f t="shared" si="12"/>
        <v>32.571428571428569</v>
      </c>
      <c r="F234" s="3"/>
      <c r="G234" s="3"/>
      <c r="H234" s="3"/>
    </row>
    <row r="235" spans="1:8" ht="18.75" x14ac:dyDescent="0.3">
      <c r="A235" s="3">
        <v>229</v>
      </c>
      <c r="B235" s="9">
        <f t="shared" si="13"/>
        <v>0.82428301672294724</v>
      </c>
      <c r="C235" s="3">
        <f t="shared" si="14"/>
        <v>51564.672677137409</v>
      </c>
      <c r="D235" s="3">
        <f t="shared" si="15"/>
        <v>65.609029121304047</v>
      </c>
      <c r="E235" s="8">
        <f t="shared" si="12"/>
        <v>32.714285714285715</v>
      </c>
      <c r="F235" s="3"/>
      <c r="G235" s="3"/>
      <c r="H235" s="3"/>
    </row>
    <row r="236" spans="1:8" ht="18.75" x14ac:dyDescent="0.3">
      <c r="A236" s="3">
        <v>230</v>
      </c>
      <c r="B236" s="9">
        <f t="shared" si="13"/>
        <v>0.82532330966986112</v>
      </c>
      <c r="C236" s="3">
        <f t="shared" si="14"/>
        <v>51629.7502830175</v>
      </c>
      <c r="D236" s="3">
        <f t="shared" si="15"/>
        <v>65.077605880091141</v>
      </c>
      <c r="E236" s="8">
        <f t="shared" si="12"/>
        <v>32.857142857142854</v>
      </c>
      <c r="F236" s="3"/>
      <c r="G236" s="3"/>
      <c r="H236" s="3"/>
    </row>
    <row r="237" spans="1:8" ht="18.75" x14ac:dyDescent="0.3">
      <c r="A237" s="3">
        <v>231</v>
      </c>
      <c r="B237" s="9">
        <f t="shared" si="13"/>
        <v>0.82635519614284902</v>
      </c>
      <c r="C237" s="3">
        <f t="shared" si="14"/>
        <v>51694.302005108206</v>
      </c>
      <c r="D237" s="3">
        <f t="shared" si="15"/>
        <v>64.55172209070588</v>
      </c>
      <c r="E237" s="8">
        <f t="shared" si="12"/>
        <v>33</v>
      </c>
      <c r="F237" s="3"/>
      <c r="G237" s="3"/>
      <c r="H237" s="3"/>
    </row>
    <row r="238" spans="1:8" ht="18.75" x14ac:dyDescent="0.3">
      <c r="A238" s="3">
        <v>232</v>
      </c>
      <c r="B238" s="9">
        <f t="shared" si="13"/>
        <v>0.82737876355864659</v>
      </c>
      <c r="C238" s="3">
        <f t="shared" si="14"/>
        <v>51758.333311938251</v>
      </c>
      <c r="D238" s="3">
        <f t="shared" si="15"/>
        <v>64.031306830045651</v>
      </c>
      <c r="E238" s="8">
        <f t="shared" si="12"/>
        <v>33.142857142857146</v>
      </c>
      <c r="F238" s="3"/>
      <c r="G238" s="3"/>
      <c r="H238" s="3"/>
    </row>
    <row r="239" spans="1:8" ht="18.75" x14ac:dyDescent="0.3">
      <c r="A239" s="3">
        <v>233</v>
      </c>
      <c r="B239" s="9">
        <f t="shared" si="13"/>
        <v>0.82839409821740528</v>
      </c>
      <c r="C239" s="3">
        <f t="shared" si="14"/>
        <v>51821.849602186223</v>
      </c>
      <c r="D239" s="3">
        <f t="shared" si="15"/>
        <v>63.516290247971483</v>
      </c>
      <c r="E239" s="8">
        <f t="shared" si="12"/>
        <v>33.285714285714285</v>
      </c>
      <c r="F239" s="3"/>
      <c r="G239" s="3"/>
      <c r="H239" s="3"/>
    </row>
    <row r="240" spans="1:8" ht="18.75" x14ac:dyDescent="0.3">
      <c r="A240" s="3">
        <v>234</v>
      </c>
      <c r="B240" s="9">
        <f t="shared" si="13"/>
        <v>0.82940128531955082</v>
      </c>
      <c r="C240" s="3">
        <f t="shared" si="14"/>
        <v>51884.856205735137</v>
      </c>
      <c r="D240" s="3">
        <f t="shared" si="15"/>
        <v>63.006603548914427</v>
      </c>
      <c r="E240" s="8">
        <f t="shared" si="12"/>
        <v>33.428571428571431</v>
      </c>
      <c r="F240" s="3"/>
      <c r="G240" s="3"/>
      <c r="H240" s="3"/>
    </row>
    <row r="241" spans="1:8" ht="18.75" x14ac:dyDescent="0.3">
      <c r="A241" s="3">
        <v>235</v>
      </c>
      <c r="B241" s="9">
        <f t="shared" si="13"/>
        <v>0.8304004089823479</v>
      </c>
      <c r="C241" s="3">
        <f t="shared" si="14"/>
        <v>51947.358384708736</v>
      </c>
      <c r="D241" s="3">
        <f t="shared" si="15"/>
        <v>62.502178973598348</v>
      </c>
      <c r="E241" s="8">
        <f t="shared" si="12"/>
        <v>33.571428571428569</v>
      </c>
      <c r="F241" s="3"/>
      <c r="G241" s="3"/>
      <c r="H241" s="3"/>
    </row>
    <row r="242" spans="1:8" ht="18.75" x14ac:dyDescent="0.3">
      <c r="A242" s="3">
        <v>236</v>
      </c>
      <c r="B242" s="9">
        <f t="shared" si="13"/>
        <v>0.83139155225618333</v>
      </c>
      <c r="C242" s="3">
        <f t="shared" si="14"/>
        <v>52009.361334490059</v>
      </c>
      <c r="D242" s="3">
        <f t="shared" si="15"/>
        <v>62.002949781322968</v>
      </c>
      <c r="E242" s="8">
        <f t="shared" si="12"/>
        <v>33.714285714285715</v>
      </c>
      <c r="F242" s="3"/>
      <c r="G242" s="3"/>
      <c r="H242" s="3"/>
    </row>
    <row r="243" spans="1:8" ht="18.75" x14ac:dyDescent="0.3">
      <c r="A243" s="3">
        <v>237</v>
      </c>
      <c r="B243" s="9">
        <f t="shared" si="13"/>
        <v>0.83237479714056584</v>
      </c>
      <c r="C243" s="3">
        <f t="shared" si="14"/>
        <v>52070.870184722378</v>
      </c>
      <c r="D243" s="3">
        <f t="shared" si="15"/>
        <v>61.508850232319674</v>
      </c>
      <c r="E243" s="8">
        <f t="shared" si="12"/>
        <v>33.857142857142854</v>
      </c>
      <c r="F243" s="3"/>
      <c r="G243" s="3"/>
      <c r="H243" s="3"/>
    </row>
    <row r="244" spans="1:8" ht="18.75" x14ac:dyDescent="0.3">
      <c r="A244" s="3">
        <v>238</v>
      </c>
      <c r="B244" s="9">
        <f t="shared" si="13"/>
        <v>0.83335022459985497</v>
      </c>
      <c r="C244" s="3">
        <f t="shared" si="14"/>
        <v>52131.890000293126</v>
      </c>
      <c r="D244" s="3">
        <f t="shared" si="15"/>
        <v>61.019815570747596</v>
      </c>
      <c r="E244" s="8">
        <f t="shared" si="12"/>
        <v>34</v>
      </c>
      <c r="F244" s="3"/>
      <c r="G244" s="3"/>
      <c r="H244" s="3"/>
    </row>
    <row r="245" spans="1:8" ht="18.75" x14ac:dyDescent="0.3">
      <c r="A245" s="3">
        <v>239</v>
      </c>
      <c r="B245" s="9">
        <f t="shared" si="13"/>
        <v>0.83431791457871829</v>
      </c>
      <c r="C245" s="3">
        <f t="shared" si="14"/>
        <v>52192.425782300881</v>
      </c>
      <c r="D245" s="3">
        <f t="shared" si="15"/>
        <v>60.535782007755188</v>
      </c>
      <c r="E245" s="8">
        <f t="shared" si="12"/>
        <v>34.142857142857146</v>
      </c>
      <c r="F245" s="3"/>
      <c r="G245" s="3"/>
      <c r="H245" s="3"/>
    </row>
    <row r="246" spans="1:8" ht="18.75" x14ac:dyDescent="0.3">
      <c r="A246" s="3">
        <v>240</v>
      </c>
      <c r="B246" s="9">
        <f t="shared" si="13"/>
        <v>0.83527794601732652</v>
      </c>
      <c r="C246" s="3">
        <f t="shared" si="14"/>
        <v>52252.482469005896</v>
      </c>
      <c r="D246" s="3">
        <f t="shared" si="15"/>
        <v>60.056686705014727</v>
      </c>
      <c r="E246" s="8">
        <f t="shared" si="12"/>
        <v>34.285714285714285</v>
      </c>
      <c r="F246" s="3"/>
      <c r="G246" s="3"/>
      <c r="H246" s="3"/>
    </row>
    <row r="247" spans="1:8" ht="18.75" x14ac:dyDescent="0.3">
      <c r="A247" s="3">
        <v>241</v>
      </c>
      <c r="B247" s="9">
        <f t="shared" si="13"/>
        <v>0.83623039686628819</v>
      </c>
      <c r="C247" s="3">
        <f t="shared" si="14"/>
        <v>52312.064936764393</v>
      </c>
      <c r="D247" s="3">
        <f t="shared" si="15"/>
        <v>59.582467758496932</v>
      </c>
      <c r="E247" s="8">
        <f t="shared" si="12"/>
        <v>34.428571428571431</v>
      </c>
      <c r="F247" s="3"/>
      <c r="G247" s="3"/>
      <c r="H247" s="3"/>
    </row>
    <row r="248" spans="1:8" ht="18.75" x14ac:dyDescent="0.3">
      <c r="A248" s="3">
        <v>242</v>
      </c>
      <c r="B248" s="9">
        <f t="shared" si="13"/>
        <v>0.83717534410133121</v>
      </c>
      <c r="C248" s="3">
        <f t="shared" si="14"/>
        <v>52371.178000946973</v>
      </c>
      <c r="D248" s="3">
        <f t="shared" si="15"/>
        <v>59.113064182580274</v>
      </c>
      <c r="E248" s="8">
        <f t="shared" si="12"/>
        <v>34.571428571428569</v>
      </c>
      <c r="F248" s="3"/>
      <c r="G248" s="3"/>
      <c r="H248" s="3"/>
    </row>
    <row r="249" spans="1:8" ht="18.75" x14ac:dyDescent="0.3">
      <c r="A249" s="3">
        <v>243</v>
      </c>
      <c r="B249" s="9">
        <f t="shared" si="13"/>
        <v>0.83811286373773375</v>
      </c>
      <c r="C249" s="3">
        <f t="shared" si="14"/>
        <v>52429.82641684141</v>
      </c>
      <c r="D249" s="3">
        <f t="shared" si="15"/>
        <v>58.648415894436766</v>
      </c>
      <c r="E249" s="8">
        <f t="shared" si="12"/>
        <v>34.714285714285715</v>
      </c>
      <c r="F249" s="3"/>
      <c r="G249" s="3"/>
      <c r="H249" s="3"/>
    </row>
    <row r="250" spans="1:8" ht="18.75" x14ac:dyDescent="0.3">
      <c r="A250" s="3">
        <v>244</v>
      </c>
      <c r="B250" s="9">
        <f t="shared" si="13"/>
        <v>0.83904303084451226</v>
      </c>
      <c r="C250" s="3">
        <f t="shared" si="14"/>
        <v>52488.014880540155</v>
      </c>
      <c r="D250" s="3">
        <f t="shared" si="15"/>
        <v>58.188463698745181</v>
      </c>
      <c r="E250" s="8">
        <f t="shared" si="12"/>
        <v>34.857142857142854</v>
      </c>
      <c r="F250" s="3"/>
      <c r="G250" s="3"/>
      <c r="H250" s="3"/>
    </row>
    <row r="251" spans="1:8" ht="18.75" x14ac:dyDescent="0.3">
      <c r="A251" s="3">
        <v>245</v>
      </c>
      <c r="B251" s="9">
        <f t="shared" si="13"/>
        <v>0.83996591955836775</v>
      </c>
      <c r="C251" s="3">
        <f t="shared" si="14"/>
        <v>52545.748029812814</v>
      </c>
      <c r="D251" s="3">
        <f t="shared" si="15"/>
        <v>57.73314927265892</v>
      </c>
      <c r="E251" s="8">
        <f t="shared" si="12"/>
        <v>35</v>
      </c>
      <c r="F251" s="3"/>
      <c r="G251" s="3"/>
      <c r="H251" s="3"/>
    </row>
    <row r="252" spans="1:8" ht="18.75" x14ac:dyDescent="0.3">
      <c r="A252" s="3">
        <v>246</v>
      </c>
      <c r="B252" s="9">
        <f t="shared" si="13"/>
        <v>0.84088160309739712</v>
      </c>
      <c r="C252" s="3">
        <f t="shared" si="14"/>
        <v>52603.030444963872</v>
      </c>
      <c r="D252" s="3">
        <f t="shared" si="15"/>
        <v>57.282415151057648</v>
      </c>
      <c r="E252" s="8">
        <f t="shared" si="12"/>
        <v>35.142857142857146</v>
      </c>
      <c r="F252" s="3"/>
      <c r="G252" s="3"/>
      <c r="H252" s="3"/>
    </row>
    <row r="253" spans="1:8" ht="18.75" x14ac:dyDescent="0.3">
      <c r="A253" s="3">
        <v>247</v>
      </c>
      <c r="B253" s="9">
        <f t="shared" si="13"/>
        <v>0.84179015377457445</v>
      </c>
      <c r="C253" s="3">
        <f t="shared" si="14"/>
        <v>52659.866649676056</v>
      </c>
      <c r="D253" s="3">
        <f t="shared" si="15"/>
        <v>56.836204712184554</v>
      </c>
      <c r="E253" s="8">
        <f t="shared" si="12"/>
        <v>35.285714285714285</v>
      </c>
      <c r="F253" s="3"/>
      <c r="G253" s="3"/>
      <c r="H253" s="3"/>
    </row>
    <row r="254" spans="1:8" ht="18.75" x14ac:dyDescent="0.3">
      <c r="A254" s="3">
        <v>248</v>
      </c>
      <c r="B254" s="9">
        <f t="shared" si="13"/>
        <v>0.8426916430110023</v>
      </c>
      <c r="C254" s="3">
        <f t="shared" si="14"/>
        <v>52716.261111839274</v>
      </c>
      <c r="D254" s="3">
        <f t="shared" si="15"/>
        <v>56.394462163218122</v>
      </c>
      <c r="E254" s="8">
        <f t="shared" si="12"/>
        <v>35.428571428571431</v>
      </c>
      <c r="F254" s="3"/>
      <c r="G254" s="3"/>
      <c r="H254" s="3"/>
    </row>
    <row r="255" spans="1:8" ht="18.75" x14ac:dyDescent="0.3">
      <c r="A255" s="3">
        <v>249</v>
      </c>
      <c r="B255" s="9">
        <f t="shared" si="13"/>
        <v>0.8435861413489445</v>
      </c>
      <c r="C255" s="3">
        <f t="shared" si="14"/>
        <v>52772.218244365919</v>
      </c>
      <c r="D255" s="3">
        <f t="shared" si="15"/>
        <v>55.957132526644273</v>
      </c>
      <c r="E255" s="8">
        <f t="shared" si="12"/>
        <v>35.571428571428569</v>
      </c>
      <c r="F255" s="3"/>
      <c r="G255" s="3"/>
      <c r="H255" s="3"/>
    </row>
    <row r="256" spans="1:8" ht="18.75" x14ac:dyDescent="0.3">
      <c r="A256" s="3">
        <v>250</v>
      </c>
      <c r="B256" s="9">
        <f t="shared" si="13"/>
        <v>0.84447371846463759</v>
      </c>
      <c r="C256" s="3">
        <f t="shared" si="14"/>
        <v>52827.742405992336</v>
      </c>
      <c r="D256" s="3">
        <f t="shared" si="15"/>
        <v>55.524161626417481</v>
      </c>
      <c r="E256" s="8">
        <f t="shared" si="12"/>
        <v>35.714285714285715</v>
      </c>
      <c r="F256" s="3"/>
      <c r="G256" s="3"/>
      <c r="H256" s="3"/>
    </row>
    <row r="257" spans="1:8" ht="18.75" x14ac:dyDescent="0.3">
      <c r="A257" s="3">
        <v>251</v>
      </c>
      <c r="B257" s="9">
        <f t="shared" si="13"/>
        <v>0.8453544431808887</v>
      </c>
      <c r="C257" s="3">
        <f t="shared" si="14"/>
        <v>52882.837902066858</v>
      </c>
      <c r="D257" s="3">
        <f t="shared" si="15"/>
        <v>55.095496074522089</v>
      </c>
      <c r="E257" s="8">
        <f t="shared" si="12"/>
        <v>35.857142857142854</v>
      </c>
      <c r="F257" s="3"/>
      <c r="G257" s="3"/>
      <c r="H257" s="3"/>
    </row>
    <row r="258" spans="1:8" ht="18.75" x14ac:dyDescent="0.3">
      <c r="A258" s="3">
        <v>252</v>
      </c>
      <c r="B258" s="9">
        <f t="shared" si="13"/>
        <v>0.84622838347946328</v>
      </c>
      <c r="C258" s="3">
        <f t="shared" si="14"/>
        <v>52937.508985324785</v>
      </c>
      <c r="D258" s="3">
        <f t="shared" si="15"/>
        <v>54.671083257926512</v>
      </c>
      <c r="E258" s="8">
        <f t="shared" si="12"/>
        <v>36</v>
      </c>
      <c r="F258" s="3"/>
      <c r="G258" s="3"/>
      <c r="H258" s="3"/>
    </row>
    <row r="259" spans="1:8" ht="18.75" x14ac:dyDescent="0.3">
      <c r="A259" s="3">
        <v>253</v>
      </c>
      <c r="B259" s="9">
        <f t="shared" si="13"/>
        <v>0.84709560651326599</v>
      </c>
      <c r="C259" s="3">
        <f t="shared" si="14"/>
        <v>52991.75985665038</v>
      </c>
      <c r="D259" s="3">
        <f t="shared" si="15"/>
        <v>54.250871325595654</v>
      </c>
      <c r="E259" s="8">
        <f t="shared" si="12"/>
        <v>36.142857142857146</v>
      </c>
      <c r="F259" s="3"/>
      <c r="G259" s="3"/>
      <c r="H259" s="3"/>
    </row>
    <row r="260" spans="1:8" ht="18.75" x14ac:dyDescent="0.3">
      <c r="A260" s="3">
        <v>254</v>
      </c>
      <c r="B260" s="9">
        <f t="shared" si="13"/>
        <v>0.84795617861831973</v>
      </c>
      <c r="C260" s="3">
        <f t="shared" si="14"/>
        <v>53045.594665826226</v>
      </c>
      <c r="D260" s="3">
        <f t="shared" si="15"/>
        <v>53.834809175845294</v>
      </c>
      <c r="E260" s="8">
        <f t="shared" si="12"/>
        <v>36.285714285714285</v>
      </c>
      <c r="F260" s="3"/>
      <c r="G260" s="3"/>
      <c r="H260" s="3"/>
    </row>
    <row r="261" spans="1:8" ht="18.75" x14ac:dyDescent="0.3">
      <c r="A261" s="3">
        <v>255</v>
      </c>
      <c r="B261" s="9">
        <f t="shared" si="13"/>
        <v>0.84881016532554487</v>
      </c>
      <c r="C261" s="3">
        <f t="shared" si="14"/>
        <v>53099.017512270111</v>
      </c>
      <c r="D261" s="3">
        <f t="shared" si="15"/>
        <v>53.422846443885646</v>
      </c>
      <c r="E261" s="8">
        <f t="shared" si="12"/>
        <v>36.428571428571431</v>
      </c>
      <c r="F261" s="3"/>
      <c r="G261" s="3"/>
      <c r="H261" s="3"/>
    </row>
    <row r="262" spans="1:8" ht="18.75" x14ac:dyDescent="0.3">
      <c r="A262" s="3">
        <v>256</v>
      </c>
      <c r="B262" s="9">
        <f t="shared" si="13"/>
        <v>0.84965763137234362</v>
      </c>
      <c r="C262" s="3">
        <f t="shared" si="14"/>
        <v>53152.032445759702</v>
      </c>
      <c r="D262" s="3">
        <f t="shared" si="15"/>
        <v>53.014933489590476</v>
      </c>
      <c r="E262" s="8">
        <f t="shared" si="12"/>
        <v>36.571428571428569</v>
      </c>
      <c r="F262" s="3"/>
      <c r="G262" s="3"/>
      <c r="H262" s="3"/>
    </row>
    <row r="263" spans="1:8" ht="18.75" x14ac:dyDescent="0.3">
      <c r="A263" s="3">
        <v>257</v>
      </c>
      <c r="B263" s="9">
        <f t="shared" si="13"/>
        <v>0.85049864071399295</v>
      </c>
      <c r="C263" s="3">
        <f t="shared" si="14"/>
        <v>53204.643467145259</v>
      </c>
      <c r="D263" s="3">
        <f t="shared" si="15"/>
        <v>52.611021385557251</v>
      </c>
      <c r="E263" s="8">
        <f t="shared" ref="E263:E326" si="16">A263/7</f>
        <v>36.714285714285715</v>
      </c>
      <c r="F263" s="3"/>
      <c r="G263" s="3"/>
      <c r="H263" s="3"/>
    </row>
    <row r="264" spans="1:8" ht="18.75" x14ac:dyDescent="0.3">
      <c r="A264" s="3">
        <v>258</v>
      </c>
      <c r="B264" s="9">
        <f t="shared" ref="B264:B327" si="17">LOGNORMDIST(A264,$A$3,$B$3)</f>
        <v>0.85133325653484904</v>
      </c>
      <c r="C264" s="3">
        <f t="shared" ref="C264:C327" si="18">$E$3*B264</f>
        <v>53256.85452905055</v>
      </c>
      <c r="D264" s="3">
        <f t="shared" ref="D264:D327" si="19">C264-C263</f>
        <v>52.21106190529099</v>
      </c>
      <c r="E264" s="8">
        <f t="shared" si="16"/>
        <v>36.857142857142854</v>
      </c>
      <c r="F264" s="3"/>
      <c r="G264" s="3"/>
      <c r="H264" s="3"/>
    </row>
    <row r="265" spans="1:8" ht="18.75" x14ac:dyDescent="0.3">
      <c r="A265" s="3">
        <v>259</v>
      </c>
      <c r="B265" s="9">
        <f t="shared" si="17"/>
        <v>0.85216154125936805</v>
      </c>
      <c r="C265" s="3">
        <f t="shared" si="18"/>
        <v>53308.669536562287</v>
      </c>
      <c r="D265" s="3">
        <f t="shared" si="19"/>
        <v>51.815007511737349</v>
      </c>
      <c r="E265" s="8">
        <f t="shared" si="16"/>
        <v>37</v>
      </c>
      <c r="F265" s="3"/>
      <c r="G265" s="3"/>
      <c r="H265" s="3"/>
    </row>
    <row r="266" spans="1:8" ht="18.75" x14ac:dyDescent="0.3">
      <c r="A266" s="3">
        <v>260</v>
      </c>
      <c r="B266" s="9">
        <f t="shared" si="17"/>
        <v>0.85298355656294489</v>
      </c>
      <c r="C266" s="3">
        <f t="shared" si="18"/>
        <v>53360.092347908147</v>
      </c>
      <c r="D266" s="3">
        <f t="shared" si="19"/>
        <v>51.422811345859373</v>
      </c>
      <c r="E266" s="8">
        <f t="shared" si="16"/>
        <v>37.142857142857146</v>
      </c>
      <c r="F266" s="3"/>
      <c r="G266" s="3"/>
      <c r="H266" s="3"/>
    </row>
    <row r="267" spans="1:8" ht="18.75" x14ac:dyDescent="0.3">
      <c r="A267" s="3">
        <v>261</v>
      </c>
      <c r="B267" s="9">
        <f t="shared" si="17"/>
        <v>0.85379936338257423</v>
      </c>
      <c r="C267" s="3">
        <f t="shared" si="18"/>
        <v>53411.126775123696</v>
      </c>
      <c r="D267" s="3">
        <f t="shared" si="19"/>
        <v>51.034427215548931</v>
      </c>
      <c r="E267" s="8">
        <f t="shared" si="16"/>
        <v>37.285714285714285</v>
      </c>
      <c r="F267" s="3"/>
      <c r="G267" s="3"/>
      <c r="H267" s="3"/>
    </row>
    <row r="268" spans="1:8" ht="18.75" x14ac:dyDescent="0.3">
      <c r="A268" s="3">
        <v>262</v>
      </c>
      <c r="B268" s="9">
        <f t="shared" si="17"/>
        <v>0.85460902192733634</v>
      </c>
      <c r="C268" s="3">
        <f t="shared" si="18"/>
        <v>53461.776584708379</v>
      </c>
      <c r="D268" s="3">
        <f t="shared" si="19"/>
        <v>50.64980958468368</v>
      </c>
      <c r="E268" s="8">
        <f t="shared" si="16"/>
        <v>37.428571428571431</v>
      </c>
      <c r="F268" s="3"/>
      <c r="G268" s="3"/>
      <c r="H268" s="3"/>
    </row>
    <row r="269" spans="1:8" ht="18.75" x14ac:dyDescent="0.3">
      <c r="A269" s="3">
        <v>263</v>
      </c>
      <c r="B269" s="9">
        <f t="shared" si="17"/>
        <v>0.8554125916887142</v>
      </c>
      <c r="C269" s="3">
        <f t="shared" si="18"/>
        <v>53512.045498270891</v>
      </c>
      <c r="D269" s="3">
        <f t="shared" si="19"/>
        <v>50.268913562511443</v>
      </c>
      <c r="E269" s="8">
        <f t="shared" si="16"/>
        <v>37.571428571428569</v>
      </c>
      <c r="F269" s="3"/>
      <c r="G269" s="3"/>
      <c r="H269" s="3"/>
    </row>
    <row r="270" spans="1:8" ht="18.75" x14ac:dyDescent="0.3">
      <c r="A270" s="3">
        <v>264</v>
      </c>
      <c r="B270" s="9">
        <f t="shared" si="17"/>
        <v>0.85621013145073799</v>
      </c>
      <c r="C270" s="3">
        <f t="shared" si="18"/>
        <v>53561.937193163816</v>
      </c>
      <c r="D270" s="3">
        <f t="shared" si="19"/>
        <v>49.891694892925443</v>
      </c>
      <c r="E270" s="8">
        <f t="shared" si="16"/>
        <v>37.714285714285715</v>
      </c>
      <c r="F270" s="3"/>
      <c r="G270" s="3"/>
      <c r="H270" s="3"/>
    </row>
    <row r="271" spans="1:8" ht="18.75" x14ac:dyDescent="0.3">
      <c r="A271" s="3">
        <v>265</v>
      </c>
      <c r="B271" s="9">
        <f t="shared" si="17"/>
        <v>0.85700169929996872</v>
      </c>
      <c r="C271" s="3">
        <f t="shared" si="18"/>
        <v>53611.455303108145</v>
      </c>
      <c r="D271" s="3">
        <f t="shared" si="19"/>
        <v>49.518109944328899</v>
      </c>
      <c r="E271" s="8">
        <f t="shared" si="16"/>
        <v>37.857142857142854</v>
      </c>
      <c r="F271" s="3"/>
      <c r="G271" s="3"/>
      <c r="H271" s="3"/>
    </row>
    <row r="272" spans="1:8" ht="18.75" x14ac:dyDescent="0.3">
      <c r="A272" s="3">
        <v>266</v>
      </c>
      <c r="B272" s="9">
        <f t="shared" si="17"/>
        <v>0.85778735263531636</v>
      </c>
      <c r="C272" s="3">
        <f t="shared" si="18"/>
        <v>53660.603418807485</v>
      </c>
      <c r="D272" s="3">
        <f t="shared" si="19"/>
        <v>49.148115699339542</v>
      </c>
      <c r="E272" s="8">
        <f t="shared" si="16"/>
        <v>38</v>
      </c>
      <c r="F272" s="3"/>
      <c r="G272" s="3"/>
      <c r="H272" s="3"/>
    </row>
    <row r="273" spans="1:8" ht="18.75" x14ac:dyDescent="0.3">
      <c r="A273" s="3">
        <v>267</v>
      </c>
      <c r="B273" s="9">
        <f t="shared" si="17"/>
        <v>0.85856714817770086</v>
      </c>
      <c r="C273" s="3">
        <f t="shared" si="18"/>
        <v>53709.38508855243</v>
      </c>
      <c r="D273" s="3">
        <f t="shared" si="19"/>
        <v>48.781669744945248</v>
      </c>
      <c r="E273" s="8">
        <f t="shared" si="16"/>
        <v>38.142857142857146</v>
      </c>
      <c r="F273" s="3"/>
      <c r="G273" s="3"/>
      <c r="H273" s="3"/>
    </row>
    <row r="274" spans="1:8" ht="18.75" x14ac:dyDescent="0.3">
      <c r="A274" s="3">
        <v>268</v>
      </c>
      <c r="B274" s="9">
        <f t="shared" si="17"/>
        <v>0.85934114197955558</v>
      </c>
      <c r="C274" s="3">
        <f t="shared" si="18"/>
        <v>53757.80381881506</v>
      </c>
      <c r="D274" s="3">
        <f t="shared" si="19"/>
        <v>48.418730262630561</v>
      </c>
      <c r="E274" s="8">
        <f t="shared" si="16"/>
        <v>38.285714285714285</v>
      </c>
      <c r="F274" s="3"/>
      <c r="G274" s="3"/>
      <c r="H274" s="3"/>
    </row>
    <row r="275" spans="1:8" ht="18.75" x14ac:dyDescent="0.3">
      <c r="A275" s="3">
        <v>269</v>
      </c>
      <c r="B275" s="9">
        <f t="shared" si="17"/>
        <v>0.86010938943417858</v>
      </c>
      <c r="C275" s="3">
        <f t="shared" si="18"/>
        <v>53805.863074833913</v>
      </c>
      <c r="D275" s="3">
        <f t="shared" si="19"/>
        <v>48.059256018852466</v>
      </c>
      <c r="E275" s="8">
        <f t="shared" si="16"/>
        <v>38.428571428571431</v>
      </c>
      <c r="F275" s="3"/>
      <c r="G275" s="3"/>
      <c r="H275" s="3"/>
    </row>
    <row r="276" spans="1:8" ht="18.75" x14ac:dyDescent="0.3">
      <c r="A276" s="3">
        <v>270</v>
      </c>
      <c r="B276" s="9">
        <f t="shared" si="17"/>
        <v>0.86087194528493138</v>
      </c>
      <c r="C276" s="3">
        <f t="shared" si="18"/>
        <v>53853.566281189451</v>
      </c>
      <c r="D276" s="3">
        <f t="shared" si="19"/>
        <v>47.703206355537986</v>
      </c>
      <c r="E276" s="8">
        <f t="shared" si="16"/>
        <v>38.571428571428569</v>
      </c>
      <c r="F276" s="3"/>
      <c r="G276" s="3"/>
      <c r="H276" s="3"/>
    </row>
    <row r="277" spans="1:8" ht="18.75" x14ac:dyDescent="0.3">
      <c r="A277" s="3">
        <v>271</v>
      </c>
      <c r="B277" s="9">
        <f t="shared" si="17"/>
        <v>0.8616288636342907</v>
      </c>
      <c r="C277" s="3">
        <f t="shared" si="18"/>
        <v>53900.916822370324</v>
      </c>
      <c r="D277" s="3">
        <f t="shared" si="19"/>
        <v>47.350541180872824</v>
      </c>
      <c r="E277" s="8">
        <f t="shared" si="16"/>
        <v>38.714285714285715</v>
      </c>
      <c r="F277" s="3"/>
      <c r="G277" s="3"/>
      <c r="H277" s="3"/>
    </row>
    <row r="278" spans="1:8" ht="18.75" x14ac:dyDescent="0.3">
      <c r="A278" s="3">
        <v>272</v>
      </c>
      <c r="B278" s="9">
        <f t="shared" si="17"/>
        <v>0.86238019795275589</v>
      </c>
      <c r="C278" s="3">
        <f t="shared" si="18"/>
        <v>53947.918043330552</v>
      </c>
      <c r="D278" s="3">
        <f t="shared" si="19"/>
        <v>47.001220960228238</v>
      </c>
      <c r="E278" s="8">
        <f t="shared" si="16"/>
        <v>38.857142857142854</v>
      </c>
      <c r="F278" s="3"/>
      <c r="G278" s="3"/>
      <c r="H278" s="3"/>
    </row>
    <row r="279" spans="1:8" ht="18.75" x14ac:dyDescent="0.3">
      <c r="A279" s="3">
        <v>273</v>
      </c>
      <c r="B279" s="9">
        <f t="shared" si="17"/>
        <v>0.86312600108761128</v>
      </c>
      <c r="C279" s="3">
        <f t="shared" si="18"/>
        <v>53994.573250037698</v>
      </c>
      <c r="D279" s="3">
        <f t="shared" si="19"/>
        <v>46.655206707146135</v>
      </c>
      <c r="E279" s="8">
        <f t="shared" si="16"/>
        <v>39</v>
      </c>
      <c r="F279" s="3"/>
      <c r="G279" s="3"/>
      <c r="H279" s="3"/>
    </row>
    <row r="280" spans="1:8" ht="18.75" x14ac:dyDescent="0.3">
      <c r="A280" s="3">
        <v>274</v>
      </c>
      <c r="B280" s="9">
        <f t="shared" si="17"/>
        <v>0.86386632527155083</v>
      </c>
      <c r="C280" s="3">
        <f t="shared" si="18"/>
        <v>54040.885710012408</v>
      </c>
      <c r="D280" s="3">
        <f t="shared" si="19"/>
        <v>46.312459974709782</v>
      </c>
      <c r="E280" s="8">
        <f t="shared" si="16"/>
        <v>39.142857142857146</v>
      </c>
      <c r="F280" s="3"/>
      <c r="G280" s="3"/>
      <c r="H280" s="3"/>
    </row>
    <row r="281" spans="1:8" ht="18.75" x14ac:dyDescent="0.3">
      <c r="A281" s="3">
        <v>275</v>
      </c>
      <c r="B281" s="9">
        <f t="shared" si="17"/>
        <v>0.86460122213116342</v>
      </c>
      <c r="C281" s="3">
        <f t="shared" si="18"/>
        <v>54086.858652859191</v>
      </c>
      <c r="D281" s="3">
        <f t="shared" si="19"/>
        <v>45.972942846783553</v>
      </c>
      <c r="E281" s="8">
        <f t="shared" si="16"/>
        <v>39.285714285714285</v>
      </c>
      <c r="F281" s="3"/>
      <c r="G281" s="3"/>
      <c r="H281" s="3"/>
    </row>
    <row r="282" spans="1:8" ht="18.75" x14ac:dyDescent="0.3">
      <c r="A282" s="3">
        <v>276</v>
      </c>
      <c r="B282" s="9">
        <f t="shared" si="17"/>
        <v>0.86533074269528309</v>
      </c>
      <c r="C282" s="3">
        <f t="shared" si="18"/>
        <v>54132.495270788822</v>
      </c>
      <c r="D282" s="3">
        <f t="shared" si="19"/>
        <v>45.636617929631029</v>
      </c>
      <c r="E282" s="8">
        <f t="shared" si="16"/>
        <v>39.428571428571431</v>
      </c>
      <c r="F282" s="3"/>
      <c r="G282" s="3"/>
      <c r="H282" s="3"/>
    </row>
    <row r="283" spans="1:8" ht="18.75" x14ac:dyDescent="0.3">
      <c r="A283" s="3">
        <v>277</v>
      </c>
      <c r="B283" s="9">
        <f t="shared" si="17"/>
        <v>0.86605493740320927</v>
      </c>
      <c r="C283" s="3">
        <f t="shared" si="18"/>
        <v>54177.798719132559</v>
      </c>
      <c r="D283" s="3">
        <f t="shared" si="19"/>
        <v>45.303448343736818</v>
      </c>
      <c r="E283" s="8">
        <f t="shared" si="16"/>
        <v>39.571428571428569</v>
      </c>
      <c r="F283" s="3"/>
      <c r="G283" s="3"/>
      <c r="H283" s="3"/>
    </row>
    <row r="284" spans="1:8" ht="18.75" x14ac:dyDescent="0.3">
      <c r="A284" s="3">
        <v>278</v>
      </c>
      <c r="B284" s="9">
        <f t="shared" si="17"/>
        <v>0.86677385611279156</v>
      </c>
      <c r="C284" s="3">
        <f t="shared" si="18"/>
        <v>54222.772116847904</v>
      </c>
      <c r="D284" s="3">
        <f t="shared" si="19"/>
        <v>44.973397715344618</v>
      </c>
      <c r="E284" s="8">
        <f t="shared" si="16"/>
        <v>39.714285714285715</v>
      </c>
      <c r="F284" s="3"/>
      <c r="G284" s="3"/>
      <c r="H284" s="3"/>
    </row>
    <row r="285" spans="1:8" ht="18.75" x14ac:dyDescent="0.3">
      <c r="A285" s="3">
        <v>279</v>
      </c>
      <c r="B285" s="9">
        <f t="shared" si="17"/>
        <v>0.86748754810839124</v>
      </c>
      <c r="C285" s="3">
        <f t="shared" si="18"/>
        <v>54267.418547016634</v>
      </c>
      <c r="D285" s="3">
        <f t="shared" si="19"/>
        <v>44.646430168730149</v>
      </c>
      <c r="E285" s="8">
        <f t="shared" si="16"/>
        <v>39.857142857142854</v>
      </c>
      <c r="F285" s="3"/>
      <c r="G285" s="3"/>
      <c r="H285" s="3"/>
    </row>
    <row r="286" spans="1:8" ht="18.75" x14ac:dyDescent="0.3">
      <c r="A286" s="3">
        <v>280</v>
      </c>
      <c r="B286" s="9">
        <f t="shared" si="17"/>
        <v>0.86819606210871481</v>
      </c>
      <c r="C286" s="3">
        <f t="shared" si="18"/>
        <v>54311.741057334875</v>
      </c>
      <c r="D286" s="3">
        <f t="shared" si="19"/>
        <v>44.322510318241257</v>
      </c>
      <c r="E286" s="8">
        <f t="shared" si="16"/>
        <v>40</v>
      </c>
      <c r="F286" s="3"/>
      <c r="G286" s="3"/>
      <c r="H286" s="3"/>
    </row>
    <row r="287" spans="1:8" ht="18.75" x14ac:dyDescent="0.3">
      <c r="A287" s="3">
        <v>281</v>
      </c>
      <c r="B287" s="9">
        <f t="shared" si="17"/>
        <v>0.86889944627452398</v>
      </c>
      <c r="C287" s="3">
        <f t="shared" si="18"/>
        <v>54355.742660595395</v>
      </c>
      <c r="D287" s="3">
        <f t="shared" si="19"/>
        <v>44.001603260519914</v>
      </c>
      <c r="E287" s="8">
        <f t="shared" si="16"/>
        <v>40.142857142857146</v>
      </c>
      <c r="F287" s="3"/>
      <c r="G287" s="3"/>
      <c r="H287" s="3"/>
    </row>
    <row r="288" spans="1:8" ht="18.75" x14ac:dyDescent="0.3">
      <c r="A288" s="3">
        <v>282</v>
      </c>
      <c r="B288" s="9">
        <f t="shared" si="17"/>
        <v>0.86959774821622504</v>
      </c>
      <c r="C288" s="3">
        <f t="shared" si="18"/>
        <v>54399.426335162389</v>
      </c>
      <c r="D288" s="3">
        <f t="shared" si="19"/>
        <v>43.683674566993432</v>
      </c>
      <c r="E288" s="8">
        <f t="shared" si="16"/>
        <v>40.285714285714285</v>
      </c>
      <c r="F288" s="3"/>
      <c r="G288" s="3"/>
      <c r="H288" s="3"/>
    </row>
    <row r="289" spans="1:8" ht="18.75" x14ac:dyDescent="0.3">
      <c r="A289" s="3">
        <v>283</v>
      </c>
      <c r="B289" s="9">
        <f t="shared" si="17"/>
        <v>0.87029101500133832</v>
      </c>
      <c r="C289" s="3">
        <f t="shared" si="18"/>
        <v>54442.795025438718</v>
      </c>
      <c r="D289" s="3">
        <f t="shared" si="19"/>
        <v>43.368690276329289</v>
      </c>
      <c r="E289" s="8">
        <f t="shared" si="16"/>
        <v>40.428571428571431</v>
      </c>
      <c r="F289" s="3"/>
      <c r="G289" s="3"/>
      <c r="H289" s="3"/>
    </row>
    <row r="290" spans="1:8" ht="18.75" x14ac:dyDescent="0.3">
      <c r="A290" s="3">
        <v>284</v>
      </c>
      <c r="B290" s="9">
        <f t="shared" si="17"/>
        <v>0.87097929316185141</v>
      </c>
      <c r="C290" s="3">
        <f t="shared" si="18"/>
        <v>54485.851642325935</v>
      </c>
      <c r="D290" s="3">
        <f t="shared" si="19"/>
        <v>43.056616887217388</v>
      </c>
      <c r="E290" s="8">
        <f t="shared" si="16"/>
        <v>40.571428571428569</v>
      </c>
      <c r="F290" s="3"/>
      <c r="G290" s="3"/>
      <c r="H290" s="3"/>
    </row>
    <row r="291" spans="1:8" ht="18.75" x14ac:dyDescent="0.3">
      <c r="A291" s="3">
        <v>285</v>
      </c>
      <c r="B291" s="9">
        <f t="shared" si="17"/>
        <v>0.87166262870145683</v>
      </c>
      <c r="C291" s="3">
        <f t="shared" si="18"/>
        <v>54528.599063677037</v>
      </c>
      <c r="D291" s="3">
        <f t="shared" si="19"/>
        <v>42.747421351101366</v>
      </c>
      <c r="E291" s="8">
        <f t="shared" si="16"/>
        <v>40.714285714285715</v>
      </c>
      <c r="F291" s="3"/>
      <c r="G291" s="3"/>
      <c r="H291" s="3"/>
    </row>
    <row r="292" spans="1:8" ht="18.75" x14ac:dyDescent="0.3">
      <c r="A292" s="3">
        <v>286</v>
      </c>
      <c r="B292" s="9">
        <f t="shared" si="17"/>
        <v>0.87234106710267612</v>
      </c>
      <c r="C292" s="3">
        <f t="shared" si="18"/>
        <v>54571.040134742107</v>
      </c>
      <c r="D292" s="3">
        <f t="shared" si="19"/>
        <v>42.441071065069991</v>
      </c>
      <c r="E292" s="8">
        <f t="shared" si="16"/>
        <v>40.857142857142854</v>
      </c>
      <c r="F292" s="3"/>
      <c r="G292" s="3"/>
      <c r="H292" s="3"/>
    </row>
    <row r="293" spans="1:8" ht="18.75" x14ac:dyDescent="0.3">
      <c r="A293" s="3">
        <v>287</v>
      </c>
      <c r="B293" s="9">
        <f t="shared" si="17"/>
        <v>0.87301465333387507</v>
      </c>
      <c r="C293" s="3">
        <f t="shared" si="18"/>
        <v>54613.177668607226</v>
      </c>
      <c r="D293" s="3">
        <f t="shared" si="19"/>
        <v>42.137533865119622</v>
      </c>
      <c r="E293" s="8">
        <f t="shared" si="16"/>
        <v>41</v>
      </c>
      <c r="F293" s="3"/>
      <c r="G293" s="3"/>
      <c r="H293" s="3"/>
    </row>
    <row r="294" spans="1:8" ht="18.75" x14ac:dyDescent="0.3">
      <c r="A294" s="3">
        <v>288</v>
      </c>
      <c r="B294" s="9">
        <f t="shared" si="17"/>
        <v>0.87368343185616681</v>
      </c>
      <c r="C294" s="3">
        <f t="shared" si="18"/>
        <v>54655.014446626228</v>
      </c>
      <c r="D294" s="3">
        <f t="shared" si="19"/>
        <v>41.83677801900194</v>
      </c>
      <c r="E294" s="8">
        <f t="shared" si="16"/>
        <v>41.142857142857146</v>
      </c>
      <c r="F294" s="3"/>
      <c r="G294" s="3"/>
      <c r="H294" s="3"/>
    </row>
    <row r="295" spans="1:8" ht="18.75" x14ac:dyDescent="0.3">
      <c r="A295" s="3">
        <v>289</v>
      </c>
      <c r="B295" s="9">
        <f t="shared" si="17"/>
        <v>0.87434744663021058</v>
      </c>
      <c r="C295" s="3">
        <f t="shared" si="18"/>
        <v>54696.553218846086</v>
      </c>
      <c r="D295" s="3">
        <f t="shared" si="19"/>
        <v>41.538772219857492</v>
      </c>
      <c r="E295" s="8">
        <f t="shared" si="16"/>
        <v>41.285714285714285</v>
      </c>
      <c r="F295" s="3"/>
      <c r="G295" s="3"/>
      <c r="H295" s="3"/>
    </row>
    <row r="296" spans="1:8" ht="18.75" x14ac:dyDescent="0.3">
      <c r="A296" s="3">
        <v>290</v>
      </c>
      <c r="B296" s="9">
        <f t="shared" si="17"/>
        <v>0.87500674112290322</v>
      </c>
      <c r="C296" s="3">
        <f t="shared" si="18"/>
        <v>54737.796704425455</v>
      </c>
      <c r="D296" s="3">
        <f t="shared" si="19"/>
        <v>41.243485579369008</v>
      </c>
      <c r="E296" s="8">
        <f t="shared" si="16"/>
        <v>41.428571428571431</v>
      </c>
      <c r="F296" s="3"/>
      <c r="G296" s="3"/>
      <c r="H296" s="3"/>
    </row>
    <row r="297" spans="1:8" ht="18.75" x14ac:dyDescent="0.3">
      <c r="A297" s="3">
        <v>291</v>
      </c>
      <c r="B297" s="9">
        <f t="shared" si="17"/>
        <v>0.8756613583139693</v>
      </c>
      <c r="C297" s="3">
        <f t="shared" si="18"/>
        <v>54778.747592046981</v>
      </c>
      <c r="D297" s="3">
        <f t="shared" si="19"/>
        <v>40.950887621525908</v>
      </c>
      <c r="E297" s="8">
        <f t="shared" si="16"/>
        <v>41.571428571428569</v>
      </c>
      <c r="F297" s="3"/>
      <c r="G297" s="3"/>
      <c r="H297" s="3"/>
    </row>
    <row r="298" spans="1:8" ht="18.75" x14ac:dyDescent="0.3">
      <c r="A298" s="3">
        <v>292</v>
      </c>
      <c r="B298" s="9">
        <f t="shared" si="17"/>
        <v>0.87631134070244687</v>
      </c>
      <c r="C298" s="3">
        <f t="shared" si="18"/>
        <v>54819.408540322969</v>
      </c>
      <c r="D298" s="3">
        <f t="shared" si="19"/>
        <v>40.66094827598863</v>
      </c>
      <c r="E298" s="8">
        <f t="shared" si="16"/>
        <v>41.714285714285715</v>
      </c>
      <c r="F298" s="3"/>
      <c r="G298" s="3"/>
      <c r="H298" s="3"/>
    </row>
    <row r="299" spans="1:8" ht="18.75" x14ac:dyDescent="0.3">
      <c r="A299" s="3">
        <v>293</v>
      </c>
      <c r="B299" s="9">
        <f t="shared" si="17"/>
        <v>0.8769567303130763</v>
      </c>
      <c r="C299" s="3">
        <f t="shared" si="18"/>
        <v>54859.782178195113</v>
      </c>
      <c r="D299" s="3">
        <f t="shared" si="19"/>
        <v>40.373637872144172</v>
      </c>
      <c r="E299" s="8">
        <f t="shared" si="16"/>
        <v>41.857142857142854</v>
      </c>
      <c r="F299" s="3"/>
      <c r="G299" s="3"/>
      <c r="H299" s="3"/>
    </row>
    <row r="300" spans="1:8" ht="18.75" x14ac:dyDescent="0.3">
      <c r="A300" s="3">
        <v>294</v>
      </c>
      <c r="B300" s="9">
        <f t="shared" si="17"/>
        <v>0.87759756870258832</v>
      </c>
      <c r="C300" s="3">
        <f t="shared" si="18"/>
        <v>54899.871105327817</v>
      </c>
      <c r="D300" s="3">
        <f t="shared" si="19"/>
        <v>40.088927132703247</v>
      </c>
      <c r="E300" s="8">
        <f t="shared" si="16"/>
        <v>42</v>
      </c>
      <c r="F300" s="3"/>
      <c r="G300" s="3"/>
      <c r="H300" s="3"/>
    </row>
    <row r="301" spans="1:8" ht="18.75" x14ac:dyDescent="0.3">
      <c r="A301" s="3">
        <v>295</v>
      </c>
      <c r="B301" s="9">
        <f t="shared" si="17"/>
        <v>0.87823389696589826</v>
      </c>
      <c r="C301" s="3">
        <f t="shared" si="18"/>
        <v>54939.677892495696</v>
      </c>
      <c r="D301" s="3">
        <f t="shared" si="19"/>
        <v>39.80678716787952</v>
      </c>
      <c r="E301" s="8">
        <f t="shared" si="16"/>
        <v>42.142857142857146</v>
      </c>
      <c r="F301" s="3"/>
      <c r="G301" s="3"/>
      <c r="H301" s="3"/>
    </row>
    <row r="302" spans="1:8" ht="18.75" x14ac:dyDescent="0.3">
      <c r="A302" s="3">
        <v>296</v>
      </c>
      <c r="B302" s="9">
        <f t="shared" si="17"/>
        <v>0.87886575574220305</v>
      </c>
      <c r="C302" s="3">
        <f t="shared" si="18"/>
        <v>54979.205081964996</v>
      </c>
      <c r="D302" s="3">
        <f t="shared" si="19"/>
        <v>39.527189469299628</v>
      </c>
      <c r="E302" s="8">
        <f t="shared" si="16"/>
        <v>42.285714285714285</v>
      </c>
      <c r="F302" s="3"/>
      <c r="G302" s="3"/>
      <c r="H302" s="3"/>
    </row>
    <row r="303" spans="1:8" ht="18.75" x14ac:dyDescent="0.3">
      <c r="A303" s="3">
        <v>297</v>
      </c>
      <c r="B303" s="9">
        <f t="shared" si="17"/>
        <v>0.87949318522098729</v>
      </c>
      <c r="C303" s="3">
        <f t="shared" si="18"/>
        <v>55018.455187869302</v>
      </c>
      <c r="D303" s="3">
        <f t="shared" si="19"/>
        <v>39.25010590430611</v>
      </c>
      <c r="E303" s="8">
        <f t="shared" si="16"/>
        <v>42.428571428571431</v>
      </c>
      <c r="F303" s="3"/>
      <c r="G303" s="3"/>
      <c r="H303" s="3"/>
    </row>
    <row r="304" spans="1:8" ht="18.75" x14ac:dyDescent="0.3">
      <c r="A304" s="3">
        <v>298</v>
      </c>
      <c r="B304" s="9">
        <f t="shared" si="17"/>
        <v>0.88011622514793553</v>
      </c>
      <c r="C304" s="3">
        <f t="shared" si="18"/>
        <v>55057.430696579402</v>
      </c>
      <c r="D304" s="3">
        <f t="shared" si="19"/>
        <v>38.975508710100257</v>
      </c>
      <c r="E304" s="8">
        <f t="shared" si="16"/>
        <v>42.571428571428569</v>
      </c>
      <c r="F304" s="3"/>
      <c r="G304" s="3"/>
      <c r="H304" s="3"/>
    </row>
    <row r="305" spans="1:8" ht="18.75" x14ac:dyDescent="0.3">
      <c r="A305" s="3">
        <v>299</v>
      </c>
      <c r="B305" s="9">
        <f t="shared" si="17"/>
        <v>0.88073491483075739</v>
      </c>
      <c r="C305" s="3">
        <f t="shared" si="18"/>
        <v>55096.134067067687</v>
      </c>
      <c r="D305" s="3">
        <f t="shared" si="19"/>
        <v>38.703370488285145</v>
      </c>
      <c r="E305" s="8">
        <f t="shared" si="16"/>
        <v>42.714285714285715</v>
      </c>
      <c r="F305" s="3"/>
      <c r="G305" s="3"/>
      <c r="H305" s="3"/>
    </row>
    <row r="306" spans="1:8" ht="18.75" x14ac:dyDescent="0.3">
      <c r="A306" s="3">
        <v>300</v>
      </c>
      <c r="B306" s="9">
        <f t="shared" si="17"/>
        <v>0.88134929314492139</v>
      </c>
      <c r="C306" s="3">
        <f t="shared" si="18"/>
        <v>55134.567731266849</v>
      </c>
      <c r="D306" s="3">
        <f t="shared" si="19"/>
        <v>38.433664199161285</v>
      </c>
      <c r="E306" s="8">
        <f t="shared" si="16"/>
        <v>42.857142857142854</v>
      </c>
      <c r="F306" s="3"/>
      <c r="G306" s="3"/>
      <c r="H306" s="3"/>
    </row>
    <row r="307" spans="1:8" ht="18.75" x14ac:dyDescent="0.3">
      <c r="A307" s="3">
        <v>301</v>
      </c>
      <c r="B307" s="9">
        <f t="shared" si="17"/>
        <v>0.88195939853930427</v>
      </c>
      <c r="C307" s="3">
        <f t="shared" si="18"/>
        <v>55172.734094423256</v>
      </c>
      <c r="D307" s="3">
        <f t="shared" si="19"/>
        <v>38.166363156407897</v>
      </c>
      <c r="E307" s="8">
        <f t="shared" si="16"/>
        <v>43</v>
      </c>
      <c r="F307" s="3"/>
      <c r="G307" s="3"/>
      <c r="H307" s="3"/>
    </row>
    <row r="308" spans="1:8" ht="18.75" x14ac:dyDescent="0.3">
      <c r="A308" s="3">
        <v>302</v>
      </c>
      <c r="B308" s="9">
        <f t="shared" si="17"/>
        <v>0.8825652690417537</v>
      </c>
      <c r="C308" s="3">
        <f t="shared" si="18"/>
        <v>55210.635535444984</v>
      </c>
      <c r="D308" s="3">
        <f t="shared" si="19"/>
        <v>37.901441021727805</v>
      </c>
      <c r="E308" s="8">
        <f t="shared" si="16"/>
        <v>43.142857142857146</v>
      </c>
      <c r="F308" s="3"/>
      <c r="G308" s="3"/>
      <c r="H308" s="3"/>
    </row>
    <row r="309" spans="1:8" ht="18.75" x14ac:dyDescent="0.3">
      <c r="A309" s="3">
        <v>303</v>
      </c>
      <c r="B309" s="9">
        <f t="shared" si="17"/>
        <v>0.88316694226456682</v>
      </c>
      <c r="C309" s="3">
        <f t="shared" si="18"/>
        <v>55248.274407244506</v>
      </c>
      <c r="D309" s="3">
        <f t="shared" si="19"/>
        <v>37.638871799521439</v>
      </c>
      <c r="E309" s="8">
        <f t="shared" si="16"/>
        <v>43.285714285714285</v>
      </c>
      <c r="F309" s="3"/>
      <c r="G309" s="3"/>
      <c r="H309" s="3"/>
    </row>
    <row r="310" spans="1:8" ht="18.75" x14ac:dyDescent="0.3">
      <c r="A310" s="3">
        <v>304</v>
      </c>
      <c r="B310" s="9">
        <f t="shared" si="17"/>
        <v>0.88376445540988768</v>
      </c>
      <c r="C310" s="3">
        <f t="shared" si="18"/>
        <v>55285.653037076343</v>
      </c>
      <c r="D310" s="3">
        <f t="shared" si="19"/>
        <v>37.378629831837316</v>
      </c>
      <c r="E310" s="8">
        <f t="shared" si="16"/>
        <v>43.428571428571431</v>
      </c>
      <c r="F310" s="3"/>
      <c r="G310" s="3"/>
      <c r="H310" s="3"/>
    </row>
    <row r="311" spans="1:8" ht="18.75" x14ac:dyDescent="0.3">
      <c r="A311" s="3">
        <v>305</v>
      </c>
      <c r="B311" s="9">
        <f t="shared" si="17"/>
        <v>0.88435784527502181</v>
      </c>
      <c r="C311" s="3">
        <f t="shared" si="18"/>
        <v>55322.773726869542</v>
      </c>
      <c r="D311" s="3">
        <f t="shared" si="19"/>
        <v>37.120689793198835</v>
      </c>
      <c r="E311" s="8">
        <f t="shared" si="16"/>
        <v>43.571428571428569</v>
      </c>
      <c r="F311" s="3"/>
      <c r="G311" s="3"/>
      <c r="H311" s="3"/>
    </row>
    <row r="312" spans="1:8" ht="18.75" x14ac:dyDescent="0.3">
      <c r="A312" s="3">
        <v>306</v>
      </c>
      <c r="B312" s="9">
        <f t="shared" si="17"/>
        <v>0.88494714825767262</v>
      </c>
      <c r="C312" s="3">
        <f t="shared" si="18"/>
        <v>55359.638753555228</v>
      </c>
      <c r="D312" s="3">
        <f t="shared" si="19"/>
        <v>36.865026685685734</v>
      </c>
      <c r="E312" s="8">
        <f t="shared" si="16"/>
        <v>43.714285714285715</v>
      </c>
      <c r="F312" s="3"/>
      <c r="G312" s="3"/>
      <c r="H312" s="3"/>
    </row>
    <row r="313" spans="1:8" ht="18.75" x14ac:dyDescent="0.3">
      <c r="A313" s="3">
        <v>307</v>
      </c>
      <c r="B313" s="9">
        <f t="shared" si="17"/>
        <v>0.88553240036109837</v>
      </c>
      <c r="C313" s="3">
        <f t="shared" si="18"/>
        <v>55396.250369389229</v>
      </c>
      <c r="D313" s="3">
        <f t="shared" si="19"/>
        <v>36.611615834000986</v>
      </c>
      <c r="E313" s="8">
        <f t="shared" si="16"/>
        <v>43.857142857142854</v>
      </c>
      <c r="F313" s="3"/>
      <c r="G313" s="3"/>
      <c r="H313" s="3"/>
    </row>
    <row r="314" spans="1:8" ht="18.75" x14ac:dyDescent="0.3">
      <c r="A314" s="3">
        <v>308</v>
      </c>
      <c r="B314" s="9">
        <f t="shared" si="17"/>
        <v>0.88611363719919312</v>
      </c>
      <c r="C314" s="3">
        <f t="shared" si="18"/>
        <v>55432.610802269926</v>
      </c>
      <c r="D314" s="3">
        <f t="shared" si="19"/>
        <v>36.360432880697772</v>
      </c>
      <c r="E314" s="8">
        <f t="shared" si="16"/>
        <v>44</v>
      </c>
      <c r="F314" s="3"/>
      <c r="G314" s="3"/>
      <c r="H314" s="3"/>
    </row>
    <row r="315" spans="1:8" ht="18.75" x14ac:dyDescent="0.3">
      <c r="A315" s="3">
        <v>309</v>
      </c>
      <c r="B315" s="9">
        <f t="shared" si="17"/>
        <v>0.88669089400149037</v>
      </c>
      <c r="C315" s="3">
        <f t="shared" si="18"/>
        <v>55468.722256051231</v>
      </c>
      <c r="D315" s="3">
        <f t="shared" si="19"/>
        <v>36.11145378130459</v>
      </c>
      <c r="E315" s="8">
        <f t="shared" si="16"/>
        <v>44.142857142857146</v>
      </c>
      <c r="F315" s="3"/>
      <c r="G315" s="3"/>
      <c r="H315" s="3"/>
    </row>
    <row r="316" spans="1:8" ht="18.75" x14ac:dyDescent="0.3">
      <c r="A316" s="3">
        <v>310</v>
      </c>
      <c r="B316" s="9">
        <f t="shared" si="17"/>
        <v>0.88726420561809383</v>
      </c>
      <c r="C316" s="3">
        <f t="shared" si="18"/>
        <v>55504.586910851096</v>
      </c>
      <c r="D316" s="3">
        <f t="shared" si="19"/>
        <v>35.864654799865093</v>
      </c>
      <c r="E316" s="8">
        <f t="shared" si="16"/>
        <v>44.285714285714285</v>
      </c>
      <c r="F316" s="3"/>
      <c r="G316" s="3"/>
      <c r="H316" s="3"/>
    </row>
    <row r="317" spans="1:8" ht="18.75" x14ac:dyDescent="0.3">
      <c r="A317" s="3">
        <v>311</v>
      </c>
      <c r="B317" s="9">
        <f t="shared" si="17"/>
        <v>0.88783360652453469</v>
      </c>
      <c r="C317" s="3">
        <f t="shared" si="18"/>
        <v>55540.206923355319</v>
      </c>
      <c r="D317" s="3">
        <f t="shared" si="19"/>
        <v>35.620012504223268</v>
      </c>
      <c r="E317" s="8">
        <f t="shared" si="16"/>
        <v>44.428571428571431</v>
      </c>
      <c r="F317" s="3"/>
      <c r="G317" s="3"/>
      <c r="H317" s="3"/>
    </row>
    <row r="318" spans="1:8" ht="18.75" x14ac:dyDescent="0.3">
      <c r="A318" s="3">
        <v>312</v>
      </c>
      <c r="B318" s="9">
        <f t="shared" si="17"/>
        <v>0.88839913082655608</v>
      </c>
      <c r="C318" s="3">
        <f t="shared" si="18"/>
        <v>55575.584427116868</v>
      </c>
      <c r="D318" s="3">
        <f t="shared" si="19"/>
        <v>35.377503761548724</v>
      </c>
      <c r="E318" s="8">
        <f t="shared" si="16"/>
        <v>44.571428571428569</v>
      </c>
      <c r="F318" s="3"/>
      <c r="G318" s="3"/>
      <c r="H318" s="3"/>
    </row>
    <row r="319" spans="1:8" ht="18.75" x14ac:dyDescent="0.3">
      <c r="A319" s="3">
        <v>313</v>
      </c>
      <c r="B319" s="9">
        <f t="shared" si="17"/>
        <v>0.88896081226482715</v>
      </c>
      <c r="C319" s="3">
        <f t="shared" si="18"/>
        <v>55610.721532850795</v>
      </c>
      <c r="D319" s="3">
        <f t="shared" si="19"/>
        <v>35.137105733927456</v>
      </c>
      <c r="E319" s="8">
        <f t="shared" si="16"/>
        <v>44.714285714285715</v>
      </c>
      <c r="F319" s="3"/>
      <c r="G319" s="3"/>
      <c r="H319" s="3"/>
    </row>
    <row r="320" spans="1:8" ht="18.75" x14ac:dyDescent="0.3">
      <c r="A320" s="3">
        <v>314</v>
      </c>
      <c r="B320" s="9">
        <f t="shared" si="17"/>
        <v>0.88951868421958857</v>
      </c>
      <c r="C320" s="3">
        <f t="shared" si="18"/>
        <v>55645.620328724799</v>
      </c>
      <c r="D320" s="3">
        <f t="shared" si="19"/>
        <v>34.898795874003554</v>
      </c>
      <c r="E320" s="8">
        <f t="shared" si="16"/>
        <v>44.857142857142854</v>
      </c>
      <c r="F320" s="3"/>
      <c r="G320" s="3"/>
      <c r="H320" s="3"/>
    </row>
    <row r="321" spans="1:8" ht="18.75" x14ac:dyDescent="0.3">
      <c r="A321" s="3">
        <v>315</v>
      </c>
      <c r="B321" s="9">
        <f t="shared" si="17"/>
        <v>0.89007277971522769</v>
      </c>
      <c r="C321" s="3">
        <f t="shared" si="18"/>
        <v>55680.2828806455</v>
      </c>
      <c r="D321" s="3">
        <f t="shared" si="19"/>
        <v>34.662551920700935</v>
      </c>
      <c r="E321" s="8">
        <f t="shared" si="16"/>
        <v>45</v>
      </c>
      <c r="F321" s="3"/>
      <c r="G321" s="3"/>
      <c r="H321" s="3"/>
    </row>
    <row r="322" spans="1:8" ht="18.75" x14ac:dyDescent="0.3">
      <c r="A322" s="3">
        <v>316</v>
      </c>
      <c r="B322" s="9">
        <f t="shared" si="17"/>
        <v>0.89062313142478844</v>
      </c>
      <c r="C322" s="3">
        <f t="shared" si="18"/>
        <v>55714.711232540489</v>
      </c>
      <c r="D322" s="3">
        <f t="shared" si="19"/>
        <v>34.428351894988737</v>
      </c>
      <c r="E322" s="8">
        <f t="shared" si="16"/>
        <v>45.142857142857146</v>
      </c>
      <c r="F322" s="3"/>
      <c r="G322" s="3"/>
      <c r="H322" s="3"/>
    </row>
    <row r="323" spans="1:8" ht="18.75" x14ac:dyDescent="0.3">
      <c r="A323" s="3">
        <v>317</v>
      </c>
      <c r="B323" s="9">
        <f t="shared" si="17"/>
        <v>0.89116977167441302</v>
      </c>
      <c r="C323" s="3">
        <f t="shared" si="18"/>
        <v>55748.907406636259</v>
      </c>
      <c r="D323" s="3">
        <f t="shared" si="19"/>
        <v>34.196174095770402</v>
      </c>
      <c r="E323" s="8">
        <f t="shared" si="16"/>
        <v>45.285714285714285</v>
      </c>
      <c r="F323" s="3"/>
      <c r="G323" s="3"/>
      <c r="H323" s="3"/>
    </row>
    <row r="324" spans="1:8" ht="18.75" x14ac:dyDescent="0.3">
      <c r="A324" s="3">
        <v>318</v>
      </c>
      <c r="B324" s="9">
        <f t="shared" si="17"/>
        <v>0.8917127324477212</v>
      </c>
      <c r="C324" s="3">
        <f t="shared" si="18"/>
        <v>55782.873403732097</v>
      </c>
      <c r="D324" s="3">
        <f t="shared" si="19"/>
        <v>33.965997095838247</v>
      </c>
      <c r="E324" s="8">
        <f t="shared" si="16"/>
        <v>45.428571428571431</v>
      </c>
      <c r="F324" s="3"/>
      <c r="G324" s="3"/>
      <c r="H324" s="3"/>
    </row>
    <row r="325" spans="1:8" ht="18.75" x14ac:dyDescent="0.3">
      <c r="A325" s="3">
        <v>319</v>
      </c>
      <c r="B325" s="9">
        <f t="shared" si="17"/>
        <v>0.89225204539012226</v>
      </c>
      <c r="C325" s="3">
        <f t="shared" si="18"/>
        <v>55816.611203469882</v>
      </c>
      <c r="D325" s="3">
        <f t="shared" si="19"/>
        <v>33.737799737784371</v>
      </c>
      <c r="E325" s="8">
        <f t="shared" si="16"/>
        <v>45.571428571428569</v>
      </c>
      <c r="F325" s="3"/>
      <c r="G325" s="3"/>
      <c r="H325" s="3"/>
    </row>
    <row r="326" spans="1:8" ht="18.75" x14ac:dyDescent="0.3">
      <c r="A326" s="3">
        <v>320</v>
      </c>
      <c r="B326" s="9">
        <f t="shared" si="17"/>
        <v>0.89278774181306741</v>
      </c>
      <c r="C326" s="3">
        <f t="shared" si="18"/>
        <v>55850.122764600055</v>
      </c>
      <c r="D326" s="3">
        <f t="shared" si="19"/>
        <v>33.511561130173504</v>
      </c>
      <c r="E326" s="8">
        <f t="shared" si="16"/>
        <v>45.714285714285715</v>
      </c>
      <c r="F326" s="3"/>
      <c r="G326" s="3"/>
      <c r="H326" s="3"/>
    </row>
    <row r="327" spans="1:8" ht="18.75" x14ac:dyDescent="0.3">
      <c r="A327" s="3">
        <v>321</v>
      </c>
      <c r="B327" s="9">
        <f t="shared" si="17"/>
        <v>0.89331985269823777</v>
      </c>
      <c r="C327" s="3">
        <f t="shared" si="18"/>
        <v>55883.410025243662</v>
      </c>
      <c r="D327" s="3">
        <f t="shared" si="19"/>
        <v>33.287260643606714</v>
      </c>
      <c r="E327" s="8">
        <f t="shared" ref="E327:E390" si="20">A327/7</f>
        <v>45.857142857142854</v>
      </c>
      <c r="F327" s="3"/>
      <c r="G327" s="3"/>
      <c r="H327" s="3"/>
    </row>
    <row r="328" spans="1:8" ht="18.75" x14ac:dyDescent="0.3">
      <c r="A328" s="3">
        <v>322</v>
      </c>
      <c r="B328" s="9">
        <f t="shared" ref="B328:B391" si="21">LOGNORMDIST(A328,$A$3,$B$3)</f>
        <v>0.89384840870167281</v>
      </c>
      <c r="C328" s="3">
        <f t="shared" ref="C328:C391" si="22">$E$3*B328</f>
        <v>55916.474903150549</v>
      </c>
      <c r="D328" s="3">
        <f t="shared" ref="D328:D391" si="23">C328-C327</f>
        <v>33.064877906886977</v>
      </c>
      <c r="E328" s="8">
        <f t="shared" si="20"/>
        <v>46</v>
      </c>
      <c r="F328" s="3"/>
      <c r="G328" s="3"/>
      <c r="H328" s="3"/>
    </row>
    <row r="329" spans="1:8" ht="18.75" x14ac:dyDescent="0.3">
      <c r="A329" s="3">
        <v>323</v>
      </c>
      <c r="B329" s="9">
        <f t="shared" si="21"/>
        <v>0.8943734401578386</v>
      </c>
      <c r="C329" s="3">
        <f t="shared" si="22"/>
        <v>55949.319295953908</v>
      </c>
      <c r="D329" s="3">
        <f t="shared" si="23"/>
        <v>32.844392803359369</v>
      </c>
      <c r="E329" s="8">
        <f t="shared" si="20"/>
        <v>46.142857142857146</v>
      </c>
      <c r="F329" s="3"/>
      <c r="G329" s="3"/>
      <c r="H329" s="3"/>
    </row>
    <row r="330" spans="1:8" ht="18.75" x14ac:dyDescent="0.3">
      <c r="A330" s="3">
        <v>324</v>
      </c>
      <c r="B330" s="9">
        <f t="shared" si="21"/>
        <v>0.89489497708363708</v>
      </c>
      <c r="C330" s="3">
        <f t="shared" si="22"/>
        <v>55981.945081421087</v>
      </c>
      <c r="D330" s="3">
        <f t="shared" si="23"/>
        <v>32.625785467178503</v>
      </c>
      <c r="E330" s="8">
        <f t="shared" si="20"/>
        <v>46.285714285714285</v>
      </c>
      <c r="F330" s="3"/>
      <c r="G330" s="3"/>
      <c r="H330" s="3"/>
    </row>
    <row r="331" spans="1:8" ht="18.75" x14ac:dyDescent="0.3">
      <c r="A331" s="3">
        <v>325</v>
      </c>
      <c r="B331" s="9">
        <f t="shared" si="21"/>
        <v>0.89541304918235765</v>
      </c>
      <c r="C331" s="3">
        <f t="shared" si="22"/>
        <v>56014.35411770075</v>
      </c>
      <c r="D331" s="3">
        <f t="shared" si="23"/>
        <v>32.409036279663269</v>
      </c>
      <c r="E331" s="8">
        <f t="shared" si="20"/>
        <v>46.428571428571431</v>
      </c>
      <c r="F331" s="3"/>
      <c r="G331" s="3"/>
      <c r="H331" s="3"/>
    </row>
    <row r="332" spans="1:8" ht="18.75" x14ac:dyDescent="0.3">
      <c r="A332" s="3">
        <v>326</v>
      </c>
      <c r="B332" s="9">
        <f t="shared" si="21"/>
        <v>0.89592768584757154</v>
      </c>
      <c r="C332" s="3">
        <f t="shared" si="22"/>
        <v>56046.548243566533</v>
      </c>
      <c r="D332" s="3">
        <f t="shared" si="23"/>
        <v>32.194125865782553</v>
      </c>
      <c r="E332" s="8">
        <f t="shared" si="20"/>
        <v>46.571428571428569</v>
      </c>
      <c r="F332" s="3"/>
      <c r="G332" s="3"/>
      <c r="H332" s="3"/>
    </row>
    <row r="333" spans="1:8" ht="18.75" x14ac:dyDescent="0.3">
      <c r="A333" s="3">
        <v>327</v>
      </c>
      <c r="B333" s="9">
        <f t="shared" si="21"/>
        <v>0.89643891616697036</v>
      </c>
      <c r="C333" s="3">
        <f t="shared" si="22"/>
        <v>56078.529278657166</v>
      </c>
      <c r="D333" s="3">
        <f t="shared" si="23"/>
        <v>31.981035090633668</v>
      </c>
      <c r="E333" s="8">
        <f t="shared" si="20"/>
        <v>46.714285714285715</v>
      </c>
      <c r="F333" s="3"/>
      <c r="G333" s="3"/>
      <c r="H333" s="3"/>
    </row>
    <row r="334" spans="1:8" ht="18.75" x14ac:dyDescent="0.3">
      <c r="A334" s="3">
        <v>328</v>
      </c>
      <c r="B334" s="9">
        <f t="shared" si="21"/>
        <v>0.89694676892614933</v>
      </c>
      <c r="C334" s="3">
        <f t="shared" si="22"/>
        <v>56110.299023713123</v>
      </c>
      <c r="D334" s="3">
        <f t="shared" si="23"/>
        <v>31.769745055957173</v>
      </c>
      <c r="E334" s="8">
        <f t="shared" si="20"/>
        <v>46.857142857142854</v>
      </c>
      <c r="F334" s="3"/>
      <c r="G334" s="3"/>
      <c r="H334" s="3"/>
    </row>
    <row r="335" spans="1:8" ht="18.75" x14ac:dyDescent="0.3">
      <c r="A335" s="3">
        <v>329</v>
      </c>
      <c r="B335" s="9">
        <f t="shared" si="21"/>
        <v>0.8974512726123367</v>
      </c>
      <c r="C335" s="3">
        <f t="shared" si="22"/>
        <v>56141.85926080995</v>
      </c>
      <c r="D335" s="3">
        <f t="shared" si="23"/>
        <v>31.560237096826313</v>
      </c>
      <c r="E335" s="8">
        <f t="shared" si="20"/>
        <v>47</v>
      </c>
      <c r="F335" s="3"/>
      <c r="G335" s="3"/>
      <c r="H335" s="3"/>
    </row>
    <row r="336" spans="1:8" ht="18.75" x14ac:dyDescent="0.3">
      <c r="A336" s="3">
        <v>330</v>
      </c>
      <c r="B336" s="9">
        <f t="shared" si="21"/>
        <v>0.89795245541806923</v>
      </c>
      <c r="C336" s="3">
        <f t="shared" si="22"/>
        <v>56173.211753588155</v>
      </c>
      <c r="D336" s="3">
        <f t="shared" si="23"/>
        <v>31.352492778205487</v>
      </c>
      <c r="E336" s="8">
        <f t="shared" si="20"/>
        <v>47.142857142857146</v>
      </c>
      <c r="F336" s="3"/>
      <c r="G336" s="3"/>
      <c r="H336" s="3"/>
    </row>
    <row r="337" spans="1:8" ht="18.75" x14ac:dyDescent="0.3">
      <c r="A337" s="3">
        <v>331</v>
      </c>
      <c r="B337" s="9">
        <f t="shared" si="21"/>
        <v>0.89845034524481582</v>
      </c>
      <c r="C337" s="3">
        <f t="shared" si="22"/>
        <v>56204.35824747994</v>
      </c>
      <c r="D337" s="3">
        <f t="shared" si="23"/>
        <v>31.146493891785212</v>
      </c>
      <c r="E337" s="8">
        <f t="shared" si="20"/>
        <v>47.285714285714285</v>
      </c>
      <c r="F337" s="3"/>
      <c r="G337" s="3"/>
      <c r="H337" s="3"/>
    </row>
    <row r="338" spans="1:8" ht="18.75" x14ac:dyDescent="0.3">
      <c r="A338" s="3">
        <v>332</v>
      </c>
      <c r="B338" s="9">
        <f t="shared" si="21"/>
        <v>0.89894496970654902</v>
      </c>
      <c r="C338" s="3">
        <f t="shared" si="22"/>
        <v>56235.30046993259</v>
      </c>
      <c r="D338" s="3">
        <f t="shared" si="23"/>
        <v>30.94222245264973</v>
      </c>
      <c r="E338" s="8">
        <f t="shared" si="20"/>
        <v>47.428571428571431</v>
      </c>
      <c r="F338" s="3"/>
      <c r="G338" s="3"/>
      <c r="H338" s="3"/>
    </row>
    <row r="339" spans="1:8" ht="18.75" x14ac:dyDescent="0.3">
      <c r="A339" s="3">
        <v>333</v>
      </c>
      <c r="B339" s="9">
        <f t="shared" si="21"/>
        <v>0.89943635613326589</v>
      </c>
      <c r="C339" s="3">
        <f t="shared" si="22"/>
        <v>56266.040130628717</v>
      </c>
      <c r="D339" s="3">
        <f t="shared" si="23"/>
        <v>30.739660696126521</v>
      </c>
      <c r="E339" s="8">
        <f t="shared" si="20"/>
        <v>47.571428571428569</v>
      </c>
      <c r="F339" s="3"/>
      <c r="G339" s="3"/>
      <c r="H339" s="3"/>
    </row>
    <row r="340" spans="1:8" ht="18.75" x14ac:dyDescent="0.3">
      <c r="A340" s="3">
        <v>334</v>
      </c>
      <c r="B340" s="9">
        <f t="shared" si="21"/>
        <v>0.89992453157445917</v>
      </c>
      <c r="C340" s="3">
        <f t="shared" si="22"/>
        <v>56296.57892170344</v>
      </c>
      <c r="D340" s="3">
        <f t="shared" si="23"/>
        <v>30.538791074723122</v>
      </c>
      <c r="E340" s="8">
        <f t="shared" si="20"/>
        <v>47.714285714285715</v>
      </c>
      <c r="F340" s="3"/>
      <c r="G340" s="3"/>
      <c r="H340" s="3"/>
    </row>
    <row r="341" spans="1:8" ht="18.75" x14ac:dyDescent="0.3">
      <c r="A341" s="3">
        <v>335</v>
      </c>
      <c r="B341" s="9">
        <f t="shared" si="21"/>
        <v>0.90040952280253861</v>
      </c>
      <c r="C341" s="3">
        <f t="shared" si="22"/>
        <v>56326.918517958409</v>
      </c>
      <c r="D341" s="3">
        <f t="shared" si="23"/>
        <v>30.339596254969365</v>
      </c>
      <c r="E341" s="8">
        <f t="shared" si="20"/>
        <v>47.857142857142854</v>
      </c>
      <c r="F341" s="3"/>
      <c r="G341" s="3"/>
      <c r="H341" s="3"/>
    </row>
    <row r="342" spans="1:8" ht="18.75" x14ac:dyDescent="0.3">
      <c r="A342" s="3">
        <v>336</v>
      </c>
      <c r="B342" s="9">
        <f t="shared" si="21"/>
        <v>0.90089135631620543</v>
      </c>
      <c r="C342" s="3">
        <f t="shared" si="22"/>
        <v>56357.060577072865</v>
      </c>
      <c r="D342" s="3">
        <f t="shared" si="23"/>
        <v>30.14205911445606</v>
      </c>
      <c r="E342" s="8">
        <f t="shared" si="20"/>
        <v>48</v>
      </c>
      <c r="F342" s="3"/>
      <c r="G342" s="3"/>
      <c r="H342" s="3"/>
    </row>
    <row r="343" spans="1:8" ht="18.75" x14ac:dyDescent="0.3">
      <c r="A343" s="3">
        <v>337</v>
      </c>
      <c r="B343" s="9">
        <f t="shared" si="21"/>
        <v>0.90137005834377693</v>
      </c>
      <c r="C343" s="3">
        <f t="shared" si="22"/>
        <v>56387.006739811652</v>
      </c>
      <c r="D343" s="3">
        <f t="shared" si="23"/>
        <v>29.94616273878637</v>
      </c>
      <c r="E343" s="8">
        <f t="shared" si="20"/>
        <v>48.142857142857146</v>
      </c>
      <c r="F343" s="3"/>
      <c r="G343" s="3"/>
      <c r="H343" s="3"/>
    </row>
    <row r="344" spans="1:8" ht="18.75" x14ac:dyDescent="0.3">
      <c r="A344" s="3">
        <v>338</v>
      </c>
      <c r="B344" s="9">
        <f t="shared" si="21"/>
        <v>0.90184565484646606</v>
      </c>
      <c r="C344" s="3">
        <f t="shared" si="22"/>
        <v>56416.758630230375</v>
      </c>
      <c r="D344" s="3">
        <f t="shared" si="23"/>
        <v>29.751890418723633</v>
      </c>
      <c r="E344" s="8">
        <f t="shared" si="20"/>
        <v>48.285714285714285</v>
      </c>
      <c r="F344" s="3"/>
      <c r="G344" s="3"/>
      <c r="H344" s="3"/>
    </row>
    <row r="345" spans="1:8" ht="18.75" x14ac:dyDescent="0.3">
      <c r="A345" s="3">
        <v>339</v>
      </c>
      <c r="B345" s="9">
        <f t="shared" si="21"/>
        <v>0.9023181715216142</v>
      </c>
      <c r="C345" s="3">
        <f t="shared" si="22"/>
        <v>56446.31785587762</v>
      </c>
      <c r="D345" s="3">
        <f t="shared" si="23"/>
        <v>29.559225647244602</v>
      </c>
      <c r="E345" s="8">
        <f t="shared" si="20"/>
        <v>48.428571428571431</v>
      </c>
      <c r="F345" s="3"/>
      <c r="G345" s="3"/>
      <c r="H345" s="3"/>
    </row>
    <row r="346" spans="1:8" ht="18.75" x14ac:dyDescent="0.3">
      <c r="A346" s="3">
        <v>340</v>
      </c>
      <c r="B346" s="9">
        <f t="shared" si="21"/>
        <v>0.9027876338058789</v>
      </c>
      <c r="C346" s="3">
        <f t="shared" si="22"/>
        <v>56475.686007994365</v>
      </c>
      <c r="D346" s="3">
        <f t="shared" si="23"/>
        <v>29.368152116745478</v>
      </c>
      <c r="E346" s="8">
        <f t="shared" si="20"/>
        <v>48.571428571428569</v>
      </c>
      <c r="F346" s="3"/>
      <c r="G346" s="3"/>
      <c r="H346" s="3"/>
    </row>
    <row r="347" spans="1:8" ht="18.75" x14ac:dyDescent="0.3">
      <c r="A347" s="3">
        <v>341</v>
      </c>
      <c r="B347" s="9">
        <f t="shared" si="21"/>
        <v>0.90325406687837639</v>
      </c>
      <c r="C347" s="3">
        <f t="shared" si="22"/>
        <v>56504.864661710591</v>
      </c>
      <c r="D347" s="3">
        <f t="shared" si="23"/>
        <v>29.178653716226108</v>
      </c>
      <c r="E347" s="8">
        <f t="shared" si="20"/>
        <v>48.714285714285715</v>
      </c>
      <c r="F347" s="3"/>
      <c r="G347" s="3"/>
      <c r="H347" s="3"/>
    </row>
    <row r="348" spans="1:8" ht="18.75" x14ac:dyDescent="0.3">
      <c r="A348" s="3">
        <v>342</v>
      </c>
      <c r="B348" s="9">
        <f t="shared" si="21"/>
        <v>0.90371749566378079</v>
      </c>
      <c r="C348" s="3">
        <f t="shared" si="22"/>
        <v>56533.855376239138</v>
      </c>
      <c r="D348" s="3">
        <f t="shared" si="23"/>
        <v>28.99071452854696</v>
      </c>
      <c r="E348" s="8">
        <f t="shared" si="20"/>
        <v>48.857142857142854</v>
      </c>
      <c r="F348" s="3"/>
      <c r="G348" s="3"/>
      <c r="H348" s="3"/>
    </row>
    <row r="349" spans="1:8" ht="18.75" x14ac:dyDescent="0.3">
      <c r="A349" s="3">
        <v>343</v>
      </c>
      <c r="B349" s="9">
        <f t="shared" si="21"/>
        <v>0.90417794483538028</v>
      </c>
      <c r="C349" s="3">
        <f t="shared" si="22"/>
        <v>56562.659695066883</v>
      </c>
      <c r="D349" s="3">
        <f t="shared" si="23"/>
        <v>28.804318827744282</v>
      </c>
      <c r="E349" s="8">
        <f t="shared" si="20"/>
        <v>49</v>
      </c>
      <c r="F349" s="3"/>
      <c r="G349" s="3"/>
      <c r="H349" s="3"/>
    </row>
    <row r="350" spans="1:8" ht="18.75" x14ac:dyDescent="0.3">
      <c r="A350" s="3">
        <v>344</v>
      </c>
      <c r="B350" s="9">
        <f t="shared" si="21"/>
        <v>0.90463543881808939</v>
      </c>
      <c r="C350" s="3">
        <f t="shared" si="22"/>
        <v>56591.279146143221</v>
      </c>
      <c r="D350" s="3">
        <f t="shared" si="23"/>
        <v>28.619451076338009</v>
      </c>
      <c r="E350" s="8">
        <f t="shared" si="20"/>
        <v>49.142857142857146</v>
      </c>
      <c r="F350" s="3"/>
      <c r="G350" s="3"/>
      <c r="H350" s="3"/>
    </row>
    <row r="351" spans="1:8" ht="18.75" x14ac:dyDescent="0.3">
      <c r="A351" s="3">
        <v>345</v>
      </c>
      <c r="B351" s="9">
        <f t="shared" si="21"/>
        <v>0.90509000179142118</v>
      </c>
      <c r="C351" s="3">
        <f t="shared" si="22"/>
        <v>56619.715242065933</v>
      </c>
      <c r="D351" s="3">
        <f t="shared" si="23"/>
        <v>28.436095922712411</v>
      </c>
      <c r="E351" s="8">
        <f t="shared" si="20"/>
        <v>49.285714285714285</v>
      </c>
      <c r="F351" s="3"/>
      <c r="G351" s="3"/>
      <c r="H351" s="3"/>
    </row>
    <row r="352" spans="1:8" ht="18.75" x14ac:dyDescent="0.3">
      <c r="A352" s="3">
        <v>346</v>
      </c>
      <c r="B352" s="9">
        <f t="shared" si="21"/>
        <v>0.90554165769241701</v>
      </c>
      <c r="C352" s="3">
        <f t="shared" si="22"/>
        <v>56647.969480264532</v>
      </c>
      <c r="D352" s="3">
        <f t="shared" si="23"/>
        <v>28.254238198598614</v>
      </c>
      <c r="E352" s="8">
        <f t="shared" si="20"/>
        <v>49.428571428571431</v>
      </c>
      <c r="F352" s="3"/>
      <c r="G352" s="3"/>
      <c r="H352" s="3"/>
    </row>
    <row r="353" spans="1:8" ht="18.75" x14ac:dyDescent="0.3">
      <c r="A353" s="3">
        <v>347</v>
      </c>
      <c r="B353" s="9">
        <f t="shared" si="21"/>
        <v>0.90599043021853598</v>
      </c>
      <c r="C353" s="3">
        <f t="shared" si="22"/>
        <v>56676.043343180958</v>
      </c>
      <c r="D353" s="3">
        <f t="shared" si="23"/>
        <v>28.073862916426151</v>
      </c>
      <c r="E353" s="8">
        <f t="shared" si="20"/>
        <v>49.571428571428569</v>
      </c>
      <c r="F353" s="3"/>
      <c r="G353" s="3"/>
      <c r="H353" s="3"/>
    </row>
    <row r="354" spans="1:8" ht="18.75" x14ac:dyDescent="0.3">
      <c r="A354" s="3">
        <v>348</v>
      </c>
      <c r="B354" s="9">
        <f t="shared" si="21"/>
        <v>0.90643634283050545</v>
      </c>
      <c r="C354" s="3">
        <f t="shared" si="22"/>
        <v>56703.938298447931</v>
      </c>
      <c r="D354" s="3">
        <f t="shared" si="23"/>
        <v>27.894955266972829</v>
      </c>
      <c r="E354" s="8">
        <f t="shared" si="20"/>
        <v>49.714285714285715</v>
      </c>
      <c r="F354" s="3"/>
      <c r="G354" s="3"/>
      <c r="H354" s="3"/>
    </row>
    <row r="355" spans="1:8" ht="18.75" x14ac:dyDescent="0.3">
      <c r="A355" s="3">
        <v>349</v>
      </c>
      <c r="B355" s="9">
        <f t="shared" si="21"/>
        <v>0.90687941875513001</v>
      </c>
      <c r="C355" s="3">
        <f t="shared" si="22"/>
        <v>56731.655799064669</v>
      </c>
      <c r="D355" s="3">
        <f t="shared" si="23"/>
        <v>27.717500616738107</v>
      </c>
      <c r="E355" s="8">
        <f t="shared" si="20"/>
        <v>49.857142857142854</v>
      </c>
      <c r="F355" s="3"/>
      <c r="G355" s="3"/>
      <c r="H355" s="3"/>
    </row>
    <row r="356" spans="1:8" ht="18.75" x14ac:dyDescent="0.3">
      <c r="A356" s="3">
        <v>350</v>
      </c>
      <c r="B356" s="9">
        <f t="shared" si="21"/>
        <v>0.90731968098806459</v>
      </c>
      <c r="C356" s="3">
        <f t="shared" si="22"/>
        <v>56759.197283570356</v>
      </c>
      <c r="D356" s="3">
        <f t="shared" si="23"/>
        <v>27.541484505687549</v>
      </c>
      <c r="E356" s="8">
        <f t="shared" si="20"/>
        <v>50</v>
      </c>
      <c r="F356" s="3"/>
      <c r="G356" s="3"/>
      <c r="H356" s="3"/>
    </row>
    <row r="357" spans="1:8" ht="18.75" x14ac:dyDescent="0.3">
      <c r="A357" s="3">
        <v>351</v>
      </c>
      <c r="B357" s="9">
        <f t="shared" si="21"/>
        <v>0.90775715229654708</v>
      </c>
      <c r="C357" s="3">
        <f t="shared" si="22"/>
        <v>56786.564176215099</v>
      </c>
      <c r="D357" s="3">
        <f t="shared" si="23"/>
        <v>27.36689264474262</v>
      </c>
      <c r="E357" s="8">
        <f t="shared" si="20"/>
        <v>50.142857142857146</v>
      </c>
      <c r="F357" s="3"/>
      <c r="G357" s="3"/>
      <c r="H357" s="3"/>
    </row>
    <row r="358" spans="1:8" ht="18.75" x14ac:dyDescent="0.3">
      <c r="A358" s="3">
        <v>352</v>
      </c>
      <c r="B358" s="9">
        <f t="shared" si="21"/>
        <v>0.90819185522209511</v>
      </c>
      <c r="C358" s="3">
        <f t="shared" si="22"/>
        <v>56813.757887128602</v>
      </c>
      <c r="D358" s="3">
        <f t="shared" si="23"/>
        <v>27.19371091350331</v>
      </c>
      <c r="E358" s="8">
        <f t="shared" si="20"/>
        <v>50.285714285714285</v>
      </c>
      <c r="F358" s="3"/>
      <c r="G358" s="3"/>
      <c r="H358" s="3"/>
    </row>
    <row r="359" spans="1:8" ht="18.75" x14ac:dyDescent="0.3">
      <c r="A359" s="3">
        <v>353</v>
      </c>
      <c r="B359" s="9">
        <f t="shared" si="21"/>
        <v>0.90862381208316456</v>
      </c>
      <c r="C359" s="3">
        <f t="shared" si="22"/>
        <v>56840.779812486522</v>
      </c>
      <c r="D359" s="3">
        <f t="shared" si="23"/>
        <v>27.021925357919827</v>
      </c>
      <c r="E359" s="8">
        <f t="shared" si="20"/>
        <v>50.428571428571431</v>
      </c>
      <c r="F359" s="3"/>
      <c r="G359" s="3"/>
      <c r="H359" s="3"/>
    </row>
    <row r="360" spans="1:8" ht="18.75" x14ac:dyDescent="0.3">
      <c r="A360" s="3">
        <v>354</v>
      </c>
      <c r="B360" s="9">
        <f t="shared" si="21"/>
        <v>0.90905304497777339</v>
      </c>
      <c r="C360" s="3">
        <f t="shared" si="22"/>
        <v>56867.631334674574</v>
      </c>
      <c r="D360" s="3">
        <f t="shared" si="23"/>
        <v>26.851522188051604</v>
      </c>
      <c r="E360" s="8">
        <f t="shared" si="20"/>
        <v>50.571428571428569</v>
      </c>
      <c r="F360" s="3"/>
      <c r="G360" s="3"/>
      <c r="H360" s="3"/>
    </row>
    <row r="361" spans="1:8" ht="18.75" x14ac:dyDescent="0.3">
      <c r="A361" s="3">
        <v>355</v>
      </c>
      <c r="B361" s="9">
        <f t="shared" si="21"/>
        <v>0.90947957578608818</v>
      </c>
      <c r="C361" s="3">
        <f t="shared" si="22"/>
        <v>56894.31382245032</v>
      </c>
      <c r="D361" s="3">
        <f t="shared" si="23"/>
        <v>26.682487775746267</v>
      </c>
      <c r="E361" s="8">
        <f t="shared" si="20"/>
        <v>50.714285714285715</v>
      </c>
      <c r="F361" s="3"/>
      <c r="G361" s="3"/>
      <c r="H361" s="3"/>
    </row>
    <row r="362" spans="1:8" ht="18.75" x14ac:dyDescent="0.3">
      <c r="A362" s="3">
        <v>356</v>
      </c>
      <c r="B362" s="9">
        <f t="shared" si="21"/>
        <v>0.90990342617297604</v>
      </c>
      <c r="C362" s="3">
        <f t="shared" si="22"/>
        <v>56920.828631102864</v>
      </c>
      <c r="D362" s="3">
        <f t="shared" si="23"/>
        <v>26.514808652544161</v>
      </c>
      <c r="E362" s="8">
        <f t="shared" si="20"/>
        <v>50.857142857142854</v>
      </c>
      <c r="F362" s="3"/>
      <c r="G362" s="3"/>
      <c r="H362" s="3"/>
    </row>
    <row r="363" spans="1:8" ht="18.75" x14ac:dyDescent="0.3">
      <c r="A363" s="3">
        <v>357</v>
      </c>
      <c r="B363" s="9">
        <f t="shared" si="21"/>
        <v>0.91032461759052241</v>
      </c>
      <c r="C363" s="3">
        <f t="shared" si="22"/>
        <v>56947.177102610309</v>
      </c>
      <c r="D363" s="3">
        <f t="shared" si="23"/>
        <v>26.348471507444629</v>
      </c>
      <c r="E363" s="8">
        <f t="shared" si="20"/>
        <v>51</v>
      </c>
      <c r="F363" s="3"/>
      <c r="G363" s="3"/>
      <c r="H363" s="3"/>
    </row>
    <row r="364" spans="1:8" ht="18.75" x14ac:dyDescent="0.3">
      <c r="A364" s="3">
        <v>358</v>
      </c>
      <c r="B364" s="9">
        <f t="shared" si="21"/>
        <v>0.91074317128051396</v>
      </c>
      <c r="C364" s="3">
        <f t="shared" si="22"/>
        <v>56973.360565795112</v>
      </c>
      <c r="D364" s="3">
        <f t="shared" si="23"/>
        <v>26.183463184803259</v>
      </c>
      <c r="E364" s="8">
        <f t="shared" si="20"/>
        <v>51.142857142857146</v>
      </c>
      <c r="F364" s="3"/>
      <c r="G364" s="3"/>
      <c r="H364" s="3"/>
    </row>
    <row r="365" spans="1:8" ht="18.75" x14ac:dyDescent="0.3">
      <c r="A365" s="3">
        <v>359</v>
      </c>
      <c r="B365" s="9">
        <f t="shared" si="21"/>
        <v>0.91115910827688773</v>
      </c>
      <c r="C365" s="3">
        <f t="shared" si="22"/>
        <v>56999.380336477268</v>
      </c>
      <c r="D365" s="3">
        <f t="shared" si="23"/>
        <v>26.019770682156377</v>
      </c>
      <c r="E365" s="8">
        <f t="shared" si="20"/>
        <v>51.285714285714285</v>
      </c>
      <c r="F365" s="3"/>
      <c r="G365" s="3"/>
      <c r="H365" s="3"/>
    </row>
    <row r="366" spans="1:8" ht="18.75" x14ac:dyDescent="0.3">
      <c r="A366" s="3">
        <v>360</v>
      </c>
      <c r="B366" s="9">
        <f t="shared" si="21"/>
        <v>0.9115724494081483</v>
      </c>
      <c r="C366" s="3">
        <f t="shared" si="22"/>
        <v>57025.237717625532</v>
      </c>
      <c r="D366" s="3">
        <f t="shared" si="23"/>
        <v>25.857381148263812</v>
      </c>
      <c r="E366" s="8">
        <f t="shared" si="20"/>
        <v>51.428571428571431</v>
      </c>
      <c r="F366" s="3"/>
      <c r="G366" s="3"/>
      <c r="H366" s="3"/>
    </row>
    <row r="367" spans="1:8" ht="18.75" x14ac:dyDescent="0.3">
      <c r="A367" s="3">
        <v>361</v>
      </c>
      <c r="B367" s="9">
        <f t="shared" si="21"/>
        <v>0.91198321529975124</v>
      </c>
      <c r="C367" s="3">
        <f t="shared" si="22"/>
        <v>57050.933999506538</v>
      </c>
      <c r="D367" s="3">
        <f t="shared" si="23"/>
        <v>25.696281881006144</v>
      </c>
      <c r="E367" s="8">
        <f t="shared" si="20"/>
        <v>51.571428571428569</v>
      </c>
      <c r="F367" s="3"/>
      <c r="G367" s="3"/>
      <c r="H367" s="3"/>
    </row>
    <row r="368" spans="1:8" ht="18.75" x14ac:dyDescent="0.3">
      <c r="A368" s="3">
        <v>362</v>
      </c>
      <c r="B368" s="9">
        <f t="shared" si="21"/>
        <v>0.91239142637645543</v>
      </c>
      <c r="C368" s="3">
        <f t="shared" si="22"/>
        <v>57076.470459831922</v>
      </c>
      <c r="D368" s="3">
        <f t="shared" si="23"/>
        <v>25.536460325383814</v>
      </c>
      <c r="E368" s="8">
        <f t="shared" si="20"/>
        <v>51.714285714285715</v>
      </c>
      <c r="F368" s="3"/>
      <c r="G368" s="3"/>
      <c r="H368" s="3"/>
    </row>
    <row r="369" spans="1:8" ht="18.75" x14ac:dyDescent="0.3">
      <c r="A369" s="3">
        <v>363</v>
      </c>
      <c r="B369" s="9">
        <f t="shared" si="21"/>
        <v>0.91279710286464222</v>
      </c>
      <c r="C369" s="3">
        <f t="shared" si="22"/>
        <v>57101.848363903424</v>
      </c>
      <c r="D369" s="3">
        <f t="shared" si="23"/>
        <v>25.377904071501689</v>
      </c>
      <c r="E369" s="8">
        <f t="shared" si="20"/>
        <v>51.857142857142854</v>
      </c>
      <c r="F369" s="3"/>
      <c r="G369" s="3"/>
      <c r="H369" s="3"/>
    </row>
    <row r="370" spans="1:8" ht="18.75" x14ac:dyDescent="0.3">
      <c r="A370" s="3">
        <v>364</v>
      </c>
      <c r="B370" s="9">
        <f t="shared" si="21"/>
        <v>0.91320026479460592</v>
      </c>
      <c r="C370" s="3">
        <f t="shared" si="22"/>
        <v>57127.068964756159</v>
      </c>
      <c r="D370" s="3">
        <f t="shared" si="23"/>
        <v>25.220600852735515</v>
      </c>
      <c r="E370" s="8">
        <f t="shared" si="20"/>
        <v>52</v>
      </c>
      <c r="F370" s="3"/>
      <c r="G370" s="3"/>
      <c r="H370" s="3"/>
    </row>
    <row r="371" spans="1:8" ht="18.75" x14ac:dyDescent="0.3">
      <c r="A371" s="3">
        <v>365</v>
      </c>
      <c r="B371" s="9">
        <f t="shared" si="21"/>
        <v>0.91360093200281167</v>
      </c>
      <c r="C371" s="3">
        <f t="shared" si="22"/>
        <v>57152.13350329989</v>
      </c>
      <c r="D371" s="3">
        <f t="shared" si="23"/>
        <v>25.064538543731032</v>
      </c>
      <c r="E371" s="8">
        <f t="shared" si="20"/>
        <v>52.142857142857146</v>
      </c>
      <c r="F371" s="3"/>
      <c r="G371" s="3"/>
      <c r="H371" s="3"/>
    </row>
    <row r="372" spans="1:8" ht="18.75" x14ac:dyDescent="0.3">
      <c r="A372" s="3">
        <v>366</v>
      </c>
      <c r="B372" s="9">
        <f t="shared" si="21"/>
        <v>0.91399912413412332</v>
      </c>
      <c r="C372" s="3">
        <f t="shared" si="22"/>
        <v>57177.043208458352</v>
      </c>
      <c r="D372" s="3">
        <f t="shared" si="23"/>
        <v>24.909705158461293</v>
      </c>
      <c r="E372" s="8">
        <f t="shared" si="20"/>
        <v>52.285714285714285</v>
      </c>
      <c r="F372" s="3"/>
      <c r="G372" s="3"/>
      <c r="H372" s="3"/>
    </row>
    <row r="373" spans="1:8" ht="18.75" x14ac:dyDescent="0.3">
      <c r="A373" s="3">
        <v>367</v>
      </c>
      <c r="B373" s="9">
        <f t="shared" si="21"/>
        <v>0.91439486064400299</v>
      </c>
      <c r="C373" s="3">
        <f t="shared" si="22"/>
        <v>57201.799297306898</v>
      </c>
      <c r="D373" s="3">
        <f t="shared" si="23"/>
        <v>24.756088848545915</v>
      </c>
      <c r="E373" s="8">
        <f t="shared" si="20"/>
        <v>52.428571428571431</v>
      </c>
      <c r="F373" s="3"/>
      <c r="G373" s="3"/>
      <c r="H373" s="3"/>
    </row>
    <row r="374" spans="1:8" ht="18.75" x14ac:dyDescent="0.3">
      <c r="A374" s="3">
        <v>368</v>
      </c>
      <c r="B374" s="9">
        <f t="shared" si="21"/>
        <v>0.91478816080067971</v>
      </c>
      <c r="C374" s="3">
        <f t="shared" si="22"/>
        <v>57226.402975208119</v>
      </c>
      <c r="D374" s="3">
        <f t="shared" si="23"/>
        <v>24.60367790122109</v>
      </c>
      <c r="E374" s="8">
        <f t="shared" si="20"/>
        <v>52.571428571428569</v>
      </c>
      <c r="F374" s="3"/>
      <c r="G374" s="3"/>
      <c r="H374" s="3"/>
    </row>
    <row r="375" spans="1:8" ht="18.75" x14ac:dyDescent="0.3">
      <c r="A375" s="3">
        <v>369</v>
      </c>
      <c r="B375" s="9">
        <f t="shared" si="21"/>
        <v>0.91517904368729008</v>
      </c>
      <c r="C375" s="3">
        <f t="shared" si="22"/>
        <v>57250.855435945807</v>
      </c>
      <c r="D375" s="3">
        <f t="shared" si="23"/>
        <v>24.452460737687943</v>
      </c>
      <c r="E375" s="8">
        <f t="shared" si="20"/>
        <v>52.714285714285715</v>
      </c>
      <c r="F375" s="3"/>
      <c r="G375" s="3"/>
      <c r="H375" s="3"/>
    </row>
    <row r="376" spans="1:8" ht="18.75" x14ac:dyDescent="0.3">
      <c r="A376" s="3">
        <v>370</v>
      </c>
      <c r="B376" s="9">
        <f t="shared" si="21"/>
        <v>0.91556752820399101</v>
      </c>
      <c r="C376" s="3">
        <f t="shared" si="22"/>
        <v>57275.157861857064</v>
      </c>
      <c r="D376" s="3">
        <f t="shared" si="23"/>
        <v>24.30242591125716</v>
      </c>
      <c r="E376" s="8">
        <f t="shared" si="20"/>
        <v>52.857142857142854</v>
      </c>
      <c r="F376" s="3"/>
      <c r="G376" s="3"/>
      <c r="H376" s="3"/>
    </row>
    <row r="377" spans="1:8" ht="18.75" x14ac:dyDescent="0.3">
      <c r="A377" s="3">
        <v>371</v>
      </c>
      <c r="B377" s="9">
        <f t="shared" si="21"/>
        <v>0.91595363307004352</v>
      </c>
      <c r="C377" s="3">
        <f t="shared" si="22"/>
        <v>57299.31142396271</v>
      </c>
      <c r="D377" s="3">
        <f t="shared" si="23"/>
        <v>24.153562105646415</v>
      </c>
      <c r="E377" s="8">
        <f t="shared" si="20"/>
        <v>53</v>
      </c>
      <c r="F377" s="3"/>
      <c r="G377" s="3"/>
      <c r="H377" s="3"/>
    </row>
    <row r="378" spans="1:8" ht="18.75" x14ac:dyDescent="0.3">
      <c r="A378" s="3">
        <v>372</v>
      </c>
      <c r="B378" s="9">
        <f t="shared" si="21"/>
        <v>0.91633737682586902</v>
      </c>
      <c r="C378" s="3">
        <f t="shared" si="22"/>
        <v>57323.317282095886</v>
      </c>
      <c r="D378" s="3">
        <f t="shared" si="23"/>
        <v>24.005858133175934</v>
      </c>
      <c r="E378" s="8">
        <f t="shared" si="20"/>
        <v>53.142857142857146</v>
      </c>
      <c r="F378" s="3"/>
      <c r="G378" s="3"/>
      <c r="H378" s="3"/>
    </row>
    <row r="379" spans="1:8" ht="18.75" x14ac:dyDescent="0.3">
      <c r="A379" s="3">
        <v>373</v>
      </c>
      <c r="B379" s="9">
        <f t="shared" si="21"/>
        <v>0.91671877783507982</v>
      </c>
      <c r="C379" s="3">
        <f t="shared" si="22"/>
        <v>57347.17658502909</v>
      </c>
      <c r="D379" s="3">
        <f t="shared" si="23"/>
        <v>23.859302933204162</v>
      </c>
      <c r="E379" s="8">
        <f t="shared" si="20"/>
        <v>53.285714285714285</v>
      </c>
      <c r="F379" s="3"/>
      <c r="G379" s="3"/>
      <c r="H379" s="3"/>
    </row>
    <row r="380" spans="1:8" ht="18.75" x14ac:dyDescent="0.3">
      <c r="A380" s="3">
        <v>374</v>
      </c>
      <c r="B380" s="9">
        <f t="shared" si="21"/>
        <v>0.91709785428648105</v>
      </c>
      <c r="C380" s="3">
        <f t="shared" si="22"/>
        <v>57370.890470599392</v>
      </c>
      <c r="D380" s="3">
        <f t="shared" si="23"/>
        <v>23.7138855703015</v>
      </c>
      <c r="E380" s="8">
        <f t="shared" si="20"/>
        <v>53.428571428571431</v>
      </c>
      <c r="F380" s="3"/>
      <c r="G380" s="3"/>
      <c r="H380" s="3"/>
    </row>
    <row r="381" spans="1:8" ht="18.75" x14ac:dyDescent="0.3">
      <c r="A381" s="3">
        <v>375</v>
      </c>
      <c r="B381" s="9">
        <f t="shared" si="21"/>
        <v>0.91747462419604797</v>
      </c>
      <c r="C381" s="3">
        <f t="shared" si="22"/>
        <v>57394.460065832172</v>
      </c>
      <c r="D381" s="3">
        <f t="shared" si="23"/>
        <v>23.569595232780557</v>
      </c>
      <c r="E381" s="8">
        <f t="shared" si="20"/>
        <v>53.571428571428569</v>
      </c>
      <c r="F381" s="3"/>
      <c r="G381" s="3"/>
      <c r="H381" s="3"/>
    </row>
    <row r="382" spans="1:8" ht="18.75" x14ac:dyDescent="0.3">
      <c r="A382" s="3">
        <v>376</v>
      </c>
      <c r="B382" s="9">
        <f t="shared" si="21"/>
        <v>0.91784910540887632</v>
      </c>
      <c r="C382" s="3">
        <f t="shared" si="22"/>
        <v>57417.886487063079</v>
      </c>
      <c r="D382" s="3">
        <f t="shared" si="23"/>
        <v>23.426421230906271</v>
      </c>
      <c r="E382" s="8">
        <f t="shared" si="20"/>
        <v>53.714285714285715</v>
      </c>
      <c r="F382" s="3"/>
      <c r="G382" s="3"/>
      <c r="H382" s="3"/>
    </row>
    <row r="383" spans="1:8" ht="18.75" x14ac:dyDescent="0.3">
      <c r="A383" s="3">
        <v>377</v>
      </c>
      <c r="B383" s="9">
        <f t="shared" si="21"/>
        <v>0.91822131560110731</v>
      </c>
      <c r="C383" s="3">
        <f t="shared" si="22"/>
        <v>57441.170840058468</v>
      </c>
      <c r="D383" s="3">
        <f t="shared" si="23"/>
        <v>23.284352995389781</v>
      </c>
      <c r="E383" s="8">
        <f t="shared" si="20"/>
        <v>53.857142857142854</v>
      </c>
      <c r="F383" s="3"/>
      <c r="G383" s="3"/>
      <c r="H383" s="3"/>
    </row>
    <row r="384" spans="1:8" ht="18.75" x14ac:dyDescent="0.3">
      <c r="A384" s="3">
        <v>378</v>
      </c>
      <c r="B384" s="9">
        <f t="shared" si="21"/>
        <v>0.91859127228182769</v>
      </c>
      <c r="C384" s="3">
        <f t="shared" si="22"/>
        <v>57464.314220134293</v>
      </c>
      <c r="D384" s="3">
        <f t="shared" si="23"/>
        <v>23.143380075824098</v>
      </c>
      <c r="E384" s="8">
        <f t="shared" si="20"/>
        <v>54</v>
      </c>
      <c r="F384" s="3"/>
      <c r="G384" s="3"/>
      <c r="H384" s="3"/>
    </row>
    <row r="385" spans="1:8" ht="18.75" x14ac:dyDescent="0.3">
      <c r="A385" s="3">
        <v>379</v>
      </c>
      <c r="B385" s="9">
        <f t="shared" si="21"/>
        <v>0.91895899279494475</v>
      </c>
      <c r="C385" s="3">
        <f t="shared" si="22"/>
        <v>57487.317712273361</v>
      </c>
      <c r="D385" s="3">
        <f t="shared" si="23"/>
        <v>23.00349213906884</v>
      </c>
      <c r="E385" s="8">
        <f t="shared" si="20"/>
        <v>54.142857142857146</v>
      </c>
      <c r="F385" s="3"/>
      <c r="G385" s="3"/>
      <c r="H385" s="3"/>
    </row>
    <row r="386" spans="1:8" ht="18.75" x14ac:dyDescent="0.3">
      <c r="A386" s="3">
        <v>380</v>
      </c>
      <c r="B386" s="9">
        <f t="shared" si="21"/>
        <v>0.91932449432103758</v>
      </c>
      <c r="C386" s="3">
        <f t="shared" si="22"/>
        <v>57510.182391241149</v>
      </c>
      <c r="D386" s="3">
        <f t="shared" si="23"/>
        <v>22.864678967787768</v>
      </c>
      <c r="E386" s="8">
        <f t="shared" si="20"/>
        <v>54.285714285714285</v>
      </c>
      <c r="F386" s="3"/>
      <c r="G386" s="3"/>
      <c r="H386" s="3"/>
    </row>
    <row r="387" spans="1:8" ht="18.75" x14ac:dyDescent="0.3">
      <c r="A387" s="3">
        <v>381</v>
      </c>
      <c r="B387" s="9">
        <f t="shared" si="21"/>
        <v>0.9196877938791832</v>
      </c>
      <c r="C387" s="3">
        <f t="shared" si="22"/>
        <v>57532.909321700063</v>
      </c>
      <c r="D387" s="3">
        <f t="shared" si="23"/>
        <v>22.726930458913557</v>
      </c>
      <c r="E387" s="8">
        <f t="shared" si="20"/>
        <v>54.428571428571431</v>
      </c>
      <c r="F387" s="3"/>
      <c r="G387" s="3"/>
      <c r="H387" s="3"/>
    </row>
    <row r="388" spans="1:8" ht="18.75" x14ac:dyDescent="0.3">
      <c r="A388" s="3">
        <v>382</v>
      </c>
      <c r="B388" s="9">
        <f t="shared" si="21"/>
        <v>0.92004890832875985</v>
      </c>
      <c r="C388" s="3">
        <f t="shared" si="22"/>
        <v>57555.499558322233</v>
      </c>
      <c r="D388" s="3">
        <f t="shared" si="23"/>
        <v>22.590236622170778</v>
      </c>
      <c r="E388" s="8">
        <f t="shared" si="20"/>
        <v>54.571428571428569</v>
      </c>
      <c r="F388" s="3"/>
      <c r="G388" s="3"/>
      <c r="H388" s="3"/>
    </row>
    <row r="389" spans="1:8" ht="18.75" x14ac:dyDescent="0.3">
      <c r="A389" s="3">
        <v>383</v>
      </c>
      <c r="B389" s="9">
        <f t="shared" si="21"/>
        <v>0.92040785437122663</v>
      </c>
      <c r="C389" s="3">
        <f t="shared" si="22"/>
        <v>57577.954145900825</v>
      </c>
      <c r="D389" s="3">
        <f t="shared" si="23"/>
        <v>22.4545875785916</v>
      </c>
      <c r="E389" s="8">
        <f t="shared" si="20"/>
        <v>54.714285714285715</v>
      </c>
      <c r="F389" s="3"/>
      <c r="G389" s="3"/>
      <c r="H389" s="3"/>
    </row>
    <row r="390" spans="1:8" ht="18.75" x14ac:dyDescent="0.3">
      <c r="A390" s="3">
        <v>384</v>
      </c>
      <c r="B390" s="9">
        <f t="shared" si="21"/>
        <v>0.92076464855188045</v>
      </c>
      <c r="C390" s="3">
        <f t="shared" si="22"/>
        <v>57600.274119459988</v>
      </c>
      <c r="D390" s="3">
        <f t="shared" si="23"/>
        <v>22.319973559162463</v>
      </c>
      <c r="E390" s="8">
        <f t="shared" si="20"/>
        <v>54.857142857142854</v>
      </c>
      <c r="F390" s="3"/>
      <c r="G390" s="3"/>
      <c r="H390" s="3"/>
    </row>
    <row r="391" spans="1:8" ht="18.75" x14ac:dyDescent="0.3">
      <c r="A391" s="3">
        <v>385</v>
      </c>
      <c r="B391" s="9">
        <f t="shared" si="21"/>
        <v>0.9211193072615893</v>
      </c>
      <c r="C391" s="3">
        <f t="shared" si="22"/>
        <v>57622.46050436324</v>
      </c>
      <c r="D391" s="3">
        <f t="shared" si="23"/>
        <v>22.186384903252474</v>
      </c>
      <c r="E391" s="8">
        <f t="shared" ref="E391:E454" si="24">A391/7</f>
        <v>55</v>
      </c>
      <c r="F391" s="3"/>
      <c r="G391" s="3"/>
      <c r="H391" s="3"/>
    </row>
    <row r="392" spans="1:8" ht="18.75" x14ac:dyDescent="0.3">
      <c r="A392" s="3">
        <v>386</v>
      </c>
      <c r="B392" s="9">
        <f t="shared" ref="B392:B455" si="25">LOGNORMDIST(A392,$A$3,$B$3)</f>
        <v>0.9214718467385048</v>
      </c>
      <c r="C392" s="3">
        <f t="shared" ref="C392:C455" si="26">$E$3*B392</f>
        <v>57644.514316420646</v>
      </c>
      <c r="D392" s="3">
        <f t="shared" ref="D392:D455" si="27">C392-C391</f>
        <v>22.053812057405594</v>
      </c>
      <c r="E392" s="8">
        <f t="shared" si="24"/>
        <v>55.142857142857146</v>
      </c>
      <c r="F392" s="3"/>
      <c r="G392" s="3"/>
      <c r="H392" s="3"/>
    </row>
    <row r="393" spans="1:8" ht="18.75" x14ac:dyDescent="0.3">
      <c r="A393" s="3">
        <v>387</v>
      </c>
      <c r="B393" s="9">
        <f t="shared" si="25"/>
        <v>0.92182228306975122</v>
      </c>
      <c r="C393" s="3">
        <f t="shared" si="26"/>
        <v>57666.436561994429</v>
      </c>
      <c r="D393" s="3">
        <f t="shared" si="27"/>
        <v>21.922245573783584</v>
      </c>
      <c r="E393" s="8">
        <f t="shared" si="24"/>
        <v>55.285714285714285</v>
      </c>
      <c r="F393" s="3"/>
      <c r="G393" s="3"/>
      <c r="H393" s="3"/>
    </row>
    <row r="394" spans="1:8" ht="18.75" x14ac:dyDescent="0.3">
      <c r="A394" s="3">
        <v>388</v>
      </c>
      <c r="B394" s="9">
        <f t="shared" si="25"/>
        <v>0.92217063219309392</v>
      </c>
      <c r="C394" s="3">
        <f t="shared" si="26"/>
        <v>57688.228238103373</v>
      </c>
      <c r="D394" s="3">
        <f t="shared" si="27"/>
        <v>21.791676108943648</v>
      </c>
      <c r="E394" s="8">
        <f t="shared" si="24"/>
        <v>55.428571428571431</v>
      </c>
      <c r="F394" s="3"/>
      <c r="G394" s="3"/>
      <c r="H394" s="3"/>
    </row>
    <row r="395" spans="1:8" ht="18.75" x14ac:dyDescent="0.3">
      <c r="A395" s="3">
        <v>389</v>
      </c>
      <c r="B395" s="9">
        <f t="shared" si="25"/>
        <v>0.9225169098985857</v>
      </c>
      <c r="C395" s="3">
        <f t="shared" si="26"/>
        <v>57709.890332525829</v>
      </c>
      <c r="D395" s="3">
        <f t="shared" si="27"/>
        <v>21.662094422455993</v>
      </c>
      <c r="E395" s="8">
        <f t="shared" si="24"/>
        <v>55.571428571428569</v>
      </c>
      <c r="F395" s="3"/>
      <c r="G395" s="3"/>
      <c r="H395" s="3"/>
    </row>
    <row r="396" spans="1:8" ht="18.75" x14ac:dyDescent="0.3">
      <c r="A396" s="3">
        <v>390</v>
      </c>
      <c r="B396" s="9">
        <f t="shared" si="25"/>
        <v>0.92286113183019269</v>
      </c>
      <c r="C396" s="3">
        <f t="shared" si="26"/>
        <v>57731.423823901365</v>
      </c>
      <c r="D396" s="3">
        <f t="shared" si="27"/>
        <v>21.533491375535959</v>
      </c>
      <c r="E396" s="8">
        <f t="shared" si="24"/>
        <v>55.714285714285715</v>
      </c>
      <c r="F396" s="3"/>
      <c r="G396" s="3"/>
      <c r="H396" s="3"/>
    </row>
    <row r="397" spans="1:8" ht="18.75" x14ac:dyDescent="0.3">
      <c r="A397" s="3">
        <v>391</v>
      </c>
      <c r="B397" s="9">
        <f t="shared" si="25"/>
        <v>0.92320331348739881</v>
      </c>
      <c r="C397" s="3">
        <f t="shared" si="26"/>
        <v>57752.829681831208</v>
      </c>
      <c r="D397" s="3">
        <f t="shared" si="27"/>
        <v>21.405857929843478</v>
      </c>
      <c r="E397" s="8">
        <f t="shared" si="24"/>
        <v>55.857142857142854</v>
      </c>
      <c r="F397" s="3"/>
      <c r="G397" s="3"/>
      <c r="H397" s="3"/>
    </row>
    <row r="398" spans="1:8" ht="18.75" x14ac:dyDescent="0.3">
      <c r="A398" s="3">
        <v>392</v>
      </c>
      <c r="B398" s="9">
        <f t="shared" si="25"/>
        <v>0.92354347022679006</v>
      </c>
      <c r="C398" s="3">
        <f t="shared" si="26"/>
        <v>57774.108866977309</v>
      </c>
      <c r="D398" s="3">
        <f t="shared" si="27"/>
        <v>21.279185146100644</v>
      </c>
      <c r="E398" s="8">
        <f t="shared" si="24"/>
        <v>56</v>
      </c>
      <c r="F398" s="3"/>
      <c r="G398" s="3"/>
      <c r="H398" s="3"/>
    </row>
    <row r="399" spans="1:8" ht="18.75" x14ac:dyDescent="0.3">
      <c r="A399" s="3">
        <v>393</v>
      </c>
      <c r="B399" s="9">
        <f t="shared" si="25"/>
        <v>0.92388161726361973</v>
      </c>
      <c r="C399" s="3">
        <f t="shared" si="26"/>
        <v>57795.262331160258</v>
      </c>
      <c r="D399" s="3">
        <f t="shared" si="27"/>
        <v>21.153464182949392</v>
      </c>
      <c r="E399" s="8">
        <f t="shared" si="24"/>
        <v>56.142857142857146</v>
      </c>
      <c r="F399" s="3"/>
      <c r="G399" s="3"/>
      <c r="H399" s="3"/>
    </row>
    <row r="400" spans="1:8" ht="18.75" x14ac:dyDescent="0.3">
      <c r="A400" s="3">
        <v>394</v>
      </c>
      <c r="B400" s="9">
        <f t="shared" si="25"/>
        <v>0.92421776967335134</v>
      </c>
      <c r="C400" s="3">
        <f t="shared" si="26"/>
        <v>57816.291017455842</v>
      </c>
      <c r="D400" s="3">
        <f t="shared" si="27"/>
        <v>21.028686295583611</v>
      </c>
      <c r="E400" s="8">
        <f t="shared" si="24"/>
        <v>56.285714285714285</v>
      </c>
      <c r="F400" s="3"/>
      <c r="G400" s="3"/>
      <c r="H400" s="3"/>
    </row>
    <row r="401" spans="1:8" ht="18.75" x14ac:dyDescent="0.3">
      <c r="A401" s="3">
        <v>395</v>
      </c>
      <c r="B401" s="9">
        <f t="shared" si="25"/>
        <v>0.9245519423931845</v>
      </c>
      <c r="C401" s="3">
        <f t="shared" si="26"/>
        <v>57837.195860290441</v>
      </c>
      <c r="D401" s="3">
        <f t="shared" si="27"/>
        <v>20.904842834599549</v>
      </c>
      <c r="E401" s="8">
        <f t="shared" si="24"/>
        <v>56.428571428571431</v>
      </c>
      <c r="F401" s="3"/>
      <c r="G401" s="3"/>
      <c r="H401" s="3"/>
    </row>
    <row r="402" spans="1:8" ht="18.75" x14ac:dyDescent="0.3">
      <c r="A402" s="3">
        <v>396</v>
      </c>
      <c r="B402" s="9">
        <f t="shared" si="25"/>
        <v>0.92488415022356008</v>
      </c>
      <c r="C402" s="3">
        <f t="shared" si="26"/>
        <v>57857.977785535244</v>
      </c>
      <c r="D402" s="3">
        <f t="shared" si="27"/>
        <v>20.781925244802551</v>
      </c>
      <c r="E402" s="8">
        <f t="shared" si="24"/>
        <v>56.571428571428569</v>
      </c>
      <c r="F402" s="3"/>
      <c r="G402" s="3"/>
      <c r="H402" s="3"/>
    </row>
    <row r="403" spans="1:8" ht="18.75" x14ac:dyDescent="0.3">
      <c r="A403" s="3">
        <v>397</v>
      </c>
      <c r="B403" s="9">
        <f t="shared" si="25"/>
        <v>0.9252144078296467</v>
      </c>
      <c r="C403" s="3">
        <f t="shared" si="26"/>
        <v>57878.637710599207</v>
      </c>
      <c r="D403" s="3">
        <f t="shared" si="27"/>
        <v>20.659925063962874</v>
      </c>
      <c r="E403" s="8">
        <f t="shared" si="24"/>
        <v>56.714285714285715</v>
      </c>
      <c r="F403" s="3"/>
      <c r="G403" s="3"/>
      <c r="H403" s="3"/>
    </row>
    <row r="404" spans="1:8" ht="18.75" x14ac:dyDescent="0.3">
      <c r="A404" s="3">
        <v>398</v>
      </c>
      <c r="B404" s="9">
        <f t="shared" si="25"/>
        <v>0.9255427297428086</v>
      </c>
      <c r="C404" s="3">
        <f t="shared" si="26"/>
        <v>57899.17654452088</v>
      </c>
      <c r="D404" s="3">
        <f t="shared" si="27"/>
        <v>20.538833921673358</v>
      </c>
      <c r="E404" s="8">
        <f t="shared" si="24"/>
        <v>56.857142857142854</v>
      </c>
      <c r="F404" s="3"/>
      <c r="G404" s="3"/>
      <c r="H404" s="3"/>
    </row>
    <row r="405" spans="1:8" ht="18.75" x14ac:dyDescent="0.3">
      <c r="A405" s="3">
        <v>399</v>
      </c>
      <c r="B405" s="9">
        <f t="shared" si="25"/>
        <v>0.92586913036205465</v>
      </c>
      <c r="C405" s="3">
        <f t="shared" si="26"/>
        <v>57919.595188059051</v>
      </c>
      <c r="D405" s="3">
        <f t="shared" si="27"/>
        <v>20.418643538170727</v>
      </c>
      <c r="E405" s="8">
        <f t="shared" si="24"/>
        <v>57</v>
      </c>
      <c r="F405" s="3"/>
      <c r="G405" s="3"/>
      <c r="H405" s="3"/>
    </row>
    <row r="406" spans="1:8" ht="18.75" x14ac:dyDescent="0.3">
      <c r="A406" s="3">
        <v>400</v>
      </c>
      <c r="B406" s="9">
        <f t="shared" si="25"/>
        <v>0.92619362395546978</v>
      </c>
      <c r="C406" s="3">
        <f t="shared" si="26"/>
        <v>57939.894533782324</v>
      </c>
      <c r="D406" s="3">
        <f t="shared" si="27"/>
        <v>20.299345723273291</v>
      </c>
      <c r="E406" s="8">
        <f t="shared" si="24"/>
        <v>57.142857142857146</v>
      </c>
      <c r="F406" s="3"/>
      <c r="G406" s="3"/>
      <c r="H406" s="3"/>
    </row>
    <row r="407" spans="1:8" ht="18.75" x14ac:dyDescent="0.3">
      <c r="A407" s="3">
        <v>401</v>
      </c>
      <c r="B407" s="9">
        <f t="shared" si="25"/>
        <v>0.92651622466162831</v>
      </c>
      <c r="C407" s="3">
        <f t="shared" si="26"/>
        <v>57960.075466157483</v>
      </c>
      <c r="D407" s="3">
        <f t="shared" si="27"/>
        <v>20.180932375158591</v>
      </c>
      <c r="E407" s="8">
        <f t="shared" si="24"/>
        <v>57.285714285714285</v>
      </c>
      <c r="F407" s="3"/>
      <c r="G407" s="3"/>
      <c r="H407" s="3"/>
    </row>
    <row r="408" spans="1:8" ht="18.75" x14ac:dyDescent="0.3">
      <c r="A408" s="3">
        <v>402</v>
      </c>
      <c r="B408" s="9">
        <f t="shared" si="25"/>
        <v>0.92683694649098847</v>
      </c>
      <c r="C408" s="3">
        <f t="shared" si="26"/>
        <v>57980.138861636762</v>
      </c>
      <c r="D408" s="3">
        <f t="shared" si="27"/>
        <v>20.063395479279279</v>
      </c>
      <c r="E408" s="8">
        <f t="shared" si="24"/>
        <v>57.428571428571431</v>
      </c>
      <c r="F408" s="3"/>
      <c r="G408" s="3"/>
      <c r="H408" s="3"/>
    </row>
    <row r="409" spans="1:8" ht="18.75" x14ac:dyDescent="0.3">
      <c r="A409" s="3">
        <v>403</v>
      </c>
      <c r="B409" s="9">
        <f t="shared" si="25"/>
        <v>0.92715580332727154</v>
      </c>
      <c r="C409" s="3">
        <f t="shared" si="26"/>
        <v>58000.085588744128</v>
      </c>
      <c r="D409" s="3">
        <f t="shared" si="27"/>
        <v>19.946727107366314</v>
      </c>
      <c r="E409" s="8">
        <f t="shared" si="24"/>
        <v>57.571428571428569</v>
      </c>
      <c r="F409" s="3"/>
      <c r="G409" s="3"/>
      <c r="H409" s="3"/>
    </row>
    <row r="410" spans="1:8" ht="18.75" x14ac:dyDescent="0.3">
      <c r="A410" s="3">
        <v>404</v>
      </c>
      <c r="B410" s="9">
        <f t="shared" si="25"/>
        <v>0.92747280892882211</v>
      </c>
      <c r="C410" s="3">
        <f t="shared" si="26"/>
        <v>58019.916508160328</v>
      </c>
      <c r="D410" s="3">
        <f t="shared" si="27"/>
        <v>19.830919416199322</v>
      </c>
      <c r="E410" s="8">
        <f t="shared" si="24"/>
        <v>57.714285714285715</v>
      </c>
      <c r="F410" s="3"/>
      <c r="G410" s="3"/>
      <c r="H410" s="3"/>
    </row>
    <row r="411" spans="1:8" ht="18.75" x14ac:dyDescent="0.3">
      <c r="A411" s="3">
        <v>405</v>
      </c>
      <c r="B411" s="9">
        <f t="shared" si="25"/>
        <v>0.92778797692995163</v>
      </c>
      <c r="C411" s="3">
        <f t="shared" si="26"/>
        <v>58039.632472806981</v>
      </c>
      <c r="D411" s="3">
        <f t="shared" si="27"/>
        <v>19.715964646653447</v>
      </c>
      <c r="E411" s="8">
        <f t="shared" si="24"/>
        <v>57.857142857142854</v>
      </c>
      <c r="F411" s="3"/>
      <c r="G411" s="3"/>
      <c r="H411" s="3"/>
    </row>
    <row r="412" spans="1:8" ht="18.75" x14ac:dyDescent="0.3">
      <c r="A412" s="3">
        <v>406</v>
      </c>
      <c r="B412" s="9">
        <f t="shared" si="25"/>
        <v>0.92810132084226649</v>
      </c>
      <c r="C412" s="3">
        <f t="shared" si="26"/>
        <v>58059.234327929662</v>
      </c>
      <c r="D412" s="3">
        <f t="shared" si="27"/>
        <v>19.601855122680718</v>
      </c>
      <c r="E412" s="8">
        <f t="shared" si="24"/>
        <v>58</v>
      </c>
      <c r="F412" s="3"/>
      <c r="G412" s="3"/>
      <c r="H412" s="3"/>
    </row>
    <row r="413" spans="1:8" ht="18.75" x14ac:dyDescent="0.3">
      <c r="A413" s="3">
        <v>407</v>
      </c>
      <c r="B413" s="9">
        <f t="shared" si="25"/>
        <v>0.92841285405597818</v>
      </c>
      <c r="C413" s="3">
        <f t="shared" si="26"/>
        <v>58078.72291117983</v>
      </c>
      <c r="D413" s="3">
        <f t="shared" si="27"/>
        <v>19.488583250167721</v>
      </c>
      <c r="E413" s="8">
        <f t="shared" si="24"/>
        <v>58.142857142857146</v>
      </c>
      <c r="F413" s="3"/>
      <c r="G413" s="3"/>
      <c r="H413" s="3"/>
    </row>
    <row r="414" spans="1:8" ht="18.75" x14ac:dyDescent="0.3">
      <c r="A414" s="3">
        <v>408</v>
      </c>
      <c r="B414" s="9">
        <f t="shared" si="25"/>
        <v>0.92872258984119749</v>
      </c>
      <c r="C414" s="3">
        <f t="shared" si="26"/>
        <v>58098.09905269579</v>
      </c>
      <c r="D414" s="3">
        <f t="shared" si="27"/>
        <v>19.376141515960626</v>
      </c>
      <c r="E414" s="8">
        <f t="shared" si="24"/>
        <v>58.285714285714285</v>
      </c>
      <c r="F414" s="3"/>
      <c r="G414" s="3"/>
      <c r="H414" s="3"/>
    </row>
    <row r="415" spans="1:8" ht="18.75" x14ac:dyDescent="0.3">
      <c r="A415" s="3">
        <v>409</v>
      </c>
      <c r="B415" s="9">
        <f t="shared" si="25"/>
        <v>0.9290305413492137</v>
      </c>
      <c r="C415" s="3">
        <f t="shared" si="26"/>
        <v>58117.363575182761</v>
      </c>
      <c r="D415" s="3">
        <f t="shared" si="27"/>
        <v>19.264522486970236</v>
      </c>
      <c r="E415" s="8">
        <f t="shared" si="24"/>
        <v>58.428571428571431</v>
      </c>
      <c r="F415" s="3"/>
      <c r="G415" s="3"/>
      <c r="H415" s="3"/>
    </row>
    <row r="416" spans="1:8" ht="18.75" x14ac:dyDescent="0.3">
      <c r="A416" s="3">
        <v>410</v>
      </c>
      <c r="B416" s="9">
        <f t="shared" si="25"/>
        <v>0.92933672161375647</v>
      </c>
      <c r="C416" s="3">
        <f t="shared" si="26"/>
        <v>58136.517293991761</v>
      </c>
      <c r="D416" s="3">
        <f t="shared" si="27"/>
        <v>19.153718809000566</v>
      </c>
      <c r="E416" s="8">
        <f t="shared" si="24"/>
        <v>58.571428571428569</v>
      </c>
      <c r="F416" s="3"/>
      <c r="G416" s="3"/>
      <c r="H416" s="3"/>
    </row>
    <row r="417" spans="1:8" ht="18.75" x14ac:dyDescent="0.3">
      <c r="A417" s="3">
        <v>411</v>
      </c>
      <c r="B417" s="9">
        <f t="shared" si="25"/>
        <v>0.92964114355224359</v>
      </c>
      <c r="C417" s="3">
        <f t="shared" si="26"/>
        <v>58155.561017197702</v>
      </c>
      <c r="D417" s="3">
        <f t="shared" si="27"/>
        <v>19.043723205941205</v>
      </c>
      <c r="E417" s="8">
        <f t="shared" si="24"/>
        <v>58.714285714285715</v>
      </c>
      <c r="F417" s="3"/>
      <c r="G417" s="3"/>
      <c r="H417" s="3"/>
    </row>
    <row r="418" spans="1:8" ht="18.75" x14ac:dyDescent="0.3">
      <c r="A418" s="3">
        <v>412</v>
      </c>
      <c r="B418" s="9">
        <f t="shared" si="25"/>
        <v>0.92994381996701281</v>
      </c>
      <c r="C418" s="3">
        <f t="shared" si="26"/>
        <v>58174.495545676422</v>
      </c>
      <c r="D418" s="3">
        <f t="shared" si="27"/>
        <v>18.934528478719585</v>
      </c>
      <c r="E418" s="8">
        <f t="shared" si="24"/>
        <v>58.857142857142854</v>
      </c>
      <c r="F418" s="3"/>
      <c r="G418" s="3"/>
      <c r="H418" s="3"/>
    </row>
    <row r="419" spans="1:8" ht="18.75" x14ac:dyDescent="0.3">
      <c r="A419" s="3">
        <v>413</v>
      </c>
      <c r="B419" s="9">
        <f t="shared" si="25"/>
        <v>0.93024476354653773</v>
      </c>
      <c r="C419" s="3">
        <f t="shared" si="26"/>
        <v>58193.321673180762</v>
      </c>
      <c r="D419" s="3">
        <f t="shared" si="27"/>
        <v>18.826127504340548</v>
      </c>
      <c r="E419" s="8">
        <f t="shared" si="24"/>
        <v>59</v>
      </c>
      <c r="F419" s="3"/>
      <c r="G419" s="3"/>
      <c r="H419" s="3"/>
    </row>
    <row r="420" spans="1:8" ht="18.75" x14ac:dyDescent="0.3">
      <c r="A420" s="3">
        <v>414</v>
      </c>
      <c r="B420" s="9">
        <f t="shared" si="25"/>
        <v>0.93054398686663009</v>
      </c>
      <c r="C420" s="3">
        <f t="shared" si="26"/>
        <v>58212.040186415776</v>
      </c>
      <c r="D420" s="3">
        <f t="shared" si="27"/>
        <v>18.718513235013233</v>
      </c>
      <c r="E420" s="8">
        <f t="shared" si="24"/>
        <v>59.142857142857146</v>
      </c>
      <c r="F420" s="3"/>
      <c r="G420" s="3"/>
      <c r="H420" s="3"/>
    </row>
    <row r="421" spans="1:8" ht="18.75" x14ac:dyDescent="0.3">
      <c r="A421" s="3">
        <v>415</v>
      </c>
      <c r="B421" s="9">
        <f t="shared" si="25"/>
        <v>0.930841502391627</v>
      </c>
      <c r="C421" s="3">
        <f t="shared" si="26"/>
        <v>58230.65186511301</v>
      </c>
      <c r="D421" s="3">
        <f t="shared" si="27"/>
        <v>18.611678697234311</v>
      </c>
      <c r="E421" s="8">
        <f t="shared" si="24"/>
        <v>59.285714285714285</v>
      </c>
      <c r="F421" s="3"/>
      <c r="G421" s="3"/>
      <c r="H421" s="3"/>
    </row>
    <row r="422" spans="1:8" ht="18.75" x14ac:dyDescent="0.3">
      <c r="A422" s="3">
        <v>416</v>
      </c>
      <c r="B422" s="9">
        <f t="shared" si="25"/>
        <v>0.93113732247556324</v>
      </c>
      <c r="C422" s="3">
        <f t="shared" si="26"/>
        <v>58249.157482103808</v>
      </c>
      <c r="D422" s="3">
        <f t="shared" si="27"/>
        <v>18.505616990798444</v>
      </c>
      <c r="E422" s="8">
        <f t="shared" si="24"/>
        <v>59.428571428571431</v>
      </c>
      <c r="F422" s="3"/>
      <c r="G422" s="3"/>
      <c r="H422" s="3"/>
    </row>
    <row r="423" spans="1:8" ht="18.75" x14ac:dyDescent="0.3">
      <c r="A423" s="3">
        <v>417</v>
      </c>
      <c r="B423" s="9">
        <f t="shared" si="25"/>
        <v>0.93143145936332905</v>
      </c>
      <c r="C423" s="3">
        <f t="shared" si="26"/>
        <v>58267.557803391777</v>
      </c>
      <c r="D423" s="3">
        <f t="shared" si="27"/>
        <v>18.400321287968836</v>
      </c>
      <c r="E423" s="8">
        <f t="shared" si="24"/>
        <v>59.571428571428569</v>
      </c>
      <c r="F423" s="3"/>
      <c r="G423" s="3"/>
      <c r="H423" s="3"/>
    </row>
    <row r="424" spans="1:8" ht="18.75" x14ac:dyDescent="0.3">
      <c r="A424" s="3">
        <v>418</v>
      </c>
      <c r="B424" s="9">
        <f t="shared" si="25"/>
        <v>0.93172392519181502</v>
      </c>
      <c r="C424" s="3">
        <f t="shared" si="26"/>
        <v>58285.853588224374</v>
      </c>
      <c r="D424" s="3">
        <f t="shared" si="27"/>
        <v>18.295784832596837</v>
      </c>
      <c r="E424" s="8">
        <f t="shared" si="24"/>
        <v>59.714285714285715</v>
      </c>
      <c r="F424" s="3"/>
      <c r="G424" s="3"/>
      <c r="H424" s="3"/>
    </row>
    <row r="425" spans="1:8" ht="18.75" x14ac:dyDescent="0.3">
      <c r="A425" s="3">
        <v>419</v>
      </c>
      <c r="B425" s="9">
        <f t="shared" si="25"/>
        <v>0.93201473199104157</v>
      </c>
      <c r="C425" s="3">
        <f t="shared" si="26"/>
        <v>58304.045589163587</v>
      </c>
      <c r="D425" s="3">
        <f t="shared" si="27"/>
        <v>18.192000939212448</v>
      </c>
      <c r="E425" s="8">
        <f t="shared" si="24"/>
        <v>59.857142857142854</v>
      </c>
      <c r="F425" s="3"/>
      <c r="G425" s="3"/>
      <c r="H425" s="3"/>
    </row>
    <row r="426" spans="1:8" ht="18.75" x14ac:dyDescent="0.3">
      <c r="A426" s="3">
        <v>420</v>
      </c>
      <c r="B426" s="9">
        <f t="shared" si="25"/>
        <v>0.93230389168527639</v>
      </c>
      <c r="C426" s="3">
        <f t="shared" si="26"/>
        <v>58322.134552155832</v>
      </c>
      <c r="D426" s="3">
        <f t="shared" si="27"/>
        <v>18.088962992245797</v>
      </c>
      <c r="E426" s="8">
        <f t="shared" si="24"/>
        <v>60</v>
      </c>
      <c r="F426" s="3"/>
      <c r="G426" s="3"/>
      <c r="H426" s="3"/>
    </row>
    <row r="427" spans="1:8" ht="18.75" x14ac:dyDescent="0.3">
      <c r="A427" s="3">
        <v>421</v>
      </c>
      <c r="B427" s="9">
        <f t="shared" si="25"/>
        <v>0.93259141609413598</v>
      </c>
      <c r="C427" s="3">
        <f t="shared" si="26"/>
        <v>58340.121216600863</v>
      </c>
      <c r="D427" s="3">
        <f t="shared" si="27"/>
        <v>17.986664445030328</v>
      </c>
      <c r="E427" s="8">
        <f t="shared" si="24"/>
        <v>60.142857142857146</v>
      </c>
      <c r="F427" s="3"/>
      <c r="G427" s="3"/>
      <c r="H427" s="3"/>
    </row>
    <row r="428" spans="1:8" ht="18.75" x14ac:dyDescent="0.3">
      <c r="A428" s="3">
        <v>422</v>
      </c>
      <c r="B428" s="9">
        <f t="shared" si="25"/>
        <v>0.93287731693367715</v>
      </c>
      <c r="C428" s="3">
        <f t="shared" si="26"/>
        <v>58358.00631542004</v>
      </c>
      <c r="D428" s="3">
        <f t="shared" si="27"/>
        <v>17.885098819177074</v>
      </c>
      <c r="E428" s="8">
        <f t="shared" si="24"/>
        <v>60.285714285714285</v>
      </c>
      <c r="F428" s="3"/>
      <c r="G428" s="3"/>
      <c r="H428" s="3"/>
    </row>
    <row r="429" spans="1:8" ht="18.75" x14ac:dyDescent="0.3">
      <c r="A429" s="3">
        <v>423</v>
      </c>
      <c r="B429" s="9">
        <f t="shared" si="25"/>
        <v>0.93316160581747154</v>
      </c>
      <c r="C429" s="3">
        <f t="shared" si="26"/>
        <v>58375.790575123567</v>
      </c>
      <c r="D429" s="3">
        <f t="shared" si="27"/>
        <v>17.784259703526914</v>
      </c>
      <c r="E429" s="8">
        <f t="shared" si="24"/>
        <v>60.428571428571431</v>
      </c>
      <c r="F429" s="3"/>
      <c r="G429" s="3"/>
      <c r="H429" s="3"/>
    </row>
    <row r="430" spans="1:8" ht="18.75" x14ac:dyDescent="0.3">
      <c r="A430" s="3">
        <v>424</v>
      </c>
      <c r="B430" s="9">
        <f t="shared" si="25"/>
        <v>0.93344429425767084</v>
      </c>
      <c r="C430" s="3">
        <f t="shared" si="26"/>
        <v>58393.474715877113</v>
      </c>
      <c r="D430" s="3">
        <f t="shared" si="27"/>
        <v>17.684140753546671</v>
      </c>
      <c r="E430" s="8">
        <f t="shared" si="24"/>
        <v>60.571428571428569</v>
      </c>
      <c r="F430" s="3"/>
      <c r="G430" s="3"/>
      <c r="H430" s="3"/>
    </row>
    <row r="431" spans="1:8" ht="18.75" x14ac:dyDescent="0.3">
      <c r="A431" s="3">
        <v>425</v>
      </c>
      <c r="B431" s="9">
        <f t="shared" si="25"/>
        <v>0.93372539366605622</v>
      </c>
      <c r="C431" s="3">
        <f t="shared" si="26"/>
        <v>58411.059451567482</v>
      </c>
      <c r="D431" s="3">
        <f t="shared" si="27"/>
        <v>17.584735690368689</v>
      </c>
      <c r="E431" s="8">
        <f t="shared" si="24"/>
        <v>60.714285714285715</v>
      </c>
      <c r="F431" s="3"/>
      <c r="G431" s="3"/>
      <c r="H431" s="3"/>
    </row>
    <row r="432" spans="1:8" ht="18.75" x14ac:dyDescent="0.3">
      <c r="A432" s="3">
        <v>426</v>
      </c>
      <c r="B432" s="9">
        <f t="shared" si="25"/>
        <v>0.9340049153550769</v>
      </c>
      <c r="C432" s="3">
        <f t="shared" si="26"/>
        <v>58428.545489867545</v>
      </c>
      <c r="D432" s="3">
        <f t="shared" si="27"/>
        <v>17.486038300063228</v>
      </c>
      <c r="E432" s="8">
        <f t="shared" si="24"/>
        <v>60.857142857142854</v>
      </c>
      <c r="F432" s="3"/>
      <c r="G432" s="3"/>
      <c r="H432" s="3"/>
    </row>
    <row r="433" spans="1:8" ht="18.75" x14ac:dyDescent="0.3">
      <c r="A433" s="3">
        <v>427</v>
      </c>
      <c r="B433" s="9">
        <f t="shared" si="25"/>
        <v>0.93428287053887626</v>
      </c>
      <c r="C433" s="3">
        <f t="shared" si="26"/>
        <v>58445.933532300485</v>
      </c>
      <c r="D433" s="3">
        <f t="shared" si="27"/>
        <v>17.388042432939983</v>
      </c>
      <c r="E433" s="8">
        <f t="shared" si="24"/>
        <v>61</v>
      </c>
      <c r="F433" s="3"/>
      <c r="G433" s="3"/>
      <c r="H433" s="3"/>
    </row>
    <row r="434" spans="1:8" ht="18.75" x14ac:dyDescent="0.3">
      <c r="A434" s="3">
        <v>428</v>
      </c>
      <c r="B434" s="9">
        <f t="shared" si="25"/>
        <v>0.9345592703343043</v>
      </c>
      <c r="C434" s="3">
        <f t="shared" si="26"/>
        <v>58463.224274303073</v>
      </c>
      <c r="D434" s="3">
        <f t="shared" si="27"/>
        <v>17.290742002587649</v>
      </c>
      <c r="E434" s="8">
        <f t="shared" si="24"/>
        <v>61.142857142857146</v>
      </c>
      <c r="F434" s="3"/>
      <c r="G434" s="3"/>
      <c r="H434" s="3"/>
    </row>
    <row r="435" spans="1:8" ht="18.75" x14ac:dyDescent="0.3">
      <c r="A435" s="3">
        <v>429</v>
      </c>
      <c r="B435" s="9">
        <f t="shared" si="25"/>
        <v>0.9348341257619196</v>
      </c>
      <c r="C435" s="3">
        <f t="shared" si="26"/>
        <v>58480.418405288401</v>
      </c>
      <c r="D435" s="3">
        <f t="shared" si="27"/>
        <v>17.194130985328229</v>
      </c>
      <c r="E435" s="8">
        <f t="shared" si="24"/>
        <v>61.285714285714285</v>
      </c>
      <c r="F435" s="3"/>
      <c r="G435" s="3"/>
      <c r="H435" s="3"/>
    </row>
    <row r="436" spans="1:8" ht="18.75" x14ac:dyDescent="0.3">
      <c r="A436" s="3">
        <v>430</v>
      </c>
      <c r="B436" s="9">
        <f t="shared" si="25"/>
        <v>0.93510744774697829</v>
      </c>
      <c r="C436" s="3">
        <f t="shared" si="26"/>
        <v>58497.516608707723</v>
      </c>
      <c r="D436" s="3">
        <f t="shared" si="27"/>
        <v>17.09820341932209</v>
      </c>
      <c r="E436" s="8">
        <f t="shared" si="24"/>
        <v>61.428571428571431</v>
      </c>
      <c r="F436" s="3"/>
      <c r="G436" s="3"/>
      <c r="H436" s="3"/>
    </row>
    <row r="437" spans="1:8" ht="18.75" x14ac:dyDescent="0.3">
      <c r="A437" s="3">
        <v>431</v>
      </c>
      <c r="B437" s="9">
        <f t="shared" si="25"/>
        <v>0.93537924712041143</v>
      </c>
      <c r="C437" s="3">
        <f t="shared" si="26"/>
        <v>58514.519562111578</v>
      </c>
      <c r="D437" s="3">
        <f t="shared" si="27"/>
        <v>17.002953403854917</v>
      </c>
      <c r="E437" s="8">
        <f t="shared" si="24"/>
        <v>61.571428571428569</v>
      </c>
      <c r="F437" s="3"/>
      <c r="G437" s="3"/>
      <c r="H437" s="3"/>
    </row>
    <row r="438" spans="1:8" ht="18.75" x14ac:dyDescent="0.3">
      <c r="A438" s="3">
        <v>432</v>
      </c>
      <c r="B438" s="9">
        <f t="shared" si="25"/>
        <v>0.93564953461979139</v>
      </c>
      <c r="C438" s="3">
        <f t="shared" si="26"/>
        <v>58531.42793721029</v>
      </c>
      <c r="D438" s="3">
        <f t="shared" si="27"/>
        <v>16.908375098711986</v>
      </c>
      <c r="E438" s="8">
        <f t="shared" si="24"/>
        <v>61.714285714285715</v>
      </c>
      <c r="F438" s="3"/>
      <c r="G438" s="3"/>
      <c r="H438" s="3"/>
    </row>
    <row r="439" spans="1:8" ht="18.75" x14ac:dyDescent="0.3">
      <c r="A439" s="3">
        <v>433</v>
      </c>
      <c r="B439" s="9">
        <f t="shared" si="25"/>
        <v>0.9359183208902857</v>
      </c>
      <c r="C439" s="3">
        <f t="shared" si="26"/>
        <v>58548.242399933602</v>
      </c>
      <c r="D439" s="3">
        <f t="shared" si="27"/>
        <v>16.814462723312317</v>
      </c>
      <c r="E439" s="8">
        <f t="shared" si="24"/>
        <v>61.857142857142854</v>
      </c>
      <c r="F439" s="3"/>
      <c r="G439" s="3"/>
      <c r="H439" s="3"/>
    </row>
    <row r="440" spans="1:8" ht="18.75" x14ac:dyDescent="0.3">
      <c r="A440" s="3">
        <v>434</v>
      </c>
      <c r="B440" s="9">
        <f t="shared" si="25"/>
        <v>0.93618561648560061</v>
      </c>
      <c r="C440" s="3">
        <f t="shared" si="26"/>
        <v>58564.963610489714</v>
      </c>
      <c r="D440" s="3">
        <f t="shared" si="27"/>
        <v>16.721210556112055</v>
      </c>
      <c r="E440" s="8">
        <f t="shared" si="24"/>
        <v>62</v>
      </c>
      <c r="F440" s="3"/>
      <c r="G440" s="3"/>
      <c r="H440" s="3"/>
    </row>
    <row r="441" spans="1:8" ht="18.75" x14ac:dyDescent="0.3">
      <c r="A441" s="3">
        <v>435</v>
      </c>
      <c r="B441" s="9">
        <f t="shared" si="25"/>
        <v>0.93645143186891278</v>
      </c>
      <c r="C441" s="3">
        <f t="shared" si="26"/>
        <v>58581.592223423577</v>
      </c>
      <c r="D441" s="3">
        <f t="shared" si="27"/>
        <v>16.628612933862314</v>
      </c>
      <c r="E441" s="8">
        <f t="shared" si="24"/>
        <v>62.142857142857146</v>
      </c>
      <c r="F441" s="3"/>
      <c r="G441" s="3"/>
      <c r="H441" s="3"/>
    </row>
    <row r="442" spans="1:8" ht="18.75" x14ac:dyDescent="0.3">
      <c r="A442" s="3">
        <v>436</v>
      </c>
      <c r="B442" s="9">
        <f t="shared" si="25"/>
        <v>0.9367157774137902</v>
      </c>
      <c r="C442" s="3">
        <f t="shared" si="26"/>
        <v>58598.128887674473</v>
      </c>
      <c r="D442" s="3">
        <f t="shared" si="27"/>
        <v>16.536664250896138</v>
      </c>
      <c r="E442" s="8">
        <f t="shared" si="24"/>
        <v>62.285714285714285</v>
      </c>
      <c r="F442" s="3"/>
      <c r="G442" s="3"/>
      <c r="H442" s="3"/>
    </row>
    <row r="443" spans="1:8" ht="18.75" x14ac:dyDescent="0.3">
      <c r="A443" s="3">
        <v>437</v>
      </c>
      <c r="B443" s="9">
        <f t="shared" si="25"/>
        <v>0.93697866340510272</v>
      </c>
      <c r="C443" s="3">
        <f t="shared" si="26"/>
        <v>58614.574246633012</v>
      </c>
      <c r="D443" s="3">
        <f t="shared" si="27"/>
        <v>16.445358958539146</v>
      </c>
      <c r="E443" s="8">
        <f t="shared" si="24"/>
        <v>62.428571428571431</v>
      </c>
      <c r="F443" s="3"/>
      <c r="G443" s="3"/>
      <c r="H443" s="3"/>
    </row>
    <row r="444" spans="1:8" ht="18.75" x14ac:dyDescent="0.3">
      <c r="A444" s="3">
        <v>438</v>
      </c>
      <c r="B444" s="9">
        <f t="shared" si="25"/>
        <v>0.93724010003992064</v>
      </c>
      <c r="C444" s="3">
        <f t="shared" si="26"/>
        <v>58630.928938197314</v>
      </c>
      <c r="D444" s="3">
        <f t="shared" si="27"/>
        <v>16.354691564301902</v>
      </c>
      <c r="E444" s="8">
        <f t="shared" si="24"/>
        <v>62.571428571428569</v>
      </c>
      <c r="F444" s="3"/>
      <c r="G444" s="3"/>
      <c r="H444" s="3"/>
    </row>
    <row r="445" spans="1:8" ht="18.75" x14ac:dyDescent="0.3">
      <c r="A445" s="3">
        <v>439</v>
      </c>
      <c r="B445" s="9">
        <f t="shared" si="25"/>
        <v>0.9375000974284039</v>
      </c>
      <c r="C445" s="3">
        <f t="shared" si="26"/>
        <v>58647.193594828663</v>
      </c>
      <c r="D445" s="3">
        <f t="shared" si="27"/>
        <v>16.264656631348771</v>
      </c>
      <c r="E445" s="8">
        <f t="shared" si="24"/>
        <v>62.714285714285715</v>
      </c>
      <c r="F445" s="3"/>
      <c r="G445" s="3"/>
      <c r="H445" s="3"/>
    </row>
    <row r="446" spans="1:8" ht="18.75" x14ac:dyDescent="0.3">
      <c r="A446" s="3">
        <v>440</v>
      </c>
      <c r="B446" s="9">
        <f t="shared" si="25"/>
        <v>0.9377586655946808</v>
      </c>
      <c r="C446" s="3">
        <f t="shared" si="26"/>
        <v>58663.368843606448</v>
      </c>
      <c r="D446" s="3">
        <f t="shared" si="27"/>
        <v>16.175248777784873</v>
      </c>
      <c r="E446" s="8">
        <f t="shared" si="24"/>
        <v>62.857142857142854</v>
      </c>
      <c r="F446" s="3"/>
      <c r="G446" s="3"/>
      <c r="H446" s="3"/>
    </row>
    <row r="447" spans="1:8" ht="18.75" x14ac:dyDescent="0.3">
      <c r="A447" s="3">
        <v>441</v>
      </c>
      <c r="B447" s="9">
        <f t="shared" si="25"/>
        <v>0.93801581447771565</v>
      </c>
      <c r="C447" s="3">
        <f t="shared" si="26"/>
        <v>58679.455306282456</v>
      </c>
      <c r="D447" s="3">
        <f t="shared" si="27"/>
        <v>16.086462676008523</v>
      </c>
      <c r="E447" s="8">
        <f t="shared" si="24"/>
        <v>63</v>
      </c>
      <c r="F447" s="3"/>
      <c r="G447" s="3"/>
      <c r="H447" s="3"/>
    </row>
    <row r="448" spans="1:8" ht="18.75" x14ac:dyDescent="0.3">
      <c r="A448" s="3">
        <v>442</v>
      </c>
      <c r="B448" s="9">
        <f t="shared" si="25"/>
        <v>0.93827155393216621</v>
      </c>
      <c r="C448" s="3">
        <f t="shared" si="26"/>
        <v>58695.45359933452</v>
      </c>
      <c r="D448" s="3">
        <f t="shared" si="27"/>
        <v>15.998293052063673</v>
      </c>
      <c r="E448" s="8">
        <f t="shared" si="24"/>
        <v>63.142857142857146</v>
      </c>
      <c r="F448" s="3"/>
      <c r="G448" s="3"/>
      <c r="H448" s="3"/>
    </row>
    <row r="449" spans="1:8" ht="18.75" x14ac:dyDescent="0.3">
      <c r="A449" s="3">
        <v>443</v>
      </c>
      <c r="B449" s="9">
        <f t="shared" si="25"/>
        <v>0.9385258937292329</v>
      </c>
      <c r="C449" s="3">
        <f t="shared" si="26"/>
        <v>58711.364334019621</v>
      </c>
      <c r="D449" s="3">
        <f t="shared" si="27"/>
        <v>15.910734685101488</v>
      </c>
      <c r="E449" s="8">
        <f t="shared" si="24"/>
        <v>63.285714285714285</v>
      </c>
      <c r="F449" s="3"/>
      <c r="G449" s="3"/>
      <c r="H449" s="3"/>
    </row>
    <row r="450" spans="1:8" ht="18.75" x14ac:dyDescent="0.3">
      <c r="A450" s="3">
        <v>444</v>
      </c>
      <c r="B450" s="9">
        <f t="shared" si="25"/>
        <v>0.93877884355749552</v>
      </c>
      <c r="C450" s="3">
        <f t="shared" si="26"/>
        <v>58727.188116426245</v>
      </c>
      <c r="D450" s="3">
        <f t="shared" si="27"/>
        <v>15.82378240662365</v>
      </c>
      <c r="E450" s="8">
        <f t="shared" si="24"/>
        <v>63.428571428571431</v>
      </c>
      <c r="F450" s="3"/>
      <c r="G450" s="3"/>
      <c r="H450" s="3"/>
    </row>
    <row r="451" spans="1:8" ht="18.75" x14ac:dyDescent="0.3">
      <c r="A451" s="3">
        <v>445</v>
      </c>
      <c r="B451" s="9">
        <f t="shared" si="25"/>
        <v>0.93903041302374213</v>
      </c>
      <c r="C451" s="3">
        <f t="shared" si="26"/>
        <v>58742.92554752624</v>
      </c>
      <c r="D451" s="3">
        <f t="shared" si="27"/>
        <v>15.737431099994865</v>
      </c>
      <c r="E451" s="8">
        <f t="shared" si="24"/>
        <v>63.571428571428569</v>
      </c>
      <c r="F451" s="3"/>
      <c r="G451" s="3"/>
      <c r="H451" s="3"/>
    </row>
    <row r="452" spans="1:8" ht="18.75" x14ac:dyDescent="0.3">
      <c r="A452" s="3">
        <v>446</v>
      </c>
      <c r="B452" s="9">
        <f t="shared" si="25"/>
        <v>0.93928061165378751</v>
      </c>
      <c r="C452" s="3">
        <f t="shared" si="26"/>
        <v>58758.577223225984</v>
      </c>
      <c r="D452" s="3">
        <f t="shared" si="27"/>
        <v>15.651675699744374</v>
      </c>
      <c r="E452" s="8">
        <f t="shared" si="24"/>
        <v>63.714285714285715</v>
      </c>
      <c r="F452" s="3"/>
      <c r="G452" s="3"/>
      <c r="H452" s="3"/>
    </row>
    <row r="453" spans="1:8" ht="18.75" x14ac:dyDescent="0.3">
      <c r="A453" s="3">
        <v>447</v>
      </c>
      <c r="B453" s="9">
        <f t="shared" si="25"/>
        <v>0.93952944889328238</v>
      </c>
      <c r="C453" s="3">
        <f t="shared" si="26"/>
        <v>58774.143734417063</v>
      </c>
      <c r="D453" s="3">
        <f t="shared" si="27"/>
        <v>15.566511191078462</v>
      </c>
      <c r="E453" s="8">
        <f t="shared" si="24"/>
        <v>63.857142857142854</v>
      </c>
      <c r="F453" s="3"/>
      <c r="G453" s="3"/>
      <c r="H453" s="3"/>
    </row>
    <row r="454" spans="1:8" ht="18.75" x14ac:dyDescent="0.3">
      <c r="A454" s="3">
        <v>448</v>
      </c>
      <c r="B454" s="9">
        <f t="shared" si="25"/>
        <v>0.93977693410851315</v>
      </c>
      <c r="C454" s="3">
        <f t="shared" si="26"/>
        <v>58789.625667026259</v>
      </c>
      <c r="D454" s="3">
        <f t="shared" si="27"/>
        <v>15.481932609196519</v>
      </c>
      <c r="E454" s="8">
        <f t="shared" si="24"/>
        <v>64</v>
      </c>
      <c r="F454" s="3"/>
      <c r="G454" s="3"/>
      <c r="H454" s="3"/>
    </row>
    <row r="455" spans="1:8" ht="18.75" x14ac:dyDescent="0.3">
      <c r="A455" s="3">
        <v>449</v>
      </c>
      <c r="B455" s="9">
        <f t="shared" si="25"/>
        <v>0.94002307658719242</v>
      </c>
      <c r="C455" s="3">
        <f t="shared" si="26"/>
        <v>58805.023602064997</v>
      </c>
      <c r="D455" s="3">
        <f t="shared" si="27"/>
        <v>15.397935038738069</v>
      </c>
      <c r="E455" s="8">
        <f t="shared" ref="E455:E518" si="28">A455/7</f>
        <v>64.142857142857139</v>
      </c>
      <c r="F455" s="3"/>
      <c r="G455" s="3"/>
      <c r="H455" s="3"/>
    </row>
    <row r="456" spans="1:8" ht="18.75" x14ac:dyDescent="0.3">
      <c r="A456" s="3">
        <v>450</v>
      </c>
      <c r="B456" s="9">
        <f t="shared" ref="B456:B519" si="29">LOGNORMDIST(A456,$A$3,$B$3)</f>
        <v>0.94026788553924023</v>
      </c>
      <c r="C456" s="3">
        <f t="shared" ref="C456:C519" si="30">$E$3*B456</f>
        <v>58820.338115678249</v>
      </c>
      <c r="D456" s="3">
        <f t="shared" ref="D456:D519" si="31">C456-C455</f>
        <v>15.31451361325162</v>
      </c>
      <c r="E456" s="8">
        <f t="shared" si="28"/>
        <v>64.285714285714292</v>
      </c>
      <c r="F456" s="3"/>
      <c r="G456" s="3"/>
      <c r="H456" s="3"/>
    </row>
    <row r="457" spans="1:8" ht="18.75" x14ac:dyDescent="0.3">
      <c r="A457" s="3">
        <v>451</v>
      </c>
      <c r="B457" s="9">
        <f t="shared" si="29"/>
        <v>0.94051137009755648</v>
      </c>
      <c r="C457" s="3">
        <f t="shared" si="30"/>
        <v>58835.56977919284</v>
      </c>
      <c r="D457" s="3">
        <f t="shared" si="31"/>
        <v>15.231663514590764</v>
      </c>
      <c r="E457" s="8">
        <f t="shared" si="28"/>
        <v>64.428571428571431</v>
      </c>
      <c r="F457" s="3"/>
      <c r="G457" s="3"/>
      <c r="H457" s="3"/>
    </row>
    <row r="458" spans="1:8" ht="18.75" x14ac:dyDescent="0.3">
      <c r="A458" s="3">
        <v>452</v>
      </c>
      <c r="B458" s="9">
        <f t="shared" si="29"/>
        <v>0.94075353931878447</v>
      </c>
      <c r="C458" s="3">
        <f t="shared" si="30"/>
        <v>58850.719159165201</v>
      </c>
      <c r="D458" s="3">
        <f t="shared" si="31"/>
        <v>15.149379972361203</v>
      </c>
      <c r="E458" s="8">
        <f t="shared" si="28"/>
        <v>64.571428571428569</v>
      </c>
      <c r="F458" s="3"/>
      <c r="G458" s="3"/>
      <c r="H458" s="3"/>
    </row>
    <row r="459" spans="1:8" ht="18.75" x14ac:dyDescent="0.3">
      <c r="A459" s="3">
        <v>453</v>
      </c>
      <c r="B459" s="9">
        <f t="shared" si="29"/>
        <v>0.94099440218406594</v>
      </c>
      <c r="C459" s="3">
        <f t="shared" si="30"/>
        <v>58865.786817428612</v>
      </c>
      <c r="D459" s="3">
        <f t="shared" si="31"/>
        <v>15.067658263411431</v>
      </c>
      <c r="E459" s="8">
        <f t="shared" si="28"/>
        <v>64.714285714285708</v>
      </c>
      <c r="F459" s="3"/>
      <c r="G459" s="3"/>
      <c r="H459" s="3"/>
    </row>
    <row r="460" spans="1:8" ht="18.75" x14ac:dyDescent="0.3">
      <c r="A460" s="3">
        <v>454</v>
      </c>
      <c r="B460" s="9">
        <f t="shared" si="29"/>
        <v>0.94123396759978617</v>
      </c>
      <c r="C460" s="3">
        <f t="shared" si="30"/>
        <v>58880.773311139827</v>
      </c>
      <c r="D460" s="3">
        <f t="shared" si="31"/>
        <v>14.98649371121428</v>
      </c>
      <c r="E460" s="8">
        <f t="shared" si="28"/>
        <v>64.857142857142861</v>
      </c>
      <c r="F460" s="3"/>
      <c r="G460" s="3"/>
      <c r="H460" s="3"/>
    </row>
    <row r="461" spans="1:8" ht="18.75" x14ac:dyDescent="0.3">
      <c r="A461" s="3">
        <v>455</v>
      </c>
      <c r="B461" s="9">
        <f t="shared" si="29"/>
        <v>0.94147224439831267</v>
      </c>
      <c r="C461" s="3">
        <f t="shared" si="30"/>
        <v>58895.679192825242</v>
      </c>
      <c r="D461" s="3">
        <f t="shared" si="31"/>
        <v>14.905881685415807</v>
      </c>
      <c r="E461" s="8">
        <f t="shared" si="28"/>
        <v>65</v>
      </c>
      <c r="F461" s="3"/>
      <c r="G461" s="3"/>
      <c r="H461" s="3"/>
    </row>
    <row r="462" spans="1:8" ht="18.75" x14ac:dyDescent="0.3">
      <c r="A462" s="3">
        <v>456</v>
      </c>
      <c r="B462" s="9">
        <f t="shared" si="29"/>
        <v>0.94170924133872369</v>
      </c>
      <c r="C462" s="3">
        <f t="shared" si="30"/>
        <v>58910.505010426539</v>
      </c>
      <c r="D462" s="3">
        <f t="shared" si="31"/>
        <v>14.825817601296876</v>
      </c>
      <c r="E462" s="8">
        <f t="shared" si="28"/>
        <v>65.142857142857139</v>
      </c>
      <c r="F462" s="3"/>
      <c r="G462" s="3"/>
      <c r="H462" s="3"/>
    </row>
    <row r="463" spans="1:8" ht="18.75" x14ac:dyDescent="0.3">
      <c r="A463" s="3">
        <v>457</v>
      </c>
      <c r="B463" s="9">
        <f t="shared" si="29"/>
        <v>0.9419449671075284</v>
      </c>
      <c r="C463" s="3">
        <f t="shared" si="30"/>
        <v>58925.251307345658</v>
      </c>
      <c r="D463" s="3">
        <f t="shared" si="31"/>
        <v>14.746296919118322</v>
      </c>
      <c r="E463" s="8">
        <f t="shared" si="28"/>
        <v>65.285714285714292</v>
      </c>
      <c r="F463" s="3"/>
      <c r="G463" s="3"/>
      <c r="H463" s="3"/>
    </row>
    <row r="464" spans="1:8" ht="18.75" x14ac:dyDescent="0.3">
      <c r="A464" s="3">
        <v>458</v>
      </c>
      <c r="B464" s="9">
        <f t="shared" si="29"/>
        <v>0.94217943031938045</v>
      </c>
      <c r="C464" s="3">
        <f t="shared" si="30"/>
        <v>58939.91862248948</v>
      </c>
      <c r="D464" s="3">
        <f t="shared" si="31"/>
        <v>14.667315143822634</v>
      </c>
      <c r="E464" s="8">
        <f t="shared" si="28"/>
        <v>65.428571428571431</v>
      </c>
      <c r="F464" s="3"/>
      <c r="G464" s="3"/>
      <c r="H464" s="3"/>
    </row>
    <row r="465" spans="1:8" ht="18.75" x14ac:dyDescent="0.3">
      <c r="A465" s="3">
        <v>459</v>
      </c>
      <c r="B465" s="9">
        <f t="shared" si="29"/>
        <v>0.94241263951778187</v>
      </c>
      <c r="C465" s="3">
        <f t="shared" si="30"/>
        <v>58954.507490313881</v>
      </c>
      <c r="D465" s="3">
        <f t="shared" si="31"/>
        <v>14.58886782440095</v>
      </c>
      <c r="E465" s="8">
        <f t="shared" si="28"/>
        <v>65.571428571428569</v>
      </c>
      <c r="F465" s="3"/>
      <c r="G465" s="3"/>
      <c r="H465" s="3"/>
    </row>
    <row r="466" spans="1:8" ht="18.75" x14ac:dyDescent="0.3">
      <c r="A466" s="3">
        <v>460</v>
      </c>
      <c r="B466" s="9">
        <f t="shared" si="29"/>
        <v>0.9426446031757798</v>
      </c>
      <c r="C466" s="3">
        <f t="shared" si="30"/>
        <v>58969.018440867258</v>
      </c>
      <c r="D466" s="3">
        <f t="shared" si="31"/>
        <v>14.51095055337646</v>
      </c>
      <c r="E466" s="8">
        <f t="shared" si="28"/>
        <v>65.714285714285708</v>
      </c>
      <c r="F466" s="3"/>
      <c r="G466" s="3"/>
      <c r="H466" s="3"/>
    </row>
    <row r="467" spans="1:8" ht="18.75" x14ac:dyDescent="0.3">
      <c r="A467" s="3">
        <v>461</v>
      </c>
      <c r="B467" s="9">
        <f t="shared" si="29"/>
        <v>0.94287532969665411</v>
      </c>
      <c r="C467" s="3">
        <f t="shared" si="30"/>
        <v>58983.451999833589</v>
      </c>
      <c r="D467" s="3">
        <f t="shared" si="31"/>
        <v>14.433558966331475</v>
      </c>
      <c r="E467" s="8">
        <f t="shared" si="28"/>
        <v>65.857142857142861</v>
      </c>
      <c r="F467" s="3"/>
      <c r="G467" s="3"/>
      <c r="H467" s="3"/>
    </row>
    <row r="468" spans="1:8" ht="18.75" x14ac:dyDescent="0.3">
      <c r="A468" s="3">
        <v>462</v>
      </c>
      <c r="B468" s="9">
        <f t="shared" si="29"/>
        <v>0.94310482741459956</v>
      </c>
      <c r="C468" s="3">
        <f t="shared" si="30"/>
        <v>58997.808688575104</v>
      </c>
      <c r="D468" s="3">
        <f t="shared" si="31"/>
        <v>14.356688741514517</v>
      </c>
      <c r="E468" s="8">
        <f t="shared" si="28"/>
        <v>66</v>
      </c>
      <c r="F468" s="3"/>
      <c r="G468" s="3"/>
      <c r="H468" s="3"/>
    </row>
    <row r="469" spans="1:8" ht="18.75" x14ac:dyDescent="0.3">
      <c r="A469" s="3">
        <v>463</v>
      </c>
      <c r="B469" s="9">
        <f t="shared" si="29"/>
        <v>0.94333310459539765</v>
      </c>
      <c r="C469" s="3">
        <f t="shared" si="30"/>
        <v>59012.089024174289</v>
      </c>
      <c r="D469" s="3">
        <f t="shared" si="31"/>
        <v>14.280335599185491</v>
      </c>
      <c r="E469" s="8">
        <f t="shared" si="28"/>
        <v>66.142857142857139</v>
      </c>
      <c r="F469" s="3"/>
      <c r="G469" s="3"/>
      <c r="H469" s="3"/>
    </row>
    <row r="470" spans="1:8" ht="18.75" x14ac:dyDescent="0.3">
      <c r="A470" s="3">
        <v>464</v>
      </c>
      <c r="B470" s="9">
        <f t="shared" si="29"/>
        <v>0.94356016943708243</v>
      </c>
      <c r="C470" s="3">
        <f t="shared" si="30"/>
        <v>59026.293519475563</v>
      </c>
      <c r="D470" s="3">
        <f t="shared" si="31"/>
        <v>14.20449530127371</v>
      </c>
      <c r="E470" s="8">
        <f t="shared" si="28"/>
        <v>66.285714285714292</v>
      </c>
      <c r="F470" s="3"/>
      <c r="G470" s="3"/>
      <c r="H470" s="3"/>
    </row>
    <row r="471" spans="1:8" ht="18.75" x14ac:dyDescent="0.3">
      <c r="A471" s="3">
        <v>465</v>
      </c>
      <c r="B471" s="9">
        <f t="shared" si="29"/>
        <v>0.94378603007059858</v>
      </c>
      <c r="C471" s="3">
        <f t="shared" si="30"/>
        <v>59040.422683126439</v>
      </c>
      <c r="D471" s="3">
        <f t="shared" si="31"/>
        <v>14.129163650875853</v>
      </c>
      <c r="E471" s="8">
        <f t="shared" si="28"/>
        <v>66.428571428571431</v>
      </c>
      <c r="F471" s="3"/>
      <c r="G471" s="3"/>
      <c r="H471" s="3"/>
    </row>
    <row r="472" spans="1:8" ht="18.75" x14ac:dyDescent="0.3">
      <c r="A472" s="3">
        <v>466</v>
      </c>
      <c r="B472" s="9">
        <f t="shared" si="29"/>
        <v>0.94401069456045195</v>
      </c>
      <c r="C472" s="3">
        <f t="shared" si="30"/>
        <v>59054.477019618193</v>
      </c>
      <c r="D472" s="3">
        <f t="shared" si="31"/>
        <v>14.054336491753929</v>
      </c>
      <c r="E472" s="8">
        <f t="shared" si="28"/>
        <v>66.571428571428569</v>
      </c>
      <c r="F472" s="3"/>
      <c r="G472" s="3"/>
      <c r="H472" s="3"/>
    </row>
    <row r="473" spans="1:8" ht="18.75" x14ac:dyDescent="0.3">
      <c r="A473" s="3">
        <v>467</v>
      </c>
      <c r="B473" s="9">
        <f t="shared" si="29"/>
        <v>0.94423417090535233</v>
      </c>
      <c r="C473" s="3">
        <f t="shared" si="30"/>
        <v>59068.457029326128</v>
      </c>
      <c r="D473" s="3">
        <f t="shared" si="31"/>
        <v>13.980009707935096</v>
      </c>
      <c r="E473" s="8">
        <f t="shared" si="28"/>
        <v>66.714285714285708</v>
      </c>
      <c r="F473" s="3"/>
      <c r="G473" s="3"/>
      <c r="H473" s="3"/>
    </row>
    <row r="474" spans="1:8" ht="18.75" x14ac:dyDescent="0.3">
      <c r="A474" s="3">
        <v>468</v>
      </c>
      <c r="B474" s="9">
        <f t="shared" si="29"/>
        <v>0.94445646703884989</v>
      </c>
      <c r="C474" s="3">
        <f t="shared" si="30"/>
        <v>59082.36320854933</v>
      </c>
      <c r="D474" s="3">
        <f t="shared" si="31"/>
        <v>13.906179223202344</v>
      </c>
      <c r="E474" s="8">
        <f t="shared" si="28"/>
        <v>66.857142857142861</v>
      </c>
      <c r="F474" s="3"/>
      <c r="G474" s="3"/>
      <c r="H474" s="3"/>
    </row>
    <row r="475" spans="1:8" ht="18.75" x14ac:dyDescent="0.3">
      <c r="A475" s="3">
        <v>469</v>
      </c>
      <c r="B475" s="9">
        <f t="shared" si="29"/>
        <v>0.94467759082996394</v>
      </c>
      <c r="C475" s="3">
        <f t="shared" si="30"/>
        <v>59096.196049550053</v>
      </c>
      <c r="D475" s="3">
        <f t="shared" si="31"/>
        <v>13.83284100072342</v>
      </c>
      <c r="E475" s="8">
        <f t="shared" si="28"/>
        <v>67</v>
      </c>
      <c r="F475" s="3"/>
      <c r="G475" s="3"/>
      <c r="H475" s="3"/>
    </row>
    <row r="476" spans="1:8" ht="18.75" x14ac:dyDescent="0.3">
      <c r="A476" s="3">
        <v>470</v>
      </c>
      <c r="B476" s="9">
        <f t="shared" si="29"/>
        <v>0.9448975500838046</v>
      </c>
      <c r="C476" s="3">
        <f t="shared" si="30"/>
        <v>59109.956040592566</v>
      </c>
      <c r="D476" s="3">
        <f t="shared" si="31"/>
        <v>13.759991042512411</v>
      </c>
      <c r="E476" s="8">
        <f t="shared" si="28"/>
        <v>67.142857142857139</v>
      </c>
      <c r="F476" s="3"/>
      <c r="G476" s="3"/>
      <c r="H476" s="3"/>
    </row>
    <row r="477" spans="1:8" ht="18.75" x14ac:dyDescent="0.3">
      <c r="A477" s="3">
        <v>471</v>
      </c>
      <c r="B477" s="9">
        <f t="shared" si="29"/>
        <v>0.94511635254218795</v>
      </c>
      <c r="C477" s="3">
        <f t="shared" si="30"/>
        <v>59123.643665981654</v>
      </c>
      <c r="D477" s="3">
        <f t="shared" si="31"/>
        <v>13.687625389087771</v>
      </c>
      <c r="E477" s="8">
        <f t="shared" si="28"/>
        <v>67.285714285714292</v>
      </c>
      <c r="F477" s="3"/>
      <c r="G477" s="3"/>
      <c r="H477" s="3"/>
    </row>
    <row r="478" spans="1:8" ht="18.75" x14ac:dyDescent="0.3">
      <c r="A478" s="3">
        <v>472</v>
      </c>
      <c r="B478" s="9">
        <f t="shared" si="29"/>
        <v>0.94533400588424399</v>
      </c>
      <c r="C478" s="3">
        <f t="shared" si="30"/>
        <v>59137.259406100653</v>
      </c>
      <c r="D478" s="3">
        <f t="shared" si="31"/>
        <v>13.615740118999383</v>
      </c>
      <c r="E478" s="8">
        <f t="shared" si="28"/>
        <v>67.428571428571431</v>
      </c>
      <c r="F478" s="3"/>
      <c r="G478" s="3"/>
      <c r="H478" s="3"/>
    </row>
    <row r="479" spans="1:8" ht="18.75" x14ac:dyDescent="0.3">
      <c r="A479" s="3">
        <v>473</v>
      </c>
      <c r="B479" s="9">
        <f t="shared" si="29"/>
        <v>0.94555051772701781</v>
      </c>
      <c r="C479" s="3">
        <f t="shared" si="30"/>
        <v>59150.803737449052</v>
      </c>
      <c r="D479" s="3">
        <f t="shared" si="31"/>
        <v>13.544331348399282</v>
      </c>
      <c r="E479" s="8">
        <f t="shared" si="28"/>
        <v>67.571428571428569</v>
      </c>
      <c r="F479" s="3"/>
      <c r="G479" s="3"/>
      <c r="H479" s="3"/>
    </row>
    <row r="480" spans="1:8" ht="18.75" x14ac:dyDescent="0.3">
      <c r="A480" s="3">
        <v>474</v>
      </c>
      <c r="B480" s="9">
        <f t="shared" si="29"/>
        <v>0.94576589562606417</v>
      </c>
      <c r="C480" s="3">
        <f t="shared" si="30"/>
        <v>59164.277132679694</v>
      </c>
      <c r="D480" s="3">
        <f t="shared" si="31"/>
        <v>13.473395230641472</v>
      </c>
      <c r="E480" s="8">
        <f t="shared" si="28"/>
        <v>67.714285714285708</v>
      </c>
      <c r="F480" s="3"/>
      <c r="G480" s="3"/>
      <c r="H480" s="3"/>
    </row>
    <row r="481" spans="1:8" ht="18.75" x14ac:dyDescent="0.3">
      <c r="A481" s="3">
        <v>475</v>
      </c>
      <c r="B481" s="9">
        <f t="shared" si="29"/>
        <v>0.94598014707603539</v>
      </c>
      <c r="C481" s="3">
        <f t="shared" si="30"/>
        <v>59177.680060635546</v>
      </c>
      <c r="D481" s="3">
        <f t="shared" si="31"/>
        <v>13.402927955852647</v>
      </c>
      <c r="E481" s="8">
        <f t="shared" si="28"/>
        <v>67.857142857142861</v>
      </c>
      <c r="F481" s="3"/>
      <c r="G481" s="3"/>
      <c r="H481" s="3"/>
    </row>
    <row r="482" spans="1:8" ht="18.75" x14ac:dyDescent="0.3">
      <c r="A482" s="3">
        <v>476</v>
      </c>
      <c r="B482" s="9">
        <f t="shared" si="29"/>
        <v>0.94619327951126353</v>
      </c>
      <c r="C482" s="3">
        <f t="shared" si="30"/>
        <v>59191.012986386115</v>
      </c>
      <c r="D482" s="3">
        <f t="shared" si="31"/>
        <v>13.332925750568393</v>
      </c>
      <c r="E482" s="8">
        <f t="shared" si="28"/>
        <v>68</v>
      </c>
      <c r="F482" s="3"/>
      <c r="G482" s="3"/>
      <c r="H482" s="3"/>
    </row>
    <row r="483" spans="1:8" ht="18.75" x14ac:dyDescent="0.3">
      <c r="A483" s="3">
        <v>477</v>
      </c>
      <c r="B483" s="9">
        <f t="shared" si="29"/>
        <v>0.9464053003063343</v>
      </c>
      <c r="C483" s="3">
        <f t="shared" si="30"/>
        <v>59204.276371263353</v>
      </c>
      <c r="D483" s="3">
        <f t="shared" si="31"/>
        <v>13.263384877238423</v>
      </c>
      <c r="E483" s="8">
        <f t="shared" si="28"/>
        <v>68.142857142857139</v>
      </c>
      <c r="F483" s="3"/>
      <c r="G483" s="3"/>
      <c r="H483" s="3"/>
    </row>
    <row r="484" spans="1:8" ht="18.75" x14ac:dyDescent="0.3">
      <c r="A484" s="3">
        <v>478</v>
      </c>
      <c r="B484" s="9">
        <f t="shared" si="29"/>
        <v>0.94661621677665653</v>
      </c>
      <c r="C484" s="3">
        <f t="shared" si="30"/>
        <v>59217.470672897303</v>
      </c>
      <c r="D484" s="3">
        <f t="shared" si="31"/>
        <v>13.19430163395009</v>
      </c>
      <c r="E484" s="8">
        <f t="shared" si="28"/>
        <v>68.285714285714292</v>
      </c>
      <c r="F484" s="3"/>
      <c r="G484" s="3"/>
      <c r="H484" s="3"/>
    </row>
    <row r="485" spans="1:8" ht="18.75" x14ac:dyDescent="0.3">
      <c r="A485" s="3">
        <v>479</v>
      </c>
      <c r="B485" s="9">
        <f t="shared" si="29"/>
        <v>0.94682603617902461</v>
      </c>
      <c r="C485" s="3">
        <f t="shared" si="30"/>
        <v>59230.596345251244</v>
      </c>
      <c r="D485" s="3">
        <f t="shared" si="31"/>
        <v>13.125672353940899</v>
      </c>
      <c r="E485" s="8">
        <f t="shared" si="28"/>
        <v>68.428571428571431</v>
      </c>
      <c r="F485" s="3"/>
      <c r="G485" s="3"/>
      <c r="H485" s="3"/>
    </row>
    <row r="486" spans="1:8" ht="18.75" x14ac:dyDescent="0.3">
      <c r="A486" s="3">
        <v>480</v>
      </c>
      <c r="B486" s="9">
        <f t="shared" si="29"/>
        <v>0.94703476571217415</v>
      </c>
      <c r="C486" s="3">
        <f t="shared" si="30"/>
        <v>59243.653838656479</v>
      </c>
      <c r="D486" s="3">
        <f t="shared" si="31"/>
        <v>13.057493405234709</v>
      </c>
      <c r="E486" s="8">
        <f t="shared" si="28"/>
        <v>68.571428571428569</v>
      </c>
      <c r="F486" s="3"/>
      <c r="G486" s="3"/>
      <c r="H486" s="3"/>
    </row>
    <row r="487" spans="1:8" ht="18.75" x14ac:dyDescent="0.3">
      <c r="A487" s="3">
        <v>481</v>
      </c>
      <c r="B487" s="9">
        <f t="shared" si="29"/>
        <v>0.94724241251733277</v>
      </c>
      <c r="C487" s="3">
        <f t="shared" si="30"/>
        <v>59256.643599846786</v>
      </c>
      <c r="D487" s="3">
        <f t="shared" si="31"/>
        <v>12.989761190307036</v>
      </c>
      <c r="E487" s="8">
        <f t="shared" si="28"/>
        <v>68.714285714285708</v>
      </c>
      <c r="F487" s="3"/>
      <c r="G487" s="3"/>
      <c r="H487" s="3"/>
    </row>
    <row r="488" spans="1:8" ht="18.75" x14ac:dyDescent="0.3">
      <c r="A488" s="3">
        <v>482</v>
      </c>
      <c r="B488" s="9">
        <f t="shared" si="29"/>
        <v>0.94744898367876362</v>
      </c>
      <c r="C488" s="3">
        <f t="shared" si="30"/>
        <v>59269.566071992413</v>
      </c>
      <c r="D488" s="3">
        <f t="shared" si="31"/>
        <v>12.922472145626671</v>
      </c>
      <c r="E488" s="8">
        <f t="shared" si="28"/>
        <v>68.857142857142861</v>
      </c>
      <c r="F488" s="3"/>
      <c r="G488" s="3"/>
      <c r="H488" s="3"/>
    </row>
    <row r="489" spans="1:8" ht="18.75" x14ac:dyDescent="0.3">
      <c r="A489" s="3">
        <v>483</v>
      </c>
      <c r="B489" s="9">
        <f t="shared" si="29"/>
        <v>0.94765448622430337</v>
      </c>
      <c r="C489" s="3">
        <f t="shared" si="30"/>
        <v>59282.421694733748</v>
      </c>
      <c r="D489" s="3">
        <f t="shared" si="31"/>
        <v>12.855622741335537</v>
      </c>
      <c r="E489" s="8">
        <f t="shared" si="28"/>
        <v>69</v>
      </c>
      <c r="F489" s="3"/>
      <c r="G489" s="3"/>
      <c r="H489" s="3"/>
    </row>
    <row r="490" spans="1:8" ht="18.75" x14ac:dyDescent="0.3">
      <c r="A490" s="3">
        <v>484</v>
      </c>
      <c r="B490" s="9">
        <f t="shared" si="29"/>
        <v>0.9478589271258957</v>
      </c>
      <c r="C490" s="3">
        <f t="shared" si="30"/>
        <v>59295.210904214655</v>
      </c>
      <c r="D490" s="3">
        <f t="shared" si="31"/>
        <v>12.78920948090672</v>
      </c>
      <c r="E490" s="8">
        <f t="shared" si="28"/>
        <v>69.142857142857139</v>
      </c>
      <c r="F490" s="3"/>
      <c r="G490" s="3"/>
      <c r="H490" s="3"/>
    </row>
    <row r="491" spans="1:8" ht="18.75" x14ac:dyDescent="0.3">
      <c r="A491" s="3">
        <v>485</v>
      </c>
      <c r="B491" s="9">
        <f t="shared" si="29"/>
        <v>0.9480623133001157</v>
      </c>
      <c r="C491" s="3">
        <f t="shared" si="30"/>
        <v>59307.934133115341</v>
      </c>
      <c r="D491" s="3">
        <f t="shared" si="31"/>
        <v>12.723228900686081</v>
      </c>
      <c r="E491" s="8">
        <f t="shared" si="28"/>
        <v>69.285714285714292</v>
      </c>
      <c r="F491" s="3"/>
      <c r="G491" s="3"/>
      <c r="H491" s="3"/>
    </row>
    <row r="492" spans="1:8" ht="18.75" x14ac:dyDescent="0.3">
      <c r="A492" s="3">
        <v>486</v>
      </c>
      <c r="B492" s="9">
        <f t="shared" si="29"/>
        <v>0.94826465160869211</v>
      </c>
      <c r="C492" s="3">
        <f t="shared" si="30"/>
        <v>59320.591810684949</v>
      </c>
      <c r="D492" s="3">
        <f t="shared" si="31"/>
        <v>12.657677569608495</v>
      </c>
      <c r="E492" s="8">
        <f t="shared" si="28"/>
        <v>69.428571428571431</v>
      </c>
      <c r="F492" s="3"/>
      <c r="G492" s="3"/>
      <c r="H492" s="3"/>
    </row>
    <row r="493" spans="1:8" ht="18.75" x14ac:dyDescent="0.3">
      <c r="A493" s="3">
        <v>487</v>
      </c>
      <c r="B493" s="9">
        <f t="shared" si="29"/>
        <v>0.94846594885902191</v>
      </c>
      <c r="C493" s="3">
        <f t="shared" si="30"/>
        <v>59333.184362773834</v>
      </c>
      <c r="D493" s="3">
        <f t="shared" si="31"/>
        <v>12.592552088884986</v>
      </c>
      <c r="E493" s="8">
        <f t="shared" si="28"/>
        <v>69.571428571428569</v>
      </c>
      <c r="F493" s="3"/>
      <c r="G493" s="3"/>
      <c r="H493" s="3"/>
    </row>
    <row r="494" spans="1:8" ht="18.75" x14ac:dyDescent="0.3">
      <c r="A494" s="3">
        <v>488</v>
      </c>
      <c r="B494" s="9">
        <f t="shared" si="29"/>
        <v>0.94866621180467914</v>
      </c>
      <c r="C494" s="3">
        <f t="shared" si="30"/>
        <v>59345.712211865313</v>
      </c>
      <c r="D494" s="3">
        <f t="shared" si="31"/>
        <v>12.527849091478856</v>
      </c>
      <c r="E494" s="8">
        <f t="shared" si="28"/>
        <v>69.714285714285708</v>
      </c>
      <c r="F494" s="3"/>
      <c r="G494" s="3"/>
      <c r="H494" s="3"/>
    </row>
    <row r="495" spans="1:8" ht="18.75" x14ac:dyDescent="0.3">
      <c r="A495" s="3">
        <v>489</v>
      </c>
      <c r="B495" s="9">
        <f t="shared" si="29"/>
        <v>0.94886544714591947</v>
      </c>
      <c r="C495" s="3">
        <f t="shared" si="30"/>
        <v>59358.175777107288</v>
      </c>
      <c r="D495" s="3">
        <f t="shared" si="31"/>
        <v>12.46356524197472</v>
      </c>
      <c r="E495" s="8">
        <f t="shared" si="28"/>
        <v>69.857142857142861</v>
      </c>
      <c r="F495" s="3"/>
      <c r="G495" s="3"/>
      <c r="H495" s="3"/>
    </row>
    <row r="496" spans="1:8" ht="18.75" x14ac:dyDescent="0.3">
      <c r="A496" s="3">
        <v>490</v>
      </c>
      <c r="B496" s="9">
        <f t="shared" si="29"/>
        <v>0.94906366153017807</v>
      </c>
      <c r="C496" s="3">
        <f t="shared" si="30"/>
        <v>59370.57547434335</v>
      </c>
      <c r="D496" s="3">
        <f t="shared" si="31"/>
        <v>12.399697236061911</v>
      </c>
      <c r="E496" s="8">
        <f t="shared" si="28"/>
        <v>70</v>
      </c>
      <c r="F496" s="3"/>
      <c r="G496" s="3"/>
      <c r="H496" s="3"/>
    </row>
    <row r="497" spans="1:8" ht="18.75" x14ac:dyDescent="0.3">
      <c r="A497" s="3">
        <v>491</v>
      </c>
      <c r="B497" s="9">
        <f t="shared" si="29"/>
        <v>0.94926086155256317</v>
      </c>
      <c r="C497" s="3">
        <f t="shared" si="30"/>
        <v>59382.911716143695</v>
      </c>
      <c r="D497" s="3">
        <f t="shared" si="31"/>
        <v>12.336241800345306</v>
      </c>
      <c r="E497" s="8">
        <f t="shared" si="28"/>
        <v>70.142857142857139</v>
      </c>
      <c r="F497" s="3"/>
      <c r="G497" s="3"/>
      <c r="H497" s="3"/>
    </row>
    <row r="498" spans="1:8" ht="18.75" x14ac:dyDescent="0.3">
      <c r="A498" s="3">
        <v>492</v>
      </c>
      <c r="B498" s="9">
        <f t="shared" si="29"/>
        <v>0.94945705375634304</v>
      </c>
      <c r="C498" s="3">
        <f t="shared" si="30"/>
        <v>59395.184911835553</v>
      </c>
      <c r="D498" s="3">
        <f t="shared" si="31"/>
        <v>12.273195691857836</v>
      </c>
      <c r="E498" s="8">
        <f t="shared" si="28"/>
        <v>70.285714285714292</v>
      </c>
      <c r="F498" s="3"/>
      <c r="G498" s="3"/>
      <c r="H498" s="3"/>
    </row>
    <row r="499" spans="1:8" ht="18.75" x14ac:dyDescent="0.3">
      <c r="A499" s="3">
        <v>493</v>
      </c>
      <c r="B499" s="9">
        <f t="shared" si="29"/>
        <v>0.9496522446334289</v>
      </c>
      <c r="C499" s="3">
        <f t="shared" si="30"/>
        <v>59407.39546753341</v>
      </c>
      <c r="D499" s="3">
        <f t="shared" si="31"/>
        <v>12.210555697856762</v>
      </c>
      <c r="E499" s="8">
        <f t="shared" si="28"/>
        <v>70.428571428571431</v>
      </c>
      <c r="F499" s="3"/>
      <c r="G499" s="3"/>
      <c r="H499" s="3"/>
    </row>
    <row r="500" spans="1:8" ht="18.75" x14ac:dyDescent="0.3">
      <c r="A500" s="3">
        <v>494</v>
      </c>
      <c r="B500" s="9">
        <f t="shared" si="29"/>
        <v>0.9498464406248518</v>
      </c>
      <c r="C500" s="3">
        <f t="shared" si="30"/>
        <v>59419.543786168855</v>
      </c>
      <c r="D500" s="3">
        <f t="shared" si="31"/>
        <v>12.148318635445321</v>
      </c>
      <c r="E500" s="8">
        <f t="shared" si="28"/>
        <v>70.571428571428569</v>
      </c>
      <c r="F500" s="3"/>
      <c r="G500" s="3"/>
      <c r="H500" s="3"/>
    </row>
    <row r="501" spans="1:8" ht="18.75" x14ac:dyDescent="0.3">
      <c r="A501" s="3">
        <v>495</v>
      </c>
      <c r="B501" s="9">
        <f t="shared" si="29"/>
        <v>0.95003964812123487</v>
      </c>
      <c r="C501" s="3">
        <f t="shared" si="30"/>
        <v>59431.630267520093</v>
      </c>
      <c r="D501" s="3">
        <f t="shared" si="31"/>
        <v>12.086481351238035</v>
      </c>
      <c r="E501" s="8">
        <f t="shared" si="28"/>
        <v>70.714285714285708</v>
      </c>
      <c r="F501" s="3"/>
      <c r="G501" s="3"/>
      <c r="H501" s="3"/>
    </row>
    <row r="502" spans="1:8" ht="18.75" x14ac:dyDescent="0.3">
      <c r="A502" s="3">
        <v>496</v>
      </c>
      <c r="B502" s="9">
        <f t="shared" si="29"/>
        <v>0.95023187346326032</v>
      </c>
      <c r="C502" s="3">
        <f t="shared" si="30"/>
        <v>59443.655308241177</v>
      </c>
      <c r="D502" s="3">
        <f t="shared" si="31"/>
        <v>12.025040721084224</v>
      </c>
      <c r="E502" s="8">
        <f t="shared" si="28"/>
        <v>70.857142857142861</v>
      </c>
      <c r="F502" s="3"/>
      <c r="G502" s="3"/>
      <c r="H502" s="3"/>
    </row>
    <row r="503" spans="1:8" ht="18.75" x14ac:dyDescent="0.3">
      <c r="A503" s="3">
        <v>497</v>
      </c>
      <c r="B503" s="9">
        <f t="shared" si="29"/>
        <v>0.95042312294213116</v>
      </c>
      <c r="C503" s="3">
        <f t="shared" si="30"/>
        <v>59455.619301890896</v>
      </c>
      <c r="D503" s="3">
        <f t="shared" si="31"/>
        <v>11.963993649718759</v>
      </c>
      <c r="E503" s="8">
        <f t="shared" si="28"/>
        <v>71</v>
      </c>
      <c r="F503" s="3"/>
      <c r="G503" s="3"/>
      <c r="H503" s="3"/>
    </row>
    <row r="504" spans="1:8" ht="18.75" x14ac:dyDescent="0.3">
      <c r="A504" s="3">
        <v>498</v>
      </c>
      <c r="B504" s="9">
        <f t="shared" si="29"/>
        <v>0.9506134028000286</v>
      </c>
      <c r="C504" s="3">
        <f t="shared" si="30"/>
        <v>59467.522638961389</v>
      </c>
      <c r="D504" s="3">
        <f t="shared" si="31"/>
        <v>11.903337070492853</v>
      </c>
      <c r="E504" s="8">
        <f t="shared" si="28"/>
        <v>71.142857142857139</v>
      </c>
      <c r="F504" s="3"/>
      <c r="G504" s="3"/>
      <c r="H504" s="3"/>
    </row>
    <row r="505" spans="1:8" ht="18.75" x14ac:dyDescent="0.3">
      <c r="A505" s="3">
        <v>499</v>
      </c>
      <c r="B505" s="9">
        <f t="shared" si="29"/>
        <v>0.95080271923056381</v>
      </c>
      <c r="C505" s="3">
        <f t="shared" si="30"/>
        <v>59479.365706906377</v>
      </c>
      <c r="D505" s="3">
        <f t="shared" si="31"/>
        <v>11.843067944988434</v>
      </c>
      <c r="E505" s="8">
        <f t="shared" si="28"/>
        <v>71.285714285714292</v>
      </c>
      <c r="F505" s="3"/>
      <c r="G505" s="3"/>
      <c r="H505" s="3"/>
    </row>
    <row r="506" spans="1:8" ht="18.75" x14ac:dyDescent="0.3">
      <c r="A506" s="3">
        <v>500</v>
      </c>
      <c r="B506" s="9">
        <f t="shared" si="29"/>
        <v>0.95099107837922559</v>
      </c>
      <c r="C506" s="3">
        <f t="shared" si="30"/>
        <v>59491.148890169214</v>
      </c>
      <c r="D506" s="3">
        <f t="shared" si="31"/>
        <v>11.783183262836246</v>
      </c>
      <c r="E506" s="8">
        <f t="shared" si="28"/>
        <v>71.428571428571431</v>
      </c>
      <c r="F506" s="3"/>
      <c r="G506" s="3"/>
      <c r="H506" s="3"/>
    </row>
    <row r="507" spans="1:8" ht="18.75" x14ac:dyDescent="0.3">
      <c r="A507" s="3">
        <v>501</v>
      </c>
      <c r="B507" s="9">
        <f t="shared" si="29"/>
        <v>0.95117848634382263</v>
      </c>
      <c r="C507" s="3">
        <f t="shared" si="30"/>
        <v>59502.872570210515</v>
      </c>
      <c r="D507" s="3">
        <f t="shared" si="31"/>
        <v>11.723680041301122</v>
      </c>
      <c r="E507" s="8">
        <f t="shared" si="28"/>
        <v>71.571428571428569</v>
      </c>
      <c r="F507" s="3"/>
      <c r="G507" s="3"/>
      <c r="H507" s="3"/>
    </row>
    <row r="508" spans="1:8" ht="18.75" x14ac:dyDescent="0.3">
      <c r="A508" s="3">
        <v>502</v>
      </c>
      <c r="B508" s="9">
        <f t="shared" si="29"/>
        <v>0.95136494917492131</v>
      </c>
      <c r="C508" s="3">
        <f t="shared" si="30"/>
        <v>59514.537125535549</v>
      </c>
      <c r="D508" s="3">
        <f t="shared" si="31"/>
        <v>11.664555325034598</v>
      </c>
      <c r="E508" s="8">
        <f t="shared" si="28"/>
        <v>71.714285714285708</v>
      </c>
      <c r="F508" s="3"/>
      <c r="G508" s="3"/>
      <c r="H508" s="3"/>
    </row>
    <row r="509" spans="1:8" ht="18.75" x14ac:dyDescent="0.3">
      <c r="A509" s="3">
        <v>503</v>
      </c>
      <c r="B509" s="9">
        <f t="shared" si="29"/>
        <v>0.95155047287627914</v>
      </c>
      <c r="C509" s="3">
        <f t="shared" si="30"/>
        <v>59526.142931721392</v>
      </c>
      <c r="D509" s="3">
        <f t="shared" si="31"/>
        <v>11.605806185842084</v>
      </c>
      <c r="E509" s="8">
        <f t="shared" si="28"/>
        <v>71.857142857142861</v>
      </c>
      <c r="F509" s="3"/>
      <c r="G509" s="3"/>
      <c r="H509" s="3"/>
    </row>
    <row r="510" spans="1:8" ht="18.75" x14ac:dyDescent="0.3">
      <c r="A510" s="3">
        <v>504</v>
      </c>
      <c r="B510" s="9">
        <f t="shared" si="29"/>
        <v>0.95173506340527314</v>
      </c>
      <c r="C510" s="3">
        <f t="shared" si="30"/>
        <v>59537.690361443674</v>
      </c>
      <c r="D510" s="3">
        <f t="shared" si="31"/>
        <v>11.547429722282686</v>
      </c>
      <c r="E510" s="8">
        <f t="shared" si="28"/>
        <v>72</v>
      </c>
      <c r="F510" s="3"/>
      <c r="G510" s="3"/>
      <c r="H510" s="3"/>
    </row>
    <row r="511" spans="1:8" ht="18.75" x14ac:dyDescent="0.3">
      <c r="A511" s="3">
        <v>505</v>
      </c>
      <c r="B511" s="9">
        <f t="shared" si="29"/>
        <v>0.95191872667332389</v>
      </c>
      <c r="C511" s="3">
        <f t="shared" si="30"/>
        <v>59549.179784503125</v>
      </c>
      <c r="D511" s="3">
        <f t="shared" si="31"/>
        <v>11.489423059450928</v>
      </c>
      <c r="E511" s="8">
        <f t="shared" si="28"/>
        <v>72.142857142857139</v>
      </c>
      <c r="F511" s="3"/>
      <c r="G511" s="3"/>
      <c r="H511" s="3"/>
    </row>
    <row r="512" spans="1:8" ht="18.75" x14ac:dyDescent="0.3">
      <c r="A512" s="3">
        <v>506</v>
      </c>
      <c r="B512" s="9">
        <f t="shared" si="29"/>
        <v>0.95210146854631472</v>
      </c>
      <c r="C512" s="3">
        <f t="shared" si="30"/>
        <v>59560.611567851811</v>
      </c>
      <c r="D512" s="3">
        <f t="shared" si="31"/>
        <v>11.431783348685713</v>
      </c>
      <c r="E512" s="8">
        <f t="shared" si="28"/>
        <v>72.285714285714292</v>
      </c>
      <c r="F512" s="3"/>
      <c r="G512" s="3"/>
      <c r="H512" s="3"/>
    </row>
    <row r="513" spans="1:8" ht="18.75" x14ac:dyDescent="0.3">
      <c r="A513" s="3">
        <v>507</v>
      </c>
      <c r="B513" s="9">
        <f t="shared" si="29"/>
        <v>0.95228329484500773</v>
      </c>
      <c r="C513" s="3">
        <f t="shared" si="30"/>
        <v>59571.986075619148</v>
      </c>
      <c r="D513" s="3">
        <f t="shared" si="31"/>
        <v>11.374507767337491</v>
      </c>
      <c r="E513" s="8">
        <f t="shared" si="28"/>
        <v>72.428571428571431</v>
      </c>
      <c r="F513" s="3"/>
      <c r="G513" s="3"/>
      <c r="H513" s="3"/>
    </row>
    <row r="514" spans="1:8" ht="18.75" x14ac:dyDescent="0.3">
      <c r="A514" s="3">
        <v>508</v>
      </c>
      <c r="B514" s="9">
        <f t="shared" si="29"/>
        <v>0.95246421134545323</v>
      </c>
      <c r="C514" s="3">
        <f t="shared" si="30"/>
        <v>59583.303669137516</v>
      </c>
      <c r="D514" s="3">
        <f t="shared" si="31"/>
        <v>11.317593518368085</v>
      </c>
      <c r="E514" s="8">
        <f t="shared" si="28"/>
        <v>72.571428571428569</v>
      </c>
      <c r="F514" s="3"/>
      <c r="G514" s="3"/>
      <c r="H514" s="3"/>
    </row>
    <row r="515" spans="1:8" ht="18.75" x14ac:dyDescent="0.3">
      <c r="A515" s="3">
        <v>509</v>
      </c>
      <c r="B515" s="9">
        <f t="shared" si="29"/>
        <v>0.9526442237793975</v>
      </c>
      <c r="C515" s="3">
        <f t="shared" si="30"/>
        <v>59594.564706967773</v>
      </c>
      <c r="D515" s="3">
        <f t="shared" si="31"/>
        <v>11.2610378302561</v>
      </c>
      <c r="E515" s="8">
        <f t="shared" si="28"/>
        <v>72.714285714285708</v>
      </c>
      <c r="F515" s="3"/>
      <c r="G515" s="3"/>
      <c r="H515" s="3"/>
    </row>
    <row r="516" spans="1:8" ht="18.75" x14ac:dyDescent="0.3">
      <c r="A516" s="3">
        <v>510</v>
      </c>
      <c r="B516" s="9">
        <f t="shared" si="29"/>
        <v>0.95282333783468376</v>
      </c>
      <c r="C516" s="3">
        <f t="shared" si="30"/>
        <v>59605.769544924311</v>
      </c>
      <c r="D516" s="3">
        <f t="shared" si="31"/>
        <v>11.20483795653854</v>
      </c>
      <c r="E516" s="8">
        <f t="shared" si="28"/>
        <v>72.857142857142861</v>
      </c>
      <c r="F516" s="3"/>
      <c r="G516" s="3"/>
      <c r="H516" s="3"/>
    </row>
    <row r="517" spans="1:8" ht="18.75" x14ac:dyDescent="0.3">
      <c r="A517" s="3">
        <v>511</v>
      </c>
      <c r="B517" s="9">
        <f t="shared" si="29"/>
        <v>0.95300155915565055</v>
      </c>
      <c r="C517" s="3">
        <f t="shared" si="30"/>
        <v>59616.918536100035</v>
      </c>
      <c r="D517" s="3">
        <f t="shared" si="31"/>
        <v>11.148991175723495</v>
      </c>
      <c r="E517" s="8">
        <f t="shared" si="28"/>
        <v>73</v>
      </c>
      <c r="F517" s="3"/>
      <c r="G517" s="3"/>
      <c r="H517" s="3"/>
    </row>
    <row r="518" spans="1:8" ht="18.75" x14ac:dyDescent="0.3">
      <c r="A518" s="3">
        <v>512</v>
      </c>
      <c r="B518" s="9">
        <f t="shared" si="29"/>
        <v>0.95317889334352546</v>
      </c>
      <c r="C518" s="3">
        <f t="shared" si="30"/>
        <v>59628.012030890925</v>
      </c>
      <c r="D518" s="3">
        <f t="shared" si="31"/>
        <v>11.093494790889963</v>
      </c>
      <c r="E518" s="8">
        <f t="shared" si="28"/>
        <v>73.142857142857139</v>
      </c>
      <c r="F518" s="3"/>
      <c r="G518" s="3"/>
      <c r="H518" s="3"/>
    </row>
    <row r="519" spans="1:8" ht="18.75" x14ac:dyDescent="0.3">
      <c r="A519" s="3">
        <v>513</v>
      </c>
      <c r="B519" s="9">
        <f t="shared" si="29"/>
        <v>0.95335534595681437</v>
      </c>
      <c r="C519" s="3">
        <f t="shared" si="30"/>
        <v>59639.050377020438</v>
      </c>
      <c r="D519" s="3">
        <f t="shared" si="31"/>
        <v>11.038346129513229</v>
      </c>
      <c r="E519" s="8">
        <f t="shared" ref="E519:E582" si="32">A519/7</f>
        <v>73.285714285714292</v>
      </c>
      <c r="F519" s="3"/>
      <c r="G519" s="3"/>
      <c r="H519" s="3"/>
    </row>
    <row r="520" spans="1:8" ht="18.75" x14ac:dyDescent="0.3">
      <c r="A520" s="3">
        <v>514</v>
      </c>
      <c r="B520" s="9">
        <f t="shared" ref="B520:B583" si="33">LOGNORMDIST(A520,$A$3,$B$3)</f>
        <v>0.95353092251168781</v>
      </c>
      <c r="C520" s="3">
        <f t="shared" ref="C520:C583" si="34">$E$3*B520</f>
        <v>59650.033919563655</v>
      </c>
      <c r="D520" s="3">
        <f t="shared" ref="D520:D583" si="35">C520-C519</f>
        <v>10.983542543217482</v>
      </c>
      <c r="E520" s="8">
        <f t="shared" si="32"/>
        <v>73.428571428571431</v>
      </c>
      <c r="F520" s="3"/>
      <c r="G520" s="3"/>
      <c r="H520" s="3"/>
    </row>
    <row r="521" spans="1:8" ht="18.75" x14ac:dyDescent="0.3">
      <c r="A521" s="3">
        <v>515</v>
      </c>
      <c r="B521" s="9">
        <f t="shared" si="33"/>
        <v>0.95370562848236118</v>
      </c>
      <c r="C521" s="3">
        <f t="shared" si="34"/>
        <v>59660.963000971067</v>
      </c>
      <c r="D521" s="3">
        <f t="shared" si="35"/>
        <v>10.929081407412014</v>
      </c>
      <c r="E521" s="8">
        <f t="shared" si="32"/>
        <v>73.571428571428569</v>
      </c>
      <c r="F521" s="3"/>
      <c r="G521" s="3"/>
      <c r="H521" s="3"/>
    </row>
    <row r="522" spans="1:8" ht="18.75" x14ac:dyDescent="0.3">
      <c r="A522" s="3">
        <v>516</v>
      </c>
      <c r="B522" s="9">
        <f t="shared" si="33"/>
        <v>0.95387946930147305</v>
      </c>
      <c r="C522" s="3">
        <f t="shared" si="34"/>
        <v>59671.837961092249</v>
      </c>
      <c r="D522" s="3">
        <f t="shared" si="35"/>
        <v>10.874960121182085</v>
      </c>
      <c r="E522" s="8">
        <f t="shared" si="32"/>
        <v>73.714285714285708</v>
      </c>
      <c r="F522" s="3"/>
      <c r="G522" s="3"/>
      <c r="H522" s="3"/>
    </row>
    <row r="523" spans="1:8" ht="18.75" x14ac:dyDescent="0.3">
      <c r="A523" s="3">
        <v>517</v>
      </c>
      <c r="B523" s="9">
        <f t="shared" si="33"/>
        <v>0.95405245036045883</v>
      </c>
      <c r="C523" s="3">
        <f t="shared" si="34"/>
        <v>59682.659137199225</v>
      </c>
      <c r="D523" s="3">
        <f t="shared" si="35"/>
        <v>10.821176106976054</v>
      </c>
      <c r="E523" s="8">
        <f t="shared" si="32"/>
        <v>73.857142857142861</v>
      </c>
      <c r="F523" s="3"/>
      <c r="G523" s="3"/>
      <c r="H523" s="3"/>
    </row>
    <row r="524" spans="1:8" ht="18.75" x14ac:dyDescent="0.3">
      <c r="A524" s="3">
        <v>518</v>
      </c>
      <c r="B524" s="9">
        <f t="shared" si="33"/>
        <v>0.95422457700992014</v>
      </c>
      <c r="C524" s="3">
        <f t="shared" si="34"/>
        <v>59693.426864009576</v>
      </c>
      <c r="D524" s="3">
        <f t="shared" si="35"/>
        <v>10.767726810350723</v>
      </c>
      <c r="E524" s="8">
        <f t="shared" si="32"/>
        <v>74</v>
      </c>
      <c r="F524" s="3"/>
      <c r="G524" s="3"/>
      <c r="H524" s="3"/>
    </row>
    <row r="525" spans="1:8" ht="18.75" x14ac:dyDescent="0.3">
      <c r="A525" s="3">
        <v>519</v>
      </c>
      <c r="B525" s="9">
        <f t="shared" si="33"/>
        <v>0.95439585455999032</v>
      </c>
      <c r="C525" s="3">
        <f t="shared" si="34"/>
        <v>59704.141473709315</v>
      </c>
      <c r="D525" s="3">
        <f t="shared" si="35"/>
        <v>10.714609699738503</v>
      </c>
      <c r="E525" s="8">
        <f t="shared" si="32"/>
        <v>74.142857142857139</v>
      </c>
      <c r="F525" s="3"/>
      <c r="G525" s="3"/>
      <c r="H525" s="3"/>
    </row>
    <row r="526" spans="1:8" ht="18.75" x14ac:dyDescent="0.3">
      <c r="A526" s="3">
        <v>520</v>
      </c>
      <c r="B526" s="9">
        <f t="shared" si="33"/>
        <v>0.95456628828069723</v>
      </c>
      <c r="C526" s="3">
        <f t="shared" si="34"/>
        <v>59714.80329597558</v>
      </c>
      <c r="D526" s="3">
        <f t="shared" si="35"/>
        <v>10.661822266265517</v>
      </c>
      <c r="E526" s="8">
        <f t="shared" si="32"/>
        <v>74.285714285714292</v>
      </c>
      <c r="F526" s="3"/>
      <c r="G526" s="3"/>
      <c r="H526" s="3"/>
    </row>
    <row r="527" spans="1:8" ht="18.75" x14ac:dyDescent="0.3">
      <c r="A527" s="3">
        <v>521</v>
      </c>
      <c r="B527" s="9">
        <f t="shared" si="33"/>
        <v>0.95473588340232107</v>
      </c>
      <c r="C527" s="3">
        <f t="shared" si="34"/>
        <v>59725.412657998997</v>
      </c>
      <c r="D527" s="3">
        <f t="shared" si="35"/>
        <v>10.609362023416907</v>
      </c>
      <c r="E527" s="8">
        <f t="shared" si="32"/>
        <v>74.428571428571431</v>
      </c>
      <c r="F527" s="3"/>
      <c r="G527" s="3"/>
      <c r="H527" s="3"/>
    </row>
    <row r="528" spans="1:8" ht="18.75" x14ac:dyDescent="0.3">
      <c r="A528" s="3">
        <v>522</v>
      </c>
      <c r="B528" s="9">
        <f t="shared" si="33"/>
        <v>0.95490464511574891</v>
      </c>
      <c r="C528" s="3">
        <f t="shared" si="34"/>
        <v>59735.969884505903</v>
      </c>
      <c r="D528" s="3">
        <f t="shared" si="35"/>
        <v>10.557226506905863</v>
      </c>
      <c r="E528" s="8">
        <f t="shared" si="32"/>
        <v>74.571428571428569</v>
      </c>
      <c r="F528" s="3"/>
      <c r="G528" s="3"/>
      <c r="H528" s="3"/>
    </row>
    <row r="529" spans="1:8" ht="18.75" x14ac:dyDescent="0.3">
      <c r="A529" s="3">
        <v>523</v>
      </c>
      <c r="B529" s="9">
        <f t="shared" si="33"/>
        <v>0.95507257857282579</v>
      </c>
      <c r="C529" s="3">
        <f t="shared" si="34"/>
        <v>59746.475297780264</v>
      </c>
      <c r="D529" s="3">
        <f t="shared" si="35"/>
        <v>10.505413274360762</v>
      </c>
      <c r="E529" s="8">
        <f t="shared" si="32"/>
        <v>74.714285714285708</v>
      </c>
      <c r="F529" s="3"/>
      <c r="G529" s="3"/>
      <c r="H529" s="3"/>
    </row>
    <row r="530" spans="1:8" ht="18.75" x14ac:dyDescent="0.3">
      <c r="A530" s="3">
        <v>524</v>
      </c>
      <c r="B530" s="9">
        <f t="shared" si="33"/>
        <v>0.95523968888670197</v>
      </c>
      <c r="C530" s="3">
        <f t="shared" si="34"/>
        <v>59756.929217685414</v>
      </c>
      <c r="D530" s="3">
        <f t="shared" si="35"/>
        <v>10.453919905150542</v>
      </c>
      <c r="E530" s="8">
        <f t="shared" si="32"/>
        <v>74.857142857142861</v>
      </c>
      <c r="F530" s="3"/>
      <c r="G530" s="3"/>
      <c r="H530" s="3"/>
    </row>
    <row r="531" spans="1:8" ht="18.75" x14ac:dyDescent="0.3">
      <c r="A531" s="3">
        <v>525</v>
      </c>
      <c r="B531" s="9">
        <f t="shared" si="33"/>
        <v>0.9554059811321769</v>
      </c>
      <c r="C531" s="3">
        <f t="shared" si="34"/>
        <v>59767.331961685588</v>
      </c>
      <c r="D531" s="3">
        <f t="shared" si="35"/>
        <v>10.402744000173698</v>
      </c>
      <c r="E531" s="8">
        <f t="shared" si="32"/>
        <v>75</v>
      </c>
      <c r="F531" s="3"/>
      <c r="G531" s="3"/>
      <c r="H531" s="3"/>
    </row>
    <row r="532" spans="1:8" ht="18.75" x14ac:dyDescent="0.3">
      <c r="A532" s="3">
        <v>526</v>
      </c>
      <c r="B532" s="9">
        <f t="shared" si="33"/>
        <v>0.95557146034603879</v>
      </c>
      <c r="C532" s="3">
        <f t="shared" si="34"/>
        <v>59777.683844867148</v>
      </c>
      <c r="D532" s="3">
        <f t="shared" si="35"/>
        <v>10.35188318155997</v>
      </c>
      <c r="E532" s="8">
        <f t="shared" si="32"/>
        <v>75.142857142857139</v>
      </c>
      <c r="F532" s="3"/>
      <c r="G532" s="3"/>
      <c r="H532" s="3"/>
    </row>
    <row r="533" spans="1:8" ht="18.75" x14ac:dyDescent="0.3">
      <c r="A533" s="3">
        <v>527</v>
      </c>
      <c r="B533" s="9">
        <f t="shared" si="33"/>
        <v>0.95573613152740211</v>
      </c>
      <c r="C533" s="3">
        <f t="shared" si="34"/>
        <v>59787.985179959695</v>
      </c>
      <c r="D533" s="3">
        <f t="shared" si="35"/>
        <v>10.301335092546651</v>
      </c>
      <c r="E533" s="8">
        <f t="shared" si="32"/>
        <v>75.285714285714292</v>
      </c>
      <c r="F533" s="3"/>
      <c r="G533" s="3"/>
      <c r="H533" s="3"/>
    </row>
    <row r="534" spans="1:8" ht="18.75" x14ac:dyDescent="0.3">
      <c r="A534" s="3">
        <v>528</v>
      </c>
      <c r="B534" s="9">
        <f t="shared" si="33"/>
        <v>0.95589999963803995</v>
      </c>
      <c r="C534" s="3">
        <f t="shared" si="34"/>
        <v>59798.236277356868</v>
      </c>
      <c r="D534" s="3">
        <f t="shared" si="35"/>
        <v>10.251097397172998</v>
      </c>
      <c r="E534" s="8">
        <f t="shared" si="32"/>
        <v>75.428571428571431</v>
      </c>
      <c r="F534" s="3"/>
      <c r="G534" s="3"/>
      <c r="H534" s="3"/>
    </row>
    <row r="535" spans="1:8" ht="18.75" x14ac:dyDescent="0.3">
      <c r="A535" s="3">
        <v>529</v>
      </c>
      <c r="B535" s="9">
        <f t="shared" si="33"/>
        <v>0.9560630696027147</v>
      </c>
      <c r="C535" s="3">
        <f t="shared" si="34"/>
        <v>59808.437445137024</v>
      </c>
      <c r="D535" s="3">
        <f t="shared" si="35"/>
        <v>10.201167780156538</v>
      </c>
      <c r="E535" s="8">
        <f t="shared" si="32"/>
        <v>75.571428571428569</v>
      </c>
      <c r="F535" s="3"/>
      <c r="G535" s="3"/>
      <c r="H535" s="3"/>
    </row>
    <row r="536" spans="1:8" ht="18.75" x14ac:dyDescent="0.3">
      <c r="A536" s="3">
        <v>530</v>
      </c>
      <c r="B536" s="9">
        <f t="shared" si="33"/>
        <v>0.95622534630950407</v>
      </c>
      <c r="C536" s="3">
        <f t="shared" si="34"/>
        <v>59818.588989083648</v>
      </c>
      <c r="D536" s="3">
        <f t="shared" si="35"/>
        <v>10.15154394662386</v>
      </c>
      <c r="E536" s="8">
        <f t="shared" si="32"/>
        <v>75.714285714285708</v>
      </c>
      <c r="F536" s="3"/>
      <c r="G536" s="3"/>
      <c r="H536" s="3"/>
    </row>
    <row r="537" spans="1:8" ht="18.75" x14ac:dyDescent="0.3">
      <c r="A537" s="3">
        <v>531</v>
      </c>
      <c r="B537" s="9">
        <f t="shared" si="33"/>
        <v>0.95638683461012419</v>
      </c>
      <c r="C537" s="3">
        <f t="shared" si="34"/>
        <v>59828.69121270554</v>
      </c>
      <c r="D537" s="3">
        <f t="shared" si="35"/>
        <v>10.102223621892335</v>
      </c>
      <c r="E537" s="8">
        <f t="shared" si="32"/>
        <v>75.857142857142861</v>
      </c>
      <c r="F537" s="3"/>
      <c r="G537" s="3"/>
      <c r="H537" s="3"/>
    </row>
    <row r="538" spans="1:8" ht="18.75" x14ac:dyDescent="0.3">
      <c r="A538" s="3">
        <v>532</v>
      </c>
      <c r="B538" s="9">
        <f t="shared" si="33"/>
        <v>0.9565475393202495</v>
      </c>
      <c r="C538" s="3">
        <f t="shared" si="34"/>
        <v>59838.74441725685</v>
      </c>
      <c r="D538" s="3">
        <f t="shared" si="35"/>
        <v>10.053204551310046</v>
      </c>
      <c r="E538" s="8">
        <f t="shared" si="32"/>
        <v>76</v>
      </c>
      <c r="F538" s="3"/>
      <c r="G538" s="3"/>
      <c r="H538" s="3"/>
    </row>
    <row r="539" spans="1:8" ht="18.75" x14ac:dyDescent="0.3">
      <c r="A539" s="3">
        <v>533</v>
      </c>
      <c r="B539" s="9">
        <f t="shared" si="33"/>
        <v>0.95670746521982952</v>
      </c>
      <c r="C539" s="3">
        <f t="shared" si="34"/>
        <v>59848.748901756873</v>
      </c>
      <c r="D539" s="3">
        <f t="shared" si="35"/>
        <v>10.004484500022954</v>
      </c>
      <c r="E539" s="8">
        <f t="shared" si="32"/>
        <v>76.142857142857139</v>
      </c>
      <c r="F539" s="3"/>
      <c r="G539" s="3"/>
      <c r="H539" s="3"/>
    </row>
    <row r="540" spans="1:8" ht="18.75" x14ac:dyDescent="0.3">
      <c r="A540" s="3">
        <v>534</v>
      </c>
      <c r="B540" s="9">
        <f t="shared" si="33"/>
        <v>0.95686661705340204</v>
      </c>
      <c r="C540" s="3">
        <f t="shared" si="34"/>
        <v>59858.704963009674</v>
      </c>
      <c r="D540" s="3">
        <f t="shared" si="35"/>
        <v>9.9560612528002821</v>
      </c>
      <c r="E540" s="8">
        <f t="shared" si="32"/>
        <v>76.285714285714292</v>
      </c>
      <c r="F540" s="3"/>
      <c r="G540" s="3"/>
      <c r="H540" s="3"/>
    </row>
    <row r="541" spans="1:8" ht="18.75" x14ac:dyDescent="0.3">
      <c r="A541" s="3">
        <v>535</v>
      </c>
      <c r="B541" s="9">
        <f t="shared" si="33"/>
        <v>0.95702499953040299</v>
      </c>
      <c r="C541" s="3">
        <f t="shared" si="34"/>
        <v>59868.612895623417</v>
      </c>
      <c r="D541" s="3">
        <f t="shared" si="35"/>
        <v>9.9079326137434691</v>
      </c>
      <c r="E541" s="8">
        <f t="shared" si="32"/>
        <v>76.428571428571431</v>
      </c>
      <c r="F541" s="3"/>
      <c r="G541" s="3"/>
      <c r="H541" s="3"/>
    </row>
    <row r="542" spans="1:8" ht="18.75" x14ac:dyDescent="0.3">
      <c r="A542" s="3">
        <v>536</v>
      </c>
      <c r="B542" s="9">
        <f t="shared" si="33"/>
        <v>0.95718261732547427</v>
      </c>
      <c r="C542" s="3">
        <f t="shared" si="34"/>
        <v>59878.472992029696</v>
      </c>
      <c r="D542" s="3">
        <f t="shared" si="35"/>
        <v>9.8600964062788989</v>
      </c>
      <c r="E542" s="8">
        <f t="shared" si="32"/>
        <v>76.571428571428569</v>
      </c>
      <c r="F542" s="3"/>
      <c r="G542" s="3"/>
      <c r="H542" s="3"/>
    </row>
    <row r="543" spans="1:8" ht="18.75" x14ac:dyDescent="0.3">
      <c r="A543" s="3">
        <v>537</v>
      </c>
      <c r="B543" s="9">
        <f t="shared" si="33"/>
        <v>0.95733947507876693</v>
      </c>
      <c r="C543" s="3">
        <f t="shared" si="34"/>
        <v>59888.285542502425</v>
      </c>
      <c r="D543" s="3">
        <f t="shared" si="35"/>
        <v>9.812550472728617</v>
      </c>
      <c r="E543" s="8">
        <f t="shared" si="32"/>
        <v>76.714285714285708</v>
      </c>
      <c r="F543" s="3"/>
      <c r="G543" s="3"/>
      <c r="H543" s="3"/>
    </row>
    <row r="544" spans="1:8" ht="18.75" x14ac:dyDescent="0.3">
      <c r="A544" s="3">
        <v>538</v>
      </c>
      <c r="B544" s="9">
        <f t="shared" si="33"/>
        <v>0.95749557739624214</v>
      </c>
      <c r="C544" s="3">
        <f t="shared" si="34"/>
        <v>59898.05083517672</v>
      </c>
      <c r="D544" s="3">
        <f t="shared" si="35"/>
        <v>9.7652926742957789</v>
      </c>
      <c r="E544" s="8">
        <f t="shared" si="32"/>
        <v>76.857142857142861</v>
      </c>
      <c r="F544" s="3"/>
      <c r="G544" s="3"/>
      <c r="H544" s="3"/>
    </row>
    <row r="545" spans="1:8" ht="18.75" x14ac:dyDescent="0.3">
      <c r="A545" s="3">
        <v>539</v>
      </c>
      <c r="B545" s="9">
        <f t="shared" si="33"/>
        <v>0.95765092884996961</v>
      </c>
      <c r="C545" s="3">
        <f t="shared" si="34"/>
        <v>59907.769156067552</v>
      </c>
      <c r="D545" s="3">
        <f t="shared" si="35"/>
        <v>9.7183208908318193</v>
      </c>
      <c r="E545" s="8">
        <f t="shared" si="32"/>
        <v>77</v>
      </c>
      <c r="F545" s="3"/>
      <c r="G545" s="3"/>
      <c r="H545" s="3"/>
    </row>
    <row r="546" spans="1:8" ht="18.75" x14ac:dyDescent="0.3">
      <c r="A546" s="3">
        <v>540</v>
      </c>
      <c r="B546" s="9">
        <f t="shared" si="33"/>
        <v>0.95780553397842128</v>
      </c>
      <c r="C546" s="3">
        <f t="shared" si="34"/>
        <v>59917.440789088098</v>
      </c>
      <c r="D546" s="3">
        <f t="shared" si="35"/>
        <v>9.6716330205454142</v>
      </c>
      <c r="E546" s="8">
        <f t="shared" si="32"/>
        <v>77.142857142857139</v>
      </c>
      <c r="F546" s="3"/>
      <c r="G546" s="3"/>
      <c r="H546" s="3"/>
    </row>
    <row r="547" spans="1:8" ht="18.75" x14ac:dyDescent="0.3">
      <c r="A547" s="3">
        <v>541</v>
      </c>
      <c r="B547" s="9">
        <f t="shared" si="33"/>
        <v>0.95795939728676438</v>
      </c>
      <c r="C547" s="3">
        <f t="shared" si="34"/>
        <v>59927.066016068122</v>
      </c>
      <c r="D547" s="3">
        <f t="shared" si="35"/>
        <v>9.6252269800243084</v>
      </c>
      <c r="E547" s="8">
        <f t="shared" si="32"/>
        <v>77.285714285714292</v>
      </c>
      <c r="F547" s="3"/>
      <c r="G547" s="3"/>
      <c r="H547" s="3"/>
    </row>
    <row r="548" spans="1:8" ht="18.75" x14ac:dyDescent="0.3">
      <c r="A548" s="3">
        <v>542</v>
      </c>
      <c r="B548" s="9">
        <f t="shared" si="33"/>
        <v>0.95811252324714968</v>
      </c>
      <c r="C548" s="3">
        <f t="shared" si="34"/>
        <v>59936.645116771942</v>
      </c>
      <c r="D548" s="3">
        <f t="shared" si="35"/>
        <v>9.5791007038205862</v>
      </c>
      <c r="E548" s="8">
        <f t="shared" si="32"/>
        <v>77.428571428571431</v>
      </c>
      <c r="F548" s="3"/>
      <c r="G548" s="3"/>
      <c r="H548" s="3"/>
    </row>
    <row r="549" spans="1:8" ht="18.75" x14ac:dyDescent="0.3">
      <c r="A549" s="3">
        <v>543</v>
      </c>
      <c r="B549" s="9">
        <f t="shared" si="33"/>
        <v>0.95826491629899724</v>
      </c>
      <c r="C549" s="3">
        <f t="shared" si="34"/>
        <v>59946.178368916371</v>
      </c>
      <c r="D549" s="3">
        <f t="shared" si="35"/>
        <v>9.5332521444288432</v>
      </c>
      <c r="E549" s="8">
        <f t="shared" si="32"/>
        <v>77.571428571428569</v>
      </c>
      <c r="F549" s="3"/>
      <c r="G549" s="3"/>
      <c r="H549" s="3"/>
    </row>
    <row r="550" spans="1:8" ht="18.75" x14ac:dyDescent="0.3">
      <c r="A550" s="3">
        <v>544</v>
      </c>
      <c r="B550" s="9">
        <f t="shared" si="33"/>
        <v>0.95841658084928028</v>
      </c>
      <c r="C550" s="3">
        <f t="shared" si="34"/>
        <v>59955.666048188425</v>
      </c>
      <c r="D550" s="3">
        <f t="shared" si="35"/>
        <v>9.4876792720533558</v>
      </c>
      <c r="E550" s="8">
        <f t="shared" si="32"/>
        <v>77.714285714285708</v>
      </c>
      <c r="F550" s="3"/>
      <c r="G550" s="3"/>
      <c r="H550" s="3"/>
    </row>
    <row r="551" spans="1:8" ht="18.75" x14ac:dyDescent="0.3">
      <c r="A551" s="3">
        <v>545</v>
      </c>
      <c r="B551" s="9">
        <f t="shared" si="33"/>
        <v>0.95856752127280509</v>
      </c>
      <c r="C551" s="3">
        <f t="shared" si="34"/>
        <v>59965.108428262865</v>
      </c>
      <c r="D551" s="3">
        <f t="shared" si="35"/>
        <v>9.4423800744407345</v>
      </c>
      <c r="E551" s="8">
        <f t="shared" si="32"/>
        <v>77.857142857142861</v>
      </c>
      <c r="F551" s="3"/>
      <c r="G551" s="3"/>
      <c r="H551" s="3"/>
    </row>
    <row r="552" spans="1:8" ht="18.75" x14ac:dyDescent="0.3">
      <c r="A552" s="3">
        <v>546</v>
      </c>
      <c r="B552" s="9">
        <f t="shared" si="33"/>
        <v>0.95871774191248837</v>
      </c>
      <c r="C552" s="3">
        <f t="shared" si="34"/>
        <v>59974.505780819534</v>
      </c>
      <c r="D552" s="3">
        <f t="shared" si="35"/>
        <v>9.3973525566689204</v>
      </c>
      <c r="E552" s="8">
        <f t="shared" si="32"/>
        <v>78</v>
      </c>
      <c r="F552" s="3"/>
      <c r="G552" s="3"/>
      <c r="H552" s="3"/>
    </row>
    <row r="553" spans="1:8" ht="18.75" x14ac:dyDescent="0.3">
      <c r="A553" s="3">
        <v>547</v>
      </c>
      <c r="B553" s="9">
        <f t="shared" si="33"/>
        <v>0.95886724707963233</v>
      </c>
      <c r="C553" s="3">
        <f t="shared" si="34"/>
        <v>59983.858375560558</v>
      </c>
      <c r="D553" s="3">
        <f t="shared" si="35"/>
        <v>9.3525947410234949</v>
      </c>
      <c r="E553" s="8">
        <f t="shared" si="32"/>
        <v>78.142857142857139</v>
      </c>
      <c r="F553" s="3"/>
      <c r="G553" s="3"/>
      <c r="H553" s="3"/>
    </row>
    <row r="554" spans="1:8" ht="18.75" x14ac:dyDescent="0.3">
      <c r="A554" s="3">
        <v>548</v>
      </c>
      <c r="B554" s="9">
        <f t="shared" si="33"/>
        <v>0.95901604105419636</v>
      </c>
      <c r="C554" s="3">
        <f t="shared" si="34"/>
        <v>59993.166480227359</v>
      </c>
      <c r="D554" s="3">
        <f t="shared" si="35"/>
        <v>9.3081046668012277</v>
      </c>
      <c r="E554" s="8">
        <f t="shared" si="32"/>
        <v>78.285714285714292</v>
      </c>
      <c r="F554" s="3"/>
      <c r="G554" s="3"/>
      <c r="H554" s="3"/>
    </row>
    <row r="555" spans="1:8" ht="18.75" x14ac:dyDescent="0.3">
      <c r="A555" s="3">
        <v>549</v>
      </c>
      <c r="B555" s="9">
        <f t="shared" si="33"/>
        <v>0.95916412808506646</v>
      </c>
      <c r="C555" s="3">
        <f t="shared" si="34"/>
        <v>60002.430360617502</v>
      </c>
      <c r="D555" s="3">
        <f t="shared" si="35"/>
        <v>9.2638803901427309</v>
      </c>
      <c r="E555" s="8">
        <f t="shared" si="32"/>
        <v>78.428571428571431</v>
      </c>
      <c r="F555" s="3"/>
      <c r="G555" s="3"/>
      <c r="H555" s="3"/>
    </row>
    <row r="556" spans="1:8" ht="18.75" x14ac:dyDescent="0.3">
      <c r="A556" s="3">
        <v>550</v>
      </c>
      <c r="B556" s="9">
        <f t="shared" si="33"/>
        <v>0.95931151239032209</v>
      </c>
      <c r="C556" s="3">
        <f t="shared" si="34"/>
        <v>60011.650280601381</v>
      </c>
      <c r="D556" s="3">
        <f t="shared" si="35"/>
        <v>9.2199199838796631</v>
      </c>
      <c r="E556" s="8">
        <f t="shared" si="32"/>
        <v>78.571428571428569</v>
      </c>
      <c r="F556" s="3"/>
      <c r="G556" s="3"/>
      <c r="H556" s="3"/>
    </row>
    <row r="557" spans="1:8" ht="18.75" x14ac:dyDescent="0.3">
      <c r="A557" s="3">
        <v>551</v>
      </c>
      <c r="B557" s="9">
        <f t="shared" si="33"/>
        <v>0.95945819815749989</v>
      </c>
      <c r="C557" s="3">
        <f t="shared" si="34"/>
        <v>60020.82650213872</v>
      </c>
      <c r="D557" s="3">
        <f t="shared" si="35"/>
        <v>9.1762215373382787</v>
      </c>
      <c r="E557" s="8">
        <f t="shared" si="32"/>
        <v>78.714285714285708</v>
      </c>
      <c r="F557" s="3"/>
      <c r="G557" s="3"/>
      <c r="H557" s="3"/>
    </row>
    <row r="558" spans="1:8" ht="18.75" x14ac:dyDescent="0.3">
      <c r="A558" s="3">
        <v>552</v>
      </c>
      <c r="B558" s="9">
        <f t="shared" si="33"/>
        <v>0.9596041895438544</v>
      </c>
      <c r="C558" s="3">
        <f t="shared" si="34"/>
        <v>60029.959285294899</v>
      </c>
      <c r="D558" s="3">
        <f t="shared" si="35"/>
        <v>9.1327831561793573</v>
      </c>
      <c r="E558" s="8">
        <f t="shared" si="32"/>
        <v>78.857142857142861</v>
      </c>
      <c r="F558" s="3"/>
      <c r="G558" s="3"/>
      <c r="H558" s="3"/>
    </row>
    <row r="559" spans="1:8" ht="18.75" x14ac:dyDescent="0.3">
      <c r="A559" s="3">
        <v>553</v>
      </c>
      <c r="B559" s="9">
        <f t="shared" si="33"/>
        <v>0.95974949067661852</v>
      </c>
      <c r="C559" s="3">
        <f t="shared" si="34"/>
        <v>60039.048888257224</v>
      </c>
      <c r="D559" s="3">
        <f t="shared" si="35"/>
        <v>9.0896029623254435</v>
      </c>
      <c r="E559" s="8">
        <f t="shared" si="32"/>
        <v>79</v>
      </c>
      <c r="F559" s="3"/>
      <c r="G559" s="3"/>
      <c r="H559" s="3"/>
    </row>
    <row r="560" spans="1:8" ht="18.75" x14ac:dyDescent="0.3">
      <c r="A560" s="3">
        <v>554</v>
      </c>
      <c r="B560" s="9">
        <f t="shared" si="33"/>
        <v>0.95989410565325772</v>
      </c>
      <c r="C560" s="3">
        <f t="shared" si="34"/>
        <v>60048.095567350843</v>
      </c>
      <c r="D560" s="3">
        <f t="shared" si="35"/>
        <v>9.0466790936188772</v>
      </c>
      <c r="E560" s="8">
        <f t="shared" si="32"/>
        <v>79.142857142857139</v>
      </c>
      <c r="F560" s="3"/>
      <c r="G560" s="3"/>
      <c r="H560" s="3"/>
    </row>
    <row r="561" spans="1:8" ht="18.75" x14ac:dyDescent="0.3">
      <c r="A561" s="3">
        <v>555</v>
      </c>
      <c r="B561" s="9">
        <f t="shared" si="33"/>
        <v>0.96003803854172509</v>
      </c>
      <c r="C561" s="3">
        <f t="shared" si="34"/>
        <v>60057.099577054694</v>
      </c>
      <c r="D561" s="3">
        <f t="shared" si="35"/>
        <v>9.0040097038508975</v>
      </c>
      <c r="E561" s="8">
        <f t="shared" si="32"/>
        <v>79.285714285714292</v>
      </c>
      <c r="F561" s="3"/>
      <c r="G561" s="3"/>
      <c r="H561" s="3"/>
    </row>
    <row r="562" spans="1:8" ht="18.75" x14ac:dyDescent="0.3">
      <c r="A562" s="3">
        <v>556</v>
      </c>
      <c r="B562" s="9">
        <f t="shared" si="33"/>
        <v>0.96018129338071201</v>
      </c>
      <c r="C562" s="3">
        <f t="shared" si="34"/>
        <v>60066.061170017201</v>
      </c>
      <c r="D562" s="3">
        <f t="shared" si="35"/>
        <v>8.9615929625069839</v>
      </c>
      <c r="E562" s="8">
        <f t="shared" si="32"/>
        <v>79.428571428571431</v>
      </c>
      <c r="F562" s="3"/>
      <c r="G562" s="3"/>
      <c r="H562" s="3"/>
    </row>
    <row r="563" spans="1:8" ht="18.75" x14ac:dyDescent="0.3">
      <c r="A563" s="3">
        <v>557</v>
      </c>
      <c r="B563" s="9">
        <f t="shared" si="33"/>
        <v>0.96032387417989684</v>
      </c>
      <c r="C563" s="3">
        <f t="shared" si="34"/>
        <v>60074.980597071808</v>
      </c>
      <c r="D563" s="3">
        <f t="shared" si="35"/>
        <v>8.9194270546067855</v>
      </c>
      <c r="E563" s="8">
        <f t="shared" si="32"/>
        <v>79.571428571428569</v>
      </c>
      <c r="F563" s="3"/>
      <c r="G563" s="3"/>
      <c r="H563" s="3"/>
    </row>
    <row r="564" spans="1:8" ht="18.75" x14ac:dyDescent="0.3">
      <c r="A564" s="3">
        <v>558</v>
      </c>
      <c r="B564" s="9">
        <f t="shared" si="33"/>
        <v>0.96046578492019108</v>
      </c>
      <c r="C564" s="3">
        <f t="shared" si="34"/>
        <v>60083.858107252396</v>
      </c>
      <c r="D564" s="3">
        <f t="shared" si="35"/>
        <v>8.8775101805877057</v>
      </c>
      <c r="E564" s="8">
        <f t="shared" si="32"/>
        <v>79.714285714285708</v>
      </c>
      <c r="F564" s="3"/>
      <c r="G564" s="3"/>
      <c r="H564" s="3"/>
    </row>
    <row r="565" spans="1:8" ht="18.75" x14ac:dyDescent="0.3">
      <c r="A565" s="3">
        <v>559</v>
      </c>
      <c r="B565" s="9">
        <f t="shared" si="33"/>
        <v>0.96060702955398369</v>
      </c>
      <c r="C565" s="3">
        <f t="shared" si="34"/>
        <v>60092.693947808555</v>
      </c>
      <c r="D565" s="3">
        <f t="shared" si="35"/>
        <v>8.8358405561593827</v>
      </c>
      <c r="E565" s="8">
        <f t="shared" si="32"/>
        <v>79.857142857142861</v>
      </c>
      <c r="F565" s="3"/>
      <c r="G565" s="3"/>
      <c r="H565" s="3"/>
    </row>
    <row r="566" spans="1:8" ht="18.75" x14ac:dyDescent="0.3">
      <c r="A566" s="3">
        <v>560</v>
      </c>
      <c r="B566" s="9">
        <f t="shared" si="33"/>
        <v>0.96074761200538183</v>
      </c>
      <c r="C566" s="3">
        <f t="shared" si="34"/>
        <v>60101.48836422067</v>
      </c>
      <c r="D566" s="3">
        <f t="shared" si="35"/>
        <v>8.794416412114515</v>
      </c>
      <c r="E566" s="8">
        <f t="shared" si="32"/>
        <v>80</v>
      </c>
      <c r="F566" s="3"/>
      <c r="G566" s="3"/>
      <c r="H566" s="3"/>
    </row>
    <row r="567" spans="1:8" ht="18.75" x14ac:dyDescent="0.3">
      <c r="A567" s="3">
        <v>561</v>
      </c>
      <c r="B567" s="9">
        <f t="shared" si="33"/>
        <v>0.96088753617045053</v>
      </c>
      <c r="C567" s="3">
        <f t="shared" si="34"/>
        <v>60110.241600214875</v>
      </c>
      <c r="D567" s="3">
        <f t="shared" si="35"/>
        <v>8.7532359942051698</v>
      </c>
      <c r="E567" s="8">
        <f t="shared" si="32"/>
        <v>80.142857142857139</v>
      </c>
      <c r="F567" s="3"/>
      <c r="G567" s="3"/>
      <c r="H567" s="3"/>
    </row>
    <row r="568" spans="1:8" ht="18.75" x14ac:dyDescent="0.3">
      <c r="A568" s="3">
        <v>562</v>
      </c>
      <c r="B568" s="9">
        <f t="shared" si="33"/>
        <v>0.96102680591744905</v>
      </c>
      <c r="C568" s="3">
        <f t="shared" si="34"/>
        <v>60118.953897777857</v>
      </c>
      <c r="D568" s="3">
        <f t="shared" si="35"/>
        <v>8.7122975629827124</v>
      </c>
      <c r="E568" s="8">
        <f t="shared" si="32"/>
        <v>80.285714285714292</v>
      </c>
      <c r="F568" s="3"/>
      <c r="G568" s="3"/>
      <c r="H568" s="3"/>
    </row>
    <row r="569" spans="1:8" ht="18.75" x14ac:dyDescent="0.3">
      <c r="A569" s="3">
        <v>563</v>
      </c>
      <c r="B569" s="9">
        <f t="shared" si="33"/>
        <v>0.96116542508706582</v>
      </c>
      <c r="C569" s="3">
        <f t="shared" si="34"/>
        <v>60127.625497171575</v>
      </c>
      <c r="D569" s="3">
        <f t="shared" si="35"/>
        <v>8.67159939371777</v>
      </c>
      <c r="E569" s="8">
        <f t="shared" si="32"/>
        <v>80.428571428571431</v>
      </c>
      <c r="F569" s="3"/>
      <c r="G569" s="3"/>
      <c r="H569" s="3"/>
    </row>
    <row r="570" spans="1:8" ht="18.75" x14ac:dyDescent="0.3">
      <c r="A570" s="3">
        <v>564</v>
      </c>
      <c r="B570" s="9">
        <f t="shared" si="33"/>
        <v>0.96130339749264948</v>
      </c>
      <c r="C570" s="3">
        <f t="shared" si="34"/>
        <v>60136.256636947677</v>
      </c>
      <c r="D570" s="3">
        <f t="shared" si="35"/>
        <v>8.631139776101918</v>
      </c>
      <c r="E570" s="8">
        <f t="shared" si="32"/>
        <v>80.571428571428569</v>
      </c>
      <c r="F570" s="3"/>
      <c r="G570" s="3"/>
      <c r="H570" s="3"/>
    </row>
    <row r="571" spans="1:8" ht="18.75" x14ac:dyDescent="0.3">
      <c r="A571" s="3">
        <v>565</v>
      </c>
      <c r="B571" s="9">
        <f t="shared" si="33"/>
        <v>0.96144072692044014</v>
      </c>
      <c r="C571" s="3">
        <f t="shared" si="34"/>
        <v>60144.847553961976</v>
      </c>
      <c r="D571" s="3">
        <f t="shared" si="35"/>
        <v>8.5909170142986113</v>
      </c>
      <c r="E571" s="8">
        <f t="shared" si="32"/>
        <v>80.714285714285708</v>
      </c>
      <c r="F571" s="3"/>
      <c r="G571" s="3"/>
      <c r="H571" s="3"/>
    </row>
    <row r="572" spans="1:8" ht="18.75" x14ac:dyDescent="0.3">
      <c r="A572" s="3">
        <v>566</v>
      </c>
      <c r="B572" s="9">
        <f t="shared" si="33"/>
        <v>0.96157741712979605</v>
      </c>
      <c r="C572" s="3">
        <f t="shared" si="34"/>
        <v>60153.39848338865</v>
      </c>
      <c r="D572" s="3">
        <f t="shared" si="35"/>
        <v>8.5509294266739744</v>
      </c>
      <c r="E572" s="8">
        <f t="shared" si="32"/>
        <v>80.857142857142861</v>
      </c>
      <c r="F572" s="3"/>
      <c r="G572" s="3"/>
      <c r="H572" s="3"/>
    </row>
    <row r="573" spans="1:8" ht="18.75" x14ac:dyDescent="0.3">
      <c r="A573" s="3">
        <v>567</v>
      </c>
      <c r="B573" s="9">
        <f t="shared" si="33"/>
        <v>0.9617134718534196</v>
      </c>
      <c r="C573" s="3">
        <f t="shared" si="34"/>
        <v>60161.909658734367</v>
      </c>
      <c r="D573" s="3">
        <f t="shared" si="35"/>
        <v>8.5111753457167652</v>
      </c>
      <c r="E573" s="8">
        <f t="shared" si="32"/>
        <v>81</v>
      </c>
      <c r="F573" s="3"/>
      <c r="G573" s="3"/>
      <c r="H573" s="3"/>
    </row>
    <row r="574" spans="1:8" ht="18.75" x14ac:dyDescent="0.3">
      <c r="A574" s="3">
        <v>568</v>
      </c>
      <c r="B574" s="9">
        <f t="shared" si="33"/>
        <v>0.96184889479758018</v>
      </c>
      <c r="C574" s="3">
        <f t="shared" si="34"/>
        <v>60170.381311852223</v>
      </c>
      <c r="D574" s="3">
        <f t="shared" si="35"/>
        <v>8.4716531178564765</v>
      </c>
      <c r="E574" s="8">
        <f t="shared" si="32"/>
        <v>81.142857142857139</v>
      </c>
      <c r="F574" s="3"/>
      <c r="G574" s="3"/>
      <c r="H574" s="3"/>
    </row>
    <row r="575" spans="1:8" ht="18.75" x14ac:dyDescent="0.3">
      <c r="A575" s="3">
        <v>569</v>
      </c>
      <c r="B575" s="9">
        <f t="shared" si="33"/>
        <v>0.96198368964233527</v>
      </c>
      <c r="C575" s="3">
        <f t="shared" si="34"/>
        <v>60178.81367295557</v>
      </c>
      <c r="D575" s="3">
        <f t="shared" si="35"/>
        <v>8.4323611033469206</v>
      </c>
      <c r="E575" s="8">
        <f t="shared" si="32"/>
        <v>81.285714285714292</v>
      </c>
      <c r="F575" s="3"/>
      <c r="G575" s="3"/>
      <c r="H575" s="3"/>
    </row>
    <row r="576" spans="1:8" ht="18.75" x14ac:dyDescent="0.3">
      <c r="A576" s="3">
        <v>570</v>
      </c>
      <c r="B576" s="9">
        <f t="shared" si="33"/>
        <v>0.96211786004174993</v>
      </c>
      <c r="C576" s="3">
        <f t="shared" si="34"/>
        <v>60187.206970631749</v>
      </c>
      <c r="D576" s="3">
        <f t="shared" si="35"/>
        <v>8.3932976761789178</v>
      </c>
      <c r="E576" s="8">
        <f t="shared" si="32"/>
        <v>81.428571428571431</v>
      </c>
      <c r="F576" s="3"/>
      <c r="G576" s="3"/>
      <c r="H576" s="3"/>
    </row>
    <row r="577" spans="1:8" ht="18.75" x14ac:dyDescent="0.3">
      <c r="A577" s="3">
        <v>571</v>
      </c>
      <c r="B577" s="9">
        <f t="shared" si="33"/>
        <v>0.9622514096241126</v>
      </c>
      <c r="C577" s="3">
        <f t="shared" si="34"/>
        <v>60195.561431855611</v>
      </c>
      <c r="D577" s="3">
        <f t="shared" si="35"/>
        <v>8.3544612238620175</v>
      </c>
      <c r="E577" s="8">
        <f t="shared" si="32"/>
        <v>81.571428571428569</v>
      </c>
      <c r="F577" s="3"/>
      <c r="G577" s="3"/>
      <c r="H577" s="3"/>
    </row>
    <row r="578" spans="1:8" ht="18.75" x14ac:dyDescent="0.3">
      <c r="A578" s="3">
        <v>572</v>
      </c>
      <c r="B578" s="9">
        <f t="shared" si="33"/>
        <v>0.96238434199215117</v>
      </c>
      <c r="C578" s="3">
        <f t="shared" si="34"/>
        <v>60203.877282002999</v>
      </c>
      <c r="D578" s="3">
        <f t="shared" si="35"/>
        <v>8.3158501473881188</v>
      </c>
      <c r="E578" s="8">
        <f t="shared" si="32"/>
        <v>81.714285714285708</v>
      </c>
      <c r="F578" s="3"/>
      <c r="G578" s="3"/>
      <c r="H578" s="3"/>
    </row>
    <row r="579" spans="1:8" ht="18.75" x14ac:dyDescent="0.3">
      <c r="A579" s="3">
        <v>573</v>
      </c>
      <c r="B579" s="9">
        <f t="shared" si="33"/>
        <v>0.96251666072324438</v>
      </c>
      <c r="C579" s="3">
        <f t="shared" si="34"/>
        <v>60212.154744863998</v>
      </c>
      <c r="D579" s="3">
        <f t="shared" si="35"/>
        <v>8.2774628609986394</v>
      </c>
      <c r="E579" s="8">
        <f t="shared" si="32"/>
        <v>81.857142857142861</v>
      </c>
      <c r="F579" s="3"/>
      <c r="G579" s="3"/>
      <c r="H579" s="3"/>
    </row>
    <row r="580" spans="1:8" ht="18.75" x14ac:dyDescent="0.3">
      <c r="A580" s="3">
        <v>574</v>
      </c>
      <c r="B580" s="9">
        <f t="shared" si="33"/>
        <v>0.96264836936963316</v>
      </c>
      <c r="C580" s="3">
        <f t="shared" si="34"/>
        <v>60220.394042656138</v>
      </c>
      <c r="D580" s="3">
        <f t="shared" si="35"/>
        <v>8.2392977921408601</v>
      </c>
      <c r="E580" s="8">
        <f t="shared" si="32"/>
        <v>82</v>
      </c>
      <c r="F580" s="3"/>
      <c r="G580" s="3"/>
      <c r="H580" s="3"/>
    </row>
    <row r="581" spans="1:8" ht="18.75" x14ac:dyDescent="0.3">
      <c r="A581" s="3">
        <v>575</v>
      </c>
      <c r="B581" s="9">
        <f t="shared" si="33"/>
        <v>0.96277947145862919</v>
      </c>
      <c r="C581" s="3">
        <f t="shared" si="34"/>
        <v>60228.595396037468</v>
      </c>
      <c r="D581" s="3">
        <f t="shared" si="35"/>
        <v>8.2013533813296817</v>
      </c>
      <c r="E581" s="8">
        <f t="shared" si="32"/>
        <v>82.142857142857139</v>
      </c>
      <c r="F581" s="3"/>
      <c r="G581" s="3"/>
      <c r="H581" s="3"/>
    </row>
    <row r="582" spans="1:8" ht="18.75" x14ac:dyDescent="0.3">
      <c r="A582" s="3">
        <v>576</v>
      </c>
      <c r="B582" s="9">
        <f t="shared" si="33"/>
        <v>0.96290997049282123</v>
      </c>
      <c r="C582" s="3">
        <f t="shared" si="34"/>
        <v>60236.759024119419</v>
      </c>
      <c r="D582" s="3">
        <f t="shared" si="35"/>
        <v>8.163628081951174</v>
      </c>
      <c r="E582" s="8">
        <f t="shared" si="32"/>
        <v>82.285714285714292</v>
      </c>
      <c r="F582" s="3"/>
      <c r="G582" s="3"/>
      <c r="H582" s="3"/>
    </row>
    <row r="583" spans="1:8" ht="18.75" x14ac:dyDescent="0.3">
      <c r="A583" s="3">
        <v>577</v>
      </c>
      <c r="B583" s="9">
        <f t="shared" si="33"/>
        <v>0.9630398699502799</v>
      </c>
      <c r="C583" s="3">
        <f t="shared" si="34"/>
        <v>60244.88514447966</v>
      </c>
      <c r="D583" s="3">
        <f t="shared" si="35"/>
        <v>8.1261203602407477</v>
      </c>
      <c r="E583" s="8">
        <f t="shared" ref="E583:E646" si="36">A583/7</f>
        <v>82.428571428571431</v>
      </c>
      <c r="F583" s="3"/>
      <c r="G583" s="3"/>
      <c r="H583" s="3"/>
    </row>
    <row r="584" spans="1:8" ht="18.75" x14ac:dyDescent="0.3">
      <c r="A584" s="3">
        <v>578</v>
      </c>
      <c r="B584" s="9">
        <f t="shared" ref="B584:B647" si="37">LOGNORMDIST(A584,$A$3,$B$3)</f>
        <v>0.96316917328476037</v>
      </c>
      <c r="C584" s="3">
        <f t="shared" ref="C584:C647" si="38">$E$3*B584</f>
        <v>60252.973973174754</v>
      </c>
      <c r="D584" s="3">
        <f t="shared" ref="D584:D647" si="39">C584-C583</f>
        <v>8.0888286950939801</v>
      </c>
      <c r="E584" s="8">
        <f t="shared" si="36"/>
        <v>82.571428571428569</v>
      </c>
      <c r="F584" s="3"/>
      <c r="G584" s="3"/>
      <c r="H584" s="3"/>
    </row>
    <row r="585" spans="1:8" ht="18.75" x14ac:dyDescent="0.3">
      <c r="A585" s="3">
        <v>579</v>
      </c>
      <c r="B585" s="9">
        <f t="shared" si="37"/>
        <v>0.96329788392590299</v>
      </c>
      <c r="C585" s="3">
        <f t="shared" si="38"/>
        <v>60261.025724752712</v>
      </c>
      <c r="D585" s="3">
        <f t="shared" si="39"/>
        <v>8.0517515779574751</v>
      </c>
      <c r="E585" s="8">
        <f t="shared" si="36"/>
        <v>82.714285714285708</v>
      </c>
      <c r="F585" s="3"/>
      <c r="G585" s="3"/>
      <c r="H585" s="3"/>
    </row>
    <row r="586" spans="1:8" ht="18.75" x14ac:dyDescent="0.3">
      <c r="A586" s="3">
        <v>580</v>
      </c>
      <c r="B586" s="9">
        <f t="shared" si="37"/>
        <v>0.96342600527943212</v>
      </c>
      <c r="C586" s="3">
        <f t="shared" si="38"/>
        <v>60269.040612265439</v>
      </c>
      <c r="D586" s="3">
        <f t="shared" si="39"/>
        <v>8.0148875127270003</v>
      </c>
      <c r="E586" s="8">
        <f t="shared" si="36"/>
        <v>82.857142857142861</v>
      </c>
      <c r="F586" s="3"/>
      <c r="G586" s="3"/>
      <c r="H586" s="3"/>
    </row>
    <row r="587" spans="1:8" ht="18.75" x14ac:dyDescent="0.3">
      <c r="A587" s="3">
        <v>581</v>
      </c>
      <c r="B587" s="9">
        <f t="shared" si="37"/>
        <v>0.96355354072735278</v>
      </c>
      <c r="C587" s="3">
        <f t="shared" si="38"/>
        <v>60277.018847281004</v>
      </c>
      <c r="D587" s="3">
        <f t="shared" si="39"/>
        <v>7.9782350155655877</v>
      </c>
      <c r="E587" s="8">
        <f t="shared" si="36"/>
        <v>83</v>
      </c>
      <c r="F587" s="3"/>
      <c r="G587" s="3"/>
      <c r="H587" s="3"/>
    </row>
    <row r="588" spans="1:8" ht="18.75" x14ac:dyDescent="0.3">
      <c r="A588" s="3">
        <v>582</v>
      </c>
      <c r="B588" s="9">
        <f t="shared" si="37"/>
        <v>0.96368049362814656</v>
      </c>
      <c r="C588" s="3">
        <f t="shared" si="38"/>
        <v>60284.960639895966</v>
      </c>
      <c r="D588" s="3">
        <f t="shared" si="39"/>
        <v>7.9417926149617415</v>
      </c>
      <c r="E588" s="8">
        <f t="shared" si="36"/>
        <v>83.142857142857139</v>
      </c>
      <c r="F588" s="3"/>
      <c r="G588" s="3"/>
      <c r="H588" s="3"/>
    </row>
    <row r="589" spans="1:8" ht="18.75" x14ac:dyDescent="0.3">
      <c r="A589" s="3">
        <v>583</v>
      </c>
      <c r="B589" s="9">
        <f t="shared" si="37"/>
        <v>0.96380686731696363</v>
      </c>
      <c r="C589" s="3">
        <f t="shared" si="38"/>
        <v>60292.866198747295</v>
      </c>
      <c r="D589" s="3">
        <f t="shared" si="39"/>
        <v>7.9055588513292605</v>
      </c>
      <c r="E589" s="8">
        <f t="shared" si="36"/>
        <v>83.285714285714292</v>
      </c>
      <c r="F589" s="3"/>
      <c r="G589" s="3"/>
      <c r="H589" s="3"/>
    </row>
    <row r="590" spans="1:8" ht="18.75" x14ac:dyDescent="0.3">
      <c r="A590" s="3">
        <v>584</v>
      </c>
      <c r="B590" s="9">
        <f t="shared" si="37"/>
        <v>0.96393266510581477</v>
      </c>
      <c r="C590" s="3">
        <f t="shared" si="38"/>
        <v>60300.735731024455</v>
      </c>
      <c r="D590" s="3">
        <f t="shared" si="39"/>
        <v>7.8695322771600331</v>
      </c>
      <c r="E590" s="8">
        <f t="shared" si="36"/>
        <v>83.428571428571431</v>
      </c>
      <c r="F590" s="3"/>
      <c r="G590" s="3"/>
      <c r="H590" s="3"/>
    </row>
    <row r="591" spans="1:8" ht="18.75" x14ac:dyDescent="0.3">
      <c r="A591" s="3">
        <v>585</v>
      </c>
      <c r="B591" s="9">
        <f t="shared" si="37"/>
        <v>0.96405789028376088</v>
      </c>
      <c r="C591" s="3">
        <f t="shared" si="38"/>
        <v>60308.569442481232</v>
      </c>
      <c r="D591" s="3">
        <f t="shared" si="39"/>
        <v>7.8337114567766548</v>
      </c>
      <c r="E591" s="8">
        <f t="shared" si="36"/>
        <v>83.571428571428569</v>
      </c>
      <c r="F591" s="3"/>
      <c r="G591" s="3"/>
      <c r="H591" s="3"/>
    </row>
    <row r="592" spans="1:8" ht="18.75" x14ac:dyDescent="0.3">
      <c r="A592" s="3">
        <v>586</v>
      </c>
      <c r="B592" s="9">
        <f t="shared" si="37"/>
        <v>0.96418254611710053</v>
      </c>
      <c r="C592" s="3">
        <f t="shared" si="38"/>
        <v>60316.367537447455</v>
      </c>
      <c r="D592" s="3">
        <f t="shared" si="39"/>
        <v>7.7980949662232888</v>
      </c>
      <c r="E592" s="8">
        <f t="shared" si="36"/>
        <v>83.714285714285708</v>
      </c>
      <c r="F592" s="3"/>
      <c r="G592" s="3"/>
      <c r="H592" s="3"/>
    </row>
    <row r="593" spans="1:8" ht="18.75" x14ac:dyDescent="0.3">
      <c r="A593" s="3">
        <v>587</v>
      </c>
      <c r="B593" s="9">
        <f t="shared" si="37"/>
        <v>0.964306635849556</v>
      </c>
      <c r="C593" s="3">
        <f t="shared" si="38"/>
        <v>60324.130218840677</v>
      </c>
      <c r="D593" s="3">
        <f t="shared" si="39"/>
        <v>7.7626813932220102</v>
      </c>
      <c r="E593" s="8">
        <f t="shared" si="36"/>
        <v>83.857142857142861</v>
      </c>
      <c r="F593" s="3"/>
      <c r="G593" s="3"/>
      <c r="H593" s="3"/>
    </row>
    <row r="594" spans="1:8" ht="18.75" x14ac:dyDescent="0.3">
      <c r="A594" s="3">
        <v>588</v>
      </c>
      <c r="B594" s="9">
        <f t="shared" si="37"/>
        <v>0.96443016270245741</v>
      </c>
      <c r="C594" s="3">
        <f t="shared" si="38"/>
        <v>60331.857688177624</v>
      </c>
      <c r="D594" s="3">
        <f t="shared" si="39"/>
        <v>7.7274693369472516</v>
      </c>
      <c r="E594" s="8">
        <f t="shared" si="36"/>
        <v>84</v>
      </c>
      <c r="F594" s="3"/>
      <c r="G594" s="3"/>
      <c r="H594" s="3"/>
    </row>
    <row r="595" spans="1:8" ht="18.75" x14ac:dyDescent="0.3">
      <c r="A595" s="3">
        <v>589</v>
      </c>
      <c r="B595" s="9">
        <f t="shared" si="37"/>
        <v>0.96455312987492547</v>
      </c>
      <c r="C595" s="3">
        <f t="shared" si="38"/>
        <v>60339.550145585716</v>
      </c>
      <c r="D595" s="3">
        <f t="shared" si="39"/>
        <v>7.6924574080912862</v>
      </c>
      <c r="E595" s="8">
        <f t="shared" si="36"/>
        <v>84.142857142857139</v>
      </c>
      <c r="F595" s="3"/>
      <c r="G595" s="3"/>
      <c r="H595" s="3"/>
    </row>
    <row r="596" spans="1:8" ht="18.75" x14ac:dyDescent="0.3">
      <c r="A596" s="3">
        <v>590</v>
      </c>
      <c r="B596" s="9">
        <f t="shared" si="37"/>
        <v>0.96467554054405158</v>
      </c>
      <c r="C596" s="3">
        <f t="shared" si="38"/>
        <v>60347.207789814238</v>
      </c>
      <c r="D596" s="3">
        <f t="shared" si="39"/>
        <v>7.6576442285222583</v>
      </c>
      <c r="E596" s="8">
        <f t="shared" si="36"/>
        <v>84.285714285714292</v>
      </c>
      <c r="F596" s="3"/>
      <c r="G596" s="3"/>
      <c r="H596" s="3"/>
    </row>
    <row r="597" spans="1:8" ht="18.75" x14ac:dyDescent="0.3">
      <c r="A597" s="3">
        <v>591</v>
      </c>
      <c r="B597" s="9">
        <f t="shared" si="37"/>
        <v>0.9647973978650779</v>
      </c>
      <c r="C597" s="3">
        <f t="shared" si="38"/>
        <v>60354.830818245675</v>
      </c>
      <c r="D597" s="3">
        <f t="shared" si="39"/>
        <v>7.6230284314369783</v>
      </c>
      <c r="E597" s="8">
        <f t="shared" si="36"/>
        <v>84.428571428571431</v>
      </c>
      <c r="F597" s="3"/>
      <c r="G597" s="3"/>
      <c r="H597" s="3"/>
    </row>
    <row r="598" spans="1:8" ht="18.75" x14ac:dyDescent="0.3">
      <c r="A598" s="3">
        <v>592</v>
      </c>
      <c r="B598" s="9">
        <f t="shared" si="37"/>
        <v>0.96491870497157339</v>
      </c>
      <c r="C598" s="3">
        <f t="shared" si="38"/>
        <v>60362.419426906716</v>
      </c>
      <c r="D598" s="3">
        <f t="shared" si="39"/>
        <v>7.5886086610407801</v>
      </c>
      <c r="E598" s="8">
        <f t="shared" si="36"/>
        <v>84.571428571428569</v>
      </c>
      <c r="F598" s="3"/>
      <c r="G598" s="3"/>
      <c r="H598" s="3"/>
    </row>
    <row r="599" spans="1:8" ht="18.75" x14ac:dyDescent="0.3">
      <c r="A599" s="3">
        <v>593</v>
      </c>
      <c r="B599" s="9">
        <f t="shared" si="37"/>
        <v>0.96503946497561099</v>
      </c>
      <c r="C599" s="3">
        <f t="shared" si="38"/>
        <v>60369.9738104793</v>
      </c>
      <c r="D599" s="3">
        <f t="shared" si="39"/>
        <v>7.5543835725839017</v>
      </c>
      <c r="E599" s="8">
        <f t="shared" si="36"/>
        <v>84.714285714285708</v>
      </c>
      <c r="F599" s="3"/>
      <c r="G599" s="3"/>
      <c r="H599" s="3"/>
    </row>
    <row r="600" spans="1:8" ht="18.75" x14ac:dyDescent="0.3">
      <c r="A600" s="3">
        <v>594</v>
      </c>
      <c r="B600" s="9">
        <f t="shared" si="37"/>
        <v>0.96515968096794014</v>
      </c>
      <c r="C600" s="3">
        <f t="shared" si="38"/>
        <v>60377.494162311428</v>
      </c>
      <c r="D600" s="3">
        <f t="shared" si="39"/>
        <v>7.5203518321286538</v>
      </c>
      <c r="E600" s="8">
        <f t="shared" si="36"/>
        <v>84.857142857142861</v>
      </c>
      <c r="F600" s="3"/>
      <c r="G600" s="3"/>
      <c r="H600" s="3"/>
    </row>
    <row r="601" spans="1:8" ht="18.75" x14ac:dyDescent="0.3">
      <c r="A601" s="3">
        <v>595</v>
      </c>
      <c r="B601" s="9">
        <f t="shared" si="37"/>
        <v>0.96527935601816051</v>
      </c>
      <c r="C601" s="3">
        <f t="shared" si="38"/>
        <v>60384.980674428065</v>
      </c>
      <c r="D601" s="3">
        <f t="shared" si="39"/>
        <v>7.4865121166367317</v>
      </c>
      <c r="E601" s="8">
        <f t="shared" si="36"/>
        <v>85</v>
      </c>
      <c r="F601" s="3"/>
      <c r="G601" s="3"/>
      <c r="H601" s="3"/>
    </row>
    <row r="602" spans="1:8" ht="18.75" x14ac:dyDescent="0.3">
      <c r="A602" s="3">
        <v>596</v>
      </c>
      <c r="B602" s="9">
        <f t="shared" si="37"/>
        <v>0.96539849317489224</v>
      </c>
      <c r="C602" s="3">
        <f t="shared" si="38"/>
        <v>60392.433537541736</v>
      </c>
      <c r="D602" s="3">
        <f t="shared" si="39"/>
        <v>7.4528631136709009</v>
      </c>
      <c r="E602" s="8">
        <f t="shared" si="36"/>
        <v>85.142857142857139</v>
      </c>
      <c r="F602" s="3"/>
      <c r="G602" s="3"/>
      <c r="H602" s="3"/>
    </row>
    <row r="603" spans="1:8" ht="18.75" x14ac:dyDescent="0.3">
      <c r="A603" s="3">
        <v>597</v>
      </c>
      <c r="B603" s="9">
        <f t="shared" si="37"/>
        <v>0.96551709546594489</v>
      </c>
      <c r="C603" s="3">
        <f t="shared" si="38"/>
        <v>60399.852941063116</v>
      </c>
      <c r="D603" s="3">
        <f t="shared" si="39"/>
        <v>7.4194035213804455</v>
      </c>
      <c r="E603" s="8">
        <f t="shared" si="36"/>
        <v>85.285714285714292</v>
      </c>
      <c r="F603" s="3"/>
      <c r="G603" s="3"/>
      <c r="H603" s="3"/>
    </row>
    <row r="604" spans="1:8" ht="18.75" x14ac:dyDescent="0.3">
      <c r="A604" s="3">
        <v>598</v>
      </c>
      <c r="B604" s="9">
        <f t="shared" si="37"/>
        <v>0.96563516589848564</v>
      </c>
      <c r="C604" s="3">
        <f t="shared" si="38"/>
        <v>60407.239073111567</v>
      </c>
      <c r="D604" s="3">
        <f t="shared" si="39"/>
        <v>7.3861320484502357</v>
      </c>
      <c r="E604" s="8">
        <f t="shared" si="36"/>
        <v>85.428571428571431</v>
      </c>
      <c r="F604" s="3"/>
      <c r="G604" s="3"/>
      <c r="H604" s="3"/>
    </row>
    <row r="605" spans="1:8" ht="18.75" x14ac:dyDescent="0.3">
      <c r="A605" s="3">
        <v>599</v>
      </c>
      <c r="B605" s="9">
        <f t="shared" si="37"/>
        <v>0.96575270745920494</v>
      </c>
      <c r="C605" s="3">
        <f t="shared" si="38"/>
        <v>60414.592120525485</v>
      </c>
      <c r="D605" s="3">
        <f t="shared" si="39"/>
        <v>7.35304741391883</v>
      </c>
      <c r="E605" s="8">
        <f t="shared" si="36"/>
        <v>85.571428571428569</v>
      </c>
      <c r="F605" s="3"/>
      <c r="G605" s="3"/>
      <c r="H605" s="3"/>
    </row>
    <row r="606" spans="1:8" ht="18.75" x14ac:dyDescent="0.3">
      <c r="A606" s="3">
        <v>600</v>
      </c>
      <c r="B606" s="9">
        <f t="shared" si="37"/>
        <v>0.96586972311448127</v>
      </c>
      <c r="C606" s="3">
        <f t="shared" si="38"/>
        <v>60421.912268872606</v>
      </c>
      <c r="D606" s="3">
        <f t="shared" si="39"/>
        <v>7.3201483471202664</v>
      </c>
      <c r="E606" s="8">
        <f t="shared" si="36"/>
        <v>85.714285714285708</v>
      </c>
      <c r="F606" s="3"/>
      <c r="G606" s="3"/>
      <c r="H606" s="3"/>
    </row>
    <row r="607" spans="1:8" ht="18.75" x14ac:dyDescent="0.3">
      <c r="A607" s="3">
        <v>601</v>
      </c>
      <c r="B607" s="9">
        <f t="shared" si="37"/>
        <v>0.96598621581054422</v>
      </c>
      <c r="C607" s="3">
        <f t="shared" si="38"/>
        <v>60429.199702460217</v>
      </c>
      <c r="D607" s="3">
        <f t="shared" si="39"/>
        <v>7.2874335876113037</v>
      </c>
      <c r="E607" s="8">
        <f t="shared" si="36"/>
        <v>85.857142857142861</v>
      </c>
      <c r="F607" s="3"/>
      <c r="G607" s="3"/>
      <c r="H607" s="3"/>
    </row>
    <row r="608" spans="1:8" ht="18.75" x14ac:dyDescent="0.3">
      <c r="A608" s="3">
        <v>602</v>
      </c>
      <c r="B608" s="9">
        <f t="shared" si="37"/>
        <v>0.96610218847363538</v>
      </c>
      <c r="C608" s="3">
        <f t="shared" si="38"/>
        <v>60436.454604345206</v>
      </c>
      <c r="D608" s="3">
        <f t="shared" si="39"/>
        <v>7.2549018849895219</v>
      </c>
      <c r="E608" s="8">
        <f t="shared" si="36"/>
        <v>86</v>
      </c>
      <c r="F608" s="3"/>
      <c r="G608" s="3"/>
      <c r="H608" s="3"/>
    </row>
    <row r="609" spans="1:8" ht="18.75" x14ac:dyDescent="0.3">
      <c r="A609" s="3">
        <v>603</v>
      </c>
      <c r="B609" s="9">
        <f t="shared" si="37"/>
        <v>0.96621764401016941</v>
      </c>
      <c r="C609" s="3">
        <f t="shared" si="38"/>
        <v>60443.677156344165</v>
      </c>
      <c r="D609" s="3">
        <f t="shared" si="39"/>
        <v>7.2225519989588065</v>
      </c>
      <c r="E609" s="8">
        <f t="shared" si="36"/>
        <v>86.142857142857139</v>
      </c>
      <c r="F609" s="3"/>
      <c r="G609" s="3"/>
      <c r="H609" s="3"/>
    </row>
    <row r="610" spans="1:8" ht="18.75" x14ac:dyDescent="0.3">
      <c r="A610" s="3">
        <v>604</v>
      </c>
      <c r="B610" s="9">
        <f t="shared" si="37"/>
        <v>0.96633258530689148</v>
      </c>
      <c r="C610" s="3">
        <f t="shared" si="38"/>
        <v>60450.867539043211</v>
      </c>
      <c r="D610" s="3">
        <f t="shared" si="39"/>
        <v>7.1903826990455855</v>
      </c>
      <c r="E610" s="8">
        <f t="shared" si="36"/>
        <v>86.285714285714292</v>
      </c>
      <c r="F610" s="3"/>
      <c r="G610" s="3"/>
      <c r="H610" s="3"/>
    </row>
    <row r="611" spans="1:8" ht="18.75" x14ac:dyDescent="0.3">
      <c r="A611" s="3">
        <v>605</v>
      </c>
      <c r="B611" s="9">
        <f t="shared" si="37"/>
        <v>0.96644701523103482</v>
      </c>
      <c r="C611" s="3">
        <f t="shared" si="38"/>
        <v>60458.025931807846</v>
      </c>
      <c r="D611" s="3">
        <f t="shared" si="39"/>
        <v>7.1583927646352095</v>
      </c>
      <c r="E611" s="8">
        <f t="shared" si="36"/>
        <v>86.428571428571431</v>
      </c>
      <c r="F611" s="3"/>
      <c r="G611" s="3"/>
      <c r="H611" s="3"/>
    </row>
    <row r="612" spans="1:8" ht="18.75" x14ac:dyDescent="0.3">
      <c r="A612" s="3">
        <v>606</v>
      </c>
      <c r="B612" s="9">
        <f t="shared" si="37"/>
        <v>0.9665609366304766</v>
      </c>
      <c r="C612" s="3">
        <f t="shared" si="38"/>
        <v>60465.152512792723</v>
      </c>
      <c r="D612" s="3">
        <f t="shared" si="39"/>
        <v>7.1265809848773642</v>
      </c>
      <c r="E612" s="8">
        <f t="shared" si="36"/>
        <v>86.571428571428569</v>
      </c>
      <c r="F612" s="3"/>
      <c r="G612" s="3"/>
      <c r="H612" s="3"/>
    </row>
    <row r="613" spans="1:8" ht="18.75" x14ac:dyDescent="0.3">
      <c r="A613" s="3">
        <v>607</v>
      </c>
      <c r="B613" s="9">
        <f t="shared" si="37"/>
        <v>0.96667435233389132</v>
      </c>
      <c r="C613" s="3">
        <f t="shared" si="38"/>
        <v>60472.247458951242</v>
      </c>
      <c r="D613" s="3">
        <f t="shared" si="39"/>
        <v>7.0949461585187237</v>
      </c>
      <c r="E613" s="8">
        <f t="shared" si="36"/>
        <v>86.714285714285708</v>
      </c>
      <c r="F613" s="3"/>
      <c r="G613" s="3"/>
      <c r="H613" s="3"/>
    </row>
    <row r="614" spans="1:8" ht="18.75" x14ac:dyDescent="0.3">
      <c r="A614" s="3">
        <v>608</v>
      </c>
      <c r="B614" s="9">
        <f t="shared" si="37"/>
        <v>0.96678726515090452</v>
      </c>
      <c r="C614" s="3">
        <f t="shared" si="38"/>
        <v>60479.310946045131</v>
      </c>
      <c r="D614" s="3">
        <f t="shared" si="39"/>
        <v>7.0634870938883978</v>
      </c>
      <c r="E614" s="8">
        <f t="shared" si="36"/>
        <v>86.857142857142861</v>
      </c>
      <c r="F614" s="3"/>
      <c r="G614" s="3"/>
      <c r="H614" s="3"/>
    </row>
    <row r="615" spans="1:8" ht="18.75" x14ac:dyDescent="0.3">
      <c r="A615" s="3">
        <v>609</v>
      </c>
      <c r="B615" s="9">
        <f t="shared" si="37"/>
        <v>0.96689967787224307</v>
      </c>
      <c r="C615" s="3">
        <f t="shared" si="38"/>
        <v>60486.343148653912</v>
      </c>
      <c r="D615" s="3">
        <f t="shared" si="39"/>
        <v>7.0322026087815175</v>
      </c>
      <c r="E615" s="8">
        <f t="shared" si="36"/>
        <v>87</v>
      </c>
      <c r="F615" s="3"/>
      <c r="G615" s="3"/>
      <c r="H615" s="3"/>
    </row>
    <row r="616" spans="1:8" ht="18.75" x14ac:dyDescent="0.3">
      <c r="A616" s="3">
        <v>610</v>
      </c>
      <c r="B616" s="9">
        <f t="shared" si="37"/>
        <v>0.96701159326988606</v>
      </c>
      <c r="C616" s="3">
        <f t="shared" si="38"/>
        <v>60493.344240184262</v>
      </c>
      <c r="D616" s="3">
        <f t="shared" si="39"/>
        <v>7.0010915303500951</v>
      </c>
      <c r="E616" s="8">
        <f t="shared" si="36"/>
        <v>87.142857142857139</v>
      </c>
      <c r="F616" s="3"/>
      <c r="G616" s="3"/>
      <c r="H616" s="3"/>
    </row>
    <row r="617" spans="1:8" ht="18.75" x14ac:dyDescent="0.3">
      <c r="A617" s="3">
        <v>611</v>
      </c>
      <c r="B617" s="9">
        <f t="shared" si="37"/>
        <v>0.96712301409721291</v>
      </c>
      <c r="C617" s="3">
        <f t="shared" si="38"/>
        <v>60500.314392879351</v>
      </c>
      <c r="D617" s="3">
        <f t="shared" si="39"/>
        <v>6.9701526950884727</v>
      </c>
      <c r="E617" s="8">
        <f t="shared" si="36"/>
        <v>87.285714285714292</v>
      </c>
      <c r="F617" s="3"/>
      <c r="G617" s="3"/>
      <c r="H617" s="3"/>
    </row>
    <row r="618" spans="1:8" ht="18.75" x14ac:dyDescent="0.3">
      <c r="A618" s="3">
        <v>612</v>
      </c>
      <c r="B618" s="9">
        <f t="shared" si="37"/>
        <v>0.96723394308915045</v>
      </c>
      <c r="C618" s="3">
        <f t="shared" si="38"/>
        <v>60507.253777827988</v>
      </c>
      <c r="D618" s="3">
        <f t="shared" si="39"/>
        <v>6.9393849486368708</v>
      </c>
      <c r="E618" s="8">
        <f t="shared" si="36"/>
        <v>87.428571428571431</v>
      </c>
      <c r="F618" s="3"/>
      <c r="G618" s="3"/>
      <c r="H618" s="3"/>
    </row>
    <row r="619" spans="1:8" ht="18.75" x14ac:dyDescent="0.3">
      <c r="A619" s="3">
        <v>613</v>
      </c>
      <c r="B619" s="9">
        <f t="shared" si="37"/>
        <v>0.96734438296231939</v>
      </c>
      <c r="C619" s="3">
        <f t="shared" si="38"/>
        <v>60514.162564973813</v>
      </c>
      <c r="D619" s="3">
        <f t="shared" si="39"/>
        <v>6.9087871458250447</v>
      </c>
      <c r="E619" s="8">
        <f t="shared" si="36"/>
        <v>87.571428571428569</v>
      </c>
      <c r="F619" s="3"/>
      <c r="G619" s="3"/>
      <c r="H619" s="3"/>
    </row>
    <row r="620" spans="1:8" ht="18.75" x14ac:dyDescent="0.3">
      <c r="A620" s="3">
        <v>614</v>
      </c>
      <c r="B620" s="9">
        <f t="shared" si="37"/>
        <v>0.96745433641517797</v>
      </c>
      <c r="C620" s="3">
        <f t="shared" si="38"/>
        <v>60521.040923124288</v>
      </c>
      <c r="D620" s="3">
        <f t="shared" si="39"/>
        <v>6.8783581504758331</v>
      </c>
      <c r="E620" s="8">
        <f t="shared" si="36"/>
        <v>87.714285714285708</v>
      </c>
      <c r="F620" s="3"/>
      <c r="G620" s="3"/>
      <c r="H620" s="3"/>
    </row>
    <row r="621" spans="1:8" ht="18.75" x14ac:dyDescent="0.3">
      <c r="A621" s="3">
        <v>615</v>
      </c>
      <c r="B621" s="9">
        <f t="shared" si="37"/>
        <v>0.96756380612816628</v>
      </c>
      <c r="C621" s="3">
        <f t="shared" si="38"/>
        <v>60527.889019959701</v>
      </c>
      <c r="D621" s="3">
        <f t="shared" si="39"/>
        <v>6.8480968354124343</v>
      </c>
      <c r="E621" s="8">
        <f t="shared" si="36"/>
        <v>87.857142857142861</v>
      </c>
      <c r="F621" s="3"/>
      <c r="G621" s="3"/>
      <c r="H621" s="3"/>
    </row>
    <row r="622" spans="1:8" ht="18.75" x14ac:dyDescent="0.3">
      <c r="A622" s="3">
        <v>616</v>
      </c>
      <c r="B622" s="9">
        <f t="shared" si="37"/>
        <v>0.96767279476384715</v>
      </c>
      <c r="C622" s="3">
        <f t="shared" si="38"/>
        <v>60534.707022041985</v>
      </c>
      <c r="D622" s="3">
        <f t="shared" si="39"/>
        <v>6.8180020822837832</v>
      </c>
      <c r="E622" s="8">
        <f t="shared" si="36"/>
        <v>88</v>
      </c>
      <c r="F622" s="3"/>
      <c r="G622" s="3"/>
      <c r="H622" s="3"/>
    </row>
    <row r="623" spans="1:8" ht="18.75" x14ac:dyDescent="0.3">
      <c r="A623" s="3">
        <v>617</v>
      </c>
      <c r="B623" s="9">
        <f t="shared" si="37"/>
        <v>0.96778130496704728</v>
      </c>
      <c r="C623" s="3">
        <f t="shared" si="38"/>
        <v>60541.495094823578</v>
      </c>
      <c r="D623" s="3">
        <f t="shared" si="39"/>
        <v>6.7880727815936552</v>
      </c>
      <c r="E623" s="8">
        <f t="shared" si="36"/>
        <v>88.142857142857139</v>
      </c>
      <c r="F623" s="3"/>
      <c r="G623" s="3"/>
      <c r="H623" s="3"/>
    </row>
    <row r="624" spans="1:8" ht="18.75" x14ac:dyDescent="0.3">
      <c r="A624" s="3">
        <v>618</v>
      </c>
      <c r="B624" s="9">
        <f t="shared" si="37"/>
        <v>0.96788933936499644</v>
      </c>
      <c r="C624" s="3">
        <f t="shared" si="38"/>
        <v>60548.253402656082</v>
      </c>
      <c r="D624" s="3">
        <f t="shared" si="39"/>
        <v>6.7583078325042152</v>
      </c>
      <c r="E624" s="8">
        <f t="shared" si="36"/>
        <v>88.285714285714292</v>
      </c>
      <c r="F624" s="3"/>
      <c r="G624" s="3"/>
      <c r="H624" s="3"/>
    </row>
    <row r="625" spans="1:8" ht="18.75" x14ac:dyDescent="0.3">
      <c r="A625" s="3">
        <v>619</v>
      </c>
      <c r="B625" s="9">
        <f t="shared" si="37"/>
        <v>0.96799690056746579</v>
      </c>
      <c r="C625" s="3">
        <f t="shared" si="38"/>
        <v>60554.982108798955</v>
      </c>
      <c r="D625" s="3">
        <f t="shared" si="39"/>
        <v>6.7287061428723973</v>
      </c>
      <c r="E625" s="8">
        <f t="shared" si="36"/>
        <v>88.428571428571431</v>
      </c>
      <c r="F625" s="3"/>
      <c r="G625" s="3"/>
      <c r="H625" s="3"/>
    </row>
    <row r="626" spans="1:8" ht="18.75" x14ac:dyDescent="0.3">
      <c r="A626" s="3">
        <v>620</v>
      </c>
      <c r="B626" s="9">
        <f t="shared" si="37"/>
        <v>0.9681039911669046</v>
      </c>
      <c r="C626" s="3">
        <f t="shared" si="38"/>
        <v>60561.681375428052</v>
      </c>
      <c r="D626" s="3">
        <f t="shared" si="39"/>
        <v>6.6992666290971101</v>
      </c>
      <c r="E626" s="8">
        <f t="shared" si="36"/>
        <v>88.571428571428569</v>
      </c>
      <c r="F626" s="3"/>
      <c r="G626" s="3"/>
      <c r="H626" s="3"/>
    </row>
    <row r="627" spans="1:8" ht="18.75" x14ac:dyDescent="0.3">
      <c r="A627" s="3">
        <v>621</v>
      </c>
      <c r="B627" s="9">
        <f t="shared" si="37"/>
        <v>0.96821061373857531</v>
      </c>
      <c r="C627" s="3">
        <f t="shared" si="38"/>
        <v>60568.351363644055</v>
      </c>
      <c r="D627" s="3">
        <f t="shared" si="39"/>
        <v>6.669988216002821</v>
      </c>
      <c r="E627" s="8">
        <f t="shared" si="36"/>
        <v>88.714285714285708</v>
      </c>
      <c r="F627" s="3"/>
      <c r="G627" s="3"/>
      <c r="H627" s="3"/>
    </row>
    <row r="628" spans="1:8" ht="18.75" x14ac:dyDescent="0.3">
      <c r="A628" s="3">
        <v>622</v>
      </c>
      <c r="B628" s="9">
        <f t="shared" si="37"/>
        <v>0.96831677084068879</v>
      </c>
      <c r="C628" s="3">
        <f t="shared" si="38"/>
        <v>60574.992233480967</v>
      </c>
      <c r="D628" s="3">
        <f t="shared" si="39"/>
        <v>6.6408698369123158</v>
      </c>
      <c r="E628" s="8">
        <f t="shared" si="36"/>
        <v>88.857142857142861</v>
      </c>
      <c r="F628" s="3"/>
      <c r="G628" s="3"/>
      <c r="H628" s="3"/>
    </row>
    <row r="629" spans="1:8" ht="18.75" x14ac:dyDescent="0.3">
      <c r="A629" s="3">
        <v>623</v>
      </c>
      <c r="B629" s="9">
        <f t="shared" si="37"/>
        <v>0.96842246501453699</v>
      </c>
      <c r="C629" s="3">
        <f t="shared" si="38"/>
        <v>60581.604143914388</v>
      </c>
      <c r="D629" s="3">
        <f t="shared" si="39"/>
        <v>6.6119104334211443</v>
      </c>
      <c r="E629" s="8">
        <f t="shared" si="36"/>
        <v>89</v>
      </c>
      <c r="F629" s="3"/>
      <c r="G629" s="3"/>
      <c r="H629" s="3"/>
    </row>
    <row r="630" spans="1:8" ht="18.75" x14ac:dyDescent="0.3">
      <c r="A630" s="3">
        <v>624</v>
      </c>
      <c r="B630" s="9">
        <f t="shared" si="37"/>
        <v>0.96852769878462475</v>
      </c>
      <c r="C630" s="3">
        <f t="shared" si="38"/>
        <v>60588.187252869771</v>
      </c>
      <c r="D630" s="3">
        <f t="shared" si="39"/>
        <v>6.583108955383068</v>
      </c>
      <c r="E630" s="8">
        <f t="shared" si="36"/>
        <v>89.142857142857139</v>
      </c>
      <c r="F630" s="3"/>
      <c r="G630" s="3"/>
      <c r="H630" s="3"/>
    </row>
    <row r="631" spans="1:8" ht="18.75" x14ac:dyDescent="0.3">
      <c r="A631" s="3">
        <v>625</v>
      </c>
      <c r="B631" s="9">
        <f t="shared" si="37"/>
        <v>0.96863247465880087</v>
      </c>
      <c r="C631" s="3">
        <f t="shared" si="38"/>
        <v>60594.741717230609</v>
      </c>
      <c r="D631" s="3">
        <f t="shared" si="39"/>
        <v>6.5544643608373008</v>
      </c>
      <c r="E631" s="8">
        <f t="shared" si="36"/>
        <v>89.285714285714292</v>
      </c>
      <c r="F631" s="3"/>
      <c r="G631" s="3"/>
      <c r="H631" s="3"/>
    </row>
    <row r="632" spans="1:8" ht="18.75" x14ac:dyDescent="0.3">
      <c r="A632" s="3">
        <v>626</v>
      </c>
      <c r="B632" s="9">
        <f t="shared" si="37"/>
        <v>0.96873679512838762</v>
      </c>
      <c r="C632" s="3">
        <f t="shared" si="38"/>
        <v>60601.267692846544</v>
      </c>
      <c r="D632" s="3">
        <f t="shared" si="39"/>
        <v>6.5259756159357494</v>
      </c>
      <c r="E632" s="8">
        <f t="shared" si="36"/>
        <v>89.428571428571431</v>
      </c>
      <c r="F632" s="3"/>
      <c r="G632" s="3"/>
      <c r="H632" s="3"/>
    </row>
    <row r="633" spans="1:8" ht="18.75" x14ac:dyDescent="0.3">
      <c r="A633" s="3">
        <v>627</v>
      </c>
      <c r="B633" s="9">
        <f t="shared" si="37"/>
        <v>0.96884066266830904</v>
      </c>
      <c r="C633" s="3">
        <f t="shared" si="38"/>
        <v>60607.765334541407</v>
      </c>
      <c r="D633" s="3">
        <f t="shared" si="39"/>
        <v>6.4976416948629776</v>
      </c>
      <c r="E633" s="8">
        <f t="shared" si="36"/>
        <v>89.571428571428569</v>
      </c>
      <c r="F633" s="3"/>
      <c r="G633" s="3"/>
      <c r="H633" s="3"/>
    </row>
    <row r="634" spans="1:8" ht="18.75" x14ac:dyDescent="0.3">
      <c r="A634" s="3">
        <v>628</v>
      </c>
      <c r="B634" s="9">
        <f t="shared" si="37"/>
        <v>0.9689440797372183</v>
      </c>
      <c r="C634" s="3">
        <f t="shared" si="38"/>
        <v>60614.234796121164</v>
      </c>
      <c r="D634" s="3">
        <f t="shared" si="39"/>
        <v>6.469461579756171</v>
      </c>
      <c r="E634" s="8">
        <f t="shared" si="36"/>
        <v>89.714285714285708</v>
      </c>
      <c r="F634" s="3"/>
      <c r="G634" s="3"/>
      <c r="H634" s="3"/>
    </row>
    <row r="635" spans="1:8" ht="18.75" x14ac:dyDescent="0.3">
      <c r="A635" s="3">
        <v>629</v>
      </c>
      <c r="B635" s="9">
        <f t="shared" si="37"/>
        <v>0.96904704877762371</v>
      </c>
      <c r="C635" s="3">
        <f t="shared" si="38"/>
        <v>60620.676230381803</v>
      </c>
      <c r="D635" s="3">
        <f t="shared" si="39"/>
        <v>6.4414342606396531</v>
      </c>
      <c r="E635" s="8">
        <f t="shared" si="36"/>
        <v>89.857142857142861</v>
      </c>
      <c r="F635" s="3"/>
      <c r="G635" s="3"/>
      <c r="H635" s="3"/>
    </row>
    <row r="636" spans="1:8" ht="18.75" x14ac:dyDescent="0.3">
      <c r="A636" s="3">
        <v>630</v>
      </c>
      <c r="B636" s="9">
        <f t="shared" si="37"/>
        <v>0.96914957221601405</v>
      </c>
      <c r="C636" s="3">
        <f t="shared" si="38"/>
        <v>60627.089789117192</v>
      </c>
      <c r="D636" s="3">
        <f t="shared" si="39"/>
        <v>6.4135587353885057</v>
      </c>
      <c r="E636" s="8">
        <f t="shared" si="36"/>
        <v>90</v>
      </c>
      <c r="F636" s="3"/>
      <c r="G636" s="3"/>
      <c r="H636" s="3"/>
    </row>
    <row r="637" spans="1:8" ht="18.75" x14ac:dyDescent="0.3">
      <c r="A637" s="3">
        <v>631</v>
      </c>
      <c r="B637" s="9">
        <f t="shared" si="37"/>
        <v>0.96925165246298173</v>
      </c>
      <c r="C637" s="3">
        <f t="shared" si="38"/>
        <v>60633.475623126746</v>
      </c>
      <c r="D637" s="3">
        <f t="shared" si="39"/>
        <v>6.3858340095539461</v>
      </c>
      <c r="E637" s="8">
        <f t="shared" si="36"/>
        <v>90.142857142857139</v>
      </c>
      <c r="F637" s="3"/>
      <c r="G637" s="3"/>
      <c r="H637" s="3"/>
    </row>
    <row r="638" spans="1:8" ht="18.75" x14ac:dyDescent="0.3">
      <c r="A638" s="3">
        <v>632</v>
      </c>
      <c r="B638" s="9">
        <f t="shared" si="37"/>
        <v>0.96935329191334663</v>
      </c>
      <c r="C638" s="3">
        <f t="shared" si="38"/>
        <v>60639.833882223225</v>
      </c>
      <c r="D638" s="3">
        <f t="shared" si="39"/>
        <v>6.3582590964797419</v>
      </c>
      <c r="E638" s="8">
        <f t="shared" si="36"/>
        <v>90.285714285714292</v>
      </c>
      <c r="F638" s="3"/>
      <c r="G638" s="3"/>
      <c r="H638" s="3"/>
    </row>
    <row r="639" spans="1:8" ht="18.75" x14ac:dyDescent="0.3">
      <c r="A639" s="3">
        <v>633</v>
      </c>
      <c r="B639" s="9">
        <f t="shared" si="37"/>
        <v>0.9694544929462765</v>
      </c>
      <c r="C639" s="3">
        <f t="shared" si="38"/>
        <v>60646.164715240222</v>
      </c>
      <c r="D639" s="3">
        <f t="shared" si="39"/>
        <v>6.3308330169966212</v>
      </c>
      <c r="E639" s="8">
        <f t="shared" si="36"/>
        <v>90.428571428571431</v>
      </c>
      <c r="F639" s="3"/>
      <c r="G639" s="3"/>
      <c r="H639" s="3"/>
    </row>
    <row r="640" spans="1:8" ht="18.75" x14ac:dyDescent="0.3">
      <c r="A640" s="3">
        <v>634</v>
      </c>
      <c r="B640" s="9">
        <f t="shared" si="37"/>
        <v>0.96955525792540886</v>
      </c>
      <c r="C640" s="3">
        <f t="shared" si="38"/>
        <v>60652.468270039804</v>
      </c>
      <c r="D640" s="3">
        <f t="shared" si="39"/>
        <v>6.3035547995823435</v>
      </c>
      <c r="E640" s="8">
        <f t="shared" si="36"/>
        <v>90.571428571428569</v>
      </c>
      <c r="F640" s="3"/>
      <c r="G640" s="3"/>
      <c r="H640" s="3"/>
    </row>
    <row r="641" spans="1:8" ht="18.75" x14ac:dyDescent="0.3">
      <c r="A641" s="3">
        <v>635</v>
      </c>
      <c r="B641" s="9">
        <f t="shared" si="37"/>
        <v>0.96965558919896955</v>
      </c>
      <c r="C641" s="3">
        <f t="shared" si="38"/>
        <v>60658.74469351994</v>
      </c>
      <c r="D641" s="3">
        <f t="shared" si="39"/>
        <v>6.2764234801361454</v>
      </c>
      <c r="E641" s="8">
        <f t="shared" si="36"/>
        <v>90.714285714285708</v>
      </c>
      <c r="F641" s="3"/>
      <c r="G641" s="3"/>
      <c r="H641" s="3"/>
    </row>
    <row r="642" spans="1:8" ht="18.75" x14ac:dyDescent="0.3">
      <c r="A642" s="3">
        <v>636</v>
      </c>
      <c r="B642" s="9">
        <f t="shared" si="37"/>
        <v>0.9697554890998914</v>
      </c>
      <c r="C642" s="3">
        <f t="shared" si="38"/>
        <v>60664.994131621905</v>
      </c>
      <c r="D642" s="3">
        <f t="shared" si="39"/>
        <v>6.2494381019641878</v>
      </c>
      <c r="E642" s="8">
        <f t="shared" si="36"/>
        <v>90.857142857142861</v>
      </c>
      <c r="F642" s="3"/>
      <c r="G642" s="3"/>
      <c r="H642" s="3"/>
    </row>
    <row r="643" spans="1:8" ht="18.75" x14ac:dyDescent="0.3">
      <c r="A643" s="3">
        <v>637</v>
      </c>
      <c r="B643" s="9">
        <f t="shared" si="37"/>
        <v>0.96985495994593185</v>
      </c>
      <c r="C643" s="3">
        <f t="shared" si="38"/>
        <v>60671.216729337655</v>
      </c>
      <c r="D643" s="3">
        <f t="shared" si="39"/>
        <v>6.2225977157504531</v>
      </c>
      <c r="E643" s="8">
        <f t="shared" si="36"/>
        <v>91</v>
      </c>
      <c r="F643" s="3"/>
      <c r="G643" s="3"/>
      <c r="H643" s="3"/>
    </row>
    <row r="644" spans="1:8" ht="18.75" x14ac:dyDescent="0.3">
      <c r="A644" s="3">
        <v>638</v>
      </c>
      <c r="B644" s="9">
        <f t="shared" si="37"/>
        <v>0.96995400403978926</v>
      </c>
      <c r="C644" s="3">
        <f t="shared" si="38"/>
        <v>60677.412630717095</v>
      </c>
      <c r="D644" s="3">
        <f t="shared" si="39"/>
        <v>6.195901379440329</v>
      </c>
      <c r="E644" s="8">
        <f t="shared" si="36"/>
        <v>91.142857142857139</v>
      </c>
      <c r="F644" s="3"/>
      <c r="G644" s="3"/>
      <c r="H644" s="3"/>
    </row>
    <row r="645" spans="1:8" ht="18.75" x14ac:dyDescent="0.3">
      <c r="A645" s="3">
        <v>639</v>
      </c>
      <c r="B645" s="9">
        <f t="shared" si="37"/>
        <v>0.97005262366921807</v>
      </c>
      <c r="C645" s="3">
        <f t="shared" si="38"/>
        <v>60683.581978875278</v>
      </c>
      <c r="D645" s="3">
        <f t="shared" si="39"/>
        <v>6.1693481581824017</v>
      </c>
      <c r="E645" s="8">
        <f t="shared" si="36"/>
        <v>91.285714285714292</v>
      </c>
      <c r="F645" s="3"/>
      <c r="G645" s="3"/>
      <c r="H645" s="3"/>
    </row>
    <row r="646" spans="1:8" ht="18.75" x14ac:dyDescent="0.3">
      <c r="A646" s="3">
        <v>640</v>
      </c>
      <c r="B646" s="9">
        <f t="shared" si="37"/>
        <v>0.97015082110714346</v>
      </c>
      <c r="C646" s="3">
        <f t="shared" si="38"/>
        <v>60689.72491599957</v>
      </c>
      <c r="D646" s="3">
        <f t="shared" si="39"/>
        <v>6.1429371242920752</v>
      </c>
      <c r="E646" s="8">
        <f t="shared" si="36"/>
        <v>91.428571428571431</v>
      </c>
      <c r="F646" s="3"/>
      <c r="G646" s="3"/>
      <c r="H646" s="3"/>
    </row>
    <row r="647" spans="1:8" ht="18.75" x14ac:dyDescent="0.3">
      <c r="A647" s="3">
        <v>641</v>
      </c>
      <c r="B647" s="9">
        <f t="shared" si="37"/>
        <v>0.97024859861177393</v>
      </c>
      <c r="C647" s="3">
        <f t="shared" si="38"/>
        <v>60695.841583356741</v>
      </c>
      <c r="D647" s="3">
        <f t="shared" si="39"/>
        <v>6.1166673571715364</v>
      </c>
      <c r="E647" s="8">
        <f t="shared" ref="E647:E710" si="40">A647/7</f>
        <v>91.571428571428569</v>
      </c>
      <c r="F647" s="3"/>
      <c r="G647" s="3"/>
      <c r="H647" s="3"/>
    </row>
    <row r="648" spans="1:8" ht="18.75" x14ac:dyDescent="0.3">
      <c r="A648" s="3">
        <v>642</v>
      </c>
      <c r="B648" s="9">
        <f t="shared" ref="B648:B711" si="41">LOGNORMDIST(A648,$A$3,$B$3)</f>
        <v>0.97034595842671445</v>
      </c>
      <c r="C648" s="3">
        <f t="shared" ref="C648:C711" si="42">$E$3*B648</f>
        <v>60701.932121299978</v>
      </c>
      <c r="D648" s="3">
        <f t="shared" ref="D648:D711" si="43">C648-C647</f>
        <v>6.0905379432369955</v>
      </c>
      <c r="E648" s="8">
        <f t="shared" si="40"/>
        <v>91.714285714285708</v>
      </c>
      <c r="F648" s="3"/>
      <c r="G648" s="3"/>
      <c r="H648" s="3"/>
    </row>
    <row r="649" spans="1:8" ht="18.75" x14ac:dyDescent="0.3">
      <c r="A649" s="3">
        <v>643</v>
      </c>
      <c r="B649" s="9">
        <f t="shared" si="41"/>
        <v>0.97044290278107748</v>
      </c>
      <c r="C649" s="3">
        <f t="shared" si="42"/>
        <v>60707.996669275861</v>
      </c>
      <c r="D649" s="3">
        <f t="shared" si="43"/>
        <v>6.0645479758823058</v>
      </c>
      <c r="E649" s="8">
        <f t="shared" si="40"/>
        <v>91.857142857142861</v>
      </c>
      <c r="F649" s="3"/>
      <c r="G649" s="3"/>
      <c r="H649" s="3"/>
    </row>
    <row r="650" spans="1:8" ht="18.75" x14ac:dyDescent="0.3">
      <c r="A650" s="3">
        <v>644</v>
      </c>
      <c r="B650" s="9">
        <f t="shared" si="41"/>
        <v>0.97053943388959274</v>
      </c>
      <c r="C650" s="3">
        <f t="shared" si="42"/>
        <v>60714.035365831252</v>
      </c>
      <c r="D650" s="3">
        <f t="shared" si="43"/>
        <v>6.0386965553916525</v>
      </c>
      <c r="E650" s="8">
        <f t="shared" si="40"/>
        <v>92</v>
      </c>
      <c r="F650" s="3"/>
      <c r="G650" s="3"/>
      <c r="H650" s="3"/>
    </row>
    <row r="651" spans="1:8" ht="18.75" x14ac:dyDescent="0.3">
      <c r="A651" s="3">
        <v>645</v>
      </c>
      <c r="B651" s="9">
        <f t="shared" si="41"/>
        <v>0.9706355539527175</v>
      </c>
      <c r="C651" s="3">
        <f t="shared" si="42"/>
        <v>60720.048348620148</v>
      </c>
      <c r="D651" s="3">
        <f t="shared" si="43"/>
        <v>6.0129827888958971</v>
      </c>
      <c r="E651" s="8">
        <f t="shared" si="40"/>
        <v>92.142857142857139</v>
      </c>
      <c r="F651" s="3"/>
      <c r="G651" s="3"/>
      <c r="H651" s="3"/>
    </row>
    <row r="652" spans="1:8" ht="18.75" x14ac:dyDescent="0.3">
      <c r="A652" s="3">
        <v>646</v>
      </c>
      <c r="B652" s="9">
        <f t="shared" si="41"/>
        <v>0.97073126515674435</v>
      </c>
      <c r="C652" s="3">
        <f t="shared" si="42"/>
        <v>60726.035754410455</v>
      </c>
      <c r="D652" s="3">
        <f t="shared" si="43"/>
        <v>5.9874057903070934</v>
      </c>
      <c r="E652" s="8">
        <f t="shared" si="40"/>
        <v>92.285714285714292</v>
      </c>
      <c r="F652" s="3"/>
      <c r="G652" s="3"/>
      <c r="H652" s="3"/>
    </row>
    <row r="653" spans="1:8" ht="18.75" x14ac:dyDescent="0.3">
      <c r="A653" s="3">
        <v>647</v>
      </c>
      <c r="B653" s="9">
        <f t="shared" si="41"/>
        <v>0.9708265696739089</v>
      </c>
      <c r="C653" s="3">
        <f t="shared" si="42"/>
        <v>60731.997719090716</v>
      </c>
      <c r="D653" s="3">
        <f t="shared" si="43"/>
        <v>5.9619646802602801</v>
      </c>
      <c r="E653" s="8">
        <f t="shared" si="40"/>
        <v>92.428571428571431</v>
      </c>
      <c r="F653" s="3"/>
      <c r="G653" s="3"/>
      <c r="H653" s="3"/>
    </row>
    <row r="654" spans="1:8" ht="18.75" x14ac:dyDescent="0.3">
      <c r="A654" s="3">
        <v>648</v>
      </c>
      <c r="B654" s="9">
        <f t="shared" si="41"/>
        <v>0.97092146966249604</v>
      </c>
      <c r="C654" s="3">
        <f t="shared" si="42"/>
        <v>60737.934377676764</v>
      </c>
      <c r="D654" s="3">
        <f t="shared" si="43"/>
        <v>5.9366585860479972</v>
      </c>
      <c r="E654" s="8">
        <f t="shared" si="40"/>
        <v>92.571428571428569</v>
      </c>
      <c r="F654" s="3"/>
      <c r="G654" s="3"/>
      <c r="H654" s="3"/>
    </row>
    <row r="655" spans="1:8" ht="18.75" x14ac:dyDescent="0.3">
      <c r="A655" s="3">
        <v>649</v>
      </c>
      <c r="B655" s="9">
        <f t="shared" si="41"/>
        <v>0.97101596726694595</v>
      </c>
      <c r="C655" s="3">
        <f t="shared" si="42"/>
        <v>60743.84586431834</v>
      </c>
      <c r="D655" s="3">
        <f t="shared" si="43"/>
        <v>5.9114866415766301</v>
      </c>
      <c r="E655" s="8">
        <f t="shared" si="40"/>
        <v>92.714285714285708</v>
      </c>
      <c r="F655" s="3"/>
      <c r="G655" s="3"/>
      <c r="H655" s="3"/>
    </row>
    <row r="656" spans="1:8" ht="18.75" x14ac:dyDescent="0.3">
      <c r="A656" s="3">
        <v>650</v>
      </c>
      <c r="B656" s="9">
        <f t="shared" si="41"/>
        <v>0.97111006461795812</v>
      </c>
      <c r="C656" s="3">
        <f t="shared" si="42"/>
        <v>60749.732312305605</v>
      </c>
      <c r="D656" s="3">
        <f t="shared" si="43"/>
        <v>5.8864479872645461</v>
      </c>
      <c r="E656" s="8">
        <f t="shared" si="40"/>
        <v>92.857142857142861</v>
      </c>
      <c r="F656" s="3"/>
      <c r="G656" s="3"/>
      <c r="H656" s="3"/>
    </row>
    <row r="657" spans="1:8" ht="18.75" x14ac:dyDescent="0.3">
      <c r="A657" s="3">
        <v>651</v>
      </c>
      <c r="B657" s="9">
        <f t="shared" si="41"/>
        <v>0.97120376383259577</v>
      </c>
      <c r="C657" s="3">
        <f t="shared" si="42"/>
        <v>60755.593854075691</v>
      </c>
      <c r="D657" s="3">
        <f t="shared" si="43"/>
        <v>5.8615417700857506</v>
      </c>
      <c r="E657" s="8">
        <f t="shared" si="40"/>
        <v>93</v>
      </c>
      <c r="F657" s="3"/>
      <c r="G657" s="3"/>
      <c r="H657" s="3"/>
    </row>
    <row r="658" spans="1:8" ht="18.75" x14ac:dyDescent="0.3">
      <c r="A658" s="3">
        <v>652</v>
      </c>
      <c r="B658" s="9">
        <f t="shared" si="41"/>
        <v>0.97129706701438834</v>
      </c>
      <c r="C658" s="3">
        <f t="shared" si="42"/>
        <v>60761.430621219093</v>
      </c>
      <c r="D658" s="3">
        <f t="shared" si="43"/>
        <v>5.8367671434025397</v>
      </c>
      <c r="E658" s="8">
        <f t="shared" si="40"/>
        <v>93.142857142857139</v>
      </c>
      <c r="F658" s="3"/>
      <c r="G658" s="3"/>
      <c r="H658" s="3"/>
    </row>
    <row r="659" spans="1:8" ht="18.75" x14ac:dyDescent="0.3">
      <c r="A659" s="3">
        <v>653</v>
      </c>
      <c r="B659" s="9">
        <f t="shared" si="41"/>
        <v>0.97138997625343348</v>
      </c>
      <c r="C659" s="3">
        <f t="shared" si="42"/>
        <v>60767.242744486037</v>
      </c>
      <c r="D659" s="3">
        <f t="shared" si="43"/>
        <v>5.8121232669436722</v>
      </c>
      <c r="E659" s="8">
        <f t="shared" si="40"/>
        <v>93.285714285714292</v>
      </c>
      <c r="F659" s="3"/>
      <c r="G659" s="3"/>
      <c r="H659" s="3"/>
    </row>
    <row r="660" spans="1:8" ht="18.75" x14ac:dyDescent="0.3">
      <c r="A660" s="3">
        <v>654</v>
      </c>
      <c r="B660" s="9">
        <f t="shared" si="41"/>
        <v>0.97148249362649775</v>
      </c>
      <c r="C660" s="3">
        <f t="shared" si="42"/>
        <v>60773.030353792819</v>
      </c>
      <c r="D660" s="3">
        <f t="shared" si="43"/>
        <v>5.7876093067825423</v>
      </c>
      <c r="E660" s="8">
        <f t="shared" si="40"/>
        <v>93.428571428571431</v>
      </c>
      <c r="F660" s="3"/>
      <c r="G660" s="3"/>
      <c r="H660" s="3"/>
    </row>
    <row r="661" spans="1:8" ht="18.75" x14ac:dyDescent="0.3">
      <c r="A661" s="3">
        <v>655</v>
      </c>
      <c r="B661" s="9">
        <f t="shared" si="41"/>
        <v>0.97157462119711757</v>
      </c>
      <c r="C661" s="3">
        <f t="shared" si="42"/>
        <v>60778.793578228084</v>
      </c>
      <c r="D661" s="3">
        <f t="shared" si="43"/>
        <v>5.7632244352644193</v>
      </c>
      <c r="E661" s="8">
        <f t="shared" si="40"/>
        <v>93.571428571428569</v>
      </c>
      <c r="F661" s="3"/>
      <c r="G661" s="3"/>
      <c r="H661" s="3"/>
    </row>
    <row r="662" spans="1:8" ht="18.75" x14ac:dyDescent="0.3">
      <c r="A662" s="3">
        <v>656</v>
      </c>
      <c r="B662" s="9">
        <f t="shared" si="41"/>
        <v>0.97166636101569792</v>
      </c>
      <c r="C662" s="3">
        <f t="shared" si="42"/>
        <v>60784.532546059017</v>
      </c>
      <c r="D662" s="3">
        <f t="shared" si="43"/>
        <v>5.7389678309336887</v>
      </c>
      <c r="E662" s="8">
        <f t="shared" si="40"/>
        <v>93.714285714285708</v>
      </c>
      <c r="F662" s="3"/>
      <c r="G662" s="3"/>
      <c r="H662" s="3"/>
    </row>
    <row r="663" spans="1:8" ht="18.75" x14ac:dyDescent="0.3">
      <c r="A663" s="3">
        <v>657</v>
      </c>
      <c r="B663" s="9">
        <f t="shared" si="41"/>
        <v>0.97175771511961107</v>
      </c>
      <c r="C663" s="3">
        <f t="shared" si="42"/>
        <v>60790.247384737508</v>
      </c>
      <c r="D663" s="3">
        <f t="shared" si="43"/>
        <v>5.7148386784901959</v>
      </c>
      <c r="E663" s="8">
        <f t="shared" si="40"/>
        <v>93.857142857142861</v>
      </c>
      <c r="F663" s="3"/>
      <c r="G663" s="3"/>
      <c r="H663" s="3"/>
    </row>
    <row r="664" spans="1:8" ht="18.75" x14ac:dyDescent="0.3">
      <c r="A664" s="3">
        <v>658</v>
      </c>
      <c r="B664" s="9">
        <f t="shared" si="41"/>
        <v>0.97184868553329362</v>
      </c>
      <c r="C664" s="3">
        <f t="shared" si="42"/>
        <v>60795.938220906246</v>
      </c>
      <c r="D664" s="3">
        <f t="shared" si="43"/>
        <v>5.6908361687383149</v>
      </c>
      <c r="E664" s="8">
        <f t="shared" si="40"/>
        <v>94</v>
      </c>
      <c r="F664" s="3"/>
      <c r="G664" s="3"/>
      <c r="H664" s="3"/>
    </row>
    <row r="665" spans="1:8" ht="18.75" x14ac:dyDescent="0.3">
      <c r="A665" s="3">
        <v>659</v>
      </c>
      <c r="B665" s="9">
        <f t="shared" si="41"/>
        <v>0.97193927426834426</v>
      </c>
      <c r="C665" s="3">
        <f t="shared" si="42"/>
        <v>60801.605180404811</v>
      </c>
      <c r="D665" s="3">
        <f t="shared" si="43"/>
        <v>5.6669594985651202</v>
      </c>
      <c r="E665" s="8">
        <f t="shared" si="40"/>
        <v>94.142857142857139</v>
      </c>
      <c r="F665" s="3"/>
      <c r="G665" s="3"/>
      <c r="H665" s="3"/>
    </row>
    <row r="666" spans="1:8" ht="18.75" x14ac:dyDescent="0.3">
      <c r="A666" s="3">
        <v>660</v>
      </c>
      <c r="B666" s="9">
        <f t="shared" si="41"/>
        <v>0.97202948332361883</v>
      </c>
      <c r="C666" s="3">
        <f t="shared" si="42"/>
        <v>60807.248388275621</v>
      </c>
      <c r="D666" s="3">
        <f t="shared" si="43"/>
        <v>5.6432078708094195</v>
      </c>
      <c r="E666" s="8">
        <f t="shared" si="40"/>
        <v>94.285714285714292</v>
      </c>
      <c r="F666" s="3"/>
      <c r="G666" s="3"/>
      <c r="H666" s="3"/>
    </row>
    <row r="667" spans="1:8" ht="18.75" x14ac:dyDescent="0.3">
      <c r="A667" s="3">
        <v>661</v>
      </c>
      <c r="B667" s="9">
        <f t="shared" si="41"/>
        <v>0.97211931468532553</v>
      </c>
      <c r="C667" s="3">
        <f t="shared" si="42"/>
        <v>60812.867968769911</v>
      </c>
      <c r="D667" s="3">
        <f t="shared" si="43"/>
        <v>5.619580494290858</v>
      </c>
      <c r="E667" s="8">
        <f t="shared" si="40"/>
        <v>94.428571428571431</v>
      </c>
      <c r="F667" s="3"/>
      <c r="G667" s="3"/>
      <c r="H667" s="3"/>
    </row>
    <row r="668" spans="1:8" ht="18.75" x14ac:dyDescent="0.3">
      <c r="A668" s="3">
        <v>662</v>
      </c>
      <c r="B668" s="9">
        <f t="shared" si="41"/>
        <v>0.97220877032711961</v>
      </c>
      <c r="C668" s="3">
        <f t="shared" si="42"/>
        <v>60818.464045353619</v>
      </c>
      <c r="D668" s="3">
        <f t="shared" si="43"/>
        <v>5.5960765837080544</v>
      </c>
      <c r="E668" s="8">
        <f t="shared" si="40"/>
        <v>94.571428571428569</v>
      </c>
      <c r="F668" s="3"/>
      <c r="G668" s="3"/>
      <c r="H668" s="3"/>
    </row>
    <row r="669" spans="1:8" ht="18.75" x14ac:dyDescent="0.3">
      <c r="A669" s="3">
        <v>663</v>
      </c>
      <c r="B669" s="9">
        <f t="shared" si="41"/>
        <v>0.9722978522101966</v>
      </c>
      <c r="C669" s="3">
        <f t="shared" si="42"/>
        <v>60824.036740713265</v>
      </c>
      <c r="D669" s="3">
        <f t="shared" si="43"/>
        <v>5.572695359645877</v>
      </c>
      <c r="E669" s="8">
        <f t="shared" si="40"/>
        <v>94.714285714285708</v>
      </c>
      <c r="F669" s="3"/>
      <c r="G669" s="3"/>
      <c r="H669" s="3"/>
    </row>
    <row r="670" spans="1:8" ht="18.75" x14ac:dyDescent="0.3">
      <c r="A670" s="3">
        <v>664</v>
      </c>
      <c r="B670" s="9">
        <f t="shared" si="41"/>
        <v>0.9723865622833846</v>
      </c>
      <c r="C670" s="3">
        <f t="shared" si="42"/>
        <v>60829.586176761688</v>
      </c>
      <c r="D670" s="3">
        <f t="shared" si="43"/>
        <v>5.549436048422649</v>
      </c>
      <c r="E670" s="8">
        <f t="shared" si="40"/>
        <v>94.857142857142861</v>
      </c>
      <c r="F670" s="3"/>
      <c r="G670" s="3"/>
      <c r="H670" s="3"/>
    </row>
    <row r="671" spans="1:8" ht="18.75" x14ac:dyDescent="0.3">
      <c r="A671" s="3">
        <v>665</v>
      </c>
      <c r="B671" s="9">
        <f t="shared" si="41"/>
        <v>0.97247490248323676</v>
      </c>
      <c r="C671" s="3">
        <f t="shared" si="42"/>
        <v>60835.112474643844</v>
      </c>
      <c r="D671" s="3">
        <f t="shared" si="43"/>
        <v>5.5262978821556317</v>
      </c>
      <c r="E671" s="8">
        <f t="shared" si="40"/>
        <v>95</v>
      </c>
      <c r="F671" s="3"/>
      <c r="G671" s="3"/>
      <c r="H671" s="3"/>
    </row>
    <row r="672" spans="1:8" ht="18.75" x14ac:dyDescent="0.3">
      <c r="A672" s="3">
        <v>666</v>
      </c>
      <c r="B672" s="9">
        <f t="shared" si="41"/>
        <v>0.97256287473412184</v>
      </c>
      <c r="C672" s="3">
        <f t="shared" si="42"/>
        <v>60840.615754742459</v>
      </c>
      <c r="D672" s="3">
        <f t="shared" si="43"/>
        <v>5.5032800986155053</v>
      </c>
      <c r="E672" s="8">
        <f t="shared" si="40"/>
        <v>95.142857142857139</v>
      </c>
      <c r="F672" s="3"/>
      <c r="G672" s="3"/>
      <c r="H672" s="3"/>
    </row>
    <row r="673" spans="1:8" ht="18.75" x14ac:dyDescent="0.3">
      <c r="A673" s="3">
        <v>667</v>
      </c>
      <c r="B673" s="9">
        <f t="shared" si="41"/>
        <v>0.97265048094831486</v>
      </c>
      <c r="C673" s="3">
        <f t="shared" si="42"/>
        <v>60846.096136683729</v>
      </c>
      <c r="D673" s="3">
        <f t="shared" si="43"/>
        <v>5.480381941270025</v>
      </c>
      <c r="E673" s="8">
        <f t="shared" si="40"/>
        <v>95.285714285714292</v>
      </c>
      <c r="F673" s="3"/>
      <c r="G673" s="3"/>
      <c r="H673" s="3"/>
    </row>
    <row r="674" spans="1:8" ht="18.75" x14ac:dyDescent="0.3">
      <c r="A674" s="3">
        <v>668</v>
      </c>
      <c r="B674" s="9">
        <f t="shared" si="41"/>
        <v>0.97273772302608641</v>
      </c>
      <c r="C674" s="3">
        <f t="shared" si="42"/>
        <v>60851.553739342889</v>
      </c>
      <c r="D674" s="3">
        <f t="shared" si="43"/>
        <v>5.4576026591603295</v>
      </c>
      <c r="E674" s="8">
        <f t="shared" si="40"/>
        <v>95.428571428571431</v>
      </c>
      <c r="F674" s="3"/>
      <c r="G674" s="3"/>
      <c r="H674" s="3"/>
    </row>
    <row r="675" spans="1:8" ht="18.75" x14ac:dyDescent="0.3">
      <c r="A675" s="3">
        <v>669</v>
      </c>
      <c r="B675" s="9">
        <f t="shared" si="41"/>
        <v>0.97282460285579142</v>
      </c>
      <c r="C675" s="3">
        <f t="shared" si="42"/>
        <v>60856.988680849747</v>
      </c>
      <c r="D675" s="3">
        <f t="shared" si="43"/>
        <v>5.4349415068572853</v>
      </c>
      <c r="E675" s="8">
        <f t="shared" si="40"/>
        <v>95.571428571428569</v>
      </c>
      <c r="F675" s="3"/>
      <c r="G675" s="3"/>
      <c r="H675" s="3"/>
    </row>
    <row r="676" spans="1:8" ht="18.75" x14ac:dyDescent="0.3">
      <c r="A676" s="3">
        <v>670</v>
      </c>
      <c r="B676" s="9">
        <f t="shared" si="41"/>
        <v>0.97291112231395727</v>
      </c>
      <c r="C676" s="3">
        <f t="shared" si="42"/>
        <v>60862.401078594223</v>
      </c>
      <c r="D676" s="3">
        <f t="shared" si="43"/>
        <v>5.4123977444760385</v>
      </c>
      <c r="E676" s="8">
        <f t="shared" si="40"/>
        <v>95.714285714285708</v>
      </c>
      <c r="F676" s="3"/>
      <c r="G676" s="3"/>
      <c r="H676" s="3"/>
    </row>
    <row r="677" spans="1:8" ht="18.75" x14ac:dyDescent="0.3">
      <c r="A677" s="3">
        <v>671</v>
      </c>
      <c r="B677" s="9">
        <f t="shared" si="41"/>
        <v>0.97299728326537083</v>
      </c>
      <c r="C677" s="3">
        <f t="shared" si="42"/>
        <v>60867.791049231804</v>
      </c>
      <c r="D677" s="3">
        <f t="shared" si="43"/>
        <v>5.3899706375814276</v>
      </c>
      <c r="E677" s="8">
        <f t="shared" si="40"/>
        <v>95.857142857142861</v>
      </c>
      <c r="F677" s="3"/>
      <c r="G677" s="3"/>
      <c r="H677" s="3"/>
    </row>
    <row r="678" spans="1:8" ht="18.75" x14ac:dyDescent="0.3">
      <c r="A678" s="3">
        <v>672</v>
      </c>
      <c r="B678" s="9">
        <f t="shared" si="41"/>
        <v>0.97308308756316519</v>
      </c>
      <c r="C678" s="3">
        <f t="shared" si="42"/>
        <v>60873.158708688927</v>
      </c>
      <c r="D678" s="3">
        <f t="shared" si="43"/>
        <v>5.3676594571224996</v>
      </c>
      <c r="E678" s="8">
        <f t="shared" si="40"/>
        <v>96</v>
      </c>
      <c r="F678" s="3"/>
      <c r="G678" s="3"/>
      <c r="H678" s="3"/>
    </row>
    <row r="679" spans="1:8" ht="18.75" x14ac:dyDescent="0.3">
      <c r="A679" s="3">
        <v>673</v>
      </c>
      <c r="B679" s="9">
        <f t="shared" si="41"/>
        <v>0.97316853704890538</v>
      </c>
      <c r="C679" s="3">
        <f t="shared" si="42"/>
        <v>60878.504172168374</v>
      </c>
      <c r="D679" s="3">
        <f t="shared" si="43"/>
        <v>5.3454634794470621</v>
      </c>
      <c r="E679" s="8">
        <f t="shared" si="40"/>
        <v>96.142857142857139</v>
      </c>
      <c r="F679" s="3"/>
      <c r="G679" s="3"/>
      <c r="H679" s="3"/>
    </row>
    <row r="680" spans="1:8" ht="18.75" x14ac:dyDescent="0.3">
      <c r="A680" s="3">
        <v>674</v>
      </c>
      <c r="B680" s="9">
        <f t="shared" si="41"/>
        <v>0.97325363355267325</v>
      </c>
      <c r="C680" s="3">
        <f t="shared" si="42"/>
        <v>60883.827554154581</v>
      </c>
      <c r="D680" s="3">
        <f t="shared" si="43"/>
        <v>5.3233819862070959</v>
      </c>
      <c r="E680" s="8">
        <f t="shared" si="40"/>
        <v>96.285714285714292</v>
      </c>
      <c r="F680" s="3"/>
      <c r="G680" s="3"/>
      <c r="H680" s="3"/>
    </row>
    <row r="681" spans="1:8" ht="18.75" x14ac:dyDescent="0.3">
      <c r="A681" s="3">
        <v>675</v>
      </c>
      <c r="B681" s="9">
        <f t="shared" si="41"/>
        <v>0.97333837889315178</v>
      </c>
      <c r="C681" s="3">
        <f t="shared" si="42"/>
        <v>60889.128968418896</v>
      </c>
      <c r="D681" s="3">
        <f t="shared" si="43"/>
        <v>5.301414264315099</v>
      </c>
      <c r="E681" s="8">
        <f t="shared" si="40"/>
        <v>96.428571428571431</v>
      </c>
      <c r="F681" s="3"/>
      <c r="G681" s="3"/>
      <c r="H681" s="3"/>
    </row>
    <row r="682" spans="1:8" ht="18.75" x14ac:dyDescent="0.3">
      <c r="A682" s="3">
        <v>676</v>
      </c>
      <c r="B682" s="9">
        <f t="shared" si="41"/>
        <v>0.97342277487770901</v>
      </c>
      <c r="C682" s="3">
        <f t="shared" si="42"/>
        <v>60894.40852802484</v>
      </c>
      <c r="D682" s="3">
        <f t="shared" si="43"/>
        <v>5.2795596059440868</v>
      </c>
      <c r="E682" s="8">
        <f t="shared" si="40"/>
        <v>96.571428571428569</v>
      </c>
      <c r="F682" s="3"/>
      <c r="G682" s="3"/>
      <c r="H682" s="3"/>
    </row>
    <row r="683" spans="1:8" ht="18.75" x14ac:dyDescent="0.3">
      <c r="A683" s="3">
        <v>677</v>
      </c>
      <c r="B683" s="9">
        <f t="shared" si="41"/>
        <v>0.97350682330248062</v>
      </c>
      <c r="C683" s="3">
        <f t="shared" si="42"/>
        <v>60899.66634533328</v>
      </c>
      <c r="D683" s="3">
        <f t="shared" si="43"/>
        <v>5.2578173084402806</v>
      </c>
      <c r="E683" s="8">
        <f t="shared" si="40"/>
        <v>96.714285714285708</v>
      </c>
      <c r="F683" s="3"/>
      <c r="G683" s="3"/>
      <c r="H683" s="3"/>
    </row>
    <row r="684" spans="1:8" ht="18.75" x14ac:dyDescent="0.3">
      <c r="A684" s="3">
        <v>678</v>
      </c>
      <c r="B684" s="9">
        <f t="shared" si="41"/>
        <v>0.97359052595245232</v>
      </c>
      <c r="C684" s="3">
        <f t="shared" si="42"/>
        <v>60904.90253200756</v>
      </c>
      <c r="D684" s="3">
        <f t="shared" si="43"/>
        <v>5.2361866742794518</v>
      </c>
      <c r="E684" s="8">
        <f t="shared" si="40"/>
        <v>96.857142857142861</v>
      </c>
      <c r="F684" s="3"/>
      <c r="G684" s="3"/>
      <c r="H684" s="3"/>
    </row>
    <row r="685" spans="1:8" ht="18.75" x14ac:dyDescent="0.3">
      <c r="A685" s="3">
        <v>679</v>
      </c>
      <c r="B685" s="9">
        <f t="shared" si="41"/>
        <v>0.97367388460154092</v>
      </c>
      <c r="C685" s="3">
        <f t="shared" si="42"/>
        <v>60910.117199018598</v>
      </c>
      <c r="D685" s="3">
        <f t="shared" si="43"/>
        <v>5.2146670110378182</v>
      </c>
      <c r="E685" s="8">
        <f t="shared" si="40"/>
        <v>97</v>
      </c>
      <c r="F685" s="3"/>
      <c r="G685" s="3"/>
      <c r="H685" s="3"/>
    </row>
    <row r="686" spans="1:8" ht="18.75" x14ac:dyDescent="0.3">
      <c r="A686" s="3">
        <v>680</v>
      </c>
      <c r="B686" s="9">
        <f t="shared" si="41"/>
        <v>0.97375690101267576</v>
      </c>
      <c r="C686" s="3">
        <f t="shared" si="42"/>
        <v>60915.310456649961</v>
      </c>
      <c r="D686" s="3">
        <f t="shared" si="43"/>
        <v>5.1932576313629397</v>
      </c>
      <c r="E686" s="8">
        <f t="shared" si="40"/>
        <v>97.142857142857139</v>
      </c>
      <c r="F686" s="3"/>
      <c r="G686" s="3"/>
      <c r="H686" s="3"/>
    </row>
    <row r="687" spans="1:8" ht="18.75" x14ac:dyDescent="0.3">
      <c r="A687" s="3">
        <v>681</v>
      </c>
      <c r="B687" s="9">
        <f t="shared" si="41"/>
        <v>0.97383957693787859</v>
      </c>
      <c r="C687" s="3">
        <f t="shared" si="42"/>
        <v>60920.482414502869</v>
      </c>
      <c r="D687" s="3">
        <f t="shared" si="43"/>
        <v>5.1719578529082355</v>
      </c>
      <c r="E687" s="8">
        <f t="shared" si="40"/>
        <v>97.285714285714292</v>
      </c>
      <c r="F687" s="3"/>
      <c r="G687" s="3"/>
      <c r="H687" s="3"/>
    </row>
    <row r="688" spans="1:8" ht="18.75" x14ac:dyDescent="0.3">
      <c r="A688" s="3">
        <v>682</v>
      </c>
      <c r="B688" s="9">
        <f t="shared" si="41"/>
        <v>0.97392191411834272</v>
      </c>
      <c r="C688" s="3">
        <f t="shared" si="42"/>
        <v>60925.633181501165</v>
      </c>
      <c r="D688" s="3">
        <f t="shared" si="43"/>
        <v>5.1507669982966036</v>
      </c>
      <c r="E688" s="8">
        <f t="shared" si="40"/>
        <v>97.428571428571431</v>
      </c>
      <c r="F688" s="3"/>
      <c r="G688" s="3"/>
      <c r="H688" s="3"/>
    </row>
    <row r="689" spans="1:8" ht="18.75" x14ac:dyDescent="0.3">
      <c r="A689" s="3">
        <v>683</v>
      </c>
      <c r="B689" s="9">
        <f t="shared" si="41"/>
        <v>0.97400391428451227</v>
      </c>
      <c r="C689" s="3">
        <f t="shared" si="42"/>
        <v>60930.762865896235</v>
      </c>
      <c r="D689" s="3">
        <f t="shared" si="43"/>
        <v>5.1296843950694893</v>
      </c>
      <c r="E689" s="8">
        <f t="shared" si="40"/>
        <v>97.571428571428569</v>
      </c>
      <c r="F689" s="3"/>
      <c r="G689" s="3"/>
      <c r="H689" s="3"/>
    </row>
    <row r="690" spans="1:8" ht="18.75" x14ac:dyDescent="0.3">
      <c r="A690" s="3">
        <v>684</v>
      </c>
      <c r="B690" s="9">
        <f t="shared" si="41"/>
        <v>0.97408557915616001</v>
      </c>
      <c r="C690" s="3">
        <f t="shared" si="42"/>
        <v>60935.8715752719</v>
      </c>
      <c r="D690" s="3">
        <f t="shared" si="43"/>
        <v>5.1087093756650575</v>
      </c>
      <c r="E690" s="8">
        <f t="shared" si="40"/>
        <v>97.714285714285708</v>
      </c>
      <c r="F690" s="3"/>
      <c r="G690" s="3"/>
      <c r="H690" s="3"/>
    </row>
    <row r="691" spans="1:8" ht="18.75" x14ac:dyDescent="0.3">
      <c r="A691" s="3">
        <v>685</v>
      </c>
      <c r="B691" s="9">
        <f t="shared" si="41"/>
        <v>0.97416691044246506</v>
      </c>
      <c r="C691" s="3">
        <f t="shared" si="42"/>
        <v>60940.959416549289</v>
      </c>
      <c r="D691" s="3">
        <f t="shared" si="43"/>
        <v>5.0878412773890886</v>
      </c>
      <c r="E691" s="8">
        <f t="shared" si="40"/>
        <v>97.857142857142861</v>
      </c>
      <c r="F691" s="3"/>
      <c r="G691" s="3"/>
      <c r="H691" s="3"/>
    </row>
    <row r="692" spans="1:8" ht="18.75" x14ac:dyDescent="0.3">
      <c r="A692" s="3">
        <v>686</v>
      </c>
      <c r="B692" s="9">
        <f t="shared" si="41"/>
        <v>0.9742479098420892</v>
      </c>
      <c r="C692" s="3">
        <f t="shared" si="42"/>
        <v>60946.026495991573</v>
      </c>
      <c r="D692" s="3">
        <f t="shared" si="43"/>
        <v>5.0670794422840117</v>
      </c>
      <c r="E692" s="8">
        <f t="shared" si="40"/>
        <v>98</v>
      </c>
      <c r="F692" s="3"/>
      <c r="G692" s="3"/>
      <c r="H692" s="3"/>
    </row>
    <row r="693" spans="1:8" ht="18.75" x14ac:dyDescent="0.3">
      <c r="A693" s="3">
        <v>687</v>
      </c>
      <c r="B693" s="9">
        <f t="shared" si="41"/>
        <v>0.97432857904325387</v>
      </c>
      <c r="C693" s="3">
        <f t="shared" si="42"/>
        <v>60951.072919208833</v>
      </c>
      <c r="D693" s="3">
        <f t="shared" si="43"/>
        <v>5.0464232172598713</v>
      </c>
      <c r="E693" s="8">
        <f t="shared" si="40"/>
        <v>98.142857142857139</v>
      </c>
      <c r="F693" s="3"/>
      <c r="G693" s="3"/>
      <c r="H693" s="3"/>
    </row>
    <row r="694" spans="1:8" ht="18.75" x14ac:dyDescent="0.3">
      <c r="A694" s="3">
        <v>688</v>
      </c>
      <c r="B694" s="9">
        <f t="shared" si="41"/>
        <v>0.97440891972381505</v>
      </c>
      <c r="C694" s="3">
        <f t="shared" si="42"/>
        <v>60956.098791162694</v>
      </c>
      <c r="D694" s="3">
        <f t="shared" si="43"/>
        <v>5.0258719538614969</v>
      </c>
      <c r="E694" s="8">
        <f t="shared" si="40"/>
        <v>98.285714285714292</v>
      </c>
      <c r="F694" s="3"/>
      <c r="G694" s="3"/>
      <c r="H694" s="3"/>
    </row>
    <row r="695" spans="1:8" ht="18.75" x14ac:dyDescent="0.3">
      <c r="A695" s="3">
        <v>689</v>
      </c>
      <c r="B695" s="9">
        <f t="shared" si="41"/>
        <v>0.97448893355133825</v>
      </c>
      <c r="C695" s="3">
        <f t="shared" si="42"/>
        <v>60961.104216171065</v>
      </c>
      <c r="D695" s="3">
        <f t="shared" si="43"/>
        <v>5.0054250083703664</v>
      </c>
      <c r="E695" s="8">
        <f t="shared" si="40"/>
        <v>98.428571428571431</v>
      </c>
      <c r="F695" s="3"/>
      <c r="G695" s="3"/>
      <c r="H695" s="3"/>
    </row>
    <row r="696" spans="1:8" ht="18.75" x14ac:dyDescent="0.3">
      <c r="A696" s="3">
        <v>690</v>
      </c>
      <c r="B696" s="9">
        <f t="shared" si="41"/>
        <v>0.97456862218317308</v>
      </c>
      <c r="C696" s="3">
        <f t="shared" si="42"/>
        <v>60966.08929791276</v>
      </c>
      <c r="D696" s="3">
        <f t="shared" si="43"/>
        <v>4.9850817416954669</v>
      </c>
      <c r="E696" s="8">
        <f t="shared" si="40"/>
        <v>98.571428571428569</v>
      </c>
      <c r="F696" s="3"/>
      <c r="G696" s="3"/>
      <c r="H696" s="3"/>
    </row>
    <row r="697" spans="1:8" ht="18.75" x14ac:dyDescent="0.3">
      <c r="A697" s="3">
        <v>691</v>
      </c>
      <c r="B697" s="9">
        <f t="shared" si="41"/>
        <v>0.97464798726652679</v>
      </c>
      <c r="C697" s="3">
        <f t="shared" si="42"/>
        <v>60971.054139432119</v>
      </c>
      <c r="D697" s="3">
        <f t="shared" si="43"/>
        <v>4.9648415193587425</v>
      </c>
      <c r="E697" s="8">
        <f t="shared" si="40"/>
        <v>98.714285714285708</v>
      </c>
      <c r="F697" s="3"/>
      <c r="G697" s="3"/>
      <c r="H697" s="3"/>
    </row>
    <row r="698" spans="1:8" ht="18.75" x14ac:dyDescent="0.3">
      <c r="A698" s="3">
        <v>692</v>
      </c>
      <c r="B698" s="9">
        <f t="shared" si="41"/>
        <v>0.97472703043853726</v>
      </c>
      <c r="C698" s="3">
        <f t="shared" si="42"/>
        <v>60975.998843143578</v>
      </c>
      <c r="D698" s="3">
        <f t="shared" si="43"/>
        <v>4.9447037114587147</v>
      </c>
      <c r="E698" s="8">
        <f t="shared" si="40"/>
        <v>98.857142857142861</v>
      </c>
      <c r="F698" s="3"/>
      <c r="G698" s="3"/>
      <c r="H698" s="3"/>
    </row>
    <row r="699" spans="1:8" ht="18.75" x14ac:dyDescent="0.3">
      <c r="A699" s="3">
        <v>693</v>
      </c>
      <c r="B699" s="9">
        <f t="shared" si="41"/>
        <v>0.97480575332634545</v>
      </c>
      <c r="C699" s="3">
        <f t="shared" si="42"/>
        <v>60980.92351083619</v>
      </c>
      <c r="D699" s="3">
        <f t="shared" si="43"/>
        <v>4.9246676926122745</v>
      </c>
      <c r="E699" s="8">
        <f t="shared" si="40"/>
        <v>99</v>
      </c>
      <c r="F699" s="3"/>
      <c r="G699" s="3"/>
      <c r="H699" s="3"/>
    </row>
    <row r="700" spans="1:8" ht="18.75" x14ac:dyDescent="0.3">
      <c r="A700" s="3">
        <v>694</v>
      </c>
      <c r="B700" s="9">
        <f t="shared" si="41"/>
        <v>0.9748841575471674</v>
      </c>
      <c r="C700" s="3">
        <f t="shared" si="42"/>
        <v>60985.828243678152</v>
      </c>
      <c r="D700" s="3">
        <f t="shared" si="43"/>
        <v>4.9047328419619589</v>
      </c>
      <c r="E700" s="8">
        <f t="shared" si="40"/>
        <v>99.142857142857139</v>
      </c>
      <c r="F700" s="3"/>
      <c r="G700" s="3"/>
      <c r="H700" s="3"/>
    </row>
    <row r="701" spans="1:8" ht="18.75" x14ac:dyDescent="0.3">
      <c r="A701" s="3">
        <v>695</v>
      </c>
      <c r="B701" s="9">
        <f t="shared" si="41"/>
        <v>0.97496224470836512</v>
      </c>
      <c r="C701" s="3">
        <f t="shared" si="42"/>
        <v>60990.713142221197</v>
      </c>
      <c r="D701" s="3">
        <f t="shared" si="43"/>
        <v>4.8848985430449829</v>
      </c>
      <c r="E701" s="8">
        <f t="shared" si="40"/>
        <v>99.285714285714292</v>
      </c>
      <c r="F701" s="3"/>
      <c r="G701" s="3"/>
      <c r="H701" s="3"/>
    </row>
    <row r="702" spans="1:8" ht="18.75" x14ac:dyDescent="0.3">
      <c r="A702" s="3">
        <v>696</v>
      </c>
      <c r="B702" s="9">
        <f t="shared" si="41"/>
        <v>0.97504001640751781</v>
      </c>
      <c r="C702" s="3">
        <f t="shared" si="42"/>
        <v>60995.578306405092</v>
      </c>
      <c r="D702" s="3">
        <f t="shared" si="43"/>
        <v>4.8651641838951036</v>
      </c>
      <c r="E702" s="8">
        <f t="shared" si="40"/>
        <v>99.428571428571431</v>
      </c>
      <c r="F702" s="3"/>
      <c r="G702" s="3"/>
      <c r="H702" s="3"/>
    </row>
    <row r="703" spans="1:8" ht="18.75" x14ac:dyDescent="0.3">
      <c r="A703" s="3">
        <v>697</v>
      </c>
      <c r="B703" s="9">
        <f t="shared" si="41"/>
        <v>0.97511747423249129</v>
      </c>
      <c r="C703" s="3">
        <f t="shared" si="42"/>
        <v>61000.42383556196</v>
      </c>
      <c r="D703" s="3">
        <f t="shared" si="43"/>
        <v>4.8455291568679968</v>
      </c>
      <c r="E703" s="8">
        <f t="shared" si="40"/>
        <v>99.571428571428569</v>
      </c>
      <c r="F703" s="3"/>
      <c r="G703" s="3"/>
      <c r="H703" s="3"/>
    </row>
    <row r="704" spans="1:8" ht="18.75" x14ac:dyDescent="0.3">
      <c r="A704" s="3">
        <v>698</v>
      </c>
      <c r="B704" s="9">
        <f t="shared" si="41"/>
        <v>0.97519461976150812</v>
      </c>
      <c r="C704" s="3">
        <f t="shared" si="42"/>
        <v>61005.249828420667</v>
      </c>
      <c r="D704" s="3">
        <f t="shared" si="43"/>
        <v>4.8259928587067407</v>
      </c>
      <c r="E704" s="8">
        <f t="shared" si="40"/>
        <v>99.714285714285708</v>
      </c>
      <c r="F704" s="3"/>
      <c r="G704" s="3"/>
      <c r="H704" s="3"/>
    </row>
    <row r="705" spans="1:8" ht="18.75" x14ac:dyDescent="0.3">
      <c r="A705" s="3">
        <v>699</v>
      </c>
      <c r="B705" s="9">
        <f t="shared" si="41"/>
        <v>0.97527145456321607</v>
      </c>
      <c r="C705" s="3">
        <f t="shared" si="42"/>
        <v>61010.056383111107</v>
      </c>
      <c r="D705" s="3">
        <f t="shared" si="43"/>
        <v>4.8065546904399525</v>
      </c>
      <c r="E705" s="8">
        <f t="shared" si="40"/>
        <v>99.857142857142861</v>
      </c>
      <c r="F705" s="3"/>
      <c r="G705" s="3"/>
      <c r="H705" s="3"/>
    </row>
    <row r="706" spans="1:8" ht="18.75" x14ac:dyDescent="0.3">
      <c r="A706" s="3">
        <v>700</v>
      </c>
      <c r="B706" s="9">
        <f t="shared" si="41"/>
        <v>0.97534798019675673</v>
      </c>
      <c r="C706" s="3">
        <f t="shared" si="42"/>
        <v>61014.84359716851</v>
      </c>
      <c r="D706" s="3">
        <f t="shared" si="43"/>
        <v>4.7872140574036166</v>
      </c>
      <c r="E706" s="8">
        <f t="shared" si="40"/>
        <v>100</v>
      </c>
      <c r="F706" s="3"/>
      <c r="G706" s="3"/>
      <c r="H706" s="3"/>
    </row>
    <row r="707" spans="1:8" ht="18.75" x14ac:dyDescent="0.3">
      <c r="A707" s="3">
        <v>701</v>
      </c>
      <c r="B707" s="9">
        <f t="shared" si="41"/>
        <v>0.97542419821183302</v>
      </c>
      <c r="C707" s="3">
        <f t="shared" si="42"/>
        <v>61019.611567537635</v>
      </c>
      <c r="D707" s="3">
        <f t="shared" si="43"/>
        <v>4.7679703691246687</v>
      </c>
      <c r="E707" s="8">
        <f t="shared" si="40"/>
        <v>100.14285714285714</v>
      </c>
      <c r="F707" s="3"/>
      <c r="G707" s="3"/>
      <c r="H707" s="3"/>
    </row>
    <row r="708" spans="1:8" ht="18.75" x14ac:dyDescent="0.3">
      <c r="A708" s="3">
        <v>702</v>
      </c>
      <c r="B708" s="9">
        <f t="shared" si="41"/>
        <v>0.97550011014877691</v>
      </c>
      <c r="C708" s="3">
        <f t="shared" si="42"/>
        <v>61024.360390577036</v>
      </c>
      <c r="D708" s="3">
        <f t="shared" si="43"/>
        <v>4.7488230394010316</v>
      </c>
      <c r="E708" s="8">
        <f t="shared" si="40"/>
        <v>100.28571428571429</v>
      </c>
      <c r="F708" s="3"/>
      <c r="G708" s="3"/>
      <c r="H708" s="3"/>
    </row>
    <row r="709" spans="1:8" ht="18.75" x14ac:dyDescent="0.3">
      <c r="A709" s="3">
        <v>703</v>
      </c>
      <c r="B709" s="9">
        <f t="shared" si="41"/>
        <v>0.97557571753861561</v>
      </c>
      <c r="C709" s="3">
        <f t="shared" si="42"/>
        <v>61029.090162063178</v>
      </c>
      <c r="D709" s="3">
        <f t="shared" si="43"/>
        <v>4.7297714861415443</v>
      </c>
      <c r="E709" s="8">
        <f t="shared" si="40"/>
        <v>100.42857142857143</v>
      </c>
      <c r="F709" s="3"/>
      <c r="G709" s="3"/>
      <c r="H709" s="3"/>
    </row>
    <row r="710" spans="1:8" ht="18.75" x14ac:dyDescent="0.3">
      <c r="A710" s="3">
        <v>704</v>
      </c>
      <c r="B710" s="9">
        <f t="shared" si="41"/>
        <v>0.97565102190313768</v>
      </c>
      <c r="C710" s="3">
        <f t="shared" si="42"/>
        <v>61033.800977194587</v>
      </c>
      <c r="D710" s="3">
        <f t="shared" si="43"/>
        <v>4.7108151314096176</v>
      </c>
      <c r="E710" s="8">
        <f t="shared" si="40"/>
        <v>100.57142857142857</v>
      </c>
      <c r="F710" s="3"/>
      <c r="G710" s="3"/>
      <c r="H710" s="3"/>
    </row>
    <row r="711" spans="1:8" ht="18.75" x14ac:dyDescent="0.3">
      <c r="A711" s="3">
        <v>705</v>
      </c>
      <c r="B711" s="9">
        <f t="shared" si="41"/>
        <v>0.9757260247549594</v>
      </c>
      <c r="C711" s="3">
        <f t="shared" si="42"/>
        <v>61038.492930595996</v>
      </c>
      <c r="D711" s="3">
        <f t="shared" si="43"/>
        <v>4.6919534014086821</v>
      </c>
      <c r="E711" s="8">
        <f t="shared" ref="E711:E774" si="44">A711/7</f>
        <v>100.71428571428571</v>
      </c>
      <c r="F711" s="3"/>
      <c r="G711" s="3"/>
      <c r="H711" s="3"/>
    </row>
    <row r="712" spans="1:8" ht="18.75" x14ac:dyDescent="0.3">
      <c r="A712" s="3">
        <v>706</v>
      </c>
      <c r="B712" s="9">
        <f t="shared" ref="B712:B775" si="45">LOGNORMDIST(A712,$A$3,$B$3)</f>
        <v>0.97580072759758874</v>
      </c>
      <c r="C712" s="3">
        <f t="shared" ref="C712:C775" si="46">$E$3*B712</f>
        <v>61043.166116322362</v>
      </c>
      <c r="D712" s="3">
        <f t="shared" ref="D712:D775" si="47">C712-C711</f>
        <v>4.673185726365773</v>
      </c>
      <c r="E712" s="8">
        <f t="shared" si="44"/>
        <v>100.85714285714286</v>
      </c>
      <c r="F712" s="3"/>
      <c r="G712" s="3"/>
      <c r="H712" s="3"/>
    </row>
    <row r="713" spans="1:8" ht="18.75" x14ac:dyDescent="0.3">
      <c r="A713" s="3">
        <v>707</v>
      </c>
      <c r="B713" s="9">
        <f t="shared" si="45"/>
        <v>0.97587513192549069</v>
      </c>
      <c r="C713" s="3">
        <f t="shared" si="46"/>
        <v>61047.820627862922</v>
      </c>
      <c r="D713" s="3">
        <f t="shared" si="47"/>
        <v>4.6545115405606339</v>
      </c>
      <c r="E713" s="8">
        <f t="shared" si="44"/>
        <v>101</v>
      </c>
      <c r="F713" s="3"/>
      <c r="G713" s="3"/>
      <c r="H713" s="3"/>
    </row>
    <row r="714" spans="1:8" ht="18.75" x14ac:dyDescent="0.3">
      <c r="A714" s="3">
        <v>708</v>
      </c>
      <c r="B714" s="9">
        <f t="shared" si="45"/>
        <v>0.97594923922415078</v>
      </c>
      <c r="C714" s="3">
        <f t="shared" si="46"/>
        <v>61052.456558145197</v>
      </c>
      <c r="D714" s="3">
        <f t="shared" si="47"/>
        <v>4.635930282274785</v>
      </c>
      <c r="E714" s="8">
        <f t="shared" si="44"/>
        <v>101.14285714285714</v>
      </c>
      <c r="F714" s="3"/>
      <c r="G714" s="3"/>
      <c r="H714" s="3"/>
    </row>
    <row r="715" spans="1:8" ht="18.75" x14ac:dyDescent="0.3">
      <c r="A715" s="3">
        <v>709</v>
      </c>
      <c r="B715" s="9">
        <f t="shared" si="45"/>
        <v>0.97602305097013897</v>
      </c>
      <c r="C715" s="3">
        <f t="shared" si="46"/>
        <v>61057.073999538981</v>
      </c>
      <c r="D715" s="3">
        <f t="shared" si="47"/>
        <v>4.6174413937842473</v>
      </c>
      <c r="E715" s="8">
        <f t="shared" si="44"/>
        <v>101.28571428571429</v>
      </c>
      <c r="F715" s="3"/>
      <c r="G715" s="3"/>
      <c r="H715" s="3"/>
    </row>
    <row r="716" spans="1:8" ht="18.75" x14ac:dyDescent="0.3">
      <c r="A716" s="3">
        <v>710</v>
      </c>
      <c r="B716" s="9">
        <f t="shared" si="45"/>
        <v>0.97609656863117211</v>
      </c>
      <c r="C716" s="3">
        <f t="shared" si="46"/>
        <v>61061.673043860232</v>
      </c>
      <c r="D716" s="3">
        <f t="shared" si="47"/>
        <v>4.5990443212504033</v>
      </c>
      <c r="E716" s="8">
        <f t="shared" si="44"/>
        <v>101.42857142857143</v>
      </c>
      <c r="F716" s="3"/>
      <c r="G716" s="3"/>
      <c r="H716" s="3"/>
    </row>
    <row r="717" spans="1:8" ht="18.75" x14ac:dyDescent="0.3">
      <c r="A717" s="3">
        <v>711</v>
      </c>
      <c r="B717" s="9">
        <f t="shared" si="45"/>
        <v>0.97616979366617695</v>
      </c>
      <c r="C717" s="3">
        <f t="shared" si="46"/>
        <v>61066.253782375032</v>
      </c>
      <c r="D717" s="3">
        <f t="shared" si="47"/>
        <v>4.5807385148000321</v>
      </c>
      <c r="E717" s="8">
        <f t="shared" si="44"/>
        <v>101.57142857142857</v>
      </c>
      <c r="F717" s="3"/>
      <c r="G717" s="3"/>
      <c r="H717" s="3"/>
    </row>
    <row r="718" spans="1:8" ht="18.75" x14ac:dyDescent="0.3">
      <c r="A718" s="3">
        <v>712</v>
      </c>
      <c r="B718" s="9">
        <f t="shared" si="45"/>
        <v>0.97624272752535157</v>
      </c>
      <c r="C718" s="3">
        <f t="shared" si="46"/>
        <v>61070.816305803419</v>
      </c>
      <c r="D718" s="3">
        <f t="shared" si="47"/>
        <v>4.5625234283870668</v>
      </c>
      <c r="E718" s="8">
        <f t="shared" si="44"/>
        <v>101.71428571428571</v>
      </c>
      <c r="F718" s="3"/>
      <c r="G718" s="3"/>
      <c r="H718" s="3"/>
    </row>
    <row r="719" spans="1:8" ht="18.75" x14ac:dyDescent="0.3">
      <c r="A719" s="3">
        <v>713</v>
      </c>
      <c r="B719" s="9">
        <f t="shared" si="45"/>
        <v>0.97631537165022697</v>
      </c>
      <c r="C719" s="3">
        <f t="shared" si="46"/>
        <v>61075.360704323248</v>
      </c>
      <c r="D719" s="3">
        <f t="shared" si="47"/>
        <v>4.5443985198289738</v>
      </c>
      <c r="E719" s="8">
        <f t="shared" si="44"/>
        <v>101.85714285714286</v>
      </c>
      <c r="F719" s="3"/>
      <c r="G719" s="3"/>
      <c r="H719" s="3"/>
    </row>
    <row r="720" spans="1:8" ht="18.75" x14ac:dyDescent="0.3">
      <c r="A720" s="3">
        <v>714</v>
      </c>
      <c r="B720" s="9">
        <f t="shared" si="45"/>
        <v>0.97638772747372815</v>
      </c>
      <c r="C720" s="3">
        <f t="shared" si="46"/>
        <v>61079.887067574011</v>
      </c>
      <c r="D720" s="3">
        <f t="shared" si="47"/>
        <v>4.5263632507630973</v>
      </c>
      <c r="E720" s="8">
        <f t="shared" si="44"/>
        <v>102</v>
      </c>
      <c r="F720" s="3"/>
      <c r="G720" s="3"/>
      <c r="H720" s="3"/>
    </row>
    <row r="721" spans="1:8" ht="18.75" x14ac:dyDescent="0.3">
      <c r="A721" s="3">
        <v>715</v>
      </c>
      <c r="B721" s="9">
        <f t="shared" si="45"/>
        <v>0.9764597964202345</v>
      </c>
      <c r="C721" s="3">
        <f t="shared" si="46"/>
        <v>61084.395484660607</v>
      </c>
      <c r="D721" s="3">
        <f t="shared" si="47"/>
        <v>4.5084170865957276</v>
      </c>
      <c r="E721" s="8">
        <f t="shared" si="44"/>
        <v>102.14285714285714</v>
      </c>
      <c r="F721" s="3"/>
      <c r="G721" s="3"/>
      <c r="H721" s="3"/>
    </row>
    <row r="722" spans="1:8" ht="18.75" x14ac:dyDescent="0.3">
      <c r="A722" s="3">
        <v>716</v>
      </c>
      <c r="B722" s="9">
        <f t="shared" si="45"/>
        <v>0.97653157990563977</v>
      </c>
      <c r="C722" s="3">
        <f t="shared" si="46"/>
        <v>61088.886044157109</v>
      </c>
      <c r="D722" s="3">
        <f t="shared" si="47"/>
        <v>4.490559496502101</v>
      </c>
      <c r="E722" s="8">
        <f t="shared" si="44"/>
        <v>102.28571428571429</v>
      </c>
      <c r="F722" s="3"/>
      <c r="G722" s="3"/>
      <c r="H722" s="3"/>
    </row>
    <row r="723" spans="1:8" ht="18.75" x14ac:dyDescent="0.3">
      <c r="A723" s="3">
        <v>717</v>
      </c>
      <c r="B723" s="9">
        <f t="shared" si="45"/>
        <v>0.97660307933741108</v>
      </c>
      <c r="C723" s="3">
        <f t="shared" si="46"/>
        <v>61093.358834110426</v>
      </c>
      <c r="D723" s="3">
        <f t="shared" si="47"/>
        <v>4.4727899533172604</v>
      </c>
      <c r="E723" s="8">
        <f t="shared" si="44"/>
        <v>102.42857142857143</v>
      </c>
      <c r="F723" s="3"/>
      <c r="G723" s="3"/>
      <c r="H723" s="3"/>
    </row>
    <row r="724" spans="1:8" ht="18.75" x14ac:dyDescent="0.3">
      <c r="A724" s="3">
        <v>718</v>
      </c>
      <c r="B724" s="9">
        <f t="shared" si="45"/>
        <v>0.97667429611464851</v>
      </c>
      <c r="C724" s="3">
        <f t="shared" si="46"/>
        <v>61097.813942044064</v>
      </c>
      <c r="D724" s="3">
        <f t="shared" si="47"/>
        <v>4.4551079336379189</v>
      </c>
      <c r="E724" s="8">
        <f t="shared" si="44"/>
        <v>102.57142857142857</v>
      </c>
      <c r="F724" s="3"/>
      <c r="G724" s="3"/>
      <c r="H724" s="3"/>
    </row>
    <row r="725" spans="1:8" ht="18.75" x14ac:dyDescent="0.3">
      <c r="A725" s="3">
        <v>719</v>
      </c>
      <c r="B725" s="9">
        <f t="shared" si="45"/>
        <v>0.97674523162814364</v>
      </c>
      <c r="C725" s="3">
        <f t="shared" si="46"/>
        <v>61102.251454961784</v>
      </c>
      <c r="D725" s="3">
        <f t="shared" si="47"/>
        <v>4.4375129177205963</v>
      </c>
      <c r="E725" s="8">
        <f t="shared" si="44"/>
        <v>102.71428571428571</v>
      </c>
      <c r="F725" s="3"/>
      <c r="G725" s="3"/>
      <c r="H725" s="3"/>
    </row>
    <row r="726" spans="1:8" ht="18.75" x14ac:dyDescent="0.3">
      <c r="A726" s="3">
        <v>720</v>
      </c>
      <c r="B726" s="9">
        <f t="shared" si="45"/>
        <v>0.97681588726043689</v>
      </c>
      <c r="C726" s="3">
        <f t="shared" si="46"/>
        <v>61106.67145935115</v>
      </c>
      <c r="D726" s="3">
        <f t="shared" si="47"/>
        <v>4.4200043893652037</v>
      </c>
      <c r="E726" s="8">
        <f t="shared" si="44"/>
        <v>102.85714285714286</v>
      </c>
      <c r="F726" s="3"/>
      <c r="G726" s="3"/>
      <c r="H726" s="3"/>
    </row>
    <row r="727" spans="1:8" ht="18.75" x14ac:dyDescent="0.3">
      <c r="A727" s="3">
        <v>721</v>
      </c>
      <c r="B727" s="9">
        <f t="shared" si="45"/>
        <v>0.97688626438587578</v>
      </c>
      <c r="C727" s="3">
        <f t="shared" si="46"/>
        <v>61111.074041187232</v>
      </c>
      <c r="D727" s="3">
        <f t="shared" si="47"/>
        <v>4.4025818360823905</v>
      </c>
      <c r="E727" s="8">
        <f t="shared" si="44"/>
        <v>103</v>
      </c>
      <c r="F727" s="3"/>
      <c r="G727" s="3"/>
      <c r="H727" s="3"/>
    </row>
    <row r="728" spans="1:8" ht="18.75" x14ac:dyDescent="0.3">
      <c r="A728" s="3">
        <v>722</v>
      </c>
      <c r="B728" s="9">
        <f t="shared" si="45"/>
        <v>0.97695636437067157</v>
      </c>
      <c r="C728" s="3">
        <f t="shared" si="46"/>
        <v>61115.4592859361</v>
      </c>
      <c r="D728" s="3">
        <f t="shared" si="47"/>
        <v>4.38524474886799</v>
      </c>
      <c r="E728" s="8">
        <f t="shared" si="44"/>
        <v>103.14285714285714</v>
      </c>
      <c r="F728" s="3"/>
      <c r="G728" s="3"/>
      <c r="H728" s="3"/>
    </row>
    <row r="729" spans="1:8" ht="18.75" x14ac:dyDescent="0.3">
      <c r="A729" s="3">
        <v>723</v>
      </c>
      <c r="B729" s="9">
        <f t="shared" si="45"/>
        <v>0.97702618857295642</v>
      </c>
      <c r="C729" s="3">
        <f t="shared" si="46"/>
        <v>61119.827278558434</v>
      </c>
      <c r="D729" s="3">
        <f t="shared" si="47"/>
        <v>4.3679926223339862</v>
      </c>
      <c r="E729" s="8">
        <f t="shared" si="44"/>
        <v>103.28571428571429</v>
      </c>
      <c r="F729" s="3"/>
      <c r="G729" s="3"/>
      <c r="H729" s="3"/>
    </row>
    <row r="730" spans="1:8" ht="18.75" x14ac:dyDescent="0.3">
      <c r="A730" s="3">
        <v>724</v>
      </c>
      <c r="B730" s="9">
        <f t="shared" si="45"/>
        <v>0.97709573834283892</v>
      </c>
      <c r="C730" s="3">
        <f t="shared" si="46"/>
        <v>61124.178103512975</v>
      </c>
      <c r="D730" s="3">
        <f t="shared" si="47"/>
        <v>4.3508249545411672</v>
      </c>
      <c r="E730" s="8">
        <f t="shared" si="44"/>
        <v>103.42857142857143</v>
      </c>
      <c r="F730" s="3"/>
      <c r="G730" s="3"/>
      <c r="H730" s="3"/>
    </row>
    <row r="731" spans="1:8" ht="18.75" x14ac:dyDescent="0.3">
      <c r="A731" s="3">
        <v>725</v>
      </c>
      <c r="B731" s="9">
        <f t="shared" si="45"/>
        <v>0.97716501502246056</v>
      </c>
      <c r="C731" s="3">
        <f t="shared" si="46"/>
        <v>61128.511844760062</v>
      </c>
      <c r="D731" s="3">
        <f t="shared" si="47"/>
        <v>4.3337412470864365</v>
      </c>
      <c r="E731" s="8">
        <f t="shared" si="44"/>
        <v>103.57142857142857</v>
      </c>
      <c r="F731" s="3"/>
      <c r="G731" s="3"/>
      <c r="H731" s="3"/>
    </row>
    <row r="732" spans="1:8" ht="18.75" x14ac:dyDescent="0.3">
      <c r="A732" s="3">
        <v>726</v>
      </c>
      <c r="B732" s="9">
        <f t="shared" si="45"/>
        <v>0.9772340199460503</v>
      </c>
      <c r="C732" s="3">
        <f t="shared" si="46"/>
        <v>61132.82858576507</v>
      </c>
      <c r="D732" s="3">
        <f t="shared" si="47"/>
        <v>4.3167410050082253</v>
      </c>
      <c r="E732" s="8">
        <f t="shared" si="44"/>
        <v>103.71428571428571</v>
      </c>
      <c r="F732" s="3"/>
      <c r="G732" s="3"/>
      <c r="H732" s="3"/>
    </row>
    <row r="733" spans="1:8" ht="18.75" x14ac:dyDescent="0.3">
      <c r="A733" s="3">
        <v>727</v>
      </c>
      <c r="B733" s="9">
        <f t="shared" si="45"/>
        <v>0.97730275443998005</v>
      </c>
      <c r="C733" s="3">
        <f t="shared" si="46"/>
        <v>61137.128409501835</v>
      </c>
      <c r="D733" s="3">
        <f t="shared" si="47"/>
        <v>4.2998237367646652</v>
      </c>
      <c r="E733" s="8">
        <f t="shared" si="44"/>
        <v>103.85714285714286</v>
      </c>
      <c r="F733" s="3"/>
      <c r="G733" s="3"/>
      <c r="H733" s="3"/>
    </row>
    <row r="734" spans="1:8" ht="18.75" x14ac:dyDescent="0.3">
      <c r="A734" s="3">
        <v>728</v>
      </c>
      <c r="B734" s="9">
        <f t="shared" si="45"/>
        <v>0.97737121982281849</v>
      </c>
      <c r="C734" s="3">
        <f t="shared" si="46"/>
        <v>61141.411398456054</v>
      </c>
      <c r="D734" s="3">
        <f t="shared" si="47"/>
        <v>4.2829889542190358</v>
      </c>
      <c r="E734" s="8">
        <f t="shared" si="44"/>
        <v>104</v>
      </c>
      <c r="F734" s="3"/>
      <c r="G734" s="3"/>
      <c r="H734" s="3"/>
    </row>
    <row r="735" spans="1:8" ht="18.75" x14ac:dyDescent="0.3">
      <c r="A735" s="3">
        <v>729</v>
      </c>
      <c r="B735" s="9">
        <f t="shared" si="45"/>
        <v>0.97743941740538565</v>
      </c>
      <c r="C735" s="3">
        <f t="shared" si="46"/>
        <v>61145.677634628708</v>
      </c>
      <c r="D735" s="3">
        <f t="shared" si="47"/>
        <v>4.2662361726543168</v>
      </c>
      <c r="E735" s="8">
        <f t="shared" si="44"/>
        <v>104.14285714285714</v>
      </c>
      <c r="F735" s="3"/>
      <c r="G735" s="3"/>
      <c r="H735" s="3"/>
    </row>
    <row r="736" spans="1:8" ht="18.75" x14ac:dyDescent="0.3">
      <c r="A736" s="3">
        <v>730</v>
      </c>
      <c r="B736" s="9">
        <f t="shared" si="45"/>
        <v>0.97750734849080612</v>
      </c>
      <c r="C736" s="3">
        <f t="shared" si="46"/>
        <v>61149.927199539357</v>
      </c>
      <c r="D736" s="3">
        <f t="shared" si="47"/>
        <v>4.2495649106494966</v>
      </c>
      <c r="E736" s="8">
        <f t="shared" si="44"/>
        <v>104.28571428571429</v>
      </c>
      <c r="F736" s="3"/>
      <c r="G736" s="3"/>
      <c r="H736" s="3"/>
    </row>
    <row r="737" spans="1:8" ht="18.75" x14ac:dyDescent="0.3">
      <c r="A737" s="3">
        <v>731</v>
      </c>
      <c r="B737" s="9">
        <f t="shared" si="45"/>
        <v>0.97757501437456196</v>
      </c>
      <c r="C737" s="3">
        <f t="shared" si="46"/>
        <v>61154.160174229473</v>
      </c>
      <c r="D737" s="3">
        <f t="shared" si="47"/>
        <v>4.2329746901159524</v>
      </c>
      <c r="E737" s="8">
        <f t="shared" si="44"/>
        <v>104.42857142857143</v>
      </c>
      <c r="F737" s="3"/>
      <c r="G737" s="3"/>
      <c r="H737" s="3"/>
    </row>
    <row r="738" spans="1:8" ht="18.75" x14ac:dyDescent="0.3">
      <c r="A738" s="3">
        <v>732</v>
      </c>
      <c r="B738" s="9">
        <f t="shared" si="45"/>
        <v>0.97764241634454596</v>
      </c>
      <c r="C738" s="3">
        <f t="shared" si="46"/>
        <v>61158.376639265764</v>
      </c>
      <c r="D738" s="3">
        <f t="shared" si="47"/>
        <v>4.2164650362901739</v>
      </c>
      <c r="E738" s="8">
        <f t="shared" si="44"/>
        <v>104.57142857142857</v>
      </c>
      <c r="F738" s="3"/>
      <c r="G738" s="3"/>
      <c r="H738" s="3"/>
    </row>
    <row r="739" spans="1:8" ht="18.75" x14ac:dyDescent="0.3">
      <c r="A739" s="3">
        <v>733</v>
      </c>
      <c r="B739" s="9">
        <f t="shared" si="45"/>
        <v>0.9777095556811134</v>
      </c>
      <c r="C739" s="3">
        <f t="shared" si="46"/>
        <v>61162.57667474341</v>
      </c>
      <c r="D739" s="3">
        <f t="shared" si="47"/>
        <v>4.2000354776464519</v>
      </c>
      <c r="E739" s="8">
        <f t="shared" si="44"/>
        <v>104.71428571428571</v>
      </c>
      <c r="F739" s="3"/>
      <c r="G739" s="3"/>
      <c r="H739" s="3"/>
    </row>
    <row r="740" spans="1:8" ht="18.75" x14ac:dyDescent="0.3">
      <c r="A740" s="3">
        <v>734</v>
      </c>
      <c r="B740" s="9">
        <f t="shared" si="45"/>
        <v>0.97777643365713429</v>
      </c>
      <c r="C740" s="3">
        <f t="shared" si="46"/>
        <v>61166.760360289351</v>
      </c>
      <c r="D740" s="3">
        <f t="shared" si="47"/>
        <v>4.1836855459405342</v>
      </c>
      <c r="E740" s="8">
        <f t="shared" si="44"/>
        <v>104.85714285714286</v>
      </c>
      <c r="F740" s="3"/>
      <c r="G740" s="3"/>
      <c r="H740" s="3"/>
    </row>
    <row r="741" spans="1:8" ht="18.75" x14ac:dyDescent="0.3">
      <c r="A741" s="3">
        <v>735</v>
      </c>
      <c r="B741" s="9">
        <f t="shared" si="45"/>
        <v>0.97784305153804463</v>
      </c>
      <c r="C741" s="3">
        <f t="shared" si="46"/>
        <v>61170.927775065458</v>
      </c>
      <c r="D741" s="3">
        <f t="shared" si="47"/>
        <v>4.167414776107762</v>
      </c>
      <c r="E741" s="8">
        <f t="shared" si="44"/>
        <v>105</v>
      </c>
      <c r="F741" s="3"/>
      <c r="G741" s="3"/>
      <c r="H741" s="3"/>
    </row>
    <row r="742" spans="1:8" ht="18.75" x14ac:dyDescent="0.3">
      <c r="A742" s="3">
        <v>736</v>
      </c>
      <c r="B742" s="9">
        <f t="shared" si="45"/>
        <v>0.9779094105818974</v>
      </c>
      <c r="C742" s="3">
        <f t="shared" si="46"/>
        <v>61175.078997771758</v>
      </c>
      <c r="D742" s="3">
        <f t="shared" si="47"/>
        <v>4.1512227062994498</v>
      </c>
      <c r="E742" s="8">
        <f t="shared" si="44"/>
        <v>105.14285714285714</v>
      </c>
      <c r="F742" s="3"/>
      <c r="G742" s="3"/>
      <c r="H742" s="3"/>
    </row>
    <row r="743" spans="1:8" ht="18.75" x14ac:dyDescent="0.3">
      <c r="A743" s="3">
        <v>737</v>
      </c>
      <c r="B743" s="9">
        <f t="shared" si="45"/>
        <v>0.97797551203941335</v>
      </c>
      <c r="C743" s="3">
        <f t="shared" si="46"/>
        <v>61179.214106649582</v>
      </c>
      <c r="D743" s="3">
        <f t="shared" si="47"/>
        <v>4.1351088778246776</v>
      </c>
      <c r="E743" s="8">
        <f t="shared" si="44"/>
        <v>105.28571428571429</v>
      </c>
      <c r="F743" s="3"/>
      <c r="G743" s="3"/>
      <c r="H743" s="3"/>
    </row>
    <row r="744" spans="1:8" ht="18.75" x14ac:dyDescent="0.3">
      <c r="A744" s="3">
        <v>738</v>
      </c>
      <c r="B744" s="9">
        <f t="shared" si="45"/>
        <v>0.97804135715403118</v>
      </c>
      <c r="C744" s="3">
        <f t="shared" si="46"/>
        <v>61183.333179484725</v>
      </c>
      <c r="D744" s="3">
        <f t="shared" si="47"/>
        <v>4.1190728351430153</v>
      </c>
      <c r="E744" s="8">
        <f t="shared" si="44"/>
        <v>105.42857142857143</v>
      </c>
      <c r="F744" s="3"/>
      <c r="G744" s="3"/>
      <c r="H744" s="3"/>
    </row>
    <row r="745" spans="1:8" ht="18.75" x14ac:dyDescent="0.3">
      <c r="A745" s="3">
        <v>739</v>
      </c>
      <c r="B745" s="9">
        <f t="shared" si="45"/>
        <v>0.97810694716195723</v>
      </c>
      <c r="C745" s="3">
        <f t="shared" si="46"/>
        <v>61187.436293610561</v>
      </c>
      <c r="D745" s="3">
        <f t="shared" si="47"/>
        <v>4.1031141258354182</v>
      </c>
      <c r="E745" s="8">
        <f t="shared" si="44"/>
        <v>105.57142857142857</v>
      </c>
      <c r="F745" s="3"/>
      <c r="G745" s="3"/>
      <c r="H745" s="3"/>
    </row>
    <row r="746" spans="1:8" ht="18.75" x14ac:dyDescent="0.3">
      <c r="A746" s="3">
        <v>740</v>
      </c>
      <c r="B746" s="9">
        <f t="shared" si="45"/>
        <v>0.97817228329221528</v>
      </c>
      <c r="C746" s="3">
        <f t="shared" si="46"/>
        <v>61191.523525911114</v>
      </c>
      <c r="D746" s="3">
        <f t="shared" si="47"/>
        <v>4.0872323005532962</v>
      </c>
      <c r="E746" s="8">
        <f t="shared" si="44"/>
        <v>105.71428571428571</v>
      </c>
      <c r="F746" s="3"/>
      <c r="G746" s="3"/>
      <c r="H746" s="3"/>
    </row>
    <row r="747" spans="1:8" ht="18.75" x14ac:dyDescent="0.3">
      <c r="A747" s="3">
        <v>741</v>
      </c>
      <c r="B747" s="9">
        <f t="shared" si="45"/>
        <v>0.97823736676669537</v>
      </c>
      <c r="C747" s="3">
        <f t="shared" si="46"/>
        <v>61195.594952824162</v>
      </c>
      <c r="D747" s="3">
        <f t="shared" si="47"/>
        <v>4.0714269130476168</v>
      </c>
      <c r="E747" s="8">
        <f t="shared" si="44"/>
        <v>105.85714285714286</v>
      </c>
      <c r="F747" s="3"/>
      <c r="G747" s="3"/>
      <c r="H747" s="3"/>
    </row>
    <row r="748" spans="1:8" ht="18.75" x14ac:dyDescent="0.3">
      <c r="A748" s="3">
        <v>742</v>
      </c>
      <c r="B748" s="9">
        <f t="shared" si="45"/>
        <v>0.97830219880020253</v>
      </c>
      <c r="C748" s="3">
        <f t="shared" si="46"/>
        <v>61199.650650344272</v>
      </c>
      <c r="D748" s="3">
        <f t="shared" si="47"/>
        <v>4.055697520110698</v>
      </c>
      <c r="E748" s="8">
        <f t="shared" si="44"/>
        <v>106</v>
      </c>
      <c r="F748" s="3"/>
      <c r="G748" s="3"/>
      <c r="H748" s="3"/>
    </row>
    <row r="749" spans="1:8" ht="18.75" x14ac:dyDescent="0.3">
      <c r="A749" s="3">
        <v>743</v>
      </c>
      <c r="B749" s="9">
        <f t="shared" si="45"/>
        <v>0.97836678060050497</v>
      </c>
      <c r="C749" s="3">
        <f t="shared" si="46"/>
        <v>61203.69069402579</v>
      </c>
      <c r="D749" s="3">
        <f t="shared" si="47"/>
        <v>4.0400436815180001</v>
      </c>
      <c r="E749" s="8">
        <f t="shared" si="44"/>
        <v>106.14285714285714</v>
      </c>
      <c r="F749" s="3"/>
      <c r="G749" s="3"/>
      <c r="H749" s="3"/>
    </row>
    <row r="750" spans="1:8" ht="18.75" x14ac:dyDescent="0.3">
      <c r="A750" s="3">
        <v>744</v>
      </c>
      <c r="B750" s="9">
        <f t="shared" si="45"/>
        <v>0.97843111336838196</v>
      </c>
      <c r="C750" s="3">
        <f t="shared" si="46"/>
        <v>61207.715158985869</v>
      </c>
      <c r="D750" s="3">
        <f t="shared" si="47"/>
        <v>4.0244649600790581</v>
      </c>
      <c r="E750" s="8">
        <f t="shared" si="44"/>
        <v>106.28571428571429</v>
      </c>
      <c r="F750" s="3"/>
      <c r="G750" s="3"/>
      <c r="H750" s="3"/>
    </row>
    <row r="751" spans="1:8" ht="18.75" x14ac:dyDescent="0.3">
      <c r="A751" s="3">
        <v>745</v>
      </c>
      <c r="B751" s="9">
        <f t="shared" si="45"/>
        <v>0.97849519829767173</v>
      </c>
      <c r="C751" s="3">
        <f t="shared" si="46"/>
        <v>61211.724119907449</v>
      </c>
      <c r="D751" s="3">
        <f t="shared" si="47"/>
        <v>4.0089609215792734</v>
      </c>
      <c r="E751" s="8">
        <f t="shared" si="44"/>
        <v>106.42857142857143</v>
      </c>
      <c r="F751" s="3"/>
      <c r="G751" s="3"/>
      <c r="H751" s="3"/>
    </row>
    <row r="752" spans="1:8" ht="18.75" x14ac:dyDescent="0.3">
      <c r="A752" s="3">
        <v>746</v>
      </c>
      <c r="B752" s="9">
        <f t="shared" si="45"/>
        <v>0.97855903657531829</v>
      </c>
      <c r="C752" s="3">
        <f t="shared" si="46"/>
        <v>61215.717651042185</v>
      </c>
      <c r="D752" s="3">
        <f t="shared" si="47"/>
        <v>3.9935311347362585</v>
      </c>
      <c r="E752" s="8">
        <f t="shared" si="44"/>
        <v>106.57142857142857</v>
      </c>
      <c r="F752" s="3"/>
      <c r="G752" s="3"/>
      <c r="H752" s="3"/>
    </row>
    <row r="753" spans="1:8" ht="18.75" x14ac:dyDescent="0.3">
      <c r="A753" s="3">
        <v>747</v>
      </c>
      <c r="B753" s="9">
        <f t="shared" si="45"/>
        <v>0.97862262938141842</v>
      </c>
      <c r="C753" s="3">
        <f t="shared" si="46"/>
        <v>61219.695826213392</v>
      </c>
      <c r="D753" s="3">
        <f t="shared" si="47"/>
        <v>3.9781751712071127</v>
      </c>
      <c r="E753" s="8">
        <f t="shared" si="44"/>
        <v>106.71428571428571</v>
      </c>
      <c r="F753" s="3"/>
      <c r="G753" s="3"/>
      <c r="H753" s="3"/>
    </row>
    <row r="754" spans="1:8" ht="18.75" x14ac:dyDescent="0.3">
      <c r="A754" s="3">
        <v>748</v>
      </c>
      <c r="B754" s="9">
        <f t="shared" si="45"/>
        <v>0.9786859778892677</v>
      </c>
      <c r="C754" s="3">
        <f t="shared" si="46"/>
        <v>61223.658718818922</v>
      </c>
      <c r="D754" s="3">
        <f t="shared" si="47"/>
        <v>3.9628926055302145</v>
      </c>
      <c r="E754" s="8">
        <f t="shared" si="44"/>
        <v>106.85714285714286</v>
      </c>
      <c r="F754" s="3"/>
      <c r="G754" s="3"/>
      <c r="H754" s="3"/>
    </row>
    <row r="755" spans="1:8" ht="18.75" x14ac:dyDescent="0.3">
      <c r="A755" s="3">
        <v>749</v>
      </c>
      <c r="B755" s="9">
        <f t="shared" si="45"/>
        <v>0.9787490832654071</v>
      </c>
      <c r="C755" s="3">
        <f t="shared" si="46"/>
        <v>61227.606401834069</v>
      </c>
      <c r="D755" s="3">
        <f t="shared" si="47"/>
        <v>3.9476830151470494</v>
      </c>
      <c r="E755" s="8">
        <f t="shared" si="44"/>
        <v>107</v>
      </c>
      <c r="F755" s="3"/>
      <c r="G755" s="3"/>
      <c r="H755" s="3"/>
    </row>
    <row r="756" spans="1:8" ht="18.75" x14ac:dyDescent="0.3">
      <c r="A756" s="3">
        <v>750</v>
      </c>
      <c r="B756" s="9">
        <f t="shared" si="45"/>
        <v>0.97881194666966853</v>
      </c>
      <c r="C756" s="3">
        <f t="shared" si="46"/>
        <v>61231.538947814457</v>
      </c>
      <c r="D756" s="3">
        <f t="shared" si="47"/>
        <v>3.9325459803876583</v>
      </c>
      <c r="E756" s="8">
        <f t="shared" si="44"/>
        <v>107.14285714285714</v>
      </c>
      <c r="F756" s="3"/>
      <c r="G756" s="3"/>
      <c r="H756" s="3"/>
    </row>
    <row r="757" spans="1:8" ht="18.75" x14ac:dyDescent="0.3">
      <c r="A757" s="3">
        <v>751</v>
      </c>
      <c r="B757" s="9">
        <f t="shared" si="45"/>
        <v>0.97887456925521987</v>
      </c>
      <c r="C757" s="3">
        <f t="shared" si="46"/>
        <v>61235.456428898789</v>
      </c>
      <c r="D757" s="3">
        <f t="shared" si="47"/>
        <v>3.9174810843323939</v>
      </c>
      <c r="E757" s="8">
        <f t="shared" si="44"/>
        <v>107.28571428571429</v>
      </c>
      <c r="F757" s="3"/>
      <c r="G757" s="3"/>
      <c r="H757" s="3"/>
    </row>
    <row r="758" spans="1:8" ht="18.75" x14ac:dyDescent="0.3">
      <c r="A758" s="3">
        <v>752</v>
      </c>
      <c r="B758" s="9">
        <f t="shared" si="45"/>
        <v>0.97893695216861043</v>
      </c>
      <c r="C758" s="3">
        <f t="shared" si="46"/>
        <v>61239.358916811761</v>
      </c>
      <c r="D758" s="3">
        <f t="shared" si="47"/>
        <v>3.902487912971992</v>
      </c>
      <c r="E758" s="8">
        <f t="shared" si="44"/>
        <v>107.42857142857143</v>
      </c>
      <c r="F758" s="3"/>
      <c r="G758" s="3"/>
      <c r="H758" s="3"/>
    </row>
    <row r="759" spans="1:8" ht="18.75" x14ac:dyDescent="0.3">
      <c r="A759" s="3">
        <v>753</v>
      </c>
      <c r="B759" s="9">
        <f t="shared" si="45"/>
        <v>0.97899909654981521</v>
      </c>
      <c r="C759" s="3">
        <f t="shared" si="46"/>
        <v>61243.246482866787</v>
      </c>
      <c r="D759" s="3">
        <f t="shared" si="47"/>
        <v>3.8875660550256725</v>
      </c>
      <c r="E759" s="8">
        <f t="shared" si="44"/>
        <v>107.57142857142857</v>
      </c>
      <c r="F759" s="3"/>
      <c r="G759" s="3"/>
      <c r="H759" s="3"/>
    </row>
    <row r="760" spans="1:8" ht="18.75" x14ac:dyDescent="0.3">
      <c r="A760" s="3">
        <v>754</v>
      </c>
      <c r="B760" s="9">
        <f t="shared" si="45"/>
        <v>0.97906100353227943</v>
      </c>
      <c r="C760" s="3">
        <f t="shared" si="46"/>
        <v>61247.119197968801</v>
      </c>
      <c r="D760" s="3">
        <f t="shared" si="47"/>
        <v>3.872715102013899</v>
      </c>
      <c r="E760" s="8">
        <f t="shared" si="44"/>
        <v>107.71428571428571</v>
      </c>
      <c r="F760" s="3"/>
      <c r="G760" s="3"/>
      <c r="H760" s="3"/>
    </row>
    <row r="761" spans="1:8" ht="18.75" x14ac:dyDescent="0.3">
      <c r="A761" s="3">
        <v>755</v>
      </c>
      <c r="B761" s="9">
        <f t="shared" si="45"/>
        <v>0.97912267424296251</v>
      </c>
      <c r="C761" s="3">
        <f t="shared" si="46"/>
        <v>61250.977132617008</v>
      </c>
      <c r="D761" s="3">
        <f t="shared" si="47"/>
        <v>3.857934648207447</v>
      </c>
      <c r="E761" s="8">
        <f t="shared" si="44"/>
        <v>107.85714285714286</v>
      </c>
      <c r="F761" s="3"/>
      <c r="G761" s="3"/>
      <c r="H761" s="3"/>
    </row>
    <row r="762" spans="1:8" ht="18.75" x14ac:dyDescent="0.3">
      <c r="A762" s="3">
        <v>756</v>
      </c>
      <c r="B762" s="9">
        <f t="shared" si="45"/>
        <v>0.97918410980238135</v>
      </c>
      <c r="C762" s="3">
        <f t="shared" si="46"/>
        <v>61254.82035690757</v>
      </c>
      <c r="D762" s="3">
        <f t="shared" si="47"/>
        <v>3.8432242905619205</v>
      </c>
      <c r="E762" s="8">
        <f t="shared" si="44"/>
        <v>108</v>
      </c>
      <c r="F762" s="3"/>
      <c r="G762" s="3"/>
      <c r="H762" s="3"/>
    </row>
    <row r="763" spans="1:8" ht="18.75" x14ac:dyDescent="0.3">
      <c r="A763" s="3">
        <v>757</v>
      </c>
      <c r="B763" s="9">
        <f t="shared" si="45"/>
        <v>0.97924531132465398</v>
      </c>
      <c r="C763" s="3">
        <f t="shared" si="46"/>
        <v>61258.648940536375</v>
      </c>
      <c r="D763" s="3">
        <f t="shared" si="47"/>
        <v>3.8285836288050632</v>
      </c>
      <c r="E763" s="8">
        <f t="shared" si="44"/>
        <v>108.14285714285714</v>
      </c>
      <c r="F763" s="3"/>
      <c r="G763" s="3"/>
      <c r="H763" s="3"/>
    </row>
    <row r="764" spans="1:8" ht="18.75" x14ac:dyDescent="0.3">
      <c r="A764" s="3">
        <v>758</v>
      </c>
      <c r="B764" s="9">
        <f t="shared" si="45"/>
        <v>0.9793062799175426</v>
      </c>
      <c r="C764" s="3">
        <f t="shared" si="46"/>
        <v>61262.46295280171</v>
      </c>
      <c r="D764" s="3">
        <f t="shared" si="47"/>
        <v>3.8140122653348953</v>
      </c>
      <c r="E764" s="8">
        <f t="shared" si="44"/>
        <v>108.28571428571429</v>
      </c>
      <c r="F764" s="3"/>
      <c r="G764" s="3"/>
      <c r="H764" s="3"/>
    </row>
    <row r="765" spans="1:8" ht="18.75" x14ac:dyDescent="0.3">
      <c r="A765" s="3">
        <v>759</v>
      </c>
      <c r="B765" s="9">
        <f t="shared" si="45"/>
        <v>0.97936701668249548</v>
      </c>
      <c r="C765" s="3">
        <f t="shared" si="46"/>
        <v>61266.262462606872</v>
      </c>
      <c r="D765" s="3">
        <f t="shared" si="47"/>
        <v>3.7995098051615059</v>
      </c>
      <c r="E765" s="8">
        <f t="shared" si="44"/>
        <v>108.42857142857143</v>
      </c>
      <c r="F765" s="3"/>
      <c r="G765" s="3"/>
      <c r="H765" s="3"/>
    </row>
    <row r="766" spans="1:8" ht="18.75" x14ac:dyDescent="0.3">
      <c r="A766" s="3">
        <v>760</v>
      </c>
      <c r="B766" s="9">
        <f t="shared" si="45"/>
        <v>0.97942752271469002</v>
      </c>
      <c r="C766" s="3">
        <f t="shared" si="46"/>
        <v>61270.047538462866</v>
      </c>
      <c r="D766" s="3">
        <f t="shared" si="47"/>
        <v>3.7850758559943642</v>
      </c>
      <c r="E766" s="8">
        <f t="shared" si="44"/>
        <v>108.57142857142857</v>
      </c>
      <c r="F766" s="3"/>
      <c r="G766" s="3"/>
      <c r="H766" s="3"/>
    </row>
    <row r="767" spans="1:8" ht="18.75" x14ac:dyDescent="0.3">
      <c r="A767" s="3">
        <v>761</v>
      </c>
      <c r="B767" s="9">
        <f t="shared" si="45"/>
        <v>0.97948779910307437</v>
      </c>
      <c r="C767" s="3">
        <f t="shared" si="46"/>
        <v>61273.818248491021</v>
      </c>
      <c r="D767" s="3">
        <f t="shared" si="47"/>
        <v>3.7707100281550083</v>
      </c>
      <c r="E767" s="8">
        <f t="shared" si="44"/>
        <v>108.71428571428571</v>
      </c>
      <c r="F767" s="3"/>
      <c r="G767" s="3"/>
      <c r="H767" s="3"/>
    </row>
    <row r="768" spans="1:8" ht="18.75" x14ac:dyDescent="0.3">
      <c r="A768" s="3">
        <v>762</v>
      </c>
      <c r="B768" s="9">
        <f t="shared" si="45"/>
        <v>0.97954784693040908</v>
      </c>
      <c r="C768" s="3">
        <f t="shared" si="46"/>
        <v>61277.574660425598</v>
      </c>
      <c r="D768" s="3">
        <f t="shared" si="47"/>
        <v>3.756411934577045</v>
      </c>
      <c r="E768" s="8">
        <f t="shared" si="44"/>
        <v>108.85714285714286</v>
      </c>
      <c r="F768" s="3"/>
      <c r="G768" s="3"/>
      <c r="H768" s="3"/>
    </row>
    <row r="769" spans="1:8" ht="18.75" x14ac:dyDescent="0.3">
      <c r="A769" s="3">
        <v>763</v>
      </c>
      <c r="B769" s="9">
        <f t="shared" si="45"/>
        <v>0.97960766727330828</v>
      </c>
      <c r="C769" s="3">
        <f t="shared" si="46"/>
        <v>61281.316841616346</v>
      </c>
      <c r="D769" s="3">
        <f t="shared" si="47"/>
        <v>3.7421811907479423</v>
      </c>
      <c r="E769" s="8">
        <f t="shared" si="44"/>
        <v>109</v>
      </c>
      <c r="F769" s="3"/>
      <c r="G769" s="3"/>
      <c r="H769" s="3"/>
    </row>
    <row r="770" spans="1:8" ht="18.75" x14ac:dyDescent="0.3">
      <c r="A770" s="3">
        <v>764</v>
      </c>
      <c r="B770" s="9">
        <f t="shared" si="45"/>
        <v>0.97966726120228087</v>
      </c>
      <c r="C770" s="3">
        <f t="shared" si="46"/>
        <v>61285.044859031084</v>
      </c>
      <c r="D770" s="3">
        <f t="shared" si="47"/>
        <v>3.7280174147381331</v>
      </c>
      <c r="E770" s="8">
        <f t="shared" si="44"/>
        <v>109.14285714285714</v>
      </c>
      <c r="F770" s="3"/>
      <c r="G770" s="3"/>
      <c r="H770" s="3"/>
    </row>
    <row r="771" spans="1:8" ht="18.75" x14ac:dyDescent="0.3">
      <c r="A771" s="3">
        <v>765</v>
      </c>
      <c r="B771" s="9">
        <f t="shared" si="45"/>
        <v>0.97972662978177116</v>
      </c>
      <c r="C771" s="3">
        <f t="shared" si="46"/>
        <v>61288.758779258256</v>
      </c>
      <c r="D771" s="3">
        <f t="shared" si="47"/>
        <v>3.7139202271719114</v>
      </c>
      <c r="E771" s="8">
        <f t="shared" si="44"/>
        <v>109.28571428571429</v>
      </c>
      <c r="F771" s="3"/>
      <c r="G771" s="3"/>
      <c r="H771" s="3"/>
    </row>
    <row r="772" spans="1:8" ht="18.75" x14ac:dyDescent="0.3">
      <c r="A772" s="3">
        <v>766</v>
      </c>
      <c r="B772" s="9">
        <f t="shared" si="45"/>
        <v>0.9797857740701994</v>
      </c>
      <c r="C772" s="3">
        <f t="shared" si="46"/>
        <v>61292.458668509462</v>
      </c>
      <c r="D772" s="3">
        <f t="shared" si="47"/>
        <v>3.6998892512056045</v>
      </c>
      <c r="E772" s="8">
        <f t="shared" si="44"/>
        <v>109.42857142857143</v>
      </c>
      <c r="F772" s="3"/>
      <c r="G772" s="3"/>
      <c r="H772" s="3"/>
    </row>
    <row r="773" spans="1:8" ht="18.75" x14ac:dyDescent="0.3">
      <c r="A773" s="3">
        <v>767</v>
      </c>
      <c r="B773" s="9">
        <f t="shared" si="45"/>
        <v>0.97984469512000105</v>
      </c>
      <c r="C773" s="3">
        <f t="shared" si="46"/>
        <v>61296.144592621909</v>
      </c>
      <c r="D773" s="3">
        <f t="shared" si="47"/>
        <v>3.6859241124475375</v>
      </c>
      <c r="E773" s="8">
        <f t="shared" si="44"/>
        <v>109.57142857142857</v>
      </c>
      <c r="F773" s="3"/>
      <c r="G773" s="3"/>
      <c r="H773" s="3"/>
    </row>
    <row r="774" spans="1:8" ht="18.75" x14ac:dyDescent="0.3">
      <c r="A774" s="3">
        <v>768</v>
      </c>
      <c r="B774" s="9">
        <f t="shared" si="45"/>
        <v>0.97990339397766779</v>
      </c>
      <c r="C774" s="3">
        <f t="shared" si="46"/>
        <v>61299.816617060962</v>
      </c>
      <c r="D774" s="3">
        <f t="shared" si="47"/>
        <v>3.6720244390526204</v>
      </c>
      <c r="E774" s="8">
        <f t="shared" si="44"/>
        <v>109.71428571428571</v>
      </c>
      <c r="F774" s="3"/>
      <c r="G774" s="3"/>
      <c r="H774" s="3"/>
    </row>
    <row r="775" spans="1:8" ht="18.75" x14ac:dyDescent="0.3">
      <c r="A775" s="3">
        <v>769</v>
      </c>
      <c r="B775" s="9">
        <f t="shared" si="45"/>
        <v>0.9799618716837859</v>
      </c>
      <c r="C775" s="3">
        <f t="shared" si="46"/>
        <v>61303.474806922597</v>
      </c>
      <c r="D775" s="3">
        <f t="shared" si="47"/>
        <v>3.6581898616350372</v>
      </c>
      <c r="E775" s="8">
        <f t="shared" ref="E775:E838" si="48">A775/7</f>
        <v>109.85714285714286</v>
      </c>
      <c r="F775" s="3"/>
      <c r="G775" s="3"/>
      <c r="H775" s="3"/>
    </row>
    <row r="776" spans="1:8" ht="18.75" x14ac:dyDescent="0.3">
      <c r="A776" s="3">
        <v>770</v>
      </c>
      <c r="B776" s="9">
        <f t="shared" ref="B776:B839" si="49">LOGNORMDIST(A776,$A$3,$B$3)</f>
        <v>0.98002012927307569</v>
      </c>
      <c r="C776" s="3">
        <f t="shared" ref="C776:C839" si="50">$E$3*B776</f>
        <v>61307.119226935793</v>
      </c>
      <c r="D776" s="3">
        <f t="shared" ref="D776:D839" si="51">C776-C775</f>
        <v>3.6444200131954858</v>
      </c>
      <c r="E776" s="8">
        <f t="shared" si="48"/>
        <v>110</v>
      </c>
      <c r="F776" s="3"/>
      <c r="G776" s="3"/>
      <c r="H776" s="3"/>
    </row>
    <row r="777" spans="1:8" ht="18.75" x14ac:dyDescent="0.3">
      <c r="A777" s="3">
        <v>771</v>
      </c>
      <c r="B777" s="9">
        <f t="shared" si="49"/>
        <v>0.98007816777443091</v>
      </c>
      <c r="C777" s="3">
        <f t="shared" si="50"/>
        <v>61310.749941465074</v>
      </c>
      <c r="D777" s="3">
        <f t="shared" si="51"/>
        <v>3.6307145292812493</v>
      </c>
      <c r="E777" s="8">
        <f t="shared" si="48"/>
        <v>110.14285714285714</v>
      </c>
      <c r="F777" s="3"/>
      <c r="G777" s="3"/>
      <c r="H777" s="3"/>
    </row>
    <row r="778" spans="1:8" ht="18.75" x14ac:dyDescent="0.3">
      <c r="A778" s="3">
        <v>772</v>
      </c>
      <c r="B778" s="9">
        <f t="shared" si="49"/>
        <v>0.98013598821095627</v>
      </c>
      <c r="C778" s="3">
        <f t="shared" si="50"/>
        <v>61314.367014512791</v>
      </c>
      <c r="D778" s="3">
        <f t="shared" si="51"/>
        <v>3.6170730477169855</v>
      </c>
      <c r="E778" s="8">
        <f t="shared" si="48"/>
        <v>110.28571428571429</v>
      </c>
      <c r="F778" s="3"/>
      <c r="G778" s="3"/>
      <c r="H778" s="3"/>
    </row>
    <row r="779" spans="1:8" ht="18.75" x14ac:dyDescent="0.3">
      <c r="A779" s="3">
        <v>773</v>
      </c>
      <c r="B779" s="9">
        <f t="shared" si="49"/>
        <v>0.98019359160000663</v>
      </c>
      <c r="C779" s="3">
        <f t="shared" si="50"/>
        <v>61317.970509721614</v>
      </c>
      <c r="D779" s="3">
        <f t="shared" si="51"/>
        <v>3.6034952088230057</v>
      </c>
      <c r="E779" s="8">
        <f t="shared" si="48"/>
        <v>110.42857142857143</v>
      </c>
      <c r="F779" s="3"/>
      <c r="G779" s="3"/>
      <c r="H779" s="3"/>
    </row>
    <row r="780" spans="1:8" ht="18.75" x14ac:dyDescent="0.3">
      <c r="A780" s="3">
        <v>774</v>
      </c>
      <c r="B780" s="9">
        <f t="shared" si="49"/>
        <v>0.98025097895322444</v>
      </c>
      <c r="C780" s="3">
        <f t="shared" si="50"/>
        <v>61321.560490376862</v>
      </c>
      <c r="D780" s="3">
        <f t="shared" si="51"/>
        <v>3.5899806552479276</v>
      </c>
      <c r="E780" s="8">
        <f t="shared" si="48"/>
        <v>110.57142857142857</v>
      </c>
      <c r="F780" s="3"/>
      <c r="G780" s="3"/>
      <c r="H780" s="3"/>
    </row>
    <row r="781" spans="1:8" ht="18.75" x14ac:dyDescent="0.3">
      <c r="A781" s="3">
        <v>775</v>
      </c>
      <c r="B781" s="9">
        <f t="shared" si="49"/>
        <v>0.98030815127657744</v>
      </c>
      <c r="C781" s="3">
        <f t="shared" si="50"/>
        <v>61325.137019408852</v>
      </c>
      <c r="D781" s="3">
        <f t="shared" si="51"/>
        <v>3.5765290319905034</v>
      </c>
      <c r="E781" s="8">
        <f t="shared" si="48"/>
        <v>110.71428571428571</v>
      </c>
      <c r="F781" s="3"/>
      <c r="G781" s="3"/>
      <c r="H781" s="3"/>
    </row>
    <row r="782" spans="1:8" ht="18.75" x14ac:dyDescent="0.3">
      <c r="A782" s="3">
        <v>776</v>
      </c>
      <c r="B782" s="9">
        <f t="shared" si="49"/>
        <v>0.98036510957039646</v>
      </c>
      <c r="C782" s="3">
        <f t="shared" si="50"/>
        <v>61328.700159395288</v>
      </c>
      <c r="D782" s="3">
        <f t="shared" si="51"/>
        <v>3.5631399864359992</v>
      </c>
      <c r="E782" s="8">
        <f t="shared" si="48"/>
        <v>110.85714285714286</v>
      </c>
      <c r="F782" s="3"/>
      <c r="G782" s="3"/>
      <c r="H782" s="3"/>
    </row>
    <row r="783" spans="1:8" ht="18.75" x14ac:dyDescent="0.3">
      <c r="A783" s="3">
        <v>777</v>
      </c>
      <c r="B783" s="9">
        <f t="shared" si="49"/>
        <v>0.98042185482941191</v>
      </c>
      <c r="C783" s="3">
        <f t="shared" si="50"/>
        <v>61332.249972563521</v>
      </c>
      <c r="D783" s="3">
        <f t="shared" si="51"/>
        <v>3.5498131682325038</v>
      </c>
      <c r="E783" s="8">
        <f t="shared" si="48"/>
        <v>111</v>
      </c>
      <c r="F783" s="3"/>
      <c r="G783" s="3"/>
      <c r="H783" s="3"/>
    </row>
    <row r="784" spans="1:8" ht="18.75" x14ac:dyDescent="0.3">
      <c r="A784" s="3">
        <v>778</v>
      </c>
      <c r="B784" s="9">
        <f t="shared" si="49"/>
        <v>0.98047838804279108</v>
      </c>
      <c r="C784" s="3">
        <f t="shared" si="50"/>
        <v>61335.786520792884</v>
      </c>
      <c r="D784" s="3">
        <f t="shared" si="51"/>
        <v>3.5365482293636887</v>
      </c>
      <c r="E784" s="8">
        <f t="shared" si="48"/>
        <v>111.14285714285714</v>
      </c>
      <c r="F784" s="3"/>
      <c r="G784" s="3"/>
      <c r="H784" s="3"/>
    </row>
    <row r="785" spans="1:8" ht="18.75" x14ac:dyDescent="0.3">
      <c r="A785" s="3">
        <v>779</v>
      </c>
      <c r="B785" s="9">
        <f t="shared" si="49"/>
        <v>0.98053471019417437</v>
      </c>
      <c r="C785" s="3">
        <f t="shared" si="50"/>
        <v>61339.309865616968</v>
      </c>
      <c r="D785" s="3">
        <f t="shared" si="51"/>
        <v>3.5233448240833241</v>
      </c>
      <c r="E785" s="8">
        <f t="shared" si="48"/>
        <v>111.28571428571429</v>
      </c>
      <c r="F785" s="3"/>
      <c r="G785" s="3"/>
      <c r="H785" s="3"/>
    </row>
    <row r="786" spans="1:8" ht="18.75" x14ac:dyDescent="0.3">
      <c r="A786" s="3">
        <v>780</v>
      </c>
      <c r="B786" s="9">
        <f t="shared" si="49"/>
        <v>0.98059082226171201</v>
      </c>
      <c r="C786" s="3">
        <f t="shared" si="50"/>
        <v>61342.820068225919</v>
      </c>
      <c r="D786" s="3">
        <f t="shared" si="51"/>
        <v>3.5102026089516585</v>
      </c>
      <c r="E786" s="8">
        <f t="shared" si="48"/>
        <v>111.42857142857143</v>
      </c>
      <c r="F786" s="3"/>
      <c r="G786" s="3"/>
      <c r="H786" s="3"/>
    </row>
    <row r="787" spans="1:8" ht="18.75" x14ac:dyDescent="0.3">
      <c r="A787" s="3">
        <v>781</v>
      </c>
      <c r="B787" s="9">
        <f t="shared" si="49"/>
        <v>0.98064672521809926</v>
      </c>
      <c r="C787" s="3">
        <f t="shared" si="50"/>
        <v>61346.317189468638</v>
      </c>
      <c r="D787" s="3">
        <f t="shared" si="51"/>
        <v>3.4971212427190039</v>
      </c>
      <c r="E787" s="8">
        <f t="shared" si="48"/>
        <v>111.57142857142857</v>
      </c>
      <c r="F787" s="3"/>
      <c r="G787" s="3"/>
      <c r="H787" s="3"/>
    </row>
    <row r="788" spans="1:8" ht="18.75" x14ac:dyDescent="0.3">
      <c r="A788" s="3">
        <v>782</v>
      </c>
      <c r="B788" s="9">
        <f t="shared" si="49"/>
        <v>0.98070242003061303</v>
      </c>
      <c r="C788" s="3">
        <f t="shared" si="50"/>
        <v>61349.801289855059</v>
      </c>
      <c r="D788" s="3">
        <f t="shared" si="51"/>
        <v>3.484100386420323</v>
      </c>
      <c r="E788" s="8">
        <f t="shared" si="48"/>
        <v>111.71428571428571</v>
      </c>
      <c r="F788" s="3"/>
      <c r="G788" s="3"/>
      <c r="H788" s="3"/>
    </row>
    <row r="789" spans="1:8" ht="18.75" x14ac:dyDescent="0.3">
      <c r="A789" s="3">
        <v>783</v>
      </c>
      <c r="B789" s="9">
        <f t="shared" si="49"/>
        <v>0.98075790766114668</v>
      </c>
      <c r="C789" s="3">
        <f t="shared" si="50"/>
        <v>61353.272429558354</v>
      </c>
      <c r="D789" s="3">
        <f t="shared" si="51"/>
        <v>3.4711397032951936</v>
      </c>
      <c r="E789" s="8">
        <f t="shared" si="48"/>
        <v>111.85714285714286</v>
      </c>
      <c r="F789" s="3"/>
      <c r="G789" s="3"/>
      <c r="H789" s="3"/>
    </row>
    <row r="790" spans="1:8" ht="18.75" x14ac:dyDescent="0.3">
      <c r="A790" s="3">
        <v>784</v>
      </c>
      <c r="B790" s="9">
        <f t="shared" si="49"/>
        <v>0.98081318906624548</v>
      </c>
      <c r="C790" s="3">
        <f t="shared" si="50"/>
        <v>61356.73066841712</v>
      </c>
      <c r="D790" s="3">
        <f t="shared" si="51"/>
        <v>3.4582388587659807</v>
      </c>
      <c r="E790" s="8">
        <f t="shared" si="48"/>
        <v>112</v>
      </c>
      <c r="F790" s="3"/>
      <c r="G790" s="3"/>
      <c r="H790" s="3"/>
    </row>
    <row r="791" spans="1:8" ht="18.75" x14ac:dyDescent="0.3">
      <c r="A791" s="3">
        <v>785</v>
      </c>
      <c r="B791" s="9">
        <f t="shared" si="49"/>
        <v>0.98086826519714143</v>
      </c>
      <c r="C791" s="3">
        <f t="shared" si="50"/>
        <v>61360.17606593758</v>
      </c>
      <c r="D791" s="3">
        <f t="shared" si="51"/>
        <v>3.4453975204596645</v>
      </c>
      <c r="E791" s="8">
        <f t="shared" si="48"/>
        <v>112.14285714285714</v>
      </c>
      <c r="F791" s="3"/>
      <c r="G791" s="3"/>
      <c r="H791" s="3"/>
    </row>
    <row r="792" spans="1:8" ht="18.75" x14ac:dyDescent="0.3">
      <c r="A792" s="3">
        <v>786</v>
      </c>
      <c r="B792" s="9">
        <f t="shared" si="49"/>
        <v>0.98092313699978828</v>
      </c>
      <c r="C792" s="3">
        <f t="shared" si="50"/>
        <v>61363.608681295758</v>
      </c>
      <c r="D792" s="3">
        <f t="shared" si="51"/>
        <v>3.4326153581787366</v>
      </c>
      <c r="E792" s="8">
        <f t="shared" si="48"/>
        <v>112.28571428571429</v>
      </c>
      <c r="F792" s="3"/>
      <c r="G792" s="3"/>
      <c r="H792" s="3"/>
    </row>
    <row r="793" spans="1:8" ht="18.75" x14ac:dyDescent="0.3">
      <c r="A793" s="3">
        <v>787</v>
      </c>
      <c r="B793" s="9">
        <f t="shared" si="49"/>
        <v>0.9809778054148951</v>
      </c>
      <c r="C793" s="3">
        <f t="shared" si="50"/>
        <v>61367.028573339594</v>
      </c>
      <c r="D793" s="3">
        <f t="shared" si="51"/>
        <v>3.4198920438357163</v>
      </c>
      <c r="E793" s="8">
        <f t="shared" si="48"/>
        <v>112.42857142857143</v>
      </c>
      <c r="F793" s="3"/>
      <c r="G793" s="3"/>
      <c r="H793" s="3"/>
    </row>
    <row r="794" spans="1:8" ht="18.75" x14ac:dyDescent="0.3">
      <c r="A794" s="3">
        <v>788</v>
      </c>
      <c r="B794" s="9">
        <f t="shared" si="49"/>
        <v>0.98103227137796123</v>
      </c>
      <c r="C794" s="3">
        <f t="shared" si="50"/>
        <v>61370.43580059112</v>
      </c>
      <c r="D794" s="3">
        <f t="shared" si="51"/>
        <v>3.4072272515259101</v>
      </c>
      <c r="E794" s="8">
        <f t="shared" si="48"/>
        <v>112.57142857142857</v>
      </c>
      <c r="F794" s="3"/>
      <c r="G794" s="3"/>
      <c r="H794" s="3"/>
    </row>
    <row r="795" spans="1:8" ht="18.75" x14ac:dyDescent="0.3">
      <c r="A795" s="3">
        <v>789</v>
      </c>
      <c r="B795" s="9">
        <f t="shared" si="49"/>
        <v>0.98108653581930982</v>
      </c>
      <c r="C795" s="3">
        <f t="shared" si="50"/>
        <v>61373.830421248567</v>
      </c>
      <c r="D795" s="3">
        <f t="shared" si="51"/>
        <v>3.3946206574473763</v>
      </c>
      <c r="E795" s="8">
        <f t="shared" si="48"/>
        <v>112.71428571428571</v>
      </c>
      <c r="F795" s="3"/>
      <c r="G795" s="3"/>
      <c r="H795" s="3"/>
    </row>
    <row r="796" spans="1:8" ht="18.75" x14ac:dyDescent="0.3">
      <c r="A796" s="3">
        <v>790</v>
      </c>
      <c r="B796" s="9">
        <f t="shared" si="49"/>
        <v>0.9811405996641217</v>
      </c>
      <c r="C796" s="3">
        <f t="shared" si="50"/>
        <v>61377.212493188461</v>
      </c>
      <c r="D796" s="3">
        <f t="shared" si="51"/>
        <v>3.382071939893649</v>
      </c>
      <c r="E796" s="8">
        <f t="shared" si="48"/>
        <v>112.85714285714286</v>
      </c>
      <c r="F796" s="3"/>
      <c r="G796" s="3"/>
      <c r="H796" s="3"/>
    </row>
    <row r="797" spans="1:8" ht="18.75" x14ac:dyDescent="0.3">
      <c r="A797" s="3">
        <v>791</v>
      </c>
      <c r="B797" s="9">
        <f t="shared" si="49"/>
        <v>0.981194463832468</v>
      </c>
      <c r="C797" s="3">
        <f t="shared" si="50"/>
        <v>61380.5820739677</v>
      </c>
      <c r="D797" s="3">
        <f t="shared" si="51"/>
        <v>3.3695807792391861</v>
      </c>
      <c r="E797" s="8">
        <f t="shared" si="48"/>
        <v>113</v>
      </c>
      <c r="F797" s="3"/>
      <c r="G797" s="3"/>
      <c r="H797" s="3"/>
    </row>
    <row r="798" spans="1:8" ht="18.75" x14ac:dyDescent="0.3">
      <c r="A798" s="3">
        <v>792</v>
      </c>
      <c r="B798" s="9">
        <f t="shared" si="49"/>
        <v>0.98124812923934446</v>
      </c>
      <c r="C798" s="3">
        <f t="shared" si="50"/>
        <v>61383.939220825669</v>
      </c>
      <c r="D798" s="3">
        <f t="shared" si="51"/>
        <v>3.3571468579684733</v>
      </c>
      <c r="E798" s="8">
        <f t="shared" si="48"/>
        <v>113.14285714285714</v>
      </c>
      <c r="F798" s="3"/>
      <c r="G798" s="3"/>
      <c r="H798" s="3"/>
    </row>
    <row r="799" spans="1:8" ht="18.75" x14ac:dyDescent="0.3">
      <c r="A799" s="3">
        <v>793</v>
      </c>
      <c r="B799" s="9">
        <f t="shared" si="49"/>
        <v>0.98130159679470308</v>
      </c>
      <c r="C799" s="3">
        <f t="shared" si="50"/>
        <v>61387.283990686243</v>
      </c>
      <c r="D799" s="3">
        <f t="shared" si="51"/>
        <v>3.3447698605741607</v>
      </c>
      <c r="E799" s="8">
        <f t="shared" si="48"/>
        <v>113.28571428571429</v>
      </c>
      <c r="F799" s="3"/>
      <c r="G799" s="3"/>
      <c r="H799" s="3"/>
    </row>
    <row r="800" spans="1:8" ht="18.75" x14ac:dyDescent="0.3">
      <c r="A800" s="3">
        <v>794</v>
      </c>
      <c r="B800" s="9">
        <f t="shared" si="49"/>
        <v>0.98135486740348599</v>
      </c>
      <c r="C800" s="3">
        <f t="shared" si="50"/>
        <v>61390.616440159873</v>
      </c>
      <c r="D800" s="3">
        <f t="shared" si="51"/>
        <v>3.332449473629822</v>
      </c>
      <c r="E800" s="8">
        <f t="shared" si="48"/>
        <v>113.42857142857143</v>
      </c>
      <c r="F800" s="3"/>
      <c r="G800" s="3"/>
      <c r="H800" s="3"/>
    </row>
    <row r="801" spans="1:8" ht="18.75" x14ac:dyDescent="0.3">
      <c r="A801" s="3">
        <v>795</v>
      </c>
      <c r="B801" s="9">
        <f t="shared" si="49"/>
        <v>0.98140794196565651</v>
      </c>
      <c r="C801" s="3">
        <f t="shared" si="50"/>
        <v>61393.936625545575</v>
      </c>
      <c r="D801" s="3">
        <f t="shared" si="51"/>
        <v>3.3201853857026435</v>
      </c>
      <c r="E801" s="8">
        <f t="shared" si="48"/>
        <v>113.57142857142857</v>
      </c>
      <c r="F801" s="3"/>
      <c r="G801" s="3"/>
      <c r="H801" s="3"/>
    </row>
    <row r="802" spans="1:8" ht="18.75" x14ac:dyDescent="0.3">
      <c r="A802" s="3">
        <v>796</v>
      </c>
      <c r="B802" s="9">
        <f t="shared" si="49"/>
        <v>0.98146082137623269</v>
      </c>
      <c r="C802" s="3">
        <f t="shared" si="50"/>
        <v>61397.244602832987</v>
      </c>
      <c r="D802" s="3">
        <f t="shared" si="51"/>
        <v>3.3079772874116316</v>
      </c>
      <c r="E802" s="8">
        <f t="shared" si="48"/>
        <v>113.71428571428571</v>
      </c>
      <c r="F802" s="3"/>
      <c r="G802" s="3"/>
      <c r="H802" s="3"/>
    </row>
    <row r="803" spans="1:8" ht="18.75" x14ac:dyDescent="0.3">
      <c r="A803" s="3">
        <v>797</v>
      </c>
      <c r="B803" s="9">
        <f t="shared" si="49"/>
        <v>0.98151350652531799</v>
      </c>
      <c r="C803" s="3">
        <f t="shared" si="50"/>
        <v>61400.54042770432</v>
      </c>
      <c r="D803" s="3">
        <f t="shared" si="51"/>
        <v>3.2958248713330249</v>
      </c>
      <c r="E803" s="8">
        <f t="shared" si="48"/>
        <v>113.85714285714286</v>
      </c>
      <c r="F803" s="3"/>
      <c r="G803" s="3"/>
      <c r="H803" s="3"/>
    </row>
    <row r="804" spans="1:8" ht="18.75" x14ac:dyDescent="0.3">
      <c r="A804" s="3">
        <v>798</v>
      </c>
      <c r="B804" s="9">
        <f t="shared" si="49"/>
        <v>0.98156599829813362</v>
      </c>
      <c r="C804" s="3">
        <f t="shared" si="50"/>
        <v>61403.824155536342</v>
      </c>
      <c r="D804" s="3">
        <f t="shared" si="51"/>
        <v>3.283727832022123</v>
      </c>
      <c r="E804" s="8">
        <f t="shared" si="48"/>
        <v>114</v>
      </c>
      <c r="F804" s="3"/>
      <c r="G804" s="3"/>
      <c r="H804" s="3"/>
    </row>
    <row r="805" spans="1:8" ht="18.75" x14ac:dyDescent="0.3">
      <c r="A805" s="3">
        <v>799</v>
      </c>
      <c r="B805" s="9">
        <f t="shared" si="49"/>
        <v>0.98161829757504993</v>
      </c>
      <c r="C805" s="3">
        <f t="shared" si="50"/>
        <v>61407.095841402399</v>
      </c>
      <c r="D805" s="3">
        <f t="shared" si="51"/>
        <v>3.2716858660569414</v>
      </c>
      <c r="E805" s="8">
        <f t="shared" si="48"/>
        <v>114.14285714285714</v>
      </c>
      <c r="F805" s="3"/>
      <c r="G805" s="3"/>
      <c r="H805" s="3"/>
    </row>
    <row r="806" spans="1:8" ht="18.75" x14ac:dyDescent="0.3">
      <c r="A806" s="3">
        <v>800</v>
      </c>
      <c r="B806" s="9">
        <f t="shared" si="49"/>
        <v>0.98167040523161753</v>
      </c>
      <c r="C806" s="3">
        <f t="shared" si="50"/>
        <v>61410.355540074299</v>
      </c>
      <c r="D806" s="3">
        <f t="shared" si="51"/>
        <v>3.2596986718999688</v>
      </c>
      <c r="E806" s="8">
        <f t="shared" si="48"/>
        <v>114.28571428571429</v>
      </c>
      <c r="F806" s="3"/>
      <c r="G806" s="3"/>
      <c r="H806" s="3"/>
    </row>
    <row r="807" spans="1:8" ht="18.75" x14ac:dyDescent="0.3">
      <c r="A807" s="3">
        <v>801</v>
      </c>
      <c r="B807" s="9">
        <f t="shared" si="49"/>
        <v>0.98172232213859822</v>
      </c>
      <c r="C807" s="3">
        <f t="shared" si="50"/>
        <v>61413.603306024292</v>
      </c>
      <c r="D807" s="3">
        <f t="shared" si="51"/>
        <v>3.247765949992754</v>
      </c>
      <c r="E807" s="8">
        <f t="shared" si="48"/>
        <v>114.42857142857143</v>
      </c>
      <c r="F807" s="3"/>
      <c r="G807" s="3"/>
      <c r="H807" s="3"/>
    </row>
    <row r="808" spans="1:8" ht="18.75" x14ac:dyDescent="0.3">
      <c r="A808" s="3">
        <v>802</v>
      </c>
      <c r="B808" s="9">
        <f t="shared" si="49"/>
        <v>0.98177404916199573</v>
      </c>
      <c r="C808" s="3">
        <f t="shared" si="50"/>
        <v>61416.839193426968</v>
      </c>
      <c r="D808" s="3">
        <f t="shared" si="51"/>
        <v>3.2358874026758713</v>
      </c>
      <c r="E808" s="8">
        <f t="shared" si="48"/>
        <v>114.57142857142857</v>
      </c>
      <c r="F808" s="3"/>
      <c r="G808" s="3"/>
      <c r="H808" s="3"/>
    </row>
    <row r="809" spans="1:8" ht="18.75" x14ac:dyDescent="0.3">
      <c r="A809" s="3">
        <v>803</v>
      </c>
      <c r="B809" s="9">
        <f t="shared" si="49"/>
        <v>0.98182558716308632</v>
      </c>
      <c r="C809" s="3">
        <f t="shared" si="50"/>
        <v>61420.063256161193</v>
      </c>
      <c r="D809" s="3">
        <f t="shared" si="51"/>
        <v>3.2240627342252992</v>
      </c>
      <c r="E809" s="8">
        <f t="shared" si="48"/>
        <v>114.71428571428571</v>
      </c>
      <c r="F809" s="3"/>
      <c r="G809" s="3"/>
      <c r="H809" s="3"/>
    </row>
    <row r="810" spans="1:8" ht="18.75" x14ac:dyDescent="0.3">
      <c r="A810" s="3">
        <v>804</v>
      </c>
      <c r="B810" s="9">
        <f t="shared" si="49"/>
        <v>0.98187693699844891</v>
      </c>
      <c r="C810" s="3">
        <f t="shared" si="50"/>
        <v>61423.275547811965</v>
      </c>
      <c r="D810" s="3">
        <f t="shared" si="51"/>
        <v>3.2122916507723858</v>
      </c>
      <c r="E810" s="8">
        <f t="shared" si="48"/>
        <v>114.85714285714286</v>
      </c>
      <c r="F810" s="3"/>
      <c r="G810" s="3"/>
      <c r="H810" s="3"/>
    </row>
    <row r="811" spans="1:8" ht="18.75" x14ac:dyDescent="0.3">
      <c r="A811" s="3">
        <v>805</v>
      </c>
      <c r="B811" s="9">
        <f t="shared" si="49"/>
        <v>0.9819280995199956</v>
      </c>
      <c r="C811" s="3">
        <f t="shared" si="50"/>
        <v>61426.476121672364</v>
      </c>
      <c r="D811" s="3">
        <f t="shared" si="51"/>
        <v>3.2005738603984355</v>
      </c>
      <c r="E811" s="8">
        <f t="shared" si="48"/>
        <v>115</v>
      </c>
      <c r="F811" s="3"/>
      <c r="G811" s="3"/>
      <c r="H811" s="3"/>
    </row>
    <row r="812" spans="1:8" ht="18.75" x14ac:dyDescent="0.3">
      <c r="A812" s="3">
        <v>806</v>
      </c>
      <c r="B812" s="9">
        <f t="shared" si="49"/>
        <v>0.98197907557500086</v>
      </c>
      <c r="C812" s="3">
        <f t="shared" si="50"/>
        <v>61429.665030745331</v>
      </c>
      <c r="D812" s="3">
        <f t="shared" si="51"/>
        <v>3.1889090729673626</v>
      </c>
      <c r="E812" s="8">
        <f t="shared" si="48"/>
        <v>115.14285714285714</v>
      </c>
      <c r="F812" s="3"/>
      <c r="G812" s="3"/>
      <c r="H812" s="3"/>
    </row>
    <row r="813" spans="1:8" ht="18.75" x14ac:dyDescent="0.3">
      <c r="A813" s="3">
        <v>807</v>
      </c>
      <c r="B813" s="9">
        <f t="shared" si="49"/>
        <v>0.98202986600613162</v>
      </c>
      <c r="C813" s="3">
        <f t="shared" si="50"/>
        <v>61432.842327745573</v>
      </c>
      <c r="D813" s="3">
        <f t="shared" si="51"/>
        <v>3.1772970002421062</v>
      </c>
      <c r="E813" s="8">
        <f t="shared" si="48"/>
        <v>115.28571428571429</v>
      </c>
      <c r="F813" s="3"/>
      <c r="G813" s="3"/>
      <c r="H813" s="3"/>
    </row>
    <row r="814" spans="1:8" ht="18.75" x14ac:dyDescent="0.3">
      <c r="A814" s="3">
        <v>808</v>
      </c>
      <c r="B814" s="9">
        <f t="shared" si="49"/>
        <v>0.98208047165147649</v>
      </c>
      <c r="C814" s="3">
        <f t="shared" si="50"/>
        <v>61436.008065101414</v>
      </c>
      <c r="D814" s="3">
        <f t="shared" si="51"/>
        <v>3.1657373558409745</v>
      </c>
      <c r="E814" s="8">
        <f t="shared" si="48"/>
        <v>115.42857142857143</v>
      </c>
      <c r="F814" s="3"/>
      <c r="G814" s="3"/>
      <c r="H814" s="3"/>
    </row>
    <row r="815" spans="1:8" ht="18.75" x14ac:dyDescent="0.3">
      <c r="A815" s="3">
        <v>809</v>
      </c>
      <c r="B815" s="9">
        <f t="shared" si="49"/>
        <v>0.98213089334457515</v>
      </c>
      <c r="C815" s="3">
        <f t="shared" si="50"/>
        <v>61439.162294956586</v>
      </c>
      <c r="D815" s="3">
        <f t="shared" si="51"/>
        <v>3.1542298551721615</v>
      </c>
      <c r="E815" s="8">
        <f t="shared" si="48"/>
        <v>115.57142857142857</v>
      </c>
      <c r="F815" s="3"/>
      <c r="G815" s="3"/>
      <c r="H815" s="3"/>
    </row>
    <row r="816" spans="1:8" ht="18.75" x14ac:dyDescent="0.3">
      <c r="A816" s="3">
        <v>810</v>
      </c>
      <c r="B816" s="9">
        <f t="shared" si="49"/>
        <v>0.98218113191444689</v>
      </c>
      <c r="C816" s="3">
        <f t="shared" si="50"/>
        <v>61442.305069172056</v>
      </c>
      <c r="D816" s="3">
        <f t="shared" si="51"/>
        <v>3.1427742154701264</v>
      </c>
      <c r="E816" s="8">
        <f t="shared" si="48"/>
        <v>115.71428571428571</v>
      </c>
      <c r="F816" s="3"/>
      <c r="G816" s="3"/>
      <c r="H816" s="3"/>
    </row>
    <row r="817" spans="1:8" ht="18.75" x14ac:dyDescent="0.3">
      <c r="A817" s="3">
        <v>811</v>
      </c>
      <c r="B817" s="9">
        <f t="shared" si="49"/>
        <v>0.98223118818562005</v>
      </c>
      <c r="C817" s="3">
        <f t="shared" si="50"/>
        <v>61445.43643932783</v>
      </c>
      <c r="D817" s="3">
        <f t="shared" si="51"/>
        <v>3.1313701557737659</v>
      </c>
      <c r="E817" s="8">
        <f t="shared" si="48"/>
        <v>115.85714285714286</v>
      </c>
      <c r="F817" s="3"/>
      <c r="G817" s="3"/>
      <c r="H817" s="3"/>
    </row>
    <row r="818" spans="1:8" ht="18.75" x14ac:dyDescent="0.3">
      <c r="A818" s="3">
        <v>812</v>
      </c>
      <c r="B818" s="9">
        <f t="shared" si="49"/>
        <v>0.98228106297815987</v>
      </c>
      <c r="C818" s="3">
        <f t="shared" si="50"/>
        <v>61448.556456724749</v>
      </c>
      <c r="D818" s="3">
        <f t="shared" si="51"/>
        <v>3.1200173969191383</v>
      </c>
      <c r="E818" s="8">
        <f t="shared" si="48"/>
        <v>116</v>
      </c>
      <c r="F818" s="3"/>
      <c r="G818" s="3"/>
      <c r="H818" s="3"/>
    </row>
    <row r="819" spans="1:8" ht="18.75" x14ac:dyDescent="0.3">
      <c r="A819" s="3">
        <v>813</v>
      </c>
      <c r="B819" s="9">
        <f t="shared" si="49"/>
        <v>0.98233075710769735</v>
      </c>
      <c r="C819" s="3">
        <f t="shared" si="50"/>
        <v>61451.665172386223</v>
      </c>
      <c r="D819" s="3">
        <f t="shared" si="51"/>
        <v>3.1087156614739797</v>
      </c>
      <c r="E819" s="8">
        <f t="shared" si="48"/>
        <v>116.14285714285714</v>
      </c>
      <c r="F819" s="3"/>
      <c r="G819" s="3"/>
      <c r="H819" s="3"/>
    </row>
    <row r="820" spans="1:8" ht="18.75" x14ac:dyDescent="0.3">
      <c r="A820" s="3">
        <v>814</v>
      </c>
      <c r="B820" s="9">
        <f t="shared" si="49"/>
        <v>0.98238027138545714</v>
      </c>
      <c r="C820" s="3">
        <f t="shared" si="50"/>
        <v>61454.762637060041</v>
      </c>
      <c r="D820" s="3">
        <f t="shared" si="51"/>
        <v>3.0974646738177398</v>
      </c>
      <c r="E820" s="8">
        <f t="shared" si="48"/>
        <v>116.28571428571429</v>
      </c>
      <c r="F820" s="3"/>
      <c r="G820" s="3"/>
      <c r="H820" s="3"/>
    </row>
    <row r="821" spans="1:8" ht="18.75" x14ac:dyDescent="0.3">
      <c r="A821" s="3">
        <v>815</v>
      </c>
      <c r="B821" s="9">
        <f t="shared" si="49"/>
        <v>0.98242960661828549</v>
      </c>
      <c r="C821" s="3">
        <f t="shared" si="50"/>
        <v>61457.848901220088</v>
      </c>
      <c r="D821" s="3">
        <f t="shared" si="51"/>
        <v>3.0862641600469942</v>
      </c>
      <c r="E821" s="8">
        <f t="shared" si="48"/>
        <v>116.42857142857143</v>
      </c>
      <c r="F821" s="3"/>
      <c r="G821" s="3"/>
      <c r="H821" s="3"/>
    </row>
    <row r="822" spans="1:8" ht="18.75" x14ac:dyDescent="0.3">
      <c r="A822" s="3">
        <v>816</v>
      </c>
      <c r="B822" s="9">
        <f t="shared" si="49"/>
        <v>0.98247876360867814</v>
      </c>
      <c r="C822" s="3">
        <f t="shared" si="50"/>
        <v>61460.924015068078</v>
      </c>
      <c r="D822" s="3">
        <f t="shared" si="51"/>
        <v>3.0751138479899964</v>
      </c>
      <c r="E822" s="8">
        <f t="shared" si="48"/>
        <v>116.57142857142857</v>
      </c>
      <c r="F822" s="3"/>
      <c r="G822" s="3"/>
      <c r="H822" s="3"/>
    </row>
    <row r="823" spans="1:8" ht="18.75" x14ac:dyDescent="0.3">
      <c r="A823" s="3">
        <v>817</v>
      </c>
      <c r="B823" s="9">
        <f t="shared" si="49"/>
        <v>0.98252774315480773</v>
      </c>
      <c r="C823" s="3">
        <f t="shared" si="50"/>
        <v>61463.988028535307</v>
      </c>
      <c r="D823" s="3">
        <f t="shared" si="51"/>
        <v>3.0640134672285058</v>
      </c>
      <c r="E823" s="8">
        <f t="shared" si="48"/>
        <v>116.71428571428571</v>
      </c>
      <c r="F823" s="3"/>
      <c r="G823" s="3"/>
      <c r="H823" s="3"/>
    </row>
    <row r="824" spans="1:8" ht="18.75" x14ac:dyDescent="0.3">
      <c r="A824" s="3">
        <v>818</v>
      </c>
      <c r="B824" s="9">
        <f t="shared" si="49"/>
        <v>0.98257654605055089</v>
      </c>
      <c r="C824" s="3">
        <f t="shared" si="50"/>
        <v>61467.04099128431</v>
      </c>
      <c r="D824" s="3">
        <f t="shared" si="51"/>
        <v>3.0529627490031999</v>
      </c>
      <c r="E824" s="8">
        <f t="shared" si="48"/>
        <v>116.85714285714286</v>
      </c>
      <c r="F824" s="3"/>
      <c r="G824" s="3"/>
      <c r="H824" s="3"/>
    </row>
    <row r="825" spans="1:8" ht="18.75" x14ac:dyDescent="0.3">
      <c r="A825" s="3">
        <v>819</v>
      </c>
      <c r="B825" s="9">
        <f t="shared" si="49"/>
        <v>0.98262517308551589</v>
      </c>
      <c r="C825" s="3">
        <f t="shared" si="50"/>
        <v>61470.082952710618</v>
      </c>
      <c r="D825" s="3">
        <f t="shared" si="51"/>
        <v>3.0419614263082622</v>
      </c>
      <c r="E825" s="8">
        <f t="shared" si="48"/>
        <v>117</v>
      </c>
      <c r="F825" s="3"/>
      <c r="G825" s="3"/>
      <c r="H825" s="3"/>
    </row>
    <row r="826" spans="1:8" ht="18.75" x14ac:dyDescent="0.3">
      <c r="A826" s="3">
        <v>820</v>
      </c>
      <c r="B826" s="9">
        <f t="shared" si="49"/>
        <v>0.98267362504506905</v>
      </c>
      <c r="C826" s="3">
        <f t="shared" si="50"/>
        <v>61473.113961944386</v>
      </c>
      <c r="D826" s="3">
        <f t="shared" si="51"/>
        <v>3.0310092337676906</v>
      </c>
      <c r="E826" s="8">
        <f t="shared" si="48"/>
        <v>117.14285714285714</v>
      </c>
      <c r="F826" s="3"/>
      <c r="G826" s="3"/>
      <c r="H826" s="3"/>
    </row>
    <row r="827" spans="1:8" ht="18.75" x14ac:dyDescent="0.3">
      <c r="A827" s="3">
        <v>821</v>
      </c>
      <c r="B827" s="9">
        <f t="shared" si="49"/>
        <v>0.98272190271036197</v>
      </c>
      <c r="C827" s="3">
        <f t="shared" si="50"/>
        <v>61476.134067852116</v>
      </c>
      <c r="D827" s="3">
        <f t="shared" si="51"/>
        <v>3.0201059077298851</v>
      </c>
      <c r="E827" s="8">
        <f t="shared" si="48"/>
        <v>117.28571428571429</v>
      </c>
      <c r="F827" s="3"/>
      <c r="G827" s="3"/>
      <c r="H827" s="3"/>
    </row>
    <row r="828" spans="1:8" ht="18.75" x14ac:dyDescent="0.3">
      <c r="A828" s="3">
        <v>822</v>
      </c>
      <c r="B828" s="9">
        <f t="shared" si="49"/>
        <v>0.98277000685835769</v>
      </c>
      <c r="C828" s="3">
        <f t="shared" si="50"/>
        <v>61479.143319038281</v>
      </c>
      <c r="D828" s="3">
        <f t="shared" si="51"/>
        <v>3.009251186165784</v>
      </c>
      <c r="E828" s="8">
        <f t="shared" si="48"/>
        <v>117.42857142857143</v>
      </c>
      <c r="F828" s="3"/>
      <c r="G828" s="3"/>
      <c r="H828" s="3"/>
    </row>
    <row r="829" spans="1:8" ht="18.75" x14ac:dyDescent="0.3">
      <c r="A829" s="3">
        <v>823</v>
      </c>
      <c r="B829" s="9">
        <f t="shared" si="49"/>
        <v>0.98281793826185715</v>
      </c>
      <c r="C829" s="3">
        <f t="shared" si="50"/>
        <v>61482.141763847001</v>
      </c>
      <c r="D829" s="3">
        <f t="shared" si="51"/>
        <v>2.9984448087197961</v>
      </c>
      <c r="E829" s="8">
        <f t="shared" si="48"/>
        <v>117.57142857142857</v>
      </c>
      <c r="F829" s="3"/>
      <c r="G829" s="3"/>
      <c r="H829" s="3"/>
    </row>
    <row r="830" spans="1:8" ht="18.75" x14ac:dyDescent="0.3">
      <c r="A830" s="3">
        <v>824</v>
      </c>
      <c r="B830" s="9">
        <f t="shared" si="49"/>
        <v>0.98286569768952514</v>
      </c>
      <c r="C830" s="3">
        <f t="shared" si="50"/>
        <v>61485.129450363624</v>
      </c>
      <c r="D830" s="3">
        <f t="shared" si="51"/>
        <v>2.9876865166224889</v>
      </c>
      <c r="E830" s="8">
        <f t="shared" si="48"/>
        <v>117.71428571428571</v>
      </c>
      <c r="F830" s="3"/>
      <c r="G830" s="3"/>
      <c r="H830" s="3"/>
    </row>
    <row r="831" spans="1:8" ht="18.75" x14ac:dyDescent="0.3">
      <c r="A831" s="3">
        <v>825</v>
      </c>
      <c r="B831" s="9">
        <f t="shared" si="49"/>
        <v>0.98291328590591698</v>
      </c>
      <c r="C831" s="3">
        <f t="shared" si="50"/>
        <v>61488.106426416445</v>
      </c>
      <c r="D831" s="3">
        <f t="shared" si="51"/>
        <v>2.9769760528215556</v>
      </c>
      <c r="E831" s="8">
        <f t="shared" si="48"/>
        <v>117.85714285714286</v>
      </c>
      <c r="F831" s="3"/>
      <c r="G831" s="3"/>
      <c r="H831" s="3"/>
    </row>
    <row r="832" spans="1:8" ht="18.75" x14ac:dyDescent="0.3">
      <c r="A832" s="3">
        <v>826</v>
      </c>
      <c r="B832" s="9">
        <f t="shared" si="49"/>
        <v>0.98296070367150334</v>
      </c>
      <c r="C832" s="3">
        <f t="shared" si="50"/>
        <v>61491.072739578238</v>
      </c>
      <c r="D832" s="3">
        <f t="shared" si="51"/>
        <v>2.966313161792641</v>
      </c>
      <c r="E832" s="8">
        <f t="shared" si="48"/>
        <v>118</v>
      </c>
      <c r="F832" s="3"/>
      <c r="G832" s="3"/>
      <c r="H832" s="3"/>
    </row>
    <row r="833" spans="1:8" ht="18.75" x14ac:dyDescent="0.3">
      <c r="A833" s="3">
        <v>827</v>
      </c>
      <c r="B833" s="9">
        <f t="shared" si="49"/>
        <v>0.98300795174269662</v>
      </c>
      <c r="C833" s="3">
        <f t="shared" si="50"/>
        <v>61494.028437167872</v>
      </c>
      <c r="D833" s="3">
        <f t="shared" si="51"/>
        <v>2.9556975896339281</v>
      </c>
      <c r="E833" s="8">
        <f t="shared" si="48"/>
        <v>118.14285714285714</v>
      </c>
      <c r="F833" s="3"/>
      <c r="G833" s="3"/>
      <c r="H833" s="3"/>
    </row>
    <row r="834" spans="1:8" ht="18.75" x14ac:dyDescent="0.3">
      <c r="A834" s="3">
        <v>828</v>
      </c>
      <c r="B834" s="9">
        <f t="shared" si="49"/>
        <v>0.98305503087187585</v>
      </c>
      <c r="C834" s="3">
        <f t="shared" si="50"/>
        <v>61496.973566251938</v>
      </c>
      <c r="D834" s="3">
        <f t="shared" si="51"/>
        <v>2.9451290840661386</v>
      </c>
      <c r="E834" s="8">
        <f t="shared" si="48"/>
        <v>118.28571428571429</v>
      </c>
      <c r="F834" s="3"/>
      <c r="G834" s="3"/>
      <c r="H834" s="3"/>
    </row>
    <row r="835" spans="1:8" ht="18.75" x14ac:dyDescent="0.3">
      <c r="A835" s="3">
        <v>829</v>
      </c>
      <c r="B835" s="9">
        <f t="shared" si="49"/>
        <v>0.98310194180741228</v>
      </c>
      <c r="C835" s="3">
        <f t="shared" si="50"/>
        <v>61499.90817364629</v>
      </c>
      <c r="D835" s="3">
        <f t="shared" si="51"/>
        <v>2.9346073943524971</v>
      </c>
      <c r="E835" s="8">
        <f t="shared" si="48"/>
        <v>118.42857142857143</v>
      </c>
      <c r="F835" s="3"/>
      <c r="G835" s="3"/>
      <c r="H835" s="3"/>
    </row>
    <row r="836" spans="1:8" ht="18.75" x14ac:dyDescent="0.3">
      <c r="A836" s="3">
        <v>830</v>
      </c>
      <c r="B836" s="9">
        <f t="shared" si="49"/>
        <v>0.98314868529369392</v>
      </c>
      <c r="C836" s="3">
        <f t="shared" si="50"/>
        <v>61502.832305917611</v>
      </c>
      <c r="D836" s="3">
        <f t="shared" si="51"/>
        <v>2.9241322713205591</v>
      </c>
      <c r="E836" s="8">
        <f t="shared" si="48"/>
        <v>118.57142857142857</v>
      </c>
      <c r="F836" s="3"/>
      <c r="G836" s="3"/>
      <c r="H836" s="3"/>
    </row>
    <row r="837" spans="1:8" ht="18.75" x14ac:dyDescent="0.3">
      <c r="A837" s="3">
        <v>831</v>
      </c>
      <c r="B837" s="9">
        <f t="shared" si="49"/>
        <v>0.98319526207115127</v>
      </c>
      <c r="C837" s="3">
        <f t="shared" si="50"/>
        <v>61505.74600938501</v>
      </c>
      <c r="D837" s="3">
        <f t="shared" si="51"/>
        <v>2.9137034673985909</v>
      </c>
      <c r="E837" s="8">
        <f t="shared" si="48"/>
        <v>118.71428571428571</v>
      </c>
      <c r="F837" s="3"/>
      <c r="G837" s="3"/>
      <c r="H837" s="3"/>
    </row>
    <row r="838" spans="1:8" ht="18.75" x14ac:dyDescent="0.3">
      <c r="A838" s="3">
        <v>832</v>
      </c>
      <c r="B838" s="9">
        <f t="shared" si="49"/>
        <v>0.98324167287628106</v>
      </c>
      <c r="C838" s="3">
        <f t="shared" si="50"/>
        <v>61508.649330121516</v>
      </c>
      <c r="D838" s="3">
        <f t="shared" si="51"/>
        <v>2.90332073650643</v>
      </c>
      <c r="E838" s="8">
        <f t="shared" si="48"/>
        <v>118.85714285714286</v>
      </c>
      <c r="F838" s="3"/>
      <c r="G838" s="3"/>
      <c r="H838" s="3"/>
    </row>
    <row r="839" spans="1:8" ht="18.75" x14ac:dyDescent="0.3">
      <c r="A839" s="3">
        <v>833</v>
      </c>
      <c r="B839" s="9">
        <f t="shared" si="49"/>
        <v>0.98328791844167129</v>
      </c>
      <c r="C839" s="3">
        <f t="shared" si="50"/>
        <v>61511.54231395563</v>
      </c>
      <c r="D839" s="3">
        <f t="shared" si="51"/>
        <v>2.8929838341136929</v>
      </c>
      <c r="E839" s="8">
        <f t="shared" ref="E839:E902" si="52">A839/7</f>
        <v>119</v>
      </c>
      <c r="F839" s="3"/>
      <c r="G839" s="3"/>
      <c r="H839" s="3"/>
    </row>
    <row r="840" spans="1:8" ht="18.75" x14ac:dyDescent="0.3">
      <c r="A840" s="3">
        <v>834</v>
      </c>
      <c r="B840" s="9">
        <f t="shared" ref="B840:B903" si="53">LOGNORMDIST(A840,$A$3,$B$3)</f>
        <v>0.98333399949602551</v>
      </c>
      <c r="C840" s="3">
        <f t="shared" ref="C840:C903" si="54">$E$3*B840</f>
        <v>61514.425006472869</v>
      </c>
      <c r="D840" s="3">
        <f t="shared" ref="D840:D903" si="55">C840-C839</f>
        <v>2.882692517239775</v>
      </c>
      <c r="E840" s="8">
        <f t="shared" si="52"/>
        <v>119.14285714285714</v>
      </c>
      <c r="F840" s="3"/>
      <c r="G840" s="3"/>
      <c r="H840" s="3"/>
    </row>
    <row r="841" spans="1:8" ht="18.75" x14ac:dyDescent="0.3">
      <c r="A841" s="3">
        <v>835</v>
      </c>
      <c r="B841" s="9">
        <f t="shared" si="53"/>
        <v>0.9833799167641869</v>
      </c>
      <c r="C841" s="3">
        <f t="shared" si="54"/>
        <v>61517.297453017243</v>
      </c>
      <c r="D841" s="3">
        <f t="shared" si="55"/>
        <v>2.8724465443738154</v>
      </c>
      <c r="E841" s="8">
        <f t="shared" si="52"/>
        <v>119.28571428571429</v>
      </c>
      <c r="F841" s="3"/>
      <c r="G841" s="3"/>
      <c r="H841" s="3"/>
    </row>
    <row r="842" spans="1:8" ht="18.75" x14ac:dyDescent="0.3">
      <c r="A842" s="3">
        <v>836</v>
      </c>
      <c r="B842" s="9">
        <f t="shared" si="53"/>
        <v>0.98342567096716216</v>
      </c>
      <c r="C842" s="3">
        <f t="shared" si="54"/>
        <v>61520.159698692762</v>
      </c>
      <c r="D842" s="3">
        <f t="shared" si="55"/>
        <v>2.8622456755183521</v>
      </c>
      <c r="E842" s="8">
        <f t="shared" si="52"/>
        <v>119.42857142857143</v>
      </c>
      <c r="F842" s="3"/>
      <c r="G842" s="3"/>
      <c r="H842" s="3"/>
    </row>
    <row r="843" spans="1:8" ht="18.75" x14ac:dyDescent="0.3">
      <c r="A843" s="3">
        <v>837</v>
      </c>
      <c r="B843" s="9">
        <f t="shared" si="53"/>
        <v>0.9834712628221457</v>
      </c>
      <c r="C843" s="3">
        <f t="shared" si="54"/>
        <v>61523.011788364965</v>
      </c>
      <c r="D843" s="3">
        <f t="shared" si="55"/>
        <v>2.8520896722038742</v>
      </c>
      <c r="E843" s="8">
        <f t="shared" si="52"/>
        <v>119.57142857142857</v>
      </c>
      <c r="F843" s="3"/>
      <c r="G843" s="3"/>
      <c r="H843" s="3"/>
    </row>
    <row r="844" spans="1:8" ht="18.75" x14ac:dyDescent="0.3">
      <c r="A844" s="3">
        <v>838</v>
      </c>
      <c r="B844" s="9">
        <f t="shared" si="53"/>
        <v>0.98351669304254263</v>
      </c>
      <c r="C844" s="3">
        <f t="shared" si="54"/>
        <v>61525.853766662338</v>
      </c>
      <c r="D844" s="3">
        <f t="shared" si="55"/>
        <v>2.8419782973724068</v>
      </c>
      <c r="E844" s="8">
        <f t="shared" si="52"/>
        <v>119.71428571428571</v>
      </c>
      <c r="F844" s="3"/>
      <c r="G844" s="3"/>
      <c r="H844" s="3"/>
    </row>
    <row r="845" spans="1:8" ht="18.75" x14ac:dyDescent="0.3">
      <c r="A845" s="3">
        <v>839</v>
      </c>
      <c r="B845" s="9">
        <f t="shared" si="53"/>
        <v>0.98356196233799309</v>
      </c>
      <c r="C845" s="3">
        <f t="shared" si="54"/>
        <v>61528.685677977832</v>
      </c>
      <c r="D845" s="3">
        <f t="shared" si="55"/>
        <v>2.8319113154939259</v>
      </c>
      <c r="E845" s="8">
        <f t="shared" si="52"/>
        <v>119.85714285714286</v>
      </c>
      <c r="F845" s="3"/>
      <c r="G845" s="3"/>
      <c r="H845" s="3"/>
    </row>
    <row r="846" spans="1:8" ht="18.75" x14ac:dyDescent="0.3">
      <c r="A846" s="3">
        <v>840</v>
      </c>
      <c r="B846" s="9">
        <f t="shared" si="53"/>
        <v>0.98360707141439474</v>
      </c>
      <c r="C846" s="3">
        <f t="shared" si="54"/>
        <v>61531.507566470289</v>
      </c>
      <c r="D846" s="3">
        <f t="shared" si="55"/>
        <v>2.8218884924572194</v>
      </c>
      <c r="E846" s="8">
        <f t="shared" si="52"/>
        <v>120</v>
      </c>
      <c r="F846" s="3"/>
      <c r="G846" s="3"/>
      <c r="H846" s="3"/>
    </row>
    <row r="847" spans="1:8" ht="18.75" x14ac:dyDescent="0.3">
      <c r="A847" s="3">
        <v>841</v>
      </c>
      <c r="B847" s="9">
        <f t="shared" si="53"/>
        <v>0.98365202097392657</v>
      </c>
      <c r="C847" s="3">
        <f t="shared" si="54"/>
        <v>61534.319476065924</v>
      </c>
      <c r="D847" s="3">
        <f t="shared" si="55"/>
        <v>2.8119095956353704</v>
      </c>
      <c r="E847" s="8">
        <f t="shared" si="52"/>
        <v>120.14285714285714</v>
      </c>
      <c r="F847" s="3"/>
      <c r="G847" s="3"/>
      <c r="H847" s="3"/>
    </row>
    <row r="848" spans="1:8" ht="18.75" x14ac:dyDescent="0.3">
      <c r="A848" s="3">
        <v>842</v>
      </c>
      <c r="B848" s="9">
        <f t="shared" si="53"/>
        <v>0.98369681171507117</v>
      </c>
      <c r="C848" s="3">
        <f t="shared" si="54"/>
        <v>61537.121450459708</v>
      </c>
      <c r="D848" s="3">
        <f t="shared" si="55"/>
        <v>2.8019743937838939</v>
      </c>
      <c r="E848" s="8">
        <f t="shared" si="52"/>
        <v>120.28571428571429</v>
      </c>
      <c r="F848" s="3"/>
      <c r="G848" s="3"/>
      <c r="H848" s="3"/>
    </row>
    <row r="849" spans="1:8" ht="18.75" x14ac:dyDescent="0.3">
      <c r="A849" s="3">
        <v>843</v>
      </c>
      <c r="B849" s="9">
        <f t="shared" si="53"/>
        <v>0.98374144433263844</v>
      </c>
      <c r="C849" s="3">
        <f t="shared" si="54"/>
        <v>61539.913533116865</v>
      </c>
      <c r="D849" s="3">
        <f t="shared" si="55"/>
        <v>2.7920826571571524</v>
      </c>
      <c r="E849" s="8">
        <f t="shared" si="52"/>
        <v>120.42857142857143</v>
      </c>
      <c r="F849" s="3"/>
      <c r="G849" s="3"/>
      <c r="H849" s="3"/>
    </row>
    <row r="850" spans="1:8" ht="18.75" x14ac:dyDescent="0.3">
      <c r="A850" s="3">
        <v>844</v>
      </c>
      <c r="B850" s="9">
        <f t="shared" si="53"/>
        <v>0.98378591951778738</v>
      </c>
      <c r="C850" s="3">
        <f t="shared" si="54"/>
        <v>61542.695767274228</v>
      </c>
      <c r="D850" s="3">
        <f t="shared" si="55"/>
        <v>2.7822341573628364</v>
      </c>
      <c r="E850" s="8">
        <f t="shared" si="52"/>
        <v>120.57142857142857</v>
      </c>
      <c r="F850" s="3"/>
      <c r="G850" s="3"/>
      <c r="H850" s="3"/>
    </row>
    <row r="851" spans="1:8" ht="18.75" x14ac:dyDescent="0.3">
      <c r="A851" s="3">
        <v>845</v>
      </c>
      <c r="B851" s="9">
        <f t="shared" si="53"/>
        <v>0.98383023795804903</v>
      </c>
      <c r="C851" s="3">
        <f t="shared" si="54"/>
        <v>61545.46819594167</v>
      </c>
      <c r="D851" s="3">
        <f t="shared" si="55"/>
        <v>2.772428667442</v>
      </c>
      <c r="E851" s="8">
        <f t="shared" si="52"/>
        <v>120.71428571428571</v>
      </c>
      <c r="F851" s="3"/>
      <c r="G851" s="3"/>
      <c r="H851" s="3"/>
    </row>
    <row r="852" spans="1:8" ht="18.75" x14ac:dyDescent="0.3">
      <c r="A852" s="3">
        <v>846</v>
      </c>
      <c r="B852" s="9">
        <f t="shared" si="53"/>
        <v>0.98387440033734885</v>
      </c>
      <c r="C852" s="3">
        <f t="shared" si="54"/>
        <v>61548.230861903532</v>
      </c>
      <c r="D852" s="3">
        <f t="shared" si="55"/>
        <v>2.762665961861785</v>
      </c>
      <c r="E852" s="8">
        <f t="shared" si="52"/>
        <v>120.85714285714286</v>
      </c>
      <c r="F852" s="3"/>
      <c r="G852" s="3"/>
      <c r="H852" s="3"/>
    </row>
    <row r="853" spans="1:8" ht="18.75" x14ac:dyDescent="0.3">
      <c r="A853" s="3">
        <v>847</v>
      </c>
      <c r="B853" s="9">
        <f t="shared" si="53"/>
        <v>0.98391840733602864</v>
      </c>
      <c r="C853" s="3">
        <f t="shared" si="54"/>
        <v>61550.983807719946</v>
      </c>
      <c r="D853" s="3">
        <f t="shared" si="55"/>
        <v>2.7529458164135576</v>
      </c>
      <c r="E853" s="8">
        <f t="shared" si="52"/>
        <v>121</v>
      </c>
      <c r="F853" s="3"/>
      <c r="G853" s="3"/>
      <c r="H853" s="3"/>
    </row>
    <row r="854" spans="1:8" ht="18.75" x14ac:dyDescent="0.3">
      <c r="A854" s="3">
        <v>848</v>
      </c>
      <c r="B854" s="9">
        <f t="shared" si="53"/>
        <v>0.9839622596308687</v>
      </c>
      <c r="C854" s="3">
        <f t="shared" si="54"/>
        <v>61553.727075728253</v>
      </c>
      <c r="D854" s="3">
        <f t="shared" si="55"/>
        <v>2.7432680083074956</v>
      </c>
      <c r="E854" s="8">
        <f t="shared" si="52"/>
        <v>121.14285714285714</v>
      </c>
      <c r="F854" s="3"/>
      <c r="G854" s="3"/>
      <c r="H854" s="3"/>
    </row>
    <row r="855" spans="1:8" ht="18.75" x14ac:dyDescent="0.3">
      <c r="A855" s="3">
        <v>849</v>
      </c>
      <c r="B855" s="9">
        <f t="shared" si="53"/>
        <v>0.9840059578951097</v>
      </c>
      <c r="C855" s="3">
        <f t="shared" si="54"/>
        <v>61556.460708044375</v>
      </c>
      <c r="D855" s="3">
        <f t="shared" si="55"/>
        <v>2.7336323161216569</v>
      </c>
      <c r="E855" s="8">
        <f t="shared" si="52"/>
        <v>121.28571428571429</v>
      </c>
      <c r="F855" s="3"/>
      <c r="G855" s="3"/>
      <c r="H855" s="3"/>
    </row>
    <row r="856" spans="1:8" ht="18.75" x14ac:dyDescent="0.3">
      <c r="A856" s="3">
        <v>850</v>
      </c>
      <c r="B856" s="9">
        <f t="shared" si="53"/>
        <v>0.98404950279847447</v>
      </c>
      <c r="C856" s="3">
        <f t="shared" si="54"/>
        <v>61559.184746564169</v>
      </c>
      <c r="D856" s="3">
        <f t="shared" si="55"/>
        <v>2.7240385197947035</v>
      </c>
      <c r="E856" s="8">
        <f t="shared" si="52"/>
        <v>121.42857142857143</v>
      </c>
      <c r="F856" s="3"/>
      <c r="G856" s="3"/>
      <c r="H856" s="3"/>
    </row>
    <row r="857" spans="1:8" ht="18.75" x14ac:dyDescent="0.3">
      <c r="A857" s="3">
        <v>851</v>
      </c>
      <c r="B857" s="9">
        <f t="shared" si="53"/>
        <v>0.98409289500718922</v>
      </c>
      <c r="C857" s="3">
        <f t="shared" si="54"/>
        <v>61561.899232964737</v>
      </c>
      <c r="D857" s="3">
        <f t="shared" si="55"/>
        <v>2.7144864005676936</v>
      </c>
      <c r="E857" s="8">
        <f t="shared" si="52"/>
        <v>121.57142857142857</v>
      </c>
      <c r="F857" s="3"/>
      <c r="G857" s="3"/>
      <c r="H857" s="3"/>
    </row>
    <row r="858" spans="1:8" ht="18.75" x14ac:dyDescent="0.3">
      <c r="A858" s="3">
        <v>852</v>
      </c>
      <c r="B858" s="9">
        <f t="shared" si="53"/>
        <v>0.98413613518400522</v>
      </c>
      <c r="C858" s="3">
        <f t="shared" si="54"/>
        <v>61564.604208705816</v>
      </c>
      <c r="D858" s="3">
        <f t="shared" si="55"/>
        <v>2.7049757410786697</v>
      </c>
      <c r="E858" s="8">
        <f t="shared" si="52"/>
        <v>121.71428571428571</v>
      </c>
      <c r="F858" s="3"/>
      <c r="G858" s="3"/>
      <c r="H858" s="3"/>
    </row>
    <row r="859" spans="1:8" ht="18.75" x14ac:dyDescent="0.3">
      <c r="A859" s="3">
        <v>853</v>
      </c>
      <c r="B859" s="9">
        <f t="shared" si="53"/>
        <v>0.98417922398822033</v>
      </c>
      <c r="C859" s="3">
        <f t="shared" si="54"/>
        <v>61567.299715031098</v>
      </c>
      <c r="D859" s="3">
        <f t="shared" si="55"/>
        <v>2.6955063252826221</v>
      </c>
      <c r="E859" s="8">
        <f t="shared" si="52"/>
        <v>121.85714285714286</v>
      </c>
      <c r="F859" s="3"/>
      <c r="G859" s="3"/>
      <c r="H859" s="3"/>
    </row>
    <row r="860" spans="1:8" ht="18.75" x14ac:dyDescent="0.3">
      <c r="A860" s="3">
        <v>854</v>
      </c>
      <c r="B860" s="9">
        <f t="shared" si="53"/>
        <v>0.98422216207569935</v>
      </c>
      <c r="C860" s="3">
        <f t="shared" si="54"/>
        <v>61569.985792969521</v>
      </c>
      <c r="D860" s="3">
        <f t="shared" si="55"/>
        <v>2.6860779384223861</v>
      </c>
      <c r="E860" s="8">
        <f t="shared" si="52"/>
        <v>122</v>
      </c>
      <c r="F860" s="3"/>
      <c r="G860" s="3"/>
      <c r="H860" s="3"/>
    </row>
    <row r="861" spans="1:8" ht="18.75" x14ac:dyDescent="0.3">
      <c r="A861" s="3">
        <v>855</v>
      </c>
      <c r="B861" s="9">
        <f t="shared" si="53"/>
        <v>0.98426495009889547</v>
      </c>
      <c r="C861" s="3">
        <f t="shared" si="54"/>
        <v>61572.662483336608</v>
      </c>
      <c r="D861" s="3">
        <f t="shared" si="55"/>
        <v>2.6766903670868487</v>
      </c>
      <c r="E861" s="8">
        <f t="shared" si="52"/>
        <v>122.14285714285714</v>
      </c>
      <c r="F861" s="3"/>
      <c r="G861" s="3"/>
      <c r="H861" s="3"/>
    </row>
    <row r="862" spans="1:8" ht="18.75" x14ac:dyDescent="0.3">
      <c r="A862" s="3">
        <v>856</v>
      </c>
      <c r="B862" s="9">
        <f t="shared" si="53"/>
        <v>0.98430758870687129</v>
      </c>
      <c r="C862" s="3">
        <f t="shared" si="54"/>
        <v>61575.329826735746</v>
      </c>
      <c r="D862" s="3">
        <f t="shared" si="55"/>
        <v>2.6673433991381899</v>
      </c>
      <c r="E862" s="8">
        <f t="shared" si="52"/>
        <v>122.28571428571429</v>
      </c>
      <c r="F862" s="3"/>
      <c r="G862" s="3"/>
      <c r="H862" s="3"/>
    </row>
    <row r="863" spans="1:8" ht="18.75" x14ac:dyDescent="0.3">
      <c r="A863" s="3">
        <v>857</v>
      </c>
      <c r="B863" s="9">
        <f t="shared" si="53"/>
        <v>0.98435007854531897</v>
      </c>
      <c r="C863" s="3">
        <f t="shared" si="54"/>
        <v>61577.987863559516</v>
      </c>
      <c r="D863" s="3">
        <f t="shared" si="55"/>
        <v>2.6580368237700895</v>
      </c>
      <c r="E863" s="8">
        <f t="shared" si="52"/>
        <v>122.42857142857143</v>
      </c>
      <c r="F863" s="3"/>
      <c r="G863" s="3"/>
      <c r="H863" s="3"/>
    </row>
    <row r="864" spans="1:8" ht="18.75" x14ac:dyDescent="0.3">
      <c r="A864" s="3">
        <v>858</v>
      </c>
      <c r="B864" s="9">
        <f t="shared" si="53"/>
        <v>0.98439242025658091</v>
      </c>
      <c r="C864" s="3">
        <f t="shared" si="54"/>
        <v>61580.636633990929</v>
      </c>
      <c r="D864" s="3">
        <f t="shared" si="55"/>
        <v>2.6487704314131406</v>
      </c>
      <c r="E864" s="8">
        <f t="shared" si="52"/>
        <v>122.57142857142857</v>
      </c>
      <c r="F864" s="3"/>
      <c r="G864" s="3"/>
      <c r="H864" s="3"/>
    </row>
    <row r="865" spans="1:8" ht="18.75" x14ac:dyDescent="0.3">
      <c r="A865" s="3">
        <v>859</v>
      </c>
      <c r="B865" s="9">
        <f t="shared" si="53"/>
        <v>0.98443461447967018</v>
      </c>
      <c r="C865" s="3">
        <f t="shared" si="54"/>
        <v>61583.276178004729</v>
      </c>
      <c r="D865" s="3">
        <f t="shared" si="55"/>
        <v>2.6395440138003323</v>
      </c>
      <c r="E865" s="8">
        <f t="shared" si="52"/>
        <v>122.71428571428571</v>
      </c>
      <c r="F865" s="3"/>
      <c r="G865" s="3"/>
      <c r="H865" s="3"/>
    </row>
    <row r="866" spans="1:8" ht="18.75" x14ac:dyDescent="0.3">
      <c r="A866" s="3">
        <v>860</v>
      </c>
      <c r="B866" s="9">
        <f t="shared" si="53"/>
        <v>0.98447666185029103</v>
      </c>
      <c r="C866" s="3">
        <f t="shared" si="54"/>
        <v>61585.906535368653</v>
      </c>
      <c r="D866" s="3">
        <f t="shared" si="55"/>
        <v>2.6303573639233946</v>
      </c>
      <c r="E866" s="8">
        <f t="shared" si="52"/>
        <v>122.85714285714286</v>
      </c>
      <c r="F866" s="3"/>
      <c r="G866" s="3"/>
      <c r="H866" s="3"/>
    </row>
    <row r="867" spans="1:8" ht="18.75" x14ac:dyDescent="0.3">
      <c r="A867" s="3">
        <v>861</v>
      </c>
      <c r="B867" s="9">
        <f t="shared" si="53"/>
        <v>0.98451856300085849</v>
      </c>
      <c r="C867" s="3">
        <f t="shared" si="54"/>
        <v>61588.527745644707</v>
      </c>
      <c r="D867" s="3">
        <f t="shared" si="55"/>
        <v>2.6212102760546259</v>
      </c>
      <c r="E867" s="8">
        <f t="shared" si="52"/>
        <v>123</v>
      </c>
      <c r="F867" s="3"/>
      <c r="G867" s="3"/>
      <c r="H867" s="3"/>
    </row>
    <row r="868" spans="1:8" ht="18.75" x14ac:dyDescent="0.3">
      <c r="A868" s="3">
        <v>862</v>
      </c>
      <c r="B868" s="9">
        <f t="shared" si="53"/>
        <v>0.9845603185605184</v>
      </c>
      <c r="C868" s="3">
        <f t="shared" si="54"/>
        <v>61591.139848190352</v>
      </c>
      <c r="D868" s="3">
        <f t="shared" si="55"/>
        <v>2.6121025456450297</v>
      </c>
      <c r="E868" s="8">
        <f t="shared" si="52"/>
        <v>123.14285714285714</v>
      </c>
      <c r="F868" s="3"/>
      <c r="G868" s="3"/>
      <c r="H868" s="3"/>
    </row>
    <row r="869" spans="1:8" ht="18.75" x14ac:dyDescent="0.3">
      <c r="A869" s="3">
        <v>863</v>
      </c>
      <c r="B869" s="9">
        <f t="shared" si="53"/>
        <v>0.98460192915516764</v>
      </c>
      <c r="C869" s="3">
        <f t="shared" si="54"/>
        <v>61593.742882159822</v>
      </c>
      <c r="D869" s="3">
        <f t="shared" si="55"/>
        <v>2.6030339694698341</v>
      </c>
      <c r="E869" s="8">
        <f t="shared" si="52"/>
        <v>123.28571428571429</v>
      </c>
      <c r="F869" s="3"/>
      <c r="G869" s="3"/>
      <c r="H869" s="3"/>
    </row>
    <row r="870" spans="1:8" ht="18.75" x14ac:dyDescent="0.3">
      <c r="A870" s="3">
        <v>864</v>
      </c>
      <c r="B870" s="9">
        <f t="shared" si="53"/>
        <v>0.98464339540747314</v>
      </c>
      <c r="C870" s="3">
        <f t="shared" si="54"/>
        <v>61596.336886505298</v>
      </c>
      <c r="D870" s="3">
        <f t="shared" si="55"/>
        <v>2.594004345475696</v>
      </c>
      <c r="E870" s="8">
        <f t="shared" si="52"/>
        <v>123.42857142857143</v>
      </c>
      <c r="F870" s="3"/>
      <c r="G870" s="3"/>
      <c r="H870" s="3"/>
    </row>
    <row r="871" spans="1:8" ht="18.75" x14ac:dyDescent="0.3">
      <c r="A871" s="3">
        <v>865</v>
      </c>
      <c r="B871" s="9">
        <f t="shared" si="53"/>
        <v>0.98468471793689216</v>
      </c>
      <c r="C871" s="3">
        <f t="shared" si="54"/>
        <v>61598.921899978166</v>
      </c>
      <c r="D871" s="3">
        <f t="shared" si="55"/>
        <v>2.5850134728680132</v>
      </c>
      <c r="E871" s="8">
        <f t="shared" si="52"/>
        <v>123.57142857142857</v>
      </c>
      <c r="F871" s="3"/>
      <c r="G871" s="3"/>
      <c r="H871" s="3"/>
    </row>
    <row r="872" spans="1:8" ht="18.75" x14ac:dyDescent="0.3">
      <c r="A872" s="3">
        <v>866</v>
      </c>
      <c r="B872" s="9">
        <f t="shared" si="53"/>
        <v>0.98472589735969118</v>
      </c>
      <c r="C872" s="3">
        <f t="shared" si="54"/>
        <v>61601.497961130204</v>
      </c>
      <c r="D872" s="3">
        <f t="shared" si="55"/>
        <v>2.5760611520381644</v>
      </c>
      <c r="E872" s="8">
        <f t="shared" si="52"/>
        <v>123.71428571428571</v>
      </c>
      <c r="F872" s="3"/>
      <c r="G872" s="3"/>
      <c r="H872" s="3"/>
    </row>
    <row r="873" spans="1:8" ht="18.75" x14ac:dyDescent="0.3">
      <c r="A873" s="3">
        <v>867</v>
      </c>
      <c r="B873" s="9">
        <f t="shared" si="53"/>
        <v>0.984766934288965</v>
      </c>
      <c r="C873" s="3">
        <f t="shared" si="54"/>
        <v>61604.065108314782</v>
      </c>
      <c r="D873" s="3">
        <f t="shared" si="55"/>
        <v>2.5671471845780616</v>
      </c>
      <c r="E873" s="8">
        <f t="shared" si="52"/>
        <v>123.85714285714286</v>
      </c>
      <c r="F873" s="3"/>
      <c r="G873" s="3"/>
      <c r="H873" s="3"/>
    </row>
    <row r="874" spans="1:8" ht="18.75" x14ac:dyDescent="0.3">
      <c r="A874" s="3">
        <v>868</v>
      </c>
      <c r="B874" s="9">
        <f t="shared" si="53"/>
        <v>0.9848078293346566</v>
      </c>
      <c r="C874" s="3">
        <f t="shared" si="54"/>
        <v>61606.623379688113</v>
      </c>
      <c r="D874" s="3">
        <f t="shared" si="55"/>
        <v>2.5582713733310811</v>
      </c>
      <c r="E874" s="8">
        <f t="shared" si="52"/>
        <v>124</v>
      </c>
      <c r="F874" s="3"/>
      <c r="G874" s="3"/>
      <c r="H874" s="3"/>
    </row>
    <row r="875" spans="1:8" ht="18.75" x14ac:dyDescent="0.3">
      <c r="A875" s="3">
        <v>869</v>
      </c>
      <c r="B875" s="9">
        <f t="shared" si="53"/>
        <v>0.98484858310357537</v>
      </c>
      <c r="C875" s="3">
        <f t="shared" si="54"/>
        <v>61609.172813210367</v>
      </c>
      <c r="D875" s="3">
        <f t="shared" si="55"/>
        <v>2.5494335222538211</v>
      </c>
      <c r="E875" s="8">
        <f t="shared" si="52"/>
        <v>124.14285714285714</v>
      </c>
      <c r="F875" s="3"/>
      <c r="G875" s="3"/>
      <c r="H875" s="3"/>
    </row>
    <row r="876" spans="1:8" ht="18.75" x14ac:dyDescent="0.3">
      <c r="A876" s="3">
        <v>870</v>
      </c>
      <c r="B876" s="9">
        <f t="shared" si="53"/>
        <v>0.98488919619941651</v>
      </c>
      <c r="C876" s="3">
        <f t="shared" si="54"/>
        <v>61611.7134466469</v>
      </c>
      <c r="D876" s="3">
        <f t="shared" si="55"/>
        <v>2.5406334365325165</v>
      </c>
      <c r="E876" s="8">
        <f t="shared" si="52"/>
        <v>124.28571428571429</v>
      </c>
      <c r="F876" s="3"/>
      <c r="G876" s="3"/>
      <c r="H876" s="3"/>
    </row>
    <row r="877" spans="1:8" ht="18.75" x14ac:dyDescent="0.3">
      <c r="A877" s="3">
        <v>871</v>
      </c>
      <c r="B877" s="9">
        <f t="shared" si="53"/>
        <v>0.98492966922277925</v>
      </c>
      <c r="C877" s="3">
        <f t="shared" si="54"/>
        <v>61614.245317569403</v>
      </c>
      <c r="D877" s="3">
        <f t="shared" si="55"/>
        <v>2.5318709225030034</v>
      </c>
      <c r="E877" s="8">
        <f t="shared" si="52"/>
        <v>124.42857142857143</v>
      </c>
      <c r="F877" s="3"/>
      <c r="G877" s="3"/>
      <c r="H877" s="3"/>
    </row>
    <row r="878" spans="1:8" ht="18.75" x14ac:dyDescent="0.3">
      <c r="A878" s="3">
        <v>872</v>
      </c>
      <c r="B878" s="9">
        <f t="shared" si="53"/>
        <v>0.98497000277118618</v>
      </c>
      <c r="C878" s="3">
        <f t="shared" si="54"/>
        <v>61616.768463357097</v>
      </c>
      <c r="D878" s="3">
        <f t="shared" si="55"/>
        <v>2.523145787694375</v>
      </c>
      <c r="E878" s="8">
        <f t="shared" si="52"/>
        <v>124.57142857142857</v>
      </c>
      <c r="F878" s="3"/>
      <c r="G878" s="3"/>
      <c r="H878" s="3"/>
    </row>
    <row r="879" spans="1:8" ht="18.75" x14ac:dyDescent="0.3">
      <c r="A879" s="3">
        <v>873</v>
      </c>
      <c r="B879" s="9">
        <f t="shared" si="53"/>
        <v>0.98501019743910101</v>
      </c>
      <c r="C879" s="3">
        <f t="shared" si="54"/>
        <v>61619.282921197839</v>
      </c>
      <c r="D879" s="3">
        <f t="shared" si="55"/>
        <v>2.5144578407416702</v>
      </c>
      <c r="E879" s="8">
        <f t="shared" si="52"/>
        <v>124.71428571428571</v>
      </c>
      <c r="F879" s="3"/>
      <c r="G879" s="3"/>
      <c r="H879" s="3"/>
    </row>
    <row r="880" spans="1:8" ht="18.75" x14ac:dyDescent="0.3">
      <c r="A880" s="3">
        <v>874</v>
      </c>
      <c r="B880" s="9">
        <f t="shared" si="53"/>
        <v>0.98505025381794731</v>
      </c>
      <c r="C880" s="3">
        <f t="shared" si="54"/>
        <v>61621.788728089326</v>
      </c>
      <c r="D880" s="3">
        <f t="shared" si="55"/>
        <v>2.5058068914877367</v>
      </c>
      <c r="E880" s="8">
        <f t="shared" si="52"/>
        <v>124.85714285714286</v>
      </c>
      <c r="F880" s="3"/>
      <c r="G880" s="3"/>
      <c r="H880" s="3"/>
    </row>
    <row r="881" spans="1:8" ht="18.75" x14ac:dyDescent="0.3">
      <c r="A881" s="3">
        <v>875</v>
      </c>
      <c r="B881" s="9">
        <f t="shared" si="53"/>
        <v>0.98509017249612651</v>
      </c>
      <c r="C881" s="3">
        <f t="shared" si="54"/>
        <v>61624.285920840186</v>
      </c>
      <c r="D881" s="3">
        <f t="shared" si="55"/>
        <v>2.49719275085954</v>
      </c>
      <c r="E881" s="8">
        <f t="shared" si="52"/>
        <v>125</v>
      </c>
      <c r="F881" s="3"/>
      <c r="G881" s="3"/>
      <c r="H881" s="3"/>
    </row>
    <row r="882" spans="1:8" ht="18.75" x14ac:dyDescent="0.3">
      <c r="A882" s="3">
        <v>876</v>
      </c>
      <c r="B882" s="9">
        <f t="shared" si="53"/>
        <v>0.98512995405903636</v>
      </c>
      <c r="C882" s="3">
        <f t="shared" si="54"/>
        <v>61626.774536071134</v>
      </c>
      <c r="D882" s="3">
        <f t="shared" si="55"/>
        <v>2.4886152309481986</v>
      </c>
      <c r="E882" s="8">
        <f t="shared" si="52"/>
        <v>125.14285714285714</v>
      </c>
      <c r="F882" s="3"/>
      <c r="G882" s="3"/>
      <c r="H882" s="3"/>
    </row>
    <row r="883" spans="1:8" ht="18.75" x14ac:dyDescent="0.3">
      <c r="A883" s="3">
        <v>877</v>
      </c>
      <c r="B883" s="9">
        <f t="shared" si="53"/>
        <v>0.9851695990890883</v>
      </c>
      <c r="C883" s="3">
        <f t="shared" si="54"/>
        <v>61629.2546102161</v>
      </c>
      <c r="D883" s="3">
        <f t="shared" si="55"/>
        <v>2.4800741449653287</v>
      </c>
      <c r="E883" s="8">
        <f t="shared" si="52"/>
        <v>125.28571428571429</v>
      </c>
      <c r="F883" s="3"/>
      <c r="G883" s="3"/>
      <c r="H883" s="3"/>
    </row>
    <row r="884" spans="1:8" ht="18.75" x14ac:dyDescent="0.3">
      <c r="A884" s="3">
        <v>878</v>
      </c>
      <c r="B884" s="9">
        <f t="shared" si="53"/>
        <v>0.98520910816572593</v>
      </c>
      <c r="C884" s="3">
        <f t="shared" si="54"/>
        <v>61631.726179523321</v>
      </c>
      <c r="D884" s="3">
        <f t="shared" si="55"/>
        <v>2.4715693072212161</v>
      </c>
      <c r="E884" s="8">
        <f t="shared" si="52"/>
        <v>125.42857142857143</v>
      </c>
      <c r="F884" s="3"/>
      <c r="G884" s="3"/>
      <c r="H884" s="3"/>
    </row>
    <row r="885" spans="1:8" ht="18.75" x14ac:dyDescent="0.3">
      <c r="A885" s="3">
        <v>879</v>
      </c>
      <c r="B885" s="9">
        <f t="shared" si="53"/>
        <v>0.98524848186544256</v>
      </c>
      <c r="C885" s="3">
        <f t="shared" si="54"/>
        <v>61634.189280056489</v>
      </c>
      <c r="D885" s="3">
        <f t="shared" si="55"/>
        <v>2.4631005331684719</v>
      </c>
      <c r="E885" s="8">
        <f t="shared" si="52"/>
        <v>125.57142857142857</v>
      </c>
      <c r="F885" s="3"/>
      <c r="G885" s="3"/>
      <c r="H885" s="3"/>
    </row>
    <row r="886" spans="1:8" ht="18.75" x14ac:dyDescent="0.3">
      <c r="A886" s="3">
        <v>880</v>
      </c>
      <c r="B886" s="9">
        <f t="shared" si="53"/>
        <v>0.98528772076179838</v>
      </c>
      <c r="C886" s="3">
        <f t="shared" si="54"/>
        <v>61636.643947695818</v>
      </c>
      <c r="D886" s="3">
        <f t="shared" si="55"/>
        <v>2.4546676393292728</v>
      </c>
      <c r="E886" s="8">
        <f t="shared" si="52"/>
        <v>125.71428571428571</v>
      </c>
      <c r="F886" s="3"/>
      <c r="G886" s="3"/>
      <c r="H886" s="3"/>
    </row>
    <row r="887" spans="1:8" ht="18.75" x14ac:dyDescent="0.3">
      <c r="A887" s="3">
        <v>881</v>
      </c>
      <c r="B887" s="9">
        <f t="shared" si="53"/>
        <v>0.98532682542543859</v>
      </c>
      <c r="C887" s="3">
        <f t="shared" si="54"/>
        <v>61639.090218139165</v>
      </c>
      <c r="D887" s="3">
        <f t="shared" si="55"/>
        <v>2.4462704433462932</v>
      </c>
      <c r="E887" s="8">
        <f t="shared" si="52"/>
        <v>125.85714285714286</v>
      </c>
      <c r="F887" s="3"/>
      <c r="G887" s="3"/>
      <c r="H887" s="3"/>
    </row>
    <row r="888" spans="1:8" ht="18.75" x14ac:dyDescent="0.3">
      <c r="A888" s="3">
        <v>882</v>
      </c>
      <c r="B888" s="9">
        <f t="shared" si="53"/>
        <v>0.98536579642411037</v>
      </c>
      <c r="C888" s="3">
        <f t="shared" si="54"/>
        <v>61641.528126903075</v>
      </c>
      <c r="D888" s="3">
        <f t="shared" si="55"/>
        <v>2.4379087639099453</v>
      </c>
      <c r="E888" s="8">
        <f t="shared" si="52"/>
        <v>126</v>
      </c>
      <c r="F888" s="3"/>
      <c r="G888" s="3"/>
      <c r="H888" s="3"/>
    </row>
    <row r="889" spans="1:8" ht="18.75" x14ac:dyDescent="0.3">
      <c r="A889" s="3">
        <v>883</v>
      </c>
      <c r="B889" s="9">
        <f t="shared" si="53"/>
        <v>0.98540463432268011</v>
      </c>
      <c r="C889" s="3">
        <f t="shared" si="54"/>
        <v>61643.957709323899</v>
      </c>
      <c r="D889" s="3">
        <f t="shared" si="55"/>
        <v>2.4295824208238628</v>
      </c>
      <c r="E889" s="8">
        <f t="shared" si="52"/>
        <v>126.14285714285714</v>
      </c>
      <c r="F889" s="3"/>
      <c r="G889" s="3"/>
      <c r="H889" s="3"/>
    </row>
    <row r="890" spans="1:8" ht="18.75" x14ac:dyDescent="0.3">
      <c r="A890" s="3">
        <v>884</v>
      </c>
      <c r="B890" s="9">
        <f t="shared" si="53"/>
        <v>0.98544333968315079</v>
      </c>
      <c r="C890" s="3">
        <f t="shared" si="54"/>
        <v>61646.379000558867</v>
      </c>
      <c r="D890" s="3">
        <f t="shared" si="55"/>
        <v>2.4212912349685212</v>
      </c>
      <c r="E890" s="8">
        <f t="shared" si="52"/>
        <v>126.28571428571429</v>
      </c>
      <c r="F890" s="3"/>
      <c r="G890" s="3"/>
      <c r="H890" s="3"/>
    </row>
    <row r="891" spans="1:8" ht="18.75" x14ac:dyDescent="0.3">
      <c r="A891" s="3">
        <v>885</v>
      </c>
      <c r="B891" s="9">
        <f t="shared" si="53"/>
        <v>0.98548191306467869</v>
      </c>
      <c r="C891" s="3">
        <f t="shared" si="54"/>
        <v>61648.792035587103</v>
      </c>
      <c r="D891" s="3">
        <f t="shared" si="55"/>
        <v>2.413035028235754</v>
      </c>
      <c r="E891" s="8">
        <f t="shared" si="52"/>
        <v>126.42857142857143</v>
      </c>
      <c r="F891" s="3"/>
      <c r="G891" s="3"/>
      <c r="H891" s="3"/>
    </row>
    <row r="892" spans="1:8" ht="18.75" x14ac:dyDescent="0.3">
      <c r="A892" s="3">
        <v>886</v>
      </c>
      <c r="B892" s="9">
        <f t="shared" si="53"/>
        <v>0.98552035502359048</v>
      </c>
      <c r="C892" s="3">
        <f t="shared" si="54"/>
        <v>61651.196849210748</v>
      </c>
      <c r="D892" s="3">
        <f t="shared" si="55"/>
        <v>2.4048136236451683</v>
      </c>
      <c r="E892" s="8">
        <f t="shared" si="52"/>
        <v>126.57142857142857</v>
      </c>
      <c r="F892" s="3"/>
      <c r="G892" s="3"/>
      <c r="H892" s="3"/>
    </row>
    <row r="893" spans="1:8" ht="18.75" x14ac:dyDescent="0.3">
      <c r="A893" s="3">
        <v>887</v>
      </c>
      <c r="B893" s="9">
        <f t="shared" si="53"/>
        <v>0.98555866611340015</v>
      </c>
      <c r="C893" s="3">
        <f t="shared" si="54"/>
        <v>61653.593476055976</v>
      </c>
      <c r="D893" s="3">
        <f t="shared" si="55"/>
        <v>2.3966268452277291</v>
      </c>
      <c r="E893" s="8">
        <f t="shared" si="52"/>
        <v>126.71428571428571</v>
      </c>
      <c r="F893" s="3"/>
      <c r="G893" s="3"/>
      <c r="H893" s="3"/>
    </row>
    <row r="894" spans="1:8" ht="18.75" x14ac:dyDescent="0.3">
      <c r="A894" s="3">
        <v>888</v>
      </c>
      <c r="B894" s="9">
        <f t="shared" si="53"/>
        <v>0.98559684688482518</v>
      </c>
      <c r="C894" s="3">
        <f t="shared" si="54"/>
        <v>61655.981950574009</v>
      </c>
      <c r="D894" s="3">
        <f t="shared" si="55"/>
        <v>2.3884745180330356</v>
      </c>
      <c r="E894" s="8">
        <f t="shared" si="52"/>
        <v>126.85714285714286</v>
      </c>
      <c r="F894" s="3"/>
      <c r="G894" s="3"/>
      <c r="H894" s="3"/>
    </row>
    <row r="895" spans="1:8" ht="18.75" x14ac:dyDescent="0.3">
      <c r="A895" s="3">
        <v>889</v>
      </c>
      <c r="B895" s="9">
        <f t="shared" si="53"/>
        <v>0.9856348978858035</v>
      </c>
      <c r="C895" s="3">
        <f t="shared" si="54"/>
        <v>61658.362307042211</v>
      </c>
      <c r="D895" s="3">
        <f t="shared" si="55"/>
        <v>2.3803564682020806</v>
      </c>
      <c r="E895" s="8">
        <f t="shared" si="52"/>
        <v>127</v>
      </c>
      <c r="F895" s="3"/>
      <c r="G895" s="3"/>
      <c r="H895" s="3"/>
    </row>
    <row r="896" spans="1:8" ht="18.75" x14ac:dyDescent="0.3">
      <c r="A896" s="3">
        <v>890</v>
      </c>
      <c r="B896" s="9">
        <f t="shared" si="53"/>
        <v>0.98567281966150966</v>
      </c>
      <c r="C896" s="3">
        <f t="shared" si="54"/>
        <v>61660.734579565062</v>
      </c>
      <c r="D896" s="3">
        <f t="shared" si="55"/>
        <v>2.3722725228508352</v>
      </c>
      <c r="E896" s="8">
        <f t="shared" si="52"/>
        <v>127.14285714285714</v>
      </c>
      <c r="F896" s="3"/>
      <c r="G896" s="3"/>
      <c r="H896" s="3"/>
    </row>
    <row r="897" spans="1:8" ht="18.75" x14ac:dyDescent="0.3">
      <c r="A897" s="3">
        <v>891</v>
      </c>
      <c r="B897" s="9">
        <f t="shared" si="53"/>
        <v>0.98571061275437166</v>
      </c>
      <c r="C897" s="3">
        <f t="shared" si="54"/>
        <v>61663.098802075227</v>
      </c>
      <c r="D897" s="3">
        <f t="shared" si="55"/>
        <v>2.3642225101648364</v>
      </c>
      <c r="E897" s="8">
        <f t="shared" si="52"/>
        <v>127.28571428571429</v>
      </c>
      <c r="F897" s="3"/>
      <c r="G897" s="3"/>
      <c r="H897" s="3"/>
    </row>
    <row r="898" spans="1:8" ht="18.75" x14ac:dyDescent="0.3">
      <c r="A898" s="3">
        <v>892</v>
      </c>
      <c r="B898" s="9">
        <f t="shared" si="53"/>
        <v>0.98574827770408646</v>
      </c>
      <c r="C898" s="3">
        <f t="shared" si="54"/>
        <v>61665.455008334538</v>
      </c>
      <c r="D898" s="3">
        <f t="shared" si="55"/>
        <v>2.3562062593118753</v>
      </c>
      <c r="E898" s="8">
        <f t="shared" si="52"/>
        <v>127.42857142857143</v>
      </c>
      <c r="F898" s="3"/>
      <c r="G898" s="3"/>
      <c r="H898" s="3"/>
    </row>
    <row r="899" spans="1:8" ht="18.75" x14ac:dyDescent="0.3">
      <c r="A899" s="3">
        <v>893</v>
      </c>
      <c r="B899" s="9">
        <f t="shared" si="53"/>
        <v>0.98578581504763663</v>
      </c>
      <c r="C899" s="3">
        <f t="shared" si="54"/>
        <v>61667.803231935002</v>
      </c>
      <c r="D899" s="3">
        <f t="shared" si="55"/>
        <v>2.3482236004638253</v>
      </c>
      <c r="E899" s="8">
        <f t="shared" si="52"/>
        <v>127.57142857142857</v>
      </c>
      <c r="F899" s="3"/>
      <c r="G899" s="3"/>
      <c r="H899" s="3"/>
    </row>
    <row r="900" spans="1:8" ht="18.75" x14ac:dyDescent="0.3">
      <c r="A900" s="3">
        <v>894</v>
      </c>
      <c r="B900" s="9">
        <f t="shared" si="53"/>
        <v>0.98582322531930588</v>
      </c>
      <c r="C900" s="3">
        <f t="shared" si="54"/>
        <v>61670.143506299821</v>
      </c>
      <c r="D900" s="3">
        <f t="shared" si="55"/>
        <v>2.3402743648184696</v>
      </c>
      <c r="E900" s="8">
        <f t="shared" si="52"/>
        <v>127.71428571428571</v>
      </c>
      <c r="F900" s="3"/>
      <c r="G900" s="3"/>
      <c r="H900" s="3"/>
    </row>
    <row r="901" spans="1:8" ht="18.75" x14ac:dyDescent="0.3">
      <c r="A901" s="3">
        <v>895</v>
      </c>
      <c r="B901" s="9">
        <f t="shared" si="53"/>
        <v>0.98586050905069555</v>
      </c>
      <c r="C901" s="3">
        <f t="shared" si="54"/>
        <v>61672.475864684362</v>
      </c>
      <c r="D901" s="3">
        <f t="shared" si="55"/>
        <v>2.3323583845412941</v>
      </c>
      <c r="E901" s="8">
        <f t="shared" si="52"/>
        <v>127.85714285714286</v>
      </c>
      <c r="F901" s="3"/>
      <c r="G901" s="3"/>
      <c r="H901" s="3"/>
    </row>
    <row r="902" spans="1:8" ht="18.75" x14ac:dyDescent="0.3">
      <c r="A902" s="3">
        <v>896</v>
      </c>
      <c r="B902" s="9">
        <f t="shared" si="53"/>
        <v>0.98589766677073987</v>
      </c>
      <c r="C902" s="3">
        <f t="shared" si="54"/>
        <v>61674.800340177171</v>
      </c>
      <c r="D902" s="3">
        <f t="shared" si="55"/>
        <v>2.3244754928091425</v>
      </c>
      <c r="E902" s="8">
        <f t="shared" si="52"/>
        <v>128</v>
      </c>
      <c r="F902" s="3"/>
      <c r="G902" s="3"/>
      <c r="H902" s="3"/>
    </row>
    <row r="903" spans="1:8" ht="18.75" x14ac:dyDescent="0.3">
      <c r="A903" s="3">
        <v>897</v>
      </c>
      <c r="B903" s="9">
        <f t="shared" si="53"/>
        <v>0.98593469900572173</v>
      </c>
      <c r="C903" s="3">
        <f t="shared" si="54"/>
        <v>61677.11696570093</v>
      </c>
      <c r="D903" s="3">
        <f t="shared" si="55"/>
        <v>2.316625523759285</v>
      </c>
      <c r="E903" s="8">
        <f t="shared" ref="E903:E966" si="56">A903/7</f>
        <v>128.14285714285714</v>
      </c>
      <c r="F903" s="3"/>
      <c r="G903" s="3"/>
      <c r="H903" s="3"/>
    </row>
    <row r="904" spans="1:8" ht="18.75" x14ac:dyDescent="0.3">
      <c r="A904" s="3">
        <v>898</v>
      </c>
      <c r="B904" s="9">
        <f t="shared" ref="B904:B967" si="57">LOGNORMDIST(A904,$A$3,$B$3)</f>
        <v>0.98597160627928859</v>
      </c>
      <c r="C904" s="3">
        <f t="shared" ref="C904:C967" si="58">$E$3*B904</f>
        <v>61679.425774013456</v>
      </c>
      <c r="D904" s="3">
        <f t="shared" ref="D904:D967" si="59">C904-C903</f>
        <v>2.3088083125257981</v>
      </c>
      <c r="E904" s="8">
        <f t="shared" si="56"/>
        <v>128.28571428571428</v>
      </c>
      <c r="F904" s="3"/>
      <c r="G904" s="3"/>
      <c r="H904" s="3"/>
    </row>
    <row r="905" spans="1:8" ht="18.75" x14ac:dyDescent="0.3">
      <c r="A905" s="3">
        <v>899</v>
      </c>
      <c r="B905" s="9">
        <f t="shared" si="57"/>
        <v>0.98600838911246724</v>
      </c>
      <c r="C905" s="3">
        <f t="shared" si="58"/>
        <v>61681.726797708616</v>
      </c>
      <c r="D905" s="3">
        <f t="shared" si="59"/>
        <v>2.3010236951595289</v>
      </c>
      <c r="E905" s="8">
        <f t="shared" si="56"/>
        <v>128.42857142857142</v>
      </c>
      <c r="F905" s="3"/>
      <c r="G905" s="3"/>
      <c r="H905" s="3"/>
    </row>
    <row r="906" spans="1:8" ht="18.75" x14ac:dyDescent="0.3">
      <c r="A906" s="3">
        <v>900</v>
      </c>
      <c r="B906" s="9">
        <f t="shared" si="57"/>
        <v>0.9860450480236802</v>
      </c>
      <c r="C906" s="3">
        <f t="shared" si="58"/>
        <v>61684.02006921736</v>
      </c>
      <c r="D906" s="3">
        <f t="shared" si="59"/>
        <v>2.2932715087445104</v>
      </c>
      <c r="E906" s="8">
        <f t="shared" si="56"/>
        <v>128.57142857142858</v>
      </c>
      <c r="F906" s="3"/>
      <c r="G906" s="3"/>
      <c r="H906" s="3"/>
    </row>
    <row r="907" spans="1:8" ht="18.75" x14ac:dyDescent="0.3">
      <c r="A907" s="3">
        <v>901</v>
      </c>
      <c r="B907" s="9">
        <f t="shared" si="57"/>
        <v>0.98608158352875974</v>
      </c>
      <c r="C907" s="3">
        <f t="shared" si="58"/>
        <v>61686.30562080862</v>
      </c>
      <c r="D907" s="3">
        <f t="shared" si="59"/>
        <v>2.2855515912597184</v>
      </c>
      <c r="E907" s="8">
        <f t="shared" si="56"/>
        <v>128.71428571428572</v>
      </c>
      <c r="F907" s="3"/>
      <c r="G907" s="3"/>
      <c r="H907" s="3"/>
    </row>
    <row r="908" spans="1:8" ht="18.75" x14ac:dyDescent="0.3">
      <c r="A908" s="3">
        <v>902</v>
      </c>
      <c r="B908" s="9">
        <f t="shared" si="57"/>
        <v>0.98611799614096418</v>
      </c>
      <c r="C908" s="3">
        <f t="shared" si="58"/>
        <v>61688.583484590294</v>
      </c>
      <c r="D908" s="3">
        <f t="shared" si="59"/>
        <v>2.2778637816736591</v>
      </c>
      <c r="E908" s="8">
        <f t="shared" si="56"/>
        <v>128.85714285714286</v>
      </c>
      <c r="F908" s="3"/>
      <c r="G908" s="3"/>
      <c r="H908" s="3"/>
    </row>
    <row r="909" spans="1:8" ht="18.75" x14ac:dyDescent="0.3">
      <c r="A909" s="3">
        <v>903</v>
      </c>
      <c r="B909" s="9">
        <f t="shared" si="57"/>
        <v>0.98615428637099212</v>
      </c>
      <c r="C909" s="3">
        <f t="shared" si="58"/>
        <v>61690.853692510151</v>
      </c>
      <c r="D909" s="3">
        <f t="shared" si="59"/>
        <v>2.2702079198570573</v>
      </c>
      <c r="E909" s="8">
        <f t="shared" si="56"/>
        <v>129</v>
      </c>
      <c r="F909" s="3"/>
      <c r="G909" s="3"/>
      <c r="H909" s="3"/>
    </row>
    <row r="910" spans="1:8" ht="18.75" x14ac:dyDescent="0.3">
      <c r="A910" s="3">
        <v>904</v>
      </c>
      <c r="B910" s="9">
        <f t="shared" si="57"/>
        <v>0.98619045472699762</v>
      </c>
      <c r="C910" s="3">
        <f t="shared" si="58"/>
        <v>61693.116276356792</v>
      </c>
      <c r="D910" s="3">
        <f t="shared" si="59"/>
        <v>2.2625838466410642</v>
      </c>
      <c r="E910" s="8">
        <f t="shared" si="56"/>
        <v>129.14285714285714</v>
      </c>
      <c r="F910" s="3"/>
      <c r="G910" s="3"/>
      <c r="H910" s="3"/>
    </row>
    <row r="911" spans="1:8" ht="18.75" x14ac:dyDescent="0.3">
      <c r="A911" s="3">
        <v>905</v>
      </c>
      <c r="B911" s="9">
        <f t="shared" si="57"/>
        <v>0.98622650171460546</v>
      </c>
      <c r="C911" s="3">
        <f t="shared" si="58"/>
        <v>61695.371267760573</v>
      </c>
      <c r="D911" s="3">
        <f t="shared" si="59"/>
        <v>2.2549914037808776</v>
      </c>
      <c r="E911" s="8">
        <f t="shared" si="56"/>
        <v>129.28571428571428</v>
      </c>
      <c r="F911" s="3"/>
      <c r="G911" s="3"/>
      <c r="H911" s="3"/>
    </row>
    <row r="912" spans="1:8" ht="18.75" x14ac:dyDescent="0.3">
      <c r="A912" s="3">
        <v>906</v>
      </c>
      <c r="B912" s="9">
        <f t="shared" si="57"/>
        <v>0.98626242783692519</v>
      </c>
      <c r="C912" s="3">
        <f t="shared" si="58"/>
        <v>61697.618698194528</v>
      </c>
      <c r="D912" s="3">
        <f t="shared" si="59"/>
        <v>2.247430433955742</v>
      </c>
      <c r="E912" s="8">
        <f t="shared" si="56"/>
        <v>129.42857142857142</v>
      </c>
      <c r="F912" s="3"/>
      <c r="G912" s="3"/>
      <c r="H912" s="3"/>
    </row>
    <row r="913" spans="1:8" ht="18.75" x14ac:dyDescent="0.3">
      <c r="A913" s="3">
        <v>907</v>
      </c>
      <c r="B913" s="9">
        <f t="shared" si="57"/>
        <v>0.98629823359456625</v>
      </c>
      <c r="C913" s="3">
        <f t="shared" si="58"/>
        <v>61699.858598975283</v>
      </c>
      <c r="D913" s="3">
        <f t="shared" si="59"/>
        <v>2.2399007807543967</v>
      </c>
      <c r="E913" s="8">
        <f t="shared" si="56"/>
        <v>129.57142857142858</v>
      </c>
      <c r="F913" s="3"/>
      <c r="G913" s="3"/>
      <c r="H913" s="3"/>
    </row>
    <row r="914" spans="1:8" ht="18.75" x14ac:dyDescent="0.3">
      <c r="A914" s="3">
        <v>908</v>
      </c>
      <c r="B914" s="9">
        <f t="shared" si="57"/>
        <v>0.98633391948565263</v>
      </c>
      <c r="C914" s="3">
        <f t="shared" si="58"/>
        <v>61702.091001263972</v>
      </c>
      <c r="D914" s="3">
        <f t="shared" si="59"/>
        <v>2.2324022886896273</v>
      </c>
      <c r="E914" s="8">
        <f t="shared" si="56"/>
        <v>129.71428571428572</v>
      </c>
      <c r="F914" s="3"/>
      <c r="G914" s="3"/>
      <c r="H914" s="3"/>
    </row>
    <row r="915" spans="1:8" ht="18.75" x14ac:dyDescent="0.3">
      <c r="A915" s="3">
        <v>909</v>
      </c>
      <c r="B915" s="9">
        <f t="shared" si="57"/>
        <v>0.98636948600583674</v>
      </c>
      <c r="C915" s="3">
        <f t="shared" si="58"/>
        <v>61704.315936067127</v>
      </c>
      <c r="D915" s="3">
        <f t="shared" si="59"/>
        <v>2.2249348031546106</v>
      </c>
      <c r="E915" s="8">
        <f t="shared" si="56"/>
        <v>129.85714285714286</v>
      </c>
      <c r="F915" s="3"/>
      <c r="G915" s="3"/>
      <c r="H915" s="3"/>
    </row>
    <row r="916" spans="1:8" ht="18.75" x14ac:dyDescent="0.3">
      <c r="A916" s="3">
        <v>910</v>
      </c>
      <c r="B916" s="9">
        <f t="shared" si="57"/>
        <v>0.98640493364831416</v>
      </c>
      <c r="C916" s="3">
        <f t="shared" si="58"/>
        <v>61706.533434237586</v>
      </c>
      <c r="D916" s="3">
        <f t="shared" si="59"/>
        <v>2.2174981704592938</v>
      </c>
      <c r="E916" s="8">
        <f t="shared" si="56"/>
        <v>130</v>
      </c>
      <c r="F916" s="3"/>
      <c r="G916" s="3"/>
      <c r="H916" s="3"/>
    </row>
    <row r="917" spans="1:8" ht="18.75" x14ac:dyDescent="0.3">
      <c r="A917" s="3">
        <v>911</v>
      </c>
      <c r="B917" s="9">
        <f t="shared" si="57"/>
        <v>0.98644026290383813</v>
      </c>
      <c r="C917" s="3">
        <f t="shared" si="58"/>
        <v>61708.743526475402</v>
      </c>
      <c r="D917" s="3">
        <f t="shared" si="59"/>
        <v>2.210092237815843</v>
      </c>
      <c r="E917" s="8">
        <f t="shared" si="56"/>
        <v>130.14285714285714</v>
      </c>
      <c r="F917" s="3"/>
      <c r="G917" s="3"/>
      <c r="H917" s="3"/>
    </row>
    <row r="918" spans="1:8" ht="18.75" x14ac:dyDescent="0.3">
      <c r="A918" s="3">
        <v>912</v>
      </c>
      <c r="B918" s="9">
        <f t="shared" si="57"/>
        <v>0.98647547426073334</v>
      </c>
      <c r="C918" s="3">
        <f t="shared" si="58"/>
        <v>61710.946243328697</v>
      </c>
      <c r="D918" s="3">
        <f t="shared" si="59"/>
        <v>2.2027168532949872</v>
      </c>
      <c r="E918" s="8">
        <f t="shared" si="56"/>
        <v>130.28571428571428</v>
      </c>
      <c r="F918" s="3"/>
      <c r="G918" s="3"/>
      <c r="H918" s="3"/>
    </row>
    <row r="919" spans="1:8" ht="18.75" x14ac:dyDescent="0.3">
      <c r="A919" s="3">
        <v>913</v>
      </c>
      <c r="B919" s="9">
        <f t="shared" si="57"/>
        <v>0.9865105682049099</v>
      </c>
      <c r="C919" s="3">
        <f t="shared" si="58"/>
        <v>61713.141615194545</v>
      </c>
      <c r="D919" s="3">
        <f t="shared" si="59"/>
        <v>2.1953718658478465</v>
      </c>
      <c r="E919" s="8">
        <f t="shared" si="56"/>
        <v>130.42857142857142</v>
      </c>
      <c r="F919" s="3"/>
      <c r="G919" s="3"/>
      <c r="H919" s="3"/>
    </row>
    <row r="920" spans="1:8" ht="18.75" x14ac:dyDescent="0.3">
      <c r="A920" s="3">
        <v>914</v>
      </c>
      <c r="B920" s="9">
        <f t="shared" si="57"/>
        <v>0.9865455452198777</v>
      </c>
      <c r="C920" s="3">
        <f t="shared" si="58"/>
        <v>61715.329672319887</v>
      </c>
      <c r="D920" s="3">
        <f t="shared" si="59"/>
        <v>2.1880571253423113</v>
      </c>
      <c r="E920" s="8">
        <f t="shared" si="56"/>
        <v>130.57142857142858</v>
      </c>
      <c r="F920" s="3"/>
      <c r="G920" s="3"/>
      <c r="H920" s="3"/>
    </row>
    <row r="921" spans="1:8" ht="18.75" x14ac:dyDescent="0.3">
      <c r="A921" s="3">
        <v>915</v>
      </c>
      <c r="B921" s="9">
        <f t="shared" si="57"/>
        <v>0.98658040578676032</v>
      </c>
      <c r="C921" s="3">
        <f t="shared" si="58"/>
        <v>61717.510444802363</v>
      </c>
      <c r="D921" s="3">
        <f t="shared" si="59"/>
        <v>2.1807724824757315</v>
      </c>
      <c r="E921" s="8">
        <f t="shared" si="56"/>
        <v>130.71428571428572</v>
      </c>
      <c r="F921" s="3"/>
      <c r="G921" s="3"/>
      <c r="H921" s="3"/>
    </row>
    <row r="922" spans="1:8" ht="18.75" x14ac:dyDescent="0.3">
      <c r="A922" s="3">
        <v>916</v>
      </c>
      <c r="B922" s="9">
        <f t="shared" si="57"/>
        <v>0.98661515038430814</v>
      </c>
      <c r="C922" s="3">
        <f t="shared" si="58"/>
        <v>61719.683962591167</v>
      </c>
      <c r="D922" s="3">
        <f t="shared" si="59"/>
        <v>2.1735177888040198</v>
      </c>
      <c r="E922" s="8">
        <f t="shared" si="56"/>
        <v>130.85714285714286</v>
      </c>
      <c r="F922" s="3"/>
      <c r="G922" s="3"/>
      <c r="H922" s="3"/>
    </row>
    <row r="923" spans="1:8" ht="18.75" x14ac:dyDescent="0.3">
      <c r="A923" s="3">
        <v>917</v>
      </c>
      <c r="B923" s="9">
        <f t="shared" si="57"/>
        <v>0.98664977948891297</v>
      </c>
      <c r="C923" s="3">
        <f t="shared" si="58"/>
        <v>61721.850255487931</v>
      </c>
      <c r="D923" s="3">
        <f t="shared" si="59"/>
        <v>2.1662928967634798</v>
      </c>
      <c r="E923" s="8">
        <f t="shared" si="56"/>
        <v>131</v>
      </c>
      <c r="F923" s="3"/>
      <c r="G923" s="3"/>
      <c r="H923" s="3"/>
    </row>
    <row r="924" spans="1:8" ht="18.75" x14ac:dyDescent="0.3">
      <c r="A924" s="3">
        <v>918</v>
      </c>
      <c r="B924" s="9">
        <f t="shared" si="57"/>
        <v>0.98668429357462106</v>
      </c>
      <c r="C924" s="3">
        <f t="shared" si="58"/>
        <v>61724.009353147572</v>
      </c>
      <c r="D924" s="3">
        <f t="shared" si="59"/>
        <v>2.1590976596417022</v>
      </c>
      <c r="E924" s="8">
        <f t="shared" si="56"/>
        <v>131.14285714285714</v>
      </c>
      <c r="F924" s="3"/>
      <c r="G924" s="3"/>
      <c r="H924" s="3"/>
    </row>
    <row r="925" spans="1:8" ht="18.75" x14ac:dyDescent="0.3">
      <c r="A925" s="3">
        <v>919</v>
      </c>
      <c r="B925" s="9">
        <f t="shared" si="57"/>
        <v>0.98671869311314664</v>
      </c>
      <c r="C925" s="3">
        <f t="shared" si="58"/>
        <v>61726.161285079113</v>
      </c>
      <c r="D925" s="3">
        <f t="shared" si="59"/>
        <v>2.1519319315411849</v>
      </c>
      <c r="E925" s="8">
        <f t="shared" si="56"/>
        <v>131.28571428571428</v>
      </c>
      <c r="F925" s="3"/>
      <c r="G925" s="3"/>
      <c r="H925" s="3"/>
    </row>
    <row r="926" spans="1:8" ht="18.75" x14ac:dyDescent="0.3">
      <c r="A926" s="3">
        <v>920</v>
      </c>
      <c r="B926" s="9">
        <f t="shared" si="57"/>
        <v>0.98675297857388578</v>
      </c>
      <c r="C926" s="3">
        <f t="shared" si="58"/>
        <v>61728.306080646573</v>
      </c>
      <c r="D926" s="3">
        <f t="shared" si="59"/>
        <v>2.1447955674593686</v>
      </c>
      <c r="E926" s="8">
        <f t="shared" si="56"/>
        <v>131.42857142857142</v>
      </c>
      <c r="F926" s="3"/>
      <c r="G926" s="3"/>
      <c r="H926" s="3"/>
    </row>
    <row r="927" spans="1:8" ht="18.75" x14ac:dyDescent="0.3">
      <c r="A927" s="3">
        <v>921</v>
      </c>
      <c r="B927" s="9">
        <f t="shared" si="57"/>
        <v>0.98678715042392906</v>
      </c>
      <c r="C927" s="3">
        <f t="shared" si="58"/>
        <v>61730.44376906973</v>
      </c>
      <c r="D927" s="3">
        <f t="shared" si="59"/>
        <v>2.1376884231576696</v>
      </c>
      <c r="E927" s="8">
        <f t="shared" si="56"/>
        <v>131.57142857142858</v>
      </c>
      <c r="F927" s="3"/>
      <c r="G927" s="3"/>
      <c r="H927" s="3"/>
    </row>
    <row r="928" spans="1:8" ht="18.75" x14ac:dyDescent="0.3">
      <c r="A928" s="3">
        <v>922</v>
      </c>
      <c r="B928" s="9">
        <f t="shared" si="57"/>
        <v>0.98682120912807558</v>
      </c>
      <c r="C928" s="3">
        <f t="shared" si="58"/>
        <v>61732.574379425023</v>
      </c>
      <c r="D928" s="3">
        <f t="shared" si="59"/>
        <v>2.1306103552924469</v>
      </c>
      <c r="E928" s="8">
        <f t="shared" si="56"/>
        <v>131.71428571428572</v>
      </c>
      <c r="F928" s="3"/>
      <c r="G928" s="3"/>
      <c r="H928" s="3"/>
    </row>
    <row r="929" spans="1:8" ht="18.75" x14ac:dyDescent="0.3">
      <c r="A929" s="3">
        <v>923</v>
      </c>
      <c r="B929" s="9">
        <f t="shared" si="57"/>
        <v>0.98685515514884548</v>
      </c>
      <c r="C929" s="3">
        <f t="shared" si="58"/>
        <v>61734.697940646329</v>
      </c>
      <c r="D929" s="3">
        <f t="shared" si="59"/>
        <v>2.123561221305863</v>
      </c>
      <c r="E929" s="8">
        <f t="shared" si="56"/>
        <v>131.85714285714286</v>
      </c>
      <c r="F929" s="3"/>
      <c r="G929" s="3"/>
      <c r="H929" s="3"/>
    </row>
    <row r="930" spans="1:8" ht="18.75" x14ac:dyDescent="0.3">
      <c r="A930" s="3">
        <v>924</v>
      </c>
      <c r="B930" s="9">
        <f t="shared" si="57"/>
        <v>0.98688898894649335</v>
      </c>
      <c r="C930" s="3">
        <f t="shared" si="58"/>
        <v>61736.814481525784</v>
      </c>
      <c r="D930" s="3">
        <f t="shared" si="59"/>
        <v>2.1165408794549876</v>
      </c>
      <c r="E930" s="8">
        <f t="shared" si="56"/>
        <v>132</v>
      </c>
      <c r="F930" s="3"/>
      <c r="G930" s="3"/>
      <c r="H930" s="3"/>
    </row>
    <row r="931" spans="1:8" ht="18.75" x14ac:dyDescent="0.3">
      <c r="A931" s="3">
        <v>925</v>
      </c>
      <c r="B931" s="9">
        <f t="shared" si="57"/>
        <v>0.98692271097902129</v>
      </c>
      <c r="C931" s="3">
        <f t="shared" si="58"/>
        <v>61738.924030714632</v>
      </c>
      <c r="D931" s="3">
        <f t="shared" si="59"/>
        <v>2.1095491888481774</v>
      </c>
      <c r="E931" s="8">
        <f t="shared" si="56"/>
        <v>132.14285714285714</v>
      </c>
      <c r="F931" s="3"/>
      <c r="G931" s="3"/>
      <c r="H931" s="3"/>
    </row>
    <row r="932" spans="1:8" ht="18.75" x14ac:dyDescent="0.3">
      <c r="A932" s="3">
        <v>926</v>
      </c>
      <c r="B932" s="9">
        <f t="shared" si="57"/>
        <v>0.98695632170219161</v>
      </c>
      <c r="C932" s="3">
        <f t="shared" si="58"/>
        <v>61741.026616723997</v>
      </c>
      <c r="D932" s="3">
        <f t="shared" si="59"/>
        <v>2.1025860093650408</v>
      </c>
      <c r="E932" s="8">
        <f t="shared" si="56"/>
        <v>132.28571428571428</v>
      </c>
      <c r="F932" s="3"/>
      <c r="G932" s="3"/>
      <c r="H932" s="3"/>
    </row>
    <row r="933" spans="1:8" ht="18.75" x14ac:dyDescent="0.3">
      <c r="A933" s="3">
        <v>927</v>
      </c>
      <c r="B933" s="9">
        <f t="shared" si="57"/>
        <v>0.98698982156953952</v>
      </c>
      <c r="C933" s="3">
        <f t="shared" si="58"/>
        <v>61743.122267925683</v>
      </c>
      <c r="D933" s="3">
        <f t="shared" si="59"/>
        <v>2.0956512016855413</v>
      </c>
      <c r="E933" s="8">
        <f t="shared" si="56"/>
        <v>132.42857142857142</v>
      </c>
      <c r="F933" s="3"/>
      <c r="G933" s="3"/>
      <c r="H933" s="3"/>
    </row>
    <row r="934" spans="1:8" ht="18.75" x14ac:dyDescent="0.3">
      <c r="A934" s="3">
        <v>928</v>
      </c>
      <c r="B934" s="9">
        <f t="shared" si="57"/>
        <v>0.98702321103238633</v>
      </c>
      <c r="C934" s="3">
        <f t="shared" si="58"/>
        <v>61745.211012552994</v>
      </c>
      <c r="D934" s="3">
        <f t="shared" si="59"/>
        <v>2.0887446273118258</v>
      </c>
      <c r="E934" s="8">
        <f t="shared" si="56"/>
        <v>132.57142857142858</v>
      </c>
      <c r="F934" s="3"/>
      <c r="G934" s="3"/>
      <c r="H934" s="3"/>
    </row>
    <row r="935" spans="1:8" ht="18.75" x14ac:dyDescent="0.3">
      <c r="A935" s="3">
        <v>929</v>
      </c>
      <c r="B935" s="9">
        <f t="shared" si="57"/>
        <v>0.98705649053985178</v>
      </c>
      <c r="C935" s="3">
        <f t="shared" si="58"/>
        <v>61747.292878701504</v>
      </c>
      <c r="D935" s="3">
        <f t="shared" si="59"/>
        <v>2.0818661485100165</v>
      </c>
      <c r="E935" s="8">
        <f t="shared" si="56"/>
        <v>132.71428571428572</v>
      </c>
      <c r="F935" s="3"/>
      <c r="G935" s="3"/>
      <c r="H935" s="3"/>
    </row>
    <row r="936" spans="1:8" ht="18.75" x14ac:dyDescent="0.3">
      <c r="A936" s="3">
        <v>930</v>
      </c>
      <c r="B936" s="9">
        <f t="shared" si="57"/>
        <v>0.9870896605388666</v>
      </c>
      <c r="C936" s="3">
        <f t="shared" si="58"/>
        <v>61749.36789432988</v>
      </c>
      <c r="D936" s="3">
        <f t="shared" si="59"/>
        <v>2.0750156283756951</v>
      </c>
      <c r="E936" s="8">
        <f t="shared" si="56"/>
        <v>132.85714285714286</v>
      </c>
      <c r="F936" s="3"/>
      <c r="G936" s="3"/>
      <c r="H936" s="3"/>
    </row>
    <row r="937" spans="1:8" ht="18.75" x14ac:dyDescent="0.3">
      <c r="A937" s="3">
        <v>931</v>
      </c>
      <c r="B937" s="9">
        <f t="shared" si="57"/>
        <v>0.98712272147418512</v>
      </c>
      <c r="C937" s="3">
        <f t="shared" si="58"/>
        <v>61751.436087260598</v>
      </c>
      <c r="D937" s="3">
        <f t="shared" si="59"/>
        <v>2.0681929307174869</v>
      </c>
      <c r="E937" s="8">
        <f t="shared" si="56"/>
        <v>133</v>
      </c>
      <c r="F937" s="3"/>
      <c r="G937" s="3"/>
      <c r="H937" s="3"/>
    </row>
    <row r="938" spans="1:8" ht="18.75" x14ac:dyDescent="0.3">
      <c r="A938" s="3">
        <v>932</v>
      </c>
      <c r="B938" s="9">
        <f t="shared" si="57"/>
        <v>0.98715567378839775</v>
      </c>
      <c r="C938" s="3">
        <f t="shared" si="58"/>
        <v>61753.4974851808</v>
      </c>
      <c r="D938" s="3">
        <f t="shared" si="59"/>
        <v>2.0613979202025803</v>
      </c>
      <c r="E938" s="8">
        <f t="shared" si="56"/>
        <v>133.14285714285714</v>
      </c>
      <c r="F938" s="3"/>
      <c r="G938" s="3"/>
      <c r="H938" s="3"/>
    </row>
    <row r="939" spans="1:8" ht="18.75" x14ac:dyDescent="0.3">
      <c r="A939" s="3">
        <v>933</v>
      </c>
      <c r="B939" s="9">
        <f t="shared" si="57"/>
        <v>0.98718851792194295</v>
      </c>
      <c r="C939" s="3">
        <f t="shared" si="58"/>
        <v>61755.552115642982</v>
      </c>
      <c r="D939" s="3">
        <f t="shared" si="59"/>
        <v>2.0546304621821037</v>
      </c>
      <c r="E939" s="8">
        <f t="shared" si="56"/>
        <v>133.28571428571428</v>
      </c>
      <c r="F939" s="3"/>
      <c r="G939" s="3"/>
      <c r="H939" s="3"/>
    </row>
    <row r="940" spans="1:8" ht="18.75" x14ac:dyDescent="0.3">
      <c r="A940" s="3">
        <v>934</v>
      </c>
      <c r="B940" s="9">
        <f t="shared" si="57"/>
        <v>0.98722125431311991</v>
      </c>
      <c r="C940" s="3">
        <f t="shared" si="58"/>
        <v>61757.600006065841</v>
      </c>
      <c r="D940" s="3">
        <f t="shared" si="59"/>
        <v>2.0478904228584724</v>
      </c>
      <c r="E940" s="8">
        <f t="shared" si="56"/>
        <v>133.42857142857142</v>
      </c>
      <c r="F940" s="3"/>
      <c r="G940" s="3"/>
      <c r="H940" s="3"/>
    </row>
    <row r="941" spans="1:8" ht="18.75" x14ac:dyDescent="0.3">
      <c r="A941" s="3">
        <v>935</v>
      </c>
      <c r="B941" s="9">
        <f t="shared" si="57"/>
        <v>0.98725388339810027</v>
      </c>
      <c r="C941" s="3">
        <f t="shared" si="58"/>
        <v>61759.641183734959</v>
      </c>
      <c r="D941" s="3">
        <f t="shared" si="59"/>
        <v>2.0411776691180421</v>
      </c>
      <c r="E941" s="8">
        <f t="shared" si="56"/>
        <v>133.57142857142858</v>
      </c>
      <c r="F941" s="3"/>
      <c r="G941" s="3"/>
      <c r="H941" s="3"/>
    </row>
    <row r="942" spans="1:8" ht="18.75" x14ac:dyDescent="0.3">
      <c r="A942" s="3">
        <v>936</v>
      </c>
      <c r="B942" s="9">
        <f t="shared" si="57"/>
        <v>0.98728640561094083</v>
      </c>
      <c r="C942" s="3">
        <f t="shared" si="58"/>
        <v>61761.675675803628</v>
      </c>
      <c r="D942" s="3">
        <f t="shared" si="59"/>
        <v>2.0344920686693513</v>
      </c>
      <c r="E942" s="8">
        <f t="shared" si="56"/>
        <v>133.71428571428572</v>
      </c>
      <c r="F942" s="3"/>
      <c r="G942" s="3"/>
      <c r="H942" s="3"/>
    </row>
    <row r="943" spans="1:8" ht="18.75" x14ac:dyDescent="0.3">
      <c r="A943" s="3">
        <v>937</v>
      </c>
      <c r="B943" s="9">
        <f t="shared" si="57"/>
        <v>0.98731882138359484</v>
      </c>
      <c r="C943" s="3">
        <f t="shared" si="58"/>
        <v>61763.70350929354</v>
      </c>
      <c r="D943" s="3">
        <f t="shared" si="59"/>
        <v>2.0278334899121546</v>
      </c>
      <c r="E943" s="8">
        <f t="shared" si="56"/>
        <v>133.85714285714286</v>
      </c>
      <c r="F943" s="3"/>
      <c r="G943" s="3"/>
      <c r="H943" s="3"/>
    </row>
    <row r="944" spans="1:8" ht="18.75" x14ac:dyDescent="0.3">
      <c r="A944" s="3">
        <v>938</v>
      </c>
      <c r="B944" s="9">
        <f t="shared" si="57"/>
        <v>0.98735113114592432</v>
      </c>
      <c r="C944" s="3">
        <f t="shared" si="58"/>
        <v>61765.724711095587</v>
      </c>
      <c r="D944" s="3">
        <f t="shared" si="59"/>
        <v>2.0212018020465621</v>
      </c>
      <c r="E944" s="8">
        <f t="shared" si="56"/>
        <v>134</v>
      </c>
      <c r="F944" s="3"/>
      <c r="G944" s="3"/>
      <c r="H944" s="3"/>
    </row>
    <row r="945" spans="1:8" ht="18.75" x14ac:dyDescent="0.3">
      <c r="A945" s="3">
        <v>939</v>
      </c>
      <c r="B945" s="9">
        <f t="shared" si="57"/>
        <v>0.9873833353257121</v>
      </c>
      <c r="C945" s="3">
        <f t="shared" si="58"/>
        <v>61767.739307970573</v>
      </c>
      <c r="D945" s="3">
        <f t="shared" si="59"/>
        <v>2.0145968749857275</v>
      </c>
      <c r="E945" s="8">
        <f t="shared" si="56"/>
        <v>134.14285714285714</v>
      </c>
      <c r="F945" s="3"/>
      <c r="G945" s="3"/>
      <c r="H945" s="3"/>
    </row>
    <row r="946" spans="1:8" ht="18.75" x14ac:dyDescent="0.3">
      <c r="A946" s="3">
        <v>940</v>
      </c>
      <c r="B946" s="9">
        <f t="shared" si="57"/>
        <v>0.98741543434867296</v>
      </c>
      <c r="C946" s="3">
        <f t="shared" si="58"/>
        <v>61769.747326549936</v>
      </c>
      <c r="D946" s="3">
        <f t="shared" si="59"/>
        <v>2.0080185793631244</v>
      </c>
      <c r="E946" s="8">
        <f t="shared" si="56"/>
        <v>134.28571428571428</v>
      </c>
      <c r="F946" s="3"/>
      <c r="G946" s="3"/>
      <c r="H946" s="3"/>
    </row>
    <row r="947" spans="1:8" ht="18.75" x14ac:dyDescent="0.3">
      <c r="A947" s="3">
        <v>941</v>
      </c>
      <c r="B947" s="9">
        <f t="shared" si="57"/>
        <v>0.98744742863846602</v>
      </c>
      <c r="C947" s="3">
        <f t="shared" si="58"/>
        <v>61771.748793336519</v>
      </c>
      <c r="D947" s="3">
        <f t="shared" si="59"/>
        <v>2.0014667865834781</v>
      </c>
      <c r="E947" s="8">
        <f t="shared" si="56"/>
        <v>134.42857142857142</v>
      </c>
      <c r="F947" s="3"/>
      <c r="G947" s="3"/>
      <c r="H947" s="3"/>
    </row>
    <row r="948" spans="1:8" ht="18.75" x14ac:dyDescent="0.3">
      <c r="A948" s="3">
        <v>942</v>
      </c>
      <c r="B948" s="9">
        <f t="shared" si="57"/>
        <v>0.9874793186167059</v>
      </c>
      <c r="C948" s="3">
        <f t="shared" si="58"/>
        <v>61773.743734705269</v>
      </c>
      <c r="D948" s="3">
        <f t="shared" si="59"/>
        <v>1.9949413687500055</v>
      </c>
      <c r="E948" s="8">
        <f t="shared" si="56"/>
        <v>134.57142857142858</v>
      </c>
      <c r="F948" s="3"/>
      <c r="G948" s="3"/>
      <c r="H948" s="3"/>
    </row>
    <row r="949" spans="1:8" ht="18.75" x14ac:dyDescent="0.3">
      <c r="A949" s="3">
        <v>943</v>
      </c>
      <c r="B949" s="9">
        <f t="shared" si="57"/>
        <v>0.98751110470297443</v>
      </c>
      <c r="C949" s="3">
        <f t="shared" si="58"/>
        <v>61775.73217690397</v>
      </c>
      <c r="D949" s="3">
        <f t="shared" si="59"/>
        <v>1.9884421987007954</v>
      </c>
      <c r="E949" s="8">
        <f t="shared" si="56"/>
        <v>134.71428571428572</v>
      </c>
      <c r="F949" s="3"/>
      <c r="G949" s="3"/>
      <c r="H949" s="3"/>
    </row>
    <row r="950" spans="1:8" ht="18.75" x14ac:dyDescent="0.3">
      <c r="A950" s="3">
        <v>944</v>
      </c>
      <c r="B950" s="9">
        <f t="shared" si="57"/>
        <v>0.98754278731483203</v>
      </c>
      <c r="C950" s="3">
        <f t="shared" si="58"/>
        <v>61777.71414605395</v>
      </c>
      <c r="D950" s="3">
        <f t="shared" si="59"/>
        <v>1.9819691499797045</v>
      </c>
      <c r="E950" s="8">
        <f t="shared" si="56"/>
        <v>134.85714285714286</v>
      </c>
      <c r="F950" s="3"/>
      <c r="G950" s="3"/>
      <c r="H950" s="3"/>
    </row>
    <row r="951" spans="1:8" ht="18.75" x14ac:dyDescent="0.3">
      <c r="A951" s="3">
        <v>945</v>
      </c>
      <c r="B951" s="9">
        <f t="shared" si="57"/>
        <v>0.9875743668678294</v>
      </c>
      <c r="C951" s="3">
        <f t="shared" si="58"/>
        <v>61779.689668150801</v>
      </c>
      <c r="D951" s="3">
        <f t="shared" si="59"/>
        <v>1.9755220968509093</v>
      </c>
      <c r="E951" s="8">
        <f t="shared" si="56"/>
        <v>135</v>
      </c>
      <c r="F951" s="3"/>
      <c r="G951" s="3"/>
      <c r="H951" s="3"/>
    </row>
    <row r="952" spans="1:8" ht="18.75" x14ac:dyDescent="0.3">
      <c r="A952" s="3">
        <v>946</v>
      </c>
      <c r="B952" s="9">
        <f t="shared" si="57"/>
        <v>0.98760584377551852</v>
      </c>
      <c r="C952" s="3">
        <f t="shared" si="58"/>
        <v>61781.658769065114</v>
      </c>
      <c r="D952" s="3">
        <f t="shared" si="59"/>
        <v>1.9691009143134579</v>
      </c>
      <c r="E952" s="8">
        <f t="shared" si="56"/>
        <v>135.14285714285714</v>
      </c>
      <c r="F952" s="3"/>
      <c r="G952" s="3"/>
      <c r="H952" s="3"/>
    </row>
    <row r="953" spans="1:8" ht="18.75" x14ac:dyDescent="0.3">
      <c r="A953" s="3">
        <v>947</v>
      </c>
      <c r="B953" s="9">
        <f t="shared" si="57"/>
        <v>0.98763721844946384</v>
      </c>
      <c r="C953" s="3">
        <f t="shared" si="58"/>
        <v>61783.621474543106</v>
      </c>
      <c r="D953" s="3">
        <f t="shared" si="59"/>
        <v>1.9627054779921309</v>
      </c>
      <c r="E953" s="8">
        <f t="shared" si="56"/>
        <v>135.28571428571428</v>
      </c>
      <c r="F953" s="3"/>
      <c r="G953" s="3"/>
      <c r="H953" s="3"/>
    </row>
    <row r="954" spans="1:8" ht="18.75" x14ac:dyDescent="0.3">
      <c r="A954" s="3">
        <v>948</v>
      </c>
      <c r="B954" s="9">
        <f t="shared" si="57"/>
        <v>0.98766849129925383</v>
      </c>
      <c r="C954" s="3">
        <f t="shared" si="58"/>
        <v>61785.577810207418</v>
      </c>
      <c r="D954" s="3">
        <f t="shared" si="59"/>
        <v>1.9563356643120642</v>
      </c>
      <c r="E954" s="8">
        <f t="shared" si="56"/>
        <v>135.42857142857142</v>
      </c>
      <c r="F954" s="3"/>
      <c r="G954" s="3"/>
      <c r="H954" s="3"/>
    </row>
    <row r="955" spans="1:8" ht="18.75" x14ac:dyDescent="0.3">
      <c r="A955" s="3">
        <v>949</v>
      </c>
      <c r="B955" s="9">
        <f t="shared" si="57"/>
        <v>0.98769966273251186</v>
      </c>
      <c r="C955" s="3">
        <f t="shared" si="58"/>
        <v>61787.527801557742</v>
      </c>
      <c r="D955" s="3">
        <f t="shared" si="59"/>
        <v>1.949991350324126</v>
      </c>
      <c r="E955" s="8">
        <f t="shared" si="56"/>
        <v>135.57142857142858</v>
      </c>
      <c r="F955" s="3"/>
      <c r="G955" s="3"/>
      <c r="H955" s="3"/>
    </row>
    <row r="956" spans="1:8" ht="18.75" x14ac:dyDescent="0.3">
      <c r="A956" s="3">
        <v>950</v>
      </c>
      <c r="B956" s="9">
        <f t="shared" si="57"/>
        <v>0.987730733154907</v>
      </c>
      <c r="C956" s="3">
        <f t="shared" si="58"/>
        <v>61789.47147397152</v>
      </c>
      <c r="D956" s="3">
        <f t="shared" si="59"/>
        <v>1.9436724137776764</v>
      </c>
      <c r="E956" s="8">
        <f t="shared" si="56"/>
        <v>135.71428571428572</v>
      </c>
      <c r="F956" s="3"/>
      <c r="G956" s="3"/>
      <c r="H956" s="3"/>
    </row>
    <row r="957" spans="1:8" ht="18.75" x14ac:dyDescent="0.3">
      <c r="A957" s="3">
        <v>951</v>
      </c>
      <c r="B957" s="9">
        <f t="shared" si="57"/>
        <v>0.98776170297016541</v>
      </c>
      <c r="C957" s="3">
        <f t="shared" si="58"/>
        <v>61791.408852704641</v>
      </c>
      <c r="D957" s="3">
        <f t="shared" si="59"/>
        <v>1.9373787331205676</v>
      </c>
      <c r="E957" s="8">
        <f t="shared" si="56"/>
        <v>135.85714285714286</v>
      </c>
      <c r="F957" s="3"/>
      <c r="G957" s="3"/>
      <c r="H957" s="3"/>
    </row>
    <row r="958" spans="1:8" ht="18.75" x14ac:dyDescent="0.3">
      <c r="A958" s="3">
        <v>952</v>
      </c>
      <c r="B958" s="9">
        <f t="shared" si="57"/>
        <v>0.98779257258008113</v>
      </c>
      <c r="C958" s="3">
        <f t="shared" si="58"/>
        <v>61793.339962892132</v>
      </c>
      <c r="D958" s="3">
        <f t="shared" si="59"/>
        <v>1.9311101874918677</v>
      </c>
      <c r="E958" s="8">
        <f t="shared" si="56"/>
        <v>136</v>
      </c>
      <c r="F958" s="3"/>
      <c r="G958" s="3"/>
      <c r="H958" s="3"/>
    </row>
    <row r="959" spans="1:8" ht="18.75" x14ac:dyDescent="0.3">
      <c r="A959" s="3">
        <v>953</v>
      </c>
      <c r="B959" s="9">
        <f t="shared" si="57"/>
        <v>0.98782334238452663</v>
      </c>
      <c r="C959" s="3">
        <f t="shared" si="58"/>
        <v>61795.264829548832</v>
      </c>
      <c r="D959" s="3">
        <f t="shared" si="59"/>
        <v>1.9248666567000328</v>
      </c>
      <c r="E959" s="8">
        <f t="shared" si="56"/>
        <v>136.14285714285714</v>
      </c>
      <c r="F959" s="3"/>
      <c r="G959" s="3"/>
      <c r="H959" s="3"/>
    </row>
    <row r="960" spans="1:8" ht="18.75" x14ac:dyDescent="0.3">
      <c r="A960" s="3">
        <v>954</v>
      </c>
      <c r="B960" s="9">
        <f t="shared" si="57"/>
        <v>0.98785401278146379</v>
      </c>
      <c r="C960" s="3">
        <f t="shared" si="58"/>
        <v>61797.183477570034</v>
      </c>
      <c r="D960" s="3">
        <f t="shared" si="59"/>
        <v>1.9186480212010792</v>
      </c>
      <c r="E960" s="8">
        <f t="shared" si="56"/>
        <v>136.28571428571428</v>
      </c>
      <c r="F960" s="3"/>
      <c r="G960" s="3"/>
      <c r="H960" s="3"/>
    </row>
    <row r="961" spans="1:8" ht="18.75" x14ac:dyDescent="0.3">
      <c r="A961" s="3">
        <v>955</v>
      </c>
      <c r="B961" s="9">
        <f t="shared" si="57"/>
        <v>0.98788458416695457</v>
      </c>
      <c r="C961" s="3">
        <f t="shared" si="58"/>
        <v>61799.095931732176</v>
      </c>
      <c r="D961" s="3">
        <f t="shared" si="59"/>
        <v>1.9124541621422395</v>
      </c>
      <c r="E961" s="8">
        <f t="shared" si="56"/>
        <v>136.42857142857142</v>
      </c>
      <c r="F961" s="3"/>
      <c r="G961" s="3"/>
      <c r="H961" s="3"/>
    </row>
    <row r="962" spans="1:8" ht="18.75" x14ac:dyDescent="0.3">
      <c r="A962" s="3">
        <v>956</v>
      </c>
      <c r="B962" s="9">
        <f t="shared" si="57"/>
        <v>0.98791505693517156</v>
      </c>
      <c r="C962" s="3">
        <f t="shared" si="58"/>
        <v>61801.00221669353</v>
      </c>
      <c r="D962" s="3">
        <f t="shared" si="59"/>
        <v>1.9062849613546859</v>
      </c>
      <c r="E962" s="8">
        <f t="shared" si="56"/>
        <v>136.57142857142858</v>
      </c>
      <c r="F962" s="3"/>
      <c r="G962" s="3"/>
      <c r="H962" s="3"/>
    </row>
    <row r="963" spans="1:8" ht="18.75" x14ac:dyDescent="0.3">
      <c r="A963" s="3">
        <v>957</v>
      </c>
      <c r="B963" s="9">
        <f t="shared" si="57"/>
        <v>0.98794543147840863</v>
      </c>
      <c r="C963" s="3">
        <f t="shared" si="58"/>
        <v>61802.902356994811</v>
      </c>
      <c r="D963" s="3">
        <f t="shared" si="59"/>
        <v>1.9001403012807714</v>
      </c>
      <c r="E963" s="8">
        <f t="shared" si="56"/>
        <v>136.71428571428572</v>
      </c>
      <c r="F963" s="3"/>
      <c r="G963" s="3"/>
      <c r="H963" s="3"/>
    </row>
    <row r="964" spans="1:8" ht="18.75" x14ac:dyDescent="0.3">
      <c r="A964" s="3">
        <v>958</v>
      </c>
      <c r="B964" s="9">
        <f t="shared" si="57"/>
        <v>0.98797570818709113</v>
      </c>
      <c r="C964" s="3">
        <f t="shared" si="58"/>
        <v>61804.796377059858</v>
      </c>
      <c r="D964" s="3">
        <f t="shared" si="59"/>
        <v>1.8940200650467887</v>
      </c>
      <c r="E964" s="8">
        <f t="shared" si="56"/>
        <v>136.85714285714286</v>
      </c>
      <c r="F964" s="3"/>
      <c r="G964" s="3"/>
      <c r="H964" s="3"/>
    </row>
    <row r="965" spans="1:8" ht="18.75" x14ac:dyDescent="0.3">
      <c r="A965" s="3">
        <v>959</v>
      </c>
      <c r="B965" s="9">
        <f t="shared" si="57"/>
        <v>0.98800588744978679</v>
      </c>
      <c r="C965" s="3">
        <f t="shared" si="58"/>
        <v>61806.684301196314</v>
      </c>
      <c r="D965" s="3">
        <f t="shared" si="59"/>
        <v>1.8879241364556947</v>
      </c>
      <c r="E965" s="8">
        <f t="shared" si="56"/>
        <v>137</v>
      </c>
      <c r="F965" s="3"/>
      <c r="G965" s="3"/>
      <c r="H965" s="3"/>
    </row>
    <row r="966" spans="1:8" ht="18.75" x14ac:dyDescent="0.3">
      <c r="A966" s="3">
        <v>960</v>
      </c>
      <c r="B966" s="9">
        <f t="shared" si="57"/>
        <v>0.98803596965321538</v>
      </c>
      <c r="C966" s="3">
        <f t="shared" si="58"/>
        <v>61808.566153596192</v>
      </c>
      <c r="D966" s="3">
        <f t="shared" si="59"/>
        <v>1.881852399877971</v>
      </c>
      <c r="E966" s="8">
        <f t="shared" si="56"/>
        <v>137.14285714285714</v>
      </c>
      <c r="F966" s="3"/>
      <c r="G966" s="3"/>
      <c r="H966" s="3"/>
    </row>
    <row r="967" spans="1:8" ht="18.75" x14ac:dyDescent="0.3">
      <c r="A967" s="3">
        <v>961</v>
      </c>
      <c r="B967" s="9">
        <f t="shared" si="57"/>
        <v>0.9880659551822597</v>
      </c>
      <c r="C967" s="3">
        <f t="shared" si="58"/>
        <v>61810.441958336618</v>
      </c>
      <c r="D967" s="3">
        <f t="shared" si="59"/>
        <v>1.875804740426247</v>
      </c>
      <c r="E967" s="8">
        <f t="shared" ref="E967:E1030" si="60">A967/7</f>
        <v>137.28571428571428</v>
      </c>
      <c r="F967" s="3"/>
      <c r="G967" s="3"/>
      <c r="H967" s="3"/>
    </row>
    <row r="968" spans="1:8" ht="18.75" x14ac:dyDescent="0.3">
      <c r="A968" s="3">
        <v>962</v>
      </c>
      <c r="B968" s="9">
        <f t="shared" ref="B968:B1031" si="61">LOGNORMDIST(A968,$A$3,$B$3)</f>
        <v>0.98809584441997533</v>
      </c>
      <c r="C968" s="3">
        <f t="shared" ref="C968:C1031" si="62">$E$3*B968</f>
        <v>61812.311739380399</v>
      </c>
      <c r="D968" s="3">
        <f t="shared" ref="D968:D1031" si="63">C968-C967</f>
        <v>1.8697810437806766</v>
      </c>
      <c r="E968" s="8">
        <f t="shared" si="60"/>
        <v>137.42857142857142</v>
      </c>
      <c r="F968" s="3"/>
      <c r="G968" s="3"/>
      <c r="H968" s="3"/>
    </row>
    <row r="969" spans="1:8" ht="18.75" x14ac:dyDescent="0.3">
      <c r="A969" s="3">
        <v>963</v>
      </c>
      <c r="B969" s="9">
        <f t="shared" si="61"/>
        <v>0.98812563774760098</v>
      </c>
      <c r="C969" s="3">
        <f t="shared" si="62"/>
        <v>61814.175520576675</v>
      </c>
      <c r="D969" s="3">
        <f t="shared" si="63"/>
        <v>1.8637811962762498</v>
      </c>
      <c r="E969" s="8">
        <f t="shared" si="60"/>
        <v>137.57142857142858</v>
      </c>
      <c r="F969" s="3"/>
      <c r="G969" s="3"/>
      <c r="H969" s="3"/>
    </row>
    <row r="970" spans="1:8" ht="18.75" x14ac:dyDescent="0.3">
      <c r="A970" s="3">
        <v>964</v>
      </c>
      <c r="B970" s="9">
        <f t="shared" si="61"/>
        <v>0.98815533554456858</v>
      </c>
      <c r="C970" s="3">
        <f t="shared" si="62"/>
        <v>61816.033325661578</v>
      </c>
      <c r="D970" s="3">
        <f t="shared" si="63"/>
        <v>1.8578050849027932</v>
      </c>
      <c r="E970" s="8">
        <f t="shared" si="60"/>
        <v>137.71428571428572</v>
      </c>
      <c r="F970" s="3"/>
      <c r="G970" s="3"/>
      <c r="H970" s="3"/>
    </row>
    <row r="971" spans="1:8" ht="18.75" x14ac:dyDescent="0.3">
      <c r="A971" s="3">
        <v>965</v>
      </c>
      <c r="B971" s="9">
        <f t="shared" si="61"/>
        <v>0.98818493818851283</v>
      </c>
      <c r="C971" s="3">
        <f t="shared" si="62"/>
        <v>61817.885178258795</v>
      </c>
      <c r="D971" s="3">
        <f t="shared" si="63"/>
        <v>1.8518525972176576</v>
      </c>
      <c r="E971" s="8">
        <f t="shared" si="60"/>
        <v>137.85714285714286</v>
      </c>
      <c r="F971" s="3"/>
      <c r="G971" s="3"/>
      <c r="H971" s="3"/>
    </row>
    <row r="972" spans="1:8" ht="18.75" x14ac:dyDescent="0.3">
      <c r="A972" s="3">
        <v>966</v>
      </c>
      <c r="B972" s="9">
        <f t="shared" si="61"/>
        <v>0.98821444605528208</v>
      </c>
      <c r="C972" s="3">
        <f t="shared" si="62"/>
        <v>61819.731101880279</v>
      </c>
      <c r="D972" s="3">
        <f t="shared" si="63"/>
        <v>1.8459236214839621</v>
      </c>
      <c r="E972" s="8">
        <f t="shared" si="60"/>
        <v>138</v>
      </c>
      <c r="F972" s="3"/>
      <c r="G972" s="3"/>
      <c r="H972" s="3"/>
    </row>
    <row r="973" spans="1:8" ht="18.75" x14ac:dyDescent="0.3">
      <c r="A973" s="3">
        <v>967</v>
      </c>
      <c r="B973" s="9">
        <f t="shared" si="61"/>
        <v>0.98824385951894733</v>
      </c>
      <c r="C973" s="3">
        <f t="shared" si="62"/>
        <v>61821.57111992679</v>
      </c>
      <c r="D973" s="3">
        <f t="shared" si="63"/>
        <v>1.8400180465105223</v>
      </c>
      <c r="E973" s="8">
        <f t="shared" si="60"/>
        <v>138.14285714285714</v>
      </c>
      <c r="F973" s="3"/>
      <c r="G973" s="3"/>
      <c r="H973" s="3"/>
    </row>
    <row r="974" spans="1:8" ht="18.75" x14ac:dyDescent="0.3">
      <c r="A974" s="3">
        <v>968</v>
      </c>
      <c r="B974" s="9">
        <f t="shared" si="61"/>
        <v>0.98827317895181255</v>
      </c>
      <c r="C974" s="3">
        <f t="shared" si="62"/>
        <v>61823.405255688536</v>
      </c>
      <c r="D974" s="3">
        <f t="shared" si="63"/>
        <v>1.8341357617464382</v>
      </c>
      <c r="E974" s="8">
        <f t="shared" si="60"/>
        <v>138.28571428571428</v>
      </c>
      <c r="F974" s="3"/>
      <c r="G974" s="3"/>
      <c r="H974" s="3"/>
    </row>
    <row r="975" spans="1:8" ht="18.75" x14ac:dyDescent="0.3">
      <c r="A975" s="3">
        <v>969</v>
      </c>
      <c r="B975" s="9">
        <f t="shared" si="61"/>
        <v>0.98830240472442432</v>
      </c>
      <c r="C975" s="3">
        <f t="shared" si="62"/>
        <v>61825.23353234581</v>
      </c>
      <c r="D975" s="3">
        <f t="shared" si="63"/>
        <v>1.8282766572738183</v>
      </c>
      <c r="E975" s="8">
        <f t="shared" si="60"/>
        <v>138.42857142857142</v>
      </c>
      <c r="F975" s="3"/>
      <c r="G975" s="3"/>
      <c r="H975" s="3"/>
    </row>
    <row r="976" spans="1:8" ht="18.75" x14ac:dyDescent="0.3">
      <c r="A976" s="3">
        <v>970</v>
      </c>
      <c r="B976" s="9">
        <f t="shared" si="61"/>
        <v>0.98833153720558131</v>
      </c>
      <c r="C976" s="3">
        <f t="shared" si="62"/>
        <v>61827.055972969552</v>
      </c>
      <c r="D976" s="3">
        <f t="shared" si="63"/>
        <v>1.8224406237422954</v>
      </c>
      <c r="E976" s="8">
        <f t="shared" si="60"/>
        <v>138.57142857142858</v>
      </c>
      <c r="F976" s="3"/>
      <c r="G976" s="3"/>
      <c r="H976" s="3"/>
    </row>
    <row r="977" spans="1:8" ht="18.75" x14ac:dyDescent="0.3">
      <c r="A977" s="3">
        <v>971</v>
      </c>
      <c r="B977" s="9">
        <f t="shared" si="61"/>
        <v>0.98836057676234446</v>
      </c>
      <c r="C977" s="3">
        <f t="shared" si="62"/>
        <v>61828.87260052198</v>
      </c>
      <c r="D977" s="3">
        <f t="shared" si="63"/>
        <v>1.8166275524272351</v>
      </c>
      <c r="E977" s="8">
        <f t="shared" si="60"/>
        <v>138.71428571428572</v>
      </c>
      <c r="F977" s="3"/>
      <c r="G977" s="3"/>
      <c r="H977" s="3"/>
    </row>
    <row r="978" spans="1:8" ht="18.75" x14ac:dyDescent="0.3">
      <c r="A978" s="3">
        <v>972</v>
      </c>
      <c r="B978" s="9">
        <f t="shared" si="61"/>
        <v>0.98838952376004596</v>
      </c>
      <c r="C978" s="3">
        <f t="shared" si="62"/>
        <v>61830.683437857195</v>
      </c>
      <c r="D978" s="3">
        <f t="shared" si="63"/>
        <v>1.810837335215183</v>
      </c>
      <c r="E978" s="8">
        <f t="shared" si="60"/>
        <v>138.85714285714286</v>
      </c>
      <c r="F978" s="3"/>
      <c r="G978" s="3"/>
      <c r="H978" s="3"/>
    </row>
    <row r="979" spans="1:8" ht="18.75" x14ac:dyDescent="0.3">
      <c r="A979" s="3">
        <v>973</v>
      </c>
      <c r="B979" s="9">
        <f t="shared" si="61"/>
        <v>0.9884183785622993</v>
      </c>
      <c r="C979" s="3">
        <f t="shared" si="62"/>
        <v>61832.488507721755</v>
      </c>
      <c r="D979" s="3">
        <f t="shared" si="63"/>
        <v>1.8050698645602097</v>
      </c>
      <c r="E979" s="8">
        <f t="shared" si="60"/>
        <v>139</v>
      </c>
      <c r="F979" s="3"/>
      <c r="G979" s="3"/>
      <c r="H979" s="3"/>
    </row>
    <row r="980" spans="1:8" ht="18.75" x14ac:dyDescent="0.3">
      <c r="A980" s="3">
        <v>974</v>
      </c>
      <c r="B980" s="9">
        <f t="shared" si="61"/>
        <v>0.98844714153100821</v>
      </c>
      <c r="C980" s="3">
        <f t="shared" si="62"/>
        <v>61834.287832755283</v>
      </c>
      <c r="D980" s="3">
        <f t="shared" si="63"/>
        <v>1.7993250335275661</v>
      </c>
      <c r="E980" s="8">
        <f t="shared" si="60"/>
        <v>139.14285714285714</v>
      </c>
      <c r="F980" s="3"/>
      <c r="G980" s="3"/>
      <c r="H980" s="3"/>
    </row>
    <row r="981" spans="1:8" ht="18.75" x14ac:dyDescent="0.3">
      <c r="A981" s="3">
        <v>975</v>
      </c>
      <c r="B981" s="9">
        <f t="shared" si="61"/>
        <v>0.98847581302637655</v>
      </c>
      <c r="C981" s="3">
        <f t="shared" si="62"/>
        <v>61836.08143549104</v>
      </c>
      <c r="D981" s="3">
        <f t="shared" si="63"/>
        <v>1.7936027357573039</v>
      </c>
      <c r="E981" s="8">
        <f t="shared" si="60"/>
        <v>139.28571428571428</v>
      </c>
      <c r="F981" s="3"/>
      <c r="G981" s="3"/>
      <c r="H981" s="3"/>
    </row>
    <row r="982" spans="1:8" ht="18.75" x14ac:dyDescent="0.3">
      <c r="A982" s="3">
        <v>976</v>
      </c>
      <c r="B982" s="9">
        <f t="shared" si="61"/>
        <v>0.98850439340691709</v>
      </c>
      <c r="C982" s="3">
        <f t="shared" si="62"/>
        <v>61837.869338356511</v>
      </c>
      <c r="D982" s="3">
        <f t="shared" si="63"/>
        <v>1.7879028654715512</v>
      </c>
      <c r="E982" s="8">
        <f t="shared" si="60"/>
        <v>139.42857142857142</v>
      </c>
      <c r="F982" s="3"/>
      <c r="G982" s="3"/>
      <c r="H982" s="3"/>
    </row>
    <row r="983" spans="1:8" ht="18.75" x14ac:dyDescent="0.3">
      <c r="A983" s="3">
        <v>977</v>
      </c>
      <c r="B983" s="9">
        <f t="shared" si="61"/>
        <v>0.98853288302946163</v>
      </c>
      <c r="C983" s="3">
        <f t="shared" si="62"/>
        <v>61839.65156367403</v>
      </c>
      <c r="D983" s="3">
        <f t="shared" si="63"/>
        <v>1.7822253175181686</v>
      </c>
      <c r="E983" s="8">
        <f t="shared" si="60"/>
        <v>139.57142857142858</v>
      </c>
      <c r="F983" s="3"/>
      <c r="G983" s="3"/>
      <c r="H983" s="3"/>
    </row>
    <row r="984" spans="1:8" ht="18.75" x14ac:dyDescent="0.3">
      <c r="A984" s="3">
        <v>978</v>
      </c>
      <c r="B984" s="9">
        <f t="shared" si="61"/>
        <v>0.98856128224916917</v>
      </c>
      <c r="C984" s="3">
        <f t="shared" si="62"/>
        <v>61841.428133661277</v>
      </c>
      <c r="D984" s="3">
        <f t="shared" si="63"/>
        <v>1.7765699872470577</v>
      </c>
      <c r="E984" s="8">
        <f t="shared" si="60"/>
        <v>139.71428571428572</v>
      </c>
      <c r="F984" s="3"/>
      <c r="G984" s="3"/>
      <c r="H984" s="3"/>
    </row>
    <row r="985" spans="1:8" ht="18.75" x14ac:dyDescent="0.3">
      <c r="A985" s="3">
        <v>979</v>
      </c>
      <c r="B985" s="9">
        <f t="shared" si="61"/>
        <v>0.98858959141953606</v>
      </c>
      <c r="C985" s="3">
        <f t="shared" si="62"/>
        <v>61843.199070431918</v>
      </c>
      <c r="D985" s="3">
        <f t="shared" si="63"/>
        <v>1.7709367706411285</v>
      </c>
      <c r="E985" s="8">
        <f t="shared" si="60"/>
        <v>139.85714285714286</v>
      </c>
      <c r="F985" s="3"/>
      <c r="G985" s="3"/>
      <c r="H985" s="3"/>
    </row>
    <row r="986" spans="1:8" ht="18.75" x14ac:dyDescent="0.3">
      <c r="A986" s="3">
        <v>980</v>
      </c>
      <c r="B986" s="9">
        <f t="shared" si="61"/>
        <v>0.98861781089240441</v>
      </c>
      <c r="C986" s="3">
        <f t="shared" si="62"/>
        <v>61844.96439599614</v>
      </c>
      <c r="D986" s="3">
        <f t="shared" si="63"/>
        <v>1.7653255642217118</v>
      </c>
      <c r="E986" s="8">
        <f t="shared" si="60"/>
        <v>140</v>
      </c>
      <c r="F986" s="3"/>
      <c r="G986" s="3"/>
      <c r="H986" s="3"/>
    </row>
    <row r="987" spans="1:8" ht="18.75" x14ac:dyDescent="0.3">
      <c r="A987" s="3">
        <v>981</v>
      </c>
      <c r="B987" s="9">
        <f t="shared" si="61"/>
        <v>0.98864594101797154</v>
      </c>
      <c r="C987" s="3">
        <f t="shared" si="62"/>
        <v>61846.724132261246</v>
      </c>
      <c r="D987" s="3">
        <f t="shared" si="63"/>
        <v>1.759736265106767</v>
      </c>
      <c r="E987" s="8">
        <f t="shared" si="60"/>
        <v>140.14285714285714</v>
      </c>
      <c r="F987" s="3"/>
      <c r="G987" s="3"/>
      <c r="H987" s="3"/>
    </row>
    <row r="988" spans="1:8" ht="18.75" x14ac:dyDescent="0.3">
      <c r="A988" s="3">
        <v>982</v>
      </c>
      <c r="B988" s="9">
        <f t="shared" si="61"/>
        <v>0.98867398214479874</v>
      </c>
      <c r="C988" s="3">
        <f t="shared" si="62"/>
        <v>61848.478301032177</v>
      </c>
      <c r="D988" s="3">
        <f t="shared" si="63"/>
        <v>1.7541687709308462</v>
      </c>
      <c r="E988" s="8">
        <f t="shared" si="60"/>
        <v>140.28571428571428</v>
      </c>
      <c r="F988" s="3"/>
      <c r="G988" s="3"/>
      <c r="H988" s="3"/>
    </row>
    <row r="989" spans="1:8" ht="18.75" x14ac:dyDescent="0.3">
      <c r="A989" s="3">
        <v>983</v>
      </c>
      <c r="B989" s="9">
        <f t="shared" si="61"/>
        <v>0.98870193461982026</v>
      </c>
      <c r="C989" s="3">
        <f t="shared" si="62"/>
        <v>61850.226924012095</v>
      </c>
      <c r="D989" s="3">
        <f t="shared" si="63"/>
        <v>1.7486229799178545</v>
      </c>
      <c r="E989" s="8">
        <f t="shared" si="60"/>
        <v>140.42857142857142</v>
      </c>
      <c r="F989" s="3"/>
      <c r="G989" s="3"/>
      <c r="H989" s="3"/>
    </row>
    <row r="990" spans="1:8" ht="18.75" x14ac:dyDescent="0.3">
      <c r="A990" s="3">
        <v>984</v>
      </c>
      <c r="B990" s="9">
        <f t="shared" si="61"/>
        <v>0.98872979878835243</v>
      </c>
      <c r="C990" s="3">
        <f t="shared" si="62"/>
        <v>61851.970022802961</v>
      </c>
      <c r="D990" s="3">
        <f t="shared" si="63"/>
        <v>1.7430987908664974</v>
      </c>
      <c r="E990" s="8">
        <f t="shared" si="60"/>
        <v>140.57142857142858</v>
      </c>
      <c r="F990" s="3"/>
      <c r="G990" s="3"/>
      <c r="H990" s="3"/>
    </row>
    <row r="991" spans="1:8" ht="18.75" x14ac:dyDescent="0.3">
      <c r="A991" s="3">
        <v>985</v>
      </c>
      <c r="B991" s="9">
        <f t="shared" si="61"/>
        <v>0.988757574994102</v>
      </c>
      <c r="C991" s="3">
        <f t="shared" si="62"/>
        <v>61853.707618906039</v>
      </c>
      <c r="D991" s="3">
        <f t="shared" si="63"/>
        <v>1.7375961030775215</v>
      </c>
      <c r="E991" s="8">
        <f t="shared" si="60"/>
        <v>140.71428571428572</v>
      </c>
      <c r="F991" s="3"/>
      <c r="G991" s="3"/>
      <c r="H991" s="3"/>
    </row>
    <row r="992" spans="1:8" ht="18.75" x14ac:dyDescent="0.3">
      <c r="A992" s="3">
        <v>986</v>
      </c>
      <c r="B992" s="9">
        <f t="shared" si="61"/>
        <v>0.9887852635791754</v>
      </c>
      <c r="C992" s="3">
        <f t="shared" si="62"/>
        <v>61855.439733722473</v>
      </c>
      <c r="D992" s="3">
        <f t="shared" si="63"/>
        <v>1.7321148164337501</v>
      </c>
      <c r="E992" s="8">
        <f t="shared" si="60"/>
        <v>140.85714285714286</v>
      </c>
      <c r="F992" s="3"/>
      <c r="G992" s="3"/>
      <c r="H992" s="3"/>
    </row>
    <row r="993" spans="1:8" ht="18.75" x14ac:dyDescent="0.3">
      <c r="A993" s="3">
        <v>987</v>
      </c>
      <c r="B993" s="9">
        <f t="shared" si="61"/>
        <v>0.98881286488408726</v>
      </c>
      <c r="C993" s="3">
        <f t="shared" si="62"/>
        <v>61857.166388553844</v>
      </c>
      <c r="D993" s="3">
        <f t="shared" si="63"/>
        <v>1.7266548313709791</v>
      </c>
      <c r="E993" s="8">
        <f t="shared" si="60"/>
        <v>141</v>
      </c>
      <c r="F993" s="3"/>
      <c r="G993" s="3"/>
      <c r="H993" s="3"/>
    </row>
    <row r="994" spans="1:8" ht="18.75" x14ac:dyDescent="0.3">
      <c r="A994" s="3">
        <v>988</v>
      </c>
      <c r="B994" s="9">
        <f t="shared" si="61"/>
        <v>0.9888403792477688</v>
      </c>
      <c r="C994" s="3">
        <f t="shared" si="62"/>
        <v>61858.887604602671</v>
      </c>
      <c r="D994" s="3">
        <f t="shared" si="63"/>
        <v>1.7212160488270456</v>
      </c>
      <c r="E994" s="8">
        <f t="shared" si="60"/>
        <v>141.14285714285714</v>
      </c>
      <c r="F994" s="3"/>
      <c r="G994" s="3"/>
      <c r="H994" s="3"/>
    </row>
    <row r="995" spans="1:8" ht="18.75" x14ac:dyDescent="0.3">
      <c r="A995" s="3">
        <v>989</v>
      </c>
      <c r="B995" s="9">
        <f t="shared" si="61"/>
        <v>0.98886780700757715</v>
      </c>
      <c r="C995" s="3">
        <f t="shared" si="62"/>
        <v>61860.603402973007</v>
      </c>
      <c r="D995" s="3">
        <f t="shared" si="63"/>
        <v>1.7157983703364152</v>
      </c>
      <c r="E995" s="8">
        <f t="shared" si="60"/>
        <v>141.28571428571428</v>
      </c>
      <c r="F995" s="3"/>
      <c r="G995" s="3"/>
      <c r="H995" s="3"/>
    </row>
    <row r="996" spans="1:8" ht="18.75" x14ac:dyDescent="0.3">
      <c r="A996" s="3">
        <v>990</v>
      </c>
      <c r="B996" s="9">
        <f t="shared" si="61"/>
        <v>0.98889514849930293</v>
      </c>
      <c r="C996" s="3">
        <f t="shared" si="62"/>
        <v>61862.313804670892</v>
      </c>
      <c r="D996" s="3">
        <f t="shared" si="63"/>
        <v>1.710401697884663</v>
      </c>
      <c r="E996" s="8">
        <f t="shared" si="60"/>
        <v>141.42857142857142</v>
      </c>
      <c r="F996" s="3"/>
      <c r="G996" s="3"/>
      <c r="H996" s="3"/>
    </row>
    <row r="997" spans="1:8" ht="18.75" x14ac:dyDescent="0.3">
      <c r="A997" s="3">
        <v>991</v>
      </c>
      <c r="B997" s="9">
        <f t="shared" si="61"/>
        <v>0.98892240405717957</v>
      </c>
      <c r="C997" s="3">
        <f t="shared" si="62"/>
        <v>61864.018830604982</v>
      </c>
      <c r="D997" s="3">
        <f t="shared" si="63"/>
        <v>1.7050259340903722</v>
      </c>
      <c r="E997" s="8">
        <f t="shared" si="60"/>
        <v>141.57142857142858</v>
      </c>
      <c r="F997" s="3"/>
      <c r="G997" s="3"/>
      <c r="H997" s="3"/>
    </row>
    <row r="998" spans="1:8" ht="18.75" x14ac:dyDescent="0.3">
      <c r="A998" s="3">
        <v>992</v>
      </c>
      <c r="B998" s="9">
        <f t="shared" si="61"/>
        <v>0.9889495740138915</v>
      </c>
      <c r="C998" s="3">
        <f t="shared" si="62"/>
        <v>61865.718501587013</v>
      </c>
      <c r="D998" s="3">
        <f t="shared" si="63"/>
        <v>1.6996709820305114</v>
      </c>
      <c r="E998" s="8">
        <f t="shared" si="60"/>
        <v>141.71428571428572</v>
      </c>
      <c r="F998" s="3"/>
      <c r="G998" s="3"/>
      <c r="H998" s="3"/>
    </row>
    <row r="999" spans="1:8" ht="18.75" x14ac:dyDescent="0.3">
      <c r="A999" s="3">
        <v>993</v>
      </c>
      <c r="B999" s="9">
        <f t="shared" si="61"/>
        <v>0.98897665870058238</v>
      </c>
      <c r="C999" s="3">
        <f t="shared" si="62"/>
        <v>61867.412838332333</v>
      </c>
      <c r="D999" s="3">
        <f t="shared" si="63"/>
        <v>1.6943367453204701</v>
      </c>
      <c r="E999" s="8">
        <f t="shared" si="60"/>
        <v>141.85714285714286</v>
      </c>
      <c r="F999" s="3"/>
      <c r="G999" s="3"/>
      <c r="H999" s="3"/>
    </row>
    <row r="1000" spans="1:8" ht="18.75" x14ac:dyDescent="0.3">
      <c r="A1000" s="3">
        <v>994</v>
      </c>
      <c r="B1000" s="9">
        <f t="shared" si="61"/>
        <v>0.98900365844686333</v>
      </c>
      <c r="C1000" s="3">
        <f t="shared" si="62"/>
        <v>61869.101861460433</v>
      </c>
      <c r="D1000" s="3">
        <f t="shared" si="63"/>
        <v>1.6890231280995067</v>
      </c>
      <c r="E1000" s="8">
        <f t="shared" si="60"/>
        <v>142</v>
      </c>
      <c r="F1000" s="3"/>
      <c r="G1000" s="3"/>
      <c r="H1000" s="3"/>
    </row>
    <row r="1001" spans="1:8" ht="18.75" x14ac:dyDescent="0.3">
      <c r="A1001" s="3">
        <v>995</v>
      </c>
      <c r="B1001" s="9">
        <f t="shared" si="61"/>
        <v>0.98903057358082191</v>
      </c>
      <c r="C1001" s="3">
        <f t="shared" si="62"/>
        <v>61870.785591495478</v>
      </c>
      <c r="D1001" s="3">
        <f t="shared" si="63"/>
        <v>1.6837300350453006</v>
      </c>
      <c r="E1001" s="8">
        <f t="shared" si="60"/>
        <v>142.14285714285714</v>
      </c>
      <c r="F1001" s="3"/>
      <c r="G1001" s="3"/>
      <c r="H1001" s="3"/>
    </row>
    <row r="1002" spans="1:8" ht="18.75" x14ac:dyDescent="0.3">
      <c r="A1002" s="3">
        <v>996</v>
      </c>
      <c r="B1002" s="9">
        <f t="shared" si="61"/>
        <v>0.98905740442902967</v>
      </c>
      <c r="C1002" s="3">
        <f t="shared" si="62"/>
        <v>61872.464048866808</v>
      </c>
      <c r="D1002" s="3">
        <f t="shared" si="63"/>
        <v>1.6784573713302962</v>
      </c>
      <c r="E1002" s="8">
        <f t="shared" si="60"/>
        <v>142.28571428571428</v>
      </c>
      <c r="F1002" s="3"/>
      <c r="G1002" s="3"/>
      <c r="H1002" s="3"/>
    </row>
    <row r="1003" spans="1:8" ht="18.75" x14ac:dyDescent="0.3">
      <c r="A1003" s="3">
        <v>997</v>
      </c>
      <c r="B1003" s="9">
        <f t="shared" si="61"/>
        <v>0.98908415131655036</v>
      </c>
      <c r="C1003" s="3">
        <f t="shared" si="62"/>
        <v>61874.137253909445</v>
      </c>
      <c r="D1003" s="3">
        <f t="shared" si="63"/>
        <v>1.6732050426362548</v>
      </c>
      <c r="E1003" s="8">
        <f t="shared" si="60"/>
        <v>142.42857142857142</v>
      </c>
      <c r="F1003" s="3"/>
      <c r="G1003" s="3"/>
      <c r="H1003" s="3"/>
    </row>
    <row r="1004" spans="1:8" ht="18.75" x14ac:dyDescent="0.3">
      <c r="A1004" s="3">
        <v>998</v>
      </c>
      <c r="B1004" s="9">
        <f t="shared" si="61"/>
        <v>0.98911081456694872</v>
      </c>
      <c r="C1004" s="3">
        <f t="shared" si="62"/>
        <v>61875.805226864613</v>
      </c>
      <c r="D1004" s="3">
        <f t="shared" si="63"/>
        <v>1.6679729551688069</v>
      </c>
      <c r="E1004" s="8">
        <f t="shared" si="60"/>
        <v>142.57142857142858</v>
      </c>
      <c r="F1004" s="3"/>
      <c r="G1004" s="3"/>
      <c r="H1004" s="3"/>
    </row>
    <row r="1005" spans="1:8" ht="18.75" x14ac:dyDescent="0.3">
      <c r="A1005" s="3">
        <v>999</v>
      </c>
      <c r="B1005" s="9">
        <f t="shared" si="61"/>
        <v>0.98913739450229765</v>
      </c>
      <c r="C1005" s="3">
        <f t="shared" si="62"/>
        <v>61877.467987880234</v>
      </c>
      <c r="D1005" s="3">
        <f t="shared" si="63"/>
        <v>1.6627610156210721</v>
      </c>
      <c r="E1005" s="8">
        <f t="shared" si="60"/>
        <v>142.71428571428572</v>
      </c>
      <c r="F1005" s="3"/>
      <c r="G1005" s="3"/>
      <c r="H1005" s="3"/>
    </row>
    <row r="1006" spans="1:8" ht="18.75" x14ac:dyDescent="0.3">
      <c r="A1006" s="3">
        <v>1000</v>
      </c>
      <c r="B1006" s="9">
        <f t="shared" si="61"/>
        <v>0.98916389144318695</v>
      </c>
      <c r="C1006" s="3">
        <f t="shared" si="62"/>
        <v>61879.125557011444</v>
      </c>
      <c r="D1006" s="3">
        <f t="shared" si="63"/>
        <v>1.6575691312100389</v>
      </c>
      <c r="E1006" s="8">
        <f t="shared" si="60"/>
        <v>142.85714285714286</v>
      </c>
      <c r="F1006" s="3"/>
      <c r="G1006" s="3"/>
      <c r="H1006" s="3"/>
    </row>
    <row r="1007" spans="1:8" ht="18.75" x14ac:dyDescent="0.3">
      <c r="A1007" s="3">
        <v>1001</v>
      </c>
      <c r="B1007" s="9">
        <f t="shared" si="61"/>
        <v>0.98919030570873101</v>
      </c>
      <c r="C1007" s="3">
        <f t="shared" si="62"/>
        <v>61880.777954221085</v>
      </c>
      <c r="D1007" s="3">
        <f t="shared" si="63"/>
        <v>1.6523972096401849</v>
      </c>
      <c r="E1007" s="8">
        <f t="shared" si="60"/>
        <v>143</v>
      </c>
      <c r="F1007" s="3"/>
      <c r="G1007" s="3"/>
      <c r="H1007" s="3"/>
    </row>
    <row r="1008" spans="1:8" ht="18.75" x14ac:dyDescent="0.3">
      <c r="A1008" s="3">
        <v>1002</v>
      </c>
      <c r="B1008" s="9">
        <f t="shared" si="61"/>
        <v>0.98921663761657697</v>
      </c>
      <c r="C1008" s="3">
        <f t="shared" si="62"/>
        <v>61882.425199380203</v>
      </c>
      <c r="D1008" s="3">
        <f t="shared" si="63"/>
        <v>1.6472451591180288</v>
      </c>
      <c r="E1008" s="8">
        <f t="shared" si="60"/>
        <v>143.14285714285714</v>
      </c>
      <c r="F1008" s="3"/>
      <c r="G1008" s="3"/>
      <c r="H1008" s="3"/>
    </row>
    <row r="1009" spans="1:8" ht="18.75" x14ac:dyDescent="0.3">
      <c r="A1009" s="3">
        <v>1003</v>
      </c>
      <c r="B1009" s="9">
        <f t="shared" si="61"/>
        <v>0.98924288748291211</v>
      </c>
      <c r="C1009" s="3">
        <f t="shared" si="62"/>
        <v>61884.067312268533</v>
      </c>
      <c r="D1009" s="3">
        <f t="shared" si="63"/>
        <v>1.6421128883303027</v>
      </c>
      <c r="E1009" s="8">
        <f t="shared" si="60"/>
        <v>143.28571428571428</v>
      </c>
      <c r="F1009" s="3"/>
      <c r="G1009" s="3"/>
      <c r="H1009" s="3"/>
    </row>
    <row r="1010" spans="1:8" ht="18.75" x14ac:dyDescent="0.3">
      <c r="A1010" s="3">
        <v>1004</v>
      </c>
      <c r="B1010" s="9">
        <f t="shared" si="61"/>
        <v>0.98926905562247236</v>
      </c>
      <c r="C1010" s="3">
        <f t="shared" si="62"/>
        <v>61885.704312575006</v>
      </c>
      <c r="D1010" s="3">
        <f t="shared" si="63"/>
        <v>1.6370003064730554</v>
      </c>
      <c r="E1010" s="8">
        <f t="shared" si="60"/>
        <v>143.42857142857142</v>
      </c>
      <c r="F1010" s="3"/>
      <c r="G1010" s="3"/>
      <c r="H1010" s="3"/>
    </row>
    <row r="1011" spans="1:8" ht="18.75" x14ac:dyDescent="0.3">
      <c r="A1011" s="3">
        <v>1005</v>
      </c>
      <c r="B1011" s="9">
        <f t="shared" si="61"/>
        <v>0.98929514234854932</v>
      </c>
      <c r="C1011" s="3">
        <f t="shared" si="62"/>
        <v>61887.336219898199</v>
      </c>
      <c r="D1011" s="3">
        <f t="shared" si="63"/>
        <v>1.6319073231934453</v>
      </c>
      <c r="E1011" s="8">
        <f t="shared" si="60"/>
        <v>143.57142857142858</v>
      </c>
      <c r="F1011" s="3"/>
      <c r="G1011" s="3"/>
      <c r="H1011" s="3"/>
    </row>
    <row r="1012" spans="1:8" ht="18.75" x14ac:dyDescent="0.3">
      <c r="A1012" s="3">
        <v>1006</v>
      </c>
      <c r="B1012" s="9">
        <f t="shared" si="61"/>
        <v>0.98932114797299897</v>
      </c>
      <c r="C1012" s="3">
        <f t="shared" si="62"/>
        <v>61888.963053746898</v>
      </c>
      <c r="D1012" s="3">
        <f t="shared" si="63"/>
        <v>1.6268338486988796</v>
      </c>
      <c r="E1012" s="8">
        <f t="shared" si="60"/>
        <v>143.71428571428572</v>
      </c>
      <c r="F1012" s="3"/>
      <c r="G1012" s="3"/>
      <c r="H1012" s="3"/>
    </row>
    <row r="1013" spans="1:8" ht="18.75" x14ac:dyDescent="0.3">
      <c r="A1013" s="3">
        <v>1007</v>
      </c>
      <c r="B1013" s="9">
        <f t="shared" si="61"/>
        <v>0.98934707280624845</v>
      </c>
      <c r="C1013" s="3">
        <f t="shared" si="62"/>
        <v>61890.584833540481</v>
      </c>
      <c r="D1013" s="3">
        <f t="shared" si="63"/>
        <v>1.621779793582391</v>
      </c>
      <c r="E1013" s="8">
        <f t="shared" si="60"/>
        <v>143.85714285714286</v>
      </c>
      <c r="F1013" s="3"/>
      <c r="G1013" s="3"/>
      <c r="H1013" s="3"/>
    </row>
    <row r="1014" spans="1:8" ht="18.75" x14ac:dyDescent="0.3">
      <c r="A1014" s="3">
        <v>1008</v>
      </c>
      <c r="B1014" s="9">
        <f t="shared" si="61"/>
        <v>0.98937291715730413</v>
      </c>
      <c r="C1014" s="3">
        <f t="shared" si="62"/>
        <v>61892.201578609478</v>
      </c>
      <c r="D1014" s="3">
        <f t="shared" si="63"/>
        <v>1.6167450689972611</v>
      </c>
      <c r="E1014" s="8">
        <f t="shared" si="60"/>
        <v>144</v>
      </c>
      <c r="F1014" s="3"/>
      <c r="G1014" s="3"/>
      <c r="H1014" s="3"/>
    </row>
    <row r="1015" spans="1:8" ht="18.75" x14ac:dyDescent="0.3">
      <c r="A1015" s="3">
        <v>1009</v>
      </c>
      <c r="B1015" s="9">
        <f t="shared" si="61"/>
        <v>0.9893986813337593</v>
      </c>
      <c r="C1015" s="3">
        <f t="shared" si="62"/>
        <v>61893.813308195982</v>
      </c>
      <c r="D1015" s="3">
        <f t="shared" si="63"/>
        <v>1.6117295865042252</v>
      </c>
      <c r="E1015" s="8">
        <f t="shared" si="60"/>
        <v>144.14285714285714</v>
      </c>
      <c r="F1015" s="3"/>
      <c r="G1015" s="3"/>
      <c r="H1015" s="3"/>
    </row>
    <row r="1016" spans="1:8" ht="18.75" x14ac:dyDescent="0.3">
      <c r="A1016" s="3">
        <v>1010</v>
      </c>
      <c r="B1016" s="9">
        <f t="shared" si="61"/>
        <v>0.98942436564180147</v>
      </c>
      <c r="C1016" s="3">
        <f t="shared" si="62"/>
        <v>61895.420041454177</v>
      </c>
      <c r="D1016" s="3">
        <f t="shared" si="63"/>
        <v>1.6067332581951632</v>
      </c>
      <c r="E1016" s="8">
        <f t="shared" si="60"/>
        <v>144.28571428571428</v>
      </c>
      <c r="F1016" s="3"/>
      <c r="G1016" s="3"/>
      <c r="H1016" s="3"/>
    </row>
    <row r="1017" spans="1:8" ht="18.75" x14ac:dyDescent="0.3">
      <c r="A1017" s="3">
        <v>1011</v>
      </c>
      <c r="B1017" s="9">
        <f t="shared" si="61"/>
        <v>0.98944997038622007</v>
      </c>
      <c r="C1017" s="3">
        <f t="shared" si="62"/>
        <v>61897.021797450769</v>
      </c>
      <c r="D1017" s="3">
        <f t="shared" si="63"/>
        <v>1.6017559965912369</v>
      </c>
      <c r="E1017" s="8">
        <f t="shared" si="60"/>
        <v>144.42857142857142</v>
      </c>
      <c r="F1017" s="3"/>
      <c r="G1017" s="3"/>
      <c r="H1017" s="3"/>
    </row>
    <row r="1018" spans="1:8" ht="18.75" x14ac:dyDescent="0.3">
      <c r="A1018" s="3">
        <v>1012</v>
      </c>
      <c r="B1018" s="9">
        <f t="shared" si="61"/>
        <v>0.98947549587041361</v>
      </c>
      <c r="C1018" s="3">
        <f t="shared" si="62"/>
        <v>61898.618595165462</v>
      </c>
      <c r="D1018" s="3">
        <f t="shared" si="63"/>
        <v>1.596797714693821</v>
      </c>
      <c r="E1018" s="8">
        <f t="shared" si="60"/>
        <v>144.57142857142858</v>
      </c>
      <c r="F1018" s="3"/>
      <c r="G1018" s="3"/>
      <c r="H1018" s="3"/>
    </row>
    <row r="1019" spans="1:8" ht="18.75" x14ac:dyDescent="0.3">
      <c r="A1019" s="3">
        <v>1013</v>
      </c>
      <c r="B1019" s="9">
        <f t="shared" si="61"/>
        <v>0.98950094239639785</v>
      </c>
      <c r="C1019" s="3">
        <f t="shared" si="62"/>
        <v>61900.210453491462</v>
      </c>
      <c r="D1019" s="3">
        <f t="shared" si="63"/>
        <v>1.5918583259990555</v>
      </c>
      <c r="E1019" s="8">
        <f t="shared" si="60"/>
        <v>144.71428571428572</v>
      </c>
      <c r="F1019" s="3"/>
      <c r="G1019" s="3"/>
      <c r="H1019" s="3"/>
    </row>
    <row r="1020" spans="1:8" ht="18.75" x14ac:dyDescent="0.3">
      <c r="A1020" s="3">
        <v>1014</v>
      </c>
      <c r="B1020" s="9">
        <f t="shared" si="61"/>
        <v>0.98952631026481197</v>
      </c>
      <c r="C1020" s="3">
        <f t="shared" si="62"/>
        <v>61901.797391235843</v>
      </c>
      <c r="D1020" s="3">
        <f t="shared" si="63"/>
        <v>1.5869377443814301</v>
      </c>
      <c r="E1020" s="8">
        <f t="shared" si="60"/>
        <v>144.85714285714286</v>
      </c>
      <c r="F1020" s="3"/>
      <c r="G1020" s="3"/>
      <c r="H1020" s="3"/>
    </row>
    <row r="1021" spans="1:8" ht="18.75" x14ac:dyDescent="0.3">
      <c r="A1021" s="3">
        <v>1015</v>
      </c>
      <c r="B1021" s="9">
        <f t="shared" si="61"/>
        <v>0.98955159977492713</v>
      </c>
      <c r="C1021" s="3">
        <f t="shared" si="62"/>
        <v>61903.379427120119</v>
      </c>
      <c r="D1021" s="3">
        <f t="shared" si="63"/>
        <v>1.5820358842756832</v>
      </c>
      <c r="E1021" s="8">
        <f t="shared" si="60"/>
        <v>145</v>
      </c>
      <c r="F1021" s="3"/>
      <c r="G1021" s="3"/>
      <c r="H1021" s="3"/>
    </row>
    <row r="1022" spans="1:8" ht="18.75" x14ac:dyDescent="0.3">
      <c r="A1022" s="3">
        <v>1016</v>
      </c>
      <c r="B1022" s="9">
        <f t="shared" si="61"/>
        <v>0.98957681122465302</v>
      </c>
      <c r="C1022" s="3">
        <f t="shared" si="62"/>
        <v>61904.956579780621</v>
      </c>
      <c r="D1022" s="3">
        <f t="shared" si="63"/>
        <v>1.5771526605021791</v>
      </c>
      <c r="E1022" s="8">
        <f t="shared" si="60"/>
        <v>145.14285714285714</v>
      </c>
      <c r="F1022" s="3"/>
      <c r="G1022" s="3"/>
      <c r="H1022" s="3"/>
    </row>
    <row r="1023" spans="1:8" ht="18.75" x14ac:dyDescent="0.3">
      <c r="A1023" s="3">
        <v>1017</v>
      </c>
      <c r="B1023" s="9">
        <f t="shared" si="61"/>
        <v>0.98960194491054498</v>
      </c>
      <c r="C1023" s="3">
        <f t="shared" si="62"/>
        <v>61906.52886776896</v>
      </c>
      <c r="D1023" s="3">
        <f t="shared" si="63"/>
        <v>1.5722879883396672</v>
      </c>
      <c r="E1023" s="8">
        <f t="shared" si="60"/>
        <v>145.28571428571428</v>
      </c>
      <c r="F1023" s="3"/>
      <c r="G1023" s="3"/>
      <c r="H1023" s="3"/>
    </row>
    <row r="1024" spans="1:8" ht="18.75" x14ac:dyDescent="0.3">
      <c r="A1024" s="3">
        <v>1018</v>
      </c>
      <c r="B1024" s="9">
        <f t="shared" si="61"/>
        <v>0.98962700112781188</v>
      </c>
      <c r="C1024" s="3">
        <f t="shared" si="62"/>
        <v>61908.096309552529</v>
      </c>
      <c r="D1024" s="3">
        <f t="shared" si="63"/>
        <v>1.5674417835689383</v>
      </c>
      <c r="E1024" s="8">
        <f t="shared" si="60"/>
        <v>145.42857142857142</v>
      </c>
      <c r="F1024" s="3"/>
      <c r="G1024" s="3"/>
      <c r="H1024" s="3"/>
    </row>
    <row r="1025" spans="1:8" ht="18.75" x14ac:dyDescent="0.3">
      <c r="A1025" s="3">
        <v>1019</v>
      </c>
      <c r="B1025" s="9">
        <f t="shared" si="61"/>
        <v>0.98965198017032263</v>
      </c>
      <c r="C1025" s="3">
        <f t="shared" si="62"/>
        <v>61909.658923514871</v>
      </c>
      <c r="D1025" s="3">
        <f t="shared" si="63"/>
        <v>1.5626139623418567</v>
      </c>
      <c r="E1025" s="8">
        <f t="shared" si="60"/>
        <v>145.57142857142858</v>
      </c>
      <c r="F1025" s="3"/>
      <c r="G1025" s="3"/>
      <c r="H1025" s="3"/>
    </row>
    <row r="1026" spans="1:8" ht="18.75" x14ac:dyDescent="0.3">
      <c r="A1026" s="3">
        <v>1020</v>
      </c>
      <c r="B1026" s="9">
        <f t="shared" si="61"/>
        <v>0.98967688233061357</v>
      </c>
      <c r="C1026" s="3">
        <f t="shared" si="62"/>
        <v>61911.216727956191</v>
      </c>
      <c r="D1026" s="3">
        <f t="shared" si="63"/>
        <v>1.5578044413196039</v>
      </c>
      <c r="E1026" s="8">
        <f t="shared" si="60"/>
        <v>145.71428571428572</v>
      </c>
      <c r="F1026" s="3"/>
      <c r="G1026" s="3"/>
      <c r="H1026" s="3"/>
    </row>
    <row r="1027" spans="1:8" ht="18.75" x14ac:dyDescent="0.3">
      <c r="A1027" s="3">
        <v>1021</v>
      </c>
      <c r="B1027" s="9">
        <f t="shared" si="61"/>
        <v>0.98970170789989564</v>
      </c>
      <c r="C1027" s="3">
        <f t="shared" si="62"/>
        <v>61912.769741093769</v>
      </c>
      <c r="D1027" s="3">
        <f t="shared" si="63"/>
        <v>1.5530131375780911</v>
      </c>
      <c r="E1027" s="8">
        <f t="shared" si="60"/>
        <v>145.85714285714286</v>
      </c>
      <c r="F1027" s="3"/>
      <c r="G1027" s="3"/>
      <c r="H1027" s="3"/>
    </row>
    <row r="1028" spans="1:8" ht="18.75" x14ac:dyDescent="0.3">
      <c r="A1028" s="3">
        <v>1022</v>
      </c>
      <c r="B1028" s="9">
        <f t="shared" si="61"/>
        <v>0.98972645716806107</v>
      </c>
      <c r="C1028" s="3">
        <f t="shared" si="62"/>
        <v>61914.317981062399</v>
      </c>
      <c r="D1028" s="3">
        <f t="shared" si="63"/>
        <v>1.5482399686297867</v>
      </c>
      <c r="E1028" s="8">
        <f t="shared" si="60"/>
        <v>146</v>
      </c>
      <c r="F1028" s="3"/>
      <c r="G1028" s="3"/>
      <c r="H1028" s="3"/>
    </row>
    <row r="1029" spans="1:8" ht="18.75" x14ac:dyDescent="0.3">
      <c r="A1029" s="3">
        <v>1023</v>
      </c>
      <c r="B1029" s="9">
        <f t="shared" si="61"/>
        <v>0.98975113042369045</v>
      </c>
      <c r="C1029" s="3">
        <f t="shared" si="62"/>
        <v>61915.861465914801</v>
      </c>
      <c r="D1029" s="3">
        <f t="shared" si="63"/>
        <v>1.5434848524018889</v>
      </c>
      <c r="E1029" s="8">
        <f t="shared" si="60"/>
        <v>146.14285714285714</v>
      </c>
      <c r="F1029" s="3"/>
      <c r="G1029" s="3"/>
      <c r="H1029" s="3"/>
    </row>
    <row r="1030" spans="1:8" ht="18.75" x14ac:dyDescent="0.3">
      <c r="A1030" s="3">
        <v>1024</v>
      </c>
      <c r="B1030" s="9">
        <f t="shared" si="61"/>
        <v>0.9897757279540601</v>
      </c>
      <c r="C1030" s="3">
        <f t="shared" si="62"/>
        <v>61917.400213622139</v>
      </c>
      <c r="D1030" s="3">
        <f t="shared" si="63"/>
        <v>1.5387477073381888</v>
      </c>
      <c r="E1030" s="8">
        <f t="shared" si="60"/>
        <v>146.28571428571428</v>
      </c>
      <c r="F1030" s="3"/>
      <c r="G1030" s="3"/>
      <c r="H1030" s="3"/>
    </row>
    <row r="1031" spans="1:8" ht="18.75" x14ac:dyDescent="0.3">
      <c r="A1031" s="3">
        <v>1025</v>
      </c>
      <c r="B1031" s="9">
        <f t="shared" si="61"/>
        <v>0.98980025004514804</v>
      </c>
      <c r="C1031" s="3">
        <f t="shared" si="62"/>
        <v>61918.934242074327</v>
      </c>
      <c r="D1031" s="3">
        <f t="shared" si="63"/>
        <v>1.5340284521880676</v>
      </c>
      <c r="E1031" s="8">
        <f t="shared" ref="E1031:E1094" si="64">A1031/7</f>
        <v>146.42857142857142</v>
      </c>
      <c r="F1031" s="3"/>
      <c r="G1031" s="3"/>
      <c r="H1031" s="3"/>
    </row>
    <row r="1032" spans="1:8" ht="18.75" x14ac:dyDescent="0.3">
      <c r="A1032" s="3">
        <v>1026</v>
      </c>
      <c r="B1032" s="9">
        <f t="shared" ref="B1032:B1095" si="65">LOGNORMDIST(A1032,$A$3,$B$3)</f>
        <v>0.98982469698164199</v>
      </c>
      <c r="C1032" s="3">
        <f t="shared" ref="C1032:C1095" si="66">$E$3*B1032</f>
        <v>61920.463569080581</v>
      </c>
      <c r="D1032" s="3">
        <f t="shared" ref="D1032:D1095" si="67">C1032-C1031</f>
        <v>1.5293270062538795</v>
      </c>
      <c r="E1032" s="8">
        <f t="shared" si="64"/>
        <v>146.57142857142858</v>
      </c>
      <c r="F1032" s="3"/>
      <c r="G1032" s="3"/>
      <c r="H1032" s="3"/>
    </row>
    <row r="1033" spans="1:8" ht="18.75" x14ac:dyDescent="0.3">
      <c r="A1033" s="3">
        <v>1027</v>
      </c>
      <c r="B1033" s="9">
        <f t="shared" si="65"/>
        <v>0.98984906904694525</v>
      </c>
      <c r="C1033" s="3">
        <f t="shared" si="66"/>
        <v>61921.988212369753</v>
      </c>
      <c r="D1033" s="3">
        <f t="shared" si="67"/>
        <v>1.5246432891726727</v>
      </c>
      <c r="E1033" s="8">
        <f t="shared" si="64"/>
        <v>146.71428571428572</v>
      </c>
      <c r="F1033" s="3"/>
      <c r="G1033" s="3"/>
      <c r="H1033" s="3"/>
    </row>
    <row r="1034" spans="1:8" ht="18.75" x14ac:dyDescent="0.3">
      <c r="A1034" s="3">
        <v>1028</v>
      </c>
      <c r="B1034" s="9">
        <f t="shared" si="65"/>
        <v>0.98987336652318392</v>
      </c>
      <c r="C1034" s="3">
        <f t="shared" si="66"/>
        <v>61923.508189590815</v>
      </c>
      <c r="D1034" s="3">
        <f t="shared" si="67"/>
        <v>1.5199772210617084</v>
      </c>
      <c r="E1034" s="8">
        <f t="shared" si="64"/>
        <v>146.85714285714286</v>
      </c>
      <c r="F1034" s="3"/>
      <c r="G1034" s="3"/>
      <c r="H1034" s="3"/>
    </row>
    <row r="1035" spans="1:8" ht="18.75" x14ac:dyDescent="0.3">
      <c r="A1035" s="3">
        <v>1029</v>
      </c>
      <c r="B1035" s="9">
        <f t="shared" si="65"/>
        <v>0.98989758969121333</v>
      </c>
      <c r="C1035" s="3">
        <f t="shared" si="66"/>
        <v>61925.023518313232</v>
      </c>
      <c r="D1035" s="3">
        <f t="shared" si="67"/>
        <v>1.5153287224165979</v>
      </c>
      <c r="E1035" s="8">
        <f t="shared" si="64"/>
        <v>147</v>
      </c>
      <c r="F1035" s="3"/>
      <c r="G1035" s="3"/>
      <c r="H1035" s="3"/>
    </row>
    <row r="1036" spans="1:8" ht="18.75" x14ac:dyDescent="0.3">
      <c r="A1036" s="3">
        <v>1030</v>
      </c>
      <c r="B1036" s="9">
        <f t="shared" si="65"/>
        <v>0.98992173883062529</v>
      </c>
      <c r="C1036" s="3">
        <f t="shared" si="66"/>
        <v>61926.534216027423</v>
      </c>
      <c r="D1036" s="3">
        <f t="shared" si="67"/>
        <v>1.5106977141913376</v>
      </c>
      <c r="E1036" s="8">
        <f t="shared" si="64"/>
        <v>147.14285714285714</v>
      </c>
      <c r="F1036" s="3"/>
      <c r="G1036" s="3"/>
      <c r="H1036" s="3"/>
    </row>
    <row r="1037" spans="1:8" ht="18.75" x14ac:dyDescent="0.3">
      <c r="A1037" s="3">
        <v>1031</v>
      </c>
      <c r="B1037" s="9">
        <f t="shared" si="65"/>
        <v>0.98994581421975403</v>
      </c>
      <c r="C1037" s="3">
        <f t="shared" si="66"/>
        <v>61928.040300145156</v>
      </c>
      <c r="D1037" s="3">
        <f t="shared" si="67"/>
        <v>1.5060841177328257</v>
      </c>
      <c r="E1037" s="8">
        <f t="shared" si="64"/>
        <v>147.28571428571428</v>
      </c>
      <c r="F1037" s="3"/>
      <c r="G1037" s="3"/>
      <c r="H1037" s="3"/>
    </row>
    <row r="1038" spans="1:8" ht="18.75" x14ac:dyDescent="0.3">
      <c r="A1038" s="3">
        <v>1032</v>
      </c>
      <c r="B1038" s="9">
        <f t="shared" si="65"/>
        <v>0.98996981613568313</v>
      </c>
      <c r="C1038" s="3">
        <f t="shared" si="66"/>
        <v>61929.54178799993</v>
      </c>
      <c r="D1038" s="3">
        <f t="shared" si="67"/>
        <v>1.5014878547735862</v>
      </c>
      <c r="E1038" s="8">
        <f t="shared" si="64"/>
        <v>147.42857142857142</v>
      </c>
      <c r="F1038" s="3"/>
      <c r="G1038" s="3"/>
      <c r="H1038" s="3"/>
    </row>
    <row r="1039" spans="1:8" ht="18.75" x14ac:dyDescent="0.3">
      <c r="A1039" s="3">
        <v>1033</v>
      </c>
      <c r="B1039" s="9">
        <f t="shared" si="65"/>
        <v>0.98999374485425229</v>
      </c>
      <c r="C1039" s="3">
        <f t="shared" si="66"/>
        <v>61931.038696847463</v>
      </c>
      <c r="D1039" s="3">
        <f t="shared" si="67"/>
        <v>1.4969088475336321</v>
      </c>
      <c r="E1039" s="8">
        <f t="shared" si="64"/>
        <v>147.57142857142858</v>
      </c>
      <c r="F1039" s="3"/>
      <c r="G1039" s="3"/>
      <c r="H1039" s="3"/>
    </row>
    <row r="1040" spans="1:8" ht="18.75" x14ac:dyDescent="0.3">
      <c r="A1040" s="3">
        <v>1034</v>
      </c>
      <c r="B1040" s="9">
        <f t="shared" si="65"/>
        <v>0.9900176006500635</v>
      </c>
      <c r="C1040" s="3">
        <f t="shared" si="66"/>
        <v>61932.531043866024</v>
      </c>
      <c r="D1040" s="3">
        <f t="shared" si="67"/>
        <v>1.4923470185603946</v>
      </c>
      <c r="E1040" s="8">
        <f t="shared" si="64"/>
        <v>147.71428571428572</v>
      </c>
      <c r="F1040" s="3"/>
      <c r="G1040" s="3"/>
      <c r="H1040" s="3"/>
    </row>
    <row r="1041" spans="1:8" ht="18.75" x14ac:dyDescent="0.3">
      <c r="A1041" s="3">
        <v>1035</v>
      </c>
      <c r="B1041" s="9">
        <f t="shared" si="65"/>
        <v>0.99004138379648787</v>
      </c>
      <c r="C1041" s="3">
        <f t="shared" si="66"/>
        <v>61934.018846156891</v>
      </c>
      <c r="D1041" s="3">
        <f t="shared" si="67"/>
        <v>1.4878022908669664</v>
      </c>
      <c r="E1041" s="8">
        <f t="shared" si="64"/>
        <v>147.85714285714286</v>
      </c>
      <c r="F1041" s="3"/>
      <c r="G1041" s="3"/>
      <c r="H1041" s="3"/>
    </row>
    <row r="1042" spans="1:8" ht="18.75" x14ac:dyDescent="0.3">
      <c r="A1042" s="3">
        <v>1036</v>
      </c>
      <c r="B1042" s="9">
        <f t="shared" si="65"/>
        <v>0.99006509456567149</v>
      </c>
      <c r="C1042" s="3">
        <f t="shared" si="66"/>
        <v>61935.502120744713</v>
      </c>
      <c r="D1042" s="3">
        <f t="shared" si="67"/>
        <v>1.4832745878229616</v>
      </c>
      <c r="E1042" s="8">
        <f t="shared" si="64"/>
        <v>148</v>
      </c>
      <c r="F1042" s="3"/>
      <c r="G1042" s="3"/>
      <c r="H1042" s="3"/>
    </row>
    <row r="1043" spans="1:8" ht="18.75" x14ac:dyDescent="0.3">
      <c r="A1043" s="3">
        <v>1037</v>
      </c>
      <c r="B1043" s="9">
        <f t="shared" si="65"/>
        <v>0.99008873322854274</v>
      </c>
      <c r="C1043" s="3">
        <f t="shared" si="66"/>
        <v>61936.980884577948</v>
      </c>
      <c r="D1043" s="3">
        <f t="shared" si="67"/>
        <v>1.4787638332345523</v>
      </c>
      <c r="E1043" s="8">
        <f t="shared" si="64"/>
        <v>148.14285714285714</v>
      </c>
      <c r="F1043" s="3"/>
      <c r="G1043" s="3"/>
      <c r="H1043" s="3"/>
    </row>
    <row r="1044" spans="1:8" ht="18.75" x14ac:dyDescent="0.3">
      <c r="A1044" s="3">
        <v>1038</v>
      </c>
      <c r="B1044" s="9">
        <f t="shared" si="65"/>
        <v>0.99011230005481765</v>
      </c>
      <c r="C1044" s="3">
        <f t="shared" si="66"/>
        <v>61938.455154529227</v>
      </c>
      <c r="D1044" s="3">
        <f t="shared" si="67"/>
        <v>1.4742699512789841</v>
      </c>
      <c r="E1044" s="8">
        <f t="shared" si="64"/>
        <v>148.28571428571428</v>
      </c>
      <c r="F1044" s="3"/>
      <c r="G1044" s="3"/>
      <c r="H1044" s="3"/>
    </row>
    <row r="1045" spans="1:8" ht="18.75" x14ac:dyDescent="0.3">
      <c r="A1045" s="3">
        <v>1039</v>
      </c>
      <c r="B1045" s="9">
        <f t="shared" si="65"/>
        <v>0.99013579531300722</v>
      </c>
      <c r="C1045" s="3">
        <f t="shared" si="66"/>
        <v>61939.92494739579</v>
      </c>
      <c r="D1045" s="3">
        <f t="shared" si="67"/>
        <v>1.4697928665627842</v>
      </c>
      <c r="E1045" s="8">
        <f t="shared" si="64"/>
        <v>148.42857142857142</v>
      </c>
      <c r="F1045" s="3"/>
      <c r="G1045" s="3"/>
      <c r="H1045" s="3"/>
    </row>
    <row r="1046" spans="1:8" ht="18.75" x14ac:dyDescent="0.3">
      <c r="A1046" s="3">
        <v>1040</v>
      </c>
      <c r="B1046" s="9">
        <f t="shared" si="65"/>
        <v>0.99015921927042272</v>
      </c>
      <c r="C1046" s="3">
        <f t="shared" si="66"/>
        <v>61941.390279899832</v>
      </c>
      <c r="D1046" s="3">
        <f t="shared" si="67"/>
        <v>1.4653325040417258</v>
      </c>
      <c r="E1046" s="8">
        <f t="shared" si="64"/>
        <v>148.57142857142858</v>
      </c>
      <c r="F1046" s="3"/>
      <c r="G1046" s="3"/>
      <c r="H1046" s="3"/>
    </row>
    <row r="1047" spans="1:8" ht="18.75" x14ac:dyDescent="0.3">
      <c r="A1047" s="3">
        <v>1041</v>
      </c>
      <c r="B1047" s="9">
        <f t="shared" si="65"/>
        <v>0.99018257219318306</v>
      </c>
      <c r="C1047" s="3">
        <f t="shared" si="66"/>
        <v>61942.851168688954</v>
      </c>
      <c r="D1047" s="3">
        <f t="shared" si="67"/>
        <v>1.4608887891226914</v>
      </c>
      <c r="E1047" s="8">
        <f t="shared" si="64"/>
        <v>148.71428571428572</v>
      </c>
      <c r="F1047" s="3"/>
      <c r="G1047" s="3"/>
      <c r="H1047" s="3"/>
    </row>
    <row r="1048" spans="1:8" ht="18.75" x14ac:dyDescent="0.3">
      <c r="A1048" s="3">
        <v>1042</v>
      </c>
      <c r="B1048" s="9">
        <f t="shared" si="65"/>
        <v>0.99020585434621977</v>
      </c>
      <c r="C1048" s="3">
        <f t="shared" si="66"/>
        <v>61944.307630336472</v>
      </c>
      <c r="D1048" s="3">
        <f t="shared" si="67"/>
        <v>1.4564616475181538</v>
      </c>
      <c r="E1048" s="8">
        <f t="shared" si="64"/>
        <v>148.85714285714286</v>
      </c>
      <c r="F1048" s="3"/>
      <c r="G1048" s="3"/>
      <c r="H1048" s="3"/>
    </row>
    <row r="1049" spans="1:8" ht="18.75" x14ac:dyDescent="0.3">
      <c r="A1049" s="3">
        <v>1043</v>
      </c>
      <c r="B1049" s="9">
        <f t="shared" si="65"/>
        <v>0.99022906599328442</v>
      </c>
      <c r="C1049" s="3">
        <f t="shared" si="66"/>
        <v>61945.759681341893</v>
      </c>
      <c r="D1049" s="3">
        <f t="shared" si="67"/>
        <v>1.4520510054207989</v>
      </c>
      <c r="E1049" s="8">
        <f t="shared" si="64"/>
        <v>149</v>
      </c>
      <c r="F1049" s="3"/>
      <c r="G1049" s="3"/>
      <c r="H1049" s="3"/>
    </row>
    <row r="1050" spans="1:8" ht="18.75" x14ac:dyDescent="0.3">
      <c r="A1050" s="3">
        <v>1044</v>
      </c>
      <c r="B1050" s="9">
        <f t="shared" si="65"/>
        <v>0.99025220739695352</v>
      </c>
      <c r="C1050" s="3">
        <f t="shared" si="66"/>
        <v>61947.207338131222</v>
      </c>
      <c r="D1050" s="3">
        <f t="shared" si="67"/>
        <v>1.447656789328903</v>
      </c>
      <c r="E1050" s="8">
        <f t="shared" si="64"/>
        <v>149.14285714285714</v>
      </c>
      <c r="F1050" s="3"/>
      <c r="G1050" s="3"/>
      <c r="H1050" s="3"/>
    </row>
    <row r="1051" spans="1:8" ht="18.75" x14ac:dyDescent="0.3">
      <c r="A1051" s="3">
        <v>1045</v>
      </c>
      <c r="B1051" s="9">
        <f t="shared" si="65"/>
        <v>0.99027527881863597</v>
      </c>
      <c r="C1051" s="3">
        <f t="shared" si="66"/>
        <v>61948.650617057414</v>
      </c>
      <c r="D1051" s="3">
        <f t="shared" si="67"/>
        <v>1.4432789261918515</v>
      </c>
      <c r="E1051" s="8">
        <f t="shared" si="64"/>
        <v>149.28571428571428</v>
      </c>
      <c r="F1051" s="3"/>
      <c r="G1051" s="3"/>
      <c r="H1051" s="3"/>
    </row>
    <row r="1052" spans="1:8" ht="18.75" x14ac:dyDescent="0.3">
      <c r="A1052" s="3">
        <v>1046</v>
      </c>
      <c r="B1052" s="9">
        <f t="shared" si="65"/>
        <v>0.99029828051857782</v>
      </c>
      <c r="C1052" s="3">
        <f t="shared" si="66"/>
        <v>61950.089534400671</v>
      </c>
      <c r="D1052" s="3">
        <f t="shared" si="67"/>
        <v>1.4389173432573443</v>
      </c>
      <c r="E1052" s="8">
        <f t="shared" si="64"/>
        <v>149.42857142857142</v>
      </c>
      <c r="F1052" s="3"/>
      <c r="G1052" s="3"/>
      <c r="H1052" s="3"/>
    </row>
    <row r="1053" spans="1:8" ht="18.75" x14ac:dyDescent="0.3">
      <c r="A1053" s="3">
        <v>1047</v>
      </c>
      <c r="B1053" s="9">
        <f t="shared" si="65"/>
        <v>0.99032121275586926</v>
      </c>
      <c r="C1053" s="3">
        <f t="shared" si="66"/>
        <v>61951.52410636891</v>
      </c>
      <c r="D1053" s="3">
        <f t="shared" si="67"/>
        <v>1.4345719682387426</v>
      </c>
      <c r="E1053" s="8">
        <f t="shared" si="64"/>
        <v>149.57142857142858</v>
      </c>
      <c r="F1053" s="3"/>
      <c r="G1053" s="3"/>
      <c r="H1053" s="3"/>
    </row>
    <row r="1054" spans="1:8" ht="18.75" x14ac:dyDescent="0.3">
      <c r="A1054" s="3">
        <v>1048</v>
      </c>
      <c r="B1054" s="9">
        <f t="shared" si="65"/>
        <v>0.99034407578845018</v>
      </c>
      <c r="C1054" s="3">
        <f t="shared" si="66"/>
        <v>61952.95434909808</v>
      </c>
      <c r="D1054" s="3">
        <f t="shared" si="67"/>
        <v>1.4302427291695494</v>
      </c>
      <c r="E1054" s="8">
        <f t="shared" si="64"/>
        <v>149.71428571428572</v>
      </c>
      <c r="F1054" s="3"/>
      <c r="G1054" s="3"/>
      <c r="H1054" s="3"/>
    </row>
    <row r="1055" spans="1:8" ht="18.75" x14ac:dyDescent="0.3">
      <c r="A1055" s="3">
        <v>1049</v>
      </c>
      <c r="B1055" s="9">
        <f t="shared" si="65"/>
        <v>0.99036686987311628</v>
      </c>
      <c r="C1055" s="3">
        <f t="shared" si="66"/>
        <v>61954.380278652534</v>
      </c>
      <c r="D1055" s="3">
        <f t="shared" si="67"/>
        <v>1.425929554454342</v>
      </c>
      <c r="E1055" s="8">
        <f t="shared" si="64"/>
        <v>149.85714285714286</v>
      </c>
      <c r="F1055" s="3"/>
      <c r="G1055" s="3"/>
      <c r="H1055" s="3"/>
    </row>
    <row r="1056" spans="1:8" ht="18.75" x14ac:dyDescent="0.3">
      <c r="A1056" s="3">
        <v>1050</v>
      </c>
      <c r="B1056" s="9">
        <f t="shared" si="65"/>
        <v>0.99038959526552484</v>
      </c>
      <c r="C1056" s="3">
        <f t="shared" si="66"/>
        <v>61955.801911025439</v>
      </c>
      <c r="D1056" s="3">
        <f t="shared" si="67"/>
        <v>1.421632372905151</v>
      </c>
      <c r="E1056" s="8">
        <f t="shared" si="64"/>
        <v>150</v>
      </c>
      <c r="F1056" s="3"/>
      <c r="G1056" s="3"/>
      <c r="H1056" s="3"/>
    </row>
    <row r="1057" spans="1:8" ht="18.75" x14ac:dyDescent="0.3">
      <c r="A1057" s="3">
        <v>1051</v>
      </c>
      <c r="B1057" s="9">
        <f t="shared" si="65"/>
        <v>0.99041225222020091</v>
      </c>
      <c r="C1057" s="3">
        <f t="shared" si="66"/>
        <v>61957.219262139108</v>
      </c>
      <c r="D1057" s="3">
        <f t="shared" si="67"/>
        <v>1.4173511136687011</v>
      </c>
      <c r="E1057" s="8">
        <f t="shared" si="64"/>
        <v>150.14285714285714</v>
      </c>
      <c r="F1057" s="3"/>
      <c r="G1057" s="3"/>
      <c r="H1057" s="3"/>
    </row>
    <row r="1058" spans="1:8" ht="18.75" x14ac:dyDescent="0.3">
      <c r="A1058" s="3">
        <v>1052</v>
      </c>
      <c r="B1058" s="9">
        <f t="shared" si="65"/>
        <v>0.9904348409905428</v>
      </c>
      <c r="C1058" s="3">
        <f t="shared" si="66"/>
        <v>61958.632347845385</v>
      </c>
      <c r="D1058" s="3">
        <f t="shared" si="67"/>
        <v>1.413085706277343</v>
      </c>
      <c r="E1058" s="8">
        <f t="shared" si="64"/>
        <v>150.28571428571428</v>
      </c>
      <c r="F1058" s="3"/>
      <c r="G1058" s="3"/>
      <c r="H1058" s="3"/>
    </row>
    <row r="1059" spans="1:8" ht="18.75" x14ac:dyDescent="0.3">
      <c r="A1059" s="3">
        <v>1053</v>
      </c>
      <c r="B1059" s="9">
        <f t="shared" si="65"/>
        <v>0.99045736182882804</v>
      </c>
      <c r="C1059" s="3">
        <f t="shared" si="66"/>
        <v>61960.041183925998</v>
      </c>
      <c r="D1059" s="3">
        <f t="shared" si="67"/>
        <v>1.408836080612673</v>
      </c>
      <c r="E1059" s="8">
        <f t="shared" si="64"/>
        <v>150.42857142857142</v>
      </c>
      <c r="F1059" s="3"/>
      <c r="G1059" s="3"/>
      <c r="H1059" s="3"/>
    </row>
    <row r="1060" spans="1:8" ht="18.75" x14ac:dyDescent="0.3">
      <c r="A1060" s="3">
        <v>1054</v>
      </c>
      <c r="B1060" s="9">
        <f t="shared" si="65"/>
        <v>0.99047981498621951</v>
      </c>
      <c r="C1060" s="3">
        <f t="shared" si="66"/>
        <v>61961.445786092932</v>
      </c>
      <c r="D1060" s="3">
        <f t="shared" si="67"/>
        <v>1.4046021669346374</v>
      </c>
      <c r="E1060" s="8">
        <f t="shared" si="64"/>
        <v>150.57142857142858</v>
      </c>
      <c r="F1060" s="3"/>
      <c r="G1060" s="3"/>
      <c r="H1060" s="3"/>
    </row>
    <row r="1061" spans="1:8" ht="18.75" x14ac:dyDescent="0.3">
      <c r="A1061" s="3">
        <v>1055</v>
      </c>
      <c r="B1061" s="9">
        <f t="shared" si="65"/>
        <v>0.99050220071277051</v>
      </c>
      <c r="C1061" s="3">
        <f t="shared" si="66"/>
        <v>61962.846169988785</v>
      </c>
      <c r="D1061" s="3">
        <f t="shared" si="67"/>
        <v>1.4003838958524284</v>
      </c>
      <c r="E1061" s="8">
        <f t="shared" si="64"/>
        <v>150.71428571428572</v>
      </c>
      <c r="F1061" s="3"/>
      <c r="G1061" s="3"/>
      <c r="H1061" s="3"/>
    </row>
    <row r="1062" spans="1:8" ht="18.75" x14ac:dyDescent="0.3">
      <c r="A1062" s="3">
        <v>1056</v>
      </c>
      <c r="B1062" s="9">
        <f t="shared" si="65"/>
        <v>0.99052451925743112</v>
      </c>
      <c r="C1062" s="3">
        <f t="shared" si="66"/>
        <v>61964.242351187117</v>
      </c>
      <c r="D1062" s="3">
        <f t="shared" si="67"/>
        <v>1.3961811983317602</v>
      </c>
      <c r="E1062" s="8">
        <f t="shared" si="64"/>
        <v>150.85714285714286</v>
      </c>
      <c r="F1062" s="3"/>
      <c r="G1062" s="3"/>
      <c r="H1062" s="3"/>
    </row>
    <row r="1063" spans="1:8" ht="18.75" x14ac:dyDescent="0.3">
      <c r="A1063" s="3">
        <v>1057</v>
      </c>
      <c r="B1063" s="9">
        <f t="shared" si="65"/>
        <v>0.99054677086805365</v>
      </c>
      <c r="C1063" s="3">
        <f t="shared" si="66"/>
        <v>61965.634345192833</v>
      </c>
      <c r="D1063" s="3">
        <f t="shared" si="67"/>
        <v>1.3919940057166968</v>
      </c>
      <c r="E1063" s="8">
        <f t="shared" si="64"/>
        <v>151</v>
      </c>
      <c r="F1063" s="3"/>
      <c r="G1063" s="3"/>
      <c r="H1063" s="3"/>
    </row>
    <row r="1064" spans="1:8" ht="18.75" x14ac:dyDescent="0.3">
      <c r="A1064" s="3">
        <v>1058</v>
      </c>
      <c r="B1064" s="9">
        <f t="shared" si="65"/>
        <v>0.99056895579139825</v>
      </c>
      <c r="C1064" s="3">
        <f t="shared" si="66"/>
        <v>61967.022167442497</v>
      </c>
      <c r="D1064" s="3">
        <f t="shared" si="67"/>
        <v>1.3878222496641683</v>
      </c>
      <c r="E1064" s="8">
        <f t="shared" si="64"/>
        <v>151.14285714285714</v>
      </c>
      <c r="F1064" s="3"/>
      <c r="G1064" s="3"/>
      <c r="H1064" s="3"/>
    </row>
    <row r="1065" spans="1:8" ht="18.75" x14ac:dyDescent="0.3">
      <c r="A1065" s="3">
        <v>1059</v>
      </c>
      <c r="B1065" s="9">
        <f t="shared" si="65"/>
        <v>0.99059107427313831</v>
      </c>
      <c r="C1065" s="3">
        <f t="shared" si="66"/>
        <v>61968.405833304714</v>
      </c>
      <c r="D1065" s="3">
        <f t="shared" si="67"/>
        <v>1.3836658622167306</v>
      </c>
      <c r="E1065" s="8">
        <f t="shared" si="64"/>
        <v>151.28571428571428</v>
      </c>
      <c r="F1065" s="3"/>
      <c r="G1065" s="3"/>
      <c r="H1065" s="3"/>
    </row>
    <row r="1066" spans="1:8" ht="18.75" x14ac:dyDescent="0.3">
      <c r="A1066" s="3">
        <v>1060</v>
      </c>
      <c r="B1066" s="9">
        <f t="shared" si="65"/>
        <v>0.9906131265578666</v>
      </c>
      <c r="C1066" s="3">
        <f t="shared" si="66"/>
        <v>61969.785358080459</v>
      </c>
      <c r="D1066" s="3">
        <f t="shared" si="67"/>
        <v>1.3795247757443576</v>
      </c>
      <c r="E1066" s="8">
        <f t="shared" si="64"/>
        <v>151.42857142857142</v>
      </c>
      <c r="F1066" s="3"/>
      <c r="G1066" s="3"/>
      <c r="H1066" s="3"/>
    </row>
    <row r="1067" spans="1:8" ht="18.75" x14ac:dyDescent="0.3">
      <c r="A1067" s="3">
        <v>1061</v>
      </c>
      <c r="B1067" s="9">
        <f t="shared" si="65"/>
        <v>0.99063511288910033</v>
      </c>
      <c r="C1067" s="3">
        <f t="shared" si="66"/>
        <v>61971.160757003447</v>
      </c>
      <c r="D1067" s="3">
        <f t="shared" si="67"/>
        <v>1.3753989229880972</v>
      </c>
      <c r="E1067" s="8">
        <f t="shared" si="64"/>
        <v>151.57142857142858</v>
      </c>
      <c r="F1067" s="3"/>
      <c r="G1067" s="3"/>
      <c r="H1067" s="3"/>
    </row>
    <row r="1068" spans="1:8" ht="18.75" x14ac:dyDescent="0.3">
      <c r="A1068" s="3">
        <v>1062</v>
      </c>
      <c r="B1068" s="9">
        <f t="shared" si="65"/>
        <v>0.99065703350928702</v>
      </c>
      <c r="C1068" s="3">
        <f t="shared" si="66"/>
        <v>61972.53204524047</v>
      </c>
      <c r="D1068" s="3">
        <f t="shared" si="67"/>
        <v>1.3712882370236912</v>
      </c>
      <c r="E1068" s="8">
        <f t="shared" si="64"/>
        <v>151.71428571428572</v>
      </c>
      <c r="F1068" s="3"/>
      <c r="G1068" s="3"/>
      <c r="H1068" s="3"/>
    </row>
    <row r="1069" spans="1:8" ht="18.75" x14ac:dyDescent="0.3">
      <c r="A1069" s="3">
        <v>1063</v>
      </c>
      <c r="B1069" s="9">
        <f t="shared" si="65"/>
        <v>0.9906788886598098</v>
      </c>
      <c r="C1069" s="3">
        <f t="shared" si="66"/>
        <v>61973.899237891725</v>
      </c>
      <c r="D1069" s="3">
        <f t="shared" si="67"/>
        <v>1.3671926512542996</v>
      </c>
      <c r="E1069" s="8">
        <f t="shared" si="64"/>
        <v>151.85714285714286</v>
      </c>
      <c r="F1069" s="3"/>
      <c r="G1069" s="3"/>
      <c r="H1069" s="3"/>
    </row>
    <row r="1070" spans="1:8" ht="18.75" x14ac:dyDescent="0.3">
      <c r="A1070" s="3">
        <v>1064</v>
      </c>
      <c r="B1070" s="9">
        <f t="shared" si="65"/>
        <v>0.99070067858099264</v>
      </c>
      <c r="C1070" s="3">
        <f t="shared" si="66"/>
        <v>61975.262349991157</v>
      </c>
      <c r="D1070" s="3">
        <f t="shared" si="67"/>
        <v>1.3631120994323283</v>
      </c>
      <c r="E1070" s="8">
        <f t="shared" si="64"/>
        <v>152</v>
      </c>
      <c r="F1070" s="3"/>
      <c r="G1070" s="3"/>
      <c r="H1070" s="3"/>
    </row>
    <row r="1071" spans="1:8" ht="18.75" x14ac:dyDescent="0.3">
      <c r="A1071" s="3">
        <v>1065</v>
      </c>
      <c r="B1071" s="9">
        <f t="shared" si="65"/>
        <v>0.99072240351210639</v>
      </c>
      <c r="C1071" s="3">
        <f t="shared" si="66"/>
        <v>61976.621396506838</v>
      </c>
      <c r="D1071" s="3">
        <f t="shared" si="67"/>
        <v>1.359046515681257</v>
      </c>
      <c r="E1071" s="8">
        <f t="shared" si="64"/>
        <v>152.14285714285714</v>
      </c>
      <c r="F1071" s="3"/>
      <c r="G1071" s="3"/>
      <c r="H1071" s="3"/>
    </row>
    <row r="1072" spans="1:8" ht="18.75" x14ac:dyDescent="0.3">
      <c r="A1072" s="3">
        <v>1066</v>
      </c>
      <c r="B1072" s="9">
        <f t="shared" si="65"/>
        <v>0.99074406369137347</v>
      </c>
      <c r="C1072" s="3">
        <f t="shared" si="66"/>
        <v>61977.976392341247</v>
      </c>
      <c r="D1072" s="3">
        <f t="shared" si="67"/>
        <v>1.3549958344083279</v>
      </c>
      <c r="E1072" s="8">
        <f t="shared" si="64"/>
        <v>152.28571428571428</v>
      </c>
      <c r="F1072" s="3"/>
      <c r="G1072" s="3"/>
      <c r="H1072" s="3"/>
    </row>
    <row r="1073" spans="1:8" ht="18.75" x14ac:dyDescent="0.3">
      <c r="A1073" s="3">
        <v>1067</v>
      </c>
      <c r="B1073" s="9">
        <f t="shared" si="65"/>
        <v>0.99076565935597383</v>
      </c>
      <c r="C1073" s="3">
        <f t="shared" si="66"/>
        <v>61979.327352331653</v>
      </c>
      <c r="D1073" s="3">
        <f t="shared" si="67"/>
        <v>1.3509599904064089</v>
      </c>
      <c r="E1073" s="8">
        <f t="shared" si="64"/>
        <v>152.42857142857142</v>
      </c>
      <c r="F1073" s="3"/>
      <c r="G1073" s="3"/>
      <c r="H1073" s="3"/>
    </row>
    <row r="1074" spans="1:8" ht="18.75" x14ac:dyDescent="0.3">
      <c r="A1074" s="3">
        <v>1068</v>
      </c>
      <c r="B1074" s="9">
        <f t="shared" si="65"/>
        <v>0.99078719074204991</v>
      </c>
      <c r="C1074" s="3">
        <f t="shared" si="66"/>
        <v>61980.674291250412</v>
      </c>
      <c r="D1074" s="3">
        <f t="shared" si="67"/>
        <v>1.3469389187594061</v>
      </c>
      <c r="E1074" s="8">
        <f t="shared" si="64"/>
        <v>152.57142857142858</v>
      </c>
      <c r="F1074" s="3"/>
      <c r="G1074" s="3"/>
      <c r="H1074" s="3"/>
    </row>
    <row r="1075" spans="1:8" ht="18.75" x14ac:dyDescent="0.3">
      <c r="A1075" s="3">
        <v>1069</v>
      </c>
      <c r="B1075" s="9">
        <f t="shared" si="65"/>
        <v>0.99080865808471197</v>
      </c>
      <c r="C1075" s="3">
        <f t="shared" si="66"/>
        <v>61982.017223805327</v>
      </c>
      <c r="D1075" s="3">
        <f t="shared" si="67"/>
        <v>1.3429325549150235</v>
      </c>
      <c r="E1075" s="8">
        <f t="shared" si="64"/>
        <v>152.71428571428572</v>
      </c>
      <c r="F1075" s="3"/>
      <c r="G1075" s="3"/>
      <c r="H1075" s="3"/>
    </row>
    <row r="1076" spans="1:8" ht="18.75" x14ac:dyDescent="0.3">
      <c r="A1076" s="3">
        <v>1070</v>
      </c>
      <c r="B1076" s="9">
        <f t="shared" si="65"/>
        <v>0.99083006161804354</v>
      </c>
      <c r="C1076" s="3">
        <f t="shared" si="66"/>
        <v>61983.356164639947</v>
      </c>
      <c r="D1076" s="3">
        <f t="shared" si="67"/>
        <v>1.3389408346192795</v>
      </c>
      <c r="E1076" s="8">
        <f t="shared" si="64"/>
        <v>152.85714285714286</v>
      </c>
      <c r="F1076" s="3"/>
      <c r="G1076" s="3"/>
      <c r="H1076" s="3"/>
    </row>
    <row r="1077" spans="1:8" ht="18.75" x14ac:dyDescent="0.3">
      <c r="A1077" s="3">
        <v>1071</v>
      </c>
      <c r="B1077" s="9">
        <f t="shared" si="65"/>
        <v>0.99085140157510654</v>
      </c>
      <c r="C1077" s="3">
        <f t="shared" si="66"/>
        <v>61984.691128333943</v>
      </c>
      <c r="D1077" s="3">
        <f t="shared" si="67"/>
        <v>1.3349636939965421</v>
      </c>
      <c r="E1077" s="8">
        <f t="shared" si="64"/>
        <v>153</v>
      </c>
      <c r="F1077" s="3"/>
      <c r="G1077" s="3"/>
      <c r="H1077" s="3"/>
    </row>
    <row r="1078" spans="1:8" ht="18.75" x14ac:dyDescent="0.3">
      <c r="A1078" s="3">
        <v>1072</v>
      </c>
      <c r="B1078" s="9">
        <f t="shared" si="65"/>
        <v>0.99087267818794644</v>
      </c>
      <c r="C1078" s="3">
        <f t="shared" si="66"/>
        <v>61986.022129403369</v>
      </c>
      <c r="D1078" s="3">
        <f t="shared" si="67"/>
        <v>1.3310010694258381</v>
      </c>
      <c r="E1078" s="8">
        <f t="shared" si="64"/>
        <v>153.14285714285714</v>
      </c>
      <c r="F1078" s="3"/>
      <c r="G1078" s="3"/>
      <c r="H1078" s="3"/>
    </row>
    <row r="1079" spans="1:8" ht="18.75" x14ac:dyDescent="0.3">
      <c r="A1079" s="3">
        <v>1073</v>
      </c>
      <c r="B1079" s="9">
        <f t="shared" si="65"/>
        <v>0.99089389168759756</v>
      </c>
      <c r="C1079" s="3">
        <f t="shared" si="66"/>
        <v>61987.349182301041</v>
      </c>
      <c r="D1079" s="3">
        <f t="shared" si="67"/>
        <v>1.3270528976718197</v>
      </c>
      <c r="E1079" s="8">
        <f t="shared" si="64"/>
        <v>153.28571428571428</v>
      </c>
      <c r="F1079" s="3"/>
      <c r="G1079" s="3"/>
      <c r="H1079" s="3"/>
    </row>
    <row r="1080" spans="1:8" ht="18.75" x14ac:dyDescent="0.3">
      <c r="A1080" s="3">
        <v>1074</v>
      </c>
      <c r="B1080" s="9">
        <f t="shared" si="65"/>
        <v>0.99091504230408811</v>
      </c>
      <c r="C1080" s="3">
        <f t="shared" si="66"/>
        <v>61988.672301416838</v>
      </c>
      <c r="D1080" s="3">
        <f t="shared" si="67"/>
        <v>1.3231191157974536</v>
      </c>
      <c r="E1080" s="8">
        <f t="shared" si="64"/>
        <v>153.42857142857142</v>
      </c>
      <c r="F1080" s="3"/>
      <c r="G1080" s="3"/>
      <c r="H1080" s="3"/>
    </row>
    <row r="1081" spans="1:8" ht="18.75" x14ac:dyDescent="0.3">
      <c r="A1081" s="3">
        <v>1075</v>
      </c>
      <c r="B1081" s="9">
        <f t="shared" si="65"/>
        <v>0.99093613026644511</v>
      </c>
      <c r="C1081" s="3">
        <f t="shared" si="66"/>
        <v>61989.99150107801</v>
      </c>
      <c r="D1081" s="3">
        <f t="shared" si="67"/>
        <v>1.3191996611712966</v>
      </c>
      <c r="E1081" s="8">
        <f t="shared" si="64"/>
        <v>153.57142857142858</v>
      </c>
      <c r="F1081" s="3"/>
      <c r="G1081" s="3"/>
      <c r="H1081" s="3"/>
    </row>
    <row r="1082" spans="1:8" ht="18.75" x14ac:dyDescent="0.3">
      <c r="A1082" s="3">
        <v>1076</v>
      </c>
      <c r="B1082" s="9">
        <f t="shared" si="65"/>
        <v>0.99095715580270027</v>
      </c>
      <c r="C1082" s="3">
        <f t="shared" si="66"/>
        <v>61991.306795549521</v>
      </c>
      <c r="D1082" s="3">
        <f t="shared" si="67"/>
        <v>1.3152944715111516</v>
      </c>
      <c r="E1082" s="8">
        <f t="shared" si="64"/>
        <v>153.71428571428572</v>
      </c>
      <c r="F1082" s="3"/>
      <c r="G1082" s="3"/>
      <c r="H1082" s="3"/>
    </row>
    <row r="1083" spans="1:8" ht="18.75" x14ac:dyDescent="0.3">
      <c r="A1083" s="3">
        <v>1077</v>
      </c>
      <c r="B1083" s="9">
        <f t="shared" si="65"/>
        <v>0.99097811913989375</v>
      </c>
      <c r="C1083" s="3">
        <f t="shared" si="66"/>
        <v>61992.618199034332</v>
      </c>
      <c r="D1083" s="3">
        <f t="shared" si="67"/>
        <v>1.3114034848113079</v>
      </c>
      <c r="E1083" s="8">
        <f t="shared" si="64"/>
        <v>153.85714285714286</v>
      </c>
      <c r="F1083" s="3"/>
      <c r="G1083" s="3"/>
      <c r="H1083" s="3"/>
    </row>
    <row r="1084" spans="1:8" ht="18.75" x14ac:dyDescent="0.3">
      <c r="A1084" s="3">
        <v>1078</v>
      </c>
      <c r="B1084" s="9">
        <f t="shared" si="65"/>
        <v>0.99099902050408051</v>
      </c>
      <c r="C1084" s="3">
        <f t="shared" si="66"/>
        <v>61993.925725673762</v>
      </c>
      <c r="D1084" s="3">
        <f t="shared" si="67"/>
        <v>1.3075266394298524</v>
      </c>
      <c r="E1084" s="8">
        <f t="shared" si="64"/>
        <v>154</v>
      </c>
      <c r="F1084" s="3"/>
      <c r="G1084" s="3"/>
      <c r="H1084" s="3"/>
    </row>
    <row r="1085" spans="1:8" ht="18.75" x14ac:dyDescent="0.3">
      <c r="A1085" s="3">
        <v>1079</v>
      </c>
      <c r="B1085" s="9">
        <f t="shared" si="65"/>
        <v>0.99101986012033438</v>
      </c>
      <c r="C1085" s="3">
        <f t="shared" si="66"/>
        <v>61995.229389547756</v>
      </c>
      <c r="D1085" s="3">
        <f t="shared" si="67"/>
        <v>1.3036638739940827</v>
      </c>
      <c r="E1085" s="8">
        <f t="shared" si="64"/>
        <v>154.14285714285714</v>
      </c>
      <c r="F1085" s="3"/>
      <c r="G1085" s="3"/>
      <c r="H1085" s="3"/>
    </row>
    <row r="1086" spans="1:8" ht="18.75" x14ac:dyDescent="0.3">
      <c r="A1086" s="3">
        <v>1080</v>
      </c>
      <c r="B1086" s="9">
        <f t="shared" si="65"/>
        <v>0.99104063821275346</v>
      </c>
      <c r="C1086" s="3">
        <f t="shared" si="66"/>
        <v>61996.529204675215</v>
      </c>
      <c r="D1086" s="3">
        <f t="shared" si="67"/>
        <v>1.2998151274587144</v>
      </c>
      <c r="E1086" s="8">
        <f t="shared" si="64"/>
        <v>154.28571428571428</v>
      </c>
      <c r="F1086" s="3"/>
      <c r="G1086" s="3"/>
      <c r="H1086" s="3"/>
    </row>
    <row r="1087" spans="1:8" ht="18.75" x14ac:dyDescent="0.3">
      <c r="A1087" s="3">
        <v>1081</v>
      </c>
      <c r="B1087" s="9">
        <f t="shared" si="65"/>
        <v>0.99106135500446491</v>
      </c>
      <c r="C1087" s="3">
        <f t="shared" si="66"/>
        <v>61997.825185014313</v>
      </c>
      <c r="D1087" s="3">
        <f t="shared" si="67"/>
        <v>1.2959803390986053</v>
      </c>
      <c r="E1087" s="8">
        <f t="shared" si="64"/>
        <v>154.42857142857142</v>
      </c>
      <c r="F1087" s="3"/>
      <c r="G1087" s="3"/>
      <c r="H1087" s="3"/>
    </row>
    <row r="1088" spans="1:8" ht="18.75" x14ac:dyDescent="0.3">
      <c r="A1088" s="3">
        <v>1082</v>
      </c>
      <c r="B1088" s="9">
        <f t="shared" si="65"/>
        <v>0.99108201071763002</v>
      </c>
      <c r="C1088" s="3">
        <f t="shared" si="66"/>
        <v>61999.117344462778</v>
      </c>
      <c r="D1088" s="3">
        <f t="shared" si="67"/>
        <v>1.2921594484650996</v>
      </c>
      <c r="E1088" s="8">
        <f t="shared" si="64"/>
        <v>154.57142857142858</v>
      </c>
      <c r="F1088" s="3"/>
      <c r="G1088" s="3"/>
      <c r="H1088" s="3"/>
    </row>
    <row r="1089" spans="1:8" ht="18.75" x14ac:dyDescent="0.3">
      <c r="A1089" s="3">
        <v>1083</v>
      </c>
      <c r="B1089" s="9">
        <f t="shared" si="65"/>
        <v>0.99110260557344887</v>
      </c>
      <c r="C1089" s="3">
        <f t="shared" si="66"/>
        <v>62000.405696858244</v>
      </c>
      <c r="D1089" s="3">
        <f t="shared" si="67"/>
        <v>1.2883523954660632</v>
      </c>
      <c r="E1089" s="8">
        <f t="shared" si="64"/>
        <v>154.71428571428572</v>
      </c>
      <c r="F1089" s="3"/>
      <c r="G1089" s="3"/>
      <c r="H1089" s="3"/>
    </row>
    <row r="1090" spans="1:8" ht="18.75" x14ac:dyDescent="0.3">
      <c r="A1090" s="3">
        <v>1084</v>
      </c>
      <c r="B1090" s="9">
        <f t="shared" si="65"/>
        <v>0.99112313979216526</v>
      </c>
      <c r="C1090" s="3">
        <f t="shared" si="66"/>
        <v>62001.690255978479</v>
      </c>
      <c r="D1090" s="3">
        <f t="shared" si="67"/>
        <v>1.2845591202349169</v>
      </c>
      <c r="E1090" s="8">
        <f t="shared" si="64"/>
        <v>154.85714285714286</v>
      </c>
      <c r="F1090" s="3"/>
      <c r="G1090" s="3"/>
      <c r="H1090" s="3"/>
    </row>
    <row r="1091" spans="1:8" ht="18.75" x14ac:dyDescent="0.3">
      <c r="A1091" s="3">
        <v>1085</v>
      </c>
      <c r="B1091" s="9">
        <f t="shared" si="65"/>
        <v>0.99114361359307168</v>
      </c>
      <c r="C1091" s="3">
        <f t="shared" si="66"/>
        <v>62002.971035541785</v>
      </c>
      <c r="D1091" s="3">
        <f t="shared" si="67"/>
        <v>1.2807795633052592</v>
      </c>
      <c r="E1091" s="8">
        <f t="shared" si="64"/>
        <v>155</v>
      </c>
      <c r="F1091" s="3"/>
      <c r="G1091" s="3"/>
      <c r="H1091" s="3"/>
    </row>
    <row r="1092" spans="1:8" ht="18.75" x14ac:dyDescent="0.3">
      <c r="A1092" s="3">
        <v>1086</v>
      </c>
      <c r="B1092" s="9">
        <f t="shared" si="65"/>
        <v>0.99116402719451391</v>
      </c>
      <c r="C1092" s="3">
        <f t="shared" si="66"/>
        <v>62004.248049207206</v>
      </c>
      <c r="D1092" s="3">
        <f t="shared" si="67"/>
        <v>1.2770136654216913</v>
      </c>
      <c r="E1092" s="8">
        <f t="shared" si="64"/>
        <v>155.14285714285714</v>
      </c>
      <c r="F1092" s="3"/>
      <c r="G1092" s="3"/>
      <c r="H1092" s="3"/>
    </row>
    <row r="1093" spans="1:8" ht="18.75" x14ac:dyDescent="0.3">
      <c r="A1093" s="3">
        <v>1087</v>
      </c>
      <c r="B1093" s="9">
        <f t="shared" si="65"/>
        <v>0.99118438081389582</v>
      </c>
      <c r="C1093" s="3">
        <f t="shared" si="66"/>
        <v>62005.521310574877</v>
      </c>
      <c r="D1093" s="3">
        <f t="shared" si="67"/>
        <v>1.2732613676707842</v>
      </c>
      <c r="E1093" s="8">
        <f t="shared" si="64"/>
        <v>155.28571428571428</v>
      </c>
      <c r="F1093" s="3"/>
      <c r="G1093" s="3"/>
      <c r="H1093" s="3"/>
    </row>
    <row r="1094" spans="1:8" ht="18.75" x14ac:dyDescent="0.3">
      <c r="A1094" s="3">
        <v>1088</v>
      </c>
      <c r="B1094" s="9">
        <f t="shared" si="65"/>
        <v>0.99120467466768436</v>
      </c>
      <c r="C1094" s="3">
        <f t="shared" si="66"/>
        <v>62006.790833186329</v>
      </c>
      <c r="D1094" s="3">
        <f t="shared" si="67"/>
        <v>1.2695226114519755</v>
      </c>
      <c r="E1094" s="8">
        <f t="shared" si="64"/>
        <v>155.42857142857142</v>
      </c>
      <c r="F1094" s="3"/>
      <c r="G1094" s="3"/>
      <c r="H1094" s="3"/>
    </row>
    <row r="1095" spans="1:8" ht="18.75" x14ac:dyDescent="0.3">
      <c r="A1095" s="3">
        <v>1089</v>
      </c>
      <c r="B1095" s="9">
        <f t="shared" si="65"/>
        <v>0.99122490897141391</v>
      </c>
      <c r="C1095" s="3">
        <f t="shared" si="66"/>
        <v>62008.056630524741</v>
      </c>
      <c r="D1095" s="3">
        <f t="shared" si="67"/>
        <v>1.2657973384120851</v>
      </c>
      <c r="E1095" s="8">
        <f t="shared" ref="E1095:E1158" si="68">A1095/7</f>
        <v>155.57142857142858</v>
      </c>
      <c r="F1095" s="3"/>
      <c r="G1095" s="3"/>
      <c r="H1095" s="3"/>
    </row>
    <row r="1096" spans="1:8" ht="18.75" x14ac:dyDescent="0.3">
      <c r="A1096" s="3">
        <v>1090</v>
      </c>
      <c r="B1096" s="9">
        <f t="shared" ref="B1096:B1159" si="69">LOGNORMDIST(A1096,$A$3,$B$3)</f>
        <v>0.99124508393969102</v>
      </c>
      <c r="C1096" s="3">
        <f t="shared" ref="C1096:C1159" si="70">$E$3*B1096</f>
        <v>62009.318716015252</v>
      </c>
      <c r="D1096" s="3">
        <f t="shared" ref="D1096:D1159" si="71">C1096-C1095</f>
        <v>1.262085490510799</v>
      </c>
      <c r="E1096" s="8">
        <f t="shared" si="68"/>
        <v>155.71428571428572</v>
      </c>
      <c r="F1096" s="3"/>
      <c r="G1096" s="3"/>
      <c r="H1096" s="3"/>
    </row>
    <row r="1097" spans="1:8" ht="18.75" x14ac:dyDescent="0.3">
      <c r="A1097" s="3">
        <v>1091</v>
      </c>
      <c r="B1097" s="9">
        <f t="shared" si="69"/>
        <v>0.99126519978619954</v>
      </c>
      <c r="C1097" s="3">
        <f t="shared" si="70"/>
        <v>62010.577103025287</v>
      </c>
      <c r="D1097" s="3">
        <f t="shared" si="71"/>
        <v>1.2583870100352215</v>
      </c>
      <c r="E1097" s="8">
        <f t="shared" si="68"/>
        <v>155.85714285714286</v>
      </c>
      <c r="F1097" s="3"/>
      <c r="G1097" s="3"/>
      <c r="H1097" s="3"/>
    </row>
    <row r="1098" spans="1:8" ht="18.75" x14ac:dyDescent="0.3">
      <c r="A1098" s="3">
        <v>1092</v>
      </c>
      <c r="B1098" s="9">
        <f t="shared" si="69"/>
        <v>0.99128525672370471</v>
      </c>
      <c r="C1098" s="3">
        <f t="shared" si="70"/>
        <v>62011.831804864793</v>
      </c>
      <c r="D1098" s="3">
        <f t="shared" si="71"/>
        <v>1.2547018395052874</v>
      </c>
      <c r="E1098" s="8">
        <f t="shared" si="68"/>
        <v>156</v>
      </c>
      <c r="F1098" s="3"/>
      <c r="G1098" s="3"/>
      <c r="H1098" s="3"/>
    </row>
    <row r="1099" spans="1:8" ht="18.75" x14ac:dyDescent="0.3">
      <c r="A1099" s="3">
        <v>1093</v>
      </c>
      <c r="B1099" s="9">
        <f t="shared" si="69"/>
        <v>0.99130525496405775</v>
      </c>
      <c r="C1099" s="3">
        <f t="shared" si="70"/>
        <v>62013.082834786561</v>
      </c>
      <c r="D1099" s="3">
        <f t="shared" si="71"/>
        <v>1.2510299217683496</v>
      </c>
      <c r="E1099" s="8">
        <f t="shared" si="68"/>
        <v>156.14285714285714</v>
      </c>
      <c r="F1099" s="3"/>
      <c r="G1099" s="3"/>
      <c r="H1099" s="3"/>
    </row>
    <row r="1100" spans="1:8" ht="18.75" x14ac:dyDescent="0.3">
      <c r="A1100" s="3">
        <v>1094</v>
      </c>
      <c r="B1100" s="9">
        <f t="shared" si="69"/>
        <v>0.99132519471820091</v>
      </c>
      <c r="C1100" s="3">
        <f t="shared" si="70"/>
        <v>62014.330205986495</v>
      </c>
      <c r="D1100" s="3">
        <f t="shared" si="71"/>
        <v>1.2473711999336956</v>
      </c>
      <c r="E1100" s="8">
        <f t="shared" si="68"/>
        <v>156.28571428571428</v>
      </c>
      <c r="F1100" s="3"/>
      <c r="G1100" s="3"/>
      <c r="H1100" s="3"/>
    </row>
    <row r="1101" spans="1:8" ht="18.75" x14ac:dyDescent="0.3">
      <c r="A1101" s="3">
        <v>1095</v>
      </c>
      <c r="B1101" s="9">
        <f t="shared" si="69"/>
        <v>0.99134507619617174</v>
      </c>
      <c r="C1101" s="3">
        <f t="shared" si="70"/>
        <v>62015.573931603918</v>
      </c>
      <c r="D1101" s="3">
        <f t="shared" si="71"/>
        <v>1.243725617423479</v>
      </c>
      <c r="E1101" s="8">
        <f t="shared" si="68"/>
        <v>156.42857142857142</v>
      </c>
      <c r="F1101" s="3"/>
      <c r="G1101" s="3"/>
      <c r="H1101" s="3"/>
    </row>
    <row r="1102" spans="1:8" ht="18.75" x14ac:dyDescent="0.3">
      <c r="A1102" s="3">
        <v>1096</v>
      </c>
      <c r="B1102" s="9">
        <f t="shared" si="69"/>
        <v>0.99136489960710761</v>
      </c>
      <c r="C1102" s="3">
        <f t="shared" si="70"/>
        <v>62016.814024721833</v>
      </c>
      <c r="D1102" s="3">
        <f t="shared" si="71"/>
        <v>1.2400931179145118</v>
      </c>
      <c r="E1102" s="8">
        <f t="shared" si="68"/>
        <v>156.57142857142858</v>
      </c>
      <c r="F1102" s="3"/>
      <c r="G1102" s="3"/>
      <c r="H1102" s="3"/>
    </row>
    <row r="1103" spans="1:8" ht="18.75" x14ac:dyDescent="0.3">
      <c r="A1103" s="3">
        <v>1097</v>
      </c>
      <c r="B1103" s="9">
        <f t="shared" si="69"/>
        <v>0.99138466515925006</v>
      </c>
      <c r="C1103" s="3">
        <f t="shared" si="70"/>
        <v>62018.050498367207</v>
      </c>
      <c r="D1103" s="3">
        <f t="shared" si="71"/>
        <v>1.2364736453746445</v>
      </c>
      <c r="E1103" s="8">
        <f t="shared" si="68"/>
        <v>156.71428571428572</v>
      </c>
      <c r="F1103" s="3"/>
      <c r="G1103" s="3"/>
      <c r="H1103" s="3"/>
    </row>
    <row r="1104" spans="1:8" ht="18.75" x14ac:dyDescent="0.3">
      <c r="A1104" s="3">
        <v>1098</v>
      </c>
      <c r="B1104" s="9">
        <f t="shared" si="69"/>
        <v>0.99140437305994977</v>
      </c>
      <c r="C1104" s="3">
        <f t="shared" si="70"/>
        <v>62019.283365511277</v>
      </c>
      <c r="D1104" s="3">
        <f t="shared" si="71"/>
        <v>1.2328671440700418</v>
      </c>
      <c r="E1104" s="8">
        <f t="shared" si="68"/>
        <v>156.85714285714286</v>
      </c>
      <c r="F1104" s="3"/>
      <c r="G1104" s="3"/>
      <c r="H1104" s="3"/>
    </row>
    <row r="1105" spans="1:8" ht="18.75" x14ac:dyDescent="0.3">
      <c r="A1105" s="3">
        <v>1099</v>
      </c>
      <c r="B1105" s="9">
        <f t="shared" si="69"/>
        <v>0.99142402351567049</v>
      </c>
      <c r="C1105" s="3">
        <f t="shared" si="70"/>
        <v>62020.512639069799</v>
      </c>
      <c r="D1105" s="3">
        <f t="shared" si="71"/>
        <v>1.2292735585215269</v>
      </c>
      <c r="E1105" s="8">
        <f t="shared" si="68"/>
        <v>157</v>
      </c>
      <c r="F1105" s="3"/>
      <c r="G1105" s="3"/>
      <c r="H1105" s="3"/>
    </row>
    <row r="1106" spans="1:8" ht="18.75" x14ac:dyDescent="0.3">
      <c r="A1106" s="3">
        <v>1100</v>
      </c>
      <c r="B1106" s="9">
        <f t="shared" si="69"/>
        <v>0.99144361673199377</v>
      </c>
      <c r="C1106" s="3">
        <f t="shared" si="70"/>
        <v>62021.738331903332</v>
      </c>
      <c r="D1106" s="3">
        <f t="shared" si="71"/>
        <v>1.2256928335336852</v>
      </c>
      <c r="E1106" s="8">
        <f t="shared" si="68"/>
        <v>157.14285714285714</v>
      </c>
      <c r="F1106" s="3"/>
      <c r="G1106" s="3"/>
      <c r="H1106" s="3"/>
    </row>
    <row r="1107" spans="1:8" ht="18.75" x14ac:dyDescent="0.3">
      <c r="A1107" s="3">
        <v>1101</v>
      </c>
      <c r="B1107" s="9">
        <f t="shared" si="69"/>
        <v>0.99146315291362308</v>
      </c>
      <c r="C1107" s="3">
        <f t="shared" si="70"/>
        <v>62022.96045681752</v>
      </c>
      <c r="D1107" s="3">
        <f t="shared" si="71"/>
        <v>1.2221249141875887</v>
      </c>
      <c r="E1107" s="8">
        <f t="shared" si="68"/>
        <v>157.28571428571428</v>
      </c>
      <c r="F1107" s="3"/>
      <c r="G1107" s="3"/>
      <c r="H1107" s="3"/>
    </row>
    <row r="1108" spans="1:8" ht="18.75" x14ac:dyDescent="0.3">
      <c r="A1108" s="3">
        <v>1102</v>
      </c>
      <c r="B1108" s="9">
        <f t="shared" si="69"/>
        <v>0.9914826322643886</v>
      </c>
      <c r="C1108" s="3">
        <f t="shared" si="70"/>
        <v>62024.179026563361</v>
      </c>
      <c r="D1108" s="3">
        <f t="shared" si="71"/>
        <v>1.2185697458407958</v>
      </c>
      <c r="E1108" s="8">
        <f t="shared" si="68"/>
        <v>157.42857142857142</v>
      </c>
      <c r="F1108" s="3"/>
      <c r="G1108" s="3"/>
      <c r="H1108" s="3"/>
    </row>
    <row r="1109" spans="1:8" ht="18.75" x14ac:dyDescent="0.3">
      <c r="A1109" s="3">
        <v>1103</v>
      </c>
      <c r="B1109" s="9">
        <f t="shared" si="69"/>
        <v>0.99150205498725119</v>
      </c>
      <c r="C1109" s="3">
        <f t="shared" si="70"/>
        <v>62025.394053837474</v>
      </c>
      <c r="D1109" s="3">
        <f t="shared" si="71"/>
        <v>1.2150272741127992</v>
      </c>
      <c r="E1109" s="8">
        <f t="shared" si="68"/>
        <v>157.57142857142858</v>
      </c>
      <c r="F1109" s="3"/>
      <c r="G1109" s="3"/>
      <c r="H1109" s="3"/>
    </row>
    <row r="1110" spans="1:8" ht="18.75" x14ac:dyDescent="0.3">
      <c r="A1110" s="3">
        <v>1104</v>
      </c>
      <c r="B1110" s="9">
        <f t="shared" si="69"/>
        <v>0.99152142128430687</v>
      </c>
      <c r="C1110" s="3">
        <f t="shared" si="70"/>
        <v>62026.605551282388</v>
      </c>
      <c r="D1110" s="3">
        <f t="shared" si="71"/>
        <v>1.21149744491413</v>
      </c>
      <c r="E1110" s="8">
        <f t="shared" si="68"/>
        <v>157.71428571428572</v>
      </c>
      <c r="F1110" s="3"/>
      <c r="G1110" s="3"/>
      <c r="H1110" s="3"/>
    </row>
    <row r="1111" spans="1:8" ht="18.75" x14ac:dyDescent="0.3">
      <c r="A1111" s="3">
        <v>1105</v>
      </c>
      <c r="B1111" s="9">
        <f t="shared" si="69"/>
        <v>0.99154073135679111</v>
      </c>
      <c r="C1111" s="3">
        <f t="shared" si="70"/>
        <v>62027.813531486783</v>
      </c>
      <c r="D1111" s="3">
        <f t="shared" si="71"/>
        <v>1.207980204395426</v>
      </c>
      <c r="E1111" s="8">
        <f t="shared" si="68"/>
        <v>157.85714285714286</v>
      </c>
      <c r="F1111" s="3"/>
      <c r="G1111" s="3"/>
      <c r="H1111" s="3"/>
    </row>
    <row r="1112" spans="1:8" ht="18.75" x14ac:dyDescent="0.3">
      <c r="A1112" s="3">
        <v>1106</v>
      </c>
      <c r="B1112" s="9">
        <f t="shared" si="69"/>
        <v>0.99155998540508328</v>
      </c>
      <c r="C1112" s="3">
        <f t="shared" si="70"/>
        <v>62029.018006985796</v>
      </c>
      <c r="D1112" s="3">
        <f t="shared" si="71"/>
        <v>1.204475499012915</v>
      </c>
      <c r="E1112" s="8">
        <f t="shared" si="68"/>
        <v>158</v>
      </c>
      <c r="F1112" s="3"/>
      <c r="G1112" s="3"/>
      <c r="H1112" s="3"/>
    </row>
    <row r="1113" spans="1:8" ht="18.75" x14ac:dyDescent="0.3">
      <c r="A1113" s="3">
        <v>1107</v>
      </c>
      <c r="B1113" s="9">
        <f t="shared" si="69"/>
        <v>0.99157918362871045</v>
      </c>
      <c r="C1113" s="3">
        <f t="shared" si="70"/>
        <v>62030.218990261237</v>
      </c>
      <c r="D1113" s="3">
        <f t="shared" si="71"/>
        <v>1.2009832754411036</v>
      </c>
      <c r="E1113" s="8">
        <f t="shared" si="68"/>
        <v>158.14285714285714</v>
      </c>
      <c r="F1113" s="3"/>
      <c r="G1113" s="3"/>
      <c r="H1113" s="3"/>
    </row>
    <row r="1114" spans="1:8" ht="18.75" x14ac:dyDescent="0.3">
      <c r="A1114" s="3">
        <v>1108</v>
      </c>
      <c r="B1114" s="9">
        <f t="shared" si="69"/>
        <v>0.99159832622635202</v>
      </c>
      <c r="C1114" s="3">
        <f t="shared" si="70"/>
        <v>62031.416493741905</v>
      </c>
      <c r="D1114" s="3">
        <f t="shared" si="71"/>
        <v>1.1975034806673648</v>
      </c>
      <c r="E1114" s="8">
        <f t="shared" si="68"/>
        <v>158.28571428571428</v>
      </c>
      <c r="F1114" s="3"/>
      <c r="G1114" s="3"/>
      <c r="H1114" s="3"/>
    </row>
    <row r="1115" spans="1:8" ht="18.75" x14ac:dyDescent="0.3">
      <c r="A1115" s="3">
        <v>1109</v>
      </c>
      <c r="B1115" s="9">
        <f t="shared" si="69"/>
        <v>0.99161741339584386</v>
      </c>
      <c r="C1115" s="3">
        <f t="shared" si="70"/>
        <v>62032.610529803802</v>
      </c>
      <c r="D1115" s="3">
        <f t="shared" si="71"/>
        <v>1.19403606189735</v>
      </c>
      <c r="E1115" s="8">
        <f t="shared" si="68"/>
        <v>158.42857142857142</v>
      </c>
      <c r="F1115" s="3"/>
      <c r="G1115" s="3"/>
      <c r="H1115" s="3"/>
    </row>
    <row r="1116" spans="1:8" ht="18.75" x14ac:dyDescent="0.3">
      <c r="A1116" s="3">
        <v>1110</v>
      </c>
      <c r="B1116" s="9">
        <f t="shared" si="69"/>
        <v>0.99163644533418238</v>
      </c>
      <c r="C1116" s="3">
        <f t="shared" si="70"/>
        <v>62033.801110770444</v>
      </c>
      <c r="D1116" s="3">
        <f t="shared" si="71"/>
        <v>1.1905809666423011</v>
      </c>
      <c r="E1116" s="8">
        <f t="shared" si="68"/>
        <v>158.57142857142858</v>
      </c>
      <c r="F1116" s="3"/>
      <c r="G1116" s="3"/>
      <c r="H1116" s="3"/>
    </row>
    <row r="1117" spans="1:8" ht="18.75" x14ac:dyDescent="0.3">
      <c r="A1117" s="3">
        <v>1111</v>
      </c>
      <c r="B1117" s="9">
        <f t="shared" si="69"/>
        <v>0.99165542223752867</v>
      </c>
      <c r="C1117" s="3">
        <f t="shared" si="70"/>
        <v>62034.988248913083</v>
      </c>
      <c r="D1117" s="3">
        <f t="shared" si="71"/>
        <v>1.1871381426390144</v>
      </c>
      <c r="E1117" s="8">
        <f t="shared" si="68"/>
        <v>158.71428571428572</v>
      </c>
      <c r="F1117" s="3"/>
      <c r="G1117" s="3"/>
      <c r="H1117" s="3"/>
    </row>
    <row r="1118" spans="1:8" ht="18.75" x14ac:dyDescent="0.3">
      <c r="A1118" s="3">
        <v>1112</v>
      </c>
      <c r="B1118" s="9">
        <f t="shared" si="69"/>
        <v>0.99167434430121271</v>
      </c>
      <c r="C1118" s="3">
        <f t="shared" si="70"/>
        <v>62036.171956450962</v>
      </c>
      <c r="D1118" s="3">
        <f t="shared" si="71"/>
        <v>1.183707537878945</v>
      </c>
      <c r="E1118" s="8">
        <f t="shared" si="68"/>
        <v>158.85714285714286</v>
      </c>
      <c r="F1118" s="3"/>
      <c r="G1118" s="3"/>
      <c r="H1118" s="3"/>
    </row>
    <row r="1119" spans="1:8" ht="18.75" x14ac:dyDescent="0.3">
      <c r="A1119" s="3">
        <v>1113</v>
      </c>
      <c r="B1119" s="9">
        <f t="shared" si="69"/>
        <v>0.99169321171973757</v>
      </c>
      <c r="C1119" s="3">
        <f t="shared" si="70"/>
        <v>62037.352245551621</v>
      </c>
      <c r="D1119" s="3">
        <f t="shared" si="71"/>
        <v>1.1802891006591381</v>
      </c>
      <c r="E1119" s="8">
        <f t="shared" si="68"/>
        <v>159</v>
      </c>
      <c r="F1119" s="3"/>
      <c r="G1119" s="3"/>
      <c r="H1119" s="3"/>
    </row>
    <row r="1120" spans="1:8" ht="18.75" x14ac:dyDescent="0.3">
      <c r="A1120" s="3">
        <v>1114</v>
      </c>
      <c r="B1120" s="9">
        <f t="shared" si="69"/>
        <v>0.99171202468678321</v>
      </c>
      <c r="C1120" s="3">
        <f t="shared" si="70"/>
        <v>62038.529128331094</v>
      </c>
      <c r="D1120" s="3">
        <f t="shared" si="71"/>
        <v>1.1768827794730896</v>
      </c>
      <c r="E1120" s="8">
        <f t="shared" si="68"/>
        <v>159.14285714285714</v>
      </c>
      <c r="F1120" s="3"/>
      <c r="G1120" s="3"/>
      <c r="H1120" s="3"/>
    </row>
    <row r="1121" spans="1:8" ht="18.75" x14ac:dyDescent="0.3">
      <c r="A1121" s="3">
        <v>1115</v>
      </c>
      <c r="B1121" s="9">
        <f t="shared" si="69"/>
        <v>0.99173078339521081</v>
      </c>
      <c r="C1121" s="3">
        <f t="shared" si="70"/>
        <v>62039.7026168542</v>
      </c>
      <c r="D1121" s="3">
        <f t="shared" si="71"/>
        <v>1.173488523105334</v>
      </c>
      <c r="E1121" s="8">
        <f t="shared" si="68"/>
        <v>159.28571428571428</v>
      </c>
      <c r="F1121" s="3"/>
      <c r="G1121" s="3"/>
      <c r="H1121" s="3"/>
    </row>
    <row r="1122" spans="1:8" ht="18.75" x14ac:dyDescent="0.3">
      <c r="A1122" s="3">
        <v>1116</v>
      </c>
      <c r="B1122" s="9">
        <f t="shared" si="69"/>
        <v>0.99174948803706686</v>
      </c>
      <c r="C1122" s="3">
        <f t="shared" si="70"/>
        <v>62040.872723134795</v>
      </c>
      <c r="D1122" s="3">
        <f t="shared" si="71"/>
        <v>1.1701062805950642</v>
      </c>
      <c r="E1122" s="8">
        <f t="shared" si="68"/>
        <v>159.42857142857142</v>
      </c>
      <c r="F1122" s="3"/>
      <c r="G1122" s="3"/>
      <c r="H1122" s="3"/>
    </row>
    <row r="1123" spans="1:8" ht="18.75" x14ac:dyDescent="0.3">
      <c r="A1123" s="3">
        <v>1117</v>
      </c>
      <c r="B1123" s="9">
        <f t="shared" si="69"/>
        <v>0.99176813880358672</v>
      </c>
      <c r="C1123" s="3">
        <f t="shared" si="70"/>
        <v>62042.039459135973</v>
      </c>
      <c r="D1123" s="3">
        <f t="shared" si="71"/>
        <v>1.1667360011779238</v>
      </c>
      <c r="E1123" s="8">
        <f t="shared" si="68"/>
        <v>159.57142857142858</v>
      </c>
      <c r="F1123" s="3"/>
      <c r="G1123" s="3"/>
      <c r="H1123" s="3"/>
    </row>
    <row r="1124" spans="1:8" ht="18.75" x14ac:dyDescent="0.3">
      <c r="A1124" s="3">
        <v>1118</v>
      </c>
      <c r="B1124" s="9">
        <f t="shared" si="69"/>
        <v>0.99178673588519928</v>
      </c>
      <c r="C1124" s="3">
        <f t="shared" si="70"/>
        <v>62043.202836770412</v>
      </c>
      <c r="D1124" s="3">
        <f t="shared" si="71"/>
        <v>1.1633776344388025</v>
      </c>
      <c r="E1124" s="8">
        <f t="shared" si="68"/>
        <v>159.71428571428572</v>
      </c>
      <c r="F1124" s="3"/>
      <c r="G1124" s="3"/>
      <c r="H1124" s="3"/>
    </row>
    <row r="1125" spans="1:8" ht="18.75" x14ac:dyDescent="0.3">
      <c r="A1125" s="3">
        <v>1119</v>
      </c>
      <c r="B1125" s="9">
        <f t="shared" si="69"/>
        <v>0.99180527947153019</v>
      </c>
      <c r="C1125" s="3">
        <f t="shared" si="70"/>
        <v>62044.362867900512</v>
      </c>
      <c r="D1125" s="3">
        <f t="shared" si="71"/>
        <v>1.1600311301008333</v>
      </c>
      <c r="E1125" s="8">
        <f t="shared" si="68"/>
        <v>159.85714285714286</v>
      </c>
      <c r="F1125" s="3"/>
      <c r="G1125" s="3"/>
      <c r="H1125" s="3"/>
    </row>
    <row r="1126" spans="1:8" ht="18.75" x14ac:dyDescent="0.3">
      <c r="A1126" s="3">
        <v>1120</v>
      </c>
      <c r="B1126" s="9">
        <f t="shared" si="69"/>
        <v>0.99182376975140651</v>
      </c>
      <c r="C1126" s="3">
        <f t="shared" si="70"/>
        <v>62045.519564338734</v>
      </c>
      <c r="D1126" s="3">
        <f t="shared" si="71"/>
        <v>1.156696438221843</v>
      </c>
      <c r="E1126" s="8">
        <f t="shared" si="68"/>
        <v>160</v>
      </c>
      <c r="F1126" s="3"/>
      <c r="G1126" s="3"/>
      <c r="H1126" s="3"/>
    </row>
    <row r="1127" spans="1:8" ht="18.75" x14ac:dyDescent="0.3">
      <c r="A1127" s="3">
        <v>1121</v>
      </c>
      <c r="B1127" s="9">
        <f t="shared" si="69"/>
        <v>0.99184220691286018</v>
      </c>
      <c r="C1127" s="3">
        <f t="shared" si="70"/>
        <v>62046.672937847798</v>
      </c>
      <c r="D1127" s="3">
        <f t="shared" si="71"/>
        <v>1.1533735090633854</v>
      </c>
      <c r="E1127" s="8">
        <f t="shared" si="68"/>
        <v>160.14285714285714</v>
      </c>
      <c r="F1127" s="3"/>
      <c r="G1127" s="3"/>
      <c r="H1127" s="3"/>
    </row>
    <row r="1128" spans="1:8" ht="18.75" x14ac:dyDescent="0.3">
      <c r="A1128" s="3">
        <v>1122</v>
      </c>
      <c r="B1128" s="9">
        <f t="shared" si="69"/>
        <v>0.99186059114313219</v>
      </c>
      <c r="C1128" s="3">
        <f t="shared" si="70"/>
        <v>62047.823000140917</v>
      </c>
      <c r="D1128" s="3">
        <f t="shared" si="71"/>
        <v>1.150062293119845</v>
      </c>
      <c r="E1128" s="8">
        <f t="shared" si="68"/>
        <v>160.28571428571428</v>
      </c>
      <c r="F1128" s="3"/>
      <c r="G1128" s="3"/>
      <c r="H1128" s="3"/>
    </row>
    <row r="1129" spans="1:8" ht="18.75" x14ac:dyDescent="0.3">
      <c r="A1129" s="3">
        <v>1123</v>
      </c>
      <c r="B1129" s="9">
        <f t="shared" si="69"/>
        <v>0.99187892262867616</v>
      </c>
      <c r="C1129" s="3">
        <f t="shared" si="70"/>
        <v>62048.969762882094</v>
      </c>
      <c r="D1129" s="3">
        <f t="shared" si="71"/>
        <v>1.1467627411766443</v>
      </c>
      <c r="E1129" s="8">
        <f t="shared" si="68"/>
        <v>160.42857142857142</v>
      </c>
      <c r="F1129" s="3"/>
      <c r="G1129" s="3"/>
      <c r="H1129" s="3"/>
    </row>
    <row r="1130" spans="1:8" ht="18.75" x14ac:dyDescent="0.3">
      <c r="A1130" s="3">
        <v>1124</v>
      </c>
      <c r="B1130" s="9">
        <f t="shared" si="69"/>
        <v>0.99189720155516248</v>
      </c>
      <c r="C1130" s="3">
        <f t="shared" si="70"/>
        <v>62050.113237686302</v>
      </c>
      <c r="D1130" s="3">
        <f t="shared" si="71"/>
        <v>1.1434748042083811</v>
      </c>
      <c r="E1130" s="8">
        <f t="shared" si="68"/>
        <v>160.57142857142858</v>
      </c>
      <c r="F1130" s="3"/>
      <c r="G1130" s="3"/>
      <c r="H1130" s="3"/>
    </row>
    <row r="1131" spans="1:8" ht="18.75" x14ac:dyDescent="0.3">
      <c r="A1131" s="3">
        <v>1125</v>
      </c>
      <c r="B1131" s="9">
        <f t="shared" si="69"/>
        <v>0.99191542810748201</v>
      </c>
      <c r="C1131" s="3">
        <f t="shared" si="70"/>
        <v>62051.253436119754</v>
      </c>
      <c r="D1131" s="3">
        <f t="shared" si="71"/>
        <v>1.1401984334515873</v>
      </c>
      <c r="E1131" s="8">
        <f t="shared" si="68"/>
        <v>160.71428571428572</v>
      </c>
      <c r="F1131" s="3"/>
      <c r="G1131" s="3"/>
      <c r="H1131" s="3"/>
    </row>
    <row r="1132" spans="1:8" ht="18.75" x14ac:dyDescent="0.3">
      <c r="A1132" s="3">
        <v>1126</v>
      </c>
      <c r="B1132" s="9">
        <f t="shared" si="69"/>
        <v>0.99193360246975004</v>
      </c>
      <c r="C1132" s="3">
        <f t="shared" si="70"/>
        <v>62052.390369700151</v>
      </c>
      <c r="D1132" s="3">
        <f t="shared" si="71"/>
        <v>1.1369335803974536</v>
      </c>
      <c r="E1132" s="8">
        <f t="shared" si="68"/>
        <v>160.85714285714286</v>
      </c>
      <c r="F1132" s="3"/>
      <c r="G1132" s="3"/>
      <c r="H1132" s="3"/>
    </row>
    <row r="1133" spans="1:8" ht="18.75" x14ac:dyDescent="0.3">
      <c r="A1133" s="3">
        <v>1127</v>
      </c>
      <c r="B1133" s="9">
        <f t="shared" si="69"/>
        <v>0.9919517248253098</v>
      </c>
      <c r="C1133" s="3">
        <f t="shared" si="70"/>
        <v>62053.524049896907</v>
      </c>
      <c r="D1133" s="3">
        <f t="shared" si="71"/>
        <v>1.1336801967554493</v>
      </c>
      <c r="E1133" s="8">
        <f t="shared" si="68"/>
        <v>161</v>
      </c>
      <c r="F1133" s="3"/>
      <c r="G1133" s="3"/>
      <c r="H1133" s="3"/>
    </row>
    <row r="1134" spans="1:8" ht="18.75" x14ac:dyDescent="0.3">
      <c r="A1134" s="3">
        <v>1128</v>
      </c>
      <c r="B1134" s="9">
        <f t="shared" si="69"/>
        <v>0.99196979535673657</v>
      </c>
      <c r="C1134" s="3">
        <f t="shared" si="70"/>
        <v>62054.654488131368</v>
      </c>
      <c r="D1134" s="3">
        <f t="shared" si="71"/>
        <v>1.1304382344605983</v>
      </c>
      <c r="E1134" s="8">
        <f t="shared" si="68"/>
        <v>161.14285714285714</v>
      </c>
      <c r="F1134" s="3"/>
      <c r="G1134" s="3"/>
      <c r="H1134" s="3"/>
    </row>
    <row r="1135" spans="1:8" ht="18.75" x14ac:dyDescent="0.3">
      <c r="A1135" s="3">
        <v>1129</v>
      </c>
      <c r="B1135" s="9">
        <f t="shared" si="69"/>
        <v>0.99198781424584126</v>
      </c>
      <c r="C1135" s="3">
        <f t="shared" si="70"/>
        <v>62055.781695777092</v>
      </c>
      <c r="D1135" s="3">
        <f t="shared" si="71"/>
        <v>1.1272076457244111</v>
      </c>
      <c r="E1135" s="8">
        <f t="shared" si="68"/>
        <v>161.28571428571428</v>
      </c>
      <c r="F1135" s="3"/>
      <c r="G1135" s="3"/>
      <c r="H1135" s="3"/>
    </row>
    <row r="1136" spans="1:8" ht="18.75" x14ac:dyDescent="0.3">
      <c r="A1136" s="3">
        <v>1130</v>
      </c>
      <c r="B1136" s="9">
        <f t="shared" si="69"/>
        <v>0.99200578167367404</v>
      </c>
      <c r="C1136" s="3">
        <f t="shared" si="70"/>
        <v>62056.905684160025</v>
      </c>
      <c r="D1136" s="3">
        <f t="shared" si="71"/>
        <v>1.1239883829330211</v>
      </c>
      <c r="E1136" s="8">
        <f t="shared" si="68"/>
        <v>161.42857142857142</v>
      </c>
      <c r="F1136" s="3"/>
      <c r="G1136" s="3"/>
      <c r="H1136" s="3"/>
    </row>
    <row r="1137" spans="1:8" ht="18.75" x14ac:dyDescent="0.3">
      <c r="A1137" s="3">
        <v>1131</v>
      </c>
      <c r="B1137" s="9">
        <f t="shared" si="69"/>
        <v>0.99202369782052835</v>
      </c>
      <c r="C1137" s="3">
        <f t="shared" si="70"/>
        <v>62058.026464558789</v>
      </c>
      <c r="D1137" s="3">
        <f t="shared" si="71"/>
        <v>1.1207803987635998</v>
      </c>
      <c r="E1137" s="8">
        <f t="shared" si="68"/>
        <v>161.57142857142858</v>
      </c>
      <c r="F1137" s="3"/>
      <c r="G1137" s="3"/>
      <c r="H1137" s="3"/>
    </row>
    <row r="1138" spans="1:8" ht="18.75" x14ac:dyDescent="0.3">
      <c r="A1138" s="3">
        <v>1132</v>
      </c>
      <c r="B1138" s="9">
        <f t="shared" si="69"/>
        <v>0.99204156286594414</v>
      </c>
      <c r="C1138" s="3">
        <f t="shared" si="70"/>
        <v>62059.144048204864</v>
      </c>
      <c r="D1138" s="3">
        <f t="shared" si="71"/>
        <v>1.117583646075218</v>
      </c>
      <c r="E1138" s="8">
        <f t="shared" si="68"/>
        <v>161.71428571428572</v>
      </c>
      <c r="F1138" s="3"/>
      <c r="G1138" s="3"/>
      <c r="H1138" s="3"/>
    </row>
    <row r="1139" spans="1:8" ht="18.75" x14ac:dyDescent="0.3">
      <c r="A1139" s="3">
        <v>1133</v>
      </c>
      <c r="B1139" s="9">
        <f t="shared" si="69"/>
        <v>0.99205937698871216</v>
      </c>
      <c r="C1139" s="3">
        <f t="shared" si="70"/>
        <v>62060.258446282867</v>
      </c>
      <c r="D1139" s="3">
        <f t="shared" si="71"/>
        <v>1.1143980780034326</v>
      </c>
      <c r="E1139" s="8">
        <f t="shared" si="68"/>
        <v>161.85714285714286</v>
      </c>
      <c r="F1139" s="3"/>
      <c r="G1139" s="3"/>
      <c r="H1139" s="3"/>
    </row>
    <row r="1140" spans="1:8" ht="18.75" x14ac:dyDescent="0.3">
      <c r="A1140" s="3">
        <v>1134</v>
      </c>
      <c r="B1140" s="9">
        <f t="shared" si="69"/>
        <v>0.992077140366877</v>
      </c>
      <c r="C1140" s="3">
        <f t="shared" si="70"/>
        <v>62061.369669930726</v>
      </c>
      <c r="D1140" s="3">
        <f t="shared" si="71"/>
        <v>1.1112236478584236</v>
      </c>
      <c r="E1140" s="8">
        <f t="shared" si="68"/>
        <v>162</v>
      </c>
      <c r="F1140" s="3"/>
      <c r="G1140" s="3"/>
      <c r="H1140" s="3"/>
    </row>
    <row r="1141" spans="1:8" ht="18.75" x14ac:dyDescent="0.3">
      <c r="A1141" s="3">
        <v>1135</v>
      </c>
      <c r="B1141" s="9">
        <f t="shared" si="69"/>
        <v>0.99209485317774115</v>
      </c>
      <c r="C1141" s="3">
        <f t="shared" si="70"/>
        <v>62062.477730239953</v>
      </c>
      <c r="D1141" s="3">
        <f t="shared" si="71"/>
        <v>1.1080603092268575</v>
      </c>
      <c r="E1141" s="8">
        <f t="shared" si="68"/>
        <v>162.14285714285714</v>
      </c>
      <c r="F1141" s="3"/>
      <c r="G1141" s="3"/>
      <c r="H1141" s="3"/>
    </row>
    <row r="1142" spans="1:8" ht="18.75" x14ac:dyDescent="0.3">
      <c r="A1142" s="3">
        <v>1136</v>
      </c>
      <c r="B1142" s="9">
        <f t="shared" si="69"/>
        <v>0.99211251559786828</v>
      </c>
      <c r="C1142" s="3">
        <f t="shared" si="70"/>
        <v>62063.582638255844</v>
      </c>
      <c r="D1142" s="3">
        <f t="shared" si="71"/>
        <v>1.1049080158918514</v>
      </c>
      <c r="E1142" s="8">
        <f t="shared" si="68"/>
        <v>162.28571428571428</v>
      </c>
      <c r="F1142" s="3"/>
      <c r="G1142" s="3"/>
      <c r="H1142" s="3"/>
    </row>
    <row r="1143" spans="1:8" ht="18.75" x14ac:dyDescent="0.3">
      <c r="A1143" s="3">
        <v>1137</v>
      </c>
      <c r="B1143" s="9">
        <f t="shared" si="69"/>
        <v>0.99213012780308718</v>
      </c>
      <c r="C1143" s="3">
        <f t="shared" si="70"/>
        <v>62064.684404977728</v>
      </c>
      <c r="D1143" s="3">
        <f t="shared" si="71"/>
        <v>1.1017667218839051</v>
      </c>
      <c r="E1143" s="8">
        <f t="shared" si="68"/>
        <v>162.42857142857142</v>
      </c>
      <c r="F1143" s="3"/>
      <c r="G1143" s="3"/>
      <c r="H1143" s="3"/>
    </row>
    <row r="1144" spans="1:8" ht="18.75" x14ac:dyDescent="0.3">
      <c r="A1144" s="3">
        <v>1138</v>
      </c>
      <c r="B1144" s="9">
        <f t="shared" si="69"/>
        <v>0.99214768996849478</v>
      </c>
      <c r="C1144" s="3">
        <f t="shared" si="70"/>
        <v>62065.783041359129</v>
      </c>
      <c r="D1144" s="3">
        <f t="shared" si="71"/>
        <v>1.0986363814008655</v>
      </c>
      <c r="E1144" s="8">
        <f t="shared" si="68"/>
        <v>162.57142857142858</v>
      </c>
      <c r="F1144" s="3"/>
      <c r="G1144" s="3"/>
      <c r="H1144" s="3"/>
    </row>
    <row r="1145" spans="1:8" ht="18.75" x14ac:dyDescent="0.3">
      <c r="A1145" s="3">
        <v>1139</v>
      </c>
      <c r="B1145" s="9">
        <f t="shared" si="69"/>
        <v>0.99216520226846061</v>
      </c>
      <c r="C1145" s="3">
        <f t="shared" si="70"/>
        <v>62066.87855830809</v>
      </c>
      <c r="D1145" s="3">
        <f t="shared" si="71"/>
        <v>1.0955169489607215</v>
      </c>
      <c r="E1145" s="8">
        <f t="shared" si="68"/>
        <v>162.71428571428572</v>
      </c>
      <c r="F1145" s="3"/>
      <c r="G1145" s="3"/>
      <c r="H1145" s="3"/>
    </row>
    <row r="1146" spans="1:8" ht="18.75" x14ac:dyDescent="0.3">
      <c r="A1146" s="3">
        <v>1140</v>
      </c>
      <c r="B1146" s="9">
        <f t="shared" si="69"/>
        <v>0.99218266487662921</v>
      </c>
      <c r="C1146" s="3">
        <f t="shared" si="70"/>
        <v>62067.970966687295</v>
      </c>
      <c r="D1146" s="3">
        <f t="shared" si="71"/>
        <v>1.0924083792051533</v>
      </c>
      <c r="E1146" s="8">
        <f t="shared" si="68"/>
        <v>162.85714285714286</v>
      </c>
      <c r="F1146" s="3"/>
      <c r="G1146" s="3"/>
      <c r="H1146" s="3"/>
    </row>
    <row r="1147" spans="1:8" ht="18.75" x14ac:dyDescent="0.3">
      <c r="A1147" s="3">
        <v>1141</v>
      </c>
      <c r="B1147" s="9">
        <f t="shared" si="69"/>
        <v>0.99220007796592458</v>
      </c>
      <c r="C1147" s="3">
        <f t="shared" si="70"/>
        <v>62069.060277314347</v>
      </c>
      <c r="D1147" s="3">
        <f t="shared" si="71"/>
        <v>1.0893106270523276</v>
      </c>
      <c r="E1147" s="8">
        <f t="shared" si="68"/>
        <v>163</v>
      </c>
      <c r="F1147" s="3"/>
      <c r="G1147" s="3"/>
      <c r="H1147" s="3"/>
    </row>
    <row r="1148" spans="1:8" ht="18.75" x14ac:dyDescent="0.3">
      <c r="A1148" s="3">
        <v>1142</v>
      </c>
      <c r="B1148" s="9">
        <f t="shared" si="69"/>
        <v>0.99221744170855319</v>
      </c>
      <c r="C1148" s="3">
        <f t="shared" si="70"/>
        <v>62070.146500961964</v>
      </c>
      <c r="D1148" s="3">
        <f t="shared" si="71"/>
        <v>1.0862236476168619</v>
      </c>
      <c r="E1148" s="8">
        <f t="shared" si="68"/>
        <v>163.14285714285714</v>
      </c>
      <c r="F1148" s="3"/>
      <c r="G1148" s="3"/>
      <c r="H1148" s="3"/>
    </row>
    <row r="1149" spans="1:8" ht="18.75" x14ac:dyDescent="0.3">
      <c r="A1149" s="3">
        <v>1143</v>
      </c>
      <c r="B1149" s="9">
        <f t="shared" si="69"/>
        <v>0.99223475627600755</v>
      </c>
      <c r="C1149" s="3">
        <f t="shared" si="70"/>
        <v>62071.229648358203</v>
      </c>
      <c r="D1149" s="3">
        <f t="shared" si="71"/>
        <v>1.0831473962389282</v>
      </c>
      <c r="E1149" s="8">
        <f t="shared" si="68"/>
        <v>163.28571428571428</v>
      </c>
      <c r="F1149" s="3"/>
      <c r="G1149" s="3"/>
      <c r="H1149" s="3"/>
    </row>
    <row r="1150" spans="1:8" ht="18.75" x14ac:dyDescent="0.3">
      <c r="A1150" s="3">
        <v>1144</v>
      </c>
      <c r="B1150" s="9">
        <f t="shared" si="69"/>
        <v>0.99225202183906958</v>
      </c>
      <c r="C1150" s="3">
        <f t="shared" si="70"/>
        <v>62072.309730186673</v>
      </c>
      <c r="D1150" s="3">
        <f t="shared" si="71"/>
        <v>1.0800818284697016</v>
      </c>
      <c r="E1150" s="8">
        <f t="shared" si="68"/>
        <v>163.42857142857142</v>
      </c>
      <c r="F1150" s="3"/>
      <c r="G1150" s="3"/>
      <c r="H1150" s="3"/>
    </row>
    <row r="1151" spans="1:8" ht="18.75" x14ac:dyDescent="0.3">
      <c r="A1151" s="3">
        <v>1145</v>
      </c>
      <c r="B1151" s="9">
        <f t="shared" si="69"/>
        <v>0.99226923856781435</v>
      </c>
      <c r="C1151" s="3">
        <f t="shared" si="70"/>
        <v>62073.386757086759</v>
      </c>
      <c r="D1151" s="3">
        <f t="shared" si="71"/>
        <v>1.0770269000859116</v>
      </c>
      <c r="E1151" s="8">
        <f t="shared" si="68"/>
        <v>163.57142857142858</v>
      </c>
      <c r="F1151" s="3"/>
      <c r="G1151" s="3"/>
      <c r="H1151" s="3"/>
    </row>
    <row r="1152" spans="1:8" ht="18.75" x14ac:dyDescent="0.3">
      <c r="A1152" s="3">
        <v>1146</v>
      </c>
      <c r="B1152" s="9">
        <f t="shared" si="69"/>
        <v>0.99228640663161294</v>
      </c>
      <c r="C1152" s="3">
        <f t="shared" si="70"/>
        <v>62074.460739653812</v>
      </c>
      <c r="D1152" s="3">
        <f t="shared" si="71"/>
        <v>1.0739825670534628</v>
      </c>
      <c r="E1152" s="8">
        <f t="shared" si="68"/>
        <v>163.71428571428572</v>
      </c>
      <c r="F1152" s="3"/>
      <c r="G1152" s="3"/>
      <c r="H1152" s="3"/>
    </row>
    <row r="1153" spans="1:8" ht="18.75" x14ac:dyDescent="0.3">
      <c r="A1153" s="3">
        <v>1147</v>
      </c>
      <c r="B1153" s="9">
        <f t="shared" si="69"/>
        <v>0.99230352619913653</v>
      </c>
      <c r="C1153" s="3">
        <f t="shared" si="70"/>
        <v>62075.531688439383</v>
      </c>
      <c r="D1153" s="3">
        <f t="shared" si="71"/>
        <v>1.0709487855710904</v>
      </c>
      <c r="E1153" s="8">
        <f t="shared" si="68"/>
        <v>163.85714285714286</v>
      </c>
      <c r="F1153" s="3"/>
      <c r="G1153" s="3"/>
      <c r="H1153" s="3"/>
    </row>
    <row r="1154" spans="1:8" ht="18.75" x14ac:dyDescent="0.3">
      <c r="A1154" s="3">
        <v>1148</v>
      </c>
      <c r="B1154" s="9">
        <f t="shared" si="69"/>
        <v>0.9923205974383591</v>
      </c>
      <c r="C1154" s="3">
        <f t="shared" si="70"/>
        <v>62076.599613951432</v>
      </c>
      <c r="D1154" s="3">
        <f t="shared" si="71"/>
        <v>1.0679255120485323</v>
      </c>
      <c r="E1154" s="8">
        <f t="shared" si="68"/>
        <v>164</v>
      </c>
      <c r="F1154" s="3"/>
      <c r="G1154" s="3"/>
      <c r="H1154" s="3"/>
    </row>
    <row r="1155" spans="1:8" ht="18.75" x14ac:dyDescent="0.3">
      <c r="A1155" s="3">
        <v>1149</v>
      </c>
      <c r="B1155" s="9">
        <f t="shared" si="69"/>
        <v>0.99233762051656138</v>
      </c>
      <c r="C1155" s="3">
        <f t="shared" si="70"/>
        <v>62077.664526654531</v>
      </c>
      <c r="D1155" s="3">
        <f t="shared" si="71"/>
        <v>1.0649127030992531</v>
      </c>
      <c r="E1155" s="8">
        <f t="shared" si="68"/>
        <v>164.14285714285714</v>
      </c>
      <c r="F1155" s="3"/>
      <c r="G1155" s="3"/>
      <c r="H1155" s="3"/>
    </row>
    <row r="1156" spans="1:8" ht="18.75" x14ac:dyDescent="0.3">
      <c r="A1156" s="3">
        <v>1150</v>
      </c>
      <c r="B1156" s="9">
        <f t="shared" si="69"/>
        <v>0.99235459560033379</v>
      </c>
      <c r="C1156" s="3">
        <f t="shared" si="70"/>
        <v>62078.726436970079</v>
      </c>
      <c r="D1156" s="3">
        <f t="shared" si="71"/>
        <v>1.0619103155477205</v>
      </c>
      <c r="E1156" s="8">
        <f t="shared" si="68"/>
        <v>164.28571428571428</v>
      </c>
      <c r="F1156" s="3"/>
      <c r="G1156" s="3"/>
      <c r="H1156" s="3"/>
    </row>
    <row r="1157" spans="1:8" ht="18.75" x14ac:dyDescent="0.3">
      <c r="A1157" s="3">
        <v>1151</v>
      </c>
      <c r="B1157" s="9">
        <f t="shared" si="69"/>
        <v>0.99237152285557972</v>
      </c>
      <c r="C1157" s="3">
        <f t="shared" si="70"/>
        <v>62079.785355276501</v>
      </c>
      <c r="D1157" s="3">
        <f t="shared" si="71"/>
        <v>1.0589183064221288</v>
      </c>
      <c r="E1157" s="8">
        <f t="shared" si="68"/>
        <v>164.42857142857142</v>
      </c>
      <c r="F1157" s="3"/>
      <c r="G1157" s="3"/>
      <c r="H1157" s="3"/>
    </row>
    <row r="1158" spans="1:8" ht="18.75" x14ac:dyDescent="0.3">
      <c r="A1158" s="3">
        <v>1152</v>
      </c>
      <c r="B1158" s="9">
        <f t="shared" si="69"/>
        <v>0.99238840244751914</v>
      </c>
      <c r="C1158" s="3">
        <f t="shared" si="70"/>
        <v>62080.841291909455</v>
      </c>
      <c r="D1158" s="3">
        <f t="shared" si="71"/>
        <v>1.0559366329543991</v>
      </c>
      <c r="E1158" s="8">
        <f t="shared" si="68"/>
        <v>164.57142857142858</v>
      </c>
      <c r="F1158" s="3"/>
      <c r="G1158" s="3"/>
      <c r="H1158" s="3"/>
    </row>
    <row r="1159" spans="1:8" ht="18.75" x14ac:dyDescent="0.3">
      <c r="A1159" s="3">
        <v>1153</v>
      </c>
      <c r="B1159" s="9">
        <f t="shared" si="69"/>
        <v>0.99240523454069196</v>
      </c>
      <c r="C1159" s="3">
        <f t="shared" si="70"/>
        <v>62081.894257162065</v>
      </c>
      <c r="D1159" s="3">
        <f t="shared" si="71"/>
        <v>1.0529652526092832</v>
      </c>
      <c r="E1159" s="8">
        <f t="shared" ref="E1159:E1222" si="72">A1159/7</f>
        <v>164.71428571428572</v>
      </c>
      <c r="F1159" s="3"/>
      <c r="G1159" s="3"/>
      <c r="H1159" s="3"/>
    </row>
    <row r="1160" spans="1:8" ht="18.75" x14ac:dyDescent="0.3">
      <c r="A1160" s="3">
        <v>1154</v>
      </c>
      <c r="B1160" s="9">
        <f t="shared" ref="B1160:B1223" si="73">LOGNORMDIST(A1160,$A$3,$B$3)</f>
        <v>0.99242201929896057</v>
      </c>
      <c r="C1160" s="3">
        <f t="shared" ref="C1160:C1223" si="74">$E$3*B1160</f>
        <v>62082.944261285076</v>
      </c>
      <c r="D1160" s="3">
        <f t="shared" ref="D1160:D1223" si="75">C1160-C1159</f>
        <v>1.050004123011604</v>
      </c>
      <c r="E1160" s="8">
        <f t="shared" si="72"/>
        <v>164.85714285714286</v>
      </c>
      <c r="F1160" s="3"/>
      <c r="G1160" s="3"/>
      <c r="H1160" s="3"/>
    </row>
    <row r="1161" spans="1:8" ht="18.75" x14ac:dyDescent="0.3">
      <c r="A1161" s="3">
        <v>1155</v>
      </c>
      <c r="B1161" s="9">
        <f t="shared" si="73"/>
        <v>0.99243875688551397</v>
      </c>
      <c r="C1161" s="3">
        <f t="shared" si="74"/>
        <v>62083.991314487095</v>
      </c>
      <c r="D1161" s="3">
        <f t="shared" si="75"/>
        <v>1.0470532020190149</v>
      </c>
      <c r="E1161" s="8">
        <f t="shared" si="72"/>
        <v>165</v>
      </c>
      <c r="F1161" s="3"/>
      <c r="G1161" s="3"/>
      <c r="H1161" s="3"/>
    </row>
    <row r="1162" spans="1:8" ht="18.75" x14ac:dyDescent="0.3">
      <c r="A1162" s="3">
        <v>1156</v>
      </c>
      <c r="B1162" s="9">
        <f t="shared" si="73"/>
        <v>0.99245544746287062</v>
      </c>
      <c r="C1162" s="3">
        <f t="shared" si="74"/>
        <v>62085.035426934795</v>
      </c>
      <c r="D1162" s="3">
        <f t="shared" si="75"/>
        <v>1.0441124477001722</v>
      </c>
      <c r="E1162" s="8">
        <f t="shared" si="72"/>
        <v>165.14285714285714</v>
      </c>
      <c r="F1162" s="3"/>
      <c r="G1162" s="3"/>
      <c r="H1162" s="3"/>
    </row>
    <row r="1163" spans="1:8" ht="18.75" x14ac:dyDescent="0.3">
      <c r="A1163" s="3">
        <v>1157</v>
      </c>
      <c r="B1163" s="9">
        <f t="shared" si="73"/>
        <v>0.99247209119288149</v>
      </c>
      <c r="C1163" s="3">
        <f t="shared" si="74"/>
        <v>62086.076608753086</v>
      </c>
      <c r="D1163" s="3">
        <f t="shared" si="75"/>
        <v>1.0411818182910793</v>
      </c>
      <c r="E1163" s="8">
        <f t="shared" si="72"/>
        <v>165.28571428571428</v>
      </c>
      <c r="F1163" s="3"/>
      <c r="G1163" s="3"/>
      <c r="H1163" s="3"/>
    </row>
    <row r="1164" spans="1:8" ht="18.75" x14ac:dyDescent="0.3">
      <c r="A1164" s="3">
        <v>1158</v>
      </c>
      <c r="B1164" s="9">
        <f t="shared" si="73"/>
        <v>0.99248868823673331</v>
      </c>
      <c r="C1164" s="3">
        <f t="shared" si="74"/>
        <v>62087.114870025325</v>
      </c>
      <c r="D1164" s="3">
        <f t="shared" si="75"/>
        <v>1.0382612722387421</v>
      </c>
      <c r="E1164" s="8">
        <f t="shared" si="72"/>
        <v>165.42857142857142</v>
      </c>
      <c r="F1164" s="3"/>
      <c r="G1164" s="3"/>
      <c r="H1164" s="3"/>
    </row>
    <row r="1165" spans="1:8" ht="18.75" x14ac:dyDescent="0.3">
      <c r="A1165" s="3">
        <v>1159</v>
      </c>
      <c r="B1165" s="9">
        <f t="shared" si="73"/>
        <v>0.99250523875495222</v>
      </c>
      <c r="C1165" s="3">
        <f t="shared" si="74"/>
        <v>62088.150220793548</v>
      </c>
      <c r="D1165" s="3">
        <f t="shared" si="75"/>
        <v>1.0353507682229974</v>
      </c>
      <c r="E1165" s="8">
        <f t="shared" si="72"/>
        <v>165.57142857142858</v>
      </c>
      <c r="F1165" s="3"/>
      <c r="G1165" s="3"/>
      <c r="H1165" s="3"/>
    </row>
    <row r="1166" spans="1:8" ht="18.75" x14ac:dyDescent="0.3">
      <c r="A1166" s="3">
        <v>1160</v>
      </c>
      <c r="B1166" s="9">
        <f t="shared" si="73"/>
        <v>0.99252174290740613</v>
      </c>
      <c r="C1166" s="3">
        <f t="shared" si="74"/>
        <v>62089.182671058603</v>
      </c>
      <c r="D1166" s="3">
        <f t="shared" si="75"/>
        <v>1.0324502650546492</v>
      </c>
      <c r="E1166" s="8">
        <f t="shared" si="72"/>
        <v>165.71428571428572</v>
      </c>
      <c r="F1166" s="3"/>
      <c r="G1166" s="3"/>
      <c r="H1166" s="3"/>
    </row>
    <row r="1167" spans="1:8" ht="18.75" x14ac:dyDescent="0.3">
      <c r="A1167" s="3">
        <v>1161</v>
      </c>
      <c r="B1167" s="9">
        <f t="shared" si="73"/>
        <v>0.99253820085330879</v>
      </c>
      <c r="C1167" s="3">
        <f t="shared" si="74"/>
        <v>62090.212230780438</v>
      </c>
      <c r="D1167" s="3">
        <f t="shared" si="75"/>
        <v>1.0295597218355397</v>
      </c>
      <c r="E1167" s="8">
        <f t="shared" si="72"/>
        <v>165.85714285714286</v>
      </c>
      <c r="F1167" s="3"/>
      <c r="G1167" s="3"/>
      <c r="H1167" s="3"/>
    </row>
    <row r="1168" spans="1:8" ht="18.75" x14ac:dyDescent="0.3">
      <c r="A1168" s="3">
        <v>1162</v>
      </c>
      <c r="B1168" s="9">
        <f t="shared" si="73"/>
        <v>0.99255461275122192</v>
      </c>
      <c r="C1168" s="3">
        <f t="shared" si="74"/>
        <v>62091.238909878193</v>
      </c>
      <c r="D1168" s="3">
        <f t="shared" si="75"/>
        <v>1.0266790977548226</v>
      </c>
      <c r="E1168" s="8">
        <f t="shared" si="72"/>
        <v>166</v>
      </c>
      <c r="F1168" s="3"/>
      <c r="G1168" s="3"/>
      <c r="H1168" s="3"/>
    </row>
    <row r="1169" spans="1:8" ht="18.75" x14ac:dyDescent="0.3">
      <c r="A1169" s="3">
        <v>1163</v>
      </c>
      <c r="B1169" s="9">
        <f t="shared" si="73"/>
        <v>0.9925709787590592</v>
      </c>
      <c r="C1169" s="3">
        <f t="shared" si="74"/>
        <v>62092.262718230464</v>
      </c>
      <c r="D1169" s="3">
        <f t="shared" si="75"/>
        <v>1.0238083522708621</v>
      </c>
      <c r="E1169" s="8">
        <f t="shared" si="72"/>
        <v>166.14285714285714</v>
      </c>
      <c r="F1169" s="3"/>
      <c r="G1169" s="3"/>
      <c r="H1169" s="3"/>
    </row>
    <row r="1170" spans="1:8" ht="18.75" x14ac:dyDescent="0.3">
      <c r="A1170" s="3">
        <v>1164</v>
      </c>
      <c r="B1170" s="9">
        <f t="shared" si="73"/>
        <v>0.99258729903408871</v>
      </c>
      <c r="C1170" s="3">
        <f t="shared" si="74"/>
        <v>62093.283665675488</v>
      </c>
      <c r="D1170" s="3">
        <f t="shared" si="75"/>
        <v>1.0209474450239213</v>
      </c>
      <c r="E1170" s="8">
        <f t="shared" si="72"/>
        <v>166.28571428571428</v>
      </c>
      <c r="F1170" s="3"/>
      <c r="G1170" s="3"/>
      <c r="H1170" s="3"/>
    </row>
    <row r="1171" spans="1:8" ht="18.75" x14ac:dyDescent="0.3">
      <c r="A1171" s="3">
        <v>1165</v>
      </c>
      <c r="B1171" s="9">
        <f t="shared" si="73"/>
        <v>0.99260357373293651</v>
      </c>
      <c r="C1171" s="3">
        <f t="shared" si="74"/>
        <v>62094.30176201131</v>
      </c>
      <c r="D1171" s="3">
        <f t="shared" si="75"/>
        <v>1.0180963358216104</v>
      </c>
      <c r="E1171" s="8">
        <f t="shared" si="72"/>
        <v>166.42857142857142</v>
      </c>
      <c r="F1171" s="3"/>
      <c r="G1171" s="3"/>
      <c r="H1171" s="3"/>
    </row>
    <row r="1172" spans="1:8" ht="18.75" x14ac:dyDescent="0.3">
      <c r="A1172" s="3">
        <v>1166</v>
      </c>
      <c r="B1172" s="9">
        <f t="shared" si="73"/>
        <v>0.99261980301158914</v>
      </c>
      <c r="C1172" s="3">
        <f t="shared" si="74"/>
        <v>62095.317016995985</v>
      </c>
      <c r="D1172" s="3">
        <f t="shared" si="75"/>
        <v>1.0152549846752663</v>
      </c>
      <c r="E1172" s="8">
        <f t="shared" si="72"/>
        <v>166.57142857142858</v>
      </c>
      <c r="F1172" s="3"/>
      <c r="G1172" s="3"/>
      <c r="H1172" s="3"/>
    </row>
    <row r="1173" spans="1:8" ht="18.75" x14ac:dyDescent="0.3">
      <c r="A1173" s="3">
        <v>1167</v>
      </c>
      <c r="B1173" s="9">
        <f t="shared" si="73"/>
        <v>0.99263598702539735</v>
      </c>
      <c r="C1173" s="3">
        <f t="shared" si="74"/>
        <v>62096.329440347785</v>
      </c>
      <c r="D1173" s="3">
        <f t="shared" si="75"/>
        <v>1.0124233517999528</v>
      </c>
      <c r="E1173" s="8">
        <f t="shared" si="72"/>
        <v>166.71428571428572</v>
      </c>
      <c r="F1173" s="3"/>
      <c r="G1173" s="3"/>
      <c r="H1173" s="3"/>
    </row>
    <row r="1174" spans="1:8" ht="18.75" x14ac:dyDescent="0.3">
      <c r="A1174" s="3">
        <v>1168</v>
      </c>
      <c r="B1174" s="9">
        <f t="shared" si="73"/>
        <v>0.99265212592907859</v>
      </c>
      <c r="C1174" s="3">
        <f t="shared" si="74"/>
        <v>62097.33904174537</v>
      </c>
      <c r="D1174" s="3">
        <f t="shared" si="75"/>
        <v>1.0096013975853566</v>
      </c>
      <c r="E1174" s="8">
        <f t="shared" si="72"/>
        <v>166.85714285714286</v>
      </c>
      <c r="F1174" s="3"/>
      <c r="G1174" s="3"/>
      <c r="H1174" s="3"/>
    </row>
    <row r="1175" spans="1:8" ht="18.75" x14ac:dyDescent="0.3">
      <c r="A1175" s="3">
        <v>1169</v>
      </c>
      <c r="B1175" s="9">
        <f t="shared" si="73"/>
        <v>0.99266821987672005</v>
      </c>
      <c r="C1175" s="3">
        <f t="shared" si="74"/>
        <v>62098.345830827973</v>
      </c>
      <c r="D1175" s="3">
        <f t="shared" si="75"/>
        <v>1.0067890826030634</v>
      </c>
      <c r="E1175" s="8">
        <f t="shared" si="72"/>
        <v>167</v>
      </c>
      <c r="F1175" s="3"/>
      <c r="G1175" s="3"/>
      <c r="H1175" s="3"/>
    </row>
    <row r="1176" spans="1:8" ht="18.75" x14ac:dyDescent="0.3">
      <c r="A1176" s="3">
        <v>1170</v>
      </c>
      <c r="B1176" s="9">
        <f t="shared" si="73"/>
        <v>0.99268426902178197</v>
      </c>
      <c r="C1176" s="3">
        <f t="shared" si="74"/>
        <v>62099.349817195616</v>
      </c>
      <c r="D1176" s="3">
        <f t="shared" si="75"/>
        <v>1.0039863676429377</v>
      </c>
      <c r="E1176" s="8">
        <f t="shared" si="72"/>
        <v>167.14285714285714</v>
      </c>
      <c r="F1176" s="3"/>
      <c r="G1176" s="3"/>
      <c r="H1176" s="3"/>
    </row>
    <row r="1177" spans="1:8" ht="18.75" x14ac:dyDescent="0.3">
      <c r="A1177" s="3">
        <v>1171</v>
      </c>
      <c r="B1177" s="9">
        <f t="shared" si="73"/>
        <v>0.99270027351710033</v>
      </c>
      <c r="C1177" s="3">
        <f t="shared" si="74"/>
        <v>62100.351010409242</v>
      </c>
      <c r="D1177" s="3">
        <f t="shared" si="75"/>
        <v>1.001193213625811</v>
      </c>
      <c r="E1177" s="8">
        <f t="shared" si="72"/>
        <v>167.28571428571428</v>
      </c>
      <c r="F1177" s="3"/>
      <c r="G1177" s="3"/>
      <c r="H1177" s="3"/>
    </row>
    <row r="1178" spans="1:8" ht="18.75" x14ac:dyDescent="0.3">
      <c r="A1178" s="3">
        <v>1172</v>
      </c>
      <c r="B1178" s="9">
        <f t="shared" si="73"/>
        <v>0.99271623351489002</v>
      </c>
      <c r="C1178" s="3">
        <f t="shared" si="74"/>
        <v>62101.349419990976</v>
      </c>
      <c r="D1178" s="3">
        <f t="shared" si="75"/>
        <v>0.9984095817344496</v>
      </c>
      <c r="E1178" s="8">
        <f t="shared" si="72"/>
        <v>167.42857142857142</v>
      </c>
      <c r="F1178" s="3"/>
      <c r="G1178" s="3"/>
      <c r="H1178" s="3"/>
    </row>
    <row r="1179" spans="1:8" ht="18.75" x14ac:dyDescent="0.3">
      <c r="A1179" s="3">
        <v>1173</v>
      </c>
      <c r="B1179" s="9">
        <f t="shared" si="73"/>
        <v>0.99273214916674746</v>
      </c>
      <c r="C1179" s="3">
        <f t="shared" si="74"/>
        <v>62102.345055424223</v>
      </c>
      <c r="D1179" s="3">
        <f t="shared" si="75"/>
        <v>0.99563543324620696</v>
      </c>
      <c r="E1179" s="8">
        <f t="shared" si="72"/>
        <v>167.57142857142858</v>
      </c>
      <c r="F1179" s="3"/>
      <c r="G1179" s="3"/>
      <c r="H1179" s="3"/>
    </row>
    <row r="1180" spans="1:8" ht="18.75" x14ac:dyDescent="0.3">
      <c r="A1180" s="3">
        <v>1174</v>
      </c>
      <c r="B1180" s="9">
        <f t="shared" si="73"/>
        <v>0.99274802062365408</v>
      </c>
      <c r="C1180" s="3">
        <f t="shared" si="74"/>
        <v>62103.33792615393</v>
      </c>
      <c r="D1180" s="3">
        <f t="shared" si="75"/>
        <v>0.99287072970764711</v>
      </c>
      <c r="E1180" s="8">
        <f t="shared" si="72"/>
        <v>167.71428571428572</v>
      </c>
      <c r="F1180" s="3"/>
      <c r="G1180" s="3"/>
      <c r="H1180" s="3"/>
    </row>
    <row r="1181" spans="1:8" ht="18.75" x14ac:dyDescent="0.3">
      <c r="A1181" s="3">
        <v>1175</v>
      </c>
      <c r="B1181" s="9">
        <f t="shared" si="73"/>
        <v>0.9927638480359785</v>
      </c>
      <c r="C1181" s="3">
        <f t="shared" si="74"/>
        <v>62104.328041586705</v>
      </c>
      <c r="D1181" s="3">
        <f t="shared" si="75"/>
        <v>0.99011543277447345</v>
      </c>
      <c r="E1181" s="8">
        <f t="shared" si="72"/>
        <v>167.85714285714286</v>
      </c>
      <c r="F1181" s="3"/>
      <c r="G1181" s="3"/>
      <c r="H1181" s="3"/>
    </row>
    <row r="1182" spans="1:8" ht="18.75" x14ac:dyDescent="0.3">
      <c r="A1182" s="3">
        <v>1176</v>
      </c>
      <c r="B1182" s="9">
        <f t="shared" si="73"/>
        <v>0.99277963155348004</v>
      </c>
      <c r="C1182" s="3">
        <f t="shared" si="74"/>
        <v>62105.315411091047</v>
      </c>
      <c r="D1182" s="3">
        <f t="shared" si="75"/>
        <v>0.98736950434249593</v>
      </c>
      <c r="E1182" s="8">
        <f t="shared" si="72"/>
        <v>168</v>
      </c>
      <c r="F1182" s="3"/>
      <c r="G1182" s="3"/>
      <c r="H1182" s="3"/>
    </row>
    <row r="1183" spans="1:8" ht="18.75" x14ac:dyDescent="0.3">
      <c r="A1183" s="3">
        <v>1177</v>
      </c>
      <c r="B1183" s="9">
        <f t="shared" si="73"/>
        <v>0.99279537132531137</v>
      </c>
      <c r="C1183" s="3">
        <f t="shared" si="74"/>
        <v>62106.3000439975</v>
      </c>
      <c r="D1183" s="3">
        <f t="shared" si="75"/>
        <v>0.98463290645304369</v>
      </c>
      <c r="E1183" s="8">
        <f t="shared" si="72"/>
        <v>168.14285714285714</v>
      </c>
      <c r="F1183" s="3"/>
      <c r="G1183" s="3"/>
      <c r="H1183" s="3"/>
    </row>
    <row r="1184" spans="1:8" ht="18.75" x14ac:dyDescent="0.3">
      <c r="A1184" s="3">
        <v>1178</v>
      </c>
      <c r="B1184" s="9">
        <f t="shared" si="73"/>
        <v>0.99281106750002135</v>
      </c>
      <c r="C1184" s="3">
        <f t="shared" si="74"/>
        <v>62107.281949598837</v>
      </c>
      <c r="D1184" s="3">
        <f t="shared" si="75"/>
        <v>0.98190560133662075</v>
      </c>
      <c r="E1184" s="8">
        <f t="shared" si="72"/>
        <v>168.28571428571428</v>
      </c>
      <c r="F1184" s="3"/>
      <c r="G1184" s="3"/>
      <c r="H1184" s="3"/>
    </row>
    <row r="1185" spans="1:8" ht="18.75" x14ac:dyDescent="0.3">
      <c r="A1185" s="3">
        <v>1179</v>
      </c>
      <c r="B1185" s="9">
        <f t="shared" si="73"/>
        <v>0.99282672022555785</v>
      </c>
      <c r="C1185" s="3">
        <f t="shared" si="74"/>
        <v>62108.261137150221</v>
      </c>
      <c r="D1185" s="3">
        <f t="shared" si="75"/>
        <v>0.9791875513838022</v>
      </c>
      <c r="E1185" s="8">
        <f t="shared" si="72"/>
        <v>168.42857142857142</v>
      </c>
      <c r="F1185" s="3"/>
      <c r="G1185" s="3"/>
      <c r="H1185" s="3"/>
    </row>
    <row r="1186" spans="1:8" ht="18.75" x14ac:dyDescent="0.3">
      <c r="A1186" s="3">
        <v>1180</v>
      </c>
      <c r="B1186" s="9">
        <f t="shared" si="73"/>
        <v>0.99284232964927066</v>
      </c>
      <c r="C1186" s="3">
        <f t="shared" si="74"/>
        <v>62109.237615869424</v>
      </c>
      <c r="D1186" s="3">
        <f t="shared" si="75"/>
        <v>0.97647871920344187</v>
      </c>
      <c r="E1186" s="8">
        <f t="shared" si="72"/>
        <v>168.57142857142858</v>
      </c>
      <c r="F1186" s="3"/>
      <c r="G1186" s="3"/>
      <c r="H1186" s="3"/>
    </row>
    <row r="1187" spans="1:8" ht="18.75" x14ac:dyDescent="0.3">
      <c r="A1187" s="3">
        <v>1181</v>
      </c>
      <c r="B1187" s="9">
        <f t="shared" si="73"/>
        <v>0.99285789591791429</v>
      </c>
      <c r="C1187" s="3">
        <f t="shared" si="74"/>
        <v>62110.211394936967</v>
      </c>
      <c r="D1187" s="3">
        <f t="shared" si="75"/>
        <v>0.97377906754263677</v>
      </c>
      <c r="E1187" s="8">
        <f t="shared" si="72"/>
        <v>168.71428571428572</v>
      </c>
      <c r="F1187" s="3"/>
      <c r="G1187" s="3"/>
      <c r="H1187" s="3"/>
    </row>
    <row r="1188" spans="1:8" ht="18.75" x14ac:dyDescent="0.3">
      <c r="A1188" s="3">
        <v>1182</v>
      </c>
      <c r="B1188" s="9">
        <f t="shared" si="73"/>
        <v>0.99287341917765082</v>
      </c>
      <c r="C1188" s="3">
        <f t="shared" si="74"/>
        <v>62111.182483496304</v>
      </c>
      <c r="D1188" s="3">
        <f t="shared" si="75"/>
        <v>0.97108855933765881</v>
      </c>
      <c r="E1188" s="8">
        <f t="shared" si="72"/>
        <v>168.85714285714286</v>
      </c>
      <c r="F1188" s="3"/>
      <c r="G1188" s="3"/>
      <c r="H1188" s="3"/>
    </row>
    <row r="1189" spans="1:8" ht="18.75" x14ac:dyDescent="0.3">
      <c r="A1189" s="3">
        <v>1183</v>
      </c>
      <c r="B1189" s="9">
        <f t="shared" si="73"/>
        <v>0.99288889957405269</v>
      </c>
      <c r="C1189" s="3">
        <f t="shared" si="74"/>
        <v>62112.150890654011</v>
      </c>
      <c r="D1189" s="3">
        <f t="shared" si="75"/>
        <v>0.96840715770667884</v>
      </c>
      <c r="E1189" s="8">
        <f t="shared" si="72"/>
        <v>169</v>
      </c>
      <c r="F1189" s="3"/>
      <c r="G1189" s="3"/>
      <c r="H1189" s="3"/>
    </row>
    <row r="1190" spans="1:8" ht="18.75" x14ac:dyDescent="0.3">
      <c r="A1190" s="3">
        <v>1184</v>
      </c>
      <c r="B1190" s="9">
        <f t="shared" si="73"/>
        <v>0.99290433725210514</v>
      </c>
      <c r="C1190" s="3">
        <f t="shared" si="74"/>
        <v>62113.116625479939</v>
      </c>
      <c r="D1190" s="3">
        <f t="shared" si="75"/>
        <v>0.9657348259279388</v>
      </c>
      <c r="E1190" s="8">
        <f t="shared" si="72"/>
        <v>169.14285714285714</v>
      </c>
      <c r="F1190" s="3"/>
      <c r="G1190" s="3"/>
      <c r="H1190" s="3"/>
    </row>
    <row r="1191" spans="1:8" ht="18.75" x14ac:dyDescent="0.3">
      <c r="A1191" s="3">
        <v>1185</v>
      </c>
      <c r="B1191" s="9">
        <f t="shared" si="73"/>
        <v>0.99291973235620956</v>
      </c>
      <c r="C1191" s="3">
        <f t="shared" si="74"/>
        <v>62114.079697007401</v>
      </c>
      <c r="D1191" s="3">
        <f t="shared" si="75"/>
        <v>0.96307152746157954</v>
      </c>
      <c r="E1191" s="8">
        <f t="shared" si="72"/>
        <v>169.28571428571428</v>
      </c>
      <c r="F1191" s="3"/>
      <c r="G1191" s="3"/>
      <c r="H1191" s="3"/>
    </row>
    <row r="1192" spans="1:8" ht="18.75" x14ac:dyDescent="0.3">
      <c r="A1192" s="3">
        <v>1186</v>
      </c>
      <c r="B1192" s="9">
        <f t="shared" si="73"/>
        <v>0.9929350850301859</v>
      </c>
      <c r="C1192" s="3">
        <f t="shared" si="74"/>
        <v>62115.040114233343</v>
      </c>
      <c r="D1192" s="3">
        <f t="shared" si="75"/>
        <v>0.96041722594236489</v>
      </c>
      <c r="E1192" s="8">
        <f t="shared" si="72"/>
        <v>169.42857142857142</v>
      </c>
      <c r="F1192" s="3"/>
      <c r="G1192" s="3"/>
      <c r="H1192" s="3"/>
    </row>
    <row r="1193" spans="1:8" ht="18.75" x14ac:dyDescent="0.3">
      <c r="A1193" s="3">
        <v>1187</v>
      </c>
      <c r="B1193" s="9">
        <f t="shared" si="73"/>
        <v>0.99295039541727503</v>
      </c>
      <c r="C1193" s="3">
        <f t="shared" si="74"/>
        <v>62115.997886118472</v>
      </c>
      <c r="D1193" s="3">
        <f t="shared" si="75"/>
        <v>0.95777188512875</v>
      </c>
      <c r="E1193" s="8">
        <f t="shared" si="72"/>
        <v>169.57142857142858</v>
      </c>
      <c r="F1193" s="3"/>
      <c r="G1193" s="3"/>
      <c r="H1193" s="3"/>
    </row>
    <row r="1194" spans="1:8" ht="18.75" x14ac:dyDescent="0.3">
      <c r="A1194" s="3">
        <v>1188</v>
      </c>
      <c r="B1194" s="9">
        <f t="shared" si="73"/>
        <v>0.99296566366014238</v>
      </c>
      <c r="C1194" s="3">
        <f t="shared" si="74"/>
        <v>62116.953021587527</v>
      </c>
      <c r="D1194" s="3">
        <f t="shared" si="75"/>
        <v>0.95513546905567637</v>
      </c>
      <c r="E1194" s="8">
        <f t="shared" si="72"/>
        <v>169.71428571428572</v>
      </c>
      <c r="F1194" s="3"/>
      <c r="G1194" s="3"/>
      <c r="H1194" s="3"/>
    </row>
    <row r="1195" spans="1:8" ht="18.75" x14ac:dyDescent="0.3">
      <c r="A1195" s="3">
        <v>1189</v>
      </c>
      <c r="B1195" s="9">
        <f t="shared" si="73"/>
        <v>0.99298088990087974</v>
      </c>
      <c r="C1195" s="3">
        <f t="shared" si="74"/>
        <v>62117.905529529336</v>
      </c>
      <c r="D1195" s="3">
        <f t="shared" si="75"/>
        <v>0.95250794180901721</v>
      </c>
      <c r="E1195" s="8">
        <f t="shared" si="72"/>
        <v>169.85714285714286</v>
      </c>
      <c r="F1195" s="3"/>
      <c r="G1195" s="3"/>
      <c r="H1195" s="3"/>
    </row>
    <row r="1196" spans="1:8" ht="18.75" x14ac:dyDescent="0.3">
      <c r="A1196" s="3">
        <v>1190</v>
      </c>
      <c r="B1196" s="9">
        <f t="shared" si="73"/>
        <v>0.99299607428100845</v>
      </c>
      <c r="C1196" s="3">
        <f t="shared" si="74"/>
        <v>62118.855418797044</v>
      </c>
      <c r="D1196" s="3">
        <f t="shared" si="75"/>
        <v>0.94988926770747639</v>
      </c>
      <c r="E1196" s="8">
        <f t="shared" si="72"/>
        <v>170</v>
      </c>
      <c r="F1196" s="3"/>
      <c r="G1196" s="3"/>
      <c r="H1196" s="3"/>
    </row>
    <row r="1197" spans="1:8" ht="18.75" x14ac:dyDescent="0.3">
      <c r="A1197" s="3">
        <v>1191</v>
      </c>
      <c r="B1197" s="9">
        <f t="shared" si="73"/>
        <v>0.99301121694148176</v>
      </c>
      <c r="C1197" s="3">
        <f t="shared" si="74"/>
        <v>62119.802698208274</v>
      </c>
      <c r="D1197" s="3">
        <f t="shared" si="75"/>
        <v>0.94727941122982884</v>
      </c>
      <c r="E1197" s="8">
        <f t="shared" si="72"/>
        <v>170.14285714285714</v>
      </c>
      <c r="F1197" s="3"/>
      <c r="G1197" s="3"/>
      <c r="H1197" s="3"/>
    </row>
    <row r="1198" spans="1:8" ht="18.75" x14ac:dyDescent="0.3">
      <c r="A1198" s="3">
        <v>1192</v>
      </c>
      <c r="B1198" s="9">
        <f t="shared" si="73"/>
        <v>0.99302631802268793</v>
      </c>
      <c r="C1198" s="3">
        <f t="shared" si="74"/>
        <v>62120.747376545289</v>
      </c>
      <c r="D1198" s="3">
        <f t="shared" si="75"/>
        <v>0.94467833701492054</v>
      </c>
      <c r="E1198" s="8">
        <f t="shared" si="72"/>
        <v>170.28571428571428</v>
      </c>
      <c r="F1198" s="3"/>
      <c r="G1198" s="3"/>
      <c r="H1198" s="3"/>
    </row>
    <row r="1199" spans="1:8" ht="18.75" x14ac:dyDescent="0.3">
      <c r="A1199" s="3">
        <v>1193</v>
      </c>
      <c r="B1199" s="9">
        <f t="shared" si="73"/>
        <v>0.99304137766445244</v>
      </c>
      <c r="C1199" s="3">
        <f t="shared" si="74"/>
        <v>62121.68946255515</v>
      </c>
      <c r="D1199" s="3">
        <f t="shared" si="75"/>
        <v>0.94208600986166857</v>
      </c>
      <c r="E1199" s="8">
        <f t="shared" si="72"/>
        <v>170.42857142857142</v>
      </c>
      <c r="F1199" s="3"/>
      <c r="G1199" s="3"/>
      <c r="H1199" s="3"/>
    </row>
    <row r="1200" spans="1:8" ht="18.75" x14ac:dyDescent="0.3">
      <c r="A1200" s="3">
        <v>1194</v>
      </c>
      <c r="B1200" s="9">
        <f t="shared" si="73"/>
        <v>0.99305639600604056</v>
      </c>
      <c r="C1200" s="3">
        <f t="shared" si="74"/>
        <v>62122.628964949879</v>
      </c>
      <c r="D1200" s="3">
        <f t="shared" si="75"/>
        <v>0.93950239472906105</v>
      </c>
      <c r="E1200" s="8">
        <f t="shared" si="72"/>
        <v>170.57142857142858</v>
      </c>
      <c r="F1200" s="3"/>
      <c r="G1200" s="3"/>
      <c r="H1200" s="3"/>
    </row>
    <row r="1201" spans="1:8" ht="18.75" x14ac:dyDescent="0.3">
      <c r="A1201" s="3">
        <v>1195</v>
      </c>
      <c r="B1201" s="9">
        <f t="shared" si="73"/>
        <v>0.99307137318616057</v>
      </c>
      <c r="C1201" s="3">
        <f t="shared" si="74"/>
        <v>62123.565892406645</v>
      </c>
      <c r="D1201" s="3">
        <f t="shared" si="75"/>
        <v>0.93692745676526101</v>
      </c>
      <c r="E1201" s="8">
        <f t="shared" si="72"/>
        <v>170.71428571428572</v>
      </c>
      <c r="F1201" s="3"/>
      <c r="G1201" s="3"/>
      <c r="H1201" s="3"/>
    </row>
    <row r="1202" spans="1:8" ht="18.75" x14ac:dyDescent="0.3">
      <c r="A1202" s="3">
        <v>1196</v>
      </c>
      <c r="B1202" s="9">
        <f t="shared" si="73"/>
        <v>0.9930863093429656</v>
      </c>
      <c r="C1202" s="3">
        <f t="shared" si="74"/>
        <v>62124.500253567901</v>
      </c>
      <c r="D1202" s="3">
        <f t="shared" si="75"/>
        <v>0.93436116125667468</v>
      </c>
      <c r="E1202" s="8">
        <f t="shared" si="72"/>
        <v>170.85714285714286</v>
      </c>
      <c r="F1202" s="3"/>
      <c r="G1202" s="3"/>
      <c r="H1202" s="3"/>
    </row>
    <row r="1203" spans="1:8" ht="18.75" x14ac:dyDescent="0.3">
      <c r="A1203" s="3">
        <v>1197</v>
      </c>
      <c r="B1203" s="9">
        <f t="shared" si="73"/>
        <v>0.99310120461405682</v>
      </c>
      <c r="C1203" s="3">
        <f t="shared" si="74"/>
        <v>62125.432057041551</v>
      </c>
      <c r="D1203" s="3">
        <f t="shared" si="75"/>
        <v>0.93180347364977933</v>
      </c>
      <c r="E1203" s="8">
        <f t="shared" si="72"/>
        <v>171</v>
      </c>
      <c r="F1203" s="3"/>
      <c r="G1203" s="3"/>
      <c r="H1203" s="3"/>
    </row>
    <row r="1204" spans="1:8" ht="18.75" x14ac:dyDescent="0.3">
      <c r="A1204" s="3">
        <v>1198</v>
      </c>
      <c r="B1204" s="9">
        <f t="shared" si="73"/>
        <v>0.99311605913648582</v>
      </c>
      <c r="C1204" s="3">
        <f t="shared" si="74"/>
        <v>62126.361311401146</v>
      </c>
      <c r="D1204" s="3">
        <f t="shared" si="75"/>
        <v>0.92925435959477909</v>
      </c>
      <c r="E1204" s="8">
        <f t="shared" si="72"/>
        <v>171.14285714285714</v>
      </c>
      <c r="F1204" s="3"/>
      <c r="G1204" s="3"/>
      <c r="H1204" s="3"/>
    </row>
    <row r="1205" spans="1:8" ht="18.75" x14ac:dyDescent="0.3">
      <c r="A1205" s="3">
        <v>1199</v>
      </c>
      <c r="B1205" s="9">
        <f t="shared" si="73"/>
        <v>0.99313087304675673</v>
      </c>
      <c r="C1205" s="3">
        <f t="shared" si="74"/>
        <v>62127.288025185961</v>
      </c>
      <c r="D1205" s="3">
        <f t="shared" si="75"/>
        <v>0.92671378481463762</v>
      </c>
      <c r="E1205" s="8">
        <f t="shared" si="72"/>
        <v>171.28571428571428</v>
      </c>
      <c r="F1205" s="3"/>
      <c r="G1205" s="3"/>
      <c r="H1205" s="3"/>
    </row>
    <row r="1206" spans="1:8" ht="18.75" x14ac:dyDescent="0.3">
      <c r="A1206" s="3">
        <v>1200</v>
      </c>
      <c r="B1206" s="9">
        <f t="shared" si="73"/>
        <v>0.99314564648082948</v>
      </c>
      <c r="C1206" s="3">
        <f t="shared" si="74"/>
        <v>62128.212206901248</v>
      </c>
      <c r="D1206" s="3">
        <f t="shared" si="75"/>
        <v>0.92418171528697712</v>
      </c>
      <c r="E1206" s="8">
        <f t="shared" si="72"/>
        <v>171.42857142857142</v>
      </c>
      <c r="F1206" s="3"/>
      <c r="G1206" s="3"/>
      <c r="H1206" s="3"/>
    </row>
    <row r="1207" spans="1:8" ht="18.75" x14ac:dyDescent="0.3">
      <c r="A1207" s="3">
        <v>1201</v>
      </c>
      <c r="B1207" s="9">
        <f t="shared" si="73"/>
        <v>0.99316037957412195</v>
      </c>
      <c r="C1207" s="3">
        <f t="shared" si="74"/>
        <v>62129.133865018346</v>
      </c>
      <c r="D1207" s="3">
        <f t="shared" si="75"/>
        <v>0.92165811709855916</v>
      </c>
      <c r="E1207" s="8">
        <f t="shared" si="72"/>
        <v>171.57142857142858</v>
      </c>
      <c r="F1207" s="3"/>
      <c r="G1207" s="3"/>
      <c r="H1207" s="3"/>
    </row>
    <row r="1208" spans="1:8" ht="18.75" x14ac:dyDescent="0.3">
      <c r="A1208" s="3">
        <v>1202</v>
      </c>
      <c r="B1208" s="9">
        <f t="shared" si="73"/>
        <v>0.9931750724615126</v>
      </c>
      <c r="C1208" s="3">
        <f t="shared" si="74"/>
        <v>62130.053007974842</v>
      </c>
      <c r="D1208" s="3">
        <f t="shared" si="75"/>
        <v>0.91914295649621636</v>
      </c>
      <c r="E1208" s="8">
        <f t="shared" si="72"/>
        <v>171.71428571428572</v>
      </c>
      <c r="F1208" s="3"/>
      <c r="G1208" s="3"/>
      <c r="H1208" s="3"/>
    </row>
    <row r="1209" spans="1:8" ht="18.75" x14ac:dyDescent="0.3">
      <c r="A1209" s="3">
        <v>1203</v>
      </c>
      <c r="B1209" s="9">
        <f t="shared" si="73"/>
        <v>0.99318972527734262</v>
      </c>
      <c r="C1209" s="3">
        <f t="shared" si="74"/>
        <v>62130.969644174722</v>
      </c>
      <c r="D1209" s="3">
        <f t="shared" si="75"/>
        <v>0.91663619987957645</v>
      </c>
      <c r="E1209" s="8">
        <f t="shared" si="72"/>
        <v>171.85714285714286</v>
      </c>
      <c r="F1209" s="3"/>
      <c r="G1209" s="3"/>
      <c r="H1209" s="3"/>
    </row>
    <row r="1210" spans="1:8" ht="18.75" x14ac:dyDescent="0.3">
      <c r="A1210" s="3">
        <v>1204</v>
      </c>
      <c r="B1210" s="9">
        <f t="shared" si="73"/>
        <v>0.99320433815541898</v>
      </c>
      <c r="C1210" s="3">
        <f t="shared" si="74"/>
        <v>62131.883781988545</v>
      </c>
      <c r="D1210" s="3">
        <f t="shared" si="75"/>
        <v>0.91413781382289017</v>
      </c>
      <c r="E1210" s="8">
        <f t="shared" si="72"/>
        <v>172</v>
      </c>
      <c r="F1210" s="3"/>
      <c r="G1210" s="3"/>
      <c r="H1210" s="3"/>
    </row>
    <row r="1211" spans="1:8" ht="18.75" x14ac:dyDescent="0.3">
      <c r="A1211" s="3">
        <v>1205</v>
      </c>
      <c r="B1211" s="9">
        <f t="shared" si="73"/>
        <v>0.99321891122901651</v>
      </c>
      <c r="C1211" s="3">
        <f t="shared" si="74"/>
        <v>62132.795429753583</v>
      </c>
      <c r="D1211" s="3">
        <f t="shared" si="75"/>
        <v>0.91164776503865141</v>
      </c>
      <c r="E1211" s="8">
        <f t="shared" si="72"/>
        <v>172.14285714285714</v>
      </c>
      <c r="F1211" s="3"/>
      <c r="G1211" s="3"/>
      <c r="H1211" s="3"/>
    </row>
    <row r="1212" spans="1:8" ht="18.75" x14ac:dyDescent="0.3">
      <c r="A1212" s="3">
        <v>1206</v>
      </c>
      <c r="B1212" s="9">
        <f t="shared" si="73"/>
        <v>0.9932334446308807</v>
      </c>
      <c r="C1212" s="3">
        <f t="shared" si="74"/>
        <v>62133.704595774005</v>
      </c>
      <c r="D1212" s="3">
        <f t="shared" si="75"/>
        <v>0.90916602042125305</v>
      </c>
      <c r="E1212" s="8">
        <f t="shared" si="72"/>
        <v>172.28571428571428</v>
      </c>
      <c r="F1212" s="3"/>
      <c r="G1212" s="3"/>
      <c r="H1212" s="3"/>
    </row>
    <row r="1213" spans="1:8" ht="18.75" x14ac:dyDescent="0.3">
      <c r="A1213" s="3">
        <v>1207</v>
      </c>
      <c r="B1213" s="9">
        <f t="shared" si="73"/>
        <v>0.99324793849322968</v>
      </c>
      <c r="C1213" s="3">
        <f t="shared" si="74"/>
        <v>62134.611288320972</v>
      </c>
      <c r="D1213" s="3">
        <f t="shared" si="75"/>
        <v>0.90669254696695134</v>
      </c>
      <c r="E1213" s="8">
        <f t="shared" si="72"/>
        <v>172.42857142857142</v>
      </c>
      <c r="F1213" s="3"/>
      <c r="G1213" s="3"/>
      <c r="H1213" s="3"/>
    </row>
    <row r="1214" spans="1:8" ht="18.75" x14ac:dyDescent="0.3">
      <c r="A1214" s="3">
        <v>1208</v>
      </c>
      <c r="B1214" s="9">
        <f t="shared" si="73"/>
        <v>0.99326239294775709</v>
      </c>
      <c r="C1214" s="3">
        <f t="shared" si="74"/>
        <v>62135.51551563284</v>
      </c>
      <c r="D1214" s="3">
        <f t="shared" si="75"/>
        <v>0.9042273118684534</v>
      </c>
      <c r="E1214" s="8">
        <f t="shared" si="72"/>
        <v>172.57142857142858</v>
      </c>
      <c r="F1214" s="3"/>
      <c r="G1214" s="3"/>
      <c r="H1214" s="3"/>
    </row>
    <row r="1215" spans="1:8" ht="18.75" x14ac:dyDescent="0.3">
      <c r="A1215" s="3">
        <v>1209</v>
      </c>
      <c r="B1215" s="9">
        <f t="shared" si="73"/>
        <v>0.99327680812563424</v>
      </c>
      <c r="C1215" s="3">
        <f t="shared" si="74"/>
        <v>62136.417285915304</v>
      </c>
      <c r="D1215" s="3">
        <f t="shared" si="75"/>
        <v>0.9017702824639855</v>
      </c>
      <c r="E1215" s="8">
        <f t="shared" si="72"/>
        <v>172.71428571428572</v>
      </c>
      <c r="F1215" s="3"/>
      <c r="G1215" s="3"/>
      <c r="H1215" s="3"/>
    </row>
    <row r="1216" spans="1:8" ht="18.75" x14ac:dyDescent="0.3">
      <c r="A1216" s="3">
        <v>1210</v>
      </c>
      <c r="B1216" s="9">
        <f t="shared" si="73"/>
        <v>0.99329118415751261</v>
      </c>
      <c r="C1216" s="3">
        <f t="shared" si="74"/>
        <v>62137.31660734152</v>
      </c>
      <c r="D1216" s="3">
        <f t="shared" si="75"/>
        <v>0.89932142621546518</v>
      </c>
      <c r="E1216" s="8">
        <f t="shared" si="72"/>
        <v>172.85714285714286</v>
      </c>
      <c r="F1216" s="3"/>
      <c r="G1216" s="3"/>
      <c r="H1216" s="3"/>
    </row>
    <row r="1217" spans="1:8" ht="18.75" x14ac:dyDescent="0.3">
      <c r="A1217" s="3">
        <v>1211</v>
      </c>
      <c r="B1217" s="9">
        <f t="shared" si="73"/>
        <v>0.99330552117352633</v>
      </c>
      <c r="C1217" s="3">
        <f t="shared" si="74"/>
        <v>62138.213488052286</v>
      </c>
      <c r="D1217" s="3">
        <f t="shared" si="75"/>
        <v>0.89688071076670894</v>
      </c>
      <c r="E1217" s="8">
        <f t="shared" si="72"/>
        <v>173</v>
      </c>
      <c r="F1217" s="3"/>
      <c r="G1217" s="3"/>
      <c r="H1217" s="3"/>
    </row>
    <row r="1218" spans="1:8" ht="18.75" x14ac:dyDescent="0.3">
      <c r="A1218" s="3">
        <v>1212</v>
      </c>
      <c r="B1218" s="9">
        <f t="shared" si="73"/>
        <v>0.99331981930329449</v>
      </c>
      <c r="C1218" s="3">
        <f t="shared" si="74"/>
        <v>62139.107936156193</v>
      </c>
      <c r="D1218" s="3">
        <f t="shared" si="75"/>
        <v>0.89444810390705243</v>
      </c>
      <c r="E1218" s="8">
        <f t="shared" si="72"/>
        <v>173.14285714285714</v>
      </c>
      <c r="F1218" s="3"/>
      <c r="G1218" s="3"/>
      <c r="H1218" s="3"/>
    </row>
    <row r="1219" spans="1:8" ht="18.75" x14ac:dyDescent="0.3">
      <c r="A1219" s="3">
        <v>1213</v>
      </c>
      <c r="B1219" s="9">
        <f t="shared" si="73"/>
        <v>0.9933340786759236</v>
      </c>
      <c r="C1219" s="3">
        <f t="shared" si="74"/>
        <v>62139.99995972975</v>
      </c>
      <c r="D1219" s="3">
        <f t="shared" si="75"/>
        <v>0.89202357355679851</v>
      </c>
      <c r="E1219" s="8">
        <f t="shared" si="72"/>
        <v>173.28571428571428</v>
      </c>
      <c r="F1219" s="3"/>
      <c r="G1219" s="3"/>
      <c r="H1219" s="3"/>
    </row>
    <row r="1220" spans="1:8" ht="18.75" x14ac:dyDescent="0.3">
      <c r="A1220" s="3">
        <v>1214</v>
      </c>
      <c r="B1220" s="9">
        <f t="shared" si="73"/>
        <v>0.99334829942000957</v>
      </c>
      <c r="C1220" s="3">
        <f t="shared" si="74"/>
        <v>62140.889566817539</v>
      </c>
      <c r="D1220" s="3">
        <f t="shared" si="75"/>
        <v>0.88960708778904518</v>
      </c>
      <c r="E1220" s="8">
        <f t="shared" si="72"/>
        <v>173.42857142857142</v>
      </c>
      <c r="F1220" s="3"/>
      <c r="G1220" s="3"/>
      <c r="H1220" s="3"/>
    </row>
    <row r="1221" spans="1:8" ht="18.75" x14ac:dyDescent="0.3">
      <c r="A1221" s="3">
        <v>1215</v>
      </c>
      <c r="B1221" s="9">
        <f t="shared" si="73"/>
        <v>0.99336248166364072</v>
      </c>
      <c r="C1221" s="3">
        <f t="shared" si="74"/>
        <v>62141.776765432369</v>
      </c>
      <c r="D1221" s="3">
        <f t="shared" si="75"/>
        <v>0.88719861482968554</v>
      </c>
      <c r="E1221" s="8">
        <f t="shared" si="72"/>
        <v>173.57142857142858</v>
      </c>
      <c r="F1221" s="3"/>
      <c r="G1221" s="3"/>
      <c r="H1221" s="3"/>
    </row>
    <row r="1222" spans="1:8" ht="18.75" x14ac:dyDescent="0.3">
      <c r="A1222" s="3">
        <v>1216</v>
      </c>
      <c r="B1222" s="9">
        <f t="shared" si="73"/>
        <v>0.99337662553439954</v>
      </c>
      <c r="C1222" s="3">
        <f t="shared" si="74"/>
        <v>62142.661563555434</v>
      </c>
      <c r="D1222" s="3">
        <f t="shared" si="75"/>
        <v>0.88479812306468375</v>
      </c>
      <c r="E1222" s="8">
        <f t="shared" si="72"/>
        <v>173.71428571428572</v>
      </c>
    </row>
    <row r="1223" spans="1:8" ht="18.75" x14ac:dyDescent="0.3">
      <c r="A1223" s="3">
        <v>1217</v>
      </c>
      <c r="B1223" s="9">
        <f t="shared" si="73"/>
        <v>0.99339073115936538</v>
      </c>
      <c r="C1223" s="3">
        <f t="shared" si="74"/>
        <v>62143.543969136423</v>
      </c>
      <c r="D1223" s="3">
        <f t="shared" si="75"/>
        <v>0.88240558098914335</v>
      </c>
      <c r="E1223" s="8">
        <f t="shared" ref="E1223:E1286" si="76">A1223/7</f>
        <v>173.85714285714286</v>
      </c>
    </row>
    <row r="1224" spans="1:8" ht="18.75" x14ac:dyDescent="0.3">
      <c r="A1224" s="3">
        <v>1218</v>
      </c>
      <c r="B1224" s="9">
        <f t="shared" ref="B1224:B1287" si="77">LOGNORMDIST(A1224,$A$3,$B$3)</f>
        <v>0.99340479866511633</v>
      </c>
      <c r="C1224" s="3">
        <f t="shared" ref="C1224:C1287" si="78">$E$3*B1224</f>
        <v>62144.423990093681</v>
      </c>
      <c r="D1224" s="3">
        <f t="shared" ref="D1224:D1287" si="79">C1224-C1223</f>
        <v>0.88002095725823892</v>
      </c>
      <c r="E1224" s="8">
        <f t="shared" si="76"/>
        <v>174</v>
      </c>
    </row>
    <row r="1225" spans="1:8" ht="18.75" x14ac:dyDescent="0.3">
      <c r="A1225" s="3">
        <v>1219</v>
      </c>
      <c r="B1225" s="9">
        <f t="shared" si="77"/>
        <v>0.9934188281777323</v>
      </c>
      <c r="C1225" s="3">
        <f t="shared" si="78"/>
        <v>62145.301634314397</v>
      </c>
      <c r="D1225" s="3">
        <f t="shared" si="79"/>
        <v>0.87764422071631998</v>
      </c>
      <c r="E1225" s="8">
        <f t="shared" si="76"/>
        <v>174.14285714285714</v>
      </c>
    </row>
    <row r="1226" spans="1:8" ht="18.75" x14ac:dyDescent="0.3">
      <c r="A1226" s="3">
        <v>1220</v>
      </c>
      <c r="B1226" s="9">
        <f t="shared" si="77"/>
        <v>0.9934328198227963</v>
      </c>
      <c r="C1226" s="3">
        <f t="shared" si="78"/>
        <v>62146.17690965467</v>
      </c>
      <c r="D1226" s="3">
        <f t="shared" si="79"/>
        <v>0.87527534027321963</v>
      </c>
      <c r="E1226" s="8">
        <f t="shared" si="76"/>
        <v>174.28571428571428</v>
      </c>
    </row>
    <row r="1227" spans="1:8" ht="18.75" x14ac:dyDescent="0.3">
      <c r="A1227" s="3">
        <v>1221</v>
      </c>
      <c r="B1227" s="9">
        <f t="shared" si="77"/>
        <v>0.99344677372539747</v>
      </c>
      <c r="C1227" s="3">
        <f t="shared" si="78"/>
        <v>62147.049823939691</v>
      </c>
      <c r="D1227" s="3">
        <f t="shared" si="79"/>
        <v>0.87291428502066992</v>
      </c>
      <c r="E1227" s="8">
        <f t="shared" si="76"/>
        <v>174.42857142857142</v>
      </c>
    </row>
    <row r="1228" spans="1:8" ht="18.75" x14ac:dyDescent="0.3">
      <c r="A1228" s="3">
        <v>1222</v>
      </c>
      <c r="B1228" s="9">
        <f t="shared" si="77"/>
        <v>0.99346069001013315</v>
      </c>
      <c r="C1228" s="3">
        <f t="shared" si="78"/>
        <v>62147.920384963902</v>
      </c>
      <c r="D1228" s="3">
        <f t="shared" si="79"/>
        <v>0.87056102421047399</v>
      </c>
      <c r="E1228" s="8">
        <f t="shared" si="76"/>
        <v>174.57142857142858</v>
      </c>
    </row>
    <row r="1229" spans="1:8" ht="18.75" x14ac:dyDescent="0.3">
      <c r="A1229" s="3">
        <v>1223</v>
      </c>
      <c r="B1229" s="9">
        <f t="shared" si="77"/>
        <v>0.99347456880111096</v>
      </c>
      <c r="C1229" s="3">
        <f t="shared" si="78"/>
        <v>62148.788600491098</v>
      </c>
      <c r="D1229" s="3">
        <f t="shared" si="79"/>
        <v>0.86821552719629835</v>
      </c>
      <c r="E1229" s="8">
        <f t="shared" si="76"/>
        <v>174.71428571428572</v>
      </c>
    </row>
    <row r="1230" spans="1:8" ht="18.75" x14ac:dyDescent="0.3">
      <c r="A1230" s="3">
        <v>1224</v>
      </c>
      <c r="B1230" s="9">
        <f t="shared" si="77"/>
        <v>0.99348841022195133</v>
      </c>
      <c r="C1230" s="3">
        <f t="shared" si="78"/>
        <v>62149.654478254612</v>
      </c>
      <c r="D1230" s="3">
        <f t="shared" si="79"/>
        <v>0.86587776351370849</v>
      </c>
      <c r="E1230" s="8">
        <f t="shared" si="76"/>
        <v>174.85714285714286</v>
      </c>
    </row>
    <row r="1231" spans="1:8" ht="18.75" x14ac:dyDescent="0.3">
      <c r="A1231" s="3">
        <v>1225</v>
      </c>
      <c r="B1231" s="9">
        <f t="shared" si="77"/>
        <v>0.99350221439578945</v>
      </c>
      <c r="C1231" s="3">
        <f t="shared" si="78"/>
        <v>62150.518025957397</v>
      </c>
      <c r="D1231" s="3">
        <f t="shared" si="79"/>
        <v>0.86354770278558135</v>
      </c>
      <c r="E1231" s="8">
        <f t="shared" si="76"/>
        <v>175</v>
      </c>
    </row>
    <row r="1232" spans="1:8" ht="18.75" x14ac:dyDescent="0.3">
      <c r="A1232" s="3">
        <v>1226</v>
      </c>
      <c r="B1232" s="9">
        <f t="shared" si="77"/>
        <v>0.99351598144527742</v>
      </c>
      <c r="C1232" s="3">
        <f t="shared" si="78"/>
        <v>62151.379251272221</v>
      </c>
      <c r="D1232" s="3">
        <f t="shared" si="79"/>
        <v>0.8612253148239688</v>
      </c>
      <c r="E1232" s="8">
        <f t="shared" si="76"/>
        <v>175.14285714285714</v>
      </c>
    </row>
    <row r="1233" spans="1:5" ht="18.75" x14ac:dyDescent="0.3">
      <c r="A1233" s="3">
        <v>1227</v>
      </c>
      <c r="B1233" s="9">
        <f t="shared" si="77"/>
        <v>0.99352971149258706</v>
      </c>
      <c r="C1233" s="3">
        <f t="shared" si="78"/>
        <v>62152.238161841771</v>
      </c>
      <c r="D1233" s="3">
        <f t="shared" si="79"/>
        <v>0.85891056955006206</v>
      </c>
      <c r="E1233" s="8">
        <f t="shared" si="76"/>
        <v>175.28571428571428</v>
      </c>
    </row>
    <row r="1234" spans="1:5" ht="18.75" x14ac:dyDescent="0.3">
      <c r="A1234" s="3">
        <v>1228</v>
      </c>
      <c r="B1234" s="9">
        <f t="shared" si="77"/>
        <v>0.99354340465941138</v>
      </c>
      <c r="C1234" s="3">
        <f t="shared" si="78"/>
        <v>62153.094765278795</v>
      </c>
      <c r="D1234" s="3">
        <f t="shared" si="79"/>
        <v>0.85660343702329556</v>
      </c>
      <c r="E1234" s="8">
        <f t="shared" si="76"/>
        <v>175.42857142857142</v>
      </c>
    </row>
    <row r="1235" spans="1:5" ht="18.75" x14ac:dyDescent="0.3">
      <c r="A1235" s="3">
        <v>1229</v>
      </c>
      <c r="B1235" s="9">
        <f t="shared" si="77"/>
        <v>0.99355706106696706</v>
      </c>
      <c r="C1235" s="3">
        <f t="shared" si="78"/>
        <v>62153.949069166258</v>
      </c>
      <c r="D1235" s="3">
        <f t="shared" si="79"/>
        <v>0.85430388746317476</v>
      </c>
      <c r="E1235" s="8">
        <f t="shared" si="76"/>
        <v>175.57142857142858</v>
      </c>
    </row>
    <row r="1236" spans="1:5" ht="18.75" x14ac:dyDescent="0.3">
      <c r="A1236" s="3">
        <v>1230</v>
      </c>
      <c r="B1236" s="9">
        <f t="shared" si="77"/>
        <v>0.99357068083599687</v>
      </c>
      <c r="C1236" s="3">
        <f t="shared" si="78"/>
        <v>62154.801081057456</v>
      </c>
      <c r="D1236" s="3">
        <f t="shared" si="79"/>
        <v>0.85201189119834453</v>
      </c>
      <c r="E1236" s="8">
        <f t="shared" si="76"/>
        <v>175.71428571428572</v>
      </c>
    </row>
    <row r="1237" spans="1:5" ht="18.75" x14ac:dyDescent="0.3">
      <c r="A1237" s="3">
        <v>1231</v>
      </c>
      <c r="B1237" s="9">
        <f t="shared" si="77"/>
        <v>0.99358426408677136</v>
      </c>
      <c r="C1237" s="3">
        <f t="shared" si="78"/>
        <v>62155.650808476159</v>
      </c>
      <c r="D1237" s="3">
        <f t="shared" si="79"/>
        <v>0.84972741870296886</v>
      </c>
      <c r="E1237" s="8">
        <f t="shared" si="76"/>
        <v>175.85714285714286</v>
      </c>
    </row>
    <row r="1238" spans="1:5" ht="18.75" x14ac:dyDescent="0.3">
      <c r="A1238" s="3">
        <v>1232</v>
      </c>
      <c r="B1238" s="9">
        <f t="shared" si="77"/>
        <v>0.99359781093909116</v>
      </c>
      <c r="C1238" s="3">
        <f t="shared" si="78"/>
        <v>62156.498258916727</v>
      </c>
      <c r="D1238" s="3">
        <f t="shared" si="79"/>
        <v>0.84745044056762708</v>
      </c>
      <c r="E1238" s="8">
        <f t="shared" si="76"/>
        <v>176</v>
      </c>
    </row>
    <row r="1239" spans="1:5" ht="18.75" x14ac:dyDescent="0.3">
      <c r="A1239" s="3">
        <v>1233</v>
      </c>
      <c r="B1239" s="9">
        <f t="shared" si="77"/>
        <v>0.99361132151228948</v>
      </c>
      <c r="C1239" s="3">
        <f t="shared" si="78"/>
        <v>62157.343439844291</v>
      </c>
      <c r="D1239" s="3">
        <f t="shared" si="79"/>
        <v>0.84518092756479746</v>
      </c>
      <c r="E1239" s="8">
        <f t="shared" si="76"/>
        <v>176.14285714285714</v>
      </c>
    </row>
    <row r="1240" spans="1:5" ht="18.75" x14ac:dyDescent="0.3">
      <c r="A1240" s="3">
        <v>1234</v>
      </c>
      <c r="B1240" s="9">
        <f t="shared" si="77"/>
        <v>0.99362479592523378</v>
      </c>
      <c r="C1240" s="3">
        <f t="shared" si="78"/>
        <v>62158.186358694853</v>
      </c>
      <c r="D1240" s="3">
        <f t="shared" si="79"/>
        <v>0.8429188505615457</v>
      </c>
      <c r="E1240" s="8">
        <f t="shared" si="76"/>
        <v>176.28571428571428</v>
      </c>
    </row>
    <row r="1241" spans="1:5" ht="18.75" x14ac:dyDescent="0.3">
      <c r="A1241" s="3">
        <v>1235</v>
      </c>
      <c r="B1241" s="9">
        <f t="shared" si="77"/>
        <v>0.99363823429632803</v>
      </c>
      <c r="C1241" s="3">
        <f t="shared" si="78"/>
        <v>62159.027022875394</v>
      </c>
      <c r="D1241" s="3">
        <f t="shared" si="79"/>
        <v>0.84066418054135283</v>
      </c>
      <c r="E1241" s="8">
        <f t="shared" si="76"/>
        <v>176.42857142857142</v>
      </c>
    </row>
    <row r="1242" spans="1:5" ht="18.75" x14ac:dyDescent="0.3">
      <c r="A1242" s="3">
        <v>1236</v>
      </c>
      <c r="B1242" s="9">
        <f t="shared" si="77"/>
        <v>0.99365163674351475</v>
      </c>
      <c r="C1242" s="3">
        <f t="shared" si="78"/>
        <v>62159.865439764049</v>
      </c>
      <c r="D1242" s="3">
        <f t="shared" si="79"/>
        <v>0.83841688865504693</v>
      </c>
      <c r="E1242" s="8">
        <f t="shared" si="76"/>
        <v>176.57142857142858</v>
      </c>
    </row>
    <row r="1243" spans="1:5" ht="18.75" x14ac:dyDescent="0.3">
      <c r="A1243" s="3">
        <v>1237</v>
      </c>
      <c r="B1243" s="9">
        <f t="shared" si="77"/>
        <v>0.99366500338427766</v>
      </c>
      <c r="C1243" s="3">
        <f t="shared" si="78"/>
        <v>62160.701616710256</v>
      </c>
      <c r="D1243" s="3">
        <f t="shared" si="79"/>
        <v>0.83617694620625116</v>
      </c>
      <c r="E1243" s="8">
        <f t="shared" si="76"/>
        <v>176.71428571428572</v>
      </c>
    </row>
    <row r="1244" spans="1:5" ht="18.75" x14ac:dyDescent="0.3">
      <c r="A1244" s="3">
        <v>1238</v>
      </c>
      <c r="B1244" s="9">
        <f t="shared" si="77"/>
        <v>0.99367833433564257</v>
      </c>
      <c r="C1244" s="3">
        <f t="shared" si="78"/>
        <v>62161.535561034791</v>
      </c>
      <c r="D1244" s="3">
        <f t="shared" si="79"/>
        <v>0.83394432453496847</v>
      </c>
      <c r="E1244" s="8">
        <f t="shared" si="76"/>
        <v>176.85714285714286</v>
      </c>
    </row>
    <row r="1245" spans="1:5" ht="18.75" x14ac:dyDescent="0.3">
      <c r="A1245" s="3">
        <v>1239</v>
      </c>
      <c r="B1245" s="9">
        <f t="shared" si="77"/>
        <v>0.99369162971418079</v>
      </c>
      <c r="C1245" s="3">
        <f t="shared" si="78"/>
        <v>62162.367280030005</v>
      </c>
      <c r="D1245" s="3">
        <f t="shared" si="79"/>
        <v>0.83171899521403247</v>
      </c>
      <c r="E1245" s="8">
        <f t="shared" si="76"/>
        <v>177</v>
      </c>
    </row>
    <row r="1246" spans="1:5" ht="18.75" x14ac:dyDescent="0.3">
      <c r="A1246" s="3">
        <v>1240</v>
      </c>
      <c r="B1246" s="9">
        <f t="shared" si="77"/>
        <v>0.99370488963601022</v>
      </c>
      <c r="C1246" s="3">
        <f t="shared" si="78"/>
        <v>62163.196780959894</v>
      </c>
      <c r="D1246" s="3">
        <f t="shared" si="79"/>
        <v>0.82950092988903634</v>
      </c>
      <c r="E1246" s="8">
        <f t="shared" si="76"/>
        <v>177.14285714285714</v>
      </c>
    </row>
    <row r="1247" spans="1:5" ht="18.75" x14ac:dyDescent="0.3">
      <c r="A1247" s="3">
        <v>1241</v>
      </c>
      <c r="B1247" s="9">
        <f t="shared" si="77"/>
        <v>0.99371811421679801</v>
      </c>
      <c r="C1247" s="3">
        <f t="shared" si="78"/>
        <v>62164.02407106023</v>
      </c>
      <c r="D1247" s="3">
        <f t="shared" si="79"/>
        <v>0.82729010033654049</v>
      </c>
      <c r="E1247" s="8">
        <f t="shared" si="76"/>
        <v>177.28571428571428</v>
      </c>
    </row>
    <row r="1248" spans="1:5" ht="18.75" x14ac:dyDescent="0.3">
      <c r="A1248" s="3">
        <v>1242</v>
      </c>
      <c r="B1248" s="9">
        <f t="shared" si="77"/>
        <v>0.99373130357176209</v>
      </c>
      <c r="C1248" s="3">
        <f t="shared" si="78"/>
        <v>62164.849157538723</v>
      </c>
      <c r="D1248" s="3">
        <f t="shared" si="79"/>
        <v>0.8250864784931764</v>
      </c>
      <c r="E1248" s="8">
        <f t="shared" si="76"/>
        <v>177.42857142857142</v>
      </c>
    </row>
    <row r="1249" spans="1:5" ht="18.75" x14ac:dyDescent="0.3">
      <c r="A1249" s="3">
        <v>1243</v>
      </c>
      <c r="B1249" s="9">
        <f t="shared" si="77"/>
        <v>0.99374445781567355</v>
      </c>
      <c r="C1249" s="3">
        <f t="shared" si="78"/>
        <v>62165.672047575092</v>
      </c>
      <c r="D1249" s="3">
        <f t="shared" si="79"/>
        <v>0.82289003636833513</v>
      </c>
      <c r="E1249" s="8">
        <f t="shared" si="76"/>
        <v>177.57142857142858</v>
      </c>
    </row>
    <row r="1250" spans="1:5" ht="18.75" x14ac:dyDescent="0.3">
      <c r="A1250" s="3">
        <v>1244</v>
      </c>
      <c r="B1250" s="9">
        <f t="shared" si="77"/>
        <v>0.99375757706285861</v>
      </c>
      <c r="C1250" s="3">
        <f t="shared" si="78"/>
        <v>62166.492748321245</v>
      </c>
      <c r="D1250" s="3">
        <f t="shared" si="79"/>
        <v>0.82070074615330668</v>
      </c>
      <c r="E1250" s="8">
        <f t="shared" si="76"/>
        <v>177.71428571428572</v>
      </c>
    </row>
    <row r="1251" spans="1:5" ht="18.75" x14ac:dyDescent="0.3">
      <c r="A1251" s="3">
        <v>1245</v>
      </c>
      <c r="B1251" s="9">
        <f t="shared" si="77"/>
        <v>0.99377066142720072</v>
      </c>
      <c r="C1251" s="3">
        <f t="shared" si="78"/>
        <v>62167.311266901394</v>
      </c>
      <c r="D1251" s="3">
        <f t="shared" si="79"/>
        <v>0.81851858014852041</v>
      </c>
      <c r="E1251" s="8">
        <f t="shared" si="76"/>
        <v>177.85714285714286</v>
      </c>
    </row>
    <row r="1252" spans="1:5" ht="18.75" x14ac:dyDescent="0.3">
      <c r="A1252" s="3">
        <v>1246</v>
      </c>
      <c r="B1252" s="9">
        <f t="shared" si="77"/>
        <v>0.99378371102214202</v>
      </c>
      <c r="C1252" s="3">
        <f t="shared" si="78"/>
        <v>62168.127610412135</v>
      </c>
      <c r="D1252" s="3">
        <f t="shared" si="79"/>
        <v>0.81634351074171718</v>
      </c>
      <c r="E1252" s="8">
        <f t="shared" si="76"/>
        <v>178</v>
      </c>
    </row>
    <row r="1253" spans="1:5" ht="18.75" x14ac:dyDescent="0.3">
      <c r="A1253" s="3">
        <v>1247</v>
      </c>
      <c r="B1253" s="9">
        <f t="shared" si="77"/>
        <v>0.99379672596068602</v>
      </c>
      <c r="C1253" s="3">
        <f t="shared" si="78"/>
        <v>62168.941785922638</v>
      </c>
      <c r="D1253" s="3">
        <f t="shared" si="79"/>
        <v>0.81417551050253678</v>
      </c>
      <c r="E1253" s="8">
        <f t="shared" si="76"/>
        <v>178.14285714285714</v>
      </c>
    </row>
    <row r="1254" spans="1:5" ht="18.75" x14ac:dyDescent="0.3">
      <c r="A1254" s="3">
        <v>1248</v>
      </c>
      <c r="B1254" s="9">
        <f t="shared" si="77"/>
        <v>0.99380970635539922</v>
      </c>
      <c r="C1254" s="3">
        <f t="shared" si="78"/>
        <v>62169.753800474711</v>
      </c>
      <c r="D1254" s="3">
        <f t="shared" si="79"/>
        <v>0.81201455207337858</v>
      </c>
      <c r="E1254" s="8">
        <f t="shared" si="76"/>
        <v>178.28571428571428</v>
      </c>
    </row>
    <row r="1255" spans="1:5" ht="18.75" x14ac:dyDescent="0.3">
      <c r="A1255" s="3">
        <v>1249</v>
      </c>
      <c r="B1255" s="9">
        <f t="shared" si="77"/>
        <v>0.99382265231841327</v>
      </c>
      <c r="C1255" s="3">
        <f t="shared" si="78"/>
        <v>62170.563661082982</v>
      </c>
      <c r="D1255" s="3">
        <f t="shared" si="79"/>
        <v>0.80986060827126494</v>
      </c>
      <c r="E1255" s="8">
        <f t="shared" si="76"/>
        <v>178.42857142857142</v>
      </c>
    </row>
    <row r="1256" spans="1:5" ht="18.75" x14ac:dyDescent="0.3">
      <c r="A1256" s="3">
        <v>1250</v>
      </c>
      <c r="B1256" s="9">
        <f t="shared" si="77"/>
        <v>0.99383556396142647</v>
      </c>
      <c r="C1256" s="3">
        <f t="shared" si="78"/>
        <v>62171.371374734954</v>
      </c>
      <c r="D1256" s="3">
        <f t="shared" si="79"/>
        <v>0.80771365197142586</v>
      </c>
      <c r="E1256" s="8">
        <f t="shared" si="76"/>
        <v>178.57142857142858</v>
      </c>
    </row>
    <row r="1257" spans="1:5" ht="18.75" x14ac:dyDescent="0.3">
      <c r="A1257" s="3">
        <v>1251</v>
      </c>
      <c r="B1257" s="9">
        <f t="shared" si="77"/>
        <v>0.99384844139570638</v>
      </c>
      <c r="C1257" s="3">
        <f t="shared" si="78"/>
        <v>62172.176948391207</v>
      </c>
      <c r="D1257" s="3">
        <f t="shared" si="79"/>
        <v>0.80557365625281818</v>
      </c>
      <c r="E1257" s="8">
        <f t="shared" si="76"/>
        <v>178.71428571428572</v>
      </c>
    </row>
    <row r="1258" spans="1:5" ht="18.75" x14ac:dyDescent="0.3">
      <c r="A1258" s="3">
        <v>1252</v>
      </c>
      <c r="B1258" s="9">
        <f t="shared" si="77"/>
        <v>0.99386128473209123</v>
      </c>
      <c r="C1258" s="3">
        <f t="shared" si="78"/>
        <v>62172.98038898543</v>
      </c>
      <c r="D1258" s="3">
        <f t="shared" si="79"/>
        <v>0.80344059422350256</v>
      </c>
      <c r="E1258" s="8">
        <f t="shared" si="76"/>
        <v>178.85714285714286</v>
      </c>
    </row>
    <row r="1259" spans="1:5" ht="18.75" x14ac:dyDescent="0.3">
      <c r="A1259" s="3">
        <v>1253</v>
      </c>
      <c r="B1259" s="9">
        <f t="shared" si="77"/>
        <v>0.99387409408099203</v>
      </c>
      <c r="C1259" s="3">
        <f t="shared" si="78"/>
        <v>62173.781703424618</v>
      </c>
      <c r="D1259" s="3">
        <f t="shared" si="79"/>
        <v>0.8013144391879905</v>
      </c>
      <c r="E1259" s="8">
        <f t="shared" si="76"/>
        <v>179</v>
      </c>
    </row>
    <row r="1260" spans="1:5" ht="18.75" x14ac:dyDescent="0.3">
      <c r="A1260" s="3">
        <v>1254</v>
      </c>
      <c r="B1260" s="9">
        <f t="shared" si="77"/>
        <v>0.99388686955239458</v>
      </c>
      <c r="C1260" s="3">
        <f t="shared" si="78"/>
        <v>62174.580898589149</v>
      </c>
      <c r="D1260" s="3">
        <f t="shared" si="79"/>
        <v>0.79919516453082906</v>
      </c>
      <c r="E1260" s="8">
        <f t="shared" si="76"/>
        <v>179.14285714285714</v>
      </c>
    </row>
    <row r="1261" spans="1:5" ht="18.75" x14ac:dyDescent="0.3">
      <c r="A1261" s="3">
        <v>1255</v>
      </c>
      <c r="B1261" s="9">
        <f t="shared" si="77"/>
        <v>0.99389961125586135</v>
      </c>
      <c r="C1261" s="3">
        <f t="shared" si="78"/>
        <v>62175.377981332917</v>
      </c>
      <c r="D1261" s="3">
        <f t="shared" si="79"/>
        <v>0.79708274376753252</v>
      </c>
      <c r="E1261" s="8">
        <f t="shared" si="76"/>
        <v>179.28571428571428</v>
      </c>
    </row>
    <row r="1262" spans="1:5" ht="18.75" x14ac:dyDescent="0.3">
      <c r="A1262" s="3">
        <v>1256</v>
      </c>
      <c r="B1262" s="9">
        <f t="shared" si="77"/>
        <v>0.99391231930053314</v>
      </c>
      <c r="C1262" s="3">
        <f t="shared" si="78"/>
        <v>62176.172958483454</v>
      </c>
      <c r="D1262" s="3">
        <f t="shared" si="79"/>
        <v>0.79497715053730644</v>
      </c>
      <c r="E1262" s="8">
        <f t="shared" si="76"/>
        <v>179.42857142857142</v>
      </c>
    </row>
    <row r="1263" spans="1:5" ht="18.75" x14ac:dyDescent="0.3">
      <c r="A1263" s="3">
        <v>1257</v>
      </c>
      <c r="B1263" s="9">
        <f t="shared" si="77"/>
        <v>0.99392499379513122</v>
      </c>
      <c r="C1263" s="3">
        <f t="shared" si="78"/>
        <v>62176.965836842021</v>
      </c>
      <c r="D1263" s="3">
        <f t="shared" si="79"/>
        <v>0.79287835856666788</v>
      </c>
      <c r="E1263" s="8">
        <f t="shared" si="76"/>
        <v>179.57142857142858</v>
      </c>
    </row>
    <row r="1264" spans="1:5" ht="18.75" x14ac:dyDescent="0.3">
      <c r="A1264" s="3">
        <v>1258</v>
      </c>
      <c r="B1264" s="9">
        <f t="shared" si="77"/>
        <v>0.99393763484795916</v>
      </c>
      <c r="C1264" s="3">
        <f t="shared" si="78"/>
        <v>62177.756623183785</v>
      </c>
      <c r="D1264" s="3">
        <f t="shared" si="79"/>
        <v>0.79078634176403284</v>
      </c>
      <c r="E1264" s="8">
        <f t="shared" si="76"/>
        <v>179.71428571428572</v>
      </c>
    </row>
    <row r="1265" spans="1:5" ht="18.75" x14ac:dyDescent="0.3">
      <c r="A1265" s="3">
        <v>1259</v>
      </c>
      <c r="B1265" s="9">
        <f t="shared" si="77"/>
        <v>0.99395024256690467</v>
      </c>
      <c r="C1265" s="3">
        <f t="shared" si="78"/>
        <v>62178.545324257859</v>
      </c>
      <c r="D1265" s="3">
        <f t="shared" si="79"/>
        <v>0.78870107407419709</v>
      </c>
      <c r="E1265" s="8">
        <f t="shared" si="76"/>
        <v>179.85714285714286</v>
      </c>
    </row>
    <row r="1266" spans="1:5" ht="18.75" x14ac:dyDescent="0.3">
      <c r="A1266" s="3">
        <v>1260</v>
      </c>
      <c r="B1266" s="9">
        <f t="shared" si="77"/>
        <v>0.99396281705944145</v>
      </c>
      <c r="C1266" s="3">
        <f t="shared" si="78"/>
        <v>62179.331946787475</v>
      </c>
      <c r="D1266" s="3">
        <f t="shared" si="79"/>
        <v>0.78662252961657941</v>
      </c>
      <c r="E1266" s="8">
        <f t="shared" si="76"/>
        <v>180</v>
      </c>
    </row>
    <row r="1267" spans="1:5" ht="18.75" x14ac:dyDescent="0.3">
      <c r="A1267" s="3">
        <v>1261</v>
      </c>
      <c r="B1267" s="9">
        <f t="shared" si="77"/>
        <v>0.99397535843263096</v>
      </c>
      <c r="C1267" s="3">
        <f t="shared" si="78"/>
        <v>62180.116497470095</v>
      </c>
      <c r="D1267" s="3">
        <f t="shared" si="79"/>
        <v>0.78455068261973793</v>
      </c>
      <c r="E1267" s="8">
        <f t="shared" si="76"/>
        <v>180.14285714285714</v>
      </c>
    </row>
    <row r="1268" spans="1:5" ht="18.75" x14ac:dyDescent="0.3">
      <c r="A1268" s="3">
        <v>1262</v>
      </c>
      <c r="B1268" s="9">
        <f t="shared" si="77"/>
        <v>0.99398786679312456</v>
      </c>
      <c r="C1268" s="3">
        <f t="shared" si="78"/>
        <v>62180.898982977495</v>
      </c>
      <c r="D1268" s="3">
        <f t="shared" si="79"/>
        <v>0.78248550739954226</v>
      </c>
      <c r="E1268" s="8">
        <f t="shared" si="76"/>
        <v>180.28571428571428</v>
      </c>
    </row>
    <row r="1269" spans="1:5" ht="18.75" x14ac:dyDescent="0.3">
      <c r="A1269" s="3">
        <v>1263</v>
      </c>
      <c r="B1269" s="9">
        <f t="shared" si="77"/>
        <v>0.99400034224716494</v>
      </c>
      <c r="C1269" s="3">
        <f t="shared" si="78"/>
        <v>62181.679409955897</v>
      </c>
      <c r="D1269" s="3">
        <f t="shared" si="79"/>
        <v>0.78042697840282926</v>
      </c>
      <c r="E1269" s="8">
        <f t="shared" si="76"/>
        <v>180.42857142857142</v>
      </c>
    </row>
    <row r="1270" spans="1:5" ht="18.75" x14ac:dyDescent="0.3">
      <c r="A1270" s="3">
        <v>1264</v>
      </c>
      <c r="B1270" s="9">
        <f t="shared" si="77"/>
        <v>0.9940127849005882</v>
      </c>
      <c r="C1270" s="3">
        <f t="shared" si="78"/>
        <v>62182.457785026098</v>
      </c>
      <c r="D1270" s="3">
        <f t="shared" si="79"/>
        <v>0.77837507020012708</v>
      </c>
      <c r="E1270" s="8">
        <f t="shared" si="76"/>
        <v>180.57142857142858</v>
      </c>
    </row>
    <row r="1271" spans="1:5" ht="18.75" x14ac:dyDescent="0.3">
      <c r="A1271" s="3">
        <v>1265</v>
      </c>
      <c r="B1271" s="9">
        <f t="shared" si="77"/>
        <v>0.99402519485882546</v>
      </c>
      <c r="C1271" s="3">
        <f t="shared" si="78"/>
        <v>62183.234114783547</v>
      </c>
      <c r="D1271" s="3">
        <f t="shared" si="79"/>
        <v>0.77632975744927535</v>
      </c>
      <c r="E1271" s="8">
        <f t="shared" si="76"/>
        <v>180.71428571428572</v>
      </c>
    </row>
    <row r="1272" spans="1:5" ht="18.75" x14ac:dyDescent="0.3">
      <c r="A1272" s="3">
        <v>1266</v>
      </c>
      <c r="B1272" s="9">
        <f t="shared" si="77"/>
        <v>0.99403757222690514</v>
      </c>
      <c r="C1272" s="3">
        <f t="shared" si="78"/>
        <v>62184.008405798508</v>
      </c>
      <c r="D1272" s="3">
        <f t="shared" si="79"/>
        <v>0.7742910149609088</v>
      </c>
      <c r="E1272" s="8">
        <f t="shared" si="76"/>
        <v>180.85714285714286</v>
      </c>
    </row>
    <row r="1273" spans="1:5" ht="18.75" x14ac:dyDescent="0.3">
      <c r="A1273" s="3">
        <v>1267</v>
      </c>
      <c r="B1273" s="9">
        <f t="shared" si="77"/>
        <v>0.99404991710945412</v>
      </c>
      <c r="C1273" s="3">
        <f t="shared" si="78"/>
        <v>62184.780664616119</v>
      </c>
      <c r="D1273" s="3">
        <f t="shared" si="79"/>
        <v>0.77225881761114579</v>
      </c>
      <c r="E1273" s="8">
        <f t="shared" si="76"/>
        <v>181</v>
      </c>
    </row>
    <row r="1274" spans="1:5" ht="18.75" x14ac:dyDescent="0.3">
      <c r="A1274" s="3">
        <v>1268</v>
      </c>
      <c r="B1274" s="9">
        <f t="shared" si="77"/>
        <v>0.99406222961069968</v>
      </c>
      <c r="C1274" s="3">
        <f t="shared" si="78"/>
        <v>62185.550897756541</v>
      </c>
      <c r="D1274" s="3">
        <f t="shared" si="79"/>
        <v>0.77023314042162383</v>
      </c>
      <c r="E1274" s="8">
        <f t="shared" si="76"/>
        <v>181.14285714285714</v>
      </c>
    </row>
    <row r="1275" spans="1:5" ht="18.75" x14ac:dyDescent="0.3">
      <c r="A1275" s="3">
        <v>1269</v>
      </c>
      <c r="B1275" s="9">
        <f t="shared" si="77"/>
        <v>0.99407450983447188</v>
      </c>
      <c r="C1275" s="3">
        <f t="shared" si="78"/>
        <v>62186.319111715056</v>
      </c>
      <c r="D1275" s="3">
        <f t="shared" si="79"/>
        <v>0.76821395851584384</v>
      </c>
      <c r="E1275" s="8">
        <f t="shared" si="76"/>
        <v>181.28571428571428</v>
      </c>
    </row>
    <row r="1276" spans="1:5" ht="18.75" x14ac:dyDescent="0.3">
      <c r="A1276" s="3">
        <v>1270</v>
      </c>
      <c r="B1276" s="9">
        <f t="shared" si="77"/>
        <v>0.99408675788420442</v>
      </c>
      <c r="C1276" s="3">
        <f t="shared" si="78"/>
        <v>62187.085312962176</v>
      </c>
      <c r="D1276" s="3">
        <f t="shared" si="79"/>
        <v>0.76620124711917015</v>
      </c>
      <c r="E1276" s="8">
        <f t="shared" si="76"/>
        <v>181.42857142857142</v>
      </c>
    </row>
    <row r="1277" spans="1:5" ht="18.75" x14ac:dyDescent="0.3">
      <c r="A1277" s="3">
        <v>1271</v>
      </c>
      <c r="B1277" s="9">
        <f t="shared" si="77"/>
        <v>0.994098973862937</v>
      </c>
      <c r="C1277" s="3">
        <f t="shared" si="78"/>
        <v>62187.849507943749</v>
      </c>
      <c r="D1277" s="3">
        <f t="shared" si="79"/>
        <v>0.76419498157338239</v>
      </c>
      <c r="E1277" s="8">
        <f t="shared" si="76"/>
        <v>181.57142857142858</v>
      </c>
    </row>
    <row r="1278" spans="1:5" ht="18.75" x14ac:dyDescent="0.3">
      <c r="A1278" s="3">
        <v>1272</v>
      </c>
      <c r="B1278" s="9">
        <f t="shared" si="77"/>
        <v>0.99411115787331694</v>
      </c>
      <c r="C1278" s="3">
        <f t="shared" si="78"/>
        <v>62188.611703081086</v>
      </c>
      <c r="D1278" s="3">
        <f t="shared" si="79"/>
        <v>0.76219513733667554</v>
      </c>
      <c r="E1278" s="8">
        <f t="shared" si="76"/>
        <v>181.71428571428572</v>
      </c>
    </row>
    <row r="1279" spans="1:5" ht="18.75" x14ac:dyDescent="0.3">
      <c r="A1279" s="3">
        <v>1273</v>
      </c>
      <c r="B1279" s="9">
        <f t="shared" si="77"/>
        <v>0.99412331001760068</v>
      </c>
      <c r="C1279" s="3">
        <f t="shared" si="78"/>
        <v>62189.371904771047</v>
      </c>
      <c r="D1279" s="3">
        <f t="shared" si="79"/>
        <v>0.76020168996183202</v>
      </c>
      <c r="E1279" s="8">
        <f t="shared" si="76"/>
        <v>181.85714285714286</v>
      </c>
    </row>
    <row r="1280" spans="1:5" ht="18.75" x14ac:dyDescent="0.3">
      <c r="A1280" s="3">
        <v>1274</v>
      </c>
      <c r="B1280" s="9">
        <f t="shared" si="77"/>
        <v>0.99413543039765606</v>
      </c>
      <c r="C1280" s="3">
        <f t="shared" si="78"/>
        <v>62190.130119386173</v>
      </c>
      <c r="D1280" s="3">
        <f t="shared" si="79"/>
        <v>0.75821461512532551</v>
      </c>
      <c r="E1280" s="8">
        <f t="shared" si="76"/>
        <v>182</v>
      </c>
    </row>
    <row r="1281" spans="1:5" ht="18.75" x14ac:dyDescent="0.3">
      <c r="A1281" s="3">
        <v>1275</v>
      </c>
      <c r="B1281" s="9">
        <f t="shared" si="77"/>
        <v>0.99414751911496324</v>
      </c>
      <c r="C1281" s="3">
        <f t="shared" si="78"/>
        <v>62190.886353274756</v>
      </c>
      <c r="D1281" s="3">
        <f t="shared" si="79"/>
        <v>0.75623388858366525</v>
      </c>
      <c r="E1281" s="8">
        <f t="shared" si="76"/>
        <v>182.14285714285714</v>
      </c>
    </row>
    <row r="1282" spans="1:5" ht="18.75" x14ac:dyDescent="0.3">
      <c r="A1282" s="3">
        <v>1276</v>
      </c>
      <c r="B1282" s="9">
        <f t="shared" si="77"/>
        <v>0.99415957627061735</v>
      </c>
      <c r="C1282" s="3">
        <f t="shared" si="78"/>
        <v>62191.64061276101</v>
      </c>
      <c r="D1282" s="3">
        <f t="shared" si="79"/>
        <v>0.75425948625343153</v>
      </c>
      <c r="E1282" s="8">
        <f t="shared" si="76"/>
        <v>182.28571428571428</v>
      </c>
    </row>
    <row r="1283" spans="1:5" ht="18.75" x14ac:dyDescent="0.3">
      <c r="A1283" s="3">
        <v>1277</v>
      </c>
      <c r="B1283" s="9">
        <f t="shared" si="77"/>
        <v>0.99417160196532928</v>
      </c>
      <c r="C1283" s="3">
        <f t="shared" si="78"/>
        <v>62192.392904145105</v>
      </c>
      <c r="D1283" s="3">
        <f t="shared" si="79"/>
        <v>0.7522913840948604</v>
      </c>
      <c r="E1283" s="8">
        <f t="shared" si="76"/>
        <v>182.42857142857142</v>
      </c>
    </row>
    <row r="1284" spans="1:5" ht="18.75" x14ac:dyDescent="0.3">
      <c r="A1284" s="3">
        <v>1278</v>
      </c>
      <c r="B1284" s="9">
        <f t="shared" si="77"/>
        <v>0.99418359629942799</v>
      </c>
      <c r="C1284" s="3">
        <f t="shared" si="78"/>
        <v>62193.143233703318</v>
      </c>
      <c r="D1284" s="3">
        <f t="shared" si="79"/>
        <v>0.75032955821370706</v>
      </c>
      <c r="E1284" s="8">
        <f t="shared" si="76"/>
        <v>182.57142857142858</v>
      </c>
    </row>
    <row r="1285" spans="1:5" ht="18.75" x14ac:dyDescent="0.3">
      <c r="A1285" s="3">
        <v>1279</v>
      </c>
      <c r="B1285" s="9">
        <f t="shared" si="77"/>
        <v>0.99419555937286208</v>
      </c>
      <c r="C1285" s="3">
        <f t="shared" si="78"/>
        <v>62193.891607688136</v>
      </c>
      <c r="D1285" s="3">
        <f t="shared" si="79"/>
        <v>0.7483739848175901</v>
      </c>
      <c r="E1285" s="8">
        <f t="shared" si="76"/>
        <v>182.71428571428572</v>
      </c>
    </row>
    <row r="1286" spans="1:5" ht="18.75" x14ac:dyDescent="0.3">
      <c r="A1286" s="3">
        <v>1280</v>
      </c>
      <c r="B1286" s="9">
        <f t="shared" si="77"/>
        <v>0.99420749128520125</v>
      </c>
      <c r="C1286" s="3">
        <f t="shared" si="78"/>
        <v>62194.638032328337</v>
      </c>
      <c r="D1286" s="3">
        <f t="shared" si="79"/>
        <v>0.74642464020143962</v>
      </c>
      <c r="E1286" s="8">
        <f t="shared" si="76"/>
        <v>182.85714285714286</v>
      </c>
    </row>
    <row r="1287" spans="1:5" ht="18.75" x14ac:dyDescent="0.3">
      <c r="A1287" s="3">
        <v>1281</v>
      </c>
      <c r="B1287" s="9">
        <f t="shared" si="77"/>
        <v>0.99421939213563826</v>
      </c>
      <c r="C1287" s="3">
        <f t="shared" si="78"/>
        <v>62195.382513829121</v>
      </c>
      <c r="D1287" s="3">
        <f t="shared" si="79"/>
        <v>0.74448150078387698</v>
      </c>
      <c r="E1287" s="8">
        <f t="shared" ref="E1287:E1350" si="80">A1287/7</f>
        <v>183</v>
      </c>
    </row>
    <row r="1288" spans="1:5" ht="18.75" x14ac:dyDescent="0.3">
      <c r="A1288" s="3">
        <v>1282</v>
      </c>
      <c r="B1288" s="9">
        <f t="shared" ref="B1288:B1351" si="81">LOGNORMDIST(A1288,$A$3,$B$3)</f>
        <v>0.99423126202299028</v>
      </c>
      <c r="C1288" s="3">
        <f t="shared" ref="C1288:C1351" si="82">$E$3*B1288</f>
        <v>62196.125058372199</v>
      </c>
      <c r="D1288" s="3">
        <f t="shared" ref="D1288:D1351" si="83">C1288-C1287</f>
        <v>0.74254454307811102</v>
      </c>
      <c r="E1288" s="8">
        <f t="shared" si="80"/>
        <v>183.14285714285714</v>
      </c>
    </row>
    <row r="1289" spans="1:5" ht="18.75" x14ac:dyDescent="0.3">
      <c r="A1289" s="3">
        <v>1283</v>
      </c>
      <c r="B1289" s="9">
        <f t="shared" si="81"/>
        <v>0.99424310104570091</v>
      </c>
      <c r="C1289" s="3">
        <f t="shared" si="82"/>
        <v>62196.865672115913</v>
      </c>
      <c r="D1289" s="3">
        <f t="shared" si="83"/>
        <v>0.74061374371376587</v>
      </c>
      <c r="E1289" s="8">
        <f t="shared" si="80"/>
        <v>183.28571428571428</v>
      </c>
    </row>
    <row r="1290" spans="1:5" ht="18.75" x14ac:dyDescent="0.3">
      <c r="A1290" s="3">
        <v>1284</v>
      </c>
      <c r="B1290" s="9">
        <f t="shared" si="81"/>
        <v>0.99425490930184146</v>
      </c>
      <c r="C1290" s="3">
        <f t="shared" si="82"/>
        <v>62197.604361195299</v>
      </c>
      <c r="D1290" s="3">
        <f t="shared" si="83"/>
        <v>0.7386890793859493</v>
      </c>
      <c r="E1290" s="8">
        <f t="shared" si="80"/>
        <v>183.42857142857142</v>
      </c>
    </row>
    <row r="1291" spans="1:5" ht="18.75" x14ac:dyDescent="0.3">
      <c r="A1291" s="3">
        <v>1285</v>
      </c>
      <c r="B1291" s="9">
        <f t="shared" si="81"/>
        <v>0.99426668688911279</v>
      </c>
      <c r="C1291" s="3">
        <f t="shared" si="82"/>
        <v>62198.341131722227</v>
      </c>
      <c r="D1291" s="3">
        <f t="shared" si="83"/>
        <v>0.73677052692801226</v>
      </c>
      <c r="E1291" s="8">
        <f t="shared" si="80"/>
        <v>183.57142857142858</v>
      </c>
    </row>
    <row r="1292" spans="1:5" ht="18.75" x14ac:dyDescent="0.3">
      <c r="A1292" s="3">
        <v>1286</v>
      </c>
      <c r="B1292" s="9">
        <f t="shared" si="81"/>
        <v>0.99427843390484694</v>
      </c>
      <c r="C1292" s="3">
        <f t="shared" si="82"/>
        <v>62199.07598978551</v>
      </c>
      <c r="D1292" s="3">
        <f t="shared" si="83"/>
        <v>0.73485806328244507</v>
      </c>
      <c r="E1292" s="8">
        <f t="shared" si="80"/>
        <v>183.71428571428572</v>
      </c>
    </row>
    <row r="1293" spans="1:5" ht="18.75" x14ac:dyDescent="0.3">
      <c r="A1293" s="3">
        <v>1287</v>
      </c>
      <c r="B1293" s="9">
        <f t="shared" si="81"/>
        <v>0.99429015044600888</v>
      </c>
      <c r="C1293" s="3">
        <f t="shared" si="82"/>
        <v>62199.808941450974</v>
      </c>
      <c r="D1293" s="3">
        <f t="shared" si="83"/>
        <v>0.73295166546449764</v>
      </c>
      <c r="E1293" s="8">
        <f t="shared" si="80"/>
        <v>183.85714285714286</v>
      </c>
    </row>
    <row r="1294" spans="1:5" ht="18.75" x14ac:dyDescent="0.3">
      <c r="A1294" s="3">
        <v>1288</v>
      </c>
      <c r="B1294" s="9">
        <f t="shared" si="81"/>
        <v>0.99430183660919769</v>
      </c>
      <c r="C1294" s="3">
        <f t="shared" si="82"/>
        <v>62200.53999276158</v>
      </c>
      <c r="D1294" s="3">
        <f t="shared" si="83"/>
        <v>0.73105131060583517</v>
      </c>
      <c r="E1294" s="8">
        <f t="shared" si="80"/>
        <v>184</v>
      </c>
    </row>
    <row r="1295" spans="1:5" ht="18.75" x14ac:dyDescent="0.3">
      <c r="A1295" s="3">
        <v>1289</v>
      </c>
      <c r="B1295" s="9">
        <f t="shared" si="81"/>
        <v>0.99431349249064838</v>
      </c>
      <c r="C1295" s="3">
        <f t="shared" si="82"/>
        <v>62201.269149737491</v>
      </c>
      <c r="D1295" s="3">
        <f t="shared" si="83"/>
        <v>0.72915697591088247</v>
      </c>
      <c r="E1295" s="8">
        <f t="shared" si="80"/>
        <v>184.14285714285714</v>
      </c>
    </row>
    <row r="1296" spans="1:5" ht="18.75" x14ac:dyDescent="0.3">
      <c r="A1296" s="3">
        <v>1290</v>
      </c>
      <c r="B1296" s="9">
        <f t="shared" si="81"/>
        <v>0.99432511818623381</v>
      </c>
      <c r="C1296" s="3">
        <f t="shared" si="82"/>
        <v>62201.996418376228</v>
      </c>
      <c r="D1296" s="3">
        <f t="shared" si="83"/>
        <v>0.72726863873685943</v>
      </c>
      <c r="E1296" s="8">
        <f t="shared" si="80"/>
        <v>184.28571428571428</v>
      </c>
    </row>
    <row r="1297" spans="1:5" ht="18.75" x14ac:dyDescent="0.3">
      <c r="A1297" s="3">
        <v>1291</v>
      </c>
      <c r="B1297" s="9">
        <f t="shared" si="81"/>
        <v>0.99433671379146593</v>
      </c>
      <c r="C1297" s="3">
        <f t="shared" si="82"/>
        <v>62202.721804652734</v>
      </c>
      <c r="D1297" s="3">
        <f t="shared" si="83"/>
        <v>0.72538627650646959</v>
      </c>
      <c r="E1297" s="8">
        <f t="shared" si="80"/>
        <v>184.42857142857142</v>
      </c>
    </row>
    <row r="1298" spans="1:5" ht="18.75" x14ac:dyDescent="0.3">
      <c r="A1298" s="3">
        <v>1292</v>
      </c>
      <c r="B1298" s="9">
        <f t="shared" si="81"/>
        <v>0.99434827940149739</v>
      </c>
      <c r="C1298" s="3">
        <f t="shared" si="82"/>
        <v>62203.445314519471</v>
      </c>
      <c r="D1298" s="3">
        <f t="shared" si="83"/>
        <v>0.7235098667370039</v>
      </c>
      <c r="E1298" s="8">
        <f t="shared" si="80"/>
        <v>184.57142857142858</v>
      </c>
    </row>
    <row r="1299" spans="1:5" ht="18.75" x14ac:dyDescent="0.3">
      <c r="A1299" s="3">
        <v>1293</v>
      </c>
      <c r="B1299" s="9">
        <f t="shared" si="81"/>
        <v>0.99435981511112304</v>
      </c>
      <c r="C1299" s="3">
        <f t="shared" si="82"/>
        <v>62204.166953906526</v>
      </c>
      <c r="D1299" s="3">
        <f t="shared" si="83"/>
        <v>0.72163938705489272</v>
      </c>
      <c r="E1299" s="8">
        <f t="shared" si="80"/>
        <v>184.71428571428572</v>
      </c>
    </row>
    <row r="1300" spans="1:5" ht="18.75" x14ac:dyDescent="0.3">
      <c r="A1300" s="3">
        <v>1294</v>
      </c>
      <c r="B1300" s="9">
        <f t="shared" si="81"/>
        <v>0.99437132101478165</v>
      </c>
      <c r="C1300" s="3">
        <f t="shared" si="82"/>
        <v>62204.886728721693</v>
      </c>
      <c r="D1300" s="3">
        <f t="shared" si="83"/>
        <v>0.71977481516660191</v>
      </c>
      <c r="E1300" s="8">
        <f t="shared" si="80"/>
        <v>184.85714285714286</v>
      </c>
    </row>
    <row r="1301" spans="1:5" ht="18.75" x14ac:dyDescent="0.3">
      <c r="A1301" s="3">
        <v>1295</v>
      </c>
      <c r="B1301" s="9">
        <f t="shared" si="81"/>
        <v>0.99438279720655776</v>
      </c>
      <c r="C1301" s="3">
        <f t="shared" si="82"/>
        <v>62205.604644850631</v>
      </c>
      <c r="D1301" s="3">
        <f t="shared" si="83"/>
        <v>0.71791612893866841</v>
      </c>
      <c r="E1301" s="8">
        <f t="shared" si="80"/>
        <v>185</v>
      </c>
    </row>
    <row r="1302" spans="1:5" ht="18.75" x14ac:dyDescent="0.3">
      <c r="A1302" s="3">
        <v>1296</v>
      </c>
      <c r="B1302" s="9">
        <f t="shared" si="81"/>
        <v>0.99439424378018249</v>
      </c>
      <c r="C1302" s="3">
        <f t="shared" si="82"/>
        <v>62206.320708156876</v>
      </c>
      <c r="D1302" s="3">
        <f t="shared" si="83"/>
        <v>0.71606330624490511</v>
      </c>
      <c r="E1302" s="8">
        <f t="shared" si="80"/>
        <v>185.14285714285714</v>
      </c>
    </row>
    <row r="1303" spans="1:5" ht="18.75" x14ac:dyDescent="0.3">
      <c r="A1303" s="3">
        <v>1297</v>
      </c>
      <c r="B1303" s="9">
        <f t="shared" si="81"/>
        <v>0.99440566082903559</v>
      </c>
      <c r="C1303" s="3">
        <f t="shared" si="82"/>
        <v>62207.034924481981</v>
      </c>
      <c r="D1303" s="3">
        <f t="shared" si="83"/>
        <v>0.71421632510464406</v>
      </c>
      <c r="E1303" s="8">
        <f t="shared" si="80"/>
        <v>185.28571428571428</v>
      </c>
    </row>
    <row r="1304" spans="1:5" ht="18.75" x14ac:dyDescent="0.3">
      <c r="A1304" s="3">
        <v>1298</v>
      </c>
      <c r="B1304" s="9">
        <f t="shared" si="81"/>
        <v>0.99441704844614687</v>
      </c>
      <c r="C1304" s="3">
        <f t="shared" si="82"/>
        <v>62207.747299645613</v>
      </c>
      <c r="D1304" s="3">
        <f t="shared" si="83"/>
        <v>0.71237516363180475</v>
      </c>
      <c r="E1304" s="8">
        <f t="shared" si="80"/>
        <v>185.42857142857142</v>
      </c>
    </row>
    <row r="1305" spans="1:5" ht="18.75" x14ac:dyDescent="0.3">
      <c r="A1305" s="3">
        <v>1299</v>
      </c>
      <c r="B1305" s="9">
        <f t="shared" si="81"/>
        <v>0.99442840672419797</v>
      </c>
      <c r="C1305" s="3">
        <f t="shared" si="82"/>
        <v>62208.457839445655</v>
      </c>
      <c r="D1305" s="3">
        <f t="shared" si="83"/>
        <v>0.7105398000421701</v>
      </c>
      <c r="E1305" s="8">
        <f t="shared" si="80"/>
        <v>185.57142857142858</v>
      </c>
    </row>
    <row r="1306" spans="1:5" ht="18.75" x14ac:dyDescent="0.3">
      <c r="A1306" s="3">
        <v>1300</v>
      </c>
      <c r="B1306" s="9">
        <f t="shared" si="81"/>
        <v>0.99443973575552325</v>
      </c>
      <c r="C1306" s="3">
        <f t="shared" si="82"/>
        <v>62209.166549658265</v>
      </c>
      <c r="D1306" s="3">
        <f t="shared" si="83"/>
        <v>0.70871021260973066</v>
      </c>
      <c r="E1306" s="8">
        <f t="shared" si="80"/>
        <v>185.71428571428572</v>
      </c>
    </row>
    <row r="1307" spans="1:5" ht="18.75" x14ac:dyDescent="0.3">
      <c r="A1307" s="3">
        <v>1301</v>
      </c>
      <c r="B1307" s="9">
        <f t="shared" si="81"/>
        <v>0.99445103563211201</v>
      </c>
      <c r="C1307" s="3">
        <f t="shared" si="82"/>
        <v>62209.873436038033</v>
      </c>
      <c r="D1307" s="3">
        <f t="shared" si="83"/>
        <v>0.70688637976854807</v>
      </c>
      <c r="E1307" s="8">
        <f t="shared" si="80"/>
        <v>185.85714285714286</v>
      </c>
    </row>
    <row r="1308" spans="1:5" ht="18.75" x14ac:dyDescent="0.3">
      <c r="A1308" s="3">
        <v>1302</v>
      </c>
      <c r="B1308" s="9">
        <f t="shared" si="81"/>
        <v>0.99446230644560929</v>
      </c>
      <c r="C1308" s="3">
        <f t="shared" si="82"/>
        <v>62210.578504317979</v>
      </c>
      <c r="D1308" s="3">
        <f t="shared" si="83"/>
        <v>0.70506827994540799</v>
      </c>
      <c r="E1308" s="8">
        <f t="shared" si="80"/>
        <v>186</v>
      </c>
    </row>
    <row r="1309" spans="1:5" ht="18.75" x14ac:dyDescent="0.3">
      <c r="A1309" s="3">
        <v>1303</v>
      </c>
      <c r="B1309" s="9">
        <f t="shared" si="81"/>
        <v>0.99447354828731827</v>
      </c>
      <c r="C1309" s="3">
        <f t="shared" si="82"/>
        <v>62211.281760209771</v>
      </c>
      <c r="D1309" s="3">
        <f t="shared" si="83"/>
        <v>0.7032558917926508</v>
      </c>
      <c r="E1309" s="8">
        <f t="shared" si="80"/>
        <v>186.14285714285714</v>
      </c>
    </row>
    <row r="1310" spans="1:5" ht="18.75" x14ac:dyDescent="0.3">
      <c r="A1310" s="3">
        <v>1304</v>
      </c>
      <c r="B1310" s="9">
        <f t="shared" si="81"/>
        <v>0.99448476124820073</v>
      </c>
      <c r="C1310" s="3">
        <f t="shared" si="82"/>
        <v>62211.98320940369</v>
      </c>
      <c r="D1310" s="3">
        <f t="shared" si="83"/>
        <v>0.7014491939189611</v>
      </c>
      <c r="E1310" s="8">
        <f t="shared" si="80"/>
        <v>186.28571428571428</v>
      </c>
    </row>
    <row r="1311" spans="1:5" ht="18.75" x14ac:dyDescent="0.3">
      <c r="A1311" s="3">
        <v>1305</v>
      </c>
      <c r="B1311" s="9">
        <f t="shared" si="81"/>
        <v>0.99449594541887931</v>
      </c>
      <c r="C1311" s="3">
        <f t="shared" si="82"/>
        <v>62212.682857568834</v>
      </c>
      <c r="D1311" s="3">
        <f t="shared" si="83"/>
        <v>0.69964816514402628</v>
      </c>
      <c r="E1311" s="8">
        <f t="shared" si="80"/>
        <v>186.42857142857142</v>
      </c>
    </row>
    <row r="1312" spans="1:5" ht="18.75" x14ac:dyDescent="0.3">
      <c r="A1312" s="3">
        <v>1306</v>
      </c>
      <c r="B1312" s="9">
        <f t="shared" si="81"/>
        <v>0.99450710088963867</v>
      </c>
      <c r="C1312" s="3">
        <f t="shared" si="82"/>
        <v>62213.380710353129</v>
      </c>
      <c r="D1312" s="3">
        <f t="shared" si="83"/>
        <v>0.69785278429480968</v>
      </c>
      <c r="E1312" s="8">
        <f t="shared" si="80"/>
        <v>186.57142857142858</v>
      </c>
    </row>
    <row r="1313" spans="1:5" ht="18.75" x14ac:dyDescent="0.3">
      <c r="A1313" s="3">
        <v>1307</v>
      </c>
      <c r="B1313" s="9">
        <f t="shared" si="81"/>
        <v>0.99451822775042686</v>
      </c>
      <c r="C1313" s="3">
        <f t="shared" si="82"/>
        <v>62214.076773383451</v>
      </c>
      <c r="D1313" s="3">
        <f t="shared" si="83"/>
        <v>0.69606303032196593</v>
      </c>
      <c r="E1313" s="8">
        <f t="shared" si="80"/>
        <v>186.71428571428572</v>
      </c>
    </row>
    <row r="1314" spans="1:5" ht="18.75" x14ac:dyDescent="0.3">
      <c r="A1314" s="3">
        <v>1308</v>
      </c>
      <c r="B1314" s="9">
        <f t="shared" si="81"/>
        <v>0.99452932609085709</v>
      </c>
      <c r="C1314" s="3">
        <f t="shared" si="82"/>
        <v>62214.771052265743</v>
      </c>
      <c r="D1314" s="3">
        <f t="shared" si="83"/>
        <v>0.69427888229256496</v>
      </c>
      <c r="E1314" s="8">
        <f t="shared" si="80"/>
        <v>186.85714285714286</v>
      </c>
    </row>
    <row r="1315" spans="1:5" ht="18.75" x14ac:dyDescent="0.3">
      <c r="A1315" s="3">
        <v>1309</v>
      </c>
      <c r="B1315" s="9">
        <f t="shared" si="81"/>
        <v>0.99454039600020883</v>
      </c>
      <c r="C1315" s="3">
        <f t="shared" si="82"/>
        <v>62215.463552585061</v>
      </c>
      <c r="D1315" s="3">
        <f t="shared" si="83"/>
        <v>0.69250031931733247</v>
      </c>
      <c r="E1315" s="8">
        <f t="shared" si="80"/>
        <v>187</v>
      </c>
    </row>
    <row r="1316" spans="1:5" ht="18.75" x14ac:dyDescent="0.3">
      <c r="A1316" s="3">
        <v>1310</v>
      </c>
      <c r="B1316" s="9">
        <f t="shared" si="81"/>
        <v>0.99455143756742959</v>
      </c>
      <c r="C1316" s="3">
        <f t="shared" si="82"/>
        <v>62216.154279905692</v>
      </c>
      <c r="D1316" s="3">
        <f t="shared" si="83"/>
        <v>0.69072732063068543</v>
      </c>
      <c r="E1316" s="8">
        <f t="shared" si="80"/>
        <v>187.14285714285714</v>
      </c>
    </row>
    <row r="1317" spans="1:5" ht="18.75" x14ac:dyDescent="0.3">
      <c r="A1317" s="3">
        <v>1311</v>
      </c>
      <c r="B1317" s="9">
        <f t="shared" si="81"/>
        <v>0.99456245088113604</v>
      </c>
      <c r="C1317" s="3">
        <f t="shared" si="82"/>
        <v>62216.843239771224</v>
      </c>
      <c r="D1317" s="3">
        <f t="shared" si="83"/>
        <v>0.68895986553252442</v>
      </c>
      <c r="E1317" s="8">
        <f t="shared" si="80"/>
        <v>187.28571428571428</v>
      </c>
    </row>
    <row r="1318" spans="1:5" ht="18.75" x14ac:dyDescent="0.3">
      <c r="A1318" s="3">
        <v>1312</v>
      </c>
      <c r="B1318" s="9">
        <f t="shared" si="81"/>
        <v>0.99457343602961568</v>
      </c>
      <c r="C1318" s="3">
        <f t="shared" si="82"/>
        <v>62217.53043770467</v>
      </c>
      <c r="D1318" s="3">
        <f t="shared" si="83"/>
        <v>0.68719793344644131</v>
      </c>
      <c r="E1318" s="8">
        <f t="shared" si="80"/>
        <v>187.42857142857142</v>
      </c>
    </row>
    <row r="1319" spans="1:5" ht="18.75" x14ac:dyDescent="0.3">
      <c r="A1319" s="3">
        <v>1313</v>
      </c>
      <c r="B1319" s="9">
        <f t="shared" si="81"/>
        <v>0.99458439310082813</v>
      </c>
      <c r="C1319" s="3">
        <f t="shared" si="82"/>
        <v>62218.215879208503</v>
      </c>
      <c r="D1319" s="3">
        <f t="shared" si="83"/>
        <v>0.68544150383240776</v>
      </c>
      <c r="E1319" s="8">
        <f t="shared" si="80"/>
        <v>187.57142857142858</v>
      </c>
    </row>
    <row r="1320" spans="1:5" ht="18.75" x14ac:dyDescent="0.3">
      <c r="A1320" s="3">
        <v>1314</v>
      </c>
      <c r="B1320" s="9">
        <f t="shared" si="81"/>
        <v>0.99459532218240676</v>
      </c>
      <c r="C1320" s="3">
        <f t="shared" si="82"/>
        <v>62218.899569764821</v>
      </c>
      <c r="D1320" s="3">
        <f t="shared" si="83"/>
        <v>0.68369055631774245</v>
      </c>
      <c r="E1320" s="8">
        <f t="shared" si="80"/>
        <v>187.71428571428572</v>
      </c>
    </row>
    <row r="1321" spans="1:5" ht="18.75" x14ac:dyDescent="0.3">
      <c r="A1321" s="3">
        <v>1315</v>
      </c>
      <c r="B1321" s="9">
        <f t="shared" si="81"/>
        <v>0.99460622336165971</v>
      </c>
      <c r="C1321" s="3">
        <f t="shared" si="82"/>
        <v>62219.581514835343</v>
      </c>
      <c r="D1321" s="3">
        <f t="shared" si="83"/>
        <v>0.68194507052248809</v>
      </c>
      <c r="E1321" s="8">
        <f t="shared" si="80"/>
        <v>187.85714285714286</v>
      </c>
    </row>
    <row r="1322" spans="1:5" ht="18.75" x14ac:dyDescent="0.3">
      <c r="A1322" s="3">
        <v>1316</v>
      </c>
      <c r="B1322" s="9">
        <f t="shared" si="81"/>
        <v>0.99461709672557153</v>
      </c>
      <c r="C1322" s="3">
        <f t="shared" si="82"/>
        <v>62220.261719861577</v>
      </c>
      <c r="D1322" s="3">
        <f t="shared" si="83"/>
        <v>0.68020502623403445</v>
      </c>
      <c r="E1322" s="8">
        <f t="shared" si="80"/>
        <v>188</v>
      </c>
    </row>
    <row r="1323" spans="1:5" ht="18.75" x14ac:dyDescent="0.3">
      <c r="A1323" s="3">
        <v>1317</v>
      </c>
      <c r="B1323" s="9">
        <f t="shared" si="81"/>
        <v>0.99462794236080465</v>
      </c>
      <c r="C1323" s="3">
        <f t="shared" si="82"/>
        <v>62220.940190264853</v>
      </c>
      <c r="D1323" s="3">
        <f t="shared" si="83"/>
        <v>0.67847040327615105</v>
      </c>
      <c r="E1323" s="8">
        <f t="shared" si="80"/>
        <v>188.14285714285714</v>
      </c>
    </row>
    <row r="1324" spans="1:5" ht="18.75" x14ac:dyDescent="0.3">
      <c r="A1324" s="3">
        <v>1318</v>
      </c>
      <c r="B1324" s="9">
        <f t="shared" si="81"/>
        <v>0.99463876035370058</v>
      </c>
      <c r="C1324" s="3">
        <f t="shared" si="82"/>
        <v>62221.61693144645</v>
      </c>
      <c r="D1324" s="3">
        <f t="shared" si="83"/>
        <v>0.6767411815962987</v>
      </c>
      <c r="E1324" s="8">
        <f t="shared" si="80"/>
        <v>188.28571428571428</v>
      </c>
    </row>
    <row r="1325" spans="1:5" ht="18.75" x14ac:dyDescent="0.3">
      <c r="A1325" s="3">
        <v>1319</v>
      </c>
      <c r="B1325" s="9">
        <f t="shared" si="81"/>
        <v>0.99464955079028161</v>
      </c>
      <c r="C1325" s="3">
        <f t="shared" si="82"/>
        <v>62222.29194878765</v>
      </c>
      <c r="D1325" s="3">
        <f t="shared" si="83"/>
        <v>0.67501734120014589</v>
      </c>
      <c r="E1325" s="8">
        <f t="shared" si="80"/>
        <v>188.42857142857142</v>
      </c>
    </row>
    <row r="1326" spans="1:5" ht="18.75" x14ac:dyDescent="0.3">
      <c r="A1326" s="3">
        <v>1320</v>
      </c>
      <c r="B1326" s="9">
        <f t="shared" si="81"/>
        <v>0.99466031375625175</v>
      </c>
      <c r="C1326" s="3">
        <f t="shared" si="82"/>
        <v>62222.965247649838</v>
      </c>
      <c r="D1326" s="3">
        <f t="shared" si="83"/>
        <v>0.67329886218794854</v>
      </c>
      <c r="E1326" s="8">
        <f t="shared" si="80"/>
        <v>188.57142857142858</v>
      </c>
    </row>
    <row r="1327" spans="1:5" ht="18.75" x14ac:dyDescent="0.3">
      <c r="A1327" s="3">
        <v>1321</v>
      </c>
      <c r="B1327" s="9">
        <f t="shared" si="81"/>
        <v>0.99467104933699824</v>
      </c>
      <c r="C1327" s="3">
        <f t="shared" si="82"/>
        <v>62223.6368333746</v>
      </c>
      <c r="D1327" s="3">
        <f t="shared" si="83"/>
        <v>0.67158572476182599</v>
      </c>
      <c r="E1327" s="8">
        <f t="shared" si="80"/>
        <v>188.71428571428572</v>
      </c>
    </row>
    <row r="1328" spans="1:5" ht="18.75" x14ac:dyDescent="0.3">
      <c r="A1328" s="3">
        <v>1322</v>
      </c>
      <c r="B1328" s="9">
        <f t="shared" si="81"/>
        <v>0.99468175761759314</v>
      </c>
      <c r="C1328" s="3">
        <f t="shared" si="82"/>
        <v>62224.306711283774</v>
      </c>
      <c r="D1328" s="3">
        <f t="shared" si="83"/>
        <v>0.66987790917482926</v>
      </c>
      <c r="E1328" s="8">
        <f t="shared" si="80"/>
        <v>188.85714285714286</v>
      </c>
    </row>
    <row r="1329" spans="1:5" ht="18.75" x14ac:dyDescent="0.3">
      <c r="A1329" s="3">
        <v>1323</v>
      </c>
      <c r="B1329" s="9">
        <f t="shared" si="81"/>
        <v>0.99469243868279467</v>
      </c>
      <c r="C1329" s="3">
        <f t="shared" si="82"/>
        <v>62224.974886679585</v>
      </c>
      <c r="D1329" s="3">
        <f t="shared" si="83"/>
        <v>0.66817539581097662</v>
      </c>
      <c r="E1329" s="8">
        <f t="shared" si="80"/>
        <v>189</v>
      </c>
    </row>
    <row r="1330" spans="1:5" ht="18.75" x14ac:dyDescent="0.3">
      <c r="A1330" s="3">
        <v>1324</v>
      </c>
      <c r="B1330" s="9">
        <f t="shared" si="81"/>
        <v>0.99470309261704792</v>
      </c>
      <c r="C1330" s="3">
        <f t="shared" si="82"/>
        <v>62225.641364844669</v>
      </c>
      <c r="D1330" s="3">
        <f t="shared" si="83"/>
        <v>0.66647816508339019</v>
      </c>
      <c r="E1330" s="8">
        <f t="shared" si="80"/>
        <v>189.14285714285714</v>
      </c>
    </row>
    <row r="1331" spans="1:5" ht="18.75" x14ac:dyDescent="0.3">
      <c r="A1331" s="3">
        <v>1325</v>
      </c>
      <c r="B1331" s="9">
        <f t="shared" si="81"/>
        <v>0.99471371950448717</v>
      </c>
      <c r="C1331" s="3">
        <f t="shared" si="82"/>
        <v>62226.306151042205</v>
      </c>
      <c r="D1331" s="3">
        <f t="shared" si="83"/>
        <v>0.66478619753615931</v>
      </c>
      <c r="E1331" s="8">
        <f t="shared" si="80"/>
        <v>189.28571428571428</v>
      </c>
    </row>
    <row r="1332" spans="1:5" ht="18.75" x14ac:dyDescent="0.3">
      <c r="A1332" s="3">
        <v>1326</v>
      </c>
      <c r="B1332" s="9">
        <f t="shared" si="81"/>
        <v>0.99472431942893658</v>
      </c>
      <c r="C1332" s="3">
        <f t="shared" si="82"/>
        <v>62226.969250515984</v>
      </c>
      <c r="D1332" s="3">
        <f t="shared" si="83"/>
        <v>0.66309947377885692</v>
      </c>
      <c r="E1332" s="8">
        <f t="shared" si="80"/>
        <v>189.42857142857142</v>
      </c>
    </row>
    <row r="1333" spans="1:5" ht="18.75" x14ac:dyDescent="0.3">
      <c r="A1333" s="3">
        <v>1327</v>
      </c>
      <c r="B1333" s="9">
        <f t="shared" si="81"/>
        <v>0.99473489247391156</v>
      </c>
      <c r="C1333" s="3">
        <f t="shared" si="82"/>
        <v>62227.630668490485</v>
      </c>
      <c r="D1333" s="3">
        <f t="shared" si="83"/>
        <v>0.66141797450109152</v>
      </c>
      <c r="E1333" s="8">
        <f t="shared" si="80"/>
        <v>189.57142857142858</v>
      </c>
    </row>
    <row r="1334" spans="1:5" ht="18.75" x14ac:dyDescent="0.3">
      <c r="A1334" s="3">
        <v>1328</v>
      </c>
      <c r="B1334" s="9">
        <f t="shared" si="81"/>
        <v>0.99474543872262022</v>
      </c>
      <c r="C1334" s="3">
        <f t="shared" si="82"/>
        <v>62228.29041017095</v>
      </c>
      <c r="D1334" s="3">
        <f t="shared" si="83"/>
        <v>0.65974168046523118</v>
      </c>
      <c r="E1334" s="8">
        <f t="shared" si="80"/>
        <v>189.71428571428572</v>
      </c>
    </row>
    <row r="1335" spans="1:5" ht="18.75" x14ac:dyDescent="0.3">
      <c r="A1335" s="3">
        <v>1329</v>
      </c>
      <c r="B1335" s="9">
        <f t="shared" si="81"/>
        <v>0.99475595825796503</v>
      </c>
      <c r="C1335" s="3">
        <f t="shared" si="82"/>
        <v>62228.948480743522</v>
      </c>
      <c r="D1335" s="3">
        <f t="shared" si="83"/>
        <v>0.65807057257188717</v>
      </c>
      <c r="E1335" s="8">
        <f t="shared" si="80"/>
        <v>189.85714285714286</v>
      </c>
    </row>
    <row r="1336" spans="1:5" ht="18.75" x14ac:dyDescent="0.3">
      <c r="A1336" s="3">
        <v>1330</v>
      </c>
      <c r="B1336" s="9">
        <f t="shared" si="81"/>
        <v>0.99476645116254325</v>
      </c>
      <c r="C1336" s="3">
        <f t="shared" si="82"/>
        <v>62229.604885375222</v>
      </c>
      <c r="D1336" s="3">
        <f t="shared" si="83"/>
        <v>0.65640463169984287</v>
      </c>
      <c r="E1336" s="8">
        <f t="shared" si="80"/>
        <v>190</v>
      </c>
    </row>
    <row r="1337" spans="1:5" ht="18.75" x14ac:dyDescent="0.3">
      <c r="A1337" s="3">
        <v>1331</v>
      </c>
      <c r="B1337" s="9">
        <f t="shared" si="81"/>
        <v>0.99477691751864894</v>
      </c>
      <c r="C1337" s="3">
        <f t="shared" si="82"/>
        <v>62230.259629214124</v>
      </c>
      <c r="D1337" s="3">
        <f t="shared" si="83"/>
        <v>0.65474383890250465</v>
      </c>
      <c r="E1337" s="8">
        <f t="shared" si="80"/>
        <v>190.14285714285714</v>
      </c>
    </row>
    <row r="1338" spans="1:5" ht="18.75" x14ac:dyDescent="0.3">
      <c r="A1338" s="3">
        <v>1332</v>
      </c>
      <c r="B1338" s="9">
        <f t="shared" si="81"/>
        <v>0.9947873574082744</v>
      </c>
      <c r="C1338" s="3">
        <f t="shared" si="82"/>
        <v>62230.912717389423</v>
      </c>
      <c r="D1338" s="3">
        <f t="shared" si="83"/>
        <v>0.65308817529876251</v>
      </c>
      <c r="E1338" s="8">
        <f t="shared" si="80"/>
        <v>190.28571428571428</v>
      </c>
    </row>
    <row r="1339" spans="1:5" ht="18.75" x14ac:dyDescent="0.3">
      <c r="A1339" s="3">
        <v>1333</v>
      </c>
      <c r="B1339" s="9">
        <f t="shared" si="81"/>
        <v>0.9947977709131105</v>
      </c>
      <c r="C1339" s="3">
        <f t="shared" si="82"/>
        <v>62231.564155011452</v>
      </c>
      <c r="D1339" s="3">
        <f t="shared" si="83"/>
        <v>0.65143762202933431</v>
      </c>
      <c r="E1339" s="8">
        <f t="shared" si="80"/>
        <v>190.42857142857142</v>
      </c>
    </row>
    <row r="1340" spans="1:5" ht="18.75" x14ac:dyDescent="0.3">
      <c r="A1340" s="3">
        <v>1334</v>
      </c>
      <c r="B1340" s="9">
        <f t="shared" si="81"/>
        <v>0.99480815811454926</v>
      </c>
      <c r="C1340" s="3">
        <f t="shared" si="82"/>
        <v>62232.213947171855</v>
      </c>
      <c r="D1340" s="3">
        <f t="shared" si="83"/>
        <v>0.64979216040228494</v>
      </c>
      <c r="E1340" s="8">
        <f t="shared" si="80"/>
        <v>190.57142857142858</v>
      </c>
    </row>
    <row r="1341" spans="1:5" ht="18.75" x14ac:dyDescent="0.3">
      <c r="A1341" s="3">
        <v>1335</v>
      </c>
      <c r="B1341" s="9">
        <f t="shared" si="81"/>
        <v>0.99481851909368391</v>
      </c>
      <c r="C1341" s="3">
        <f t="shared" si="82"/>
        <v>62232.862098943588</v>
      </c>
      <c r="D1341" s="3">
        <f t="shared" si="83"/>
        <v>0.64815177173295524</v>
      </c>
      <c r="E1341" s="8">
        <f t="shared" si="80"/>
        <v>190.71428571428572</v>
      </c>
    </row>
    <row r="1342" spans="1:5" ht="18.75" x14ac:dyDescent="0.3">
      <c r="A1342" s="3">
        <v>1336</v>
      </c>
      <c r="B1342" s="9">
        <f t="shared" si="81"/>
        <v>0.99482885393131104</v>
      </c>
      <c r="C1342" s="3">
        <f t="shared" si="82"/>
        <v>62233.508615381026</v>
      </c>
      <c r="D1342" s="3">
        <f t="shared" si="83"/>
        <v>0.64651643743854947</v>
      </c>
      <c r="E1342" s="8">
        <f t="shared" si="80"/>
        <v>190.85714285714286</v>
      </c>
    </row>
    <row r="1343" spans="1:5" ht="18.75" x14ac:dyDescent="0.3">
      <c r="A1343" s="3">
        <v>1337</v>
      </c>
      <c r="B1343" s="9">
        <f t="shared" si="81"/>
        <v>0.99483916270793138</v>
      </c>
      <c r="C1343" s="3">
        <f t="shared" si="82"/>
        <v>62234.153501520064</v>
      </c>
      <c r="D1343" s="3">
        <f t="shared" si="83"/>
        <v>0.6448861390381353</v>
      </c>
      <c r="E1343" s="8">
        <f t="shared" si="80"/>
        <v>191</v>
      </c>
    </row>
    <row r="1344" spans="1:5" ht="18.75" x14ac:dyDescent="0.3">
      <c r="A1344" s="3">
        <v>1338</v>
      </c>
      <c r="B1344" s="9">
        <f t="shared" si="81"/>
        <v>0.99484944550375132</v>
      </c>
      <c r="C1344" s="3">
        <f t="shared" si="82"/>
        <v>62234.796762378173</v>
      </c>
      <c r="D1344" s="3">
        <f t="shared" si="83"/>
        <v>0.64326085810898803</v>
      </c>
      <c r="E1344" s="8">
        <f t="shared" si="80"/>
        <v>191.14285714285714</v>
      </c>
    </row>
    <row r="1345" spans="1:5" ht="18.75" x14ac:dyDescent="0.3">
      <c r="A1345" s="3">
        <v>1339</v>
      </c>
      <c r="B1345" s="9">
        <f t="shared" si="81"/>
        <v>0.99485970239868393</v>
      </c>
      <c r="C1345" s="3">
        <f t="shared" si="82"/>
        <v>62235.438402954467</v>
      </c>
      <c r="D1345" s="3">
        <f t="shared" si="83"/>
        <v>0.64164057629386662</v>
      </c>
      <c r="E1345" s="8">
        <f t="shared" si="80"/>
        <v>191.28571428571428</v>
      </c>
    </row>
    <row r="1346" spans="1:5" ht="18.75" x14ac:dyDescent="0.3">
      <c r="A1346" s="3">
        <v>1340</v>
      </c>
      <c r="B1346" s="9">
        <f t="shared" si="81"/>
        <v>0.99486993347235042</v>
      </c>
      <c r="C1346" s="3">
        <f t="shared" si="82"/>
        <v>62236.078428229826</v>
      </c>
      <c r="D1346" s="3">
        <f t="shared" si="83"/>
        <v>0.64002527535922127</v>
      </c>
      <c r="E1346" s="8">
        <f t="shared" si="80"/>
        <v>191.42857142857142</v>
      </c>
    </row>
    <row r="1347" spans="1:5" ht="18.75" x14ac:dyDescent="0.3">
      <c r="A1347" s="3">
        <v>1341</v>
      </c>
      <c r="B1347" s="9">
        <f t="shared" si="81"/>
        <v>0.99488013880408122</v>
      </c>
      <c r="C1347" s="3">
        <f t="shared" si="82"/>
        <v>62236.716843166905</v>
      </c>
      <c r="D1347" s="3">
        <f t="shared" si="83"/>
        <v>0.63841493707877817</v>
      </c>
      <c r="E1347" s="8">
        <f t="shared" si="80"/>
        <v>191.57142857142858</v>
      </c>
    </row>
    <row r="1348" spans="1:5" ht="18.75" x14ac:dyDescent="0.3">
      <c r="A1348" s="3">
        <v>1342</v>
      </c>
      <c r="B1348" s="9">
        <f t="shared" si="81"/>
        <v>0.99489031847291742</v>
      </c>
      <c r="C1348" s="3">
        <f t="shared" si="82"/>
        <v>62237.353652710299</v>
      </c>
      <c r="D1348" s="3">
        <f t="shared" si="83"/>
        <v>0.63680954339361051</v>
      </c>
      <c r="E1348" s="8">
        <f t="shared" si="80"/>
        <v>191.71428571428572</v>
      </c>
    </row>
    <row r="1349" spans="1:5" ht="18.75" x14ac:dyDescent="0.3">
      <c r="A1349" s="3">
        <v>1343</v>
      </c>
      <c r="B1349" s="9">
        <f t="shared" si="81"/>
        <v>0.9949004725576116</v>
      </c>
      <c r="C1349" s="3">
        <f t="shared" si="82"/>
        <v>62237.988861786507</v>
      </c>
      <c r="D1349" s="3">
        <f t="shared" si="83"/>
        <v>0.63520907620841172</v>
      </c>
      <c r="E1349" s="8">
        <f t="shared" si="80"/>
        <v>191.85714285714286</v>
      </c>
    </row>
    <row r="1350" spans="1:5" ht="18.75" x14ac:dyDescent="0.3">
      <c r="A1350" s="3">
        <v>1344</v>
      </c>
      <c r="B1350" s="9">
        <f t="shared" si="81"/>
        <v>0.99491060113662977</v>
      </c>
      <c r="C1350" s="3">
        <f t="shared" si="82"/>
        <v>62238.622475304146</v>
      </c>
      <c r="D1350" s="3">
        <f t="shared" si="83"/>
        <v>0.63361351763887797</v>
      </c>
      <c r="E1350" s="8">
        <f t="shared" si="80"/>
        <v>192</v>
      </c>
    </row>
    <row r="1351" spans="1:5" ht="18.75" x14ac:dyDescent="0.3">
      <c r="A1351" s="3">
        <v>1345</v>
      </c>
      <c r="B1351" s="9">
        <f t="shared" si="81"/>
        <v>0.99492070428815149</v>
      </c>
      <c r="C1351" s="3">
        <f t="shared" si="82"/>
        <v>62239.254498153896</v>
      </c>
      <c r="D1351" s="3">
        <f t="shared" si="83"/>
        <v>0.63202284974977374</v>
      </c>
      <c r="E1351" s="8">
        <f t="shared" ref="E1351:E1414" si="84">A1351/7</f>
        <v>192.14285714285714</v>
      </c>
    </row>
    <row r="1352" spans="1:5" ht="18.75" x14ac:dyDescent="0.3">
      <c r="A1352" s="3">
        <v>1346</v>
      </c>
      <c r="B1352" s="9">
        <f t="shared" ref="B1352:B1415" si="85">LOGNORMDIST(A1352,$A$3,$B$3)</f>
        <v>0.99493078209007235</v>
      </c>
      <c r="C1352" s="3">
        <f t="shared" ref="C1352:C1415" si="86">$E$3*B1352</f>
        <v>62239.884935208654</v>
      </c>
      <c r="D1352" s="3">
        <f t="shared" ref="D1352:D1415" si="87">C1352-C1351</f>
        <v>0.63043705475865863</v>
      </c>
      <c r="E1352" s="8">
        <f t="shared" si="84"/>
        <v>192.28571428571428</v>
      </c>
    </row>
    <row r="1353" spans="1:5" ht="18.75" x14ac:dyDescent="0.3">
      <c r="A1353" s="3">
        <v>1347</v>
      </c>
      <c r="B1353" s="9">
        <f t="shared" si="85"/>
        <v>0.99494083462000416</v>
      </c>
      <c r="C1353" s="3">
        <f t="shared" si="86"/>
        <v>62240.513791323603</v>
      </c>
      <c r="D1353" s="3">
        <f t="shared" si="87"/>
        <v>0.62885611494857585</v>
      </c>
      <c r="E1353" s="8">
        <f t="shared" si="84"/>
        <v>192.42857142857142</v>
      </c>
    </row>
    <row r="1354" spans="1:5" ht="18.75" x14ac:dyDescent="0.3">
      <c r="A1354" s="3">
        <v>1348</v>
      </c>
      <c r="B1354" s="9">
        <f t="shared" si="85"/>
        <v>0.99495086195527671</v>
      </c>
      <c r="C1354" s="3">
        <f t="shared" si="86"/>
        <v>62241.141071336242</v>
      </c>
      <c r="D1354" s="3">
        <f t="shared" si="87"/>
        <v>0.62728001263894839</v>
      </c>
      <c r="E1354" s="8">
        <f t="shared" si="84"/>
        <v>192.57142857142858</v>
      </c>
    </row>
    <row r="1355" spans="1:5" ht="18.75" x14ac:dyDescent="0.3">
      <c r="A1355" s="3">
        <v>1349</v>
      </c>
      <c r="B1355" s="9">
        <f t="shared" si="85"/>
        <v>0.99496086417293861</v>
      </c>
      <c r="C1355" s="3">
        <f t="shared" si="86"/>
        <v>62241.766780066522</v>
      </c>
      <c r="D1355" s="3">
        <f t="shared" si="87"/>
        <v>0.62570873028016649</v>
      </c>
      <c r="E1355" s="8">
        <f t="shared" si="84"/>
        <v>192.71428571428572</v>
      </c>
    </row>
    <row r="1356" spans="1:5" ht="18.75" x14ac:dyDescent="0.3">
      <c r="A1356" s="3">
        <v>1350</v>
      </c>
      <c r="B1356" s="9">
        <f t="shared" si="85"/>
        <v>0.99497084134975888</v>
      </c>
      <c r="C1356" s="3">
        <f t="shared" si="86"/>
        <v>62242.390922316867</v>
      </c>
      <c r="D1356" s="3">
        <f t="shared" si="87"/>
        <v>0.62414225034444826</v>
      </c>
      <c r="E1356" s="8">
        <f t="shared" si="84"/>
        <v>192.85714285714286</v>
      </c>
    </row>
    <row r="1357" spans="1:5" ht="18.75" x14ac:dyDescent="0.3">
      <c r="A1357" s="3">
        <v>1351</v>
      </c>
      <c r="B1357" s="9">
        <f t="shared" si="85"/>
        <v>0.99498079356222768</v>
      </c>
      <c r="C1357" s="3">
        <f t="shared" si="86"/>
        <v>62243.01350287228</v>
      </c>
      <c r="D1357" s="3">
        <f t="shared" si="87"/>
        <v>0.62258055541315116</v>
      </c>
      <c r="E1357" s="8">
        <f t="shared" si="84"/>
        <v>193</v>
      </c>
    </row>
    <row r="1358" spans="1:5" ht="18.75" x14ac:dyDescent="0.3">
      <c r="A1358" s="3">
        <v>1352</v>
      </c>
      <c r="B1358" s="9">
        <f t="shared" si="85"/>
        <v>0.99499072088655793</v>
      </c>
      <c r="C1358" s="3">
        <f t="shared" si="86"/>
        <v>62243.634526500406</v>
      </c>
      <c r="D1358" s="3">
        <f t="shared" si="87"/>
        <v>0.62102362812584033</v>
      </c>
      <c r="E1358" s="8">
        <f t="shared" si="84"/>
        <v>193.14285714285714</v>
      </c>
    </row>
    <row r="1359" spans="1:5" ht="18.75" x14ac:dyDescent="0.3">
      <c r="A1359" s="3">
        <v>1353</v>
      </c>
      <c r="B1359" s="9">
        <f t="shared" si="85"/>
        <v>0.99500062339868611</v>
      </c>
      <c r="C1359" s="3">
        <f t="shared" si="86"/>
        <v>62244.253997951608</v>
      </c>
      <c r="D1359" s="3">
        <f t="shared" si="87"/>
        <v>0.61947145120211644</v>
      </c>
      <c r="E1359" s="8">
        <f t="shared" si="84"/>
        <v>193.28571428571428</v>
      </c>
    </row>
    <row r="1360" spans="1:5" ht="18.75" x14ac:dyDescent="0.3">
      <c r="A1360" s="3">
        <v>1354</v>
      </c>
      <c r="B1360" s="9">
        <f t="shared" si="85"/>
        <v>0.99501050117427359</v>
      </c>
      <c r="C1360" s="3">
        <f t="shared" si="86"/>
        <v>62244.871921959035</v>
      </c>
      <c r="D1360" s="3">
        <f t="shared" si="87"/>
        <v>0.61792400742706377</v>
      </c>
      <c r="E1360" s="8">
        <f t="shared" si="84"/>
        <v>193.42857142857142</v>
      </c>
    </row>
    <row r="1361" spans="1:5" ht="18.75" x14ac:dyDescent="0.3">
      <c r="A1361" s="3">
        <v>1355</v>
      </c>
      <c r="B1361" s="9">
        <f t="shared" si="85"/>
        <v>0.99502035428870783</v>
      </c>
      <c r="C1361" s="3">
        <f t="shared" si="86"/>
        <v>62245.488303238693</v>
      </c>
      <c r="D1361" s="3">
        <f t="shared" si="87"/>
        <v>0.61638127965852618</v>
      </c>
      <c r="E1361" s="8">
        <f t="shared" si="84"/>
        <v>193.57142857142858</v>
      </c>
    </row>
    <row r="1362" spans="1:5" ht="18.75" x14ac:dyDescent="0.3">
      <c r="A1362" s="3">
        <v>1356</v>
      </c>
      <c r="B1362" s="9">
        <f t="shared" si="85"/>
        <v>0.99503018281710343</v>
      </c>
      <c r="C1362" s="3">
        <f t="shared" si="86"/>
        <v>62246.103146489542</v>
      </c>
      <c r="D1362" s="3">
        <f t="shared" si="87"/>
        <v>0.61484325084893499</v>
      </c>
      <c r="E1362" s="8">
        <f t="shared" si="84"/>
        <v>193.71428571428572</v>
      </c>
    </row>
    <row r="1363" spans="1:5" ht="18.75" x14ac:dyDescent="0.3">
      <c r="A1363" s="3">
        <v>1357</v>
      </c>
      <c r="B1363" s="9">
        <f t="shared" si="85"/>
        <v>0.99503998683430328</v>
      </c>
      <c r="C1363" s="3">
        <f t="shared" si="86"/>
        <v>62246.716456393508</v>
      </c>
      <c r="D1363" s="3">
        <f t="shared" si="87"/>
        <v>0.61330990396527341</v>
      </c>
      <c r="E1363" s="8">
        <f t="shared" si="84"/>
        <v>193.85714285714286</v>
      </c>
    </row>
    <row r="1364" spans="1:5" ht="18.75" x14ac:dyDescent="0.3">
      <c r="A1364" s="3">
        <v>1358</v>
      </c>
      <c r="B1364" s="9">
        <f t="shared" si="85"/>
        <v>0.99504976641487997</v>
      </c>
      <c r="C1364" s="3">
        <f t="shared" si="86"/>
        <v>62247.328237615649</v>
      </c>
      <c r="D1364" s="3">
        <f t="shared" si="87"/>
        <v>0.61178122214187169</v>
      </c>
      <c r="E1364" s="8">
        <f t="shared" si="84"/>
        <v>194</v>
      </c>
    </row>
    <row r="1365" spans="1:5" ht="18.75" x14ac:dyDescent="0.3">
      <c r="A1365" s="3">
        <v>1359</v>
      </c>
      <c r="B1365" s="9">
        <f t="shared" si="85"/>
        <v>0.99505952163313649</v>
      </c>
      <c r="C1365" s="3">
        <f t="shared" si="86"/>
        <v>62247.938494804119</v>
      </c>
      <c r="D1365" s="3">
        <f t="shared" si="87"/>
        <v>0.61025718846940435</v>
      </c>
      <c r="E1365" s="8">
        <f t="shared" si="84"/>
        <v>194.14285714285714</v>
      </c>
    </row>
    <row r="1366" spans="1:5" ht="18.75" x14ac:dyDescent="0.3">
      <c r="A1366" s="3">
        <v>1360</v>
      </c>
      <c r="B1366" s="9">
        <f t="shared" si="85"/>
        <v>0.99506925256310763</v>
      </c>
      <c r="C1366" s="3">
        <f t="shared" si="86"/>
        <v>62248.547232590325</v>
      </c>
      <c r="D1366" s="3">
        <f t="shared" si="87"/>
        <v>0.60873778620589292</v>
      </c>
      <c r="E1366" s="8">
        <f t="shared" si="84"/>
        <v>194.28571428571428</v>
      </c>
    </row>
    <row r="1367" spans="1:5" ht="18.75" x14ac:dyDescent="0.3">
      <c r="A1367" s="3">
        <v>1361</v>
      </c>
      <c r="B1367" s="9">
        <f t="shared" si="85"/>
        <v>0.99507895927856094</v>
      </c>
      <c r="C1367" s="3">
        <f t="shared" si="86"/>
        <v>62249.154455588934</v>
      </c>
      <c r="D1367" s="3">
        <f t="shared" si="87"/>
        <v>0.60722299860935891</v>
      </c>
      <c r="E1367" s="8">
        <f t="shared" si="84"/>
        <v>194.42857142857142</v>
      </c>
    </row>
    <row r="1368" spans="1:5" ht="18.75" x14ac:dyDescent="0.3">
      <c r="A1368" s="3">
        <v>1362</v>
      </c>
      <c r="B1368" s="9">
        <f t="shared" si="85"/>
        <v>0.99508864185299817</v>
      </c>
      <c r="C1368" s="3">
        <f t="shared" si="86"/>
        <v>62249.760168398003</v>
      </c>
      <c r="D1368" s="3">
        <f t="shared" si="87"/>
        <v>0.6057128090687911</v>
      </c>
      <c r="E1368" s="8">
        <f t="shared" si="84"/>
        <v>194.57142857142858</v>
      </c>
    </row>
    <row r="1369" spans="1:5" ht="18.75" x14ac:dyDescent="0.3">
      <c r="A1369" s="3">
        <v>1363</v>
      </c>
      <c r="B1369" s="9">
        <f t="shared" si="85"/>
        <v>0.99509830035965607</v>
      </c>
      <c r="C1369" s="3">
        <f t="shared" si="86"/>
        <v>62250.364375599005</v>
      </c>
      <c r="D1369" s="3">
        <f t="shared" si="87"/>
        <v>0.60420720100228209</v>
      </c>
      <c r="E1369" s="8">
        <f t="shared" si="84"/>
        <v>194.71428571428572</v>
      </c>
    </row>
    <row r="1370" spans="1:5" ht="18.75" x14ac:dyDescent="0.3">
      <c r="A1370" s="3">
        <v>1364</v>
      </c>
      <c r="B1370" s="9">
        <f t="shared" si="85"/>
        <v>0.99510793487150762</v>
      </c>
      <c r="C1370" s="3">
        <f t="shared" si="86"/>
        <v>62250.967081756899</v>
      </c>
      <c r="D1370" s="3">
        <f t="shared" si="87"/>
        <v>0.60270615789340809</v>
      </c>
      <c r="E1370" s="8">
        <f t="shared" si="84"/>
        <v>194.85714285714286</v>
      </c>
    </row>
    <row r="1371" spans="1:5" ht="18.75" x14ac:dyDescent="0.3">
      <c r="A1371" s="3">
        <v>1365</v>
      </c>
      <c r="B1371" s="9">
        <f t="shared" si="85"/>
        <v>0.99511754546126308</v>
      </c>
      <c r="C1371" s="3">
        <f t="shared" si="86"/>
        <v>62251.568291420233</v>
      </c>
      <c r="D1371" s="3">
        <f t="shared" si="87"/>
        <v>0.60120966333488468</v>
      </c>
      <c r="E1371" s="8">
        <f t="shared" si="84"/>
        <v>195</v>
      </c>
    </row>
    <row r="1372" spans="1:5" ht="18.75" x14ac:dyDescent="0.3">
      <c r="A1372" s="3">
        <v>1366</v>
      </c>
      <c r="B1372" s="9">
        <f t="shared" si="85"/>
        <v>0.99512713220137117</v>
      </c>
      <c r="C1372" s="3">
        <f t="shared" si="86"/>
        <v>62252.168009121175</v>
      </c>
      <c r="D1372" s="3">
        <f t="shared" si="87"/>
        <v>0.59971770094125532</v>
      </c>
      <c r="E1372" s="8">
        <f t="shared" si="84"/>
        <v>195.14285714285714</v>
      </c>
    </row>
    <row r="1373" spans="1:5" ht="18.75" x14ac:dyDescent="0.3">
      <c r="A1373" s="3">
        <v>1367</v>
      </c>
      <c r="B1373" s="9">
        <f t="shared" si="85"/>
        <v>0.99513669516402015</v>
      </c>
      <c r="C1373" s="3">
        <f t="shared" si="86"/>
        <v>62252.766239375611</v>
      </c>
      <c r="D1373" s="3">
        <f t="shared" si="87"/>
        <v>0.59823025443620281</v>
      </c>
      <c r="E1373" s="8">
        <f t="shared" si="84"/>
        <v>195.28571428571428</v>
      </c>
    </row>
    <row r="1374" spans="1:5" ht="18.75" x14ac:dyDescent="0.3">
      <c r="A1374" s="3">
        <v>1368</v>
      </c>
      <c r="B1374" s="9">
        <f t="shared" si="85"/>
        <v>0.9951462344211387</v>
      </c>
      <c r="C1374" s="3">
        <f t="shared" si="86"/>
        <v>62253.362986683176</v>
      </c>
      <c r="D1374" s="3">
        <f t="shared" si="87"/>
        <v>0.59674730756523786</v>
      </c>
      <c r="E1374" s="8">
        <f t="shared" si="84"/>
        <v>195.42857142857142</v>
      </c>
    </row>
    <row r="1375" spans="1:5" ht="18.75" x14ac:dyDescent="0.3">
      <c r="A1375" s="3">
        <v>1369</v>
      </c>
      <c r="B1375" s="9">
        <f t="shared" si="85"/>
        <v>0.9951557500443976</v>
      </c>
      <c r="C1375" s="3">
        <f t="shared" si="86"/>
        <v>62253.958255527381</v>
      </c>
      <c r="D1375" s="3">
        <f t="shared" si="87"/>
        <v>0.59526884420483839</v>
      </c>
      <c r="E1375" s="8">
        <f t="shared" si="84"/>
        <v>195.57142857142858</v>
      </c>
    </row>
    <row r="1376" spans="1:5" ht="18.75" x14ac:dyDescent="0.3">
      <c r="A1376" s="3">
        <v>1370</v>
      </c>
      <c r="B1376" s="9">
        <f t="shared" si="85"/>
        <v>0.99516524210520985</v>
      </c>
      <c r="C1376" s="3">
        <f t="shared" si="86"/>
        <v>62254.552050375612</v>
      </c>
      <c r="D1376" s="3">
        <f t="shared" si="87"/>
        <v>0.59379484823148232</v>
      </c>
      <c r="E1376" s="8">
        <f t="shared" si="84"/>
        <v>195.71428571428572</v>
      </c>
    </row>
    <row r="1377" spans="1:5" ht="18.75" x14ac:dyDescent="0.3">
      <c r="A1377" s="3">
        <v>1371</v>
      </c>
      <c r="B1377" s="9">
        <f t="shared" si="85"/>
        <v>0.99517471067473273</v>
      </c>
      <c r="C1377" s="3">
        <f t="shared" si="86"/>
        <v>62255.144375679258</v>
      </c>
      <c r="D1377" s="3">
        <f t="shared" si="87"/>
        <v>0.59232530364533886</v>
      </c>
      <c r="E1377" s="8">
        <f t="shared" si="84"/>
        <v>195.85714285714286</v>
      </c>
    </row>
    <row r="1378" spans="1:5" ht="18.75" x14ac:dyDescent="0.3">
      <c r="A1378" s="3">
        <v>1372</v>
      </c>
      <c r="B1378" s="9">
        <f t="shared" si="85"/>
        <v>0.9951841558238681</v>
      </c>
      <c r="C1378" s="3">
        <f t="shared" si="86"/>
        <v>62255.735235873719</v>
      </c>
      <c r="D1378" s="3">
        <f t="shared" si="87"/>
        <v>0.59086019446112914</v>
      </c>
      <c r="E1378" s="8">
        <f t="shared" si="84"/>
        <v>196</v>
      </c>
    </row>
    <row r="1379" spans="1:5" ht="18.75" x14ac:dyDescent="0.3">
      <c r="A1379" s="3">
        <v>1373</v>
      </c>
      <c r="B1379" s="9">
        <f t="shared" si="85"/>
        <v>0.9951935776232641</v>
      </c>
      <c r="C1379" s="3">
        <f t="shared" si="86"/>
        <v>62256.324635378529</v>
      </c>
      <c r="D1379" s="3">
        <f t="shared" si="87"/>
        <v>0.58939950480998959</v>
      </c>
      <c r="E1379" s="8">
        <f t="shared" si="84"/>
        <v>196.14285714285714</v>
      </c>
    </row>
    <row r="1380" spans="1:5" ht="18.75" x14ac:dyDescent="0.3">
      <c r="A1380" s="3">
        <v>1374</v>
      </c>
      <c r="B1380" s="9">
        <f t="shared" si="85"/>
        <v>0.99520297614331565</v>
      </c>
      <c r="C1380" s="3">
        <f t="shared" si="86"/>
        <v>62256.912578597396</v>
      </c>
      <c r="D1380" s="3">
        <f t="shared" si="87"/>
        <v>0.58794321886671241</v>
      </c>
      <c r="E1380" s="8">
        <f t="shared" si="84"/>
        <v>196.28571428571428</v>
      </c>
    </row>
    <row r="1381" spans="1:5" ht="18.75" x14ac:dyDescent="0.3">
      <c r="A1381" s="3">
        <v>1375</v>
      </c>
      <c r="B1381" s="9">
        <f t="shared" si="85"/>
        <v>0.99521235145416587</v>
      </c>
      <c r="C1381" s="3">
        <f t="shared" si="86"/>
        <v>62257.499069918253</v>
      </c>
      <c r="D1381" s="3">
        <f t="shared" si="87"/>
        <v>0.58649132085702149</v>
      </c>
      <c r="E1381" s="8">
        <f t="shared" si="84"/>
        <v>196.42857142857142</v>
      </c>
    </row>
    <row r="1382" spans="1:5" ht="18.75" x14ac:dyDescent="0.3">
      <c r="A1382" s="3">
        <v>1376</v>
      </c>
      <c r="B1382" s="9">
        <f t="shared" si="85"/>
        <v>0.99522170362570683</v>
      </c>
      <c r="C1382" s="3">
        <f t="shared" si="86"/>
        <v>62258.084113713339</v>
      </c>
      <c r="D1382" s="3">
        <f t="shared" si="87"/>
        <v>0.58504379508667625</v>
      </c>
      <c r="E1382" s="8">
        <f t="shared" si="84"/>
        <v>196.57142857142858</v>
      </c>
    </row>
    <row r="1383" spans="1:5" ht="18.75" x14ac:dyDescent="0.3">
      <c r="A1383" s="3">
        <v>1377</v>
      </c>
      <c r="B1383" s="9">
        <f t="shared" si="85"/>
        <v>0.99523103272758107</v>
      </c>
      <c r="C1383" s="3">
        <f t="shared" si="86"/>
        <v>62258.667714339288</v>
      </c>
      <c r="D1383" s="3">
        <f t="shared" si="87"/>
        <v>0.58360062594874762</v>
      </c>
      <c r="E1383" s="8">
        <f t="shared" si="84"/>
        <v>196.71428571428572</v>
      </c>
    </row>
    <row r="1384" spans="1:5" ht="18.75" x14ac:dyDescent="0.3">
      <c r="A1384" s="3">
        <v>1378</v>
      </c>
      <c r="B1384" s="9">
        <f t="shared" si="85"/>
        <v>0.99524033882918206</v>
      </c>
      <c r="C1384" s="3">
        <f t="shared" si="86"/>
        <v>62259.249876137139</v>
      </c>
      <c r="D1384" s="3">
        <f t="shared" si="87"/>
        <v>0.58216179785085842</v>
      </c>
      <c r="E1384" s="8">
        <f t="shared" si="84"/>
        <v>196.85714285714286</v>
      </c>
    </row>
    <row r="1385" spans="1:5" ht="18.75" x14ac:dyDescent="0.3">
      <c r="A1385" s="3">
        <v>1379</v>
      </c>
      <c r="B1385" s="9">
        <f t="shared" si="85"/>
        <v>0.99524962199965572</v>
      </c>
      <c r="C1385" s="3">
        <f t="shared" si="86"/>
        <v>62259.830603432463</v>
      </c>
      <c r="D1385" s="3">
        <f t="shared" si="87"/>
        <v>0.58072729532432277</v>
      </c>
      <c r="E1385" s="8">
        <f t="shared" si="84"/>
        <v>197</v>
      </c>
    </row>
    <row r="1386" spans="1:5" ht="18.75" x14ac:dyDescent="0.3">
      <c r="A1386" s="3">
        <v>1380</v>
      </c>
      <c r="B1386" s="9">
        <f t="shared" si="85"/>
        <v>0.99525888230790094</v>
      </c>
      <c r="C1386" s="3">
        <f t="shared" si="86"/>
        <v>62260.409900535356</v>
      </c>
      <c r="D1386" s="3">
        <f t="shared" si="87"/>
        <v>0.57929710289317882</v>
      </c>
      <c r="E1386" s="8">
        <f t="shared" si="84"/>
        <v>197.14285714285714</v>
      </c>
    </row>
    <row r="1387" spans="1:5" ht="18.75" x14ac:dyDescent="0.3">
      <c r="A1387" s="3">
        <v>1381</v>
      </c>
      <c r="B1387" s="9">
        <f t="shared" si="85"/>
        <v>0.99526811982257124</v>
      </c>
      <c r="C1387" s="3">
        <f t="shared" si="86"/>
        <v>62260.987771740591</v>
      </c>
      <c r="D1387" s="3">
        <f t="shared" si="87"/>
        <v>0.57787120523425983</v>
      </c>
      <c r="E1387" s="8">
        <f t="shared" si="84"/>
        <v>197.28571428571428</v>
      </c>
    </row>
    <row r="1388" spans="1:5" ht="18.75" x14ac:dyDescent="0.3">
      <c r="A1388" s="3">
        <v>1382</v>
      </c>
      <c r="B1388" s="9">
        <f t="shared" si="85"/>
        <v>0.99527733461207524</v>
      </c>
      <c r="C1388" s="3">
        <f t="shared" si="86"/>
        <v>62261.564221327593</v>
      </c>
      <c r="D1388" s="3">
        <f t="shared" si="87"/>
        <v>0.57644958700257121</v>
      </c>
      <c r="E1388" s="8">
        <f t="shared" si="84"/>
        <v>197.42857142857142</v>
      </c>
    </row>
    <row r="1389" spans="1:5" ht="18.75" x14ac:dyDescent="0.3">
      <c r="A1389" s="3">
        <v>1383</v>
      </c>
      <c r="B1389" s="9">
        <f t="shared" si="85"/>
        <v>0.99528652674457796</v>
      </c>
      <c r="C1389" s="3">
        <f t="shared" si="86"/>
        <v>62262.139253560563</v>
      </c>
      <c r="D1389" s="3">
        <f t="shared" si="87"/>
        <v>0.57503223296953365</v>
      </c>
      <c r="E1389" s="8">
        <f t="shared" si="84"/>
        <v>197.57142857142858</v>
      </c>
    </row>
    <row r="1390" spans="1:5" ht="18.75" x14ac:dyDescent="0.3">
      <c r="A1390" s="3">
        <v>1384</v>
      </c>
      <c r="B1390" s="9">
        <f t="shared" si="85"/>
        <v>0.99529569628800174</v>
      </c>
      <c r="C1390" s="3">
        <f t="shared" si="86"/>
        <v>62262.712872688528</v>
      </c>
      <c r="D1390" s="3">
        <f t="shared" si="87"/>
        <v>0.57361912796477554</v>
      </c>
      <c r="E1390" s="8">
        <f t="shared" si="84"/>
        <v>197.71428571428572</v>
      </c>
    </row>
    <row r="1391" spans="1:5" ht="18.75" x14ac:dyDescent="0.3">
      <c r="A1391" s="3">
        <v>1385</v>
      </c>
      <c r="B1391" s="9">
        <f t="shared" si="85"/>
        <v>0.99530484331002711</v>
      </c>
      <c r="C1391" s="3">
        <f t="shared" si="86"/>
        <v>62263.285082945367</v>
      </c>
      <c r="D1391" s="3">
        <f t="shared" si="87"/>
        <v>0.57221025683975313</v>
      </c>
      <c r="E1391" s="8">
        <f t="shared" si="84"/>
        <v>197.85714285714286</v>
      </c>
    </row>
    <row r="1392" spans="1:5" ht="18.75" x14ac:dyDescent="0.3">
      <c r="A1392" s="3">
        <v>1386</v>
      </c>
      <c r="B1392" s="9">
        <f t="shared" si="85"/>
        <v>0.99531396787809423</v>
      </c>
      <c r="C1392" s="3">
        <f t="shared" si="86"/>
        <v>62263.855888549944</v>
      </c>
      <c r="D1392" s="3">
        <f t="shared" si="87"/>
        <v>0.57080560457688989</v>
      </c>
      <c r="E1392" s="8">
        <f t="shared" si="84"/>
        <v>198</v>
      </c>
    </row>
    <row r="1393" spans="1:5" ht="18.75" x14ac:dyDescent="0.3">
      <c r="A1393" s="3">
        <v>1387</v>
      </c>
      <c r="B1393" s="9">
        <f t="shared" si="85"/>
        <v>0.99532307005940335</v>
      </c>
      <c r="C1393" s="3">
        <f t="shared" si="86"/>
        <v>62264.425293706096</v>
      </c>
      <c r="D1393" s="3">
        <f t="shared" si="87"/>
        <v>0.56940515615133336</v>
      </c>
      <c r="E1393" s="8">
        <f t="shared" si="84"/>
        <v>198.14285714285714</v>
      </c>
    </row>
    <row r="1394" spans="1:5" ht="18.75" x14ac:dyDescent="0.3">
      <c r="A1394" s="3">
        <v>1388</v>
      </c>
      <c r="B1394" s="9">
        <f t="shared" si="85"/>
        <v>0.99533214992091612</v>
      </c>
      <c r="C1394" s="3">
        <f t="shared" si="86"/>
        <v>62264.99330260275</v>
      </c>
      <c r="D1394" s="3">
        <f t="shared" si="87"/>
        <v>0.56800889665464638</v>
      </c>
      <c r="E1394" s="8">
        <f t="shared" si="84"/>
        <v>198.28571428571428</v>
      </c>
    </row>
    <row r="1395" spans="1:5" ht="18.75" x14ac:dyDescent="0.3">
      <c r="A1395" s="3">
        <v>1389</v>
      </c>
      <c r="B1395" s="9">
        <f t="shared" si="85"/>
        <v>0.99534120752935651</v>
      </c>
      <c r="C1395" s="3">
        <f t="shared" si="86"/>
        <v>62265.559919413958</v>
      </c>
      <c r="D1395" s="3">
        <f t="shared" si="87"/>
        <v>0.56661681120749563</v>
      </c>
      <c r="E1395" s="8">
        <f t="shared" si="84"/>
        <v>198.42857142857142</v>
      </c>
    </row>
    <row r="1396" spans="1:5" ht="18.75" x14ac:dyDescent="0.3">
      <c r="A1396" s="3">
        <v>1390</v>
      </c>
      <c r="B1396" s="9">
        <f t="shared" si="85"/>
        <v>0.99535024295121155</v>
      </c>
      <c r="C1396" s="3">
        <f t="shared" si="86"/>
        <v>62266.125148298939</v>
      </c>
      <c r="D1396" s="3">
        <f t="shared" si="87"/>
        <v>0.5652288849814795</v>
      </c>
      <c r="E1396" s="8">
        <f t="shared" si="84"/>
        <v>198.57142857142858</v>
      </c>
    </row>
    <row r="1397" spans="1:5" ht="18.75" x14ac:dyDescent="0.3">
      <c r="A1397" s="3">
        <v>1391</v>
      </c>
      <c r="B1397" s="9">
        <f t="shared" si="85"/>
        <v>0.99535925625273303</v>
      </c>
      <c r="C1397" s="3">
        <f t="shared" si="86"/>
        <v>62266.688993402218</v>
      </c>
      <c r="D1397" s="3">
        <f t="shared" si="87"/>
        <v>0.5638451032791636</v>
      </c>
      <c r="E1397" s="8">
        <f t="shared" si="84"/>
        <v>198.71428571428572</v>
      </c>
    </row>
    <row r="1398" spans="1:5" ht="18.75" x14ac:dyDescent="0.3">
      <c r="A1398" s="3">
        <v>1392</v>
      </c>
      <c r="B1398" s="9">
        <f t="shared" si="85"/>
        <v>0.99536824749993735</v>
      </c>
      <c r="C1398" s="3">
        <f t="shared" si="86"/>
        <v>62267.251458853578</v>
      </c>
      <c r="D1398" s="3">
        <f t="shared" si="87"/>
        <v>0.5624654513594578</v>
      </c>
      <c r="E1398" s="8">
        <f t="shared" si="84"/>
        <v>198.85714285714286</v>
      </c>
    </row>
    <row r="1399" spans="1:5" ht="18.75" x14ac:dyDescent="0.3">
      <c r="A1399" s="3">
        <v>1393</v>
      </c>
      <c r="B1399" s="9">
        <f t="shared" si="85"/>
        <v>0.99537721675860757</v>
      </c>
      <c r="C1399" s="3">
        <f t="shared" si="86"/>
        <v>62267.812548768212</v>
      </c>
      <c r="D1399" s="3">
        <f t="shared" si="87"/>
        <v>0.5610899146340671</v>
      </c>
      <c r="E1399" s="8">
        <f t="shared" si="84"/>
        <v>199</v>
      </c>
    </row>
    <row r="1400" spans="1:5" ht="18.75" x14ac:dyDescent="0.3">
      <c r="A1400" s="3">
        <v>1394</v>
      </c>
      <c r="B1400" s="9">
        <f t="shared" si="85"/>
        <v>0.9953861640942937</v>
      </c>
      <c r="C1400" s="3">
        <f t="shared" si="86"/>
        <v>62268.372267246734</v>
      </c>
      <c r="D1400" s="3">
        <f t="shared" si="87"/>
        <v>0.55971847852197243</v>
      </c>
      <c r="E1400" s="8">
        <f t="shared" si="84"/>
        <v>199.14285714285714</v>
      </c>
    </row>
    <row r="1401" spans="1:5" ht="18.75" x14ac:dyDescent="0.3">
      <c r="A1401" s="3">
        <v>1395</v>
      </c>
      <c r="B1401" s="9">
        <f t="shared" si="85"/>
        <v>0.99539508957231393</v>
      </c>
      <c r="C1401" s="3">
        <f t="shared" si="86"/>
        <v>62268.930618375241</v>
      </c>
      <c r="D1401" s="3">
        <f t="shared" si="87"/>
        <v>0.55835112850763835</v>
      </c>
      <c r="E1401" s="8">
        <f t="shared" si="84"/>
        <v>199.28571428571428</v>
      </c>
    </row>
    <row r="1402" spans="1:5" ht="18.75" x14ac:dyDescent="0.3">
      <c r="A1402" s="3">
        <v>1396</v>
      </c>
      <c r="B1402" s="9">
        <f t="shared" si="85"/>
        <v>0.99540399325775564</v>
      </c>
      <c r="C1402" s="3">
        <f t="shared" si="86"/>
        <v>62269.487606225419</v>
      </c>
      <c r="D1402" s="3">
        <f t="shared" si="87"/>
        <v>0.55698785017739283</v>
      </c>
      <c r="E1402" s="8">
        <f t="shared" si="84"/>
        <v>199.42857142857142</v>
      </c>
    </row>
    <row r="1403" spans="1:5" ht="18.75" x14ac:dyDescent="0.3">
      <c r="A1403" s="3">
        <v>1397</v>
      </c>
      <c r="B1403" s="9">
        <f t="shared" si="85"/>
        <v>0.99541287521547583</v>
      </c>
      <c r="C1403" s="3">
        <f t="shared" si="86"/>
        <v>62270.043234854522</v>
      </c>
      <c r="D1403" s="3">
        <f t="shared" si="87"/>
        <v>0.55562862910301192</v>
      </c>
      <c r="E1403" s="8">
        <f t="shared" si="84"/>
        <v>199.57142857142858</v>
      </c>
    </row>
    <row r="1404" spans="1:5" ht="18.75" x14ac:dyDescent="0.3">
      <c r="A1404" s="3">
        <v>1398</v>
      </c>
      <c r="B1404" s="9">
        <f t="shared" si="85"/>
        <v>0.99542173551010282</v>
      </c>
      <c r="C1404" s="3">
        <f t="shared" si="86"/>
        <v>62270.597508305502</v>
      </c>
      <c r="D1404" s="3">
        <f t="shared" si="87"/>
        <v>0.55427345097996294</v>
      </c>
      <c r="E1404" s="8">
        <f t="shared" si="84"/>
        <v>199.71428571428572</v>
      </c>
    </row>
    <row r="1405" spans="1:5" ht="18.75" x14ac:dyDescent="0.3">
      <c r="A1405" s="3">
        <v>1399</v>
      </c>
      <c r="B1405" s="9">
        <f t="shared" si="85"/>
        <v>0.99543057420603676</v>
      </c>
      <c r="C1405" s="3">
        <f t="shared" si="86"/>
        <v>62271.150430607042</v>
      </c>
      <c r="D1405" s="3">
        <f t="shared" si="87"/>
        <v>0.55292230154009303</v>
      </c>
      <c r="E1405" s="8">
        <f t="shared" si="84"/>
        <v>199.85714285714286</v>
      </c>
    </row>
    <row r="1406" spans="1:5" ht="18.75" x14ac:dyDescent="0.3">
      <c r="A1406" s="3">
        <v>1400</v>
      </c>
      <c r="B1406" s="9">
        <f t="shared" si="85"/>
        <v>0.99543939136745063</v>
      </c>
      <c r="C1406" s="3">
        <f t="shared" si="86"/>
        <v>62271.702005773608</v>
      </c>
      <c r="D1406" s="3">
        <f t="shared" si="87"/>
        <v>0.551575166566181</v>
      </c>
      <c r="E1406" s="8">
        <f t="shared" si="84"/>
        <v>200</v>
      </c>
    </row>
    <row r="1407" spans="1:5" ht="18.75" x14ac:dyDescent="0.3">
      <c r="A1407" s="3">
        <v>1401</v>
      </c>
      <c r="B1407" s="9">
        <f t="shared" si="85"/>
        <v>0.99544818705829119</v>
      </c>
      <c r="C1407" s="3">
        <f t="shared" si="86"/>
        <v>62272.252237805522</v>
      </c>
      <c r="D1407" s="3">
        <f t="shared" si="87"/>
        <v>0.55023203191376524</v>
      </c>
      <c r="E1407" s="8">
        <f t="shared" si="84"/>
        <v>200.14285714285714</v>
      </c>
    </row>
    <row r="1408" spans="1:5" ht="18.75" x14ac:dyDescent="0.3">
      <c r="A1408" s="3">
        <v>1402</v>
      </c>
      <c r="B1408" s="9">
        <f t="shared" si="85"/>
        <v>0.99545696134227968</v>
      </c>
      <c r="C1408" s="3">
        <f t="shared" si="86"/>
        <v>62272.801130688989</v>
      </c>
      <c r="D1408" s="3">
        <f t="shared" si="87"/>
        <v>0.54889288346748799</v>
      </c>
      <c r="E1408" s="8">
        <f t="shared" si="84"/>
        <v>200.28571428571428</v>
      </c>
    </row>
    <row r="1409" spans="1:5" ht="18.75" x14ac:dyDescent="0.3">
      <c r="A1409" s="3">
        <v>1403</v>
      </c>
      <c r="B1409" s="9">
        <f t="shared" si="85"/>
        <v>0.99546571428291331</v>
      </c>
      <c r="C1409" s="3">
        <f t="shared" si="86"/>
        <v>62273.34868839621</v>
      </c>
      <c r="D1409" s="3">
        <f t="shared" si="87"/>
        <v>0.54755770722113084</v>
      </c>
      <c r="E1409" s="8">
        <f t="shared" si="84"/>
        <v>200.42857142857142</v>
      </c>
    </row>
    <row r="1410" spans="1:5" ht="18.75" x14ac:dyDescent="0.3">
      <c r="A1410" s="3">
        <v>1404</v>
      </c>
      <c r="B1410" s="9">
        <f t="shared" si="85"/>
        <v>0.99547444594346557</v>
      </c>
      <c r="C1410" s="3">
        <f t="shared" si="86"/>
        <v>62273.894914885379</v>
      </c>
      <c r="D1410" s="3">
        <f t="shared" si="87"/>
        <v>0.54622648916847538</v>
      </c>
      <c r="E1410" s="8">
        <f t="shared" si="84"/>
        <v>200.57142857142858</v>
      </c>
    </row>
    <row r="1411" spans="1:5" ht="18.75" x14ac:dyDescent="0.3">
      <c r="A1411" s="3">
        <v>1405</v>
      </c>
      <c r="B1411" s="9">
        <f t="shared" si="85"/>
        <v>0.99548315638698748</v>
      </c>
      <c r="C1411" s="3">
        <f t="shared" si="86"/>
        <v>62274.439814100777</v>
      </c>
      <c r="D1411" s="3">
        <f t="shared" si="87"/>
        <v>0.54489921539789066</v>
      </c>
      <c r="E1411" s="8">
        <f t="shared" si="84"/>
        <v>200.71428571428572</v>
      </c>
    </row>
    <row r="1412" spans="1:5" ht="18.75" x14ac:dyDescent="0.3">
      <c r="A1412" s="3">
        <v>1406</v>
      </c>
      <c r="B1412" s="9">
        <f t="shared" si="85"/>
        <v>0.99549184567630844</v>
      </c>
      <c r="C1412" s="3">
        <f t="shared" si="86"/>
        <v>62274.983389972826</v>
      </c>
      <c r="D1412" s="3">
        <f t="shared" si="87"/>
        <v>0.54357587204867741</v>
      </c>
      <c r="E1412" s="8">
        <f t="shared" si="84"/>
        <v>200.85714285714286</v>
      </c>
    </row>
    <row r="1413" spans="1:5" ht="18.75" x14ac:dyDescent="0.3">
      <c r="A1413" s="3">
        <v>1407</v>
      </c>
      <c r="B1413" s="9">
        <f t="shared" si="85"/>
        <v>0.99550051387403704</v>
      </c>
      <c r="C1413" s="3">
        <f t="shared" si="86"/>
        <v>62275.525646418137</v>
      </c>
      <c r="D1413" s="3">
        <f t="shared" si="87"/>
        <v>0.54225644531106809</v>
      </c>
      <c r="E1413" s="8">
        <f t="shared" si="84"/>
        <v>201</v>
      </c>
    </row>
    <row r="1414" spans="1:5" ht="18.75" x14ac:dyDescent="0.3">
      <c r="A1414" s="3">
        <v>1408</v>
      </c>
      <c r="B1414" s="9">
        <f t="shared" si="85"/>
        <v>0.99550916104256204</v>
      </c>
      <c r="C1414" s="3">
        <f t="shared" si="86"/>
        <v>62276.066587339556</v>
      </c>
      <c r="D1414" s="3">
        <f t="shared" si="87"/>
        <v>0.54094092141895089</v>
      </c>
      <c r="E1414" s="8">
        <f t="shared" si="84"/>
        <v>201.14285714285714</v>
      </c>
    </row>
    <row r="1415" spans="1:5" ht="18.75" x14ac:dyDescent="0.3">
      <c r="A1415" s="3">
        <v>1409</v>
      </c>
      <c r="B1415" s="9">
        <f t="shared" si="85"/>
        <v>0.99551778724405338</v>
      </c>
      <c r="C1415" s="3">
        <f t="shared" si="86"/>
        <v>62276.606216626249</v>
      </c>
      <c r="D1415" s="3">
        <f t="shared" si="87"/>
        <v>0.5396292866935255</v>
      </c>
      <c r="E1415" s="8">
        <f t="shared" ref="E1415:E1478" si="88">A1415/7</f>
        <v>201.28571428571428</v>
      </c>
    </row>
    <row r="1416" spans="1:5" ht="18.75" x14ac:dyDescent="0.3">
      <c r="A1416" s="3">
        <v>1410</v>
      </c>
      <c r="B1416" s="9">
        <f t="shared" ref="B1416:B1479" si="89">LOGNORMDIST(A1416,$A$3,$B$3)</f>
        <v>0.99552639254046271</v>
      </c>
      <c r="C1416" s="3">
        <f t="shared" ref="C1416:C1479" si="90">$E$3*B1416</f>
        <v>62277.144538153727</v>
      </c>
      <c r="D1416" s="3">
        <f t="shared" ref="D1416:D1479" si="91">C1416-C1415</f>
        <v>0.53832152747781947</v>
      </c>
      <c r="E1416" s="8">
        <f t="shared" si="88"/>
        <v>201.42857142857142</v>
      </c>
    </row>
    <row r="1417" spans="1:5" ht="18.75" x14ac:dyDescent="0.3">
      <c r="A1417" s="3">
        <v>1411</v>
      </c>
      <c r="B1417" s="9">
        <f t="shared" si="89"/>
        <v>0.99553497699352489</v>
      </c>
      <c r="C1417" s="3">
        <f t="shared" si="90"/>
        <v>62277.681555783936</v>
      </c>
      <c r="D1417" s="3">
        <f t="shared" si="91"/>
        <v>0.53701763020944782</v>
      </c>
      <c r="E1417" s="8">
        <f t="shared" si="88"/>
        <v>201.57142857142858</v>
      </c>
    </row>
    <row r="1418" spans="1:5" ht="18.75" x14ac:dyDescent="0.3">
      <c r="A1418" s="3">
        <v>1412</v>
      </c>
      <c r="B1418" s="9">
        <f t="shared" si="89"/>
        <v>0.99554354066475825</v>
      </c>
      <c r="C1418" s="3">
        <f t="shared" si="90"/>
        <v>62278.217273365284</v>
      </c>
      <c r="D1418" s="3">
        <f t="shared" si="91"/>
        <v>0.53571758134785341</v>
      </c>
      <c r="E1418" s="8">
        <f t="shared" si="88"/>
        <v>201.71428571428572</v>
      </c>
    </row>
    <row r="1419" spans="1:5" ht="18.75" x14ac:dyDescent="0.3">
      <c r="A1419" s="3">
        <v>1413</v>
      </c>
      <c r="B1419" s="9">
        <f t="shared" si="89"/>
        <v>0.99555208361546565</v>
      </c>
      <c r="C1419" s="3">
        <f t="shared" si="90"/>
        <v>62278.751694732688</v>
      </c>
      <c r="D1419" s="3">
        <f t="shared" si="91"/>
        <v>0.53442136740341084</v>
      </c>
      <c r="E1419" s="8">
        <f t="shared" si="88"/>
        <v>201.85714285714286</v>
      </c>
    </row>
    <row r="1420" spans="1:5" ht="18.75" x14ac:dyDescent="0.3">
      <c r="A1420" s="3">
        <v>1414</v>
      </c>
      <c r="B1420" s="9">
        <f t="shared" si="89"/>
        <v>0.99556060590673556</v>
      </c>
      <c r="C1420" s="3">
        <f t="shared" si="90"/>
        <v>62279.284823707654</v>
      </c>
      <c r="D1420" s="3">
        <f t="shared" si="91"/>
        <v>0.53312897496653022</v>
      </c>
      <c r="E1420" s="8">
        <f t="shared" si="88"/>
        <v>202</v>
      </c>
    </row>
    <row r="1421" spans="1:5" ht="18.75" x14ac:dyDescent="0.3">
      <c r="A1421" s="3">
        <v>1415</v>
      </c>
      <c r="B1421" s="9">
        <f t="shared" si="89"/>
        <v>0.99556910759944284</v>
      </c>
      <c r="C1421" s="3">
        <f t="shared" si="90"/>
        <v>62279.816664098347</v>
      </c>
      <c r="D1421" s="3">
        <f t="shared" si="91"/>
        <v>0.53184039069310529</v>
      </c>
      <c r="E1421" s="8">
        <f t="shared" si="88"/>
        <v>202.14285714285714</v>
      </c>
    </row>
    <row r="1422" spans="1:5" ht="18.75" x14ac:dyDescent="0.3">
      <c r="A1422" s="3">
        <v>1416</v>
      </c>
      <c r="B1422" s="9">
        <f t="shared" si="89"/>
        <v>0.99557758875424951</v>
      </c>
      <c r="C1422" s="3">
        <f t="shared" si="90"/>
        <v>62280.347219699586</v>
      </c>
      <c r="D1422" s="3">
        <f t="shared" si="91"/>
        <v>0.53055560123902978</v>
      </c>
      <c r="E1422" s="8">
        <f t="shared" si="88"/>
        <v>202.28571428571428</v>
      </c>
    </row>
    <row r="1423" spans="1:5" ht="18.75" x14ac:dyDescent="0.3">
      <c r="A1423" s="3">
        <v>1417</v>
      </c>
      <c r="B1423" s="9">
        <f t="shared" si="89"/>
        <v>0.99558604943160556</v>
      </c>
      <c r="C1423" s="3">
        <f t="shared" si="90"/>
        <v>62280.876494292948</v>
      </c>
      <c r="D1423" s="3">
        <f t="shared" si="91"/>
        <v>0.52927459336206084</v>
      </c>
      <c r="E1423" s="8">
        <f t="shared" si="88"/>
        <v>202.42857142857142</v>
      </c>
    </row>
    <row r="1424" spans="1:5" ht="18.75" x14ac:dyDescent="0.3">
      <c r="A1424" s="3">
        <v>1418</v>
      </c>
      <c r="B1424" s="9">
        <f t="shared" si="89"/>
        <v>0.99559448969175035</v>
      </c>
      <c r="C1424" s="3">
        <f t="shared" si="90"/>
        <v>62281.404491646827</v>
      </c>
      <c r="D1424" s="3">
        <f t="shared" si="91"/>
        <v>0.52799735387816327</v>
      </c>
      <c r="E1424" s="8">
        <f t="shared" si="88"/>
        <v>202.57142857142858</v>
      </c>
    </row>
    <row r="1425" spans="1:5" ht="18.75" x14ac:dyDescent="0.3">
      <c r="A1425" s="3">
        <v>1419</v>
      </c>
      <c r="B1425" s="9">
        <f t="shared" si="89"/>
        <v>0.99560290959471243</v>
      </c>
      <c r="C1425" s="3">
        <f t="shared" si="90"/>
        <v>62281.931215516423</v>
      </c>
      <c r="D1425" s="3">
        <f t="shared" si="91"/>
        <v>0.52672386959602591</v>
      </c>
      <c r="E1425" s="8">
        <f t="shared" si="88"/>
        <v>202.71428571428572</v>
      </c>
    </row>
    <row r="1426" spans="1:5" ht="18.75" x14ac:dyDescent="0.3">
      <c r="A1426" s="3">
        <v>1420</v>
      </c>
      <c r="B1426" s="9">
        <f t="shared" si="89"/>
        <v>0.99561130920031138</v>
      </c>
      <c r="C1426" s="3">
        <f t="shared" si="90"/>
        <v>62282.456669643878</v>
      </c>
      <c r="D1426" s="3">
        <f t="shared" si="91"/>
        <v>0.52545412745530484</v>
      </c>
      <c r="E1426" s="8">
        <f t="shared" si="88"/>
        <v>202.85714285714286</v>
      </c>
    </row>
    <row r="1427" spans="1:5" ht="18.75" x14ac:dyDescent="0.3">
      <c r="A1427" s="3">
        <v>1421</v>
      </c>
      <c r="B1427" s="9">
        <f t="shared" si="89"/>
        <v>0.9956196885681583</v>
      </c>
      <c r="C1427" s="3">
        <f t="shared" si="90"/>
        <v>62282.980857758281</v>
      </c>
      <c r="D1427" s="3">
        <f t="shared" si="91"/>
        <v>0.52418811440293211</v>
      </c>
      <c r="E1427" s="8">
        <f t="shared" si="88"/>
        <v>203</v>
      </c>
    </row>
    <row r="1428" spans="1:5" ht="18.75" x14ac:dyDescent="0.3">
      <c r="A1428" s="3">
        <v>1422</v>
      </c>
      <c r="B1428" s="9">
        <f t="shared" si="89"/>
        <v>0.99562804775765645</v>
      </c>
      <c r="C1428" s="3">
        <f t="shared" si="90"/>
        <v>62283.503783575718</v>
      </c>
      <c r="D1428" s="3">
        <f t="shared" si="91"/>
        <v>0.52292581743677147</v>
      </c>
      <c r="E1428" s="8">
        <f t="shared" si="88"/>
        <v>203.14285714285714</v>
      </c>
    </row>
    <row r="1429" spans="1:5" ht="18.75" x14ac:dyDescent="0.3">
      <c r="A1429" s="3">
        <v>1423</v>
      </c>
      <c r="B1429" s="9">
        <f t="shared" si="89"/>
        <v>0.99563638682800237</v>
      </c>
      <c r="C1429" s="3">
        <f t="shared" si="90"/>
        <v>62284.025450799345</v>
      </c>
      <c r="D1429" s="3">
        <f t="shared" si="91"/>
        <v>0.52166722362744622</v>
      </c>
      <c r="E1429" s="8">
        <f t="shared" si="88"/>
        <v>203.28571428571428</v>
      </c>
    </row>
    <row r="1430" spans="1:5" ht="18.75" x14ac:dyDescent="0.3">
      <c r="A1430" s="3">
        <v>1424</v>
      </c>
      <c r="B1430" s="9">
        <f t="shared" si="89"/>
        <v>0.99564470583818676</v>
      </c>
      <c r="C1430" s="3">
        <f t="shared" si="90"/>
        <v>62284.545863119449</v>
      </c>
      <c r="D1430" s="3">
        <f t="shared" si="91"/>
        <v>0.52041232010378735</v>
      </c>
      <c r="E1430" s="8">
        <f t="shared" si="88"/>
        <v>203.42857142857142</v>
      </c>
    </row>
    <row r="1431" spans="1:5" ht="18.75" x14ac:dyDescent="0.3">
      <c r="A1431" s="3">
        <v>1425</v>
      </c>
      <c r="B1431" s="9">
        <f t="shared" si="89"/>
        <v>0.99565300484699482</v>
      </c>
      <c r="C1431" s="3">
        <f t="shared" si="90"/>
        <v>62285.065024213458</v>
      </c>
      <c r="D1431" s="3">
        <f t="shared" si="91"/>
        <v>0.51916109400917776</v>
      </c>
      <c r="E1431" s="8">
        <f t="shared" si="88"/>
        <v>203.57142857142858</v>
      </c>
    </row>
    <row r="1432" spans="1:5" ht="18.75" x14ac:dyDescent="0.3">
      <c r="A1432" s="3">
        <v>1426</v>
      </c>
      <c r="B1432" s="9">
        <f t="shared" si="89"/>
        <v>0.99566128391300768</v>
      </c>
      <c r="C1432" s="3">
        <f t="shared" si="90"/>
        <v>62285.582937746018</v>
      </c>
      <c r="D1432" s="3">
        <f t="shared" si="91"/>
        <v>0.51791353255975991</v>
      </c>
      <c r="E1432" s="8">
        <f t="shared" si="88"/>
        <v>203.71428571428572</v>
      </c>
    </row>
    <row r="1433" spans="1:5" ht="18.75" x14ac:dyDescent="0.3">
      <c r="A1433" s="3">
        <v>1427</v>
      </c>
      <c r="B1433" s="9">
        <f t="shared" si="89"/>
        <v>0.99566954309460298</v>
      </c>
      <c r="C1433" s="3">
        <f t="shared" si="90"/>
        <v>62286.099607369077</v>
      </c>
      <c r="D1433" s="3">
        <f t="shared" si="91"/>
        <v>0.51666962305898778</v>
      </c>
      <c r="E1433" s="8">
        <f t="shared" si="88"/>
        <v>203.85714285714286</v>
      </c>
    </row>
    <row r="1434" spans="1:5" ht="18.75" x14ac:dyDescent="0.3">
      <c r="A1434" s="3">
        <v>1428</v>
      </c>
      <c r="B1434" s="9">
        <f t="shared" si="89"/>
        <v>0.99567778244995575</v>
      </c>
      <c r="C1434" s="3">
        <f t="shared" si="90"/>
        <v>62286.61503672188</v>
      </c>
      <c r="D1434" s="3">
        <f t="shared" si="91"/>
        <v>0.51542935280303936</v>
      </c>
      <c r="E1434" s="8">
        <f t="shared" si="88"/>
        <v>204</v>
      </c>
    </row>
    <row r="1435" spans="1:5" ht="18.75" x14ac:dyDescent="0.3">
      <c r="A1435" s="3">
        <v>1429</v>
      </c>
      <c r="B1435" s="9">
        <f t="shared" si="89"/>
        <v>0.99568600203703883</v>
      </c>
      <c r="C1435" s="3">
        <f t="shared" si="90"/>
        <v>62287.129229431041</v>
      </c>
      <c r="D1435" s="3">
        <f t="shared" si="91"/>
        <v>0.51419270916085225</v>
      </c>
      <c r="E1435" s="8">
        <f t="shared" si="88"/>
        <v>204.14285714285714</v>
      </c>
    </row>
    <row r="1436" spans="1:5" ht="18.75" x14ac:dyDescent="0.3">
      <c r="A1436" s="3">
        <v>1430</v>
      </c>
      <c r="B1436" s="9">
        <f t="shared" si="89"/>
        <v>0.99569420191362445</v>
      </c>
      <c r="C1436" s="3">
        <f t="shared" si="90"/>
        <v>62287.642189110607</v>
      </c>
      <c r="D1436" s="3">
        <f t="shared" si="91"/>
        <v>0.51295967956684763</v>
      </c>
      <c r="E1436" s="8">
        <f t="shared" si="88"/>
        <v>204.28571428571428</v>
      </c>
    </row>
    <row r="1437" spans="1:5" ht="18.75" x14ac:dyDescent="0.3">
      <c r="A1437" s="3">
        <v>1431</v>
      </c>
      <c r="B1437" s="9">
        <f t="shared" si="89"/>
        <v>0.99570238213728424</v>
      </c>
      <c r="C1437" s="3">
        <f t="shared" si="90"/>
        <v>62288.153919362092</v>
      </c>
      <c r="D1437" s="3">
        <f t="shared" si="91"/>
        <v>0.51173025148455054</v>
      </c>
      <c r="E1437" s="8">
        <f t="shared" si="88"/>
        <v>204.42857142857142</v>
      </c>
    </row>
    <row r="1438" spans="1:5" ht="18.75" x14ac:dyDescent="0.3">
      <c r="A1438" s="3">
        <v>1432</v>
      </c>
      <c r="B1438" s="9">
        <f t="shared" si="89"/>
        <v>0.99571054276539073</v>
      </c>
      <c r="C1438" s="3">
        <f t="shared" si="90"/>
        <v>62288.66442377455</v>
      </c>
      <c r="D1438" s="3">
        <f t="shared" si="91"/>
        <v>0.51050441245752154</v>
      </c>
      <c r="E1438" s="8">
        <f t="shared" si="88"/>
        <v>204.57142857142858</v>
      </c>
    </row>
    <row r="1439" spans="1:5" ht="18.75" x14ac:dyDescent="0.3">
      <c r="A1439" s="3">
        <v>1433</v>
      </c>
      <c r="B1439" s="9">
        <f t="shared" si="89"/>
        <v>0.99571868385511741</v>
      </c>
      <c r="C1439" s="3">
        <f t="shared" si="90"/>
        <v>62289.173705924579</v>
      </c>
      <c r="D1439" s="3">
        <f t="shared" si="91"/>
        <v>0.5092821500293212</v>
      </c>
      <c r="E1439" s="8">
        <f t="shared" si="88"/>
        <v>204.71428571428572</v>
      </c>
    </row>
    <row r="1440" spans="1:5" ht="18.75" x14ac:dyDescent="0.3">
      <c r="A1440" s="3">
        <v>1434</v>
      </c>
      <c r="B1440" s="9">
        <f t="shared" si="89"/>
        <v>0.99572680546344039</v>
      </c>
      <c r="C1440" s="3">
        <f t="shared" si="90"/>
        <v>62289.681769376439</v>
      </c>
      <c r="D1440" s="3">
        <f t="shared" si="91"/>
        <v>0.50806345185992541</v>
      </c>
      <c r="E1440" s="8">
        <f t="shared" si="88"/>
        <v>204.85714285714286</v>
      </c>
    </row>
    <row r="1441" spans="1:5" ht="18.75" x14ac:dyDescent="0.3">
      <c r="A1441" s="3">
        <v>1435</v>
      </c>
      <c r="B1441" s="9">
        <f t="shared" si="89"/>
        <v>0.99573490764713857</v>
      </c>
      <c r="C1441" s="3">
        <f t="shared" si="90"/>
        <v>62290.188617682048</v>
      </c>
      <c r="D1441" s="3">
        <f t="shared" si="91"/>
        <v>0.50684830560931005</v>
      </c>
      <c r="E1441" s="8">
        <f t="shared" si="88"/>
        <v>205</v>
      </c>
    </row>
    <row r="1442" spans="1:5" ht="18.75" x14ac:dyDescent="0.3">
      <c r="A1442" s="3">
        <v>1436</v>
      </c>
      <c r="B1442" s="9">
        <f t="shared" si="89"/>
        <v>0.99574299046279446</v>
      </c>
      <c r="C1442" s="3">
        <f t="shared" si="90"/>
        <v>62290.694254381036</v>
      </c>
      <c r="D1442" s="3">
        <f t="shared" si="91"/>
        <v>0.5056366989883827</v>
      </c>
      <c r="E1442" s="8">
        <f t="shared" si="88"/>
        <v>205.14285714285714</v>
      </c>
    </row>
    <row r="1443" spans="1:5" ht="18.75" x14ac:dyDescent="0.3">
      <c r="A1443" s="3">
        <v>1437</v>
      </c>
      <c r="B1443" s="9">
        <f t="shared" si="89"/>
        <v>0.99575105396679542</v>
      </c>
      <c r="C1443" s="3">
        <f t="shared" si="90"/>
        <v>62291.198683000825</v>
      </c>
      <c r="D1443" s="3">
        <f t="shared" si="91"/>
        <v>0.50442861978808651</v>
      </c>
      <c r="E1443" s="8">
        <f t="shared" si="88"/>
        <v>205.28571428571428</v>
      </c>
    </row>
    <row r="1444" spans="1:5" ht="18.75" x14ac:dyDescent="0.3">
      <c r="A1444" s="3">
        <v>1438</v>
      </c>
      <c r="B1444" s="9">
        <f t="shared" si="89"/>
        <v>0.9957590982153337</v>
      </c>
      <c r="C1444" s="3">
        <f t="shared" si="90"/>
        <v>62291.701907056631</v>
      </c>
      <c r="D1444" s="3">
        <f t="shared" si="91"/>
        <v>0.50322405580664054</v>
      </c>
      <c r="E1444" s="8">
        <f t="shared" si="88"/>
        <v>205.42857142857142</v>
      </c>
    </row>
    <row r="1445" spans="1:5" ht="18.75" x14ac:dyDescent="0.3">
      <c r="A1445" s="3">
        <v>1439</v>
      </c>
      <c r="B1445" s="9">
        <f t="shared" si="89"/>
        <v>0.99576712326440819</v>
      </c>
      <c r="C1445" s="3">
        <f t="shared" si="90"/>
        <v>62292.203930051583</v>
      </c>
      <c r="D1445" s="3">
        <f t="shared" si="91"/>
        <v>0.50202299495140323</v>
      </c>
      <c r="E1445" s="8">
        <f t="shared" si="88"/>
        <v>205.57142857142858</v>
      </c>
    </row>
    <row r="1446" spans="1:5" ht="18.75" x14ac:dyDescent="0.3">
      <c r="A1446" s="3">
        <v>1440</v>
      </c>
      <c r="B1446" s="9">
        <f t="shared" si="89"/>
        <v>0.99577512916982425</v>
      </c>
      <c r="C1446" s="3">
        <f t="shared" si="90"/>
        <v>62292.704755476698</v>
      </c>
      <c r="D1446" s="3">
        <f t="shared" si="91"/>
        <v>0.50082542511518113</v>
      </c>
      <c r="E1446" s="8">
        <f t="shared" si="88"/>
        <v>205.71428571428572</v>
      </c>
    </row>
    <row r="1447" spans="1:5" ht="18.75" x14ac:dyDescent="0.3">
      <c r="A1447" s="3">
        <v>1441</v>
      </c>
      <c r="B1447" s="9">
        <f t="shared" si="89"/>
        <v>0.99578311598719516</v>
      </c>
      <c r="C1447" s="3">
        <f t="shared" si="90"/>
        <v>62293.204386810969</v>
      </c>
      <c r="D1447" s="3">
        <f t="shared" si="91"/>
        <v>0.4996313342708163</v>
      </c>
      <c r="E1447" s="8">
        <f t="shared" si="88"/>
        <v>205.85714285714286</v>
      </c>
    </row>
    <row r="1448" spans="1:5" ht="18.75" x14ac:dyDescent="0.3">
      <c r="A1448" s="3">
        <v>1442</v>
      </c>
      <c r="B1448" s="9">
        <f t="shared" si="89"/>
        <v>0.99579108377194248</v>
      </c>
      <c r="C1448" s="3">
        <f t="shared" si="90"/>
        <v>62293.702827521403</v>
      </c>
      <c r="D1448" s="3">
        <f t="shared" si="91"/>
        <v>0.49844071043480653</v>
      </c>
      <c r="E1448" s="8">
        <f t="shared" si="88"/>
        <v>206</v>
      </c>
    </row>
    <row r="1449" spans="1:5" ht="18.75" x14ac:dyDescent="0.3">
      <c r="A1449" s="3">
        <v>1443</v>
      </c>
      <c r="B1449" s="9">
        <f t="shared" si="89"/>
        <v>0.99579903257929703</v>
      </c>
      <c r="C1449" s="3">
        <f t="shared" si="90"/>
        <v>62294.200081063085</v>
      </c>
      <c r="D1449" s="3">
        <f t="shared" si="91"/>
        <v>0.49725354168185731</v>
      </c>
      <c r="E1449" s="8">
        <f t="shared" si="88"/>
        <v>206.14285714285714</v>
      </c>
    </row>
    <row r="1450" spans="1:5" ht="18.75" x14ac:dyDescent="0.3">
      <c r="A1450" s="3">
        <v>1444</v>
      </c>
      <c r="B1450" s="9">
        <f t="shared" si="89"/>
        <v>0.99580696246429967</v>
      </c>
      <c r="C1450" s="3">
        <f t="shared" si="90"/>
        <v>62294.696150879194</v>
      </c>
      <c r="D1450" s="3">
        <f t="shared" si="91"/>
        <v>0.49606981610850198</v>
      </c>
      <c r="E1450" s="8">
        <f t="shared" si="88"/>
        <v>206.28571428571428</v>
      </c>
    </row>
    <row r="1451" spans="1:5" ht="18.75" x14ac:dyDescent="0.3">
      <c r="A1451" s="3">
        <v>1445</v>
      </c>
      <c r="B1451" s="9">
        <f t="shared" si="89"/>
        <v>0.99581487348180175</v>
      </c>
      <c r="C1451" s="3">
        <f t="shared" si="90"/>
        <v>62295.19104040107</v>
      </c>
      <c r="D1451" s="3">
        <f t="shared" si="91"/>
        <v>0.4948895218767575</v>
      </c>
      <c r="E1451" s="8">
        <f t="shared" si="88"/>
        <v>206.42857142857142</v>
      </c>
    </row>
    <row r="1452" spans="1:5" ht="18.75" x14ac:dyDescent="0.3">
      <c r="A1452" s="3">
        <v>1446</v>
      </c>
      <c r="B1452" s="9">
        <f t="shared" si="89"/>
        <v>0.99582276568646633</v>
      </c>
      <c r="C1452" s="3">
        <f t="shared" si="90"/>
        <v>62295.684753048277</v>
      </c>
      <c r="D1452" s="3">
        <f t="shared" si="91"/>
        <v>0.49371264720684849</v>
      </c>
      <c r="E1452" s="8">
        <f t="shared" si="88"/>
        <v>206.57142857142858</v>
      </c>
    </row>
    <row r="1453" spans="1:5" ht="18.75" x14ac:dyDescent="0.3">
      <c r="A1453" s="3">
        <v>1447</v>
      </c>
      <c r="B1453" s="9">
        <f t="shared" si="89"/>
        <v>0.99583063913276859</v>
      </c>
      <c r="C1453" s="3">
        <f t="shared" si="90"/>
        <v>62296.177292228604</v>
      </c>
      <c r="D1453" s="3">
        <f t="shared" si="91"/>
        <v>0.49253918032627553</v>
      </c>
      <c r="E1453" s="8">
        <f t="shared" si="88"/>
        <v>206.71428571428572</v>
      </c>
    </row>
    <row r="1454" spans="1:5" ht="18.75" x14ac:dyDescent="0.3">
      <c r="A1454" s="3">
        <v>1448</v>
      </c>
      <c r="B1454" s="9">
        <f t="shared" si="89"/>
        <v>0.99583849387499668</v>
      </c>
      <c r="C1454" s="3">
        <f t="shared" si="90"/>
        <v>62296.668661338168</v>
      </c>
      <c r="D1454" s="3">
        <f t="shared" si="91"/>
        <v>0.49136910956440261</v>
      </c>
      <c r="E1454" s="8">
        <f t="shared" si="88"/>
        <v>206.85714285714286</v>
      </c>
    </row>
    <row r="1455" spans="1:5" ht="18.75" x14ac:dyDescent="0.3">
      <c r="A1455" s="3">
        <v>1449</v>
      </c>
      <c r="B1455" s="9">
        <f t="shared" si="89"/>
        <v>0.99584632996725242</v>
      </c>
      <c r="C1455" s="3">
        <f t="shared" si="90"/>
        <v>62297.158863761411</v>
      </c>
      <c r="D1455" s="3">
        <f t="shared" si="91"/>
        <v>0.49020242324331775</v>
      </c>
      <c r="E1455" s="8">
        <f t="shared" si="88"/>
        <v>207</v>
      </c>
    </row>
    <row r="1456" spans="1:5" ht="18.75" x14ac:dyDescent="0.3">
      <c r="A1456" s="3">
        <v>1450</v>
      </c>
      <c r="B1456" s="9">
        <f t="shared" si="89"/>
        <v>0.99585414746345235</v>
      </c>
      <c r="C1456" s="3">
        <f t="shared" si="90"/>
        <v>62297.647902871191</v>
      </c>
      <c r="D1456" s="3">
        <f t="shared" si="91"/>
        <v>0.48903910977969645</v>
      </c>
      <c r="E1456" s="8">
        <f t="shared" si="88"/>
        <v>207.14285714285714</v>
      </c>
    </row>
    <row r="1457" spans="1:5" ht="18.75" x14ac:dyDescent="0.3">
      <c r="A1457" s="3">
        <v>1451</v>
      </c>
      <c r="B1457" s="9">
        <f t="shared" si="89"/>
        <v>0.99586194641732795</v>
      </c>
      <c r="C1457" s="3">
        <f t="shared" si="90"/>
        <v>62298.135782028781</v>
      </c>
      <c r="D1457" s="3">
        <f t="shared" si="91"/>
        <v>0.48787915759021416</v>
      </c>
      <c r="E1457" s="8">
        <f t="shared" si="88"/>
        <v>207.28571428571428</v>
      </c>
    </row>
    <row r="1458" spans="1:5" ht="18.75" x14ac:dyDescent="0.3">
      <c r="A1458" s="3">
        <v>1452</v>
      </c>
      <c r="B1458" s="9">
        <f t="shared" si="89"/>
        <v>0.9958697268824267</v>
      </c>
      <c r="C1458" s="3">
        <f t="shared" si="90"/>
        <v>62298.622504583967</v>
      </c>
      <c r="D1458" s="3">
        <f t="shared" si="91"/>
        <v>0.48672255518613383</v>
      </c>
      <c r="E1458" s="8">
        <f t="shared" si="88"/>
        <v>207.42857142857142</v>
      </c>
    </row>
    <row r="1459" spans="1:5" ht="18.75" x14ac:dyDescent="0.3">
      <c r="A1459" s="3">
        <v>1453</v>
      </c>
      <c r="B1459" s="9">
        <f t="shared" si="89"/>
        <v>0.99587748891211281</v>
      </c>
      <c r="C1459" s="3">
        <f t="shared" si="90"/>
        <v>62299.108073875039</v>
      </c>
      <c r="D1459" s="3">
        <f t="shared" si="91"/>
        <v>0.48556929107144242</v>
      </c>
      <c r="E1459" s="8">
        <f t="shared" si="88"/>
        <v>207.57142857142858</v>
      </c>
    </row>
    <row r="1460" spans="1:5" ht="18.75" x14ac:dyDescent="0.3">
      <c r="A1460" s="3">
        <v>1454</v>
      </c>
      <c r="B1460" s="9">
        <f t="shared" si="89"/>
        <v>0.99588523255956785</v>
      </c>
      <c r="C1460" s="3">
        <f t="shared" si="90"/>
        <v>62299.592493228884</v>
      </c>
      <c r="D1460" s="3">
        <f t="shared" si="91"/>
        <v>0.48441935384471435</v>
      </c>
      <c r="E1460" s="8">
        <f t="shared" si="88"/>
        <v>207.71428571428572</v>
      </c>
    </row>
    <row r="1461" spans="1:5" ht="18.75" x14ac:dyDescent="0.3">
      <c r="A1461" s="3">
        <v>1455</v>
      </c>
      <c r="B1461" s="9">
        <f t="shared" si="89"/>
        <v>0.99589295787779142</v>
      </c>
      <c r="C1461" s="3">
        <f t="shared" si="90"/>
        <v>62300.075765960995</v>
      </c>
      <c r="D1461" s="3">
        <f t="shared" si="91"/>
        <v>0.4832727321118</v>
      </c>
      <c r="E1461" s="8">
        <f t="shared" si="88"/>
        <v>207.85714285714286</v>
      </c>
    </row>
    <row r="1462" spans="1:5" ht="18.75" x14ac:dyDescent="0.3">
      <c r="A1462" s="3">
        <v>1456</v>
      </c>
      <c r="B1462" s="9">
        <f t="shared" si="89"/>
        <v>0.99590066491960216</v>
      </c>
      <c r="C1462" s="3">
        <f t="shared" si="90"/>
        <v>62300.557895375554</v>
      </c>
      <c r="D1462" s="3">
        <f t="shared" si="91"/>
        <v>0.48212941455858527</v>
      </c>
      <c r="E1462" s="8">
        <f t="shared" si="88"/>
        <v>208</v>
      </c>
    </row>
    <row r="1463" spans="1:5" ht="18.75" x14ac:dyDescent="0.3">
      <c r="A1463" s="3">
        <v>1457</v>
      </c>
      <c r="B1463" s="9">
        <f t="shared" si="89"/>
        <v>0.9959083537376382</v>
      </c>
      <c r="C1463" s="3">
        <f t="shared" si="90"/>
        <v>62301.038884765432</v>
      </c>
      <c r="D1463" s="3">
        <f t="shared" si="91"/>
        <v>0.48098938987823203</v>
      </c>
      <c r="E1463" s="8">
        <f t="shared" si="88"/>
        <v>208.14285714285714</v>
      </c>
    </row>
    <row r="1464" spans="1:5" ht="18.75" x14ac:dyDescent="0.3">
      <c r="A1464" s="3">
        <v>1458</v>
      </c>
      <c r="B1464" s="9">
        <f t="shared" si="89"/>
        <v>0.99591602438435789</v>
      </c>
      <c r="C1464" s="3">
        <f t="shared" si="90"/>
        <v>62301.518737412276</v>
      </c>
      <c r="D1464" s="3">
        <f t="shared" si="91"/>
        <v>0.47985264684393769</v>
      </c>
      <c r="E1464" s="8">
        <f t="shared" si="88"/>
        <v>208.28571428571428</v>
      </c>
    </row>
    <row r="1465" spans="1:5" ht="18.75" x14ac:dyDescent="0.3">
      <c r="A1465" s="3">
        <v>1459</v>
      </c>
      <c r="B1465" s="9">
        <f t="shared" si="89"/>
        <v>0.99592367691204065</v>
      </c>
      <c r="C1465" s="3">
        <f t="shared" si="90"/>
        <v>62301.997456586527</v>
      </c>
      <c r="D1465" s="3">
        <f t="shared" si="91"/>
        <v>0.47871917425072752</v>
      </c>
      <c r="E1465" s="8">
        <f t="shared" si="88"/>
        <v>208.42857142857142</v>
      </c>
    </row>
    <row r="1466" spans="1:5" ht="18.75" x14ac:dyDescent="0.3">
      <c r="A1466" s="3">
        <v>1460</v>
      </c>
      <c r="B1466" s="9">
        <f t="shared" si="89"/>
        <v>0.99593131137278756</v>
      </c>
      <c r="C1466" s="3">
        <f t="shared" si="90"/>
        <v>62302.475045547471</v>
      </c>
      <c r="D1466" s="3">
        <f t="shared" si="91"/>
        <v>0.47758896094455849</v>
      </c>
      <c r="E1466" s="8">
        <f t="shared" si="88"/>
        <v>208.57142857142858</v>
      </c>
    </row>
    <row r="1467" spans="1:5" ht="18.75" x14ac:dyDescent="0.3">
      <c r="A1467" s="3">
        <v>1461</v>
      </c>
      <c r="B1467" s="9">
        <f t="shared" si="89"/>
        <v>0.995938927818522</v>
      </c>
      <c r="C1467" s="3">
        <f t="shared" si="90"/>
        <v>62302.951507543279</v>
      </c>
      <c r="D1467" s="3">
        <f t="shared" si="91"/>
        <v>0.47646199580776738</v>
      </c>
      <c r="E1467" s="8">
        <f t="shared" si="88"/>
        <v>208.71428571428572</v>
      </c>
    </row>
    <row r="1468" spans="1:5" ht="18.75" x14ac:dyDescent="0.3">
      <c r="A1468" s="3">
        <v>1462</v>
      </c>
      <c r="B1468" s="9">
        <f t="shared" si="89"/>
        <v>0.99594652630099068</v>
      </c>
      <c r="C1468" s="3">
        <f t="shared" si="90"/>
        <v>62303.426845811075</v>
      </c>
      <c r="D1468" s="3">
        <f t="shared" si="91"/>
        <v>0.47533826779545052</v>
      </c>
      <c r="E1468" s="8">
        <f t="shared" si="88"/>
        <v>208.85714285714286</v>
      </c>
    </row>
    <row r="1469" spans="1:5" ht="18.75" x14ac:dyDescent="0.3">
      <c r="A1469" s="3">
        <v>1463</v>
      </c>
      <c r="B1469" s="9">
        <f t="shared" si="89"/>
        <v>0.99595410687176411</v>
      </c>
      <c r="C1469" s="3">
        <f t="shared" si="90"/>
        <v>62303.901063576945</v>
      </c>
      <c r="D1469" s="3">
        <f t="shared" si="91"/>
        <v>0.47421776586998021</v>
      </c>
      <c r="E1469" s="8">
        <f t="shared" si="88"/>
        <v>209</v>
      </c>
    </row>
    <row r="1470" spans="1:5" ht="18.75" x14ac:dyDescent="0.3">
      <c r="A1470" s="3">
        <v>1464</v>
      </c>
      <c r="B1470" s="9">
        <f t="shared" si="89"/>
        <v>0.99596166958223697</v>
      </c>
      <c r="C1470" s="3">
        <f t="shared" si="90"/>
        <v>62304.374164055997</v>
      </c>
      <c r="D1470" s="3">
        <f t="shared" si="91"/>
        <v>0.47310047905193642</v>
      </c>
      <c r="E1470" s="8">
        <f t="shared" si="88"/>
        <v>209.14285714285714</v>
      </c>
    </row>
    <row r="1471" spans="1:5" ht="18.75" x14ac:dyDescent="0.3">
      <c r="A1471" s="3">
        <v>1465</v>
      </c>
      <c r="B1471" s="9">
        <f t="shared" si="89"/>
        <v>0.99596921448362963</v>
      </c>
      <c r="C1471" s="3">
        <f t="shared" si="90"/>
        <v>62304.846150452417</v>
      </c>
      <c r="D1471" s="3">
        <f t="shared" si="91"/>
        <v>0.47198639642010676</v>
      </c>
      <c r="E1471" s="8">
        <f t="shared" si="88"/>
        <v>209.28571428571428</v>
      </c>
    </row>
    <row r="1472" spans="1:5" ht="18.75" x14ac:dyDescent="0.3">
      <c r="A1472" s="3">
        <v>1466</v>
      </c>
      <c r="B1472" s="9">
        <f t="shared" si="89"/>
        <v>0.99597674162698802</v>
      </c>
      <c r="C1472" s="3">
        <f t="shared" si="90"/>
        <v>62305.317025959492</v>
      </c>
      <c r="D1472" s="3">
        <f t="shared" si="91"/>
        <v>0.47087550707510673</v>
      </c>
      <c r="E1472" s="8">
        <f t="shared" si="88"/>
        <v>209.42857142857142</v>
      </c>
    </row>
    <row r="1473" spans="1:5" ht="18.75" x14ac:dyDescent="0.3">
      <c r="A1473" s="3">
        <v>1467</v>
      </c>
      <c r="B1473" s="9">
        <f t="shared" si="89"/>
        <v>0.99598425106318467</v>
      </c>
      <c r="C1473" s="3">
        <f t="shared" si="90"/>
        <v>62305.786793759646</v>
      </c>
      <c r="D1473" s="3">
        <f t="shared" si="91"/>
        <v>0.4697678001539316</v>
      </c>
      <c r="E1473" s="8">
        <f t="shared" si="88"/>
        <v>209.57142857142858</v>
      </c>
    </row>
    <row r="1474" spans="1:5" ht="18.75" x14ac:dyDescent="0.3">
      <c r="A1474" s="3">
        <v>1468</v>
      </c>
      <c r="B1474" s="9">
        <f t="shared" si="89"/>
        <v>0.99599174284291958</v>
      </c>
      <c r="C1474" s="3">
        <f t="shared" si="90"/>
        <v>62306.255457024519</v>
      </c>
      <c r="D1474" s="3">
        <f t="shared" si="91"/>
        <v>0.46866326487361221</v>
      </c>
      <c r="E1474" s="8">
        <f t="shared" si="88"/>
        <v>209.71428571428572</v>
      </c>
    </row>
    <row r="1475" spans="1:5" ht="18.75" x14ac:dyDescent="0.3">
      <c r="A1475" s="3">
        <v>1469</v>
      </c>
      <c r="B1475" s="9">
        <f t="shared" si="89"/>
        <v>0.99599921701672034</v>
      </c>
      <c r="C1475" s="3">
        <f t="shared" si="90"/>
        <v>62306.723018914978</v>
      </c>
      <c r="D1475" s="3">
        <f t="shared" si="91"/>
        <v>0.46756189045845531</v>
      </c>
      <c r="E1475" s="8">
        <f t="shared" si="88"/>
        <v>209.85714285714286</v>
      </c>
    </row>
    <row r="1476" spans="1:5" ht="18.75" x14ac:dyDescent="0.3">
      <c r="A1476" s="3">
        <v>1470</v>
      </c>
      <c r="B1476" s="9">
        <f t="shared" si="89"/>
        <v>0.99600667363494355</v>
      </c>
      <c r="C1476" s="3">
        <f t="shared" si="90"/>
        <v>62307.189482581161</v>
      </c>
      <c r="D1476" s="3">
        <f t="shared" si="91"/>
        <v>0.46646366618369939</v>
      </c>
      <c r="E1476" s="8">
        <f t="shared" si="88"/>
        <v>210</v>
      </c>
    </row>
    <row r="1477" spans="1:5" ht="18.75" x14ac:dyDescent="0.3">
      <c r="A1477" s="3">
        <v>1471</v>
      </c>
      <c r="B1477" s="9">
        <f t="shared" si="89"/>
        <v>0.99601411274777485</v>
      </c>
      <c r="C1477" s="3">
        <f t="shared" si="90"/>
        <v>62307.654851162551</v>
      </c>
      <c r="D1477" s="3">
        <f t="shared" si="91"/>
        <v>0.46536858139006654</v>
      </c>
      <c r="E1477" s="8">
        <f t="shared" si="88"/>
        <v>210.14285714285714</v>
      </c>
    </row>
    <row r="1478" spans="1:5" ht="18.75" x14ac:dyDescent="0.3">
      <c r="A1478" s="3">
        <v>1472</v>
      </c>
      <c r="B1478" s="9">
        <f t="shared" si="89"/>
        <v>0.99602153440522989</v>
      </c>
      <c r="C1478" s="3">
        <f t="shared" si="90"/>
        <v>62308.11912778797</v>
      </c>
      <c r="D1478" s="3">
        <f t="shared" si="91"/>
        <v>0.46427662541827885</v>
      </c>
      <c r="E1478" s="8">
        <f t="shared" si="88"/>
        <v>210.28571428571428</v>
      </c>
    </row>
    <row r="1479" spans="1:5" ht="18.75" x14ac:dyDescent="0.3">
      <c r="A1479" s="3">
        <v>1473</v>
      </c>
      <c r="B1479" s="9">
        <f t="shared" si="89"/>
        <v>0.99602893865715514</v>
      </c>
      <c r="C1479" s="3">
        <f t="shared" si="90"/>
        <v>62308.582315575652</v>
      </c>
      <c r="D1479" s="3">
        <f t="shared" si="91"/>
        <v>0.46318778768181801</v>
      </c>
      <c r="E1479" s="8">
        <f t="shared" ref="E1479:E1542" si="92">A1479/7</f>
        <v>210.42857142857142</v>
      </c>
    </row>
    <row r="1480" spans="1:5" ht="18.75" x14ac:dyDescent="0.3">
      <c r="A1480" s="3">
        <v>1474</v>
      </c>
      <c r="B1480" s="9">
        <f t="shared" ref="B1480:B1543" si="93">LOGNORMDIST(A1480,$A$3,$B$3)</f>
        <v>0.99603632555322796</v>
      </c>
      <c r="C1480" s="3">
        <f t="shared" ref="C1480:C1543" si="94">$E$3*B1480</f>
        <v>62309.044417633282</v>
      </c>
      <c r="D1480" s="3">
        <f t="shared" ref="D1480:D1543" si="95">C1480-C1479</f>
        <v>0.46210205763054546</v>
      </c>
      <c r="E1480" s="8">
        <f t="shared" si="92"/>
        <v>210.57142857142858</v>
      </c>
    </row>
    <row r="1481" spans="1:5" ht="18.75" x14ac:dyDescent="0.3">
      <c r="A1481" s="3">
        <v>1475</v>
      </c>
      <c r="B1481" s="9">
        <f t="shared" si="93"/>
        <v>0.99604369514295821</v>
      </c>
      <c r="C1481" s="3">
        <f t="shared" si="94"/>
        <v>62309.50543705804</v>
      </c>
      <c r="D1481" s="3">
        <f t="shared" si="95"/>
        <v>0.46101942475797841</v>
      </c>
      <c r="E1481" s="8">
        <f t="shared" si="92"/>
        <v>210.71428571428572</v>
      </c>
    </row>
    <row r="1482" spans="1:5" ht="18.75" x14ac:dyDescent="0.3">
      <c r="A1482" s="3">
        <v>1476</v>
      </c>
      <c r="B1482" s="9">
        <f t="shared" si="93"/>
        <v>0.99605104747568785</v>
      </c>
      <c r="C1482" s="3">
        <f t="shared" si="94"/>
        <v>62309.965376936605</v>
      </c>
      <c r="D1482" s="3">
        <f t="shared" si="95"/>
        <v>0.45993987856491003</v>
      </c>
      <c r="E1482" s="8">
        <f t="shared" si="92"/>
        <v>210.85714285714286</v>
      </c>
    </row>
    <row r="1483" spans="1:5" ht="18.75" x14ac:dyDescent="0.3">
      <c r="A1483" s="3">
        <v>1477</v>
      </c>
      <c r="B1483" s="9">
        <f t="shared" si="93"/>
        <v>0.99605838260059254</v>
      </c>
      <c r="C1483" s="3">
        <f t="shared" si="94"/>
        <v>62310.424240345266</v>
      </c>
      <c r="D1483" s="3">
        <f t="shared" si="95"/>
        <v>0.45886340866127284</v>
      </c>
      <c r="E1483" s="8">
        <f t="shared" si="92"/>
        <v>211</v>
      </c>
    </row>
    <row r="1484" spans="1:5" ht="18.75" x14ac:dyDescent="0.3">
      <c r="A1484" s="3">
        <v>1478</v>
      </c>
      <c r="B1484" s="9">
        <f t="shared" si="93"/>
        <v>0.99606570056668153</v>
      </c>
      <c r="C1484" s="3">
        <f t="shared" si="94"/>
        <v>62310.882030349894</v>
      </c>
      <c r="D1484" s="3">
        <f t="shared" si="95"/>
        <v>0.45779000462789554</v>
      </c>
      <c r="E1484" s="8">
        <f t="shared" si="92"/>
        <v>211.14285714285714</v>
      </c>
    </row>
    <row r="1485" spans="1:5" ht="18.75" x14ac:dyDescent="0.3">
      <c r="A1485" s="3">
        <v>1479</v>
      </c>
      <c r="B1485" s="9">
        <f t="shared" si="93"/>
        <v>0.99607300142279898</v>
      </c>
      <c r="C1485" s="3">
        <f t="shared" si="94"/>
        <v>62311.338750006034</v>
      </c>
      <c r="D1485" s="3">
        <f t="shared" si="95"/>
        <v>0.45671965614019427</v>
      </c>
      <c r="E1485" s="8">
        <f t="shared" si="92"/>
        <v>211.28571428571428</v>
      </c>
    </row>
    <row r="1486" spans="1:5" ht="18.75" x14ac:dyDescent="0.3">
      <c r="A1486" s="3">
        <v>1480</v>
      </c>
      <c r="B1486" s="9">
        <f t="shared" si="93"/>
        <v>0.99608028521762404</v>
      </c>
      <c r="C1486" s="3">
        <f t="shared" si="94"/>
        <v>62311.794402358908</v>
      </c>
      <c r="D1486" s="3">
        <f t="shared" si="95"/>
        <v>0.45565235287358519</v>
      </c>
      <c r="E1486" s="8">
        <f t="shared" si="92"/>
        <v>211.42857142857142</v>
      </c>
    </row>
    <row r="1487" spans="1:5" ht="18.75" x14ac:dyDescent="0.3">
      <c r="A1487" s="3">
        <v>1481</v>
      </c>
      <c r="B1487" s="9">
        <f t="shared" si="93"/>
        <v>0.99608755199967192</v>
      </c>
      <c r="C1487" s="3">
        <f t="shared" si="94"/>
        <v>62312.248990443477</v>
      </c>
      <c r="D1487" s="3">
        <f t="shared" si="95"/>
        <v>0.45458808456896804</v>
      </c>
      <c r="E1487" s="8">
        <f t="shared" si="92"/>
        <v>211.57142857142858</v>
      </c>
    </row>
    <row r="1488" spans="1:5" ht="18.75" x14ac:dyDescent="0.3">
      <c r="A1488" s="3">
        <v>1482</v>
      </c>
      <c r="B1488" s="9">
        <f t="shared" si="93"/>
        <v>0.99609480181729404</v>
      </c>
      <c r="C1488" s="3">
        <f t="shared" si="94"/>
        <v>62312.702517284466</v>
      </c>
      <c r="D1488" s="3">
        <f t="shared" si="95"/>
        <v>0.45352684098907048</v>
      </c>
      <c r="E1488" s="8">
        <f t="shared" si="92"/>
        <v>211.71428571428572</v>
      </c>
    </row>
    <row r="1489" spans="1:5" ht="18.75" x14ac:dyDescent="0.3">
      <c r="A1489" s="3">
        <v>1483</v>
      </c>
      <c r="B1489" s="9">
        <f t="shared" si="93"/>
        <v>0.99610203471867942</v>
      </c>
      <c r="C1489" s="3">
        <f t="shared" si="94"/>
        <v>62313.154985896428</v>
      </c>
      <c r="D1489" s="3">
        <f t="shared" si="95"/>
        <v>0.45246861196210375</v>
      </c>
      <c r="E1489" s="8">
        <f t="shared" si="92"/>
        <v>211.85714285714286</v>
      </c>
    </row>
    <row r="1490" spans="1:5" ht="18.75" x14ac:dyDescent="0.3">
      <c r="A1490" s="3">
        <v>1484</v>
      </c>
      <c r="B1490" s="9">
        <f t="shared" si="93"/>
        <v>0.99610925075185452</v>
      </c>
      <c r="C1490" s="3">
        <f t="shared" si="94"/>
        <v>62313.606399283766</v>
      </c>
      <c r="D1490" s="3">
        <f t="shared" si="95"/>
        <v>0.45141338733810699</v>
      </c>
      <c r="E1490" s="8">
        <f t="shared" si="92"/>
        <v>212</v>
      </c>
    </row>
    <row r="1491" spans="1:5" ht="18.75" x14ac:dyDescent="0.3">
      <c r="A1491" s="3">
        <v>1485</v>
      </c>
      <c r="B1491" s="9">
        <f t="shared" si="93"/>
        <v>0.9961164499646844</v>
      </c>
      <c r="C1491" s="3">
        <f t="shared" si="94"/>
        <v>62314.056760440762</v>
      </c>
      <c r="D1491" s="3">
        <f t="shared" si="95"/>
        <v>0.45036115699622314</v>
      </c>
      <c r="E1491" s="8">
        <f t="shared" si="92"/>
        <v>212.14285714285714</v>
      </c>
    </row>
    <row r="1492" spans="1:5" ht="18.75" x14ac:dyDescent="0.3">
      <c r="A1492" s="3">
        <v>1486</v>
      </c>
      <c r="B1492" s="9">
        <f t="shared" si="93"/>
        <v>0.99612363240487323</v>
      </c>
      <c r="C1492" s="3">
        <f t="shared" si="94"/>
        <v>62314.506072351658</v>
      </c>
      <c r="D1492" s="3">
        <f t="shared" si="95"/>
        <v>0.44931191089563072</v>
      </c>
      <c r="E1492" s="8">
        <f t="shared" si="92"/>
        <v>212.28571428571428</v>
      </c>
    </row>
    <row r="1493" spans="1:5" ht="18.75" x14ac:dyDescent="0.3">
      <c r="A1493" s="3">
        <v>1487</v>
      </c>
      <c r="B1493" s="9">
        <f t="shared" si="93"/>
        <v>0.99613079811996452</v>
      </c>
      <c r="C1493" s="3">
        <f t="shared" si="94"/>
        <v>62314.954337990617</v>
      </c>
      <c r="D1493" s="3">
        <f t="shared" si="95"/>
        <v>0.44826563895912841</v>
      </c>
      <c r="E1493" s="8">
        <f t="shared" si="92"/>
        <v>212.42857142857142</v>
      </c>
    </row>
    <row r="1494" spans="1:5" ht="18.75" x14ac:dyDescent="0.3">
      <c r="A1494" s="3">
        <v>1488</v>
      </c>
      <c r="B1494" s="9">
        <f t="shared" si="93"/>
        <v>0.99613794715734261</v>
      </c>
      <c r="C1494" s="3">
        <f t="shared" si="94"/>
        <v>62315.40156032188</v>
      </c>
      <c r="D1494" s="3">
        <f t="shared" si="95"/>
        <v>0.44722233126231004</v>
      </c>
      <c r="E1494" s="8">
        <f t="shared" si="92"/>
        <v>212.57142857142858</v>
      </c>
    </row>
    <row r="1495" spans="1:5" ht="18.75" x14ac:dyDescent="0.3">
      <c r="A1495" s="3">
        <v>1489</v>
      </c>
      <c r="B1495" s="9">
        <f t="shared" si="93"/>
        <v>0.99614507956423237</v>
      </c>
      <c r="C1495" s="3">
        <f t="shared" si="94"/>
        <v>62315.847742299688</v>
      </c>
      <c r="D1495" s="3">
        <f t="shared" si="95"/>
        <v>0.44618197780800983</v>
      </c>
      <c r="E1495" s="8">
        <f t="shared" si="92"/>
        <v>212.71428571428572</v>
      </c>
    </row>
    <row r="1496" spans="1:5" ht="18.75" x14ac:dyDescent="0.3">
      <c r="A1496" s="3">
        <v>1490</v>
      </c>
      <c r="B1496" s="9">
        <f t="shared" si="93"/>
        <v>0.99615219538770039</v>
      </c>
      <c r="C1496" s="3">
        <f t="shared" si="94"/>
        <v>62316.292886868374</v>
      </c>
      <c r="D1496" s="3">
        <f t="shared" si="95"/>
        <v>0.44514456868637353</v>
      </c>
      <c r="E1496" s="8">
        <f t="shared" si="92"/>
        <v>212.85714285714286</v>
      </c>
    </row>
    <row r="1497" spans="1:5" ht="18.75" x14ac:dyDescent="0.3">
      <c r="A1497" s="3">
        <v>1491</v>
      </c>
      <c r="B1497" s="9">
        <f t="shared" si="93"/>
        <v>0.99615929467465547</v>
      </c>
      <c r="C1497" s="3">
        <f t="shared" si="94"/>
        <v>62316.73699696242</v>
      </c>
      <c r="D1497" s="3">
        <f t="shared" si="95"/>
        <v>0.44411009404575452</v>
      </c>
      <c r="E1497" s="8">
        <f t="shared" si="92"/>
        <v>213</v>
      </c>
    </row>
    <row r="1498" spans="1:5" ht="18.75" x14ac:dyDescent="0.3">
      <c r="A1498" s="3">
        <v>1492</v>
      </c>
      <c r="B1498" s="9">
        <f t="shared" si="93"/>
        <v>0.99616637747184911</v>
      </c>
      <c r="C1498" s="3">
        <f t="shared" si="94"/>
        <v>62317.180075506461</v>
      </c>
      <c r="D1498" s="3">
        <f t="shared" si="95"/>
        <v>0.44307854404178215</v>
      </c>
      <c r="E1498" s="8">
        <f t="shared" si="92"/>
        <v>213.14285714285714</v>
      </c>
    </row>
    <row r="1499" spans="1:5" ht="18.75" x14ac:dyDescent="0.3">
      <c r="A1499" s="3">
        <v>1493</v>
      </c>
      <c r="B1499" s="9">
        <f t="shared" si="93"/>
        <v>0.99617344382587625</v>
      </c>
      <c r="C1499" s="3">
        <f t="shared" si="94"/>
        <v>62317.622125415342</v>
      </c>
      <c r="D1499" s="3">
        <f t="shared" si="95"/>
        <v>0.44204990888101747</v>
      </c>
      <c r="E1499" s="8">
        <f t="shared" si="92"/>
        <v>213.28571428571428</v>
      </c>
    </row>
    <row r="1500" spans="1:5" ht="18.75" x14ac:dyDescent="0.3">
      <c r="A1500" s="3">
        <v>1494</v>
      </c>
      <c r="B1500" s="9">
        <f t="shared" si="93"/>
        <v>0.99618049378317575</v>
      </c>
      <c r="C1500" s="3">
        <f t="shared" si="94"/>
        <v>62318.063149594127</v>
      </c>
      <c r="D1500" s="3">
        <f t="shared" si="95"/>
        <v>0.44102417878457345</v>
      </c>
      <c r="E1500" s="8">
        <f t="shared" si="92"/>
        <v>213.42857142857142</v>
      </c>
    </row>
    <row r="1501" spans="1:5" ht="18.75" x14ac:dyDescent="0.3">
      <c r="A1501" s="3">
        <v>1495</v>
      </c>
      <c r="B1501" s="9">
        <f t="shared" si="93"/>
        <v>0.99618752739003125</v>
      </c>
      <c r="C1501" s="3">
        <f t="shared" si="94"/>
        <v>62318.503150938188</v>
      </c>
      <c r="D1501" s="3">
        <f t="shared" si="95"/>
        <v>0.44000134406087454</v>
      </c>
      <c r="E1501" s="8">
        <f t="shared" si="92"/>
        <v>213.57142857142858</v>
      </c>
    </row>
    <row r="1502" spans="1:5" ht="18.75" x14ac:dyDescent="0.3">
      <c r="A1502" s="3">
        <v>1496</v>
      </c>
      <c r="B1502" s="9">
        <f t="shared" si="93"/>
        <v>0.9961945446925714</v>
      </c>
      <c r="C1502" s="3">
        <f t="shared" si="94"/>
        <v>62318.942132333192</v>
      </c>
      <c r="D1502" s="3">
        <f t="shared" si="95"/>
        <v>0.4389813950037933</v>
      </c>
      <c r="E1502" s="8">
        <f t="shared" si="92"/>
        <v>213.71428571428572</v>
      </c>
    </row>
    <row r="1503" spans="1:5" ht="18.75" x14ac:dyDescent="0.3">
      <c r="A1503" s="3">
        <v>1497</v>
      </c>
      <c r="B1503" s="9">
        <f t="shared" si="93"/>
        <v>0.99620154573677089</v>
      </c>
      <c r="C1503" s="3">
        <f t="shared" si="94"/>
        <v>62319.380096655179</v>
      </c>
      <c r="D1503" s="3">
        <f t="shared" si="95"/>
        <v>0.43796432198723778</v>
      </c>
      <c r="E1503" s="8">
        <f t="shared" si="92"/>
        <v>213.85714285714286</v>
      </c>
    </row>
    <row r="1504" spans="1:5" ht="18.75" x14ac:dyDescent="0.3">
      <c r="A1504" s="3">
        <v>1498</v>
      </c>
      <c r="B1504" s="9">
        <f t="shared" si="93"/>
        <v>0.99620853056845071</v>
      </c>
      <c r="C1504" s="3">
        <f t="shared" si="94"/>
        <v>62319.817046770571</v>
      </c>
      <c r="D1504" s="3">
        <f t="shared" si="95"/>
        <v>0.43695011539239204</v>
      </c>
      <c r="E1504" s="8">
        <f t="shared" si="92"/>
        <v>214</v>
      </c>
    </row>
    <row r="1505" spans="1:5" ht="18.75" x14ac:dyDescent="0.3">
      <c r="A1505" s="3">
        <v>1499</v>
      </c>
      <c r="B1505" s="9">
        <f t="shared" si="93"/>
        <v>0.99621549923327879</v>
      </c>
      <c r="C1505" s="3">
        <f t="shared" si="94"/>
        <v>62320.252985536223</v>
      </c>
      <c r="D1505" s="3">
        <f t="shared" si="95"/>
        <v>0.4359387656513718</v>
      </c>
      <c r="E1505" s="8">
        <f t="shared" si="92"/>
        <v>214.14285714285714</v>
      </c>
    </row>
    <row r="1506" spans="1:5" ht="18.75" x14ac:dyDescent="0.3">
      <c r="A1506" s="3">
        <v>1500</v>
      </c>
      <c r="B1506" s="9">
        <f t="shared" si="93"/>
        <v>0.99622245177677082</v>
      </c>
      <c r="C1506" s="3">
        <f t="shared" si="94"/>
        <v>62320.687915799455</v>
      </c>
      <c r="D1506" s="3">
        <f t="shared" si="95"/>
        <v>0.43493026323267259</v>
      </c>
      <c r="E1506" s="8">
        <f t="shared" si="92"/>
        <v>214.28571428571428</v>
      </c>
    </row>
    <row r="1507" spans="1:5" ht="18.75" x14ac:dyDescent="0.3">
      <c r="A1507" s="3">
        <v>1501</v>
      </c>
      <c r="B1507" s="9">
        <f t="shared" si="93"/>
        <v>0.99622938824429053</v>
      </c>
      <c r="C1507" s="3">
        <f t="shared" si="94"/>
        <v>62321.121840398082</v>
      </c>
      <c r="D1507" s="3">
        <f t="shared" si="95"/>
        <v>0.43392459862661781</v>
      </c>
      <c r="E1507" s="8">
        <f t="shared" si="92"/>
        <v>214.42857142857142</v>
      </c>
    </row>
    <row r="1508" spans="1:5" ht="18.75" x14ac:dyDescent="0.3">
      <c r="A1508" s="3">
        <v>1502</v>
      </c>
      <c r="B1508" s="9">
        <f t="shared" si="93"/>
        <v>0.99623630868105062</v>
      </c>
      <c r="C1508" s="3">
        <f t="shared" si="94"/>
        <v>62321.554762160486</v>
      </c>
      <c r="D1508" s="3">
        <f t="shared" si="95"/>
        <v>0.43292176240356639</v>
      </c>
      <c r="E1508" s="8">
        <f t="shared" si="92"/>
        <v>214.57142857142858</v>
      </c>
    </row>
    <row r="1509" spans="1:5" ht="18.75" x14ac:dyDescent="0.3">
      <c r="A1509" s="3">
        <v>1503</v>
      </c>
      <c r="B1509" s="9">
        <f t="shared" si="93"/>
        <v>0.99624321313211284</v>
      </c>
      <c r="C1509" s="3">
        <f t="shared" si="94"/>
        <v>62321.986683905583</v>
      </c>
      <c r="D1509" s="3">
        <f t="shared" si="95"/>
        <v>0.43192174509749748</v>
      </c>
      <c r="E1509" s="8">
        <f t="shared" si="92"/>
        <v>214.71428571428572</v>
      </c>
    </row>
    <row r="1510" spans="1:5" ht="18.75" x14ac:dyDescent="0.3">
      <c r="A1510" s="3">
        <v>1504</v>
      </c>
      <c r="B1510" s="9">
        <f t="shared" si="93"/>
        <v>0.99625010164238925</v>
      </c>
      <c r="C1510" s="3">
        <f t="shared" si="94"/>
        <v>62322.417608442942</v>
      </c>
      <c r="D1510" s="3">
        <f t="shared" si="95"/>
        <v>0.43092453735880554</v>
      </c>
      <c r="E1510" s="8">
        <f t="shared" si="92"/>
        <v>214.85714285714286</v>
      </c>
    </row>
    <row r="1511" spans="1:5" ht="18.75" x14ac:dyDescent="0.3">
      <c r="A1511" s="3">
        <v>1505</v>
      </c>
      <c r="B1511" s="9">
        <f t="shared" si="93"/>
        <v>0.99625697425664217</v>
      </c>
      <c r="C1511" s="3">
        <f t="shared" si="94"/>
        <v>62322.847538572765</v>
      </c>
      <c r="D1511" s="3">
        <f t="shared" si="95"/>
        <v>0.42993012982333312</v>
      </c>
      <c r="E1511" s="8">
        <f t="shared" si="92"/>
        <v>215</v>
      </c>
    </row>
    <row r="1512" spans="1:5" ht="18.75" x14ac:dyDescent="0.3">
      <c r="A1512" s="3">
        <v>1506</v>
      </c>
      <c r="B1512" s="9">
        <f t="shared" si="93"/>
        <v>0.99626383101948512</v>
      </c>
      <c r="C1512" s="3">
        <f t="shared" si="94"/>
        <v>62323.276477085928</v>
      </c>
      <c r="D1512" s="3">
        <f t="shared" si="95"/>
        <v>0.42893851316330256</v>
      </c>
      <c r="E1512" s="8">
        <f t="shared" si="92"/>
        <v>215.14285714285714</v>
      </c>
    </row>
    <row r="1513" spans="1:5" ht="18.75" x14ac:dyDescent="0.3">
      <c r="A1513" s="3">
        <v>1507</v>
      </c>
      <c r="B1513" s="9">
        <f t="shared" si="93"/>
        <v>0.99627067197538344</v>
      </c>
      <c r="C1513" s="3">
        <f t="shared" si="94"/>
        <v>62323.704426764059</v>
      </c>
      <c r="D1513" s="3">
        <f t="shared" si="95"/>
        <v>0.42794967813097173</v>
      </c>
      <c r="E1513" s="8">
        <f t="shared" si="92"/>
        <v>215.28571428571428</v>
      </c>
    </row>
    <row r="1514" spans="1:5" ht="18.75" x14ac:dyDescent="0.3">
      <c r="A1514" s="3">
        <v>1508</v>
      </c>
      <c r="B1514" s="9">
        <f t="shared" si="93"/>
        <v>0.99627749716865455</v>
      </c>
      <c r="C1514" s="3">
        <f t="shared" si="94"/>
        <v>62324.131390379524</v>
      </c>
      <c r="D1514" s="3">
        <f t="shared" si="95"/>
        <v>0.4269636154640466</v>
      </c>
      <c r="E1514" s="8">
        <f t="shared" si="92"/>
        <v>215.42857142857142</v>
      </c>
    </row>
    <row r="1515" spans="1:5" ht="18.75" x14ac:dyDescent="0.3">
      <c r="A1515" s="3">
        <v>1509</v>
      </c>
      <c r="B1515" s="9">
        <f t="shared" si="93"/>
        <v>0.99628430664346856</v>
      </c>
      <c r="C1515" s="3">
        <f t="shared" si="94"/>
        <v>62324.55737069546</v>
      </c>
      <c r="D1515" s="3">
        <f t="shared" si="95"/>
        <v>0.4259803159366129</v>
      </c>
      <c r="E1515" s="8">
        <f t="shared" si="92"/>
        <v>215.57142857142858</v>
      </c>
    </row>
    <row r="1516" spans="1:5" ht="18.75" x14ac:dyDescent="0.3">
      <c r="A1516" s="3">
        <v>1510</v>
      </c>
      <c r="B1516" s="9">
        <f t="shared" si="93"/>
        <v>0.99629110044384928</v>
      </c>
      <c r="C1516" s="3">
        <f t="shared" si="94"/>
        <v>62324.982370465877</v>
      </c>
      <c r="D1516" s="3">
        <f t="shared" si="95"/>
        <v>0.42499977041734383</v>
      </c>
      <c r="E1516" s="8">
        <f t="shared" si="92"/>
        <v>215.71428571428572</v>
      </c>
    </row>
    <row r="1517" spans="1:5" ht="18.75" x14ac:dyDescent="0.3">
      <c r="A1517" s="3">
        <v>1511</v>
      </c>
      <c r="B1517" s="9">
        <f t="shared" si="93"/>
        <v>0.99629787861367425</v>
      </c>
      <c r="C1517" s="3">
        <f t="shared" si="94"/>
        <v>62325.406392435623</v>
      </c>
      <c r="D1517" s="3">
        <f t="shared" si="95"/>
        <v>0.42402196974580875</v>
      </c>
      <c r="E1517" s="8">
        <f t="shared" si="92"/>
        <v>215.85714285714286</v>
      </c>
    </row>
    <row r="1518" spans="1:5" ht="18.75" x14ac:dyDescent="0.3">
      <c r="A1518" s="3">
        <v>1512</v>
      </c>
      <c r="B1518" s="9">
        <f t="shared" si="93"/>
        <v>0.99630464119667572</v>
      </c>
      <c r="C1518" s="3">
        <f t="shared" si="94"/>
        <v>62325.829439340443</v>
      </c>
      <c r="D1518" s="3">
        <f t="shared" si="95"/>
        <v>0.42304690481978469</v>
      </c>
      <c r="E1518" s="8">
        <f t="shared" si="92"/>
        <v>216</v>
      </c>
    </row>
    <row r="1519" spans="1:5" ht="18.75" x14ac:dyDescent="0.3">
      <c r="A1519" s="3">
        <v>1513</v>
      </c>
      <c r="B1519" s="9">
        <f t="shared" si="93"/>
        <v>0.99631138823644072</v>
      </c>
      <c r="C1519" s="3">
        <f t="shared" si="94"/>
        <v>62326.251513907024</v>
      </c>
      <c r="D1519" s="3">
        <f t="shared" si="95"/>
        <v>0.42207456658070441</v>
      </c>
      <c r="E1519" s="8">
        <f t="shared" si="92"/>
        <v>216.14285714285714</v>
      </c>
    </row>
    <row r="1520" spans="1:5" ht="18.75" x14ac:dyDescent="0.3">
      <c r="A1520" s="3">
        <v>1514</v>
      </c>
      <c r="B1520" s="9">
        <f t="shared" si="93"/>
        <v>0.99631811977641227</v>
      </c>
      <c r="C1520" s="3">
        <f t="shared" si="94"/>
        <v>62326.672618853023</v>
      </c>
      <c r="D1520" s="3">
        <f t="shared" si="95"/>
        <v>0.42110494599910453</v>
      </c>
      <c r="E1520" s="8">
        <f t="shared" si="92"/>
        <v>216.28571428571428</v>
      </c>
    </row>
    <row r="1521" spans="1:5" ht="18.75" x14ac:dyDescent="0.3">
      <c r="A1521" s="3">
        <v>1515</v>
      </c>
      <c r="B1521" s="9">
        <f t="shared" si="93"/>
        <v>0.99632483585988929</v>
      </c>
      <c r="C1521" s="3">
        <f t="shared" si="94"/>
        <v>62327.092756887097</v>
      </c>
      <c r="D1521" s="3">
        <f t="shared" si="95"/>
        <v>0.42013803407462547</v>
      </c>
      <c r="E1521" s="8">
        <f t="shared" si="92"/>
        <v>216.42857142857142</v>
      </c>
    </row>
    <row r="1522" spans="1:5" ht="18.75" x14ac:dyDescent="0.3">
      <c r="A1522" s="3">
        <v>1516</v>
      </c>
      <c r="B1522" s="9">
        <f t="shared" si="93"/>
        <v>0.99633153653002759</v>
      </c>
      <c r="C1522" s="3">
        <f t="shared" si="94"/>
        <v>62327.511930708934</v>
      </c>
      <c r="D1522" s="3">
        <f t="shared" si="95"/>
        <v>0.41917382183601148</v>
      </c>
      <c r="E1522" s="8">
        <f t="shared" si="92"/>
        <v>216.57142857142858</v>
      </c>
    </row>
    <row r="1523" spans="1:5" ht="18.75" x14ac:dyDescent="0.3">
      <c r="A1523" s="3">
        <v>1517</v>
      </c>
      <c r="B1523" s="9">
        <f t="shared" si="93"/>
        <v>0.99633822182984022</v>
      </c>
      <c r="C1523" s="3">
        <f t="shared" si="94"/>
        <v>62327.930143009318</v>
      </c>
      <c r="D1523" s="3">
        <f t="shared" si="95"/>
        <v>0.41821230038476642</v>
      </c>
      <c r="E1523" s="8">
        <f t="shared" si="92"/>
        <v>216.71428571428572</v>
      </c>
    </row>
    <row r="1524" spans="1:5" ht="18.75" x14ac:dyDescent="0.3">
      <c r="A1524" s="3">
        <v>1518</v>
      </c>
      <c r="B1524" s="9">
        <f t="shared" si="93"/>
        <v>0.99634489180219798</v>
      </c>
      <c r="C1524" s="3">
        <f t="shared" si="94"/>
        <v>62328.347396470097</v>
      </c>
      <c r="D1524" s="3">
        <f t="shared" si="95"/>
        <v>0.41725346077873837</v>
      </c>
      <c r="E1524" s="8">
        <f t="shared" si="92"/>
        <v>216.85714285714286</v>
      </c>
    </row>
    <row r="1525" spans="1:5" ht="18.75" x14ac:dyDescent="0.3">
      <c r="A1525" s="3">
        <v>1519</v>
      </c>
      <c r="B1525" s="9">
        <f t="shared" si="93"/>
        <v>0.99635154648983015</v>
      </c>
      <c r="C1525" s="3">
        <f t="shared" si="94"/>
        <v>62328.763693764304</v>
      </c>
      <c r="D1525" s="3">
        <f t="shared" si="95"/>
        <v>0.41629729420674266</v>
      </c>
      <c r="E1525" s="8">
        <f t="shared" si="92"/>
        <v>217</v>
      </c>
    </row>
    <row r="1526" spans="1:5" ht="18.75" x14ac:dyDescent="0.3">
      <c r="A1526" s="3">
        <v>1520</v>
      </c>
      <c r="B1526" s="9">
        <f t="shared" si="93"/>
        <v>0.9963581859353251</v>
      </c>
      <c r="C1526" s="3">
        <f t="shared" si="94"/>
        <v>62329.179037556132</v>
      </c>
      <c r="D1526" s="3">
        <f t="shared" si="95"/>
        <v>0.41534379182849079</v>
      </c>
      <c r="E1526" s="8">
        <f t="shared" si="92"/>
        <v>217.14285714285714</v>
      </c>
    </row>
    <row r="1527" spans="1:5" ht="18.75" x14ac:dyDescent="0.3">
      <c r="A1527" s="3">
        <v>1521</v>
      </c>
      <c r="B1527" s="9">
        <f t="shared" si="93"/>
        <v>0.99636481018113021</v>
      </c>
      <c r="C1527" s="3">
        <f t="shared" si="94"/>
        <v>62329.593430500965</v>
      </c>
      <c r="D1527" s="3">
        <f t="shared" si="95"/>
        <v>0.41439294483279809</v>
      </c>
      <c r="E1527" s="8">
        <f t="shared" si="92"/>
        <v>217.28571428571428</v>
      </c>
    </row>
    <row r="1528" spans="1:5" ht="18.75" x14ac:dyDescent="0.3">
      <c r="A1528" s="3">
        <v>1522</v>
      </c>
      <c r="B1528" s="9">
        <f t="shared" si="93"/>
        <v>0.9963714192695533</v>
      </c>
      <c r="C1528" s="3">
        <f t="shared" si="94"/>
        <v>62330.006875245446</v>
      </c>
      <c r="D1528" s="3">
        <f t="shared" si="95"/>
        <v>0.41344474448123947</v>
      </c>
      <c r="E1528" s="8">
        <f t="shared" si="92"/>
        <v>217.42857142857142</v>
      </c>
    </row>
    <row r="1529" spans="1:5" ht="18.75" x14ac:dyDescent="0.3">
      <c r="A1529" s="3">
        <v>1523</v>
      </c>
      <c r="B1529" s="9">
        <f t="shared" si="93"/>
        <v>0.99637801324276265</v>
      </c>
      <c r="C1529" s="3">
        <f t="shared" si="94"/>
        <v>62330.419374427503</v>
      </c>
      <c r="D1529" s="3">
        <f t="shared" si="95"/>
        <v>0.41249918205721769</v>
      </c>
      <c r="E1529" s="8">
        <f t="shared" si="92"/>
        <v>217.57142857142858</v>
      </c>
    </row>
    <row r="1530" spans="1:5" ht="18.75" x14ac:dyDescent="0.3">
      <c r="A1530" s="3">
        <v>1524</v>
      </c>
      <c r="B1530" s="9">
        <f t="shared" si="93"/>
        <v>0.9963845921427873</v>
      </c>
      <c r="C1530" s="3">
        <f t="shared" si="94"/>
        <v>62330.830930676348</v>
      </c>
      <c r="D1530" s="3">
        <f t="shared" si="95"/>
        <v>0.41155624884413555</v>
      </c>
      <c r="E1530" s="8">
        <f t="shared" si="92"/>
        <v>217.71428571428572</v>
      </c>
    </row>
    <row r="1531" spans="1:5" ht="18.75" x14ac:dyDescent="0.3">
      <c r="A1531" s="3">
        <v>1525</v>
      </c>
      <c r="B1531" s="9">
        <f t="shared" si="93"/>
        <v>0.99639115601151829</v>
      </c>
      <c r="C1531" s="3">
        <f t="shared" si="94"/>
        <v>62331.241546612553</v>
      </c>
      <c r="D1531" s="3">
        <f t="shared" si="95"/>
        <v>0.41061593620543135</v>
      </c>
      <c r="E1531" s="8">
        <f t="shared" si="92"/>
        <v>217.85714285714286</v>
      </c>
    </row>
    <row r="1532" spans="1:5" ht="18.75" x14ac:dyDescent="0.3">
      <c r="A1532" s="3">
        <v>1526</v>
      </c>
      <c r="B1532" s="9">
        <f t="shared" si="93"/>
        <v>0.99639770489070856</v>
      </c>
      <c r="C1532" s="3">
        <f t="shared" si="94"/>
        <v>62331.651224848058</v>
      </c>
      <c r="D1532" s="3">
        <f t="shared" si="95"/>
        <v>0.40967823550454341</v>
      </c>
      <c r="E1532" s="8">
        <f t="shared" si="92"/>
        <v>218</v>
      </c>
    </row>
    <row r="1533" spans="1:5" ht="18.75" x14ac:dyDescent="0.3">
      <c r="A1533" s="3">
        <v>1527</v>
      </c>
      <c r="B1533" s="9">
        <f t="shared" si="93"/>
        <v>0.99640423882197371</v>
      </c>
      <c r="C1533" s="3">
        <f t="shared" si="94"/>
        <v>62332.059967986206</v>
      </c>
      <c r="D1533" s="3">
        <f t="shared" si="95"/>
        <v>0.40874313814856578</v>
      </c>
      <c r="E1533" s="8">
        <f t="shared" si="92"/>
        <v>218.14285714285714</v>
      </c>
    </row>
    <row r="1534" spans="1:5" ht="18.75" x14ac:dyDescent="0.3">
      <c r="A1534" s="3">
        <v>1528</v>
      </c>
      <c r="B1534" s="9">
        <f t="shared" si="93"/>
        <v>0.99641075784679267</v>
      </c>
      <c r="C1534" s="3">
        <f t="shared" si="94"/>
        <v>62332.467778621809</v>
      </c>
      <c r="D1534" s="3">
        <f t="shared" si="95"/>
        <v>0.40781063560280018</v>
      </c>
      <c r="E1534" s="8">
        <f t="shared" si="92"/>
        <v>218.28571428571428</v>
      </c>
    </row>
    <row r="1535" spans="1:5" ht="18.75" x14ac:dyDescent="0.3">
      <c r="A1535" s="3">
        <v>1529</v>
      </c>
      <c r="B1535" s="9">
        <f t="shared" si="93"/>
        <v>0.99641726200650793</v>
      </c>
      <c r="C1535" s="3">
        <f t="shared" si="94"/>
        <v>62332.87465934112</v>
      </c>
      <c r="D1535" s="3">
        <f t="shared" si="95"/>
        <v>0.40688071931072045</v>
      </c>
      <c r="E1535" s="8">
        <f t="shared" si="92"/>
        <v>218.42857142857142</v>
      </c>
    </row>
    <row r="1536" spans="1:5" ht="18.75" x14ac:dyDescent="0.3">
      <c r="A1536" s="3">
        <v>1530</v>
      </c>
      <c r="B1536" s="9">
        <f t="shared" si="93"/>
        <v>0.9964237513423263</v>
      </c>
      <c r="C1536" s="3">
        <f t="shared" si="94"/>
        <v>62333.280612721908</v>
      </c>
      <c r="D1536" s="3">
        <f t="shared" si="95"/>
        <v>0.40595338078856003</v>
      </c>
      <c r="E1536" s="8">
        <f t="shared" si="92"/>
        <v>218.57142857142858</v>
      </c>
    </row>
    <row r="1537" spans="1:5" ht="18.75" x14ac:dyDescent="0.3">
      <c r="A1537" s="3">
        <v>1531</v>
      </c>
      <c r="B1537" s="9">
        <f t="shared" si="93"/>
        <v>0.99643022589531915</v>
      </c>
      <c r="C1537" s="3">
        <f t="shared" si="94"/>
        <v>62333.685641333483</v>
      </c>
      <c r="D1537" s="3">
        <f t="shared" si="95"/>
        <v>0.40502861157438019</v>
      </c>
      <c r="E1537" s="8">
        <f t="shared" si="92"/>
        <v>218.71428571428572</v>
      </c>
    </row>
    <row r="1538" spans="1:5" ht="18.75" x14ac:dyDescent="0.3">
      <c r="A1538" s="3">
        <v>1532</v>
      </c>
      <c r="B1538" s="9">
        <f t="shared" si="93"/>
        <v>0.99643668570642341</v>
      </c>
      <c r="C1538" s="3">
        <f t="shared" si="94"/>
        <v>62334.089747736733</v>
      </c>
      <c r="D1538" s="3">
        <f t="shared" si="95"/>
        <v>0.40410640324989799</v>
      </c>
      <c r="E1538" s="8">
        <f t="shared" si="92"/>
        <v>218.85714285714286</v>
      </c>
    </row>
    <row r="1539" spans="1:5" ht="18.75" x14ac:dyDescent="0.3">
      <c r="A1539" s="3">
        <v>1533</v>
      </c>
      <c r="B1539" s="9">
        <f t="shared" si="93"/>
        <v>0.99644313081644142</v>
      </c>
      <c r="C1539" s="3">
        <f t="shared" si="94"/>
        <v>62334.492934484129</v>
      </c>
      <c r="D1539" s="3">
        <f t="shared" si="95"/>
        <v>0.40318674739683047</v>
      </c>
      <c r="E1539" s="8">
        <f t="shared" si="92"/>
        <v>219</v>
      </c>
    </row>
    <row r="1540" spans="1:5" ht="18.75" x14ac:dyDescent="0.3">
      <c r="A1540" s="3">
        <v>1534</v>
      </c>
      <c r="B1540" s="9">
        <f t="shared" si="93"/>
        <v>0.99644956126604212</v>
      </c>
      <c r="C1540" s="3">
        <f t="shared" si="94"/>
        <v>62334.895204119799</v>
      </c>
      <c r="D1540" s="3">
        <f t="shared" si="95"/>
        <v>0.40226963566965424</v>
      </c>
      <c r="E1540" s="8">
        <f t="shared" si="92"/>
        <v>219.14285714285714</v>
      </c>
    </row>
    <row r="1541" spans="1:5" ht="18.75" x14ac:dyDescent="0.3">
      <c r="A1541" s="3">
        <v>1535</v>
      </c>
      <c r="B1541" s="9">
        <f t="shared" si="93"/>
        <v>0.99645597709576106</v>
      </c>
      <c r="C1541" s="3">
        <f t="shared" si="94"/>
        <v>62335.296559179522</v>
      </c>
      <c r="D1541" s="3">
        <f t="shared" si="95"/>
        <v>0.40135505972284591</v>
      </c>
      <c r="E1541" s="8">
        <f t="shared" si="92"/>
        <v>219.28571428571428</v>
      </c>
    </row>
    <row r="1542" spans="1:5" ht="18.75" x14ac:dyDescent="0.3">
      <c r="A1542" s="3">
        <v>1536</v>
      </c>
      <c r="B1542" s="9">
        <f t="shared" si="93"/>
        <v>0.99646237834600115</v>
      </c>
      <c r="C1542" s="3">
        <f t="shared" si="94"/>
        <v>62335.697002190791</v>
      </c>
      <c r="D1542" s="3">
        <f t="shared" si="95"/>
        <v>0.40044301126908977</v>
      </c>
      <c r="E1542" s="8">
        <f t="shared" si="92"/>
        <v>219.42857142857142</v>
      </c>
    </row>
    <row r="1543" spans="1:5" ht="18.75" x14ac:dyDescent="0.3">
      <c r="A1543" s="3">
        <v>1537</v>
      </c>
      <c r="B1543" s="9">
        <f t="shared" si="93"/>
        <v>0.99646876505703286</v>
      </c>
      <c r="C1543" s="3">
        <f t="shared" si="94"/>
        <v>62336.096535672805</v>
      </c>
      <c r="D1543" s="3">
        <f t="shared" si="95"/>
        <v>0.39953348201379413</v>
      </c>
      <c r="E1543" s="8">
        <f t="shared" ref="E1543:E1606" si="96">A1543/7</f>
        <v>219.57142857142858</v>
      </c>
    </row>
    <row r="1544" spans="1:5" ht="18.75" x14ac:dyDescent="0.3">
      <c r="A1544" s="3">
        <v>1538</v>
      </c>
      <c r="B1544" s="9">
        <f t="shared" ref="B1544:B1607" si="97">LOGNORMDIST(A1544,$A$3,$B$3)</f>
        <v>0.99647513726899539</v>
      </c>
      <c r="C1544" s="3">
        <f t="shared" ref="C1544:C1607" si="98">$E$3*B1544</f>
        <v>62336.495162136547</v>
      </c>
      <c r="D1544" s="3">
        <f t="shared" ref="D1544:D1607" si="99">C1544-C1543</f>
        <v>0.39862646374240285</v>
      </c>
      <c r="E1544" s="8">
        <f t="shared" si="96"/>
        <v>219.71428571428572</v>
      </c>
    </row>
    <row r="1545" spans="1:5" ht="18.75" x14ac:dyDescent="0.3">
      <c r="A1545" s="3">
        <v>1539</v>
      </c>
      <c r="B1545" s="9">
        <f t="shared" si="97"/>
        <v>0.99648149502189642</v>
      </c>
      <c r="C1545" s="3">
        <f t="shared" si="98"/>
        <v>62336.892884084773</v>
      </c>
      <c r="D1545" s="3">
        <f t="shared" si="99"/>
        <v>0.39772194822580786</v>
      </c>
      <c r="E1545" s="8">
        <f t="shared" si="96"/>
        <v>219.85714285714286</v>
      </c>
    </row>
    <row r="1546" spans="1:5" ht="18.75" x14ac:dyDescent="0.3">
      <c r="A1546" s="3">
        <v>1540</v>
      </c>
      <c r="B1546" s="9">
        <f t="shared" si="97"/>
        <v>0.99648783835561305</v>
      </c>
      <c r="C1546" s="3">
        <f t="shared" si="98"/>
        <v>62337.289704012088</v>
      </c>
      <c r="D1546" s="3">
        <f t="shared" si="99"/>
        <v>0.39681992731493665</v>
      </c>
      <c r="E1546" s="8">
        <f t="shared" si="96"/>
        <v>220</v>
      </c>
    </row>
    <row r="1547" spans="1:5" ht="18.75" x14ac:dyDescent="0.3">
      <c r="A1547" s="3">
        <v>1541</v>
      </c>
      <c r="B1547" s="9">
        <f t="shared" si="97"/>
        <v>0.99649416730989204</v>
      </c>
      <c r="C1547" s="3">
        <f t="shared" si="98"/>
        <v>62337.68562440492</v>
      </c>
      <c r="D1547" s="3">
        <f t="shared" si="99"/>
        <v>0.39592039283161284</v>
      </c>
      <c r="E1547" s="8">
        <f t="shared" si="96"/>
        <v>220.14285714285714</v>
      </c>
    </row>
    <row r="1548" spans="1:5" ht="18.75" x14ac:dyDescent="0.3">
      <c r="A1548" s="3">
        <v>1542</v>
      </c>
      <c r="B1548" s="9">
        <f t="shared" si="97"/>
        <v>0.99650048192435059</v>
      </c>
      <c r="C1548" s="3">
        <f t="shared" si="98"/>
        <v>62338.080647741597</v>
      </c>
      <c r="D1548" s="3">
        <f t="shared" si="99"/>
        <v>0.39502333667769562</v>
      </c>
      <c r="E1548" s="8">
        <f t="shared" si="96"/>
        <v>220.28571428571428</v>
      </c>
    </row>
    <row r="1549" spans="1:5" ht="18.75" x14ac:dyDescent="0.3">
      <c r="A1549" s="3">
        <v>1543</v>
      </c>
      <c r="B1549" s="9">
        <f t="shared" si="97"/>
        <v>0.99650678223847655</v>
      </c>
      <c r="C1549" s="3">
        <f t="shared" si="98"/>
        <v>62338.474776492374</v>
      </c>
      <c r="D1549" s="3">
        <f t="shared" si="99"/>
        <v>0.39412875077687204</v>
      </c>
      <c r="E1549" s="8">
        <f t="shared" si="96"/>
        <v>220.42857142857142</v>
      </c>
    </row>
    <row r="1550" spans="1:5" ht="18.75" x14ac:dyDescent="0.3">
      <c r="A1550" s="3">
        <v>1544</v>
      </c>
      <c r="B1550" s="9">
        <f t="shared" si="97"/>
        <v>0.99651306829162922</v>
      </c>
      <c r="C1550" s="3">
        <f t="shared" si="98"/>
        <v>62338.868013119449</v>
      </c>
      <c r="D1550" s="3">
        <f t="shared" si="99"/>
        <v>0.39323662707465701</v>
      </c>
      <c r="E1550" s="8">
        <f t="shared" si="96"/>
        <v>220.57142857142858</v>
      </c>
    </row>
    <row r="1551" spans="1:5" ht="18.75" x14ac:dyDescent="0.3">
      <c r="A1551" s="3">
        <v>1545</v>
      </c>
      <c r="B1551" s="9">
        <f t="shared" si="97"/>
        <v>0.99651934012303933</v>
      </c>
      <c r="C1551" s="3">
        <f t="shared" si="98"/>
        <v>62339.260360076973</v>
      </c>
      <c r="D1551" s="3">
        <f t="shared" si="99"/>
        <v>0.39234695752384141</v>
      </c>
      <c r="E1551" s="8">
        <f t="shared" si="96"/>
        <v>220.71428571428572</v>
      </c>
    </row>
    <row r="1552" spans="1:5" ht="18.75" x14ac:dyDescent="0.3">
      <c r="A1552" s="3">
        <v>1546</v>
      </c>
      <c r="B1552" s="9">
        <f t="shared" si="97"/>
        <v>0.99652559777181027</v>
      </c>
      <c r="C1552" s="3">
        <f t="shared" si="98"/>
        <v>62339.651819811137</v>
      </c>
      <c r="D1552" s="3">
        <f t="shared" si="99"/>
        <v>0.39145973416452762</v>
      </c>
      <c r="E1552" s="8">
        <f t="shared" si="96"/>
        <v>220.85714285714286</v>
      </c>
    </row>
    <row r="1553" spans="1:5" ht="18.75" x14ac:dyDescent="0.3">
      <c r="A1553" s="3">
        <v>1547</v>
      </c>
      <c r="B1553" s="9">
        <f t="shared" si="97"/>
        <v>0.99653184127691774</v>
      </c>
      <c r="C1553" s="3">
        <f t="shared" si="98"/>
        <v>62340.042394760145</v>
      </c>
      <c r="D1553" s="3">
        <f t="shared" si="99"/>
        <v>0.39057494900771417</v>
      </c>
      <c r="E1553" s="8">
        <f t="shared" si="96"/>
        <v>221</v>
      </c>
    </row>
    <row r="1554" spans="1:5" ht="18.75" x14ac:dyDescent="0.3">
      <c r="A1554" s="3">
        <v>1548</v>
      </c>
      <c r="B1554" s="9">
        <f t="shared" si="97"/>
        <v>0.99653807067721079</v>
      </c>
      <c r="C1554" s="3">
        <f t="shared" si="98"/>
        <v>62340.432087354275</v>
      </c>
      <c r="D1554" s="3">
        <f t="shared" si="99"/>
        <v>0.38969259412988322</v>
      </c>
      <c r="E1554" s="8">
        <f t="shared" si="96"/>
        <v>221.14285714285714</v>
      </c>
    </row>
    <row r="1555" spans="1:5" ht="18.75" x14ac:dyDescent="0.3">
      <c r="A1555" s="3">
        <v>1549</v>
      </c>
      <c r="B1555" s="9">
        <f t="shared" si="97"/>
        <v>0.99654428601141232</v>
      </c>
      <c r="C1555" s="3">
        <f t="shared" si="98"/>
        <v>62340.820900015919</v>
      </c>
      <c r="D1555" s="3">
        <f t="shared" si="99"/>
        <v>0.38881266164389672</v>
      </c>
      <c r="E1555" s="8">
        <f t="shared" si="96"/>
        <v>221.28571428571428</v>
      </c>
    </row>
    <row r="1556" spans="1:5" ht="18.75" x14ac:dyDescent="0.3">
      <c r="A1556" s="3">
        <v>1550</v>
      </c>
      <c r="B1556" s="9">
        <f t="shared" si="97"/>
        <v>0.99655048731811902</v>
      </c>
      <c r="C1556" s="3">
        <f t="shared" si="98"/>
        <v>62341.208835159574</v>
      </c>
      <c r="D1556" s="3">
        <f t="shared" si="99"/>
        <v>0.38793514365534065</v>
      </c>
      <c r="E1556" s="8">
        <f t="shared" si="96"/>
        <v>221.42857142857142</v>
      </c>
    </row>
    <row r="1557" spans="1:5" ht="18.75" x14ac:dyDescent="0.3">
      <c r="A1557" s="3">
        <v>1551</v>
      </c>
      <c r="B1557" s="9">
        <f t="shared" si="97"/>
        <v>0.99655667463580255</v>
      </c>
      <c r="C1557" s="3">
        <f t="shared" si="98"/>
        <v>62341.595895191902</v>
      </c>
      <c r="D1557" s="3">
        <f t="shared" si="99"/>
        <v>0.38706003232800867</v>
      </c>
      <c r="E1557" s="8">
        <f t="shared" si="96"/>
        <v>221.57142857142858</v>
      </c>
    </row>
    <row r="1558" spans="1:5" ht="18.75" x14ac:dyDescent="0.3">
      <c r="A1558" s="3">
        <v>1552</v>
      </c>
      <c r="B1558" s="9">
        <f t="shared" si="97"/>
        <v>0.99656284800280959</v>
      </c>
      <c r="C1558" s="3">
        <f t="shared" si="98"/>
        <v>62341.982082511757</v>
      </c>
      <c r="D1558" s="3">
        <f t="shared" si="99"/>
        <v>0.38618731985479826</v>
      </c>
      <c r="E1558" s="8">
        <f t="shared" si="96"/>
        <v>221.71428571428572</v>
      </c>
    </row>
    <row r="1559" spans="1:5" ht="18.75" x14ac:dyDescent="0.3">
      <c r="A1559" s="3">
        <v>1553</v>
      </c>
      <c r="B1559" s="9">
        <f t="shared" si="97"/>
        <v>0.9965690074573621</v>
      </c>
      <c r="C1559" s="3">
        <f t="shared" si="98"/>
        <v>62342.3673995102</v>
      </c>
      <c r="D1559" s="3">
        <f t="shared" si="99"/>
        <v>0.38531699844315881</v>
      </c>
      <c r="E1559" s="8">
        <f t="shared" si="96"/>
        <v>221.85714285714286</v>
      </c>
    </row>
    <row r="1560" spans="1:5" ht="18.75" x14ac:dyDescent="0.3">
      <c r="A1560" s="3">
        <v>1554</v>
      </c>
      <c r="B1560" s="9">
        <f t="shared" si="97"/>
        <v>0.9965751530375585</v>
      </c>
      <c r="C1560" s="3">
        <f t="shared" si="98"/>
        <v>62342.751848570544</v>
      </c>
      <c r="D1560" s="3">
        <f t="shared" si="99"/>
        <v>0.38444906034419546</v>
      </c>
      <c r="E1560" s="8">
        <f t="shared" si="96"/>
        <v>222</v>
      </c>
    </row>
    <row r="1561" spans="1:5" ht="18.75" x14ac:dyDescent="0.3">
      <c r="A1561" s="3">
        <v>1555</v>
      </c>
      <c r="B1561" s="9">
        <f t="shared" si="97"/>
        <v>0.99658128478137353</v>
      </c>
      <c r="C1561" s="3">
        <f t="shared" si="98"/>
        <v>62343.135432068382</v>
      </c>
      <c r="D1561" s="3">
        <f t="shared" si="99"/>
        <v>0.38358349783811718</v>
      </c>
      <c r="E1561" s="8">
        <f t="shared" si="96"/>
        <v>222.14285714285714</v>
      </c>
    </row>
    <row r="1562" spans="1:5" ht="18.75" x14ac:dyDescent="0.3">
      <c r="A1562" s="3">
        <v>1556</v>
      </c>
      <c r="B1562" s="9">
        <f t="shared" si="97"/>
        <v>0.99658740272665869</v>
      </c>
      <c r="C1562" s="3">
        <f t="shared" si="98"/>
        <v>62343.518152371587</v>
      </c>
      <c r="D1562" s="3">
        <f t="shared" si="99"/>
        <v>0.38272030320513295</v>
      </c>
      <c r="E1562" s="8">
        <f t="shared" si="96"/>
        <v>222.28571428571428</v>
      </c>
    </row>
    <row r="1563" spans="1:5" ht="18.75" x14ac:dyDescent="0.3">
      <c r="A1563" s="3">
        <v>1557</v>
      </c>
      <c r="B1563" s="9">
        <f t="shared" si="97"/>
        <v>0.99659350691114335</v>
      </c>
      <c r="C1563" s="3">
        <f t="shared" si="98"/>
        <v>62343.900011840393</v>
      </c>
      <c r="D1563" s="3">
        <f t="shared" si="99"/>
        <v>0.38185946880548727</v>
      </c>
      <c r="E1563" s="8">
        <f t="shared" si="96"/>
        <v>222.42857142857142</v>
      </c>
    </row>
    <row r="1564" spans="1:5" ht="18.75" x14ac:dyDescent="0.3">
      <c r="A1564" s="3">
        <v>1558</v>
      </c>
      <c r="B1564" s="9">
        <f t="shared" si="97"/>
        <v>0.99659959737243431</v>
      </c>
      <c r="C1564" s="3">
        <f t="shared" si="98"/>
        <v>62344.28101282737</v>
      </c>
      <c r="D1564" s="3">
        <f t="shared" si="99"/>
        <v>0.38100098697759677</v>
      </c>
      <c r="E1564" s="8">
        <f t="shared" si="96"/>
        <v>222.57142857142858</v>
      </c>
    </row>
    <row r="1565" spans="1:5" ht="18.75" x14ac:dyDescent="0.3">
      <c r="A1565" s="3">
        <v>1559</v>
      </c>
      <c r="B1565" s="9">
        <f t="shared" si="97"/>
        <v>0.99660567414801704</v>
      </c>
      <c r="C1565" s="3">
        <f t="shared" si="98"/>
        <v>62344.661157677503</v>
      </c>
      <c r="D1565" s="3">
        <f t="shared" si="99"/>
        <v>0.38014485013263766</v>
      </c>
      <c r="E1565" s="8">
        <f t="shared" si="96"/>
        <v>222.71428571428572</v>
      </c>
    </row>
    <row r="1566" spans="1:5" ht="18.75" x14ac:dyDescent="0.3">
      <c r="A1566" s="3">
        <v>1560</v>
      </c>
      <c r="B1566" s="9">
        <f t="shared" si="97"/>
        <v>0.99661173727525576</v>
      </c>
      <c r="C1566" s="3">
        <f t="shared" si="98"/>
        <v>62345.040448728178</v>
      </c>
      <c r="D1566" s="3">
        <f t="shared" si="99"/>
        <v>0.37929105067451019</v>
      </c>
      <c r="E1566" s="8">
        <f t="shared" si="96"/>
        <v>222.85714285714286</v>
      </c>
    </row>
    <row r="1567" spans="1:5" ht="18.75" x14ac:dyDescent="0.3">
      <c r="A1567" s="3">
        <v>1561</v>
      </c>
      <c r="B1567" s="9">
        <f t="shared" si="97"/>
        <v>0.99661778679139379</v>
      </c>
      <c r="C1567" s="3">
        <f t="shared" si="98"/>
        <v>62345.418888309221</v>
      </c>
      <c r="D1567" s="3">
        <f t="shared" si="99"/>
        <v>0.3784395810434944</v>
      </c>
      <c r="E1567" s="8">
        <f t="shared" si="96"/>
        <v>223</v>
      </c>
    </row>
    <row r="1568" spans="1:5" ht="18.75" x14ac:dyDescent="0.3">
      <c r="A1568" s="3">
        <v>1562</v>
      </c>
      <c r="B1568" s="9">
        <f t="shared" si="97"/>
        <v>0.99662382273355432</v>
      </c>
      <c r="C1568" s="3">
        <f t="shared" si="98"/>
        <v>62345.796478742959</v>
      </c>
      <c r="D1568" s="3">
        <f t="shared" si="99"/>
        <v>0.37759043373807799</v>
      </c>
      <c r="E1568" s="8">
        <f t="shared" si="96"/>
        <v>223.14285714285714</v>
      </c>
    </row>
    <row r="1569" spans="1:5" ht="18.75" x14ac:dyDescent="0.3">
      <c r="A1569" s="3">
        <v>1563</v>
      </c>
      <c r="B1569" s="9">
        <f t="shared" si="97"/>
        <v>0.99662984513874064</v>
      </c>
      <c r="C1569" s="3">
        <f t="shared" si="98"/>
        <v>62346.173222344201</v>
      </c>
      <c r="D1569" s="3">
        <f t="shared" si="99"/>
        <v>0.37674360124219675</v>
      </c>
      <c r="E1569" s="8">
        <f t="shared" si="96"/>
        <v>223.28571428571428</v>
      </c>
    </row>
    <row r="1570" spans="1:5" ht="18.75" x14ac:dyDescent="0.3">
      <c r="A1570" s="3">
        <v>1564</v>
      </c>
      <c r="B1570" s="9">
        <f t="shared" si="97"/>
        <v>0.9966358540438367</v>
      </c>
      <c r="C1570" s="3">
        <f t="shared" si="98"/>
        <v>62346.549121420292</v>
      </c>
      <c r="D1570" s="3">
        <f t="shared" si="99"/>
        <v>0.37589907609071815</v>
      </c>
      <c r="E1570" s="8">
        <f t="shared" si="96"/>
        <v>223.42857142857142</v>
      </c>
    </row>
    <row r="1571" spans="1:5" ht="18.75" x14ac:dyDescent="0.3">
      <c r="A1571" s="3">
        <v>1565</v>
      </c>
      <c r="B1571" s="9">
        <f t="shared" si="97"/>
        <v>0.9966418494856073</v>
      </c>
      <c r="C1571" s="3">
        <f t="shared" si="98"/>
        <v>62346.924178271132</v>
      </c>
      <c r="D1571" s="3">
        <f t="shared" si="99"/>
        <v>0.37505685084033757</v>
      </c>
      <c r="E1571" s="8">
        <f t="shared" si="96"/>
        <v>223.57142857142858</v>
      </c>
    </row>
    <row r="1572" spans="1:5" ht="18.75" x14ac:dyDescent="0.3">
      <c r="A1572" s="3">
        <v>1566</v>
      </c>
      <c r="B1572" s="9">
        <f t="shared" si="97"/>
        <v>0.99664783150069913</v>
      </c>
      <c r="C1572" s="3">
        <f t="shared" si="98"/>
        <v>62347.298395189238</v>
      </c>
      <c r="D1572" s="3">
        <f t="shared" si="99"/>
        <v>0.37421691810595803</v>
      </c>
      <c r="E1572" s="8">
        <f t="shared" si="96"/>
        <v>223.71428571428572</v>
      </c>
    </row>
    <row r="1573" spans="1:5" ht="18.75" x14ac:dyDescent="0.3">
      <c r="A1573" s="3">
        <v>1567</v>
      </c>
      <c r="B1573" s="9">
        <f t="shared" si="97"/>
        <v>0.99665380012564053</v>
      </c>
      <c r="C1573" s="3">
        <f t="shared" si="98"/>
        <v>62347.671774459697</v>
      </c>
      <c r="D1573" s="3">
        <f t="shared" si="99"/>
        <v>0.3733792704588268</v>
      </c>
      <c r="E1573" s="8">
        <f t="shared" si="96"/>
        <v>223.85714285714286</v>
      </c>
    </row>
    <row r="1574" spans="1:5" ht="18.75" x14ac:dyDescent="0.3">
      <c r="A1574" s="3">
        <v>1568</v>
      </c>
      <c r="B1574" s="9">
        <f t="shared" si="97"/>
        <v>0.99665975539684215</v>
      </c>
      <c r="C1574" s="3">
        <f t="shared" si="98"/>
        <v>62348.044318360255</v>
      </c>
      <c r="D1574" s="3">
        <f t="shared" si="99"/>
        <v>0.37254390055750264</v>
      </c>
      <c r="E1574" s="8">
        <f t="shared" si="96"/>
        <v>224</v>
      </c>
    </row>
    <row r="1575" spans="1:5" ht="18.75" x14ac:dyDescent="0.3">
      <c r="A1575" s="3">
        <v>1569</v>
      </c>
      <c r="B1575" s="9">
        <f t="shared" si="97"/>
        <v>0.99666569735059785</v>
      </c>
      <c r="C1575" s="3">
        <f t="shared" si="98"/>
        <v>62348.416029161352</v>
      </c>
      <c r="D1575" s="3">
        <f t="shared" si="99"/>
        <v>0.37171080109692411</v>
      </c>
      <c r="E1575" s="8">
        <f t="shared" si="96"/>
        <v>224.14285714285714</v>
      </c>
    </row>
    <row r="1576" spans="1:5" ht="18.75" x14ac:dyDescent="0.3">
      <c r="A1576" s="3">
        <v>1570</v>
      </c>
      <c r="B1576" s="9">
        <f t="shared" si="97"/>
        <v>0.99667162602308423</v>
      </c>
      <c r="C1576" s="3">
        <f t="shared" si="98"/>
        <v>62348.78690912608</v>
      </c>
      <c r="D1576" s="3">
        <f t="shared" si="99"/>
        <v>0.37087996472837403</v>
      </c>
      <c r="E1576" s="8">
        <f t="shared" si="96"/>
        <v>224.28571428571428</v>
      </c>
    </row>
    <row r="1577" spans="1:5" ht="18.75" x14ac:dyDescent="0.3">
      <c r="A1577" s="3">
        <v>1571</v>
      </c>
      <c r="B1577" s="9">
        <f t="shared" si="97"/>
        <v>0.99667754145036214</v>
      </c>
      <c r="C1577" s="3">
        <f t="shared" si="98"/>
        <v>62349.156960510307</v>
      </c>
      <c r="D1577" s="3">
        <f t="shared" si="99"/>
        <v>0.37005138422682649</v>
      </c>
      <c r="E1577" s="8">
        <f t="shared" si="96"/>
        <v>224.42857142857142</v>
      </c>
    </row>
    <row r="1578" spans="1:5" ht="18.75" x14ac:dyDescent="0.3">
      <c r="A1578" s="3">
        <v>1572</v>
      </c>
      <c r="B1578" s="9">
        <f t="shared" si="97"/>
        <v>0.99668344366837625</v>
      </c>
      <c r="C1578" s="3">
        <f t="shared" si="98"/>
        <v>62349.526185562616</v>
      </c>
      <c r="D1578" s="3">
        <f t="shared" si="99"/>
        <v>0.3692250523090479</v>
      </c>
      <c r="E1578" s="8">
        <f t="shared" si="96"/>
        <v>224.57142857142858</v>
      </c>
    </row>
    <row r="1579" spans="1:5" ht="18.75" x14ac:dyDescent="0.3">
      <c r="A1579" s="3">
        <v>1573</v>
      </c>
      <c r="B1579" s="9">
        <f t="shared" si="97"/>
        <v>0.99668933271295557</v>
      </c>
      <c r="C1579" s="3">
        <f t="shared" si="98"/>
        <v>62349.894586524359</v>
      </c>
      <c r="D1579" s="3">
        <f t="shared" si="99"/>
        <v>0.3684009617427364</v>
      </c>
      <c r="E1579" s="8">
        <f t="shared" si="96"/>
        <v>224.71428571428572</v>
      </c>
    </row>
    <row r="1580" spans="1:5" ht="18.75" x14ac:dyDescent="0.3">
      <c r="A1580" s="3">
        <v>1574</v>
      </c>
      <c r="B1580" s="9">
        <f t="shared" si="97"/>
        <v>0.99669520861981464</v>
      </c>
      <c r="C1580" s="3">
        <f t="shared" si="98"/>
        <v>62350.262165629742</v>
      </c>
      <c r="D1580" s="3">
        <f t="shared" si="99"/>
        <v>0.36757910538290162</v>
      </c>
      <c r="E1580" s="8">
        <f t="shared" si="96"/>
        <v>224.85714285714286</v>
      </c>
    </row>
    <row r="1581" spans="1:5" ht="18.75" x14ac:dyDescent="0.3">
      <c r="A1581" s="3">
        <v>1575</v>
      </c>
      <c r="B1581" s="9">
        <f t="shared" si="97"/>
        <v>0.99670107142455311</v>
      </c>
      <c r="C1581" s="3">
        <f t="shared" si="98"/>
        <v>62350.628925105768</v>
      </c>
      <c r="D1581" s="3">
        <f t="shared" si="99"/>
        <v>0.36675947602634551</v>
      </c>
      <c r="E1581" s="8">
        <f t="shared" si="96"/>
        <v>225</v>
      </c>
    </row>
    <row r="1582" spans="1:5" ht="18.75" x14ac:dyDescent="0.3">
      <c r="A1582" s="3">
        <v>1576</v>
      </c>
      <c r="B1582" s="9">
        <f t="shared" si="97"/>
        <v>0.99670692116265636</v>
      </c>
      <c r="C1582" s="3">
        <f t="shared" si="98"/>
        <v>62350.994867172296</v>
      </c>
      <c r="D1582" s="3">
        <f t="shared" si="99"/>
        <v>0.3659420665280777</v>
      </c>
      <c r="E1582" s="8">
        <f t="shared" si="96"/>
        <v>225.14285714285714</v>
      </c>
    </row>
    <row r="1583" spans="1:5" ht="18.75" x14ac:dyDescent="0.3">
      <c r="A1583" s="3">
        <v>1577</v>
      </c>
      <c r="B1583" s="9">
        <f t="shared" si="97"/>
        <v>0.99671275786949631</v>
      </c>
      <c r="C1583" s="3">
        <f t="shared" si="98"/>
        <v>62351.359994042083</v>
      </c>
      <c r="D1583" s="3">
        <f t="shared" si="99"/>
        <v>0.36512686978676356</v>
      </c>
      <c r="E1583" s="8">
        <f t="shared" si="96"/>
        <v>225.28571428571428</v>
      </c>
    </row>
    <row r="1584" spans="1:5" ht="18.75" x14ac:dyDescent="0.3">
      <c r="A1584" s="3">
        <v>1578</v>
      </c>
      <c r="B1584" s="9">
        <f t="shared" si="97"/>
        <v>0.99671858158033144</v>
      </c>
      <c r="C1584" s="3">
        <f t="shared" si="98"/>
        <v>62351.724307920791</v>
      </c>
      <c r="D1584" s="3">
        <f t="shared" si="99"/>
        <v>0.36431387870834442</v>
      </c>
      <c r="E1584" s="8">
        <f t="shared" si="96"/>
        <v>225.42857142857142</v>
      </c>
    </row>
    <row r="1585" spans="1:5" ht="18.75" x14ac:dyDescent="0.3">
      <c r="A1585" s="3">
        <v>1579</v>
      </c>
      <c r="B1585" s="9">
        <f t="shared" si="97"/>
        <v>0.9967243923303073</v>
      </c>
      <c r="C1585" s="3">
        <f t="shared" si="98"/>
        <v>62352.087811007033</v>
      </c>
      <c r="D1585" s="3">
        <f t="shared" si="99"/>
        <v>0.36350308624241734</v>
      </c>
      <c r="E1585" s="8">
        <f t="shared" si="96"/>
        <v>225.57142857142858</v>
      </c>
    </row>
    <row r="1586" spans="1:5" ht="18.75" x14ac:dyDescent="0.3">
      <c r="A1586" s="3">
        <v>1580</v>
      </c>
      <c r="B1586" s="9">
        <f t="shared" si="97"/>
        <v>0.99673019015445719</v>
      </c>
      <c r="C1586" s="3">
        <f t="shared" si="98"/>
        <v>62352.450505492379</v>
      </c>
      <c r="D1586" s="3">
        <f t="shared" si="99"/>
        <v>0.36269448534585536</v>
      </c>
      <c r="E1586" s="8">
        <f t="shared" si="96"/>
        <v>225.71428571428572</v>
      </c>
    </row>
    <row r="1587" spans="1:5" ht="18.75" x14ac:dyDescent="0.3">
      <c r="A1587" s="3">
        <v>1581</v>
      </c>
      <c r="B1587" s="9">
        <f t="shared" si="97"/>
        <v>0.99673597508770195</v>
      </c>
      <c r="C1587" s="3">
        <f t="shared" si="98"/>
        <v>62352.812393561369</v>
      </c>
      <c r="D1587" s="3">
        <f t="shared" si="99"/>
        <v>0.36188806899008341</v>
      </c>
      <c r="E1587" s="8">
        <f t="shared" si="96"/>
        <v>225.85714285714286</v>
      </c>
    </row>
    <row r="1588" spans="1:5" ht="18.75" x14ac:dyDescent="0.3">
      <c r="A1588" s="3">
        <v>1582</v>
      </c>
      <c r="B1588" s="9">
        <f t="shared" si="97"/>
        <v>0.99674174716485109</v>
      </c>
      <c r="C1588" s="3">
        <f t="shared" si="98"/>
        <v>62353.173477391589</v>
      </c>
      <c r="D1588" s="3">
        <f t="shared" si="99"/>
        <v>0.36108383021928603</v>
      </c>
      <c r="E1588" s="8">
        <f t="shared" si="96"/>
        <v>226</v>
      </c>
    </row>
    <row r="1589" spans="1:5" ht="18.75" x14ac:dyDescent="0.3">
      <c r="A1589" s="3">
        <v>1583</v>
      </c>
      <c r="B1589" s="9">
        <f t="shared" si="97"/>
        <v>0.99674750642060306</v>
      </c>
      <c r="C1589" s="3">
        <f t="shared" si="98"/>
        <v>62353.533759153666</v>
      </c>
      <c r="D1589" s="3">
        <f t="shared" si="99"/>
        <v>0.36028176207764773</v>
      </c>
      <c r="E1589" s="8">
        <f t="shared" si="96"/>
        <v>226.14285714285714</v>
      </c>
    </row>
    <row r="1590" spans="1:5" ht="18.75" x14ac:dyDescent="0.3">
      <c r="A1590" s="3">
        <v>1584</v>
      </c>
      <c r="B1590" s="9">
        <f t="shared" si="97"/>
        <v>0.99675325288954497</v>
      </c>
      <c r="C1590" s="3">
        <f t="shared" si="98"/>
        <v>62353.893241011268</v>
      </c>
      <c r="D1590" s="3">
        <f t="shared" si="99"/>
        <v>0.35948185760207707</v>
      </c>
      <c r="E1590" s="8">
        <f t="shared" si="96"/>
        <v>226.28571428571428</v>
      </c>
    </row>
    <row r="1591" spans="1:5" ht="18.75" x14ac:dyDescent="0.3">
      <c r="A1591" s="3">
        <v>1585</v>
      </c>
      <c r="B1591" s="9">
        <f t="shared" si="97"/>
        <v>0.99675898660615414</v>
      </c>
      <c r="C1591" s="3">
        <f t="shared" si="98"/>
        <v>62354.251925121185</v>
      </c>
      <c r="D1591" s="3">
        <f t="shared" si="99"/>
        <v>0.35868410991679411</v>
      </c>
      <c r="E1591" s="8">
        <f t="shared" si="96"/>
        <v>226.42857142857142</v>
      </c>
    </row>
    <row r="1592" spans="1:5" ht="18.75" x14ac:dyDescent="0.3">
      <c r="A1592" s="3">
        <v>1586</v>
      </c>
      <c r="B1592" s="9">
        <f t="shared" si="97"/>
        <v>0.9967647076047973</v>
      </c>
      <c r="C1592" s="3">
        <f t="shared" si="98"/>
        <v>62354.609813633302</v>
      </c>
      <c r="D1592" s="3">
        <f t="shared" si="99"/>
        <v>0.35788851211691508</v>
      </c>
      <c r="E1592" s="8">
        <f t="shared" si="96"/>
        <v>226.57142857142858</v>
      </c>
    </row>
    <row r="1593" spans="1:5" ht="18.75" x14ac:dyDescent="0.3">
      <c r="A1593" s="3">
        <v>1587</v>
      </c>
      <c r="B1593" s="9">
        <f t="shared" si="97"/>
        <v>0.99677041591973214</v>
      </c>
      <c r="C1593" s="3">
        <f t="shared" si="98"/>
        <v>62354.966908690687</v>
      </c>
      <c r="D1593" s="3">
        <f t="shared" si="99"/>
        <v>0.35709505738486769</v>
      </c>
      <c r="E1593" s="8">
        <f t="shared" si="96"/>
        <v>226.71428571428572</v>
      </c>
    </row>
    <row r="1594" spans="1:5" ht="18.75" x14ac:dyDescent="0.3">
      <c r="A1594" s="3">
        <v>1588</v>
      </c>
      <c r="B1594" s="9">
        <f t="shared" si="97"/>
        <v>0.99677611158510693</v>
      </c>
      <c r="C1594" s="3">
        <f t="shared" si="98"/>
        <v>62355.323212429532</v>
      </c>
      <c r="D1594" s="3">
        <f t="shared" si="99"/>
        <v>0.35630373884487199</v>
      </c>
      <c r="E1594" s="8">
        <f t="shared" si="96"/>
        <v>226.85714285714286</v>
      </c>
    </row>
    <row r="1595" spans="1:5" ht="18.75" x14ac:dyDescent="0.3">
      <c r="A1595" s="3">
        <v>1589</v>
      </c>
      <c r="B1595" s="9">
        <f t="shared" si="97"/>
        <v>0.99678179463496097</v>
      </c>
      <c r="C1595" s="3">
        <f t="shared" si="98"/>
        <v>62355.678726979255</v>
      </c>
      <c r="D1595" s="3">
        <f t="shared" si="99"/>
        <v>0.35551454972301144</v>
      </c>
      <c r="E1595" s="8">
        <f t="shared" si="96"/>
        <v>227</v>
      </c>
    </row>
    <row r="1596" spans="1:5" ht="18.75" x14ac:dyDescent="0.3">
      <c r="A1596" s="3">
        <v>1590</v>
      </c>
      <c r="B1596" s="9">
        <f t="shared" si="97"/>
        <v>0.99678746510322558</v>
      </c>
      <c r="C1596" s="3">
        <f t="shared" si="98"/>
        <v>62356.033454462486</v>
      </c>
      <c r="D1596" s="3">
        <f t="shared" si="99"/>
        <v>0.3547274832308176</v>
      </c>
      <c r="E1596" s="8">
        <f t="shared" si="96"/>
        <v>227.14285714285714</v>
      </c>
    </row>
    <row r="1597" spans="1:5" ht="18.75" x14ac:dyDescent="0.3">
      <c r="A1597" s="3">
        <v>1591</v>
      </c>
      <c r="B1597" s="9">
        <f t="shared" si="97"/>
        <v>0.9967931230237238</v>
      </c>
      <c r="C1597" s="3">
        <f t="shared" si="98"/>
        <v>62356.387396995087</v>
      </c>
      <c r="D1597" s="3">
        <f t="shared" si="99"/>
        <v>0.35394253260164987</v>
      </c>
      <c r="E1597" s="8">
        <f t="shared" si="96"/>
        <v>227.28571428571428</v>
      </c>
    </row>
    <row r="1598" spans="1:5" ht="18.75" x14ac:dyDescent="0.3">
      <c r="A1598" s="3">
        <v>1592</v>
      </c>
      <c r="B1598" s="9">
        <f t="shared" si="97"/>
        <v>0.99679876843017112</v>
      </c>
      <c r="C1598" s="3">
        <f t="shared" si="98"/>
        <v>62356.740556686214</v>
      </c>
      <c r="D1598" s="3">
        <f t="shared" si="99"/>
        <v>0.35315969112707535</v>
      </c>
      <c r="E1598" s="8">
        <f t="shared" si="96"/>
        <v>227.42857142857142</v>
      </c>
    </row>
    <row r="1599" spans="1:5" ht="18.75" x14ac:dyDescent="0.3">
      <c r="A1599" s="3">
        <v>1593</v>
      </c>
      <c r="B1599" s="9">
        <f t="shared" si="97"/>
        <v>0.99680440135617621</v>
      </c>
      <c r="C1599" s="3">
        <f t="shared" si="98"/>
        <v>62357.092935638313</v>
      </c>
      <c r="D1599" s="3">
        <f t="shared" si="99"/>
        <v>0.3523789520986611</v>
      </c>
      <c r="E1599" s="8">
        <f t="shared" si="96"/>
        <v>227.57142857142858</v>
      </c>
    </row>
    <row r="1600" spans="1:5" ht="18.75" x14ac:dyDescent="0.3">
      <c r="A1600" s="3">
        <v>1594</v>
      </c>
      <c r="B1600" s="9">
        <f t="shared" si="97"/>
        <v>0.99681002183524037</v>
      </c>
      <c r="C1600" s="3">
        <f t="shared" si="98"/>
        <v>62357.444535947128</v>
      </c>
      <c r="D1600" s="3">
        <f t="shared" si="99"/>
        <v>0.35160030881525017</v>
      </c>
      <c r="E1600" s="8">
        <f t="shared" si="96"/>
        <v>227.71428571428572</v>
      </c>
    </row>
    <row r="1601" spans="1:5" ht="18.75" x14ac:dyDescent="0.3">
      <c r="A1601" s="3">
        <v>1595</v>
      </c>
      <c r="B1601" s="9">
        <f t="shared" si="97"/>
        <v>0.996815629900759</v>
      </c>
      <c r="C1601" s="3">
        <f t="shared" si="98"/>
        <v>62357.795359701784</v>
      </c>
      <c r="D1601" s="3">
        <f t="shared" si="99"/>
        <v>0.35082375465572113</v>
      </c>
      <c r="E1601" s="8">
        <f t="shared" si="96"/>
        <v>227.85714285714286</v>
      </c>
    </row>
    <row r="1602" spans="1:5" ht="18.75" x14ac:dyDescent="0.3">
      <c r="A1602" s="3">
        <v>1596</v>
      </c>
      <c r="B1602" s="9">
        <f t="shared" si="97"/>
        <v>0.99682122558602138</v>
      </c>
      <c r="C1602" s="3">
        <f t="shared" si="98"/>
        <v>62358.145408984739</v>
      </c>
      <c r="D1602" s="3">
        <f t="shared" si="99"/>
        <v>0.3500492829552968</v>
      </c>
      <c r="E1602" s="8">
        <f t="shared" si="96"/>
        <v>228</v>
      </c>
    </row>
    <row r="1603" spans="1:5" ht="18.75" x14ac:dyDescent="0.3">
      <c r="A1603" s="3">
        <v>1597</v>
      </c>
      <c r="B1603" s="9">
        <f t="shared" si="97"/>
        <v>0.99682680892421083</v>
      </c>
      <c r="C1603" s="3">
        <f t="shared" si="98"/>
        <v>62358.494685871854</v>
      </c>
      <c r="D1603" s="3">
        <f t="shared" si="99"/>
        <v>0.34927688711468363</v>
      </c>
      <c r="E1603" s="8">
        <f t="shared" si="96"/>
        <v>228.14285714285714</v>
      </c>
    </row>
    <row r="1604" spans="1:5" ht="18.75" x14ac:dyDescent="0.3">
      <c r="A1604" s="3">
        <v>1598</v>
      </c>
      <c r="B1604" s="9">
        <f t="shared" si="97"/>
        <v>0.99683237994840601</v>
      </c>
      <c r="C1604" s="3">
        <f t="shared" si="98"/>
        <v>62358.843192432432</v>
      </c>
      <c r="D1604" s="3">
        <f t="shared" si="99"/>
        <v>0.34850656057824381</v>
      </c>
      <c r="E1604" s="8">
        <f t="shared" si="96"/>
        <v>228.28571428571428</v>
      </c>
    </row>
    <row r="1605" spans="1:5" ht="18.75" x14ac:dyDescent="0.3">
      <c r="A1605" s="3">
        <v>1599</v>
      </c>
      <c r="B1605" s="9">
        <f t="shared" si="97"/>
        <v>0.99683793869158044</v>
      </c>
      <c r="C1605" s="3">
        <f t="shared" si="98"/>
        <v>62359.190930729201</v>
      </c>
      <c r="D1605" s="3">
        <f t="shared" si="99"/>
        <v>0.34773829676851165</v>
      </c>
      <c r="E1605" s="8">
        <f t="shared" si="96"/>
        <v>228.42857142857142</v>
      </c>
    </row>
    <row r="1606" spans="1:5" ht="18.75" x14ac:dyDescent="0.3">
      <c r="A1606" s="3">
        <v>1600</v>
      </c>
      <c r="B1606" s="9">
        <f t="shared" si="97"/>
        <v>0.99684348518660315</v>
      </c>
      <c r="C1606" s="3">
        <f t="shared" si="98"/>
        <v>62359.537902818331</v>
      </c>
      <c r="D1606" s="3">
        <f t="shared" si="99"/>
        <v>0.34697208912984934</v>
      </c>
      <c r="E1606" s="8">
        <f t="shared" si="96"/>
        <v>228.57142857142858</v>
      </c>
    </row>
    <row r="1607" spans="1:5" ht="18.75" x14ac:dyDescent="0.3">
      <c r="A1607" s="3">
        <v>1601</v>
      </c>
      <c r="B1607" s="9">
        <f t="shared" si="97"/>
        <v>0.99684901946623916</v>
      </c>
      <c r="C1607" s="3">
        <f t="shared" si="98"/>
        <v>62359.884110749525</v>
      </c>
      <c r="D1607" s="3">
        <f t="shared" si="99"/>
        <v>0.34620793119393056</v>
      </c>
      <c r="E1607" s="8">
        <f t="shared" ref="E1607:E1670" si="100">A1607/7</f>
        <v>228.71428571428572</v>
      </c>
    </row>
    <row r="1608" spans="1:5" ht="18.75" x14ac:dyDescent="0.3">
      <c r="A1608" s="3">
        <v>1602</v>
      </c>
      <c r="B1608" s="9">
        <f t="shared" ref="B1608:B1671" si="101">LOGNORMDIST(A1608,$A$3,$B$3)</f>
        <v>0.9968545415631499</v>
      </c>
      <c r="C1608" s="3">
        <f t="shared" ref="C1608:C1671" si="102">$E$3*B1608</f>
        <v>62360.229556565966</v>
      </c>
      <c r="D1608" s="3">
        <f t="shared" ref="D1608:D1671" si="103">C1608-C1607</f>
        <v>0.3454458164414973</v>
      </c>
      <c r="E1608" s="8">
        <f t="shared" si="100"/>
        <v>228.85714285714286</v>
      </c>
    </row>
    <row r="1609" spans="1:5" ht="18.75" x14ac:dyDescent="0.3">
      <c r="A1609" s="3">
        <v>1603</v>
      </c>
      <c r="B1609" s="9">
        <f t="shared" si="101"/>
        <v>0.99686005150989332</v>
      </c>
      <c r="C1609" s="3">
        <f t="shared" si="102"/>
        <v>62360.574242304399</v>
      </c>
      <c r="D1609" s="3">
        <f t="shared" si="103"/>
        <v>0.34468573843332706</v>
      </c>
      <c r="E1609" s="8">
        <f t="shared" si="100"/>
        <v>229</v>
      </c>
    </row>
    <row r="1610" spans="1:5" ht="18.75" x14ac:dyDescent="0.3">
      <c r="A1610" s="3">
        <v>1604</v>
      </c>
      <c r="B1610" s="9">
        <f t="shared" si="101"/>
        <v>0.99686554933892468</v>
      </c>
      <c r="C1610" s="3">
        <f t="shared" si="102"/>
        <v>62360.918169995115</v>
      </c>
      <c r="D1610" s="3">
        <f t="shared" si="103"/>
        <v>0.34392769071564544</v>
      </c>
      <c r="E1610" s="8">
        <f t="shared" si="100"/>
        <v>229.14285714285714</v>
      </c>
    </row>
    <row r="1611" spans="1:5" ht="18.75" x14ac:dyDescent="0.3">
      <c r="A1611" s="3">
        <v>1605</v>
      </c>
      <c r="B1611" s="9">
        <f t="shared" si="101"/>
        <v>0.99687103508259656</v>
      </c>
      <c r="C1611" s="3">
        <f t="shared" si="102"/>
        <v>62361.261341661993</v>
      </c>
      <c r="D1611" s="3">
        <f t="shared" si="103"/>
        <v>0.34317166687833378</v>
      </c>
      <c r="E1611" s="8">
        <f t="shared" si="100"/>
        <v>229.28571428571428</v>
      </c>
    </row>
    <row r="1612" spans="1:5" ht="18.75" x14ac:dyDescent="0.3">
      <c r="A1612" s="3">
        <v>1606</v>
      </c>
      <c r="B1612" s="9">
        <f t="shared" si="101"/>
        <v>0.99687650877315914</v>
      </c>
      <c r="C1612" s="3">
        <f t="shared" si="102"/>
        <v>62361.603759322519</v>
      </c>
      <c r="D1612" s="3">
        <f t="shared" si="103"/>
        <v>0.34241766052582534</v>
      </c>
      <c r="E1612" s="8">
        <f t="shared" si="100"/>
        <v>229.42857142857142</v>
      </c>
    </row>
    <row r="1613" spans="1:5" ht="18.75" x14ac:dyDescent="0.3">
      <c r="A1613" s="3">
        <v>1607</v>
      </c>
      <c r="B1613" s="9">
        <f t="shared" si="101"/>
        <v>0.99688197044276139</v>
      </c>
      <c r="C1613" s="3">
        <f t="shared" si="102"/>
        <v>62361.945424987825</v>
      </c>
      <c r="D1613" s="3">
        <f t="shared" si="103"/>
        <v>0.34166566530620912</v>
      </c>
      <c r="E1613" s="8">
        <f t="shared" si="100"/>
        <v>229.57142857142858</v>
      </c>
    </row>
    <row r="1614" spans="1:5" ht="18.75" x14ac:dyDescent="0.3">
      <c r="A1614" s="3">
        <v>1608</v>
      </c>
      <c r="B1614" s="9">
        <f t="shared" si="101"/>
        <v>0.99688742012345011</v>
      </c>
      <c r="C1614" s="3">
        <f t="shared" si="102"/>
        <v>62362.286340662671</v>
      </c>
      <c r="D1614" s="3">
        <f t="shared" si="103"/>
        <v>0.34091567484574625</v>
      </c>
      <c r="E1614" s="8">
        <f t="shared" si="100"/>
        <v>229.71428571428572</v>
      </c>
    </row>
    <row r="1615" spans="1:5" ht="18.75" x14ac:dyDescent="0.3">
      <c r="A1615" s="3">
        <v>1609</v>
      </c>
      <c r="B1615" s="9">
        <f t="shared" si="101"/>
        <v>0.99689285784717174</v>
      </c>
      <c r="C1615" s="3">
        <f t="shared" si="102"/>
        <v>62362.626508345522</v>
      </c>
      <c r="D1615" s="3">
        <f t="shared" si="103"/>
        <v>0.3401676828507334</v>
      </c>
      <c r="E1615" s="8">
        <f t="shared" si="100"/>
        <v>229.85714285714286</v>
      </c>
    </row>
    <row r="1616" spans="1:5" ht="18.75" x14ac:dyDescent="0.3">
      <c r="A1616" s="3">
        <v>1610</v>
      </c>
      <c r="B1616" s="9">
        <f t="shared" si="101"/>
        <v>0.9968982836457716</v>
      </c>
      <c r="C1616" s="3">
        <f t="shared" si="102"/>
        <v>62362.965930028535</v>
      </c>
      <c r="D1616" s="3">
        <f t="shared" si="103"/>
        <v>0.33942168301291531</v>
      </c>
      <c r="E1616" s="8">
        <f t="shared" si="100"/>
        <v>230</v>
      </c>
    </row>
    <row r="1617" spans="1:5" ht="18.75" x14ac:dyDescent="0.3">
      <c r="A1617" s="3">
        <v>1611</v>
      </c>
      <c r="B1617" s="9">
        <f t="shared" si="101"/>
        <v>0.99690369755099473</v>
      </c>
      <c r="C1617" s="3">
        <f t="shared" si="102"/>
        <v>62363.304607697581</v>
      </c>
      <c r="D1617" s="3">
        <f t="shared" si="103"/>
        <v>0.3386776690458646</v>
      </c>
      <c r="E1617" s="8">
        <f t="shared" si="100"/>
        <v>230.14285714285714</v>
      </c>
    </row>
    <row r="1618" spans="1:5" ht="18.75" x14ac:dyDescent="0.3">
      <c r="A1618" s="3">
        <v>1612</v>
      </c>
      <c r="B1618" s="9">
        <f t="shared" si="101"/>
        <v>0.99690909959448648</v>
      </c>
      <c r="C1618" s="3">
        <f t="shared" si="102"/>
        <v>62363.642543332287</v>
      </c>
      <c r="D1618" s="3">
        <f t="shared" si="103"/>
        <v>0.33793563470680965</v>
      </c>
      <c r="E1618" s="8">
        <f t="shared" si="100"/>
        <v>230.28571428571428</v>
      </c>
    </row>
    <row r="1619" spans="1:5" ht="18.75" x14ac:dyDescent="0.3">
      <c r="A1619" s="3">
        <v>1613</v>
      </c>
      <c r="B1619" s="9">
        <f t="shared" si="101"/>
        <v>0.99691448980779229</v>
      </c>
      <c r="C1619" s="3">
        <f t="shared" si="102"/>
        <v>62363.979738906062</v>
      </c>
      <c r="D1619" s="3">
        <f t="shared" si="103"/>
        <v>0.33719557377480669</v>
      </c>
      <c r="E1619" s="8">
        <f t="shared" si="100"/>
        <v>230.42857142857142</v>
      </c>
    </row>
    <row r="1620" spans="1:5" ht="18.75" x14ac:dyDescent="0.3">
      <c r="A1620" s="3">
        <v>1614</v>
      </c>
      <c r="B1620" s="9">
        <f t="shared" si="101"/>
        <v>0.99691986822235856</v>
      </c>
      <c r="C1620" s="3">
        <f t="shared" si="102"/>
        <v>62364.316196386084</v>
      </c>
      <c r="D1620" s="3">
        <f t="shared" si="103"/>
        <v>0.336457480021636</v>
      </c>
      <c r="E1620" s="8">
        <f t="shared" si="100"/>
        <v>230.57142857142858</v>
      </c>
    </row>
    <row r="1621" spans="1:5" ht="18.75" x14ac:dyDescent="0.3">
      <c r="A1621" s="3">
        <v>1615</v>
      </c>
      <c r="B1621" s="9">
        <f t="shared" si="101"/>
        <v>0.99692523486953288</v>
      </c>
      <c r="C1621" s="3">
        <f t="shared" si="102"/>
        <v>62364.651917733368</v>
      </c>
      <c r="D1621" s="3">
        <f t="shared" si="103"/>
        <v>0.33572134728456149</v>
      </c>
      <c r="E1621" s="8">
        <f t="shared" si="100"/>
        <v>230.71428571428572</v>
      </c>
    </row>
    <row r="1622" spans="1:5" ht="18.75" x14ac:dyDescent="0.3">
      <c r="A1622" s="3">
        <v>1616</v>
      </c>
      <c r="B1622" s="9">
        <f t="shared" si="101"/>
        <v>0.99693058978056415</v>
      </c>
      <c r="C1622" s="3">
        <f t="shared" si="102"/>
        <v>62364.986904902755</v>
      </c>
      <c r="D1622" s="3">
        <f t="shared" si="103"/>
        <v>0.33498716938629514</v>
      </c>
      <c r="E1622" s="8">
        <f t="shared" si="100"/>
        <v>230.85714285714286</v>
      </c>
    </row>
    <row r="1623" spans="1:5" ht="18.75" x14ac:dyDescent="0.3">
      <c r="A1623" s="3">
        <v>1617</v>
      </c>
      <c r="B1623" s="9">
        <f t="shared" si="101"/>
        <v>0.99693593298660321</v>
      </c>
      <c r="C1623" s="3">
        <f t="shared" si="102"/>
        <v>62365.321159842941</v>
      </c>
      <c r="D1623" s="3">
        <f t="shared" si="103"/>
        <v>0.33425494018592872</v>
      </c>
      <c r="E1623" s="8">
        <f t="shared" si="100"/>
        <v>231</v>
      </c>
    </row>
    <row r="1624" spans="1:5" ht="18.75" x14ac:dyDescent="0.3">
      <c r="A1624" s="3">
        <v>1618</v>
      </c>
      <c r="B1624" s="9">
        <f t="shared" si="101"/>
        <v>0.99694126451870313</v>
      </c>
      <c r="C1624" s="3">
        <f t="shared" si="102"/>
        <v>62365.654684496512</v>
      </c>
      <c r="D1624" s="3">
        <f t="shared" si="103"/>
        <v>0.33352465357165784</v>
      </c>
      <c r="E1624" s="8">
        <f t="shared" si="100"/>
        <v>231.14285714285714</v>
      </c>
    </row>
    <row r="1625" spans="1:5" ht="18.75" x14ac:dyDescent="0.3">
      <c r="A1625" s="3">
        <v>1619</v>
      </c>
      <c r="B1625" s="9">
        <f t="shared" si="101"/>
        <v>0.99694658440781958</v>
      </c>
      <c r="C1625" s="3">
        <f t="shared" si="102"/>
        <v>62365.987480799973</v>
      </c>
      <c r="D1625" s="3">
        <f t="shared" si="103"/>
        <v>0.33279630346078193</v>
      </c>
      <c r="E1625" s="8">
        <f t="shared" si="100"/>
        <v>231.28571428571428</v>
      </c>
    </row>
    <row r="1626" spans="1:5" ht="18.75" x14ac:dyDescent="0.3">
      <c r="A1626" s="3">
        <v>1620</v>
      </c>
      <c r="B1626" s="9">
        <f t="shared" si="101"/>
        <v>0.9969518926848111</v>
      </c>
      <c r="C1626" s="3">
        <f t="shared" si="102"/>
        <v>62366.319550683729</v>
      </c>
      <c r="D1626" s="3">
        <f t="shared" si="103"/>
        <v>0.33206988375604851</v>
      </c>
      <c r="E1626" s="8">
        <f t="shared" si="100"/>
        <v>231.42857142857142</v>
      </c>
    </row>
    <row r="1627" spans="1:5" ht="18.75" x14ac:dyDescent="0.3">
      <c r="A1627" s="3">
        <v>1621</v>
      </c>
      <c r="B1627" s="9">
        <f t="shared" si="101"/>
        <v>0.99695718938043965</v>
      </c>
      <c r="C1627" s="3">
        <f t="shared" si="102"/>
        <v>62366.650896072162</v>
      </c>
      <c r="D1627" s="3">
        <f t="shared" si="103"/>
        <v>0.33134538843296468</v>
      </c>
      <c r="E1627" s="8">
        <f t="shared" si="100"/>
        <v>231.57142857142858</v>
      </c>
    </row>
    <row r="1628" spans="1:5" ht="18.75" x14ac:dyDescent="0.3">
      <c r="A1628" s="3">
        <v>1622</v>
      </c>
      <c r="B1628" s="9">
        <f t="shared" si="101"/>
        <v>0.99696247452537046</v>
      </c>
      <c r="C1628" s="3">
        <f t="shared" si="102"/>
        <v>62366.9815188836</v>
      </c>
      <c r="D1628" s="3">
        <f t="shared" si="103"/>
        <v>0.33062281143793371</v>
      </c>
      <c r="E1628" s="8">
        <f t="shared" si="100"/>
        <v>231.71428571428572</v>
      </c>
    </row>
    <row r="1629" spans="1:5" ht="18.75" x14ac:dyDescent="0.3">
      <c r="A1629" s="3">
        <v>1623</v>
      </c>
      <c r="B1629" s="9">
        <f t="shared" si="101"/>
        <v>0.99696774815017319</v>
      </c>
      <c r="C1629" s="3">
        <f t="shared" si="102"/>
        <v>62367.311421030383</v>
      </c>
      <c r="D1629" s="3">
        <f t="shared" si="103"/>
        <v>0.32990214678284246</v>
      </c>
      <c r="E1629" s="8">
        <f t="shared" si="100"/>
        <v>231.85714285714286</v>
      </c>
    </row>
    <row r="1630" spans="1:5" ht="18.75" x14ac:dyDescent="0.3">
      <c r="A1630" s="3">
        <v>1624</v>
      </c>
      <c r="B1630" s="9">
        <f t="shared" si="101"/>
        <v>0.99697301028532148</v>
      </c>
      <c r="C1630" s="3">
        <f t="shared" si="102"/>
        <v>62367.640604418855</v>
      </c>
      <c r="D1630" s="3">
        <f t="shared" si="103"/>
        <v>0.32918338847230189</v>
      </c>
      <c r="E1630" s="8">
        <f t="shared" si="100"/>
        <v>232</v>
      </c>
    </row>
    <row r="1631" spans="1:5" ht="18.75" x14ac:dyDescent="0.3">
      <c r="A1631" s="3">
        <v>1625</v>
      </c>
      <c r="B1631" s="9">
        <f t="shared" si="101"/>
        <v>0.9969782609611938</v>
      </c>
      <c r="C1631" s="3">
        <f t="shared" si="102"/>
        <v>62367.969070949403</v>
      </c>
      <c r="D1631" s="3">
        <f t="shared" si="103"/>
        <v>0.32846653054730268</v>
      </c>
      <c r="E1631" s="8">
        <f t="shared" si="100"/>
        <v>232.14285714285714</v>
      </c>
    </row>
    <row r="1632" spans="1:5" ht="18.75" x14ac:dyDescent="0.3">
      <c r="A1632" s="3">
        <v>1626</v>
      </c>
      <c r="B1632" s="9">
        <f t="shared" si="101"/>
        <v>0.99698350020807358</v>
      </c>
      <c r="C1632" s="3">
        <f t="shared" si="102"/>
        <v>62368.296822516459</v>
      </c>
      <c r="D1632" s="3">
        <f t="shared" si="103"/>
        <v>0.32775156705611153</v>
      </c>
      <c r="E1632" s="8">
        <f t="shared" si="100"/>
        <v>232.28571428571428</v>
      </c>
    </row>
    <row r="1633" spans="1:5" ht="18.75" x14ac:dyDescent="0.3">
      <c r="A1633" s="3">
        <v>1627</v>
      </c>
      <c r="B1633" s="9">
        <f t="shared" si="101"/>
        <v>0.99698872805614969</v>
      </c>
      <c r="C1633" s="3">
        <f t="shared" si="102"/>
        <v>62368.623861008557</v>
      </c>
      <c r="D1633" s="3">
        <f t="shared" si="103"/>
        <v>0.32703849209792679</v>
      </c>
      <c r="E1633" s="8">
        <f t="shared" si="100"/>
        <v>232.42857142857142</v>
      </c>
    </row>
    <row r="1634" spans="1:5" ht="18.75" x14ac:dyDescent="0.3">
      <c r="A1634" s="3">
        <v>1628</v>
      </c>
      <c r="B1634" s="9">
        <f t="shared" si="101"/>
        <v>0.99699394453551671</v>
      </c>
      <c r="C1634" s="3">
        <f t="shared" si="102"/>
        <v>62368.950188308321</v>
      </c>
      <c r="D1634" s="3">
        <f t="shared" si="103"/>
        <v>0.3263272997646709</v>
      </c>
      <c r="E1634" s="8">
        <f t="shared" si="100"/>
        <v>232.57142857142858</v>
      </c>
    </row>
    <row r="1635" spans="1:5" ht="18.75" x14ac:dyDescent="0.3">
      <c r="A1635" s="3">
        <v>1629</v>
      </c>
      <c r="B1635" s="9">
        <f t="shared" si="101"/>
        <v>0.99699914967617509</v>
      </c>
      <c r="C1635" s="3">
        <f t="shared" si="102"/>
        <v>62369.275806292484</v>
      </c>
      <c r="D1635" s="3">
        <f t="shared" si="103"/>
        <v>0.32561798416281817</v>
      </c>
      <c r="E1635" s="8">
        <f t="shared" si="100"/>
        <v>232.71428571428572</v>
      </c>
    </row>
    <row r="1636" spans="1:5" ht="18.75" x14ac:dyDescent="0.3">
      <c r="A1636" s="3">
        <v>1630</v>
      </c>
      <c r="B1636" s="9">
        <f t="shared" si="101"/>
        <v>0.9970043435080318</v>
      </c>
      <c r="C1636" s="3">
        <f t="shared" si="102"/>
        <v>62369.600716831948</v>
      </c>
      <c r="D1636" s="3">
        <f t="shared" si="103"/>
        <v>0.32491053946432658</v>
      </c>
      <c r="E1636" s="8">
        <f t="shared" si="100"/>
        <v>232.85714285714286</v>
      </c>
    </row>
    <row r="1637" spans="1:5" ht="18.75" x14ac:dyDescent="0.3">
      <c r="A1637" s="3">
        <v>1631</v>
      </c>
      <c r="B1637" s="9">
        <f t="shared" si="101"/>
        <v>0.99700952606090065</v>
      </c>
      <c r="C1637" s="3">
        <f t="shared" si="102"/>
        <v>62369.92492179176</v>
      </c>
      <c r="D1637" s="3">
        <f t="shared" si="103"/>
        <v>0.32420495981205022</v>
      </c>
      <c r="E1637" s="8">
        <f t="shared" si="100"/>
        <v>233</v>
      </c>
    </row>
    <row r="1638" spans="1:5" ht="18.75" x14ac:dyDescent="0.3">
      <c r="A1638" s="3">
        <v>1632</v>
      </c>
      <c r="B1638" s="9">
        <f t="shared" si="101"/>
        <v>0.99701469736450221</v>
      </c>
      <c r="C1638" s="3">
        <f t="shared" si="102"/>
        <v>62370.248423031167</v>
      </c>
      <c r="D1638" s="3">
        <f t="shared" si="103"/>
        <v>0.32350123940705089</v>
      </c>
      <c r="E1638" s="8">
        <f t="shared" si="100"/>
        <v>233.14285714285714</v>
      </c>
    </row>
    <row r="1639" spans="1:5" ht="18.75" x14ac:dyDescent="0.3">
      <c r="A1639" s="3">
        <v>1633</v>
      </c>
      <c r="B1639" s="9">
        <f t="shared" si="101"/>
        <v>0.99701985744846477</v>
      </c>
      <c r="C1639" s="3">
        <f t="shared" si="102"/>
        <v>62370.571222403611</v>
      </c>
      <c r="D1639" s="3">
        <f t="shared" si="103"/>
        <v>0.32279937244311441</v>
      </c>
      <c r="E1639" s="8">
        <f t="shared" si="100"/>
        <v>233.28571428571428</v>
      </c>
    </row>
    <row r="1640" spans="1:5" ht="18.75" x14ac:dyDescent="0.3">
      <c r="A1640" s="3">
        <v>1634</v>
      </c>
      <c r="B1640" s="9">
        <f t="shared" si="101"/>
        <v>0.99702500634232416</v>
      </c>
      <c r="C1640" s="3">
        <f t="shared" si="102"/>
        <v>62370.893321756776</v>
      </c>
      <c r="D1640" s="3">
        <f t="shared" si="103"/>
        <v>0.3220993531649583</v>
      </c>
      <c r="E1640" s="8">
        <f t="shared" si="100"/>
        <v>233.42857142857142</v>
      </c>
    </row>
    <row r="1641" spans="1:5" ht="18.75" x14ac:dyDescent="0.3">
      <c r="A1641" s="3">
        <v>1635</v>
      </c>
      <c r="B1641" s="9">
        <f t="shared" si="101"/>
        <v>0.99703014407552426</v>
      </c>
      <c r="C1641" s="3">
        <f t="shared" si="102"/>
        <v>62371.214722932571</v>
      </c>
      <c r="D1641" s="3">
        <f t="shared" si="103"/>
        <v>0.32140117579547223</v>
      </c>
      <c r="E1641" s="8">
        <f t="shared" si="100"/>
        <v>233.57142857142858</v>
      </c>
    </row>
    <row r="1642" spans="1:5" ht="18.75" x14ac:dyDescent="0.3">
      <c r="A1642" s="3">
        <v>1636</v>
      </c>
      <c r="B1642" s="9">
        <f t="shared" si="101"/>
        <v>0.99703527067741748</v>
      </c>
      <c r="C1642" s="3">
        <f t="shared" si="102"/>
        <v>62371.535427767209</v>
      </c>
      <c r="D1642" s="3">
        <f t="shared" si="103"/>
        <v>0.32070483463758137</v>
      </c>
      <c r="E1642" s="8">
        <f t="shared" si="100"/>
        <v>233.71428571428572</v>
      </c>
    </row>
    <row r="1643" spans="1:5" ht="18.75" x14ac:dyDescent="0.3">
      <c r="A1643" s="3">
        <v>1637</v>
      </c>
      <c r="B1643" s="9">
        <f t="shared" si="101"/>
        <v>0.99704038617726476</v>
      </c>
      <c r="C1643" s="3">
        <f t="shared" si="102"/>
        <v>62371.855438091152</v>
      </c>
      <c r="D1643" s="3">
        <f t="shared" si="103"/>
        <v>0.32001032394327922</v>
      </c>
      <c r="E1643" s="8">
        <f t="shared" si="100"/>
        <v>233.85714285714286</v>
      </c>
    </row>
    <row r="1644" spans="1:5" ht="18.75" x14ac:dyDescent="0.3">
      <c r="A1644" s="3">
        <v>1638</v>
      </c>
      <c r="B1644" s="9">
        <f t="shared" si="101"/>
        <v>0.99704549060423642</v>
      </c>
      <c r="C1644" s="3">
        <f t="shared" si="102"/>
        <v>62372.174755729218</v>
      </c>
      <c r="D1644" s="3">
        <f t="shared" si="103"/>
        <v>0.31931763806642266</v>
      </c>
      <c r="E1644" s="8">
        <f t="shared" si="100"/>
        <v>234</v>
      </c>
    </row>
    <row r="1645" spans="1:5" ht="18.75" x14ac:dyDescent="0.3">
      <c r="A1645" s="3">
        <v>1639</v>
      </c>
      <c r="B1645" s="9">
        <f t="shared" si="101"/>
        <v>0.99705058398741175</v>
      </c>
      <c r="C1645" s="3">
        <f t="shared" si="102"/>
        <v>62372.493382500514</v>
      </c>
      <c r="D1645" s="3">
        <f t="shared" si="103"/>
        <v>0.31862677129538497</v>
      </c>
      <c r="E1645" s="8">
        <f t="shared" si="100"/>
        <v>234.14285714285714</v>
      </c>
    </row>
    <row r="1646" spans="1:5" ht="18.75" x14ac:dyDescent="0.3">
      <c r="A1646" s="3">
        <v>1640</v>
      </c>
      <c r="B1646" s="9">
        <f t="shared" si="101"/>
        <v>0.99705566635578013</v>
      </c>
      <c r="C1646" s="3">
        <f t="shared" si="102"/>
        <v>62372.811320218541</v>
      </c>
      <c r="D1646" s="3">
        <f t="shared" si="103"/>
        <v>0.31793771802767878</v>
      </c>
      <c r="E1646" s="8">
        <f t="shared" si="100"/>
        <v>234.28571428571428</v>
      </c>
    </row>
    <row r="1647" spans="1:5" ht="18.75" x14ac:dyDescent="0.3">
      <c r="A1647" s="3">
        <v>1641</v>
      </c>
      <c r="B1647" s="9">
        <f t="shared" si="101"/>
        <v>0.99706073773824078</v>
      </c>
      <c r="C1647" s="3">
        <f t="shared" si="102"/>
        <v>62373.128570691129</v>
      </c>
      <c r="D1647" s="3">
        <f t="shared" si="103"/>
        <v>0.31725047258805716</v>
      </c>
      <c r="E1647" s="8">
        <f t="shared" si="100"/>
        <v>234.42857142857142</v>
      </c>
    </row>
    <row r="1648" spans="1:5" ht="18.75" x14ac:dyDescent="0.3">
      <c r="A1648" s="3">
        <v>1642</v>
      </c>
      <c r="B1648" s="9">
        <f t="shared" si="101"/>
        <v>0.99706579816360308</v>
      </c>
      <c r="C1648" s="3">
        <f t="shared" si="102"/>
        <v>62373.445135720518</v>
      </c>
      <c r="D1648" s="3">
        <f t="shared" si="103"/>
        <v>0.31656502938858466</v>
      </c>
      <c r="E1648" s="8">
        <f t="shared" si="100"/>
        <v>234.57142857142858</v>
      </c>
    </row>
    <row r="1649" spans="1:5" ht="18.75" x14ac:dyDescent="0.3">
      <c r="A1649" s="3">
        <v>1643</v>
      </c>
      <c r="B1649" s="9">
        <f t="shared" si="101"/>
        <v>0.99707084766058762</v>
      </c>
      <c r="C1649" s="3">
        <f t="shared" si="102"/>
        <v>62373.761017103381</v>
      </c>
      <c r="D1649" s="3">
        <f t="shared" si="103"/>
        <v>0.3158813828631537</v>
      </c>
      <c r="E1649" s="8">
        <f t="shared" si="100"/>
        <v>234.71428571428572</v>
      </c>
    </row>
    <row r="1650" spans="1:5" ht="18.75" x14ac:dyDescent="0.3">
      <c r="A1650" s="3">
        <v>1644</v>
      </c>
      <c r="B1650" s="9">
        <f t="shared" si="101"/>
        <v>0.99707588625782539</v>
      </c>
      <c r="C1650" s="3">
        <f t="shared" si="102"/>
        <v>62374.076216630783</v>
      </c>
      <c r="D1650" s="3">
        <f t="shared" si="103"/>
        <v>0.31519952740200097</v>
      </c>
      <c r="E1650" s="8">
        <f t="shared" si="100"/>
        <v>234.85714285714286</v>
      </c>
    </row>
    <row r="1651" spans="1:5" ht="18.75" x14ac:dyDescent="0.3">
      <c r="A1651" s="3">
        <v>1645</v>
      </c>
      <c r="B1651" s="9">
        <f t="shared" si="101"/>
        <v>0.99708091398385923</v>
      </c>
      <c r="C1651" s="3">
        <f t="shared" si="102"/>
        <v>62374.39073608828</v>
      </c>
      <c r="D1651" s="3">
        <f t="shared" si="103"/>
        <v>0.31451945749722654</v>
      </c>
      <c r="E1651" s="8">
        <f t="shared" si="100"/>
        <v>235</v>
      </c>
    </row>
    <row r="1652" spans="1:5" ht="18.75" x14ac:dyDescent="0.3">
      <c r="A1652" s="3">
        <v>1646</v>
      </c>
      <c r="B1652" s="9">
        <f t="shared" si="101"/>
        <v>0.99708593086714314</v>
      </c>
      <c r="C1652" s="3">
        <f t="shared" si="102"/>
        <v>62374.70457725587</v>
      </c>
      <c r="D1652" s="3">
        <f t="shared" si="103"/>
        <v>0.3138411675899988</v>
      </c>
      <c r="E1652" s="8">
        <f t="shared" si="100"/>
        <v>235.14285714285714</v>
      </c>
    </row>
    <row r="1653" spans="1:5" ht="18.75" x14ac:dyDescent="0.3">
      <c r="A1653" s="3">
        <v>1647</v>
      </c>
      <c r="B1653" s="9">
        <f t="shared" si="101"/>
        <v>0.99709093693604356</v>
      </c>
      <c r="C1653" s="3">
        <f t="shared" si="102"/>
        <v>62375.017741908079</v>
      </c>
      <c r="D1653" s="3">
        <f t="shared" si="103"/>
        <v>0.31316465220879763</v>
      </c>
      <c r="E1653" s="8">
        <f t="shared" si="100"/>
        <v>235.28571428571428</v>
      </c>
    </row>
    <row r="1654" spans="1:5" ht="18.75" x14ac:dyDescent="0.3">
      <c r="A1654" s="3">
        <v>1648</v>
      </c>
      <c r="B1654" s="9">
        <f t="shared" si="101"/>
        <v>0.99709593221883874</v>
      </c>
      <c r="C1654" s="3">
        <f t="shared" si="102"/>
        <v>62375.330231813896</v>
      </c>
      <c r="D1654" s="3">
        <f t="shared" si="103"/>
        <v>0.31248990581661928</v>
      </c>
      <c r="E1654" s="8">
        <f t="shared" si="100"/>
        <v>235.42857142857142</v>
      </c>
    </row>
    <row r="1655" spans="1:5" ht="18.75" x14ac:dyDescent="0.3">
      <c r="A1655" s="3">
        <v>1649</v>
      </c>
      <c r="B1655" s="9">
        <f t="shared" si="101"/>
        <v>0.99710091674371981</v>
      </c>
      <c r="C1655" s="3">
        <f t="shared" si="102"/>
        <v>62375.642048736881</v>
      </c>
      <c r="D1655" s="3">
        <f t="shared" si="103"/>
        <v>0.31181692298559938</v>
      </c>
      <c r="E1655" s="8">
        <f t="shared" si="100"/>
        <v>235.57142857142858</v>
      </c>
    </row>
    <row r="1656" spans="1:5" ht="18.75" x14ac:dyDescent="0.3">
      <c r="A1656" s="3">
        <v>1650</v>
      </c>
      <c r="B1656" s="9">
        <f t="shared" si="101"/>
        <v>0.99710589053879062</v>
      </c>
      <c r="C1656" s="3">
        <f t="shared" si="102"/>
        <v>62375.953194435126</v>
      </c>
      <c r="D1656" s="3">
        <f t="shared" si="103"/>
        <v>0.31114569824421778</v>
      </c>
      <c r="E1656" s="8">
        <f t="shared" si="100"/>
        <v>235.71428571428572</v>
      </c>
    </row>
    <row r="1657" spans="1:5" ht="18.75" x14ac:dyDescent="0.3">
      <c r="A1657" s="3">
        <v>1651</v>
      </c>
      <c r="B1657" s="9">
        <f t="shared" si="101"/>
        <v>0.99711085363206853</v>
      </c>
      <c r="C1657" s="3">
        <f t="shared" si="102"/>
        <v>62376.263670661312</v>
      </c>
      <c r="D1657" s="3">
        <f t="shared" si="103"/>
        <v>0.310476226186438</v>
      </c>
      <c r="E1657" s="8">
        <f t="shared" si="100"/>
        <v>235.85714285714286</v>
      </c>
    </row>
    <row r="1658" spans="1:5" ht="18.75" x14ac:dyDescent="0.3">
      <c r="A1658" s="3">
        <v>1652</v>
      </c>
      <c r="B1658" s="9">
        <f t="shared" si="101"/>
        <v>0.99711580605148398</v>
      </c>
      <c r="C1658" s="3">
        <f t="shared" si="102"/>
        <v>62376.573479162682</v>
      </c>
      <c r="D1658" s="3">
        <f t="shared" si="103"/>
        <v>0.30980850136984373</v>
      </c>
      <c r="E1658" s="8">
        <f t="shared" si="100"/>
        <v>236</v>
      </c>
    </row>
    <row r="1659" spans="1:5" ht="18.75" x14ac:dyDescent="0.3">
      <c r="A1659" s="3">
        <v>1653</v>
      </c>
      <c r="B1659" s="9">
        <f t="shared" si="101"/>
        <v>0.99712074782488158</v>
      </c>
      <c r="C1659" s="3">
        <f t="shared" si="102"/>
        <v>62376.882621681114</v>
      </c>
      <c r="D1659" s="3">
        <f t="shared" si="103"/>
        <v>0.3091425184320542</v>
      </c>
      <c r="E1659" s="8">
        <f t="shared" si="100"/>
        <v>236.14285714285714</v>
      </c>
    </row>
    <row r="1660" spans="1:5" ht="18.75" x14ac:dyDescent="0.3">
      <c r="A1660" s="3">
        <v>1654</v>
      </c>
      <c r="B1660" s="9">
        <f t="shared" si="101"/>
        <v>0.99712567898002002</v>
      </c>
      <c r="C1660" s="3">
        <f t="shared" si="102"/>
        <v>62377.19109995311</v>
      </c>
      <c r="D1660" s="3">
        <f t="shared" si="103"/>
        <v>0.30847827199613675</v>
      </c>
      <c r="E1660" s="8">
        <f t="shared" si="100"/>
        <v>236.28571428571428</v>
      </c>
    </row>
    <row r="1661" spans="1:5" ht="18.75" x14ac:dyDescent="0.3">
      <c r="A1661" s="3">
        <v>1655</v>
      </c>
      <c r="B1661" s="9">
        <f t="shared" si="101"/>
        <v>0.99713059954457217</v>
      </c>
      <c r="C1661" s="3">
        <f t="shared" si="102"/>
        <v>62377.498915709803</v>
      </c>
      <c r="D1661" s="3">
        <f t="shared" si="103"/>
        <v>0.30781575669243466</v>
      </c>
      <c r="E1661" s="8">
        <f t="shared" si="100"/>
        <v>236.42857142857142</v>
      </c>
    </row>
    <row r="1662" spans="1:5" ht="18.75" x14ac:dyDescent="0.3">
      <c r="A1662" s="3">
        <v>1656</v>
      </c>
      <c r="B1662" s="9">
        <f t="shared" si="101"/>
        <v>0.99713550954612606</v>
      </c>
      <c r="C1662" s="3">
        <f t="shared" si="102"/>
        <v>62377.806070677005</v>
      </c>
      <c r="D1662" s="3">
        <f t="shared" si="103"/>
        <v>0.30715496720222291</v>
      </c>
      <c r="E1662" s="8">
        <f t="shared" si="100"/>
        <v>236.57142857142858</v>
      </c>
    </row>
    <row r="1663" spans="1:5" ht="18.75" x14ac:dyDescent="0.3">
      <c r="A1663" s="3">
        <v>1657</v>
      </c>
      <c r="B1663" s="9">
        <f t="shared" si="101"/>
        <v>0.99714040901218448</v>
      </c>
      <c r="C1663" s="3">
        <f t="shared" si="102"/>
        <v>62378.112566575226</v>
      </c>
      <c r="D1663" s="3">
        <f t="shared" si="103"/>
        <v>0.30649589822132839</v>
      </c>
      <c r="E1663" s="8">
        <f t="shared" si="100"/>
        <v>236.71428571428572</v>
      </c>
    </row>
    <row r="1664" spans="1:5" ht="18.75" x14ac:dyDescent="0.3">
      <c r="A1664" s="3">
        <v>1658</v>
      </c>
      <c r="B1664" s="9">
        <f t="shared" si="101"/>
        <v>0.99714529797016571</v>
      </c>
      <c r="C1664" s="3">
        <f t="shared" si="102"/>
        <v>62378.418405119657</v>
      </c>
      <c r="D1664" s="3">
        <f t="shared" si="103"/>
        <v>0.30583854443102609</v>
      </c>
      <c r="E1664" s="8">
        <f t="shared" si="100"/>
        <v>236.85714285714286</v>
      </c>
    </row>
    <row r="1665" spans="1:5" ht="18.75" x14ac:dyDescent="0.3">
      <c r="A1665" s="3">
        <v>1659</v>
      </c>
      <c r="B1665" s="9">
        <f t="shared" si="101"/>
        <v>0.99715017644740356</v>
      </c>
      <c r="C1665" s="3">
        <f t="shared" si="102"/>
        <v>62378.723588020228</v>
      </c>
      <c r="D1665" s="3">
        <f t="shared" si="103"/>
        <v>0.30518290057079867</v>
      </c>
      <c r="E1665" s="8">
        <f t="shared" si="100"/>
        <v>237</v>
      </c>
    </row>
    <row r="1666" spans="1:5" ht="18.75" x14ac:dyDescent="0.3">
      <c r="A1666" s="3">
        <v>1660</v>
      </c>
      <c r="B1666" s="9">
        <f t="shared" si="101"/>
        <v>0.997155044471148</v>
      </c>
      <c r="C1666" s="3">
        <f t="shared" si="102"/>
        <v>62379.028116981608</v>
      </c>
      <c r="D1666" s="3">
        <f t="shared" si="103"/>
        <v>0.30452896138012875</v>
      </c>
      <c r="E1666" s="8">
        <f t="shared" si="100"/>
        <v>237.14285714285714</v>
      </c>
    </row>
    <row r="1667" spans="1:5" ht="18.75" x14ac:dyDescent="0.3">
      <c r="A1667" s="3">
        <v>1661</v>
      </c>
      <c r="B1667" s="9">
        <f t="shared" si="101"/>
        <v>0.99715990206856497</v>
      </c>
      <c r="C1667" s="3">
        <f t="shared" si="102"/>
        <v>62379.331993703221</v>
      </c>
      <c r="D1667" s="3">
        <f t="shared" si="103"/>
        <v>0.3038767216130509</v>
      </c>
      <c r="E1667" s="8">
        <f t="shared" si="100"/>
        <v>237.28571428571428</v>
      </c>
    </row>
    <row r="1668" spans="1:5" ht="18.75" x14ac:dyDescent="0.3">
      <c r="A1668" s="3">
        <v>1662</v>
      </c>
      <c r="B1668" s="9">
        <f t="shared" si="101"/>
        <v>0.99716474926673726</v>
      </c>
      <c r="C1668" s="3">
        <f t="shared" si="102"/>
        <v>62379.635219879281</v>
      </c>
      <c r="D1668" s="3">
        <f t="shared" si="103"/>
        <v>0.30322617605997948</v>
      </c>
      <c r="E1668" s="8">
        <f t="shared" si="100"/>
        <v>237.42857142857142</v>
      </c>
    </row>
    <row r="1669" spans="1:5" ht="18.75" x14ac:dyDescent="0.3">
      <c r="A1669" s="3">
        <v>1663</v>
      </c>
      <c r="B1669" s="9">
        <f t="shared" si="101"/>
        <v>0.99716958609266437</v>
      </c>
      <c r="C1669" s="3">
        <f t="shared" si="102"/>
        <v>62379.937797198807</v>
      </c>
      <c r="D1669" s="3">
        <f t="shared" si="103"/>
        <v>0.30257731952588074</v>
      </c>
      <c r="E1669" s="8">
        <f t="shared" si="100"/>
        <v>237.57142857142858</v>
      </c>
    </row>
    <row r="1670" spans="1:5" ht="18.75" x14ac:dyDescent="0.3">
      <c r="A1670" s="3">
        <v>1664</v>
      </c>
      <c r="B1670" s="9">
        <f t="shared" si="101"/>
        <v>0.997174412573263</v>
      </c>
      <c r="C1670" s="3">
        <f t="shared" si="102"/>
        <v>62380.239727345615</v>
      </c>
      <c r="D1670" s="3">
        <f t="shared" si="103"/>
        <v>0.30193014680844499</v>
      </c>
      <c r="E1670" s="8">
        <f t="shared" si="100"/>
        <v>237.71428571428572</v>
      </c>
    </row>
    <row r="1671" spans="1:5" ht="18.75" x14ac:dyDescent="0.3">
      <c r="A1671" s="3">
        <v>1665</v>
      </c>
      <c r="B1671" s="9">
        <f t="shared" si="101"/>
        <v>0.99717922873536713</v>
      </c>
      <c r="C1671" s="3">
        <f t="shared" si="102"/>
        <v>62380.541011998364</v>
      </c>
      <c r="D1671" s="3">
        <f t="shared" si="103"/>
        <v>0.30128465274901828</v>
      </c>
      <c r="E1671" s="8">
        <f t="shared" ref="E1671:E1734" si="104">A1671/7</f>
        <v>237.85714285714286</v>
      </c>
    </row>
    <row r="1672" spans="1:5" ht="18.75" x14ac:dyDescent="0.3">
      <c r="A1672" s="3">
        <v>1666</v>
      </c>
      <c r="B1672" s="9">
        <f t="shared" ref="B1672:B1735" si="105">LOGNORMDIST(A1672,$A$3,$B$3)</f>
        <v>0.99718403460572869</v>
      </c>
      <c r="C1672" s="3">
        <f t="shared" ref="C1672:C1735" si="106">$E$3*B1672</f>
        <v>62380.841652830568</v>
      </c>
      <c r="D1672" s="3">
        <f t="shared" ref="D1672:D1735" si="107">C1672-C1671</f>
        <v>0.30064083220349858</v>
      </c>
      <c r="E1672" s="8">
        <f t="shared" si="104"/>
        <v>238</v>
      </c>
    </row>
    <row r="1673" spans="1:5" ht="18.75" x14ac:dyDescent="0.3">
      <c r="A1673" s="3">
        <v>1667</v>
      </c>
      <c r="B1673" s="9">
        <f t="shared" si="105"/>
        <v>0.99718883021101756</v>
      </c>
      <c r="C1673" s="3">
        <f t="shared" si="106"/>
        <v>62381.141651510625</v>
      </c>
      <c r="D1673" s="3">
        <f t="shared" si="107"/>
        <v>0.29999868005688768</v>
      </c>
      <c r="E1673" s="8">
        <f t="shared" si="104"/>
        <v>238.14285714285714</v>
      </c>
    </row>
    <row r="1674" spans="1:5" ht="18.75" x14ac:dyDescent="0.3">
      <c r="A1674" s="3">
        <v>1668</v>
      </c>
      <c r="B1674" s="9">
        <f t="shared" si="105"/>
        <v>0.99719361557782193</v>
      </c>
      <c r="C1674" s="3">
        <f t="shared" si="106"/>
        <v>62381.441009701804</v>
      </c>
      <c r="D1674" s="3">
        <f t="shared" si="107"/>
        <v>0.29935819117963547</v>
      </c>
      <c r="E1674" s="8">
        <f t="shared" si="104"/>
        <v>238.28571428571428</v>
      </c>
    </row>
    <row r="1675" spans="1:5" ht="18.75" x14ac:dyDescent="0.3">
      <c r="A1675" s="3">
        <v>1669</v>
      </c>
      <c r="B1675" s="9">
        <f t="shared" si="105"/>
        <v>0.9971983907326486</v>
      </c>
      <c r="C1675" s="3">
        <f t="shared" si="106"/>
        <v>62381.739729062298</v>
      </c>
      <c r="D1675" s="3">
        <f t="shared" si="107"/>
        <v>0.29871936049312353</v>
      </c>
      <c r="E1675" s="8">
        <f t="shared" si="104"/>
        <v>238.42857142857142</v>
      </c>
    </row>
    <row r="1676" spans="1:5" ht="18.75" x14ac:dyDescent="0.3">
      <c r="A1676" s="3">
        <v>1670</v>
      </c>
      <c r="B1676" s="9">
        <f t="shared" si="105"/>
        <v>0.99720315570192319</v>
      </c>
      <c r="C1676" s="3">
        <f t="shared" si="106"/>
        <v>62382.037811245209</v>
      </c>
      <c r="D1676" s="3">
        <f t="shared" si="107"/>
        <v>0.29808218291145749</v>
      </c>
      <c r="E1676" s="8">
        <f t="shared" si="104"/>
        <v>238.57142857142858</v>
      </c>
    </row>
    <row r="1677" spans="1:5" ht="18.75" x14ac:dyDescent="0.3">
      <c r="A1677" s="3">
        <v>1671</v>
      </c>
      <c r="B1677" s="9">
        <f t="shared" si="105"/>
        <v>0.99720791051199065</v>
      </c>
      <c r="C1677" s="3">
        <f t="shared" si="106"/>
        <v>62382.335257898601</v>
      </c>
      <c r="D1677" s="3">
        <f t="shared" si="107"/>
        <v>0.29744665339239873</v>
      </c>
      <c r="E1677" s="8">
        <f t="shared" si="104"/>
        <v>238.71428571428572</v>
      </c>
    </row>
    <row r="1678" spans="1:5" ht="18.75" x14ac:dyDescent="0.3">
      <c r="A1678" s="3">
        <v>1672</v>
      </c>
      <c r="B1678" s="9">
        <f t="shared" si="105"/>
        <v>0.99721265518911528</v>
      </c>
      <c r="C1678" s="3">
        <f t="shared" si="106"/>
        <v>62382.632070665488</v>
      </c>
      <c r="D1678" s="3">
        <f t="shared" si="107"/>
        <v>0.29681276688643266</v>
      </c>
      <c r="E1678" s="8">
        <f t="shared" si="104"/>
        <v>238.85714285714286</v>
      </c>
    </row>
    <row r="1679" spans="1:5" ht="18.75" x14ac:dyDescent="0.3">
      <c r="A1679" s="3">
        <v>1673</v>
      </c>
      <c r="B1679" s="9">
        <f t="shared" si="105"/>
        <v>0.99721738975948127</v>
      </c>
      <c r="C1679" s="3">
        <f t="shared" si="106"/>
        <v>62382.928251183868</v>
      </c>
      <c r="D1679" s="3">
        <f t="shared" si="107"/>
        <v>0.29618051838042447</v>
      </c>
      <c r="E1679" s="8">
        <f t="shared" si="104"/>
        <v>239</v>
      </c>
    </row>
    <row r="1680" spans="1:5" ht="18.75" x14ac:dyDescent="0.3">
      <c r="A1680" s="3">
        <v>1674</v>
      </c>
      <c r="B1680" s="9">
        <f t="shared" si="105"/>
        <v>0.9972221142491926</v>
      </c>
      <c r="C1680" s="3">
        <f t="shared" si="106"/>
        <v>62383.223801086744</v>
      </c>
      <c r="D1680" s="3">
        <f t="shared" si="107"/>
        <v>0.2955499028757913</v>
      </c>
      <c r="E1680" s="8">
        <f t="shared" si="104"/>
        <v>239.14285714285714</v>
      </c>
    </row>
    <row r="1681" spans="1:5" ht="18.75" x14ac:dyDescent="0.3">
      <c r="A1681" s="3">
        <v>1675</v>
      </c>
      <c r="B1681" s="9">
        <f t="shared" si="105"/>
        <v>0.99722682868427392</v>
      </c>
      <c r="C1681" s="3">
        <f t="shared" si="106"/>
        <v>62383.518722002125</v>
      </c>
      <c r="D1681" s="3">
        <f t="shared" si="107"/>
        <v>0.29492091538122622</v>
      </c>
      <c r="E1681" s="8">
        <f t="shared" si="104"/>
        <v>239.28571428571428</v>
      </c>
    </row>
    <row r="1682" spans="1:5" ht="18.75" x14ac:dyDescent="0.3">
      <c r="A1682" s="3">
        <v>1676</v>
      </c>
      <c r="B1682" s="9">
        <f t="shared" si="105"/>
        <v>0.99723153309067025</v>
      </c>
      <c r="C1682" s="3">
        <f t="shared" si="106"/>
        <v>62383.81301555306</v>
      </c>
      <c r="D1682" s="3">
        <f t="shared" si="107"/>
        <v>0.29429355093452614</v>
      </c>
      <c r="E1682" s="8">
        <f t="shared" si="104"/>
        <v>239.42857142857142</v>
      </c>
    </row>
    <row r="1683" spans="1:5" ht="18.75" x14ac:dyDescent="0.3">
      <c r="A1683" s="3">
        <v>1677</v>
      </c>
      <c r="B1683" s="9">
        <f t="shared" si="105"/>
        <v>0.99723622749424756</v>
      </c>
      <c r="C1683" s="3">
        <f t="shared" si="106"/>
        <v>62384.106683357648</v>
      </c>
      <c r="D1683" s="3">
        <f t="shared" si="107"/>
        <v>0.29366780458803987</v>
      </c>
      <c r="E1683" s="8">
        <f t="shared" si="104"/>
        <v>239.57142857142858</v>
      </c>
    </row>
    <row r="1684" spans="1:5" ht="18.75" x14ac:dyDescent="0.3">
      <c r="A1684" s="3">
        <v>1678</v>
      </c>
      <c r="B1684" s="9">
        <f t="shared" si="105"/>
        <v>0.99724091192079289</v>
      </c>
      <c r="C1684" s="3">
        <f t="shared" si="106"/>
        <v>62384.399727029042</v>
      </c>
      <c r="D1684" s="3">
        <f t="shared" si="107"/>
        <v>0.29304367139411625</v>
      </c>
      <c r="E1684" s="8">
        <f t="shared" si="104"/>
        <v>239.71428571428572</v>
      </c>
    </row>
    <row r="1685" spans="1:5" ht="18.75" x14ac:dyDescent="0.3">
      <c r="A1685" s="3">
        <v>1679</v>
      </c>
      <c r="B1685" s="9">
        <f t="shared" si="105"/>
        <v>0.99724558639601479</v>
      </c>
      <c r="C1685" s="3">
        <f t="shared" si="106"/>
        <v>62384.692148175498</v>
      </c>
      <c r="D1685" s="3">
        <f t="shared" si="107"/>
        <v>0.29242114645603579</v>
      </c>
      <c r="E1685" s="8">
        <f t="shared" si="104"/>
        <v>239.85714285714286</v>
      </c>
    </row>
    <row r="1686" spans="1:5" ht="18.75" x14ac:dyDescent="0.3">
      <c r="A1686" s="3">
        <v>1680</v>
      </c>
      <c r="B1686" s="9">
        <f t="shared" si="105"/>
        <v>0.99725025094554376</v>
      </c>
      <c r="C1686" s="3">
        <f t="shared" si="106"/>
        <v>62384.983948400382</v>
      </c>
      <c r="D1686" s="3">
        <f t="shared" si="107"/>
        <v>0.29180022488435498</v>
      </c>
      <c r="E1686" s="8">
        <f t="shared" si="104"/>
        <v>240</v>
      </c>
    </row>
    <row r="1687" spans="1:5" ht="18.75" x14ac:dyDescent="0.3">
      <c r="A1687" s="3">
        <v>1681</v>
      </c>
      <c r="B1687" s="9">
        <f t="shared" si="105"/>
        <v>0.9972549055949318</v>
      </c>
      <c r="C1687" s="3">
        <f t="shared" si="106"/>
        <v>62385.27512930215</v>
      </c>
      <c r="D1687" s="3">
        <f t="shared" si="107"/>
        <v>0.29118090176780242</v>
      </c>
      <c r="E1687" s="8">
        <f t="shared" si="104"/>
        <v>240.14285714285714</v>
      </c>
    </row>
    <row r="1688" spans="1:5" ht="18.75" x14ac:dyDescent="0.3">
      <c r="A1688" s="3">
        <v>1682</v>
      </c>
      <c r="B1688" s="9">
        <f t="shared" si="105"/>
        <v>0.99725955036965364</v>
      </c>
      <c r="C1688" s="3">
        <f t="shared" si="106"/>
        <v>62385.565692474425</v>
      </c>
      <c r="D1688" s="3">
        <f t="shared" si="107"/>
        <v>0.29056317227514228</v>
      </c>
      <c r="E1688" s="8">
        <f t="shared" si="104"/>
        <v>240.28571428571428</v>
      </c>
    </row>
    <row r="1689" spans="1:5" ht="18.75" x14ac:dyDescent="0.3">
      <c r="A1689" s="3">
        <v>1683</v>
      </c>
      <c r="B1689" s="9">
        <f t="shared" si="105"/>
        <v>0.99726418529510619</v>
      </c>
      <c r="C1689" s="3">
        <f t="shared" si="106"/>
        <v>62385.855639505957</v>
      </c>
      <c r="D1689" s="3">
        <f t="shared" si="107"/>
        <v>0.28994703153148293</v>
      </c>
      <c r="E1689" s="8">
        <f t="shared" si="104"/>
        <v>240.42857142857142</v>
      </c>
    </row>
    <row r="1690" spans="1:5" ht="18.75" x14ac:dyDescent="0.3">
      <c r="A1690" s="3">
        <v>1684</v>
      </c>
      <c r="B1690" s="9">
        <f t="shared" si="105"/>
        <v>0.99726881039660953</v>
      </c>
      <c r="C1690" s="3">
        <f t="shared" si="106"/>
        <v>62386.144971980699</v>
      </c>
      <c r="D1690" s="3">
        <f t="shared" si="107"/>
        <v>0.28933247474196833</v>
      </c>
      <c r="E1690" s="8">
        <f t="shared" si="104"/>
        <v>240.57142857142858</v>
      </c>
    </row>
    <row r="1691" spans="1:5" ht="18.75" x14ac:dyDescent="0.3">
      <c r="A1691" s="3">
        <v>1685</v>
      </c>
      <c r="B1691" s="9">
        <f t="shared" si="105"/>
        <v>0.99727342569940669</v>
      </c>
      <c r="C1691" s="3">
        <f t="shared" si="106"/>
        <v>62386.433691477781</v>
      </c>
      <c r="D1691" s="3">
        <f t="shared" si="107"/>
        <v>0.28871949708263855</v>
      </c>
      <c r="E1691" s="8">
        <f t="shared" si="104"/>
        <v>240.71428571428572</v>
      </c>
    </row>
    <row r="1692" spans="1:5" ht="18.75" x14ac:dyDescent="0.3">
      <c r="A1692" s="3">
        <v>1686</v>
      </c>
      <c r="B1692" s="9">
        <f t="shared" si="105"/>
        <v>0.99727803122866387</v>
      </c>
      <c r="C1692" s="3">
        <f t="shared" si="106"/>
        <v>62386.721799571525</v>
      </c>
      <c r="D1692" s="3">
        <f t="shared" si="107"/>
        <v>0.28810809374408564</v>
      </c>
      <c r="E1692" s="8">
        <f t="shared" si="104"/>
        <v>240.85714285714286</v>
      </c>
    </row>
    <row r="1693" spans="1:5" ht="18.75" x14ac:dyDescent="0.3">
      <c r="A1693" s="3">
        <v>1687</v>
      </c>
      <c r="B1693" s="9">
        <f t="shared" si="105"/>
        <v>0.99728262700947112</v>
      </c>
      <c r="C1693" s="3">
        <f t="shared" si="106"/>
        <v>62387.009297831486</v>
      </c>
      <c r="D1693" s="3">
        <f t="shared" si="107"/>
        <v>0.28749825996055733</v>
      </c>
      <c r="E1693" s="8">
        <f t="shared" si="104"/>
        <v>241</v>
      </c>
    </row>
    <row r="1694" spans="1:5" ht="18.75" x14ac:dyDescent="0.3">
      <c r="A1694" s="3">
        <v>1688</v>
      </c>
      <c r="B1694" s="9">
        <f t="shared" si="105"/>
        <v>0.99728721306684243</v>
      </c>
      <c r="C1694" s="3">
        <f t="shared" si="106"/>
        <v>62387.29618782246</v>
      </c>
      <c r="D1694" s="3">
        <f t="shared" si="107"/>
        <v>0.28688999097357737</v>
      </c>
      <c r="E1694" s="8">
        <f t="shared" si="104"/>
        <v>241.14285714285714</v>
      </c>
    </row>
    <row r="1695" spans="1:5" ht="18.75" x14ac:dyDescent="0.3">
      <c r="A1695" s="3">
        <v>1689</v>
      </c>
      <c r="B1695" s="9">
        <f t="shared" si="105"/>
        <v>0.99729178942571561</v>
      </c>
      <c r="C1695" s="3">
        <f t="shared" si="106"/>
        <v>62387.582471104492</v>
      </c>
      <c r="D1695" s="3">
        <f t="shared" si="107"/>
        <v>0.28628328203194542</v>
      </c>
      <c r="E1695" s="8">
        <f t="shared" si="104"/>
        <v>241.28571428571428</v>
      </c>
    </row>
    <row r="1696" spans="1:5" ht="18.75" x14ac:dyDescent="0.3">
      <c r="A1696" s="3">
        <v>1690</v>
      </c>
      <c r="B1696" s="9">
        <f t="shared" si="105"/>
        <v>0.99729635611095335</v>
      </c>
      <c r="C1696" s="3">
        <f t="shared" si="106"/>
        <v>62387.868149232912</v>
      </c>
      <c r="D1696" s="3">
        <f t="shared" si="107"/>
        <v>0.28567812842084095</v>
      </c>
      <c r="E1696" s="8">
        <f t="shared" si="104"/>
        <v>241.42857142857142</v>
      </c>
    </row>
    <row r="1697" spans="1:5" ht="18.75" x14ac:dyDescent="0.3">
      <c r="A1697" s="3">
        <v>1691</v>
      </c>
      <c r="B1697" s="9">
        <f t="shared" si="105"/>
        <v>0.9973009131473427</v>
      </c>
      <c r="C1697" s="3">
        <f t="shared" si="106"/>
        <v>62388.153223758316</v>
      </c>
      <c r="D1697" s="3">
        <f t="shared" si="107"/>
        <v>0.28507452540361555</v>
      </c>
      <c r="E1697" s="8">
        <f t="shared" si="104"/>
        <v>241.57142857142858</v>
      </c>
    </row>
    <row r="1698" spans="1:5" ht="18.75" x14ac:dyDescent="0.3">
      <c r="A1698" s="3">
        <v>1692</v>
      </c>
      <c r="B1698" s="9">
        <f t="shared" si="105"/>
        <v>0.99730546055959579</v>
      </c>
      <c r="C1698" s="3">
        <f t="shared" si="106"/>
        <v>62388.437696226632</v>
      </c>
      <c r="D1698" s="3">
        <f t="shared" si="107"/>
        <v>0.2844724683163804</v>
      </c>
      <c r="E1698" s="8">
        <f t="shared" si="104"/>
        <v>241.71428571428572</v>
      </c>
    </row>
    <row r="1699" spans="1:5" ht="18.75" x14ac:dyDescent="0.3">
      <c r="A1699" s="3">
        <v>1693</v>
      </c>
      <c r="B1699" s="9">
        <f t="shared" si="105"/>
        <v>0.99730999837235013</v>
      </c>
      <c r="C1699" s="3">
        <f t="shared" si="106"/>
        <v>62388.721568179106</v>
      </c>
      <c r="D1699" s="3">
        <f t="shared" si="107"/>
        <v>0.28387195247341879</v>
      </c>
      <c r="E1699" s="8">
        <f t="shared" si="104"/>
        <v>241.85714285714286</v>
      </c>
    </row>
    <row r="1700" spans="1:5" ht="18.75" x14ac:dyDescent="0.3">
      <c r="A1700" s="3">
        <v>1694</v>
      </c>
      <c r="B1700" s="9">
        <f t="shared" si="105"/>
        <v>0.99731452661016828</v>
      </c>
      <c r="C1700" s="3">
        <f t="shared" si="106"/>
        <v>62389.004841152295</v>
      </c>
      <c r="D1700" s="3">
        <f t="shared" si="107"/>
        <v>0.28327297318901401</v>
      </c>
      <c r="E1700" s="8">
        <f t="shared" si="104"/>
        <v>242</v>
      </c>
    </row>
    <row r="1701" spans="1:5" ht="18.75" x14ac:dyDescent="0.3">
      <c r="A1701" s="3">
        <v>1695</v>
      </c>
      <c r="B1701" s="9">
        <f t="shared" si="105"/>
        <v>0.99731904529753912</v>
      </c>
      <c r="C1701" s="3">
        <f t="shared" si="106"/>
        <v>62389.287516678152</v>
      </c>
      <c r="D1701" s="3">
        <f t="shared" si="107"/>
        <v>0.2826755258574849</v>
      </c>
      <c r="E1701" s="8">
        <f t="shared" si="104"/>
        <v>242.14285714285714</v>
      </c>
    </row>
    <row r="1702" spans="1:5" ht="18.75" x14ac:dyDescent="0.3">
      <c r="A1702" s="3">
        <v>1696</v>
      </c>
      <c r="B1702" s="9">
        <f t="shared" si="105"/>
        <v>0.99732355445887699</v>
      </c>
      <c r="C1702" s="3">
        <f t="shared" si="106"/>
        <v>62389.569596283967</v>
      </c>
      <c r="D1702" s="3">
        <f t="shared" si="107"/>
        <v>0.28207960581494262</v>
      </c>
      <c r="E1702" s="8">
        <f t="shared" si="104"/>
        <v>242.28571428571428</v>
      </c>
    </row>
    <row r="1703" spans="1:5" ht="18.75" x14ac:dyDescent="0.3">
      <c r="A1703" s="3">
        <v>1697</v>
      </c>
      <c r="B1703" s="9">
        <f t="shared" si="105"/>
        <v>0.99732805411852299</v>
      </c>
      <c r="C1703" s="3">
        <f t="shared" si="106"/>
        <v>62389.851081492445</v>
      </c>
      <c r="D1703" s="3">
        <f t="shared" si="107"/>
        <v>0.28148520847753389</v>
      </c>
      <c r="E1703" s="8">
        <f t="shared" si="104"/>
        <v>242.42857142857142</v>
      </c>
    </row>
    <row r="1704" spans="1:5" ht="18.75" x14ac:dyDescent="0.3">
      <c r="A1704" s="3">
        <v>1698</v>
      </c>
      <c r="B1704" s="9">
        <f t="shared" si="105"/>
        <v>0.99733254430074425</v>
      </c>
      <c r="C1704" s="3">
        <f t="shared" si="106"/>
        <v>62390.131973821655</v>
      </c>
      <c r="D1704" s="3">
        <f t="shared" si="107"/>
        <v>0.28089232921047369</v>
      </c>
      <c r="E1704" s="8">
        <f t="shared" si="104"/>
        <v>242.57142857142858</v>
      </c>
    </row>
    <row r="1705" spans="1:5" ht="18.75" x14ac:dyDescent="0.3">
      <c r="A1705" s="3">
        <v>1699</v>
      </c>
      <c r="B1705" s="9">
        <f t="shared" si="105"/>
        <v>0.99733702502973509</v>
      </c>
      <c r="C1705" s="3">
        <f t="shared" si="106"/>
        <v>62390.412274785136</v>
      </c>
      <c r="D1705" s="3">
        <f t="shared" si="107"/>
        <v>0.28030096348084044</v>
      </c>
      <c r="E1705" s="8">
        <f t="shared" si="104"/>
        <v>242.71428571428572</v>
      </c>
    </row>
    <row r="1706" spans="1:5" ht="18.75" x14ac:dyDescent="0.3">
      <c r="A1706" s="3">
        <v>1700</v>
      </c>
      <c r="B1706" s="9">
        <f t="shared" si="105"/>
        <v>0.99734149632961655</v>
      </c>
      <c r="C1706" s="3">
        <f t="shared" si="106"/>
        <v>62390.691985891819</v>
      </c>
      <c r="D1706" s="3">
        <f t="shared" si="107"/>
        <v>0.27971110668295296</v>
      </c>
      <c r="E1706" s="8">
        <f t="shared" si="104"/>
        <v>242.85714285714286</v>
      </c>
    </row>
    <row r="1707" spans="1:5" ht="18.75" x14ac:dyDescent="0.3">
      <c r="A1707" s="3">
        <v>1701</v>
      </c>
      <c r="B1707" s="9">
        <f t="shared" si="105"/>
        <v>0.99734595822443728</v>
      </c>
      <c r="C1707" s="3">
        <f t="shared" si="106"/>
        <v>62390.971108646125</v>
      </c>
      <c r="D1707" s="3">
        <f t="shared" si="107"/>
        <v>0.27912275430571754</v>
      </c>
      <c r="E1707" s="8">
        <f t="shared" si="104"/>
        <v>243</v>
      </c>
    </row>
    <row r="1708" spans="1:5" ht="18.75" x14ac:dyDescent="0.3">
      <c r="A1708" s="3">
        <v>1702</v>
      </c>
      <c r="B1708" s="9">
        <f t="shared" si="105"/>
        <v>0.99735041073817321</v>
      </c>
      <c r="C1708" s="3">
        <f t="shared" si="106"/>
        <v>62391.249644547905</v>
      </c>
      <c r="D1708" s="3">
        <f t="shared" si="107"/>
        <v>0.27853590177983278</v>
      </c>
      <c r="E1708" s="8">
        <f t="shared" si="104"/>
        <v>243.14285714285714</v>
      </c>
    </row>
    <row r="1709" spans="1:5" ht="18.75" x14ac:dyDescent="0.3">
      <c r="A1709" s="3">
        <v>1703</v>
      </c>
      <c r="B1709" s="9">
        <f t="shared" si="105"/>
        <v>0.99735485389472811</v>
      </c>
      <c r="C1709" s="3">
        <f t="shared" si="106"/>
        <v>62391.527595092506</v>
      </c>
      <c r="D1709" s="3">
        <f t="shared" si="107"/>
        <v>0.27795054460148094</v>
      </c>
      <c r="E1709" s="8">
        <f t="shared" si="104"/>
        <v>243.28571428571428</v>
      </c>
    </row>
    <row r="1710" spans="1:5" ht="18.75" x14ac:dyDescent="0.3">
      <c r="A1710" s="3">
        <v>1704</v>
      </c>
      <c r="B1710" s="9">
        <f t="shared" si="105"/>
        <v>0.99735928771793403</v>
      </c>
      <c r="C1710" s="3">
        <f t="shared" si="106"/>
        <v>62391.804961770802</v>
      </c>
      <c r="D1710" s="3">
        <f t="shared" si="107"/>
        <v>0.27736667829594808</v>
      </c>
      <c r="E1710" s="8">
        <f t="shared" si="104"/>
        <v>243.42857142857142</v>
      </c>
    </row>
    <row r="1711" spans="1:5" ht="18.75" x14ac:dyDescent="0.3">
      <c r="A1711" s="3">
        <v>1705</v>
      </c>
      <c r="B1711" s="9">
        <f t="shared" si="105"/>
        <v>0.99736371223155085</v>
      </c>
      <c r="C1711" s="3">
        <f t="shared" si="106"/>
        <v>62392.081746069125</v>
      </c>
      <c r="D1711" s="3">
        <f t="shared" si="107"/>
        <v>0.27678429832303664</v>
      </c>
      <c r="E1711" s="8">
        <f t="shared" si="104"/>
        <v>243.57142857142858</v>
      </c>
    </row>
    <row r="1712" spans="1:5" ht="18.75" x14ac:dyDescent="0.3">
      <c r="A1712" s="3">
        <v>1706</v>
      </c>
      <c r="B1712" s="9">
        <f t="shared" si="105"/>
        <v>0.99736812745926751</v>
      </c>
      <c r="C1712" s="3">
        <f t="shared" si="106"/>
        <v>62392.357949469399</v>
      </c>
      <c r="D1712" s="3">
        <f t="shared" si="107"/>
        <v>0.27620340027351631</v>
      </c>
      <c r="E1712" s="8">
        <f t="shared" si="104"/>
        <v>243.71428571428572</v>
      </c>
    </row>
    <row r="1713" spans="1:5" ht="18.75" x14ac:dyDescent="0.3">
      <c r="A1713" s="3">
        <v>1707</v>
      </c>
      <c r="B1713" s="9">
        <f t="shared" si="105"/>
        <v>0.99737253342470145</v>
      </c>
      <c r="C1713" s="3">
        <f t="shared" si="106"/>
        <v>62392.633573449049</v>
      </c>
      <c r="D1713" s="3">
        <f t="shared" si="107"/>
        <v>0.27562397965084529</v>
      </c>
      <c r="E1713" s="8">
        <f t="shared" si="104"/>
        <v>243.85714285714286</v>
      </c>
    </row>
    <row r="1714" spans="1:5" ht="18.75" x14ac:dyDescent="0.3">
      <c r="A1714" s="3">
        <v>1708</v>
      </c>
      <c r="B1714" s="9">
        <f t="shared" si="105"/>
        <v>0.99737693015139917</v>
      </c>
      <c r="C1714" s="3">
        <f t="shared" si="106"/>
        <v>62392.908619481081</v>
      </c>
      <c r="D1714" s="3">
        <f t="shared" si="107"/>
        <v>0.27504603203124134</v>
      </c>
      <c r="E1714" s="8">
        <f t="shared" si="104"/>
        <v>244</v>
      </c>
    </row>
    <row r="1715" spans="1:5" ht="18.75" x14ac:dyDescent="0.3">
      <c r="A1715" s="3">
        <v>1709</v>
      </c>
      <c r="B1715" s="9">
        <f t="shared" si="105"/>
        <v>0.99738131766283655</v>
      </c>
      <c r="C1715" s="3">
        <f t="shared" si="106"/>
        <v>62393.183089034064</v>
      </c>
      <c r="D1715" s="3">
        <f t="shared" si="107"/>
        <v>0.27446955298364628</v>
      </c>
      <c r="E1715" s="8">
        <f t="shared" si="104"/>
        <v>244.14285714285714</v>
      </c>
    </row>
    <row r="1716" spans="1:5" ht="18.75" x14ac:dyDescent="0.3">
      <c r="A1716" s="3">
        <v>1710</v>
      </c>
      <c r="B1716" s="9">
        <f t="shared" si="105"/>
        <v>0.99738569598241889</v>
      </c>
      <c r="C1716" s="3">
        <f t="shared" si="106"/>
        <v>62393.456983572178</v>
      </c>
      <c r="D1716" s="3">
        <f t="shared" si="107"/>
        <v>0.27389453811338171</v>
      </c>
      <c r="E1716" s="8">
        <f t="shared" si="104"/>
        <v>244.28571428571428</v>
      </c>
    </row>
    <row r="1717" spans="1:5" ht="18.75" x14ac:dyDescent="0.3">
      <c r="A1717" s="3">
        <v>1711</v>
      </c>
      <c r="B1717" s="9">
        <f t="shared" si="105"/>
        <v>0.99739006513348161</v>
      </c>
      <c r="C1717" s="3">
        <f t="shared" si="106"/>
        <v>62393.730304555211</v>
      </c>
      <c r="D1717" s="3">
        <f t="shared" si="107"/>
        <v>0.2733209830330452</v>
      </c>
      <c r="E1717" s="8">
        <f t="shared" si="104"/>
        <v>244.42857142857142</v>
      </c>
    </row>
    <row r="1718" spans="1:5" ht="18.75" x14ac:dyDescent="0.3">
      <c r="A1718" s="3">
        <v>1712</v>
      </c>
      <c r="B1718" s="9">
        <f t="shared" si="105"/>
        <v>0.99739442513928955</v>
      </c>
      <c r="C1718" s="3">
        <f t="shared" si="106"/>
        <v>62394.003053438537</v>
      </c>
      <c r="D1718" s="3">
        <f t="shared" si="107"/>
        <v>0.27274888332613045</v>
      </c>
      <c r="E1718" s="8">
        <f t="shared" si="104"/>
        <v>244.57142857142858</v>
      </c>
    </row>
    <row r="1719" spans="1:5" ht="18.75" x14ac:dyDescent="0.3">
      <c r="A1719" s="3">
        <v>1713</v>
      </c>
      <c r="B1719" s="9">
        <f t="shared" si="105"/>
        <v>0.9973987760230385</v>
      </c>
      <c r="C1719" s="3">
        <f t="shared" si="106"/>
        <v>62394.275231673222</v>
      </c>
      <c r="D1719" s="3">
        <f t="shared" si="107"/>
        <v>0.27217823468527058</v>
      </c>
      <c r="E1719" s="8">
        <f t="shared" si="104"/>
        <v>244.71428571428572</v>
      </c>
    </row>
    <row r="1720" spans="1:5" ht="18.75" x14ac:dyDescent="0.3">
      <c r="A1720" s="3">
        <v>1714</v>
      </c>
      <c r="B1720" s="9">
        <f t="shared" si="105"/>
        <v>0.99740311780785418</v>
      </c>
      <c r="C1720" s="3">
        <f t="shared" si="106"/>
        <v>62394.546840705931</v>
      </c>
      <c r="D1720" s="3">
        <f t="shared" si="107"/>
        <v>0.27160903270851122</v>
      </c>
      <c r="E1720" s="8">
        <f t="shared" si="104"/>
        <v>244.85714285714286</v>
      </c>
    </row>
    <row r="1721" spans="1:5" ht="18.75" x14ac:dyDescent="0.3">
      <c r="A1721" s="3">
        <v>1715</v>
      </c>
      <c r="B1721" s="9">
        <f t="shared" si="105"/>
        <v>0.99740745051679347</v>
      </c>
      <c r="C1721" s="3">
        <f t="shared" si="106"/>
        <v>62394.817881979048</v>
      </c>
      <c r="D1721" s="3">
        <f t="shared" si="107"/>
        <v>0.2710412731175893</v>
      </c>
      <c r="E1721" s="8">
        <f t="shared" si="104"/>
        <v>245</v>
      </c>
    </row>
    <row r="1722" spans="1:5" ht="18.75" x14ac:dyDescent="0.3">
      <c r="A1722" s="3">
        <v>1716</v>
      </c>
      <c r="B1722" s="9">
        <f t="shared" si="105"/>
        <v>0.99741177417284399</v>
      </c>
      <c r="C1722" s="3">
        <f t="shared" si="106"/>
        <v>62395.088356930602</v>
      </c>
      <c r="D1722" s="3">
        <f t="shared" si="107"/>
        <v>0.2704749515542062</v>
      </c>
      <c r="E1722" s="8">
        <f t="shared" si="104"/>
        <v>245.14285714285714</v>
      </c>
    </row>
    <row r="1723" spans="1:5" ht="18.75" x14ac:dyDescent="0.3">
      <c r="A1723" s="3">
        <v>1717</v>
      </c>
      <c r="B1723" s="9">
        <f t="shared" si="105"/>
        <v>0.99741608879892463</v>
      </c>
      <c r="C1723" s="3">
        <f t="shared" si="106"/>
        <v>62395.358266994328</v>
      </c>
      <c r="D1723" s="3">
        <f t="shared" si="107"/>
        <v>0.26991006372554693</v>
      </c>
      <c r="E1723" s="8">
        <f t="shared" si="104"/>
        <v>245.28571428571428</v>
      </c>
    </row>
    <row r="1724" spans="1:5" ht="18.75" x14ac:dyDescent="0.3">
      <c r="A1724" s="3">
        <v>1718</v>
      </c>
      <c r="B1724" s="9">
        <f t="shared" si="105"/>
        <v>0.99742039441788599</v>
      </c>
      <c r="C1724" s="3">
        <f t="shared" si="106"/>
        <v>62395.627613599696</v>
      </c>
      <c r="D1724" s="3">
        <f t="shared" si="107"/>
        <v>0.26934660536790034</v>
      </c>
      <c r="E1724" s="8">
        <f t="shared" si="104"/>
        <v>245.42857142857142</v>
      </c>
    </row>
    <row r="1725" spans="1:5" ht="18.75" x14ac:dyDescent="0.3">
      <c r="A1725" s="3">
        <v>1719</v>
      </c>
      <c r="B1725" s="9">
        <f t="shared" si="105"/>
        <v>0.99742469105250997</v>
      </c>
      <c r="C1725" s="3">
        <f t="shared" si="106"/>
        <v>62395.89639817187</v>
      </c>
      <c r="D1725" s="3">
        <f t="shared" si="107"/>
        <v>0.26878457217389951</v>
      </c>
      <c r="E1725" s="8">
        <f t="shared" si="104"/>
        <v>245.57142857142858</v>
      </c>
    </row>
    <row r="1726" spans="1:5" ht="18.75" x14ac:dyDescent="0.3">
      <c r="A1726" s="3">
        <v>1720</v>
      </c>
      <c r="B1726" s="9">
        <f t="shared" si="105"/>
        <v>0.99742897872551084</v>
      </c>
      <c r="C1726" s="3">
        <f t="shared" si="106"/>
        <v>62396.164622131779</v>
      </c>
      <c r="D1726" s="3">
        <f t="shared" si="107"/>
        <v>0.2682239599089371</v>
      </c>
      <c r="E1726" s="8">
        <f t="shared" si="104"/>
        <v>245.71428571428572</v>
      </c>
    </row>
    <row r="1727" spans="1:5" ht="18.75" x14ac:dyDescent="0.3">
      <c r="A1727" s="3">
        <v>1721</v>
      </c>
      <c r="B1727" s="9">
        <f t="shared" si="105"/>
        <v>0.99743325745953471</v>
      </c>
      <c r="C1727" s="3">
        <f t="shared" si="106"/>
        <v>62396.43228689611</v>
      </c>
      <c r="D1727" s="3">
        <f t="shared" si="107"/>
        <v>0.26766476433112985</v>
      </c>
      <c r="E1727" s="8">
        <f t="shared" si="104"/>
        <v>245.85714285714286</v>
      </c>
    </row>
    <row r="1728" spans="1:5" ht="18.75" x14ac:dyDescent="0.3">
      <c r="A1728" s="3">
        <v>1722</v>
      </c>
      <c r="B1728" s="9">
        <f t="shared" si="105"/>
        <v>0.99743752727716017</v>
      </c>
      <c r="C1728" s="3">
        <f t="shared" si="106"/>
        <v>62396.699393877308</v>
      </c>
      <c r="D1728" s="3">
        <f t="shared" si="107"/>
        <v>0.26710698119859444</v>
      </c>
      <c r="E1728" s="8">
        <f t="shared" si="104"/>
        <v>246</v>
      </c>
    </row>
    <row r="1729" spans="1:5" ht="18.75" x14ac:dyDescent="0.3">
      <c r="A1729" s="3">
        <v>1723</v>
      </c>
      <c r="B1729" s="9">
        <f t="shared" si="105"/>
        <v>0.99744178820089868</v>
      </c>
      <c r="C1729" s="3">
        <f t="shared" si="106"/>
        <v>62396.965944483622</v>
      </c>
      <c r="D1729" s="3">
        <f t="shared" si="107"/>
        <v>0.26655060631310334</v>
      </c>
      <c r="E1729" s="8">
        <f t="shared" si="104"/>
        <v>246.14285714285714</v>
      </c>
    </row>
    <row r="1730" spans="1:5" ht="18.75" x14ac:dyDescent="0.3">
      <c r="A1730" s="3">
        <v>1724</v>
      </c>
      <c r="B1730" s="9">
        <f t="shared" si="105"/>
        <v>0.99744604025319428</v>
      </c>
      <c r="C1730" s="3">
        <f t="shared" si="106"/>
        <v>62397.231940119076</v>
      </c>
      <c r="D1730" s="3">
        <f t="shared" si="107"/>
        <v>0.26599563545460114</v>
      </c>
      <c r="E1730" s="8">
        <f t="shared" si="104"/>
        <v>246.28571428571428</v>
      </c>
    </row>
    <row r="1731" spans="1:5" ht="18.75" x14ac:dyDescent="0.3">
      <c r="A1731" s="3">
        <v>1725</v>
      </c>
      <c r="B1731" s="9">
        <f t="shared" si="105"/>
        <v>0.99745028345642439</v>
      </c>
      <c r="C1731" s="3">
        <f t="shared" si="106"/>
        <v>62397.497382183537</v>
      </c>
      <c r="D1731" s="3">
        <f t="shared" si="107"/>
        <v>0.26544206446124008</v>
      </c>
      <c r="E1731" s="8">
        <f t="shared" si="104"/>
        <v>246.42857142857142</v>
      </c>
    </row>
    <row r="1732" spans="1:5" ht="18.75" x14ac:dyDescent="0.3">
      <c r="A1732" s="3">
        <v>1726</v>
      </c>
      <c r="B1732" s="9">
        <f t="shared" si="105"/>
        <v>0.99745451783289951</v>
      </c>
      <c r="C1732" s="3">
        <f t="shared" si="106"/>
        <v>62397.762272072694</v>
      </c>
      <c r="D1732" s="3">
        <f t="shared" si="107"/>
        <v>0.26488988915662048</v>
      </c>
      <c r="E1732" s="8">
        <f t="shared" si="104"/>
        <v>246.57142857142858</v>
      </c>
    </row>
    <row r="1733" spans="1:5" ht="18.75" x14ac:dyDescent="0.3">
      <c r="A1733" s="3">
        <v>1727</v>
      </c>
      <c r="B1733" s="9">
        <f t="shared" si="105"/>
        <v>0.99745874340486385</v>
      </c>
      <c r="C1733" s="3">
        <f t="shared" si="106"/>
        <v>62398.026611178066</v>
      </c>
      <c r="D1733" s="3">
        <f t="shared" si="107"/>
        <v>0.26433910537161864</v>
      </c>
      <c r="E1733" s="8">
        <f t="shared" si="104"/>
        <v>246.71428571428572</v>
      </c>
    </row>
    <row r="1734" spans="1:5" ht="18.75" x14ac:dyDescent="0.3">
      <c r="A1734" s="3">
        <v>1728</v>
      </c>
      <c r="B1734" s="9">
        <f t="shared" si="105"/>
        <v>0.99746296019449554</v>
      </c>
      <c r="C1734" s="3">
        <f t="shared" si="106"/>
        <v>62398.290400887061</v>
      </c>
      <c r="D1734" s="3">
        <f t="shared" si="107"/>
        <v>0.26378970899531851</v>
      </c>
      <c r="E1734" s="8">
        <f t="shared" si="104"/>
        <v>246.85714285714286</v>
      </c>
    </row>
    <row r="1735" spans="1:5" ht="18.75" x14ac:dyDescent="0.3">
      <c r="A1735" s="3">
        <v>1729</v>
      </c>
      <c r="B1735" s="9">
        <f t="shared" si="105"/>
        <v>0.99746716822390635</v>
      </c>
      <c r="C1735" s="3">
        <f t="shared" si="106"/>
        <v>62398.553642582912</v>
      </c>
      <c r="D1735" s="3">
        <f t="shared" si="107"/>
        <v>0.2632416958513204</v>
      </c>
      <c r="E1735" s="8">
        <f t="shared" ref="E1735:E1798" si="108">A1735/7</f>
        <v>247</v>
      </c>
    </row>
    <row r="1736" spans="1:5" ht="18.75" x14ac:dyDescent="0.3">
      <c r="A1736" s="3">
        <v>1730</v>
      </c>
      <c r="B1736" s="9">
        <f t="shared" ref="B1736:B1799" si="109">LOGNORMDIST(A1736,$A$3,$B$3)</f>
        <v>0.99747136751514276</v>
      </c>
      <c r="C1736" s="3">
        <f t="shared" ref="C1736:C1799" si="110">$E$3*B1736</f>
        <v>62398.816337644785</v>
      </c>
      <c r="D1736" s="3">
        <f t="shared" ref="D1736:D1799" si="111">C1736-C1735</f>
        <v>0.26269506187236402</v>
      </c>
      <c r="E1736" s="8">
        <f t="shared" si="108"/>
        <v>247.14285714285714</v>
      </c>
    </row>
    <row r="1737" spans="1:5" ht="18.75" x14ac:dyDescent="0.3">
      <c r="A1737" s="3">
        <v>1731</v>
      </c>
      <c r="B1737" s="9">
        <f t="shared" si="109"/>
        <v>0.99747555809018551</v>
      </c>
      <c r="C1737" s="3">
        <f t="shared" si="110"/>
        <v>62399.078487447732</v>
      </c>
      <c r="D1737" s="3">
        <f t="shared" si="111"/>
        <v>0.26214980294753332</v>
      </c>
      <c r="E1737" s="8">
        <f t="shared" si="108"/>
        <v>247.28571428571428</v>
      </c>
    </row>
    <row r="1738" spans="1:5" ht="18.75" x14ac:dyDescent="0.3">
      <c r="A1738" s="3">
        <v>1732</v>
      </c>
      <c r="B1738" s="9">
        <f t="shared" si="109"/>
        <v>0.99747973997095007</v>
      </c>
      <c r="C1738" s="3">
        <f t="shared" si="110"/>
        <v>62399.340093362727</v>
      </c>
      <c r="D1738" s="3">
        <f t="shared" si="111"/>
        <v>0.26160591499501606</v>
      </c>
      <c r="E1738" s="8">
        <f t="shared" si="108"/>
        <v>247.42857142857142</v>
      </c>
    </row>
    <row r="1739" spans="1:5" ht="18.75" x14ac:dyDescent="0.3">
      <c r="A1739" s="3">
        <v>1733</v>
      </c>
      <c r="B1739" s="9">
        <f t="shared" si="109"/>
        <v>0.99748391317928664</v>
      </c>
      <c r="C1739" s="3">
        <f t="shared" si="110"/>
        <v>62399.601156756631</v>
      </c>
      <c r="D1739" s="3">
        <f t="shared" si="111"/>
        <v>0.26106339390389621</v>
      </c>
      <c r="E1739" s="8">
        <f t="shared" si="108"/>
        <v>247.57142857142858</v>
      </c>
    </row>
    <row r="1740" spans="1:5" ht="18.75" x14ac:dyDescent="0.3">
      <c r="A1740" s="3">
        <v>1734</v>
      </c>
      <c r="B1740" s="9">
        <f t="shared" si="109"/>
        <v>0.997488077736981</v>
      </c>
      <c r="C1740" s="3">
        <f t="shared" si="110"/>
        <v>62399.861678992318</v>
      </c>
      <c r="D1740" s="3">
        <f t="shared" si="111"/>
        <v>0.26052223568694899</v>
      </c>
      <c r="E1740" s="8">
        <f t="shared" si="108"/>
        <v>247.71428571428572</v>
      </c>
    </row>
    <row r="1741" spans="1:5" ht="18.75" x14ac:dyDescent="0.3">
      <c r="A1741" s="3">
        <v>1735</v>
      </c>
      <c r="B1741" s="9">
        <f t="shared" si="109"/>
        <v>0.99749223366575401</v>
      </c>
      <c r="C1741" s="3">
        <f t="shared" si="110"/>
        <v>62400.121661428573</v>
      </c>
      <c r="D1741" s="3">
        <f t="shared" si="111"/>
        <v>0.25998243625508621</v>
      </c>
      <c r="E1741" s="8">
        <f t="shared" si="108"/>
        <v>247.85714285714286</v>
      </c>
    </row>
    <row r="1742" spans="1:5" ht="18.75" x14ac:dyDescent="0.3">
      <c r="A1742" s="3">
        <v>1736</v>
      </c>
      <c r="B1742" s="9">
        <f t="shared" si="109"/>
        <v>0.99749638098726223</v>
      </c>
      <c r="C1742" s="3">
        <f t="shared" si="110"/>
        <v>62400.381105420165</v>
      </c>
      <c r="D1742" s="3">
        <f t="shared" si="111"/>
        <v>0.25944399159197928</v>
      </c>
      <c r="E1742" s="8">
        <f t="shared" si="108"/>
        <v>248</v>
      </c>
    </row>
    <row r="1743" spans="1:5" ht="18.75" x14ac:dyDescent="0.3">
      <c r="A1743" s="3">
        <v>1737</v>
      </c>
      <c r="B1743" s="9">
        <f t="shared" si="109"/>
        <v>0.99750051972309783</v>
      </c>
      <c r="C1743" s="3">
        <f t="shared" si="110"/>
        <v>62400.640012317832</v>
      </c>
      <c r="D1743" s="3">
        <f t="shared" si="111"/>
        <v>0.25890689766674768</v>
      </c>
      <c r="E1743" s="8">
        <f t="shared" si="108"/>
        <v>248.14285714285714</v>
      </c>
    </row>
    <row r="1744" spans="1:5" ht="18.75" x14ac:dyDescent="0.3">
      <c r="A1744" s="3">
        <v>1738</v>
      </c>
      <c r="B1744" s="9">
        <f t="shared" si="109"/>
        <v>0.99750464989478937</v>
      </c>
      <c r="C1744" s="3">
        <f t="shared" si="110"/>
        <v>62400.898383468339</v>
      </c>
      <c r="D1744" s="3">
        <f t="shared" si="111"/>
        <v>0.25837115050671855</v>
      </c>
      <c r="E1744" s="8">
        <f t="shared" si="108"/>
        <v>248.28571428571428</v>
      </c>
    </row>
    <row r="1745" spans="1:5" ht="18.75" x14ac:dyDescent="0.3">
      <c r="A1745" s="3">
        <v>1739</v>
      </c>
      <c r="B1745" s="9">
        <f t="shared" si="109"/>
        <v>0.99750877152380146</v>
      </c>
      <c r="C1745" s="3">
        <f t="shared" si="110"/>
        <v>62401.156220214449</v>
      </c>
      <c r="D1745" s="3">
        <f t="shared" si="111"/>
        <v>0.2578367461101152</v>
      </c>
      <c r="E1745" s="8">
        <f t="shared" si="108"/>
        <v>248.42857142857142</v>
      </c>
    </row>
    <row r="1746" spans="1:5" ht="18.75" x14ac:dyDescent="0.3">
      <c r="A1746" s="3">
        <v>1740</v>
      </c>
      <c r="B1746" s="9">
        <f t="shared" si="109"/>
        <v>0.9975128846315352</v>
      </c>
      <c r="C1746" s="3">
        <f t="shared" si="110"/>
        <v>62401.413523894946</v>
      </c>
      <c r="D1746" s="3">
        <f t="shared" si="111"/>
        <v>0.25730368049698882</v>
      </c>
      <c r="E1746" s="8">
        <f t="shared" si="108"/>
        <v>248.57142857142858</v>
      </c>
    </row>
    <row r="1747" spans="1:5" ht="18.75" x14ac:dyDescent="0.3">
      <c r="A1747" s="3">
        <v>1741</v>
      </c>
      <c r="B1747" s="9">
        <f t="shared" si="109"/>
        <v>0.99751698923932841</v>
      </c>
      <c r="C1747" s="3">
        <f t="shared" si="110"/>
        <v>62401.670295844669</v>
      </c>
      <c r="D1747" s="3">
        <f t="shared" si="111"/>
        <v>0.25677194972377038</v>
      </c>
      <c r="E1747" s="8">
        <f t="shared" si="108"/>
        <v>248.71428571428572</v>
      </c>
    </row>
    <row r="1748" spans="1:5" ht="18.75" x14ac:dyDescent="0.3">
      <c r="A1748" s="3">
        <v>1742</v>
      </c>
      <c r="B1748" s="9">
        <f t="shared" si="109"/>
        <v>0.99752108536845585</v>
      </c>
      <c r="C1748" s="3">
        <f t="shared" si="110"/>
        <v>62401.926537394495</v>
      </c>
      <c r="D1748" s="3">
        <f t="shared" si="111"/>
        <v>0.25624154982506298</v>
      </c>
      <c r="E1748" s="8">
        <f t="shared" si="108"/>
        <v>248.85714285714286</v>
      </c>
    </row>
    <row r="1749" spans="1:5" ht="18.75" x14ac:dyDescent="0.3">
      <c r="A1749" s="3">
        <v>1743</v>
      </c>
      <c r="B1749" s="9">
        <f t="shared" si="109"/>
        <v>0.99752517304012922</v>
      </c>
      <c r="C1749" s="3">
        <f t="shared" si="110"/>
        <v>62402.182249871366</v>
      </c>
      <c r="D1749" s="3">
        <f t="shared" si="111"/>
        <v>0.2557124768718495</v>
      </c>
      <c r="E1749" s="8">
        <f t="shared" si="108"/>
        <v>249</v>
      </c>
    </row>
    <row r="1750" spans="1:5" ht="18.75" x14ac:dyDescent="0.3">
      <c r="A1750" s="3">
        <v>1744</v>
      </c>
      <c r="B1750" s="9">
        <f t="shared" si="109"/>
        <v>0.99752925227549794</v>
      </c>
      <c r="C1750" s="3">
        <f t="shared" si="110"/>
        <v>62402.437434598323</v>
      </c>
      <c r="D1750" s="3">
        <f t="shared" si="111"/>
        <v>0.25518472695694072</v>
      </c>
      <c r="E1750" s="8">
        <f t="shared" si="108"/>
        <v>249.14285714285714</v>
      </c>
    </row>
    <row r="1751" spans="1:5" ht="18.75" x14ac:dyDescent="0.3">
      <c r="A1751" s="3">
        <v>1745</v>
      </c>
      <c r="B1751" s="9">
        <f t="shared" si="109"/>
        <v>0.99753332309564868</v>
      </c>
      <c r="C1751" s="3">
        <f t="shared" si="110"/>
        <v>62402.692092894496</v>
      </c>
      <c r="D1751" s="3">
        <f t="shared" si="111"/>
        <v>0.25465829617314739</v>
      </c>
      <c r="E1751" s="8">
        <f t="shared" si="108"/>
        <v>249.28571428571428</v>
      </c>
    </row>
    <row r="1752" spans="1:5" ht="18.75" x14ac:dyDescent="0.3">
      <c r="A1752" s="3">
        <v>1746</v>
      </c>
      <c r="B1752" s="9">
        <f t="shared" si="109"/>
        <v>0.99753738552160598</v>
      </c>
      <c r="C1752" s="3">
        <f t="shared" si="110"/>
        <v>62402.946226075102</v>
      </c>
      <c r="D1752" s="3">
        <f t="shared" si="111"/>
        <v>0.25413318060600432</v>
      </c>
      <c r="E1752" s="8">
        <f t="shared" si="108"/>
        <v>249.42857142857142</v>
      </c>
    </row>
    <row r="1753" spans="1:5" ht="18.75" x14ac:dyDescent="0.3">
      <c r="A1753" s="3">
        <v>1747</v>
      </c>
      <c r="B1753" s="9">
        <f t="shared" si="109"/>
        <v>0.99754143957433228</v>
      </c>
      <c r="C1753" s="3">
        <f t="shared" si="110"/>
        <v>62403.199835451502</v>
      </c>
      <c r="D1753" s="3">
        <f t="shared" si="111"/>
        <v>0.25360937639925396</v>
      </c>
      <c r="E1753" s="8">
        <f t="shared" si="108"/>
        <v>249.57142857142858</v>
      </c>
    </row>
    <row r="1754" spans="1:5" ht="18.75" x14ac:dyDescent="0.3">
      <c r="A1754" s="3">
        <v>1748</v>
      </c>
      <c r="B1754" s="9">
        <f t="shared" si="109"/>
        <v>0.99754548527472831</v>
      </c>
      <c r="C1754" s="3">
        <f t="shared" si="110"/>
        <v>62403.452922331177</v>
      </c>
      <c r="D1754" s="3">
        <f t="shared" si="111"/>
        <v>0.25308687967481092</v>
      </c>
      <c r="E1754" s="8">
        <f t="shared" si="108"/>
        <v>249.71428571428572</v>
      </c>
    </row>
    <row r="1755" spans="1:5" ht="18.75" x14ac:dyDescent="0.3">
      <c r="A1755" s="3">
        <v>1749</v>
      </c>
      <c r="B1755" s="9">
        <f t="shared" si="109"/>
        <v>0.99754952264363317</v>
      </c>
      <c r="C1755" s="3">
        <f t="shared" si="110"/>
        <v>62403.70548801776</v>
      </c>
      <c r="D1755" s="3">
        <f t="shared" si="111"/>
        <v>0.2525656865836936</v>
      </c>
      <c r="E1755" s="8">
        <f t="shared" si="108"/>
        <v>249.85714285714286</v>
      </c>
    </row>
    <row r="1756" spans="1:5" ht="18.75" x14ac:dyDescent="0.3">
      <c r="A1756" s="3">
        <v>1750</v>
      </c>
      <c r="B1756" s="9">
        <f t="shared" si="109"/>
        <v>0.99755355170182469</v>
      </c>
      <c r="C1756" s="3">
        <f t="shared" si="110"/>
        <v>62403.957533811044</v>
      </c>
      <c r="D1756" s="3">
        <f t="shared" si="111"/>
        <v>0.25204579328419641</v>
      </c>
      <c r="E1756" s="8">
        <f t="shared" si="108"/>
        <v>250</v>
      </c>
    </row>
    <row r="1757" spans="1:5" ht="18.75" x14ac:dyDescent="0.3">
      <c r="A1757" s="3">
        <v>1751</v>
      </c>
      <c r="B1757" s="9">
        <f t="shared" si="109"/>
        <v>0.9975575724700193</v>
      </c>
      <c r="C1757" s="3">
        <f t="shared" si="110"/>
        <v>62404.209061007001</v>
      </c>
      <c r="D1757" s="3">
        <f t="shared" si="111"/>
        <v>0.25152719595644157</v>
      </c>
      <c r="E1757" s="8">
        <f t="shared" si="108"/>
        <v>250.14285714285714</v>
      </c>
    </row>
    <row r="1758" spans="1:5" ht="18.75" x14ac:dyDescent="0.3">
      <c r="A1758" s="3">
        <v>1752</v>
      </c>
      <c r="B1758" s="9">
        <f t="shared" si="109"/>
        <v>0.99756158496887259</v>
      </c>
      <c r="C1758" s="3">
        <f t="shared" si="110"/>
        <v>62404.46007089776</v>
      </c>
      <c r="D1758" s="3">
        <f t="shared" si="111"/>
        <v>0.25100989075872349</v>
      </c>
      <c r="E1758" s="8">
        <f t="shared" si="108"/>
        <v>250.28571428571428</v>
      </c>
    </row>
    <row r="1759" spans="1:5" ht="18.75" x14ac:dyDescent="0.3">
      <c r="A1759" s="3">
        <v>1753</v>
      </c>
      <c r="B1759" s="9">
        <f t="shared" si="109"/>
        <v>0.99756558921897953</v>
      </c>
      <c r="C1759" s="3">
        <f t="shared" si="110"/>
        <v>62404.710564771704</v>
      </c>
      <c r="D1759" s="3">
        <f t="shared" si="111"/>
        <v>0.25049387394392397</v>
      </c>
      <c r="E1759" s="8">
        <f t="shared" si="108"/>
        <v>250.42857142857142</v>
      </c>
    </row>
    <row r="1760" spans="1:5" ht="18.75" x14ac:dyDescent="0.3">
      <c r="A1760" s="3">
        <v>1754</v>
      </c>
      <c r="B1760" s="9">
        <f t="shared" si="109"/>
        <v>0.99756958524087425</v>
      </c>
      <c r="C1760" s="3">
        <f t="shared" si="110"/>
        <v>62404.960543913367</v>
      </c>
      <c r="D1760" s="3">
        <f t="shared" si="111"/>
        <v>0.24997914166306145</v>
      </c>
      <c r="E1760" s="8">
        <f t="shared" si="108"/>
        <v>250.57142857142858</v>
      </c>
    </row>
    <row r="1761" spans="1:5" ht="18.75" x14ac:dyDescent="0.3">
      <c r="A1761" s="3">
        <v>1755</v>
      </c>
      <c r="B1761" s="9">
        <f t="shared" si="109"/>
        <v>0.99757357305503058</v>
      </c>
      <c r="C1761" s="3">
        <f t="shared" si="110"/>
        <v>62405.21000960355</v>
      </c>
      <c r="D1761" s="3">
        <f t="shared" si="111"/>
        <v>0.24946569018356968</v>
      </c>
      <c r="E1761" s="8">
        <f t="shared" si="108"/>
        <v>250.71428571428572</v>
      </c>
    </row>
    <row r="1762" spans="1:5" ht="18.75" x14ac:dyDescent="0.3">
      <c r="A1762" s="3">
        <v>1756</v>
      </c>
      <c r="B1762" s="9">
        <f t="shared" si="109"/>
        <v>0.99757755268186254</v>
      </c>
      <c r="C1762" s="3">
        <f t="shared" si="110"/>
        <v>62405.458963119272</v>
      </c>
      <c r="D1762" s="3">
        <f t="shared" si="111"/>
        <v>0.24895351572195068</v>
      </c>
      <c r="E1762" s="8">
        <f t="shared" si="108"/>
        <v>250.85714285714286</v>
      </c>
    </row>
    <row r="1763" spans="1:5" ht="18.75" x14ac:dyDescent="0.3">
      <c r="A1763" s="3">
        <v>1757</v>
      </c>
      <c r="B1763" s="9">
        <f t="shared" si="109"/>
        <v>0.99758152414172385</v>
      </c>
      <c r="C1763" s="3">
        <f t="shared" si="110"/>
        <v>62405.707405733818</v>
      </c>
      <c r="D1763" s="3">
        <f t="shared" si="111"/>
        <v>0.24844261454563821</v>
      </c>
      <c r="E1763" s="8">
        <f t="shared" si="108"/>
        <v>251</v>
      </c>
    </row>
    <row r="1764" spans="1:5" ht="18.75" x14ac:dyDescent="0.3">
      <c r="A1764" s="3">
        <v>1758</v>
      </c>
      <c r="B1764" s="9">
        <f t="shared" si="109"/>
        <v>0.9975854874549086</v>
      </c>
      <c r="C1764" s="3">
        <f t="shared" si="110"/>
        <v>62405.955338716718</v>
      </c>
      <c r="D1764" s="3">
        <f t="shared" si="111"/>
        <v>0.24793298290023813</v>
      </c>
      <c r="E1764" s="8">
        <f t="shared" si="108"/>
        <v>251.14285714285714</v>
      </c>
    </row>
    <row r="1765" spans="1:5" ht="18.75" x14ac:dyDescent="0.3">
      <c r="A1765" s="3">
        <v>1759</v>
      </c>
      <c r="B1765" s="9">
        <f t="shared" si="109"/>
        <v>0.99758944264165139</v>
      </c>
      <c r="C1765" s="3">
        <f t="shared" si="110"/>
        <v>62406.202763333786</v>
      </c>
      <c r="D1765" s="3">
        <f t="shared" si="111"/>
        <v>0.24742461706773611</v>
      </c>
      <c r="E1765" s="8">
        <f t="shared" si="108"/>
        <v>251.28571428571428</v>
      </c>
    </row>
    <row r="1766" spans="1:5" ht="18.75" x14ac:dyDescent="0.3">
      <c r="A1766" s="3">
        <v>1760</v>
      </c>
      <c r="B1766" s="9">
        <f t="shared" si="109"/>
        <v>0.99759338972212752</v>
      </c>
      <c r="C1766" s="3">
        <f t="shared" si="110"/>
        <v>62406.44968084713</v>
      </c>
      <c r="D1766" s="3">
        <f t="shared" si="111"/>
        <v>0.24691751334466971</v>
      </c>
      <c r="E1766" s="8">
        <f t="shared" si="108"/>
        <v>251.42857142857142</v>
      </c>
    </row>
    <row r="1767" spans="1:5" ht="18.75" x14ac:dyDescent="0.3">
      <c r="A1767" s="3">
        <v>1761</v>
      </c>
      <c r="B1767" s="9">
        <f t="shared" si="109"/>
        <v>0.99759732871645312</v>
      </c>
      <c r="C1767" s="3">
        <f t="shared" si="110"/>
        <v>62406.696092515158</v>
      </c>
      <c r="D1767" s="3">
        <f t="shared" si="111"/>
        <v>0.24641166802757652</v>
      </c>
      <c r="E1767" s="8">
        <f t="shared" si="108"/>
        <v>251.57142857142858</v>
      </c>
    </row>
    <row r="1768" spans="1:5" ht="18.75" x14ac:dyDescent="0.3">
      <c r="A1768" s="3">
        <v>1762</v>
      </c>
      <c r="B1768" s="9">
        <f t="shared" si="109"/>
        <v>0.99760125964468527</v>
      </c>
      <c r="C1768" s="3">
        <f t="shared" si="110"/>
        <v>62406.941999592578</v>
      </c>
      <c r="D1768" s="3">
        <f t="shared" si="111"/>
        <v>0.24590707742027007</v>
      </c>
      <c r="E1768" s="8">
        <f t="shared" si="108"/>
        <v>251.71428571428572</v>
      </c>
    </row>
    <row r="1769" spans="1:5" ht="18.75" x14ac:dyDescent="0.3">
      <c r="A1769" s="3">
        <v>1763</v>
      </c>
      <c r="B1769" s="9">
        <f t="shared" si="109"/>
        <v>0.99760518252682262</v>
      </c>
      <c r="C1769" s="3">
        <f t="shared" si="110"/>
        <v>62407.187403330441</v>
      </c>
      <c r="D1769" s="3">
        <f t="shared" si="111"/>
        <v>0.24540373786294367</v>
      </c>
      <c r="E1769" s="8">
        <f t="shared" si="108"/>
        <v>251.85714285714286</v>
      </c>
    </row>
    <row r="1770" spans="1:5" ht="18.75" x14ac:dyDescent="0.3">
      <c r="A1770" s="3">
        <v>1764</v>
      </c>
      <c r="B1770" s="9">
        <f t="shared" si="109"/>
        <v>0.99760909738280501</v>
      </c>
      <c r="C1770" s="3">
        <f t="shared" si="110"/>
        <v>62407.43230497613</v>
      </c>
      <c r="D1770" s="3">
        <f t="shared" si="111"/>
        <v>0.24490164568851469</v>
      </c>
      <c r="E1770" s="8">
        <f t="shared" si="108"/>
        <v>252</v>
      </c>
    </row>
    <row r="1771" spans="1:5" ht="18.75" x14ac:dyDescent="0.3">
      <c r="A1771" s="3">
        <v>1765</v>
      </c>
      <c r="B1771" s="9">
        <f t="shared" si="109"/>
        <v>0.99761300423251409</v>
      </c>
      <c r="C1771" s="3">
        <f t="shared" si="110"/>
        <v>62407.676705773381</v>
      </c>
      <c r="D1771" s="3">
        <f t="shared" si="111"/>
        <v>0.24440079725172836</v>
      </c>
      <c r="E1771" s="8">
        <f t="shared" si="108"/>
        <v>252.14285714285714</v>
      </c>
    </row>
    <row r="1772" spans="1:5" ht="18.75" x14ac:dyDescent="0.3">
      <c r="A1772" s="3">
        <v>1766</v>
      </c>
      <c r="B1772" s="9">
        <f t="shared" si="109"/>
        <v>0.99761690309577322</v>
      </c>
      <c r="C1772" s="3">
        <f t="shared" si="110"/>
        <v>62407.920606962289</v>
      </c>
      <c r="D1772" s="3">
        <f t="shared" si="111"/>
        <v>0.24390118890732992</v>
      </c>
      <c r="E1772" s="8">
        <f t="shared" si="108"/>
        <v>252.28571428571428</v>
      </c>
    </row>
    <row r="1773" spans="1:5" ht="18.75" x14ac:dyDescent="0.3">
      <c r="A1773" s="3">
        <v>1767</v>
      </c>
      <c r="B1773" s="9">
        <f t="shared" si="109"/>
        <v>0.99762079399234815</v>
      </c>
      <c r="C1773" s="3">
        <f t="shared" si="110"/>
        <v>62408.164009779321</v>
      </c>
      <c r="D1773" s="3">
        <f t="shared" si="111"/>
        <v>0.24340281703189248</v>
      </c>
      <c r="E1773" s="8">
        <f t="shared" si="108"/>
        <v>252.42857142857142</v>
      </c>
    </row>
    <row r="1774" spans="1:5" ht="18.75" x14ac:dyDescent="0.3">
      <c r="A1774" s="3">
        <v>1768</v>
      </c>
      <c r="B1774" s="9">
        <f t="shared" si="109"/>
        <v>0.99762467694194656</v>
      </c>
      <c r="C1774" s="3">
        <f t="shared" si="110"/>
        <v>62408.406915457352</v>
      </c>
      <c r="D1774" s="3">
        <f t="shared" si="111"/>
        <v>0.24290567803109298</v>
      </c>
      <c r="E1774" s="8">
        <f t="shared" si="108"/>
        <v>252.57142857142858</v>
      </c>
    </row>
    <row r="1775" spans="1:5" ht="18.75" x14ac:dyDescent="0.3">
      <c r="A1775" s="3">
        <v>1769</v>
      </c>
      <c r="B1775" s="9">
        <f t="shared" si="109"/>
        <v>0.99762855196421885</v>
      </c>
      <c r="C1775" s="3">
        <f t="shared" si="110"/>
        <v>62408.64932522564</v>
      </c>
      <c r="D1775" s="3">
        <f t="shared" si="111"/>
        <v>0.24240976828878047</v>
      </c>
      <c r="E1775" s="8">
        <f t="shared" si="108"/>
        <v>252.71428571428572</v>
      </c>
    </row>
    <row r="1776" spans="1:5" ht="18.75" x14ac:dyDescent="0.3">
      <c r="A1776" s="3">
        <v>1770</v>
      </c>
      <c r="B1776" s="9">
        <f t="shared" si="109"/>
        <v>0.99763241907875766</v>
      </c>
      <c r="C1776" s="3">
        <f t="shared" si="110"/>
        <v>62408.891240309844</v>
      </c>
      <c r="D1776" s="3">
        <f t="shared" si="111"/>
        <v>0.24191508420335595</v>
      </c>
      <c r="E1776" s="8">
        <f t="shared" si="108"/>
        <v>252.85714285714286</v>
      </c>
    </row>
    <row r="1777" spans="1:5" ht="18.75" x14ac:dyDescent="0.3">
      <c r="A1777" s="3">
        <v>1771</v>
      </c>
      <c r="B1777" s="9">
        <f t="shared" si="109"/>
        <v>0.99763627830509904</v>
      </c>
      <c r="C1777" s="3">
        <f t="shared" si="110"/>
        <v>62409.132661932083</v>
      </c>
      <c r="D1777" s="3">
        <f t="shared" si="111"/>
        <v>0.241421622238704</v>
      </c>
      <c r="E1777" s="8">
        <f t="shared" si="108"/>
        <v>253</v>
      </c>
    </row>
    <row r="1778" spans="1:5" ht="18.75" x14ac:dyDescent="0.3">
      <c r="A1778" s="3">
        <v>1772</v>
      </c>
      <c r="B1778" s="9">
        <f t="shared" si="109"/>
        <v>0.99764012966272164</v>
      </c>
      <c r="C1778" s="3">
        <f t="shared" si="110"/>
        <v>62409.373591310876</v>
      </c>
      <c r="D1778" s="3">
        <f t="shared" si="111"/>
        <v>0.24092937879322562</v>
      </c>
      <c r="E1778" s="8">
        <f t="shared" si="108"/>
        <v>253.14285714285714</v>
      </c>
    </row>
    <row r="1779" spans="1:5" ht="18.75" x14ac:dyDescent="0.3">
      <c r="A1779" s="3">
        <v>1773</v>
      </c>
      <c r="B1779" s="9">
        <f t="shared" si="109"/>
        <v>0.99764397317104747</v>
      </c>
      <c r="C1779" s="3">
        <f t="shared" si="110"/>
        <v>62409.614029661214</v>
      </c>
      <c r="D1779" s="3">
        <f t="shared" si="111"/>
        <v>0.24043835033808136</v>
      </c>
      <c r="E1779" s="8">
        <f t="shared" si="108"/>
        <v>253.28571428571428</v>
      </c>
    </row>
    <row r="1780" spans="1:5" ht="18.75" x14ac:dyDescent="0.3">
      <c r="A1780" s="3">
        <v>1774</v>
      </c>
      <c r="B1780" s="9">
        <f t="shared" si="109"/>
        <v>0.99764780884944204</v>
      </c>
      <c r="C1780" s="3">
        <f t="shared" si="110"/>
        <v>62409.853978194544</v>
      </c>
      <c r="D1780" s="3">
        <f t="shared" si="111"/>
        <v>0.23994853332987987</v>
      </c>
      <c r="E1780" s="8">
        <f t="shared" si="108"/>
        <v>253.42857142857142</v>
      </c>
    </row>
    <row r="1781" spans="1:5" ht="18.75" x14ac:dyDescent="0.3">
      <c r="A1781" s="3">
        <v>1775</v>
      </c>
      <c r="B1781" s="9">
        <f t="shared" si="109"/>
        <v>0.99765163671721435</v>
      </c>
      <c r="C1781" s="3">
        <f t="shared" si="110"/>
        <v>62410.093438118776</v>
      </c>
      <c r="D1781" s="3">
        <f t="shared" si="111"/>
        <v>0.23945992423250573</v>
      </c>
      <c r="E1781" s="8">
        <f t="shared" si="108"/>
        <v>253.57142857142858</v>
      </c>
    </row>
    <row r="1782" spans="1:5" ht="18.75" x14ac:dyDescent="0.3">
      <c r="A1782" s="3">
        <v>1776</v>
      </c>
      <c r="B1782" s="9">
        <f t="shared" si="109"/>
        <v>0.99765545679361733</v>
      </c>
      <c r="C1782" s="3">
        <f t="shared" si="110"/>
        <v>62410.332410638322</v>
      </c>
      <c r="D1782" s="3">
        <f t="shared" si="111"/>
        <v>0.23897251954622334</v>
      </c>
      <c r="E1782" s="8">
        <f t="shared" si="108"/>
        <v>253.71428571428572</v>
      </c>
    </row>
    <row r="1783" spans="1:5" ht="18.75" x14ac:dyDescent="0.3">
      <c r="A1783" s="3">
        <v>1777</v>
      </c>
      <c r="B1783" s="9">
        <f t="shared" si="109"/>
        <v>0.99765926909784775</v>
      </c>
      <c r="C1783" s="3">
        <f t="shared" si="110"/>
        <v>62410.570896954065</v>
      </c>
      <c r="D1783" s="3">
        <f t="shared" si="111"/>
        <v>0.23848631574219326</v>
      </c>
      <c r="E1783" s="8">
        <f t="shared" si="108"/>
        <v>253.85714285714286</v>
      </c>
    </row>
    <row r="1784" spans="1:5" ht="18.75" x14ac:dyDescent="0.3">
      <c r="A1784" s="3">
        <v>1778</v>
      </c>
      <c r="B1784" s="9">
        <f t="shared" si="109"/>
        <v>0.99766307364904661</v>
      </c>
      <c r="C1784" s="3">
        <f t="shared" si="110"/>
        <v>62410.808898263407</v>
      </c>
      <c r="D1784" s="3">
        <f t="shared" si="111"/>
        <v>0.23800130934250774</v>
      </c>
      <c r="E1784" s="8">
        <f t="shared" si="108"/>
        <v>254</v>
      </c>
    </row>
    <row r="1785" spans="1:5" ht="18.75" x14ac:dyDescent="0.3">
      <c r="A1785" s="3">
        <v>1779</v>
      </c>
      <c r="B1785" s="9">
        <f t="shared" si="109"/>
        <v>0.99766687046629932</v>
      </c>
      <c r="C1785" s="3">
        <f t="shared" si="110"/>
        <v>62411.046415760284</v>
      </c>
      <c r="D1785" s="3">
        <f t="shared" si="111"/>
        <v>0.23751749687653501</v>
      </c>
      <c r="E1785" s="8">
        <f t="shared" si="108"/>
        <v>254.14285714285714</v>
      </c>
    </row>
    <row r="1786" spans="1:5" ht="18.75" x14ac:dyDescent="0.3">
      <c r="A1786" s="3">
        <v>1780</v>
      </c>
      <c r="B1786" s="9">
        <f t="shared" si="109"/>
        <v>0.99767065956863588</v>
      </c>
      <c r="C1786" s="3">
        <f t="shared" si="110"/>
        <v>62411.283450635157</v>
      </c>
      <c r="D1786" s="3">
        <f t="shared" si="111"/>
        <v>0.23703487487364328</v>
      </c>
      <c r="E1786" s="8">
        <f t="shared" si="108"/>
        <v>254.28571428571428</v>
      </c>
    </row>
    <row r="1787" spans="1:5" ht="18.75" x14ac:dyDescent="0.3">
      <c r="A1787" s="3">
        <v>1781</v>
      </c>
      <c r="B1787" s="9">
        <f t="shared" si="109"/>
        <v>0.99767444097503089</v>
      </c>
      <c r="C1787" s="3">
        <f t="shared" si="110"/>
        <v>62411.520004075006</v>
      </c>
      <c r="D1787" s="3">
        <f t="shared" si="111"/>
        <v>0.23655343984864885</v>
      </c>
      <c r="E1787" s="8">
        <f t="shared" si="108"/>
        <v>254.42857142857142</v>
      </c>
    </row>
    <row r="1788" spans="1:5" ht="18.75" x14ac:dyDescent="0.3">
      <c r="A1788" s="3">
        <v>1782</v>
      </c>
      <c r="B1788" s="9">
        <f t="shared" si="109"/>
        <v>0.99767821470440399</v>
      </c>
      <c r="C1788" s="3">
        <f t="shared" si="110"/>
        <v>62411.756077263402</v>
      </c>
      <c r="D1788" s="3">
        <f t="shared" si="111"/>
        <v>0.23607318839640357</v>
      </c>
      <c r="E1788" s="8">
        <f t="shared" si="108"/>
        <v>254.57142857142858</v>
      </c>
    </row>
    <row r="1789" spans="1:5" ht="18.75" x14ac:dyDescent="0.3">
      <c r="A1789" s="3">
        <v>1783</v>
      </c>
      <c r="B1789" s="9">
        <f t="shared" si="109"/>
        <v>0.99768198077561987</v>
      </c>
      <c r="C1789" s="3">
        <f t="shared" si="110"/>
        <v>62411.991671380449</v>
      </c>
      <c r="D1789" s="3">
        <f t="shared" si="111"/>
        <v>0.23559411704627564</v>
      </c>
      <c r="E1789" s="8">
        <f t="shared" si="108"/>
        <v>254.71428571428572</v>
      </c>
    </row>
    <row r="1790" spans="1:5" ht="18.75" x14ac:dyDescent="0.3">
      <c r="A1790" s="3">
        <v>1784</v>
      </c>
      <c r="B1790" s="9">
        <f t="shared" si="109"/>
        <v>0.99768573920748871</v>
      </c>
      <c r="C1790" s="3">
        <f t="shared" si="110"/>
        <v>62412.226787602871</v>
      </c>
      <c r="D1790" s="3">
        <f t="shared" si="111"/>
        <v>0.23511622242222074</v>
      </c>
      <c r="E1790" s="8">
        <f t="shared" si="108"/>
        <v>254.85714285714286</v>
      </c>
    </row>
    <row r="1791" spans="1:5" ht="18.75" x14ac:dyDescent="0.3">
      <c r="A1791" s="3">
        <v>1785</v>
      </c>
      <c r="B1791" s="9">
        <f t="shared" si="109"/>
        <v>0.99768949001876572</v>
      </c>
      <c r="C1791" s="3">
        <f t="shared" si="110"/>
        <v>62412.461427103925</v>
      </c>
      <c r="D1791" s="3">
        <f t="shared" si="111"/>
        <v>0.23463950105360709</v>
      </c>
      <c r="E1791" s="8">
        <f t="shared" si="108"/>
        <v>255</v>
      </c>
    </row>
    <row r="1792" spans="1:5" ht="18.75" x14ac:dyDescent="0.3">
      <c r="A1792" s="3">
        <v>1786</v>
      </c>
      <c r="B1792" s="9">
        <f t="shared" si="109"/>
        <v>0.99769323322815218</v>
      </c>
      <c r="C1792" s="3">
        <f t="shared" si="110"/>
        <v>62412.695591053518</v>
      </c>
      <c r="D1792" s="3">
        <f t="shared" si="111"/>
        <v>0.23416394959349418</v>
      </c>
      <c r="E1792" s="8">
        <f t="shared" si="108"/>
        <v>255.14285714285714</v>
      </c>
    </row>
    <row r="1793" spans="1:5" ht="18.75" x14ac:dyDescent="0.3">
      <c r="A1793" s="3">
        <v>1787</v>
      </c>
      <c r="B1793" s="9">
        <f t="shared" si="109"/>
        <v>0.99769696885429515</v>
      </c>
      <c r="C1793" s="3">
        <f t="shared" si="110"/>
        <v>62412.92928061814</v>
      </c>
      <c r="D1793" s="3">
        <f t="shared" si="111"/>
        <v>0.23368956462218193</v>
      </c>
      <c r="E1793" s="8">
        <f t="shared" si="108"/>
        <v>255.28571428571428</v>
      </c>
    </row>
    <row r="1794" spans="1:5" ht="18.75" x14ac:dyDescent="0.3">
      <c r="A1794" s="3">
        <v>1788</v>
      </c>
      <c r="B1794" s="9">
        <f t="shared" si="109"/>
        <v>0.99770069691578755</v>
      </c>
      <c r="C1794" s="3">
        <f t="shared" si="110"/>
        <v>62413.162496960926</v>
      </c>
      <c r="D1794" s="3">
        <f t="shared" si="111"/>
        <v>0.23321634278545389</v>
      </c>
      <c r="E1794" s="8">
        <f t="shared" si="108"/>
        <v>255.42857142857142</v>
      </c>
    </row>
    <row r="1795" spans="1:5" ht="18.75" x14ac:dyDescent="0.3">
      <c r="A1795" s="3">
        <v>1789</v>
      </c>
      <c r="B1795" s="9">
        <f t="shared" si="109"/>
        <v>0.99770441743116867</v>
      </c>
      <c r="C1795" s="3">
        <f t="shared" si="110"/>
        <v>62413.395241241618</v>
      </c>
      <c r="D1795" s="3">
        <f t="shared" si="111"/>
        <v>0.2327442806927138</v>
      </c>
      <c r="E1795" s="8">
        <f t="shared" si="108"/>
        <v>255.57142857142858</v>
      </c>
    </row>
    <row r="1796" spans="1:5" ht="18.75" x14ac:dyDescent="0.3">
      <c r="A1796" s="3">
        <v>1790</v>
      </c>
      <c r="B1796" s="9">
        <f t="shared" si="109"/>
        <v>0.99770813041892403</v>
      </c>
      <c r="C1796" s="3">
        <f t="shared" si="110"/>
        <v>62413.62751461663</v>
      </c>
      <c r="D1796" s="3">
        <f t="shared" si="111"/>
        <v>0.23227337501157308</v>
      </c>
      <c r="E1796" s="8">
        <f t="shared" si="108"/>
        <v>255.71428571428572</v>
      </c>
    </row>
    <row r="1797" spans="1:5" ht="18.75" x14ac:dyDescent="0.3">
      <c r="A1797" s="3">
        <v>1791</v>
      </c>
      <c r="B1797" s="9">
        <f t="shared" si="109"/>
        <v>0.9977118358974858</v>
      </c>
      <c r="C1797" s="3">
        <f t="shared" si="110"/>
        <v>62413.859318239018</v>
      </c>
      <c r="D1797" s="3">
        <f t="shared" si="111"/>
        <v>0.23180362238781527</v>
      </c>
      <c r="E1797" s="8">
        <f t="shared" si="108"/>
        <v>255.85714285714286</v>
      </c>
    </row>
    <row r="1798" spans="1:5" ht="18.75" x14ac:dyDescent="0.3">
      <c r="A1798" s="3">
        <v>1792</v>
      </c>
      <c r="B1798" s="9">
        <f t="shared" si="109"/>
        <v>0.99771553388523304</v>
      </c>
      <c r="C1798" s="3">
        <f t="shared" si="110"/>
        <v>62414.090653258521</v>
      </c>
      <c r="D1798" s="3">
        <f t="shared" si="111"/>
        <v>0.23133501950360369</v>
      </c>
      <c r="E1798" s="8">
        <f t="shared" si="108"/>
        <v>256</v>
      </c>
    </row>
    <row r="1799" spans="1:5" ht="18.75" x14ac:dyDescent="0.3">
      <c r="A1799" s="3">
        <v>1793</v>
      </c>
      <c r="B1799" s="9">
        <f t="shared" si="109"/>
        <v>0.99771922440049132</v>
      </c>
      <c r="C1799" s="3">
        <f t="shared" si="110"/>
        <v>62414.321520821533</v>
      </c>
      <c r="D1799" s="3">
        <f t="shared" si="111"/>
        <v>0.23086756301199785</v>
      </c>
      <c r="E1799" s="8">
        <f t="shared" ref="E1799:E1862" si="112">A1799/7</f>
        <v>256.14285714285717</v>
      </c>
    </row>
    <row r="1800" spans="1:5" ht="18.75" x14ac:dyDescent="0.3">
      <c r="A1800" s="3">
        <v>1794</v>
      </c>
      <c r="B1800" s="9">
        <f t="shared" ref="B1800:B1863" si="113">LOGNORMDIST(A1800,$A$3,$B$3)</f>
        <v>0.99772290746153391</v>
      </c>
      <c r="C1800" s="3">
        <f t="shared" ref="C1800:C1863" si="114">$E$3*B1800</f>
        <v>62414.551922071179</v>
      </c>
      <c r="D1800" s="3">
        <f t="shared" ref="D1800:D1863" si="115">C1800-C1799</f>
        <v>0.23040124964609277</v>
      </c>
      <c r="E1800" s="8">
        <f t="shared" si="112"/>
        <v>256.28571428571428</v>
      </c>
    </row>
    <row r="1801" spans="1:5" ht="18.75" x14ac:dyDescent="0.3">
      <c r="A1801" s="3">
        <v>1795</v>
      </c>
      <c r="B1801" s="9">
        <f t="shared" si="113"/>
        <v>0.99772658308658069</v>
      </c>
      <c r="C1801" s="3">
        <f t="shared" si="114"/>
        <v>62414.781858147231</v>
      </c>
      <c r="D1801" s="3">
        <f t="shared" si="115"/>
        <v>0.22993607605167199</v>
      </c>
      <c r="E1801" s="8">
        <f t="shared" si="112"/>
        <v>256.42857142857144</v>
      </c>
    </row>
    <row r="1802" spans="1:5" ht="18.75" x14ac:dyDescent="0.3">
      <c r="A1802" s="3">
        <v>1796</v>
      </c>
      <c r="B1802" s="9">
        <f t="shared" si="113"/>
        <v>0.99773025129379955</v>
      </c>
      <c r="C1802" s="3">
        <f t="shared" si="114"/>
        <v>62415.011330186222</v>
      </c>
      <c r="D1802" s="3">
        <f t="shared" si="115"/>
        <v>0.22947203899093438</v>
      </c>
      <c r="E1802" s="8">
        <f t="shared" si="112"/>
        <v>256.57142857142856</v>
      </c>
    </row>
    <row r="1803" spans="1:5" ht="18.75" x14ac:dyDescent="0.3">
      <c r="A1803" s="3">
        <v>1797</v>
      </c>
      <c r="B1803" s="9">
        <f t="shared" si="113"/>
        <v>0.99773391210130569</v>
      </c>
      <c r="C1803" s="3">
        <f t="shared" si="114"/>
        <v>62415.240339321383</v>
      </c>
      <c r="D1803" s="3">
        <f t="shared" si="115"/>
        <v>0.22900913516059518</v>
      </c>
      <c r="E1803" s="8">
        <f t="shared" si="112"/>
        <v>256.71428571428572</v>
      </c>
    </row>
    <row r="1804" spans="1:5" ht="18.75" x14ac:dyDescent="0.3">
      <c r="A1804" s="3">
        <v>1798</v>
      </c>
      <c r="B1804" s="9">
        <f t="shared" si="113"/>
        <v>0.9977375655271622</v>
      </c>
      <c r="C1804" s="3">
        <f t="shared" si="114"/>
        <v>62415.468886682684</v>
      </c>
      <c r="D1804" s="3">
        <f t="shared" si="115"/>
        <v>0.22854736130102538</v>
      </c>
      <c r="E1804" s="8">
        <f t="shared" si="112"/>
        <v>256.85714285714283</v>
      </c>
    </row>
    <row r="1805" spans="1:5" ht="18.75" x14ac:dyDescent="0.3">
      <c r="A1805" s="3">
        <v>1799</v>
      </c>
      <c r="B1805" s="9">
        <f t="shared" si="113"/>
        <v>0.99774121158938001</v>
      </c>
      <c r="C1805" s="3">
        <f t="shared" si="114"/>
        <v>62415.696973396844</v>
      </c>
      <c r="D1805" s="3">
        <f t="shared" si="115"/>
        <v>0.22808671415987192</v>
      </c>
      <c r="E1805" s="8">
        <f t="shared" si="112"/>
        <v>257</v>
      </c>
    </row>
    <row r="1806" spans="1:5" ht="18.75" x14ac:dyDescent="0.3">
      <c r="A1806" s="3">
        <v>1800</v>
      </c>
      <c r="B1806" s="9">
        <f t="shared" si="113"/>
        <v>0.99774485030591853</v>
      </c>
      <c r="C1806" s="3">
        <f t="shared" si="114"/>
        <v>62415.924600587343</v>
      </c>
      <c r="D1806" s="3">
        <f t="shared" si="115"/>
        <v>0.22762719049933366</v>
      </c>
      <c r="E1806" s="8">
        <f t="shared" si="112"/>
        <v>257.14285714285717</v>
      </c>
    </row>
    <row r="1807" spans="1:5" ht="18.75" x14ac:dyDescent="0.3">
      <c r="A1807" s="3">
        <v>1801</v>
      </c>
      <c r="B1807" s="9">
        <f t="shared" si="113"/>
        <v>0.99774848169468522</v>
      </c>
      <c r="C1807" s="3">
        <f t="shared" si="114"/>
        <v>62416.151769374424</v>
      </c>
      <c r="D1807" s="3">
        <f t="shared" si="115"/>
        <v>0.22716878708160948</v>
      </c>
      <c r="E1807" s="8">
        <f t="shared" si="112"/>
        <v>257.28571428571428</v>
      </c>
    </row>
    <row r="1808" spans="1:5" ht="18.75" x14ac:dyDescent="0.3">
      <c r="A1808" s="3">
        <v>1802</v>
      </c>
      <c r="B1808" s="9">
        <f t="shared" si="113"/>
        <v>0.99775210577353601</v>
      </c>
      <c r="C1808" s="3">
        <f t="shared" si="114"/>
        <v>62416.378480875093</v>
      </c>
      <c r="D1808" s="3">
        <f t="shared" si="115"/>
        <v>0.22671150066889822</v>
      </c>
      <c r="E1808" s="8">
        <f t="shared" si="112"/>
        <v>257.42857142857144</v>
      </c>
    </row>
    <row r="1809" spans="1:5" ht="18.75" x14ac:dyDescent="0.3">
      <c r="A1809" s="3">
        <v>1803</v>
      </c>
      <c r="B1809" s="9">
        <f t="shared" si="113"/>
        <v>0.99775572256027578</v>
      </c>
      <c r="C1809" s="3">
        <f t="shared" si="114"/>
        <v>62416.604736203175</v>
      </c>
      <c r="D1809" s="3">
        <f t="shared" si="115"/>
        <v>0.22625532808160642</v>
      </c>
      <c r="E1809" s="8">
        <f t="shared" si="112"/>
        <v>257.57142857142856</v>
      </c>
    </row>
    <row r="1810" spans="1:5" ht="18.75" x14ac:dyDescent="0.3">
      <c r="A1810" s="3">
        <v>1804</v>
      </c>
      <c r="B1810" s="9">
        <f t="shared" si="113"/>
        <v>0.99775933207265777</v>
      </c>
      <c r="C1810" s="3">
        <f t="shared" si="114"/>
        <v>62416.83053646925</v>
      </c>
      <c r="D1810" s="3">
        <f t="shared" si="115"/>
        <v>0.22580026607465697</v>
      </c>
      <c r="E1810" s="8">
        <f t="shared" si="112"/>
        <v>257.71428571428572</v>
      </c>
    </row>
    <row r="1811" spans="1:5" ht="18.75" x14ac:dyDescent="0.3">
      <c r="A1811" s="3">
        <v>1805</v>
      </c>
      <c r="B1811" s="9">
        <f t="shared" si="113"/>
        <v>0.99776293432838481</v>
      </c>
      <c r="C1811" s="3">
        <f t="shared" si="114"/>
        <v>62417.055882780769</v>
      </c>
      <c r="D1811" s="3">
        <f t="shared" si="115"/>
        <v>0.22534631151938811</v>
      </c>
      <c r="E1811" s="8">
        <f t="shared" si="112"/>
        <v>257.85714285714283</v>
      </c>
    </row>
    <row r="1812" spans="1:5" ht="18.75" x14ac:dyDescent="0.3">
      <c r="A1812" s="3">
        <v>1806</v>
      </c>
      <c r="B1812" s="9">
        <f t="shared" si="113"/>
        <v>0.99776652934510834</v>
      </c>
      <c r="C1812" s="3">
        <f t="shared" si="114"/>
        <v>62417.28077624194</v>
      </c>
      <c r="D1812" s="3">
        <f t="shared" si="115"/>
        <v>0.22489346117072273</v>
      </c>
      <c r="E1812" s="8">
        <f t="shared" si="112"/>
        <v>258</v>
      </c>
    </row>
    <row r="1813" spans="1:5" ht="18.75" x14ac:dyDescent="0.3">
      <c r="A1813" s="3">
        <v>1807</v>
      </c>
      <c r="B1813" s="9">
        <f t="shared" si="113"/>
        <v>0.99777011714042951</v>
      </c>
      <c r="C1813" s="3">
        <f t="shared" si="114"/>
        <v>62417.505217953847</v>
      </c>
      <c r="D1813" s="3">
        <f t="shared" si="115"/>
        <v>0.22444171190727502</v>
      </c>
      <c r="E1813" s="8">
        <f t="shared" si="112"/>
        <v>258.14285714285717</v>
      </c>
    </row>
    <row r="1814" spans="1:5" ht="18.75" x14ac:dyDescent="0.3">
      <c r="A1814" s="3">
        <v>1808</v>
      </c>
      <c r="B1814" s="9">
        <f t="shared" si="113"/>
        <v>0.99777369773189895</v>
      </c>
      <c r="C1814" s="3">
        <f t="shared" si="114"/>
        <v>62417.729209014404</v>
      </c>
      <c r="D1814" s="3">
        <f t="shared" si="115"/>
        <v>0.22399106055672746</v>
      </c>
      <c r="E1814" s="8">
        <f t="shared" si="112"/>
        <v>258.28571428571428</v>
      </c>
    </row>
    <row r="1815" spans="1:5" ht="18.75" x14ac:dyDescent="0.3">
      <c r="A1815" s="3">
        <v>1809</v>
      </c>
      <c r="B1815" s="9">
        <f t="shared" si="113"/>
        <v>0.99777727113701675</v>
      </c>
      <c r="C1815" s="3">
        <f t="shared" si="114"/>
        <v>62417.952750518358</v>
      </c>
      <c r="D1815" s="3">
        <f t="shared" si="115"/>
        <v>0.22354150395403849</v>
      </c>
      <c r="E1815" s="8">
        <f t="shared" si="112"/>
        <v>258.42857142857144</v>
      </c>
    </row>
    <row r="1816" spans="1:5" ht="18.75" x14ac:dyDescent="0.3">
      <c r="A1816" s="3">
        <v>1810</v>
      </c>
      <c r="B1816" s="9">
        <f t="shared" si="113"/>
        <v>0.99778083737323309</v>
      </c>
      <c r="C1816" s="3">
        <f t="shared" si="114"/>
        <v>62418.175843557343</v>
      </c>
      <c r="D1816" s="3">
        <f t="shared" si="115"/>
        <v>0.22309303898509825</v>
      </c>
      <c r="E1816" s="8">
        <f t="shared" si="112"/>
        <v>258.57142857142856</v>
      </c>
    </row>
    <row r="1817" spans="1:5" ht="18.75" x14ac:dyDescent="0.3">
      <c r="A1817" s="3">
        <v>1811</v>
      </c>
      <c r="B1817" s="9">
        <f t="shared" si="113"/>
        <v>0.99778439645794792</v>
      </c>
      <c r="C1817" s="3">
        <f t="shared" si="114"/>
        <v>62418.39848921985</v>
      </c>
      <c r="D1817" s="3">
        <f t="shared" si="115"/>
        <v>0.22264566250669304</v>
      </c>
      <c r="E1817" s="8">
        <f t="shared" si="112"/>
        <v>258.71428571428572</v>
      </c>
    </row>
    <row r="1818" spans="1:5" ht="18.75" x14ac:dyDescent="0.3">
      <c r="A1818" s="3">
        <v>1812</v>
      </c>
      <c r="B1818" s="9">
        <f t="shared" si="113"/>
        <v>0.9977879484085117</v>
      </c>
      <c r="C1818" s="3">
        <f t="shared" si="114"/>
        <v>62418.620688591269</v>
      </c>
      <c r="D1818" s="3">
        <f t="shared" si="115"/>
        <v>0.22219937141926493</v>
      </c>
      <c r="E1818" s="8">
        <f t="shared" si="112"/>
        <v>258.85714285714283</v>
      </c>
    </row>
    <row r="1819" spans="1:5" ht="18.75" x14ac:dyDescent="0.3">
      <c r="A1819" s="3">
        <v>1813</v>
      </c>
      <c r="B1819" s="9">
        <f t="shared" si="113"/>
        <v>0.99779149324222494</v>
      </c>
      <c r="C1819" s="3">
        <f t="shared" si="114"/>
        <v>62418.842442753863</v>
      </c>
      <c r="D1819" s="3">
        <f t="shared" si="115"/>
        <v>0.22175416259415215</v>
      </c>
      <c r="E1819" s="8">
        <f t="shared" si="112"/>
        <v>259</v>
      </c>
    </row>
    <row r="1820" spans="1:5" ht="18.75" x14ac:dyDescent="0.3">
      <c r="A1820" s="3">
        <v>1814</v>
      </c>
      <c r="B1820" s="9">
        <f t="shared" si="113"/>
        <v>0.9977950309763387</v>
      </c>
      <c r="C1820" s="3">
        <f t="shared" si="114"/>
        <v>62419.063752786824</v>
      </c>
      <c r="D1820" s="3">
        <f t="shared" si="115"/>
        <v>0.22131003296090057</v>
      </c>
      <c r="E1820" s="8">
        <f t="shared" si="112"/>
        <v>259.14285714285717</v>
      </c>
    </row>
    <row r="1821" spans="1:5" ht="18.75" x14ac:dyDescent="0.3">
      <c r="A1821" s="3">
        <v>1815</v>
      </c>
      <c r="B1821" s="9">
        <f t="shared" si="113"/>
        <v>0.9977985616280548</v>
      </c>
      <c r="C1821" s="3">
        <f t="shared" si="114"/>
        <v>62419.284619766222</v>
      </c>
      <c r="D1821" s="3">
        <f t="shared" si="115"/>
        <v>0.22086697939812439</v>
      </c>
      <c r="E1821" s="8">
        <f t="shared" si="112"/>
        <v>259.28571428571428</v>
      </c>
    </row>
    <row r="1822" spans="1:5" ht="18.75" x14ac:dyDescent="0.3">
      <c r="A1822" s="3">
        <v>1816</v>
      </c>
      <c r="B1822" s="9">
        <f t="shared" si="113"/>
        <v>0.99780208521452585</v>
      </c>
      <c r="C1822" s="3">
        <f t="shared" si="114"/>
        <v>62419.505044765094</v>
      </c>
      <c r="D1822" s="3">
        <f t="shared" si="115"/>
        <v>0.22042499887174927</v>
      </c>
      <c r="E1822" s="8">
        <f t="shared" si="112"/>
        <v>259.42857142857144</v>
      </c>
    </row>
    <row r="1823" spans="1:5" ht="18.75" x14ac:dyDescent="0.3">
      <c r="A1823" s="3">
        <v>1817</v>
      </c>
      <c r="B1823" s="9">
        <f t="shared" si="113"/>
        <v>0.9978056017528556</v>
      </c>
      <c r="C1823" s="3">
        <f t="shared" si="114"/>
        <v>62419.725028853391</v>
      </c>
      <c r="D1823" s="3">
        <f t="shared" si="115"/>
        <v>0.21998408829676919</v>
      </c>
      <c r="E1823" s="8">
        <f t="shared" si="112"/>
        <v>259.57142857142856</v>
      </c>
    </row>
    <row r="1824" spans="1:5" ht="18.75" x14ac:dyDescent="0.3">
      <c r="A1824" s="3">
        <v>1818</v>
      </c>
      <c r="B1824" s="9">
        <f t="shared" si="113"/>
        <v>0.99780911126009864</v>
      </c>
      <c r="C1824" s="3">
        <f t="shared" si="114"/>
        <v>62419.944573097993</v>
      </c>
      <c r="D1824" s="3">
        <f t="shared" si="115"/>
        <v>0.21954424460273003</v>
      </c>
      <c r="E1824" s="8">
        <f t="shared" si="112"/>
        <v>259.71428571428572</v>
      </c>
    </row>
    <row r="1825" spans="1:5" ht="18.75" x14ac:dyDescent="0.3">
      <c r="A1825" s="3">
        <v>1819</v>
      </c>
      <c r="B1825" s="9">
        <f t="shared" si="113"/>
        <v>0.99781261375326114</v>
      </c>
      <c r="C1825" s="3">
        <f t="shared" si="114"/>
        <v>62420.163678562756</v>
      </c>
      <c r="D1825" s="3">
        <f t="shared" si="115"/>
        <v>0.21910546476283344</v>
      </c>
      <c r="E1825" s="8">
        <f t="shared" si="112"/>
        <v>259.85714285714283</v>
      </c>
    </row>
    <row r="1826" spans="1:5" ht="18.75" x14ac:dyDescent="0.3">
      <c r="A1826" s="3">
        <v>1820</v>
      </c>
      <c r="B1826" s="9">
        <f t="shared" si="113"/>
        <v>0.99781610924930064</v>
      </c>
      <c r="C1826" s="3">
        <f t="shared" si="114"/>
        <v>62420.382346308499</v>
      </c>
      <c r="D1826" s="3">
        <f t="shared" si="115"/>
        <v>0.21866774574300507</v>
      </c>
      <c r="E1826" s="8">
        <f t="shared" si="112"/>
        <v>260</v>
      </c>
    </row>
    <row r="1827" spans="1:5" ht="18.75" x14ac:dyDescent="0.3">
      <c r="A1827" s="3">
        <v>1821</v>
      </c>
      <c r="B1827" s="9">
        <f t="shared" si="113"/>
        <v>0.99781959776512641</v>
      </c>
      <c r="C1827" s="3">
        <f t="shared" si="114"/>
        <v>62420.600577393016</v>
      </c>
      <c r="D1827" s="3">
        <f t="shared" si="115"/>
        <v>0.21823108451644657</v>
      </c>
      <c r="E1827" s="8">
        <f t="shared" si="112"/>
        <v>260.14285714285717</v>
      </c>
    </row>
    <row r="1828" spans="1:5" ht="18.75" x14ac:dyDescent="0.3">
      <c r="A1828" s="3">
        <v>1822</v>
      </c>
      <c r="B1828" s="9">
        <f t="shared" si="113"/>
        <v>0.99782307931759939</v>
      </c>
      <c r="C1828" s="3">
        <f t="shared" si="114"/>
        <v>62420.818372871065</v>
      </c>
      <c r="D1828" s="3">
        <f t="shared" si="115"/>
        <v>0.21779547804908361</v>
      </c>
      <c r="E1828" s="8">
        <f t="shared" si="112"/>
        <v>260.28571428571428</v>
      </c>
    </row>
    <row r="1829" spans="1:5" ht="18.75" x14ac:dyDescent="0.3">
      <c r="A1829" s="3">
        <v>1823</v>
      </c>
      <c r="B1829" s="9">
        <f t="shared" si="113"/>
        <v>0.99782655392353259</v>
      </c>
      <c r="C1829" s="3">
        <f t="shared" si="114"/>
        <v>62421.03573379443</v>
      </c>
      <c r="D1829" s="3">
        <f t="shared" si="115"/>
        <v>0.21736092336504953</v>
      </c>
      <c r="E1829" s="8">
        <f t="shared" si="112"/>
        <v>260.42857142857144</v>
      </c>
    </row>
    <row r="1830" spans="1:5" ht="18.75" x14ac:dyDescent="0.3">
      <c r="A1830" s="3">
        <v>1824</v>
      </c>
      <c r="B1830" s="9">
        <f t="shared" si="113"/>
        <v>0.99783002159969114</v>
      </c>
      <c r="C1830" s="3">
        <f t="shared" si="114"/>
        <v>62421.252661211882</v>
      </c>
      <c r="D1830" s="3">
        <f t="shared" si="115"/>
        <v>0.21692741745209787</v>
      </c>
      <c r="E1830" s="8">
        <f t="shared" si="112"/>
        <v>260.57142857142856</v>
      </c>
    </row>
    <row r="1831" spans="1:5" ht="18.75" x14ac:dyDescent="0.3">
      <c r="A1831" s="3">
        <v>1825</v>
      </c>
      <c r="B1831" s="9">
        <f t="shared" si="113"/>
        <v>0.99783348236279223</v>
      </c>
      <c r="C1831" s="3">
        <f t="shared" si="114"/>
        <v>62421.469156169194</v>
      </c>
      <c r="D1831" s="3">
        <f t="shared" si="115"/>
        <v>0.2164949573125341</v>
      </c>
      <c r="E1831" s="8">
        <f t="shared" si="112"/>
        <v>260.71428571428572</v>
      </c>
    </row>
    <row r="1832" spans="1:5" ht="18.75" x14ac:dyDescent="0.3">
      <c r="A1832" s="3">
        <v>1826</v>
      </c>
      <c r="B1832" s="9">
        <f t="shared" si="113"/>
        <v>0.99783693622950587</v>
      </c>
      <c r="C1832" s="3">
        <f t="shared" si="114"/>
        <v>62421.685219709201</v>
      </c>
      <c r="D1832" s="3">
        <f t="shared" si="115"/>
        <v>0.21606354000687134</v>
      </c>
      <c r="E1832" s="8">
        <f t="shared" si="112"/>
        <v>260.85714285714283</v>
      </c>
    </row>
    <row r="1833" spans="1:5" ht="18.75" x14ac:dyDescent="0.3">
      <c r="A1833" s="3">
        <v>1827</v>
      </c>
      <c r="B1833" s="9">
        <f t="shared" si="113"/>
        <v>0.9978403832164543</v>
      </c>
      <c r="C1833" s="3">
        <f t="shared" si="114"/>
        <v>62421.900852871731</v>
      </c>
      <c r="D1833" s="3">
        <f t="shared" si="115"/>
        <v>0.21563316253013909</v>
      </c>
      <c r="E1833" s="8">
        <f t="shared" si="112"/>
        <v>261</v>
      </c>
    </row>
    <row r="1834" spans="1:5" ht="18.75" x14ac:dyDescent="0.3">
      <c r="A1834" s="3">
        <v>1828</v>
      </c>
      <c r="B1834" s="9">
        <f t="shared" si="113"/>
        <v>0.99784382334021271</v>
      </c>
      <c r="C1834" s="3">
        <f t="shared" si="114"/>
        <v>62422.116056693689</v>
      </c>
      <c r="D1834" s="3">
        <f t="shared" si="115"/>
        <v>0.2152038219574024</v>
      </c>
      <c r="E1834" s="8">
        <f t="shared" si="112"/>
        <v>261.14285714285717</v>
      </c>
    </row>
    <row r="1835" spans="1:5" ht="18.75" x14ac:dyDescent="0.3">
      <c r="A1835" s="3">
        <v>1829</v>
      </c>
      <c r="B1835" s="9">
        <f t="shared" si="113"/>
        <v>0.997847256617309</v>
      </c>
      <c r="C1835" s="3">
        <f t="shared" si="114"/>
        <v>62422.330832209002</v>
      </c>
      <c r="D1835" s="3">
        <f t="shared" si="115"/>
        <v>0.2147755153127946</v>
      </c>
      <c r="E1835" s="8">
        <f t="shared" si="112"/>
        <v>261.28571428571428</v>
      </c>
    </row>
    <row r="1836" spans="1:5" ht="18.75" x14ac:dyDescent="0.3">
      <c r="A1836" s="3">
        <v>1830</v>
      </c>
      <c r="B1836" s="9">
        <f t="shared" si="113"/>
        <v>0.99785068306422442</v>
      </c>
      <c r="C1836" s="3">
        <f t="shared" si="114"/>
        <v>62422.545180448687</v>
      </c>
      <c r="D1836" s="3">
        <f t="shared" si="115"/>
        <v>0.21434823968593264</v>
      </c>
      <c r="E1836" s="8">
        <f t="shared" si="112"/>
        <v>261.42857142857144</v>
      </c>
    </row>
    <row r="1837" spans="1:5" ht="18.75" x14ac:dyDescent="0.3">
      <c r="A1837" s="3">
        <v>1831</v>
      </c>
      <c r="B1837" s="9">
        <f t="shared" si="113"/>
        <v>0.99785410269739316</v>
      </c>
      <c r="C1837" s="3">
        <f t="shared" si="114"/>
        <v>62422.759102440825</v>
      </c>
      <c r="D1837" s="3">
        <f t="shared" si="115"/>
        <v>0.21392199213732965</v>
      </c>
      <c r="E1837" s="8">
        <f t="shared" si="112"/>
        <v>261.57142857142856</v>
      </c>
    </row>
    <row r="1838" spans="1:5" ht="18.75" x14ac:dyDescent="0.3">
      <c r="A1838" s="3">
        <v>1832</v>
      </c>
      <c r="B1838" s="9">
        <f t="shared" si="113"/>
        <v>0.9978575155332029</v>
      </c>
      <c r="C1838" s="3">
        <f t="shared" si="114"/>
        <v>62422.972599210574</v>
      </c>
      <c r="D1838" s="3">
        <f t="shared" si="115"/>
        <v>0.21349676974932663</v>
      </c>
      <c r="E1838" s="8">
        <f t="shared" si="112"/>
        <v>261.71428571428572</v>
      </c>
    </row>
    <row r="1839" spans="1:5" ht="18.75" x14ac:dyDescent="0.3">
      <c r="A1839" s="3">
        <v>1833</v>
      </c>
      <c r="B1839" s="9">
        <f t="shared" si="113"/>
        <v>0.99786092158799478</v>
      </c>
      <c r="C1839" s="3">
        <f t="shared" si="114"/>
        <v>62423.185671780186</v>
      </c>
      <c r="D1839" s="3">
        <f t="shared" si="115"/>
        <v>0.21307256961154053</v>
      </c>
      <c r="E1839" s="8">
        <f t="shared" si="112"/>
        <v>261.85714285714283</v>
      </c>
    </row>
    <row r="1840" spans="1:5" ht="18.75" x14ac:dyDescent="0.3">
      <c r="A1840" s="3">
        <v>1834</v>
      </c>
      <c r="B1840" s="9">
        <f t="shared" si="113"/>
        <v>0.99786432087806365</v>
      </c>
      <c r="C1840" s="3">
        <f t="shared" si="114"/>
        <v>62423.398321169028</v>
      </c>
      <c r="D1840" s="3">
        <f t="shared" si="115"/>
        <v>0.21264938884269213</v>
      </c>
      <c r="E1840" s="8">
        <f t="shared" si="112"/>
        <v>262</v>
      </c>
    </row>
    <row r="1841" spans="1:5" ht="18.75" x14ac:dyDescent="0.3">
      <c r="A1841" s="3">
        <v>1835</v>
      </c>
      <c r="B1841" s="9">
        <f t="shared" si="113"/>
        <v>0.99786771341965808</v>
      </c>
      <c r="C1841" s="3">
        <f t="shared" si="114"/>
        <v>62423.610548393553</v>
      </c>
      <c r="D1841" s="3">
        <f t="shared" si="115"/>
        <v>0.21222722452512244</v>
      </c>
      <c r="E1841" s="8">
        <f t="shared" si="112"/>
        <v>262.14285714285717</v>
      </c>
    </row>
    <row r="1842" spans="1:5" ht="18.75" x14ac:dyDescent="0.3">
      <c r="A1842" s="3">
        <v>1836</v>
      </c>
      <c r="B1842" s="9">
        <f t="shared" si="113"/>
        <v>0.99787109922898076</v>
      </c>
      <c r="C1842" s="3">
        <f t="shared" si="114"/>
        <v>62423.822354467353</v>
      </c>
      <c r="D1842" s="3">
        <f t="shared" si="115"/>
        <v>0.2118060737993801</v>
      </c>
      <c r="E1842" s="8">
        <f t="shared" si="112"/>
        <v>262.28571428571428</v>
      </c>
    </row>
    <row r="1843" spans="1:5" ht="18.75" x14ac:dyDescent="0.3">
      <c r="A1843" s="3">
        <v>1837</v>
      </c>
      <c r="B1843" s="9">
        <f t="shared" si="113"/>
        <v>0.99787447832218834</v>
      </c>
      <c r="C1843" s="3">
        <f t="shared" si="114"/>
        <v>62424.033740401137</v>
      </c>
      <c r="D1843" s="3">
        <f t="shared" si="115"/>
        <v>0.21138593378418591</v>
      </c>
      <c r="E1843" s="8">
        <f t="shared" si="112"/>
        <v>262.42857142857144</v>
      </c>
    </row>
    <row r="1844" spans="1:5" ht="18.75" x14ac:dyDescent="0.3">
      <c r="A1844" s="3">
        <v>1838</v>
      </c>
      <c r="B1844" s="9">
        <f t="shared" si="113"/>
        <v>0.99787785071539203</v>
      </c>
      <c r="C1844" s="3">
        <f t="shared" si="114"/>
        <v>62424.244707202779</v>
      </c>
      <c r="D1844" s="3">
        <f t="shared" si="115"/>
        <v>0.21096680164191639</v>
      </c>
      <c r="E1844" s="8">
        <f t="shared" si="112"/>
        <v>262.57142857142856</v>
      </c>
    </row>
    <row r="1845" spans="1:5" ht="18.75" x14ac:dyDescent="0.3">
      <c r="A1845" s="3">
        <v>1839</v>
      </c>
      <c r="B1845" s="9">
        <f t="shared" si="113"/>
        <v>0.9978812164246571</v>
      </c>
      <c r="C1845" s="3">
        <f t="shared" si="114"/>
        <v>62424.455255877278</v>
      </c>
      <c r="D1845" s="3">
        <f t="shared" si="115"/>
        <v>0.21054867449856829</v>
      </c>
      <c r="E1845" s="8">
        <f t="shared" si="112"/>
        <v>262.71428571428572</v>
      </c>
    </row>
    <row r="1846" spans="1:5" ht="18.75" x14ac:dyDescent="0.3">
      <c r="A1846" s="3">
        <v>1840</v>
      </c>
      <c r="B1846" s="9">
        <f t="shared" si="113"/>
        <v>0.99788457546600351</v>
      </c>
      <c r="C1846" s="3">
        <f t="shared" si="114"/>
        <v>62424.665387426779</v>
      </c>
      <c r="D1846" s="3">
        <f t="shared" si="115"/>
        <v>0.21013154950196622</v>
      </c>
      <c r="E1846" s="8">
        <f t="shared" si="112"/>
        <v>262.85714285714283</v>
      </c>
    </row>
    <row r="1847" spans="1:5" ht="18.75" x14ac:dyDescent="0.3">
      <c r="A1847" s="3">
        <v>1841</v>
      </c>
      <c r="B1847" s="9">
        <f t="shared" si="113"/>
        <v>0.99788792785540614</v>
      </c>
      <c r="C1847" s="3">
        <f t="shared" si="114"/>
        <v>62424.875102850645</v>
      </c>
      <c r="D1847" s="3">
        <f t="shared" si="115"/>
        <v>0.20971542386541842</v>
      </c>
      <c r="E1847" s="8">
        <f t="shared" si="112"/>
        <v>263</v>
      </c>
    </row>
    <row r="1848" spans="1:5" ht="18.75" x14ac:dyDescent="0.3">
      <c r="A1848" s="3">
        <v>1842</v>
      </c>
      <c r="B1848" s="9">
        <f t="shared" si="113"/>
        <v>0.99789127360879448</v>
      </c>
      <c r="C1848" s="3">
        <f t="shared" si="114"/>
        <v>62425.08440314536</v>
      </c>
      <c r="D1848" s="3">
        <f t="shared" si="115"/>
        <v>0.20930029471492162</v>
      </c>
      <c r="E1848" s="8">
        <f t="shared" si="112"/>
        <v>263.14285714285717</v>
      </c>
    </row>
    <row r="1849" spans="1:5" ht="18.75" x14ac:dyDescent="0.3">
      <c r="A1849" s="3">
        <v>1843</v>
      </c>
      <c r="B1849" s="9">
        <f t="shared" si="113"/>
        <v>0.99789461274205316</v>
      </c>
      <c r="C1849" s="3">
        <f t="shared" si="114"/>
        <v>62425.293289304616</v>
      </c>
      <c r="D1849" s="3">
        <f t="shared" si="115"/>
        <v>0.20888615925650811</v>
      </c>
      <c r="E1849" s="8">
        <f t="shared" si="112"/>
        <v>263.28571428571428</v>
      </c>
    </row>
    <row r="1850" spans="1:5" ht="18.75" x14ac:dyDescent="0.3">
      <c r="A1850" s="3">
        <v>1844</v>
      </c>
      <c r="B1850" s="9">
        <f t="shared" si="113"/>
        <v>0.99789794527102182</v>
      </c>
      <c r="C1850" s="3">
        <f t="shared" si="114"/>
        <v>62425.501762319313</v>
      </c>
      <c r="D1850" s="3">
        <f t="shared" si="115"/>
        <v>0.20847301469621016</v>
      </c>
      <c r="E1850" s="8">
        <f t="shared" si="112"/>
        <v>263.42857142857144</v>
      </c>
    </row>
    <row r="1851" spans="1:5" ht="18.75" x14ac:dyDescent="0.3">
      <c r="A1851" s="3">
        <v>1845</v>
      </c>
      <c r="B1851" s="9">
        <f t="shared" si="113"/>
        <v>0.99790127121149574</v>
      </c>
      <c r="C1851" s="3">
        <f t="shared" si="114"/>
        <v>62425.709823177538</v>
      </c>
      <c r="D1851" s="3">
        <f t="shared" si="115"/>
        <v>0.20806085822550813</v>
      </c>
      <c r="E1851" s="8">
        <f t="shared" si="112"/>
        <v>263.57142857142856</v>
      </c>
    </row>
    <row r="1852" spans="1:5" ht="18.75" x14ac:dyDescent="0.3">
      <c r="A1852" s="3">
        <v>1846</v>
      </c>
      <c r="B1852" s="9">
        <f t="shared" si="113"/>
        <v>0.99790459057922531</v>
      </c>
      <c r="C1852" s="3">
        <f t="shared" si="114"/>
        <v>62425.917472864596</v>
      </c>
      <c r="D1852" s="3">
        <f t="shared" si="115"/>
        <v>0.20764968705771025</v>
      </c>
      <c r="E1852" s="8">
        <f t="shared" si="112"/>
        <v>263.71428571428572</v>
      </c>
    </row>
    <row r="1853" spans="1:5" ht="18.75" x14ac:dyDescent="0.3">
      <c r="A1853" s="3">
        <v>1847</v>
      </c>
      <c r="B1853" s="9">
        <f t="shared" si="113"/>
        <v>0.99790790338991675</v>
      </c>
      <c r="C1853" s="3">
        <f t="shared" si="114"/>
        <v>62426.124712363024</v>
      </c>
      <c r="D1853" s="3">
        <f t="shared" si="115"/>
        <v>0.20723949842795264</v>
      </c>
      <c r="E1853" s="8">
        <f t="shared" si="112"/>
        <v>263.85714285714283</v>
      </c>
    </row>
    <row r="1854" spans="1:5" ht="18.75" x14ac:dyDescent="0.3">
      <c r="A1854" s="3">
        <v>1848</v>
      </c>
      <c r="B1854" s="9">
        <f t="shared" si="113"/>
        <v>0.99791120965923175</v>
      </c>
      <c r="C1854" s="3">
        <f t="shared" si="114"/>
        <v>62426.331542652559</v>
      </c>
      <c r="D1854" s="3">
        <f t="shared" si="115"/>
        <v>0.20683028953499161</v>
      </c>
      <c r="E1854" s="8">
        <f t="shared" si="112"/>
        <v>264</v>
      </c>
    </row>
    <row r="1855" spans="1:5" ht="18.75" x14ac:dyDescent="0.3">
      <c r="A1855" s="3">
        <v>1849</v>
      </c>
      <c r="B1855" s="9">
        <f t="shared" si="113"/>
        <v>0.99791450940278814</v>
      </c>
      <c r="C1855" s="3">
        <f t="shared" si="114"/>
        <v>62426.537964710216</v>
      </c>
      <c r="D1855" s="3">
        <f t="shared" si="115"/>
        <v>0.20642205765761901</v>
      </c>
      <c r="E1855" s="8">
        <f t="shared" si="112"/>
        <v>264.14285714285717</v>
      </c>
    </row>
    <row r="1856" spans="1:5" ht="18.75" x14ac:dyDescent="0.3">
      <c r="A1856" s="3">
        <v>1850</v>
      </c>
      <c r="B1856" s="9">
        <f t="shared" si="113"/>
        <v>0.99791780263615981</v>
      </c>
      <c r="C1856" s="3">
        <f t="shared" si="114"/>
        <v>62426.743979510247</v>
      </c>
      <c r="D1856" s="3">
        <f t="shared" si="115"/>
        <v>0.20601480003097095</v>
      </c>
      <c r="E1856" s="8">
        <f t="shared" si="112"/>
        <v>264.28571428571428</v>
      </c>
    </row>
    <row r="1857" spans="1:5" ht="18.75" x14ac:dyDescent="0.3">
      <c r="A1857" s="3">
        <v>1851</v>
      </c>
      <c r="B1857" s="9">
        <f t="shared" si="113"/>
        <v>0.99792108937487667</v>
      </c>
      <c r="C1857" s="3">
        <f t="shared" si="114"/>
        <v>62426.949588024159</v>
      </c>
      <c r="D1857" s="3">
        <f t="shared" si="115"/>
        <v>0.2056085139120114</v>
      </c>
      <c r="E1857" s="8">
        <f t="shared" si="112"/>
        <v>264.42857142857144</v>
      </c>
    </row>
    <row r="1858" spans="1:5" ht="18.75" x14ac:dyDescent="0.3">
      <c r="A1858" s="3">
        <v>1852</v>
      </c>
      <c r="B1858" s="9">
        <f t="shared" si="113"/>
        <v>0.99792436963442488</v>
      </c>
      <c r="C1858" s="3">
        <f t="shared" si="114"/>
        <v>62427.154791220717</v>
      </c>
      <c r="D1858" s="3">
        <f t="shared" si="115"/>
        <v>0.20520319655770436</v>
      </c>
      <c r="E1858" s="8">
        <f t="shared" si="112"/>
        <v>264.57142857142856</v>
      </c>
    </row>
    <row r="1859" spans="1:5" ht="18.75" x14ac:dyDescent="0.3">
      <c r="A1859" s="3">
        <v>1853</v>
      </c>
      <c r="B1859" s="9">
        <f t="shared" si="113"/>
        <v>0.9979276434302472</v>
      </c>
      <c r="C1859" s="3">
        <f t="shared" si="114"/>
        <v>62427.359590065971</v>
      </c>
      <c r="D1859" s="3">
        <f t="shared" si="115"/>
        <v>0.20479884525411762</v>
      </c>
      <c r="E1859" s="8">
        <f t="shared" si="112"/>
        <v>264.71428571428572</v>
      </c>
    </row>
    <row r="1860" spans="1:5" ht="18.75" x14ac:dyDescent="0.3">
      <c r="A1860" s="3">
        <v>1854</v>
      </c>
      <c r="B1860" s="9">
        <f t="shared" si="113"/>
        <v>0.9979309107777431</v>
      </c>
      <c r="C1860" s="3">
        <f t="shared" si="114"/>
        <v>62427.563985523273</v>
      </c>
      <c r="D1860" s="3">
        <f t="shared" si="115"/>
        <v>0.20439545730187092</v>
      </c>
      <c r="E1860" s="8">
        <f t="shared" si="112"/>
        <v>264.85714285714283</v>
      </c>
    </row>
    <row r="1861" spans="1:5" ht="18.75" x14ac:dyDescent="0.3">
      <c r="A1861" s="3">
        <v>1855</v>
      </c>
      <c r="B1861" s="9">
        <f t="shared" si="113"/>
        <v>0.9979341716922685</v>
      </c>
      <c r="C1861" s="3">
        <f t="shared" si="114"/>
        <v>62427.767978553238</v>
      </c>
      <c r="D1861" s="3">
        <f t="shared" si="115"/>
        <v>0.20399302996520419</v>
      </c>
      <c r="E1861" s="8">
        <f t="shared" si="112"/>
        <v>265</v>
      </c>
    </row>
    <row r="1862" spans="1:5" ht="18.75" x14ac:dyDescent="0.3">
      <c r="A1862" s="3">
        <v>1856</v>
      </c>
      <c r="B1862" s="9">
        <f t="shared" si="113"/>
        <v>0.99793742618913639</v>
      </c>
      <c r="C1862" s="3">
        <f t="shared" si="114"/>
        <v>62427.971570113805</v>
      </c>
      <c r="D1862" s="3">
        <f t="shared" si="115"/>
        <v>0.20359156056656502</v>
      </c>
      <c r="E1862" s="8">
        <f t="shared" si="112"/>
        <v>265.14285714285717</v>
      </c>
    </row>
    <row r="1863" spans="1:5" ht="18.75" x14ac:dyDescent="0.3">
      <c r="A1863" s="3">
        <v>1857</v>
      </c>
      <c r="B1863" s="9">
        <f t="shared" si="113"/>
        <v>0.99794067428361677</v>
      </c>
      <c r="C1863" s="3">
        <f t="shared" si="114"/>
        <v>62428.174761160211</v>
      </c>
      <c r="D1863" s="3">
        <f t="shared" si="115"/>
        <v>0.20319104640657315</v>
      </c>
      <c r="E1863" s="8">
        <f t="shared" ref="E1863:E1926" si="116">A1863/7</f>
        <v>265.28571428571428</v>
      </c>
    </row>
    <row r="1864" spans="1:5" ht="18.75" x14ac:dyDescent="0.3">
      <c r="A1864" s="3">
        <v>1858</v>
      </c>
      <c r="B1864" s="9">
        <f t="shared" ref="B1864:B1927" si="117">LOGNORMDIST(A1864,$A$3,$B$3)</f>
        <v>0.99794391599093679</v>
      </c>
      <c r="C1864" s="3">
        <f t="shared" ref="C1864:C1927" si="118">$E$3*B1864</f>
        <v>62428.377552645034</v>
      </c>
      <c r="D1864" s="3">
        <f t="shared" ref="D1864:D1927" si="119">C1864-C1863</f>
        <v>0.20279148482222809</v>
      </c>
      <c r="E1864" s="8">
        <f t="shared" si="116"/>
        <v>265.42857142857144</v>
      </c>
    </row>
    <row r="1865" spans="1:5" ht="18.75" x14ac:dyDescent="0.3">
      <c r="A1865" s="3">
        <v>1859</v>
      </c>
      <c r="B1865" s="9">
        <f t="shared" si="117"/>
        <v>0.99794715132628087</v>
      </c>
      <c r="C1865" s="3">
        <f t="shared" si="118"/>
        <v>62428.579945518155</v>
      </c>
      <c r="D1865" s="3">
        <f t="shared" si="119"/>
        <v>0.20239287312142551</v>
      </c>
      <c r="E1865" s="8">
        <f t="shared" si="116"/>
        <v>265.57142857142856</v>
      </c>
    </row>
    <row r="1866" spans="1:5" ht="18.75" x14ac:dyDescent="0.3">
      <c r="A1866" s="3">
        <v>1860</v>
      </c>
      <c r="B1866" s="9">
        <f t="shared" si="117"/>
        <v>0.99795038030479088</v>
      </c>
      <c r="C1866" s="3">
        <f t="shared" si="118"/>
        <v>62428.781940726803</v>
      </c>
      <c r="D1866" s="3">
        <f t="shared" si="119"/>
        <v>0.20199520864844089</v>
      </c>
      <c r="E1866" s="8">
        <f t="shared" si="116"/>
        <v>265.71428571428572</v>
      </c>
    </row>
    <row r="1867" spans="1:5" ht="18.75" x14ac:dyDescent="0.3">
      <c r="A1867" s="3">
        <v>1861</v>
      </c>
      <c r="B1867" s="9">
        <f t="shared" si="117"/>
        <v>0.99795360294156632</v>
      </c>
      <c r="C1867" s="3">
        <f t="shared" si="118"/>
        <v>62428.983539215566</v>
      </c>
      <c r="D1867" s="3">
        <f t="shared" si="119"/>
        <v>0.20159848876210162</v>
      </c>
      <c r="E1867" s="8">
        <f t="shared" si="116"/>
        <v>265.85714285714283</v>
      </c>
    </row>
    <row r="1868" spans="1:5" ht="18.75" x14ac:dyDescent="0.3">
      <c r="A1868" s="3">
        <v>1862</v>
      </c>
      <c r="B1868" s="9">
        <f t="shared" si="117"/>
        <v>0.99795681925166424</v>
      </c>
      <c r="C1868" s="3">
        <f t="shared" si="118"/>
        <v>62429.184741926358</v>
      </c>
      <c r="D1868" s="3">
        <f t="shared" si="119"/>
        <v>0.20120271079213126</v>
      </c>
      <c r="E1868" s="8">
        <f t="shared" si="116"/>
        <v>266</v>
      </c>
    </row>
    <row r="1869" spans="1:5" ht="18.75" x14ac:dyDescent="0.3">
      <c r="A1869" s="3">
        <v>1863</v>
      </c>
      <c r="B1869" s="9">
        <f t="shared" si="117"/>
        <v>0.99796002925009974</v>
      </c>
      <c r="C1869" s="3">
        <f t="shared" si="118"/>
        <v>62429.385549798491</v>
      </c>
      <c r="D1869" s="3">
        <f t="shared" si="119"/>
        <v>0.20080787213373696</v>
      </c>
      <c r="E1869" s="8">
        <f t="shared" si="116"/>
        <v>266.14285714285717</v>
      </c>
    </row>
    <row r="1870" spans="1:5" ht="18.75" x14ac:dyDescent="0.3">
      <c r="A1870" s="3">
        <v>1864</v>
      </c>
      <c r="B1870" s="9">
        <f t="shared" si="117"/>
        <v>0.99796323295184575</v>
      </c>
      <c r="C1870" s="3">
        <f t="shared" si="118"/>
        <v>62429.585963768615</v>
      </c>
      <c r="D1870" s="3">
        <f t="shared" si="119"/>
        <v>0.20041397012391826</v>
      </c>
      <c r="E1870" s="8">
        <f t="shared" si="116"/>
        <v>266.28571428571428</v>
      </c>
    </row>
    <row r="1871" spans="1:5" ht="18.75" x14ac:dyDescent="0.3">
      <c r="A1871" s="3">
        <v>1865</v>
      </c>
      <c r="B1871" s="9">
        <f t="shared" si="117"/>
        <v>0.99796643037183352</v>
      </c>
      <c r="C1871" s="3">
        <f t="shared" si="118"/>
        <v>62429.785984770788</v>
      </c>
      <c r="D1871" s="3">
        <f t="shared" si="119"/>
        <v>0.20002100217243424</v>
      </c>
      <c r="E1871" s="8">
        <f t="shared" si="116"/>
        <v>266.42857142857144</v>
      </c>
    </row>
    <row r="1872" spans="1:5" ht="18.75" x14ac:dyDescent="0.3">
      <c r="A1872" s="3">
        <v>1866</v>
      </c>
      <c r="B1872" s="9">
        <f t="shared" si="117"/>
        <v>0.99796962152495228</v>
      </c>
      <c r="C1872" s="3">
        <f t="shared" si="118"/>
        <v>62429.98561373644</v>
      </c>
      <c r="D1872" s="3">
        <f t="shared" si="119"/>
        <v>0.19962896565266419</v>
      </c>
      <c r="E1872" s="8">
        <f t="shared" si="116"/>
        <v>266.57142857142856</v>
      </c>
    </row>
    <row r="1873" spans="1:5" ht="18.75" x14ac:dyDescent="0.3">
      <c r="A1873" s="3">
        <v>1867</v>
      </c>
      <c r="B1873" s="9">
        <f t="shared" si="117"/>
        <v>0.99797280642604991</v>
      </c>
      <c r="C1873" s="3">
        <f t="shared" si="118"/>
        <v>62430.184851594408</v>
      </c>
      <c r="D1873" s="3">
        <f t="shared" si="119"/>
        <v>0.19923785796709126</v>
      </c>
      <c r="E1873" s="8">
        <f t="shared" si="116"/>
        <v>266.71428571428572</v>
      </c>
    </row>
    <row r="1874" spans="1:5" ht="18.75" x14ac:dyDescent="0.3">
      <c r="A1874" s="3">
        <v>1868</v>
      </c>
      <c r="B1874" s="9">
        <f t="shared" si="117"/>
        <v>0.99797598508993279</v>
      </c>
      <c r="C1874" s="3">
        <f t="shared" si="118"/>
        <v>62430.383699270926</v>
      </c>
      <c r="D1874" s="3">
        <f t="shared" si="119"/>
        <v>0.19884767651819857</v>
      </c>
      <c r="E1874" s="8">
        <f t="shared" si="116"/>
        <v>266.85714285714283</v>
      </c>
    </row>
    <row r="1875" spans="1:5" ht="18.75" x14ac:dyDescent="0.3">
      <c r="A1875" s="3">
        <v>1869</v>
      </c>
      <c r="B1875" s="9">
        <f t="shared" si="117"/>
        <v>0.99797915753136568</v>
      </c>
      <c r="C1875" s="3">
        <f t="shared" si="118"/>
        <v>62430.582157689641</v>
      </c>
      <c r="D1875" s="3">
        <f t="shared" si="119"/>
        <v>0.19845841871574521</v>
      </c>
      <c r="E1875" s="8">
        <f t="shared" si="116"/>
        <v>267</v>
      </c>
    </row>
    <row r="1876" spans="1:5" ht="18.75" x14ac:dyDescent="0.3">
      <c r="A1876" s="3">
        <v>1870</v>
      </c>
      <c r="B1876" s="9">
        <f t="shared" si="117"/>
        <v>0.99798232376507245</v>
      </c>
      <c r="C1876" s="3">
        <f t="shared" si="118"/>
        <v>62430.78022777164</v>
      </c>
      <c r="D1876" s="3">
        <f t="shared" si="119"/>
        <v>0.19807008199859411</v>
      </c>
      <c r="E1876" s="8">
        <f t="shared" si="116"/>
        <v>267.14285714285717</v>
      </c>
    </row>
    <row r="1877" spans="1:5" ht="18.75" x14ac:dyDescent="0.3">
      <c r="A1877" s="3">
        <v>1871</v>
      </c>
      <c r="B1877" s="9">
        <f t="shared" si="117"/>
        <v>0.99798548380573571</v>
      </c>
      <c r="C1877" s="3">
        <f t="shared" si="118"/>
        <v>62430.977910435409</v>
      </c>
      <c r="D1877" s="3">
        <f t="shared" si="119"/>
        <v>0.19768266376922838</v>
      </c>
      <c r="E1877" s="8">
        <f t="shared" si="116"/>
        <v>267.28571428571428</v>
      </c>
    </row>
    <row r="1878" spans="1:5" ht="18.75" x14ac:dyDescent="0.3">
      <c r="A1878" s="3">
        <v>1872</v>
      </c>
      <c r="B1878" s="9">
        <f t="shared" si="117"/>
        <v>0.99798863766799739</v>
      </c>
      <c r="C1878" s="3">
        <f t="shared" si="118"/>
        <v>62431.175206596912</v>
      </c>
      <c r="D1878" s="3">
        <f t="shared" si="119"/>
        <v>0.19729616150289075</v>
      </c>
      <c r="E1878" s="8">
        <f t="shared" si="116"/>
        <v>267.42857142857144</v>
      </c>
    </row>
    <row r="1879" spans="1:5" ht="18.75" x14ac:dyDescent="0.3">
      <c r="A1879" s="3">
        <v>1873</v>
      </c>
      <c r="B1879" s="9">
        <f t="shared" si="117"/>
        <v>0.99799178536645827</v>
      </c>
      <c r="C1879" s="3">
        <f t="shared" si="118"/>
        <v>62431.372117169529</v>
      </c>
      <c r="D1879" s="3">
        <f t="shared" si="119"/>
        <v>0.19691057261661626</v>
      </c>
      <c r="E1879" s="8">
        <f t="shared" si="116"/>
        <v>267.57142857142856</v>
      </c>
    </row>
    <row r="1880" spans="1:5" ht="18.75" x14ac:dyDescent="0.3">
      <c r="A1880" s="3">
        <v>1874</v>
      </c>
      <c r="B1880" s="9">
        <f t="shared" si="117"/>
        <v>0.99799492691567859</v>
      </c>
      <c r="C1880" s="3">
        <f t="shared" si="118"/>
        <v>62431.568643064107</v>
      </c>
      <c r="D1880" s="3">
        <f t="shared" si="119"/>
        <v>0.19652589457837166</v>
      </c>
      <c r="E1880" s="8">
        <f t="shared" si="116"/>
        <v>267.71428571428572</v>
      </c>
    </row>
    <row r="1881" spans="1:5" ht="18.75" x14ac:dyDescent="0.3">
      <c r="A1881" s="3">
        <v>1875</v>
      </c>
      <c r="B1881" s="9">
        <f t="shared" si="117"/>
        <v>0.99799806233017818</v>
      </c>
      <c r="C1881" s="3">
        <f t="shared" si="118"/>
        <v>62431.764785188956</v>
      </c>
      <c r="D1881" s="3">
        <f t="shared" si="119"/>
        <v>0.19614212484884774</v>
      </c>
      <c r="E1881" s="8">
        <f t="shared" si="116"/>
        <v>267.85714285714283</v>
      </c>
    </row>
    <row r="1882" spans="1:5" ht="18.75" x14ac:dyDescent="0.3">
      <c r="A1882" s="3">
        <v>1876</v>
      </c>
      <c r="B1882" s="9">
        <f t="shared" si="117"/>
        <v>0.99800119162443635</v>
      </c>
      <c r="C1882" s="3">
        <f t="shared" si="118"/>
        <v>62431.960544449867</v>
      </c>
      <c r="D1882" s="3">
        <f t="shared" si="119"/>
        <v>0.19575926091056317</v>
      </c>
      <c r="E1882" s="8">
        <f t="shared" si="116"/>
        <v>268</v>
      </c>
    </row>
    <row r="1883" spans="1:5" ht="18.75" x14ac:dyDescent="0.3">
      <c r="A1883" s="3">
        <v>1877</v>
      </c>
      <c r="B1883" s="9">
        <f t="shared" si="117"/>
        <v>0.99800431481289198</v>
      </c>
      <c r="C1883" s="3">
        <f t="shared" si="118"/>
        <v>62432.155921750084</v>
      </c>
      <c r="D1883" s="3">
        <f t="shared" si="119"/>
        <v>0.19537730021693278</v>
      </c>
      <c r="E1883" s="8">
        <f t="shared" si="116"/>
        <v>268.14285714285717</v>
      </c>
    </row>
    <row r="1884" spans="1:5" ht="18.75" x14ac:dyDescent="0.3">
      <c r="A1884" s="3">
        <v>1878</v>
      </c>
      <c r="B1884" s="9">
        <f t="shared" si="117"/>
        <v>0.99800743190994401</v>
      </c>
      <c r="C1884" s="3">
        <f t="shared" si="118"/>
        <v>62432.35091799037</v>
      </c>
      <c r="D1884" s="3">
        <f t="shared" si="119"/>
        <v>0.19499624028685503</v>
      </c>
      <c r="E1884" s="8">
        <f t="shared" si="116"/>
        <v>268.28571428571428</v>
      </c>
    </row>
    <row r="1885" spans="1:5" ht="18.75" x14ac:dyDescent="0.3">
      <c r="A1885" s="3">
        <v>1879</v>
      </c>
      <c r="B1885" s="9">
        <f t="shared" si="117"/>
        <v>0.99801054292995128</v>
      </c>
      <c r="C1885" s="3">
        <f t="shared" si="118"/>
        <v>62432.545534068966</v>
      </c>
      <c r="D1885" s="3">
        <f t="shared" si="119"/>
        <v>0.19461607859557262</v>
      </c>
      <c r="E1885" s="8">
        <f t="shared" si="116"/>
        <v>268.42857142857144</v>
      </c>
    </row>
    <row r="1886" spans="1:5" ht="18.75" x14ac:dyDescent="0.3">
      <c r="A1886" s="3">
        <v>1880</v>
      </c>
      <c r="B1886" s="9">
        <f t="shared" si="117"/>
        <v>0.99801364788723268</v>
      </c>
      <c r="C1886" s="3">
        <f t="shared" si="118"/>
        <v>62432.739770881613</v>
      </c>
      <c r="D1886" s="3">
        <f t="shared" si="119"/>
        <v>0.19423681264743209</v>
      </c>
      <c r="E1886" s="8">
        <f t="shared" si="116"/>
        <v>268.57142857142856</v>
      </c>
    </row>
    <row r="1887" spans="1:5" ht="18.75" x14ac:dyDescent="0.3">
      <c r="A1887" s="3">
        <v>1881</v>
      </c>
      <c r="B1887" s="9">
        <f t="shared" si="117"/>
        <v>0.99801674679606744</v>
      </c>
      <c r="C1887" s="3">
        <f t="shared" si="118"/>
        <v>62432.933629321589</v>
      </c>
      <c r="D1887" s="3">
        <f t="shared" si="119"/>
        <v>0.19385843997588381</v>
      </c>
      <c r="E1887" s="8">
        <f t="shared" si="116"/>
        <v>268.71428571428572</v>
      </c>
    </row>
    <row r="1888" spans="1:5" ht="18.75" x14ac:dyDescent="0.3">
      <c r="A1888" s="3">
        <v>1882</v>
      </c>
      <c r="B1888" s="9">
        <f t="shared" si="117"/>
        <v>0.99801983967069507</v>
      </c>
      <c r="C1888" s="3">
        <f t="shared" si="118"/>
        <v>62433.127110279675</v>
      </c>
      <c r="D1888" s="3">
        <f t="shared" si="119"/>
        <v>0.19348095808527432</v>
      </c>
      <c r="E1888" s="8">
        <f t="shared" si="116"/>
        <v>268.85714285714283</v>
      </c>
    </row>
    <row r="1889" spans="1:5" ht="18.75" x14ac:dyDescent="0.3">
      <c r="A1889" s="3">
        <v>1883</v>
      </c>
      <c r="B1889" s="9">
        <f t="shared" si="117"/>
        <v>0.99802292652531555</v>
      </c>
      <c r="C1889" s="3">
        <f t="shared" si="118"/>
        <v>62433.320214644162</v>
      </c>
      <c r="D1889" s="3">
        <f t="shared" si="119"/>
        <v>0.19310436448722612</v>
      </c>
      <c r="E1889" s="8">
        <f t="shared" si="116"/>
        <v>269</v>
      </c>
    </row>
    <row r="1890" spans="1:5" ht="18.75" x14ac:dyDescent="0.3">
      <c r="A1890" s="3">
        <v>1884</v>
      </c>
      <c r="B1890" s="9">
        <f t="shared" si="117"/>
        <v>0.99802600737408953</v>
      </c>
      <c r="C1890" s="3">
        <f t="shared" si="118"/>
        <v>62433.512943300921</v>
      </c>
      <c r="D1890" s="3">
        <f t="shared" si="119"/>
        <v>0.19272865675884532</v>
      </c>
      <c r="E1890" s="8">
        <f t="shared" si="116"/>
        <v>269.14285714285717</v>
      </c>
    </row>
    <row r="1891" spans="1:5" ht="18.75" x14ac:dyDescent="0.3">
      <c r="A1891" s="3">
        <v>1885</v>
      </c>
      <c r="B1891" s="9">
        <f t="shared" si="117"/>
        <v>0.9980290822311384</v>
      </c>
      <c r="C1891" s="3">
        <f t="shared" si="118"/>
        <v>62433.705297133325</v>
      </c>
      <c r="D1891" s="3">
        <f t="shared" si="119"/>
        <v>0.19235383240447845</v>
      </c>
      <c r="E1891" s="8">
        <f t="shared" si="116"/>
        <v>269.28571428571428</v>
      </c>
    </row>
    <row r="1892" spans="1:5" ht="18.75" x14ac:dyDescent="0.3">
      <c r="A1892" s="3">
        <v>1886</v>
      </c>
      <c r="B1892" s="9">
        <f t="shared" si="117"/>
        <v>0.99803215111054422</v>
      </c>
      <c r="C1892" s="3">
        <f t="shared" si="118"/>
        <v>62433.897277022312</v>
      </c>
      <c r="D1892" s="3">
        <f t="shared" si="119"/>
        <v>0.19197988898667973</v>
      </c>
      <c r="E1892" s="8">
        <f t="shared" si="116"/>
        <v>269.42857142857144</v>
      </c>
    </row>
    <row r="1893" spans="1:5" ht="18.75" x14ac:dyDescent="0.3">
      <c r="A1893" s="3">
        <v>1887</v>
      </c>
      <c r="B1893" s="9">
        <f t="shared" si="117"/>
        <v>0.99803521402635043</v>
      </c>
      <c r="C1893" s="3">
        <f t="shared" si="118"/>
        <v>62434.088883846402</v>
      </c>
      <c r="D1893" s="3">
        <f t="shared" si="119"/>
        <v>0.19160682408983121</v>
      </c>
      <c r="E1893" s="8">
        <f t="shared" si="116"/>
        <v>269.57142857142856</v>
      </c>
    </row>
    <row r="1894" spans="1:5" ht="18.75" x14ac:dyDescent="0.3">
      <c r="A1894" s="3">
        <v>1888</v>
      </c>
      <c r="B1894" s="9">
        <f t="shared" si="117"/>
        <v>0.99803827099256126</v>
      </c>
      <c r="C1894" s="3">
        <f t="shared" si="118"/>
        <v>62434.280118481656</v>
      </c>
      <c r="D1894" s="3">
        <f t="shared" si="119"/>
        <v>0.19123463525465922</v>
      </c>
      <c r="E1894" s="8">
        <f t="shared" si="116"/>
        <v>269.71428571428572</v>
      </c>
    </row>
    <row r="1895" spans="1:5" ht="18.75" x14ac:dyDescent="0.3">
      <c r="A1895" s="3">
        <v>1889</v>
      </c>
      <c r="B1895" s="9">
        <f t="shared" si="117"/>
        <v>0.99804132202314222</v>
      </c>
      <c r="C1895" s="3">
        <f t="shared" si="118"/>
        <v>62434.470981801707</v>
      </c>
      <c r="D1895" s="3">
        <f t="shared" si="119"/>
        <v>0.19086332005099393</v>
      </c>
      <c r="E1895" s="8">
        <f t="shared" si="116"/>
        <v>269.85714285714283</v>
      </c>
    </row>
    <row r="1896" spans="1:5" ht="18.75" x14ac:dyDescent="0.3">
      <c r="A1896" s="3">
        <v>1890</v>
      </c>
      <c r="B1896" s="9">
        <f t="shared" si="117"/>
        <v>0.99804436713202027</v>
      </c>
      <c r="C1896" s="3">
        <f t="shared" si="118"/>
        <v>62434.661474677792</v>
      </c>
      <c r="D1896" s="3">
        <f t="shared" si="119"/>
        <v>0.19049287608504528</v>
      </c>
      <c r="E1896" s="8">
        <f t="shared" si="116"/>
        <v>270</v>
      </c>
    </row>
    <row r="1897" spans="1:5" ht="18.75" x14ac:dyDescent="0.3">
      <c r="A1897" s="3">
        <v>1891</v>
      </c>
      <c r="B1897" s="9">
        <f t="shared" si="117"/>
        <v>0.99804740633308386</v>
      </c>
      <c r="C1897" s="3">
        <f t="shared" si="118"/>
        <v>62434.851597978726</v>
      </c>
      <c r="D1897" s="3">
        <f t="shared" si="119"/>
        <v>0.19012330093391938</v>
      </c>
      <c r="E1897" s="8">
        <f t="shared" si="116"/>
        <v>270.14285714285717</v>
      </c>
    </row>
    <row r="1898" spans="1:5" ht="18.75" x14ac:dyDescent="0.3">
      <c r="A1898" s="3">
        <v>1892</v>
      </c>
      <c r="B1898" s="9">
        <f t="shared" si="117"/>
        <v>0.99805043964018303</v>
      </c>
      <c r="C1898" s="3">
        <f t="shared" si="118"/>
        <v>62435.04135257093</v>
      </c>
      <c r="D1898" s="3">
        <f t="shared" si="119"/>
        <v>0.18975459220382618</v>
      </c>
      <c r="E1898" s="8">
        <f t="shared" si="116"/>
        <v>270.28571428571428</v>
      </c>
    </row>
    <row r="1899" spans="1:5" ht="18.75" x14ac:dyDescent="0.3">
      <c r="A1899" s="3">
        <v>1893</v>
      </c>
      <c r="B1899" s="9">
        <f t="shared" si="117"/>
        <v>0.99805346706712939</v>
      </c>
      <c r="C1899" s="3">
        <f t="shared" si="118"/>
        <v>62435.230739318416</v>
      </c>
      <c r="D1899" s="3">
        <f t="shared" si="119"/>
        <v>0.1893867474864237</v>
      </c>
      <c r="E1899" s="8">
        <f t="shared" si="116"/>
        <v>270.42857142857144</v>
      </c>
    </row>
    <row r="1900" spans="1:5" ht="18.75" x14ac:dyDescent="0.3">
      <c r="A1900" s="3">
        <v>1894</v>
      </c>
      <c r="B1900" s="9">
        <f t="shared" si="117"/>
        <v>0.9980564886276968</v>
      </c>
      <c r="C1900" s="3">
        <f t="shared" si="118"/>
        <v>62435.419759082826</v>
      </c>
      <c r="D1900" s="3">
        <f t="shared" si="119"/>
        <v>0.18901976440974977</v>
      </c>
      <c r="E1900" s="8">
        <f t="shared" si="116"/>
        <v>270.57142857142856</v>
      </c>
    </row>
    <row r="1901" spans="1:5" ht="18.75" x14ac:dyDescent="0.3">
      <c r="A1901" s="3">
        <v>1895</v>
      </c>
      <c r="B1901" s="9">
        <f t="shared" si="117"/>
        <v>0.99805950433562063</v>
      </c>
      <c r="C1901" s="3">
        <f t="shared" si="118"/>
        <v>62435.608412723421</v>
      </c>
      <c r="D1901" s="3">
        <f t="shared" si="119"/>
        <v>0.18865364059456624</v>
      </c>
      <c r="E1901" s="8">
        <f t="shared" si="116"/>
        <v>270.71428571428572</v>
      </c>
    </row>
    <row r="1902" spans="1:5" ht="18.75" x14ac:dyDescent="0.3">
      <c r="A1902" s="3">
        <v>1896</v>
      </c>
      <c r="B1902" s="9">
        <f t="shared" si="117"/>
        <v>0.99806251420459857</v>
      </c>
      <c r="C1902" s="3">
        <f t="shared" si="118"/>
        <v>62435.796701097075</v>
      </c>
      <c r="D1902" s="3">
        <f t="shared" si="119"/>
        <v>0.18828837365435902</v>
      </c>
      <c r="E1902" s="8">
        <f t="shared" si="116"/>
        <v>270.85714285714283</v>
      </c>
    </row>
    <row r="1903" spans="1:5" ht="18.75" x14ac:dyDescent="0.3">
      <c r="A1903" s="3">
        <v>1897</v>
      </c>
      <c r="B1903" s="9">
        <f t="shared" si="117"/>
        <v>0.99806551824829071</v>
      </c>
      <c r="C1903" s="3">
        <f t="shared" si="118"/>
        <v>62435.984625058321</v>
      </c>
      <c r="D1903" s="3">
        <f t="shared" si="119"/>
        <v>0.18792396124626976</v>
      </c>
      <c r="E1903" s="8">
        <f t="shared" si="116"/>
        <v>271</v>
      </c>
    </row>
    <row r="1904" spans="1:5" ht="18.75" x14ac:dyDescent="0.3">
      <c r="A1904" s="3">
        <v>1898</v>
      </c>
      <c r="B1904" s="9">
        <f t="shared" si="117"/>
        <v>0.99806851648031913</v>
      </c>
      <c r="C1904" s="3">
        <f t="shared" si="118"/>
        <v>62436.172185459327</v>
      </c>
      <c r="D1904" s="3">
        <f t="shared" si="119"/>
        <v>0.18756040100561222</v>
      </c>
      <c r="E1904" s="8">
        <f t="shared" si="116"/>
        <v>271.14285714285717</v>
      </c>
    </row>
    <row r="1905" spans="1:5" ht="18.75" x14ac:dyDescent="0.3">
      <c r="A1905" s="3">
        <v>1899</v>
      </c>
      <c r="B1905" s="9">
        <f t="shared" si="117"/>
        <v>0.99807150891426855</v>
      </c>
      <c r="C1905" s="3">
        <f t="shared" si="118"/>
        <v>62436.359383149895</v>
      </c>
      <c r="D1905" s="3">
        <f t="shared" si="119"/>
        <v>0.18719769056770019</v>
      </c>
      <c r="E1905" s="8">
        <f t="shared" si="116"/>
        <v>271.28571428571428</v>
      </c>
    </row>
    <row r="1906" spans="1:5" ht="18.75" x14ac:dyDescent="0.3">
      <c r="A1906" s="3">
        <v>1900</v>
      </c>
      <c r="B1906" s="9">
        <f t="shared" si="117"/>
        <v>0.99807449556368621</v>
      </c>
      <c r="C1906" s="3">
        <f t="shared" si="118"/>
        <v>62436.546218977521</v>
      </c>
      <c r="D1906" s="3">
        <f t="shared" si="119"/>
        <v>0.18683582762605511</v>
      </c>
      <c r="E1906" s="8">
        <f t="shared" si="116"/>
        <v>271.42857142857144</v>
      </c>
    </row>
    <row r="1907" spans="1:5" ht="18.75" x14ac:dyDescent="0.3">
      <c r="A1907" s="3">
        <v>1901</v>
      </c>
      <c r="B1907" s="9">
        <f t="shared" si="117"/>
        <v>0.99807747644208211</v>
      </c>
      <c r="C1907" s="3">
        <f t="shared" si="118"/>
        <v>62436.732693787329</v>
      </c>
      <c r="D1907" s="3">
        <f t="shared" si="119"/>
        <v>0.18647480980871478</v>
      </c>
      <c r="E1907" s="8">
        <f t="shared" si="116"/>
        <v>271.57142857142856</v>
      </c>
    </row>
    <row r="1908" spans="1:5" ht="18.75" x14ac:dyDescent="0.3">
      <c r="A1908" s="3">
        <v>1902</v>
      </c>
      <c r="B1908" s="9">
        <f t="shared" si="117"/>
        <v>0.99808045156292913</v>
      </c>
      <c r="C1908" s="3">
        <f t="shared" si="118"/>
        <v>62436.918808422161</v>
      </c>
      <c r="D1908" s="3">
        <f t="shared" si="119"/>
        <v>0.18611463483102852</v>
      </c>
      <c r="E1908" s="8">
        <f t="shared" si="116"/>
        <v>271.71428571428572</v>
      </c>
    </row>
    <row r="1909" spans="1:5" ht="18.75" x14ac:dyDescent="0.3">
      <c r="A1909" s="3">
        <v>1903</v>
      </c>
      <c r="B1909" s="9">
        <f t="shared" si="117"/>
        <v>0.99808342093966285</v>
      </c>
      <c r="C1909" s="3">
        <f t="shared" si="118"/>
        <v>62437.104563722489</v>
      </c>
      <c r="D1909" s="3">
        <f t="shared" si="119"/>
        <v>0.18575530032831011</v>
      </c>
      <c r="E1909" s="8">
        <f t="shared" si="116"/>
        <v>271.85714285714283</v>
      </c>
    </row>
    <row r="1910" spans="1:5" ht="18.75" x14ac:dyDescent="0.3">
      <c r="A1910" s="3">
        <v>1904</v>
      </c>
      <c r="B1910" s="9">
        <f t="shared" si="117"/>
        <v>0.99808638458568222</v>
      </c>
      <c r="C1910" s="3">
        <f t="shared" si="118"/>
        <v>62437.289960526519</v>
      </c>
      <c r="D1910" s="3">
        <f t="shared" si="119"/>
        <v>0.18539680403046077</v>
      </c>
      <c r="E1910" s="8">
        <f t="shared" si="116"/>
        <v>272</v>
      </c>
    </row>
    <row r="1911" spans="1:5" ht="18.75" x14ac:dyDescent="0.3">
      <c r="A1911" s="3">
        <v>1905</v>
      </c>
      <c r="B1911" s="9">
        <f t="shared" si="117"/>
        <v>0.99808934251434889</v>
      </c>
      <c r="C1911" s="3">
        <f t="shared" si="118"/>
        <v>62437.474999670121</v>
      </c>
      <c r="D1911" s="3">
        <f t="shared" si="119"/>
        <v>0.1850391436018981</v>
      </c>
      <c r="E1911" s="8">
        <f t="shared" si="116"/>
        <v>272.14285714285717</v>
      </c>
    </row>
    <row r="1912" spans="1:5" ht="18.75" x14ac:dyDescent="0.3">
      <c r="A1912" s="3">
        <v>1906</v>
      </c>
      <c r="B1912" s="9">
        <f t="shared" si="117"/>
        <v>0.99809229473898842</v>
      </c>
      <c r="C1912" s="3">
        <f t="shared" si="118"/>
        <v>62437.659681986901</v>
      </c>
      <c r="D1912" s="3">
        <f t="shared" si="119"/>
        <v>0.18468231677979929</v>
      </c>
      <c r="E1912" s="8">
        <f t="shared" si="116"/>
        <v>272.28571428571428</v>
      </c>
    </row>
    <row r="1913" spans="1:5" ht="18.75" x14ac:dyDescent="0.3">
      <c r="A1913" s="3">
        <v>1907</v>
      </c>
      <c r="B1913" s="9">
        <f t="shared" si="117"/>
        <v>0.99809524127288918</v>
      </c>
      <c r="C1913" s="3">
        <f t="shared" si="118"/>
        <v>62437.84400830813</v>
      </c>
      <c r="D1913" s="3">
        <f t="shared" si="119"/>
        <v>0.18432632122858195</v>
      </c>
      <c r="E1913" s="8">
        <f t="shared" si="116"/>
        <v>272.42857142857144</v>
      </c>
    </row>
    <row r="1914" spans="1:5" ht="18.75" x14ac:dyDescent="0.3">
      <c r="A1914" s="3">
        <v>1908</v>
      </c>
      <c r="B1914" s="9">
        <f t="shared" si="117"/>
        <v>0.99809818212930357</v>
      </c>
      <c r="C1914" s="3">
        <f t="shared" si="118"/>
        <v>62438.027979462844</v>
      </c>
      <c r="D1914" s="3">
        <f t="shared" si="119"/>
        <v>0.18397115471452707</v>
      </c>
      <c r="E1914" s="8">
        <f t="shared" si="116"/>
        <v>272.57142857142856</v>
      </c>
    </row>
    <row r="1915" spans="1:5" ht="18.75" x14ac:dyDescent="0.3">
      <c r="A1915" s="3">
        <v>1909</v>
      </c>
      <c r="B1915" s="9">
        <f t="shared" si="117"/>
        <v>0.99810111732144713</v>
      </c>
      <c r="C1915" s="3">
        <f t="shared" si="118"/>
        <v>62438.211596277768</v>
      </c>
      <c r="D1915" s="3">
        <f t="shared" si="119"/>
        <v>0.18361681492388016</v>
      </c>
      <c r="E1915" s="8">
        <f t="shared" si="116"/>
        <v>272.71428571428572</v>
      </c>
    </row>
    <row r="1916" spans="1:5" ht="18.75" x14ac:dyDescent="0.3">
      <c r="A1916" s="3">
        <v>1910</v>
      </c>
      <c r="B1916" s="9">
        <f t="shared" si="117"/>
        <v>0.99810404686249943</v>
      </c>
      <c r="C1916" s="3">
        <f t="shared" si="118"/>
        <v>62438.394859577376</v>
      </c>
      <c r="D1916" s="3">
        <f t="shared" si="119"/>
        <v>0.18326329960837029</v>
      </c>
      <c r="E1916" s="8">
        <f t="shared" si="116"/>
        <v>272.85714285714283</v>
      </c>
    </row>
    <row r="1917" spans="1:5" ht="18.75" x14ac:dyDescent="0.3">
      <c r="A1917" s="3">
        <v>1911</v>
      </c>
      <c r="B1917" s="9">
        <f t="shared" si="117"/>
        <v>0.99810697076560406</v>
      </c>
      <c r="C1917" s="3">
        <f t="shared" si="118"/>
        <v>62438.577770183896</v>
      </c>
      <c r="D1917" s="3">
        <f t="shared" si="119"/>
        <v>0.18291060651972657</v>
      </c>
      <c r="E1917" s="8">
        <f t="shared" si="116"/>
        <v>273</v>
      </c>
    </row>
    <row r="1918" spans="1:5" ht="18.75" x14ac:dyDescent="0.3">
      <c r="A1918" s="3">
        <v>1912</v>
      </c>
      <c r="B1918" s="9">
        <f t="shared" si="117"/>
        <v>0.99810988904386821</v>
      </c>
      <c r="C1918" s="3">
        <f t="shared" si="118"/>
        <v>62438.760328917262</v>
      </c>
      <c r="D1918" s="3">
        <f t="shared" si="119"/>
        <v>0.18255873336602235</v>
      </c>
      <c r="E1918" s="8">
        <f t="shared" si="116"/>
        <v>273.14285714285717</v>
      </c>
    </row>
    <row r="1919" spans="1:5" ht="18.75" x14ac:dyDescent="0.3">
      <c r="A1919" s="3">
        <v>1913</v>
      </c>
      <c r="B1919" s="9">
        <f t="shared" si="117"/>
        <v>0.99811280171036343</v>
      </c>
      <c r="C1919" s="3">
        <f t="shared" si="118"/>
        <v>62438.942536595205</v>
      </c>
      <c r="D1919" s="3">
        <f t="shared" si="119"/>
        <v>0.18220767794264248</v>
      </c>
      <c r="E1919" s="8">
        <f t="shared" si="116"/>
        <v>273.28571428571428</v>
      </c>
    </row>
    <row r="1920" spans="1:5" ht="18.75" x14ac:dyDescent="0.3">
      <c r="A1920" s="3">
        <v>1914</v>
      </c>
      <c r="B1920" s="9">
        <f t="shared" si="117"/>
        <v>0.99811570877812539</v>
      </c>
      <c r="C1920" s="3">
        <f t="shared" si="118"/>
        <v>62439.124394033191</v>
      </c>
      <c r="D1920" s="3">
        <f t="shared" si="119"/>
        <v>0.18185743798676413</v>
      </c>
      <c r="E1920" s="8">
        <f t="shared" si="116"/>
        <v>273.42857142857144</v>
      </c>
    </row>
    <row r="1921" spans="1:5" ht="18.75" x14ac:dyDescent="0.3">
      <c r="A1921" s="3">
        <v>1915</v>
      </c>
      <c r="B1921" s="9">
        <f t="shared" si="117"/>
        <v>0.99811861026015403</v>
      </c>
      <c r="C1921" s="3">
        <f t="shared" si="118"/>
        <v>62439.305902044456</v>
      </c>
      <c r="D1921" s="3">
        <f t="shared" si="119"/>
        <v>0.18150801126466831</v>
      </c>
      <c r="E1921" s="8">
        <f t="shared" si="116"/>
        <v>273.57142857142856</v>
      </c>
    </row>
    <row r="1922" spans="1:5" ht="18.75" x14ac:dyDescent="0.3">
      <c r="A1922" s="3">
        <v>1916</v>
      </c>
      <c r="B1922" s="9">
        <f t="shared" si="117"/>
        <v>0.99812150616941397</v>
      </c>
      <c r="C1922" s="3">
        <f t="shared" si="118"/>
        <v>62439.487061440028</v>
      </c>
      <c r="D1922" s="3">
        <f t="shared" si="119"/>
        <v>0.18115939557173988</v>
      </c>
      <c r="E1922" s="8">
        <f t="shared" si="116"/>
        <v>273.71428571428572</v>
      </c>
    </row>
    <row r="1923" spans="1:5" ht="18.75" x14ac:dyDescent="0.3">
      <c r="A1923" s="3">
        <v>1917</v>
      </c>
      <c r="B1923" s="9">
        <f t="shared" si="117"/>
        <v>0.99812439651883389</v>
      </c>
      <c r="C1923" s="3">
        <f t="shared" si="118"/>
        <v>62439.667873028695</v>
      </c>
      <c r="D1923" s="3">
        <f t="shared" si="119"/>
        <v>0.18081158866698388</v>
      </c>
      <c r="E1923" s="8">
        <f t="shared" si="116"/>
        <v>273.85714285714283</v>
      </c>
    </row>
    <row r="1924" spans="1:5" ht="18.75" x14ac:dyDescent="0.3">
      <c r="A1924" s="3">
        <v>1918</v>
      </c>
      <c r="B1924" s="9">
        <f t="shared" si="117"/>
        <v>0.99812728132130768</v>
      </c>
      <c r="C1924" s="3">
        <f t="shared" si="118"/>
        <v>62439.848337617048</v>
      </c>
      <c r="D1924" s="3">
        <f t="shared" si="119"/>
        <v>0.18046458835306112</v>
      </c>
      <c r="E1924" s="8">
        <f t="shared" si="116"/>
        <v>274</v>
      </c>
    </row>
    <row r="1925" spans="1:5" ht="18.75" x14ac:dyDescent="0.3">
      <c r="A1925" s="3">
        <v>1919</v>
      </c>
      <c r="B1925" s="9">
        <f t="shared" si="117"/>
        <v>0.99813016058969362</v>
      </c>
      <c r="C1925" s="3">
        <f t="shared" si="118"/>
        <v>62440.028456009466</v>
      </c>
      <c r="D1925" s="3">
        <f t="shared" si="119"/>
        <v>0.18011839241808048</v>
      </c>
      <c r="E1925" s="8">
        <f t="shared" si="116"/>
        <v>274.14285714285717</v>
      </c>
    </row>
    <row r="1926" spans="1:5" ht="18.75" x14ac:dyDescent="0.3">
      <c r="A1926" s="3">
        <v>1920</v>
      </c>
      <c r="B1926" s="9">
        <f t="shared" si="117"/>
        <v>0.99813303433681511</v>
      </c>
      <c r="C1926" s="3">
        <f t="shared" si="118"/>
        <v>62440.208229008145</v>
      </c>
      <c r="D1926" s="3">
        <f t="shared" si="119"/>
        <v>0.17977299867925467</v>
      </c>
      <c r="E1926" s="8">
        <f t="shared" si="116"/>
        <v>274.28571428571428</v>
      </c>
    </row>
    <row r="1927" spans="1:5" ht="18.75" x14ac:dyDescent="0.3">
      <c r="A1927" s="3">
        <v>1921</v>
      </c>
      <c r="B1927" s="9">
        <f t="shared" si="117"/>
        <v>0.99813590257546025</v>
      </c>
      <c r="C1927" s="3">
        <f t="shared" si="118"/>
        <v>62440.38765741307</v>
      </c>
      <c r="D1927" s="3">
        <f t="shared" si="119"/>
        <v>0.17942840492469259</v>
      </c>
      <c r="E1927" s="8">
        <f t="shared" ref="E1927:E1990" si="120">A1927/7</f>
        <v>274.42857142857144</v>
      </c>
    </row>
    <row r="1928" spans="1:5" ht="18.75" x14ac:dyDescent="0.3">
      <c r="A1928" s="3">
        <v>1922</v>
      </c>
      <c r="B1928" s="9">
        <f t="shared" ref="B1928:B1991" si="121">LOGNORMDIST(A1928,$A$3,$B$3)</f>
        <v>0.99813876531838253</v>
      </c>
      <c r="C1928" s="3">
        <f t="shared" ref="C1928:C1991" si="122">$E$3*B1928</f>
        <v>62440.566742022056</v>
      </c>
      <c r="D1928" s="3">
        <f t="shared" ref="D1928:D1991" si="123">C1928-C1927</f>
        <v>0.17908460898615886</v>
      </c>
      <c r="E1928" s="8">
        <f t="shared" si="120"/>
        <v>274.57142857142856</v>
      </c>
    </row>
    <row r="1929" spans="1:5" ht="18.75" x14ac:dyDescent="0.3">
      <c r="A1929" s="3">
        <v>1923</v>
      </c>
      <c r="B1929" s="9">
        <f t="shared" si="121"/>
        <v>0.99814162257830052</v>
      </c>
      <c r="C1929" s="3">
        <f t="shared" si="122"/>
        <v>62440.745483630744</v>
      </c>
      <c r="D1929" s="3">
        <f t="shared" si="123"/>
        <v>0.17874160868814215</v>
      </c>
      <c r="E1929" s="8">
        <f t="shared" si="120"/>
        <v>274.71428571428572</v>
      </c>
    </row>
    <row r="1930" spans="1:5" ht="18.75" x14ac:dyDescent="0.3">
      <c r="A1930" s="3">
        <v>1924</v>
      </c>
      <c r="B1930" s="9">
        <f t="shared" si="121"/>
        <v>0.9981444743678981</v>
      </c>
      <c r="C1930" s="3">
        <f t="shared" si="122"/>
        <v>62440.923883032599</v>
      </c>
      <c r="D1930" s="3">
        <f t="shared" si="123"/>
        <v>0.17839940185513115</v>
      </c>
      <c r="E1930" s="8">
        <f t="shared" si="120"/>
        <v>274.85714285714283</v>
      </c>
    </row>
    <row r="1931" spans="1:5" ht="18.75" x14ac:dyDescent="0.3">
      <c r="A1931" s="3">
        <v>1925</v>
      </c>
      <c r="B1931" s="9">
        <f t="shared" si="121"/>
        <v>0.99814732069982459</v>
      </c>
      <c r="C1931" s="3">
        <f t="shared" si="122"/>
        <v>62441.101941018926</v>
      </c>
      <c r="D1931" s="3">
        <f t="shared" si="123"/>
        <v>0.17805798632616643</v>
      </c>
      <c r="E1931" s="8">
        <f t="shared" si="120"/>
        <v>275</v>
      </c>
    </row>
    <row r="1932" spans="1:5" ht="18.75" x14ac:dyDescent="0.3">
      <c r="A1932" s="3">
        <v>1926</v>
      </c>
      <c r="B1932" s="9">
        <f t="shared" si="121"/>
        <v>0.99815016158669501</v>
      </c>
      <c r="C1932" s="3">
        <f t="shared" si="122"/>
        <v>62441.27965837888</v>
      </c>
      <c r="D1932" s="3">
        <f t="shared" si="123"/>
        <v>0.1777173599548405</v>
      </c>
      <c r="E1932" s="8">
        <f t="shared" si="120"/>
        <v>275.14285714285717</v>
      </c>
    </row>
    <row r="1933" spans="1:5" ht="18.75" x14ac:dyDescent="0.3">
      <c r="A1933" s="3">
        <v>1927</v>
      </c>
      <c r="B1933" s="9">
        <f t="shared" si="121"/>
        <v>0.99815299704108973</v>
      </c>
      <c r="C1933" s="3">
        <f t="shared" si="122"/>
        <v>62441.457035899453</v>
      </c>
      <c r="D1933" s="3">
        <f t="shared" si="123"/>
        <v>0.177377520572918</v>
      </c>
      <c r="E1933" s="8">
        <f t="shared" si="120"/>
        <v>275.28571428571428</v>
      </c>
    </row>
    <row r="1934" spans="1:5" ht="18.75" x14ac:dyDescent="0.3">
      <c r="A1934" s="3">
        <v>1928</v>
      </c>
      <c r="B1934" s="9">
        <f t="shared" si="121"/>
        <v>0.99815582707555517</v>
      </c>
      <c r="C1934" s="3">
        <f t="shared" si="122"/>
        <v>62441.634074365502</v>
      </c>
      <c r="D1934" s="3">
        <f t="shared" si="123"/>
        <v>0.17703846604854334</v>
      </c>
      <c r="E1934" s="8">
        <f t="shared" si="120"/>
        <v>275.42857142857144</v>
      </c>
    </row>
    <row r="1935" spans="1:5" ht="18.75" x14ac:dyDescent="0.3">
      <c r="A1935" s="3">
        <v>1929</v>
      </c>
      <c r="B1935" s="9">
        <f t="shared" si="121"/>
        <v>0.99815865170260332</v>
      </c>
      <c r="C1935" s="3">
        <f t="shared" si="122"/>
        <v>62441.810774559759</v>
      </c>
      <c r="D1935" s="3">
        <f t="shared" si="123"/>
        <v>0.1767001942571369</v>
      </c>
      <c r="E1935" s="8">
        <f t="shared" si="120"/>
        <v>275.57142857142856</v>
      </c>
    </row>
    <row r="1936" spans="1:5" ht="18.75" x14ac:dyDescent="0.3">
      <c r="A1936" s="3">
        <v>1930</v>
      </c>
      <c r="B1936" s="9">
        <f t="shared" si="121"/>
        <v>0.99816147093471241</v>
      </c>
      <c r="C1936" s="3">
        <f t="shared" si="122"/>
        <v>62441.987137262804</v>
      </c>
      <c r="D1936" s="3">
        <f t="shared" si="123"/>
        <v>0.17636270304501522</v>
      </c>
      <c r="E1936" s="8">
        <f t="shared" si="120"/>
        <v>275.71428571428572</v>
      </c>
    </row>
    <row r="1937" spans="1:5" ht="18.75" x14ac:dyDescent="0.3">
      <c r="A1937" s="3">
        <v>1931</v>
      </c>
      <c r="B1937" s="9">
        <f t="shared" si="121"/>
        <v>0.99816428478432651</v>
      </c>
      <c r="C1937" s="3">
        <f t="shared" si="122"/>
        <v>62442.163163253113</v>
      </c>
      <c r="D1937" s="3">
        <f t="shared" si="123"/>
        <v>0.17602599030942656</v>
      </c>
      <c r="E1937" s="8">
        <f t="shared" si="120"/>
        <v>275.85714285714283</v>
      </c>
    </row>
    <row r="1938" spans="1:5" ht="18.75" x14ac:dyDescent="0.3">
      <c r="A1938" s="3">
        <v>1932</v>
      </c>
      <c r="B1938" s="9">
        <f t="shared" si="121"/>
        <v>0.99816709326385622</v>
      </c>
      <c r="C1938" s="3">
        <f t="shared" si="122"/>
        <v>62442.338853307054</v>
      </c>
      <c r="D1938" s="3">
        <f t="shared" si="123"/>
        <v>0.1756900539403432</v>
      </c>
      <c r="E1938" s="8">
        <f t="shared" si="120"/>
        <v>276</v>
      </c>
    </row>
    <row r="1939" spans="1:5" ht="18.75" x14ac:dyDescent="0.3">
      <c r="A1939" s="3">
        <v>1933</v>
      </c>
      <c r="B1939" s="9">
        <f t="shared" si="121"/>
        <v>0.99816989638567799</v>
      </c>
      <c r="C1939" s="3">
        <f t="shared" si="122"/>
        <v>62442.51420819886</v>
      </c>
      <c r="D1939" s="3">
        <f t="shared" si="123"/>
        <v>0.17535489180590957</v>
      </c>
      <c r="E1939" s="8">
        <f t="shared" si="120"/>
        <v>276.14285714285717</v>
      </c>
    </row>
    <row r="1940" spans="1:5" ht="18.75" x14ac:dyDescent="0.3">
      <c r="A1940" s="3">
        <v>1934</v>
      </c>
      <c r="B1940" s="9">
        <f t="shared" si="121"/>
        <v>0.99817269416213505</v>
      </c>
      <c r="C1940" s="3">
        <f t="shared" si="122"/>
        <v>62442.689228700685</v>
      </c>
      <c r="D1940" s="3">
        <f t="shared" si="123"/>
        <v>0.17502050182520179</v>
      </c>
      <c r="E1940" s="8">
        <f t="shared" si="120"/>
        <v>276.28571428571428</v>
      </c>
    </row>
    <row r="1941" spans="1:5" ht="18.75" x14ac:dyDescent="0.3">
      <c r="A1941" s="3">
        <v>1935</v>
      </c>
      <c r="B1941" s="9">
        <f t="shared" si="121"/>
        <v>0.99817548660553679</v>
      </c>
      <c r="C1941" s="3">
        <f t="shared" si="122"/>
        <v>62442.863915582566</v>
      </c>
      <c r="D1941" s="3">
        <f t="shared" si="123"/>
        <v>0.17468688188091619</v>
      </c>
      <c r="E1941" s="8">
        <f t="shared" si="120"/>
        <v>276.42857142857144</v>
      </c>
    </row>
    <row r="1942" spans="1:5" ht="18.75" x14ac:dyDescent="0.3">
      <c r="A1942" s="3">
        <v>1936</v>
      </c>
      <c r="B1942" s="9">
        <f t="shared" si="121"/>
        <v>0.99817827372815959</v>
      </c>
      <c r="C1942" s="3">
        <f t="shared" si="122"/>
        <v>62443.03826961248</v>
      </c>
      <c r="D1942" s="3">
        <f t="shared" si="123"/>
        <v>0.17435402991395677</v>
      </c>
      <c r="E1942" s="8">
        <f t="shared" si="120"/>
        <v>276.57142857142856</v>
      </c>
    </row>
    <row r="1943" spans="1:5" ht="18.75" x14ac:dyDescent="0.3">
      <c r="A1943" s="3">
        <v>1937</v>
      </c>
      <c r="B1943" s="9">
        <f t="shared" si="121"/>
        <v>0.99818105554224623</v>
      </c>
      <c r="C1943" s="3">
        <f t="shared" si="122"/>
        <v>62443.212291556294</v>
      </c>
      <c r="D1943" s="3">
        <f t="shared" si="123"/>
        <v>0.17402194381429581</v>
      </c>
      <c r="E1943" s="8">
        <f t="shared" si="120"/>
        <v>276.71428571428572</v>
      </c>
    </row>
    <row r="1944" spans="1:5" ht="18.75" x14ac:dyDescent="0.3">
      <c r="A1944" s="3">
        <v>1938</v>
      </c>
      <c r="B1944" s="9">
        <f t="shared" si="121"/>
        <v>0.99818383206000638</v>
      </c>
      <c r="C1944" s="3">
        <f t="shared" si="122"/>
        <v>62443.385982177817</v>
      </c>
      <c r="D1944" s="3">
        <f t="shared" si="123"/>
        <v>0.17369062152283732</v>
      </c>
      <c r="E1944" s="8">
        <f t="shared" si="120"/>
        <v>276.85714285714283</v>
      </c>
    </row>
    <row r="1945" spans="1:5" ht="18.75" x14ac:dyDescent="0.3">
      <c r="A1945" s="3">
        <v>1939</v>
      </c>
      <c r="B1945" s="9">
        <f t="shared" si="121"/>
        <v>0.99818660329361664</v>
      </c>
      <c r="C1945" s="3">
        <f t="shared" si="122"/>
        <v>62443.559342238776</v>
      </c>
      <c r="D1945" s="3">
        <f t="shared" si="123"/>
        <v>0.17336006095865741</v>
      </c>
      <c r="E1945" s="8">
        <f t="shared" si="120"/>
        <v>277</v>
      </c>
    </row>
    <row r="1946" spans="1:5" ht="18.75" x14ac:dyDescent="0.3">
      <c r="A1946" s="3">
        <v>1940</v>
      </c>
      <c r="B1946" s="9">
        <f t="shared" si="121"/>
        <v>0.99818936925522073</v>
      </c>
      <c r="C1946" s="3">
        <f t="shared" si="122"/>
        <v>62443.732372498846</v>
      </c>
      <c r="D1946" s="3">
        <f t="shared" si="123"/>
        <v>0.17303026006993605</v>
      </c>
      <c r="E1946" s="8">
        <f t="shared" si="120"/>
        <v>277.14285714285717</v>
      </c>
    </row>
    <row r="1947" spans="1:5" ht="18.75" x14ac:dyDescent="0.3">
      <c r="A1947" s="3">
        <v>1941</v>
      </c>
      <c r="B1947" s="9">
        <f t="shared" si="121"/>
        <v>0.99819212995692941</v>
      </c>
      <c r="C1947" s="3">
        <f t="shared" si="122"/>
        <v>62443.905073715636</v>
      </c>
      <c r="D1947" s="3">
        <f t="shared" si="123"/>
        <v>0.17270121679030126</v>
      </c>
      <c r="E1947" s="8">
        <f t="shared" si="120"/>
        <v>277.28571428571428</v>
      </c>
    </row>
    <row r="1948" spans="1:5" ht="18.75" x14ac:dyDescent="0.3">
      <c r="A1948" s="3">
        <v>1942</v>
      </c>
      <c r="B1948" s="9">
        <f t="shared" si="121"/>
        <v>0.99819488541082069</v>
      </c>
      <c r="C1948" s="3">
        <f t="shared" si="122"/>
        <v>62444.077446644711</v>
      </c>
      <c r="D1948" s="3">
        <f t="shared" si="123"/>
        <v>0.17237292907520896</v>
      </c>
      <c r="E1948" s="8">
        <f t="shared" si="120"/>
        <v>277.42857142857144</v>
      </c>
    </row>
    <row r="1949" spans="1:5" ht="18.75" x14ac:dyDescent="0.3">
      <c r="A1949" s="3">
        <v>1943</v>
      </c>
      <c r="B1949" s="9">
        <f t="shared" si="121"/>
        <v>0.99819763562893982</v>
      </c>
      <c r="C1949" s="3">
        <f t="shared" si="122"/>
        <v>62444.249492039591</v>
      </c>
      <c r="D1949" s="3">
        <f t="shared" si="123"/>
        <v>0.17204539488011505</v>
      </c>
      <c r="E1949" s="8">
        <f t="shared" si="120"/>
        <v>277.57142857142856</v>
      </c>
    </row>
    <row r="1950" spans="1:5" ht="18.75" x14ac:dyDescent="0.3">
      <c r="A1950" s="3">
        <v>1944</v>
      </c>
      <c r="B1950" s="9">
        <f t="shared" si="121"/>
        <v>0.99820038062329952</v>
      </c>
      <c r="C1950" s="3">
        <f t="shared" si="122"/>
        <v>62444.421210651752</v>
      </c>
      <c r="D1950" s="3">
        <f t="shared" si="123"/>
        <v>0.17171861216047546</v>
      </c>
      <c r="E1950" s="8">
        <f t="shared" si="120"/>
        <v>277.71428571428572</v>
      </c>
    </row>
    <row r="1951" spans="1:5" ht="18.75" x14ac:dyDescent="0.3">
      <c r="A1951" s="3">
        <v>1945</v>
      </c>
      <c r="B1951" s="9">
        <f t="shared" si="121"/>
        <v>0.99820312040588033</v>
      </c>
      <c r="C1951" s="3">
        <f t="shared" si="122"/>
        <v>62444.592603230652</v>
      </c>
      <c r="D1951" s="3">
        <f t="shared" si="123"/>
        <v>0.17139257890084991</v>
      </c>
      <c r="E1951" s="8">
        <f t="shared" si="120"/>
        <v>277.85714285714283</v>
      </c>
    </row>
    <row r="1952" spans="1:5" ht="18.75" x14ac:dyDescent="0.3">
      <c r="A1952" s="3">
        <v>1946</v>
      </c>
      <c r="B1952" s="9">
        <f t="shared" si="121"/>
        <v>0.99820585498863001</v>
      </c>
      <c r="C1952" s="3">
        <f t="shared" si="122"/>
        <v>62444.763670523731</v>
      </c>
      <c r="D1952" s="3">
        <f t="shared" si="123"/>
        <v>0.1710672930785222</v>
      </c>
      <c r="E1952" s="8">
        <f t="shared" si="120"/>
        <v>278</v>
      </c>
    </row>
    <row r="1953" spans="1:5" ht="18.75" x14ac:dyDescent="0.3">
      <c r="A1953" s="3">
        <v>1947</v>
      </c>
      <c r="B1953" s="9">
        <f t="shared" si="121"/>
        <v>0.99820858438346416</v>
      </c>
      <c r="C1953" s="3">
        <f t="shared" si="122"/>
        <v>62444.934413276365</v>
      </c>
      <c r="D1953" s="3">
        <f t="shared" si="123"/>
        <v>0.17074275263439631</v>
      </c>
      <c r="E1953" s="8">
        <f t="shared" si="120"/>
        <v>278.14285714285717</v>
      </c>
    </row>
    <row r="1954" spans="1:5" ht="18.75" x14ac:dyDescent="0.3">
      <c r="A1954" s="3">
        <v>1948</v>
      </c>
      <c r="B1954" s="9">
        <f t="shared" si="121"/>
        <v>0.99821130860226648</v>
      </c>
      <c r="C1954" s="3">
        <f t="shared" si="122"/>
        <v>62445.104832231984</v>
      </c>
      <c r="D1954" s="3">
        <f t="shared" si="123"/>
        <v>0.17041895561851561</v>
      </c>
      <c r="E1954" s="8">
        <f t="shared" si="120"/>
        <v>278.28571428571428</v>
      </c>
    </row>
    <row r="1955" spans="1:5" ht="18.75" x14ac:dyDescent="0.3">
      <c r="A1955" s="3">
        <v>1949</v>
      </c>
      <c r="B1955" s="9">
        <f t="shared" si="121"/>
        <v>0.99821402765688827</v>
      </c>
      <c r="C1955" s="3">
        <f t="shared" si="122"/>
        <v>62445.274928131963</v>
      </c>
      <c r="D1955" s="3">
        <f t="shared" si="123"/>
        <v>0.17009589997906005</v>
      </c>
      <c r="E1955" s="8">
        <f t="shared" si="120"/>
        <v>278.42857142857144</v>
      </c>
    </row>
    <row r="1956" spans="1:5" ht="18.75" x14ac:dyDescent="0.3">
      <c r="A1956" s="3">
        <v>1950</v>
      </c>
      <c r="B1956" s="9">
        <f t="shared" si="121"/>
        <v>0.99821674155914908</v>
      </c>
      <c r="C1956" s="3">
        <f t="shared" si="122"/>
        <v>62445.444701715685</v>
      </c>
      <c r="D1956" s="3">
        <f t="shared" si="123"/>
        <v>0.16977358372241724</v>
      </c>
      <c r="E1956" s="8">
        <f t="shared" si="120"/>
        <v>278.57142857142856</v>
      </c>
    </row>
    <row r="1957" spans="1:5" ht="18.75" x14ac:dyDescent="0.3">
      <c r="A1957" s="3">
        <v>1951</v>
      </c>
      <c r="B1957" s="9">
        <f t="shared" si="121"/>
        <v>0.99821945032083648</v>
      </c>
      <c r="C1957" s="3">
        <f t="shared" si="122"/>
        <v>62445.614153720569</v>
      </c>
      <c r="D1957" s="3">
        <f t="shared" si="123"/>
        <v>0.16945200488407863</v>
      </c>
      <c r="E1957" s="8">
        <f t="shared" si="120"/>
        <v>278.71428571428572</v>
      </c>
    </row>
    <row r="1958" spans="1:5" ht="18.75" x14ac:dyDescent="0.3">
      <c r="A1958" s="3">
        <v>1952</v>
      </c>
      <c r="B1958" s="9">
        <f t="shared" si="121"/>
        <v>0.99822215395370639</v>
      </c>
      <c r="C1958" s="3">
        <f t="shared" si="122"/>
        <v>62445.783284882011</v>
      </c>
      <c r="D1958" s="3">
        <f t="shared" si="123"/>
        <v>0.169131161441328</v>
      </c>
      <c r="E1958" s="8">
        <f t="shared" si="120"/>
        <v>278.85714285714283</v>
      </c>
    </row>
    <row r="1959" spans="1:5" ht="18.75" x14ac:dyDescent="0.3">
      <c r="A1959" s="3">
        <v>1953</v>
      </c>
      <c r="B1959" s="9">
        <f t="shared" si="121"/>
        <v>0.998224852469483</v>
      </c>
      <c r="C1959" s="3">
        <f t="shared" si="122"/>
        <v>62445.952095933448</v>
      </c>
      <c r="D1959" s="3">
        <f t="shared" si="123"/>
        <v>0.16881105143693276</v>
      </c>
      <c r="E1959" s="8">
        <f t="shared" si="120"/>
        <v>279</v>
      </c>
    </row>
    <row r="1960" spans="1:5" ht="18.75" x14ac:dyDescent="0.3">
      <c r="A1960" s="3">
        <v>1954</v>
      </c>
      <c r="B1960" s="9">
        <f t="shared" si="121"/>
        <v>0.99822754587985896</v>
      </c>
      <c r="C1960" s="3">
        <f t="shared" si="122"/>
        <v>62446.12058760634</v>
      </c>
      <c r="D1960" s="3">
        <f t="shared" si="123"/>
        <v>0.16849167289183242</v>
      </c>
      <c r="E1960" s="8">
        <f t="shared" si="120"/>
        <v>279.14285714285717</v>
      </c>
    </row>
    <row r="1961" spans="1:5" ht="18.75" x14ac:dyDescent="0.3">
      <c r="A1961" s="3">
        <v>1955</v>
      </c>
      <c r="B1961" s="9">
        <f t="shared" si="121"/>
        <v>0.99823023419649526</v>
      </c>
      <c r="C1961" s="3">
        <f t="shared" si="122"/>
        <v>62446.288760630152</v>
      </c>
      <c r="D1961" s="3">
        <f t="shared" si="123"/>
        <v>0.16817302381241461</v>
      </c>
      <c r="E1961" s="8">
        <f t="shared" si="120"/>
        <v>279.28571428571428</v>
      </c>
    </row>
    <row r="1962" spans="1:5" ht="18.75" x14ac:dyDescent="0.3">
      <c r="A1962" s="3">
        <v>1956</v>
      </c>
      <c r="B1962" s="9">
        <f t="shared" si="121"/>
        <v>0.99823291743102194</v>
      </c>
      <c r="C1962" s="3">
        <f t="shared" si="122"/>
        <v>62446.456615732437</v>
      </c>
      <c r="D1962" s="3">
        <f t="shared" si="123"/>
        <v>0.16785510228510248</v>
      </c>
      <c r="E1962" s="8">
        <f t="shared" si="120"/>
        <v>279.42857142857144</v>
      </c>
    </row>
    <row r="1963" spans="1:5" ht="18.75" x14ac:dyDescent="0.3">
      <c r="A1963" s="3">
        <v>1957</v>
      </c>
      <c r="B1963" s="9">
        <f t="shared" si="121"/>
        <v>0.99823559559503738</v>
      </c>
      <c r="C1963" s="3">
        <f t="shared" si="122"/>
        <v>62446.624153638753</v>
      </c>
      <c r="D1963" s="3">
        <f t="shared" si="123"/>
        <v>0.16753790631628362</v>
      </c>
      <c r="E1963" s="8">
        <f t="shared" si="120"/>
        <v>279.57142857142856</v>
      </c>
    </row>
    <row r="1964" spans="1:5" ht="18.75" x14ac:dyDescent="0.3">
      <c r="A1964" s="3">
        <v>1958</v>
      </c>
      <c r="B1964" s="9">
        <f t="shared" si="121"/>
        <v>0.99823826870010901</v>
      </c>
      <c r="C1964" s="3">
        <f t="shared" si="122"/>
        <v>62446.791375072717</v>
      </c>
      <c r="D1964" s="3">
        <f t="shared" si="123"/>
        <v>0.16722143396327738</v>
      </c>
      <c r="E1964" s="8">
        <f t="shared" si="120"/>
        <v>279.71428571428572</v>
      </c>
    </row>
    <row r="1965" spans="1:5" ht="18.75" x14ac:dyDescent="0.3">
      <c r="A1965" s="3">
        <v>1959</v>
      </c>
      <c r="B1965" s="9">
        <f t="shared" si="121"/>
        <v>0.99824093675777303</v>
      </c>
      <c r="C1965" s="3">
        <f t="shared" si="122"/>
        <v>62446.958280756007</v>
      </c>
      <c r="D1965" s="3">
        <f t="shared" si="123"/>
        <v>0.16690568329067901</v>
      </c>
      <c r="E1965" s="8">
        <f t="shared" si="120"/>
        <v>279.85714285714283</v>
      </c>
    </row>
    <row r="1966" spans="1:5" ht="18.75" x14ac:dyDescent="0.3">
      <c r="A1966" s="3">
        <v>1960</v>
      </c>
      <c r="B1966" s="9">
        <f t="shared" si="121"/>
        <v>0.9982435997795347</v>
      </c>
      <c r="C1966" s="3">
        <f t="shared" si="122"/>
        <v>62447.124871408349</v>
      </c>
      <c r="D1966" s="3">
        <f t="shared" si="123"/>
        <v>0.16659065234125592</v>
      </c>
      <c r="E1966" s="8">
        <f t="shared" si="120"/>
        <v>280</v>
      </c>
    </row>
    <row r="1967" spans="1:5" ht="18.75" x14ac:dyDescent="0.3">
      <c r="A1967" s="3">
        <v>1961</v>
      </c>
      <c r="B1967" s="9">
        <f t="shared" si="121"/>
        <v>0.99824625777686848</v>
      </c>
      <c r="C1967" s="3">
        <f t="shared" si="122"/>
        <v>62447.291147747565</v>
      </c>
      <c r="D1967" s="3">
        <f t="shared" si="123"/>
        <v>0.16627633921598317</v>
      </c>
      <c r="E1967" s="8">
        <f t="shared" si="120"/>
        <v>280.14285714285717</v>
      </c>
    </row>
    <row r="1968" spans="1:5" ht="18.75" x14ac:dyDescent="0.3">
      <c r="A1968" s="3">
        <v>1962</v>
      </c>
      <c r="B1968" s="9">
        <f t="shared" si="121"/>
        <v>0.99824891076121791</v>
      </c>
      <c r="C1968" s="3">
        <f t="shared" si="122"/>
        <v>62447.457110489508</v>
      </c>
      <c r="D1968" s="3">
        <f t="shared" si="123"/>
        <v>0.16596274194307625</v>
      </c>
      <c r="E1968" s="8">
        <f t="shared" si="120"/>
        <v>280.28571428571428</v>
      </c>
    </row>
    <row r="1969" spans="1:5" ht="18.75" x14ac:dyDescent="0.3">
      <c r="A1969" s="3">
        <v>1963</v>
      </c>
      <c r="B1969" s="9">
        <f t="shared" si="121"/>
        <v>0.99825155874399596</v>
      </c>
      <c r="C1969" s="3">
        <f t="shared" si="122"/>
        <v>62447.622760348153</v>
      </c>
      <c r="D1969" s="3">
        <f t="shared" si="123"/>
        <v>0.1656498586453381</v>
      </c>
      <c r="E1969" s="8">
        <f t="shared" si="120"/>
        <v>280.42857142857144</v>
      </c>
    </row>
    <row r="1970" spans="1:5" ht="18.75" x14ac:dyDescent="0.3">
      <c r="A1970" s="3">
        <v>1964</v>
      </c>
      <c r="B1970" s="9">
        <f t="shared" si="121"/>
        <v>0.99825420173658497</v>
      </c>
      <c r="C1970" s="3">
        <f t="shared" si="122"/>
        <v>62447.788098035548</v>
      </c>
      <c r="D1970" s="3">
        <f t="shared" si="123"/>
        <v>0.16533768739463994</v>
      </c>
      <c r="E1970" s="8">
        <f t="shared" si="120"/>
        <v>280.57142857142856</v>
      </c>
    </row>
    <row r="1971" spans="1:5" ht="18.75" x14ac:dyDescent="0.3">
      <c r="A1971" s="3">
        <v>1965</v>
      </c>
      <c r="B1971" s="9">
        <f t="shared" si="121"/>
        <v>0.99825683975033674</v>
      </c>
      <c r="C1971" s="3">
        <f t="shared" si="122"/>
        <v>62447.953124261818</v>
      </c>
      <c r="D1971" s="3">
        <f t="shared" si="123"/>
        <v>0.16502622627012897</v>
      </c>
      <c r="E1971" s="8">
        <f t="shared" si="120"/>
        <v>280.71428571428572</v>
      </c>
    </row>
    <row r="1972" spans="1:5" ht="18.75" x14ac:dyDescent="0.3">
      <c r="A1972" s="3">
        <v>1966</v>
      </c>
      <c r="B1972" s="9">
        <f t="shared" si="121"/>
        <v>0.99825947279657268</v>
      </c>
      <c r="C1972" s="3">
        <f t="shared" si="122"/>
        <v>62448.117839735198</v>
      </c>
      <c r="D1972" s="3">
        <f t="shared" si="123"/>
        <v>0.16471547338005621</v>
      </c>
      <c r="E1972" s="8">
        <f t="shared" si="120"/>
        <v>280.85714285714283</v>
      </c>
    </row>
    <row r="1973" spans="1:5" ht="18.75" x14ac:dyDescent="0.3">
      <c r="A1973" s="3">
        <v>1967</v>
      </c>
      <c r="B1973" s="9">
        <f t="shared" si="121"/>
        <v>0.99826210088658374</v>
      </c>
      <c r="C1973" s="3">
        <f t="shared" si="122"/>
        <v>62448.282245162016</v>
      </c>
      <c r="D1973" s="3">
        <f t="shared" si="123"/>
        <v>0.16440542681812076</v>
      </c>
      <c r="E1973" s="8">
        <f t="shared" si="120"/>
        <v>281</v>
      </c>
    </row>
    <row r="1974" spans="1:5" ht="18.75" x14ac:dyDescent="0.3">
      <c r="A1974" s="3">
        <v>1968</v>
      </c>
      <c r="B1974" s="9">
        <f t="shared" si="121"/>
        <v>0.99826472403163102</v>
      </c>
      <c r="C1974" s="3">
        <f t="shared" si="122"/>
        <v>62448.446341246745</v>
      </c>
      <c r="D1974" s="3">
        <f t="shared" si="123"/>
        <v>0.16409608472895343</v>
      </c>
      <c r="E1974" s="8">
        <f t="shared" si="120"/>
        <v>281.14285714285717</v>
      </c>
    </row>
    <row r="1975" spans="1:5" ht="18.75" x14ac:dyDescent="0.3">
      <c r="A1975" s="3">
        <v>1969</v>
      </c>
      <c r="B1975" s="9">
        <f t="shared" si="121"/>
        <v>0.998267342242945</v>
      </c>
      <c r="C1975" s="3">
        <f t="shared" si="122"/>
        <v>62448.610128691907</v>
      </c>
      <c r="D1975" s="3">
        <f t="shared" si="123"/>
        <v>0.16378744516259758</v>
      </c>
      <c r="E1975" s="8">
        <f t="shared" si="120"/>
        <v>281.28571428571428</v>
      </c>
    </row>
    <row r="1976" spans="1:5" ht="18.75" x14ac:dyDescent="0.3">
      <c r="A1976" s="3">
        <v>1970</v>
      </c>
      <c r="B1976" s="9">
        <f t="shared" si="121"/>
        <v>0.99826995553172659</v>
      </c>
      <c r="C1976" s="3">
        <f t="shared" si="122"/>
        <v>62448.773608198222</v>
      </c>
      <c r="D1976" s="3">
        <f t="shared" si="123"/>
        <v>0.16347950631461572</v>
      </c>
      <c r="E1976" s="8">
        <f t="shared" si="120"/>
        <v>281.42857142857144</v>
      </c>
    </row>
    <row r="1977" spans="1:5" ht="18.75" x14ac:dyDescent="0.3">
      <c r="A1977" s="3">
        <v>1971</v>
      </c>
      <c r="B1977" s="9">
        <f t="shared" si="121"/>
        <v>0.99827256390914632</v>
      </c>
      <c r="C1977" s="3">
        <f t="shared" si="122"/>
        <v>62448.936780464464</v>
      </c>
      <c r="D1977" s="3">
        <f t="shared" si="123"/>
        <v>0.16317226624232717</v>
      </c>
      <c r="E1977" s="8">
        <f t="shared" si="120"/>
        <v>281.57142857142856</v>
      </c>
    </row>
    <row r="1978" spans="1:5" ht="18.75" x14ac:dyDescent="0.3">
      <c r="A1978" s="3">
        <v>1972</v>
      </c>
      <c r="B1978" s="9">
        <f t="shared" si="121"/>
        <v>0.99827516738634536</v>
      </c>
      <c r="C1978" s="3">
        <f t="shared" si="122"/>
        <v>62449.099646187606</v>
      </c>
      <c r="D1978" s="3">
        <f t="shared" si="123"/>
        <v>0.16286572314129444</v>
      </c>
      <c r="E1978" s="8">
        <f t="shared" si="120"/>
        <v>281.71428571428572</v>
      </c>
    </row>
    <row r="1979" spans="1:5" ht="18.75" x14ac:dyDescent="0.3">
      <c r="A1979" s="3">
        <v>1973</v>
      </c>
      <c r="B1979" s="9">
        <f t="shared" si="121"/>
        <v>0.99827776597443463</v>
      </c>
      <c r="C1979" s="3">
        <f t="shared" si="122"/>
        <v>62449.262206062704</v>
      </c>
      <c r="D1979" s="3">
        <f t="shared" si="123"/>
        <v>0.16255987509794068</v>
      </c>
      <c r="E1979" s="8">
        <f t="shared" si="120"/>
        <v>281.85714285714283</v>
      </c>
    </row>
    <row r="1980" spans="1:5" ht="18.75" x14ac:dyDescent="0.3">
      <c r="A1980" s="3">
        <v>1974</v>
      </c>
      <c r="B1980" s="9">
        <f t="shared" si="121"/>
        <v>0.99828035968449569</v>
      </c>
      <c r="C1980" s="3">
        <f t="shared" si="122"/>
        <v>62449.424460782997</v>
      </c>
      <c r="D1980" s="3">
        <f t="shared" si="123"/>
        <v>0.16225472029327648</v>
      </c>
      <c r="E1980" s="8">
        <f t="shared" si="120"/>
        <v>282</v>
      </c>
    </row>
    <row r="1981" spans="1:5" ht="18.75" x14ac:dyDescent="0.3">
      <c r="A1981" s="3">
        <v>1975</v>
      </c>
      <c r="B1981" s="9">
        <f t="shared" si="121"/>
        <v>0.99828294852758037</v>
      </c>
      <c r="C1981" s="3">
        <f t="shared" si="122"/>
        <v>62449.586411039847</v>
      </c>
      <c r="D1981" s="3">
        <f t="shared" si="123"/>
        <v>0.16195025685010478</v>
      </c>
      <c r="E1981" s="8">
        <f t="shared" si="120"/>
        <v>282.14285714285717</v>
      </c>
    </row>
    <row r="1982" spans="1:5" ht="18.75" x14ac:dyDescent="0.3">
      <c r="A1982" s="3">
        <v>1976</v>
      </c>
      <c r="B1982" s="9">
        <f t="shared" si="121"/>
        <v>0.9982855325147113</v>
      </c>
      <c r="C1982" s="3">
        <f t="shared" si="122"/>
        <v>62449.748057522796</v>
      </c>
      <c r="D1982" s="3">
        <f t="shared" si="123"/>
        <v>0.16164648294943618</v>
      </c>
      <c r="E1982" s="8">
        <f t="shared" si="120"/>
        <v>282.28571428571428</v>
      </c>
    </row>
    <row r="1983" spans="1:5" ht="18.75" x14ac:dyDescent="0.3">
      <c r="A1983" s="3">
        <v>1977</v>
      </c>
      <c r="B1983" s="9">
        <f t="shared" si="121"/>
        <v>0.99828811165688125</v>
      </c>
      <c r="C1983" s="3">
        <f t="shared" si="122"/>
        <v>62449.909400919518</v>
      </c>
      <c r="D1983" s="3">
        <f t="shared" si="123"/>
        <v>0.16134339672134956</v>
      </c>
      <c r="E1983" s="8">
        <f t="shared" si="120"/>
        <v>282.42857142857144</v>
      </c>
    </row>
    <row r="1984" spans="1:5" ht="18.75" x14ac:dyDescent="0.3">
      <c r="A1984" s="3">
        <v>1978</v>
      </c>
      <c r="B1984" s="9">
        <f t="shared" si="121"/>
        <v>0.9982906859650541</v>
      </c>
      <c r="C1984" s="3">
        <f t="shared" si="122"/>
        <v>62450.070441915886</v>
      </c>
      <c r="D1984" s="3">
        <f t="shared" si="123"/>
        <v>0.16104099636868341</v>
      </c>
      <c r="E1984" s="8">
        <f t="shared" si="120"/>
        <v>282.57142857142856</v>
      </c>
    </row>
    <row r="1985" spans="1:5" ht="18.75" x14ac:dyDescent="0.3">
      <c r="A1985" s="3">
        <v>1979</v>
      </c>
      <c r="B1985" s="9">
        <f t="shared" si="121"/>
        <v>0.99829325545016423</v>
      </c>
      <c r="C1985" s="3">
        <f t="shared" si="122"/>
        <v>62450.231181195923</v>
      </c>
      <c r="D1985" s="3">
        <f t="shared" si="123"/>
        <v>0.16073928003606852</v>
      </c>
      <c r="E1985" s="8">
        <f t="shared" si="120"/>
        <v>282.71428571428572</v>
      </c>
    </row>
    <row r="1986" spans="1:5" ht="18.75" x14ac:dyDescent="0.3">
      <c r="A1986" s="3">
        <v>1980</v>
      </c>
      <c r="B1986" s="9">
        <f t="shared" si="121"/>
        <v>0.99829582012311724</v>
      </c>
      <c r="C1986" s="3">
        <f t="shared" si="122"/>
        <v>62450.391619441842</v>
      </c>
      <c r="D1986" s="3">
        <f t="shared" si="123"/>
        <v>0.16043824591906741</v>
      </c>
      <c r="E1986" s="8">
        <f t="shared" si="120"/>
        <v>282.85714285714283</v>
      </c>
    </row>
    <row r="1987" spans="1:5" ht="18.75" x14ac:dyDescent="0.3">
      <c r="A1987" s="3">
        <v>1981</v>
      </c>
      <c r="B1987" s="9">
        <f t="shared" si="121"/>
        <v>0.99829837999478921</v>
      </c>
      <c r="C1987" s="3">
        <f t="shared" si="122"/>
        <v>62450.551757334026</v>
      </c>
      <c r="D1987" s="3">
        <f t="shared" si="123"/>
        <v>0.16013789218413876</v>
      </c>
      <c r="E1987" s="8">
        <f t="shared" si="120"/>
        <v>283</v>
      </c>
    </row>
    <row r="1988" spans="1:5" ht="18.75" x14ac:dyDescent="0.3">
      <c r="A1988" s="3">
        <v>1982</v>
      </c>
      <c r="B1988" s="9">
        <f t="shared" si="121"/>
        <v>0.99830093507602768</v>
      </c>
      <c r="C1988" s="3">
        <f t="shared" si="122"/>
        <v>62450.711595551067</v>
      </c>
      <c r="D1988" s="3">
        <f t="shared" si="123"/>
        <v>0.159838217041397</v>
      </c>
      <c r="E1988" s="8">
        <f t="shared" si="120"/>
        <v>283.14285714285717</v>
      </c>
    </row>
    <row r="1989" spans="1:5" ht="18.75" x14ac:dyDescent="0.3">
      <c r="A1989" s="3">
        <v>1983</v>
      </c>
      <c r="B1989" s="9">
        <f t="shared" si="121"/>
        <v>0.99830348537765123</v>
      </c>
      <c r="C1989" s="3">
        <f t="shared" si="122"/>
        <v>62450.871134769732</v>
      </c>
      <c r="D1989" s="3">
        <f t="shared" si="123"/>
        <v>0.15953921866457677</v>
      </c>
      <c r="E1989" s="8">
        <f t="shared" si="120"/>
        <v>283.28571428571428</v>
      </c>
    </row>
    <row r="1990" spans="1:5" ht="18.75" x14ac:dyDescent="0.3">
      <c r="A1990" s="3">
        <v>1984</v>
      </c>
      <c r="B1990" s="9">
        <f t="shared" si="121"/>
        <v>0.99830603091044967</v>
      </c>
      <c r="C1990" s="3">
        <f t="shared" si="122"/>
        <v>62451.030375665003</v>
      </c>
      <c r="D1990" s="3">
        <f t="shared" si="123"/>
        <v>0.15924089527106844</v>
      </c>
      <c r="E1990" s="8">
        <f t="shared" si="120"/>
        <v>283.42857142857144</v>
      </c>
    </row>
    <row r="1991" spans="1:5" ht="18.75" x14ac:dyDescent="0.3">
      <c r="A1991" s="3">
        <v>1985</v>
      </c>
      <c r="B1991" s="9">
        <f t="shared" si="121"/>
        <v>0.99830857168518394</v>
      </c>
      <c r="C1991" s="3">
        <f t="shared" si="122"/>
        <v>62451.189318910052</v>
      </c>
      <c r="D1991" s="3">
        <f t="shared" si="123"/>
        <v>0.15894324504915858</v>
      </c>
      <c r="E1991" s="8">
        <f t="shared" ref="E1991:E2006" si="124">A1991/7</f>
        <v>283.57142857142856</v>
      </c>
    </row>
    <row r="1992" spans="1:5" ht="18.75" x14ac:dyDescent="0.3">
      <c r="A1992" s="3">
        <v>1986</v>
      </c>
      <c r="B1992" s="9">
        <f t="shared" ref="B1992:B2006" si="125">LOGNORMDIST(A1992,$A$3,$B$3)</f>
        <v>0.9983111077125868</v>
      </c>
      <c r="C1992" s="3">
        <f t="shared" ref="C1992:C2055" si="126">$E$3*B1992</f>
        <v>62451.34796517629</v>
      </c>
      <c r="D1992" s="3">
        <f t="shared" ref="D1992:D2006" si="127">C1992-C1991</f>
        <v>0.15864626623806544</v>
      </c>
      <c r="E1992" s="8">
        <f t="shared" si="124"/>
        <v>283.71428571428572</v>
      </c>
    </row>
    <row r="1993" spans="1:5" ht="18.75" x14ac:dyDescent="0.3">
      <c r="A1993" s="3">
        <v>1987</v>
      </c>
      <c r="B1993" s="9">
        <f t="shared" si="125"/>
        <v>0.99831363900336201</v>
      </c>
      <c r="C1993" s="3">
        <f t="shared" si="126"/>
        <v>62451.506315133316</v>
      </c>
      <c r="D1993" s="3">
        <f t="shared" si="127"/>
        <v>0.15834995702607557</v>
      </c>
      <c r="E1993" s="8">
        <f t="shared" si="124"/>
        <v>283.85714285714283</v>
      </c>
    </row>
    <row r="1994" spans="1:5" ht="18.75" x14ac:dyDescent="0.3">
      <c r="A1994" s="3">
        <v>1988</v>
      </c>
      <c r="B1994" s="9">
        <f t="shared" si="125"/>
        <v>0.99831616556818537</v>
      </c>
      <c r="C1994" s="3">
        <f t="shared" si="126"/>
        <v>62451.664369448969</v>
      </c>
      <c r="D1994" s="3">
        <f t="shared" si="127"/>
        <v>0.15805431565240724</v>
      </c>
      <c r="E1994" s="8">
        <f t="shared" si="124"/>
        <v>284</v>
      </c>
    </row>
    <row r="1995" spans="1:5" ht="18.75" x14ac:dyDescent="0.3">
      <c r="A1995" s="3">
        <v>1989</v>
      </c>
      <c r="B1995" s="9">
        <f t="shared" si="125"/>
        <v>0.99831868741770391</v>
      </c>
      <c r="C1995" s="3">
        <f t="shared" si="126"/>
        <v>62451.822128789303</v>
      </c>
      <c r="D1995" s="3">
        <f t="shared" si="127"/>
        <v>0.15775934033445083</v>
      </c>
      <c r="E1995" s="8">
        <f t="shared" si="124"/>
        <v>284.14285714285717</v>
      </c>
    </row>
    <row r="1996" spans="1:5" ht="18.75" x14ac:dyDescent="0.3">
      <c r="A1996" s="3">
        <v>1990</v>
      </c>
      <c r="B1996" s="9">
        <f t="shared" si="125"/>
        <v>0.99832120456253703</v>
      </c>
      <c r="C1996" s="3">
        <f t="shared" si="126"/>
        <v>62451.979593818629</v>
      </c>
      <c r="D1996" s="3">
        <f t="shared" si="127"/>
        <v>0.1574650293259765</v>
      </c>
      <c r="E1996" s="8">
        <f t="shared" si="124"/>
        <v>284.28571428571428</v>
      </c>
    </row>
    <row r="1997" spans="1:5" ht="18.75" x14ac:dyDescent="0.3">
      <c r="A1997" s="3">
        <v>1991</v>
      </c>
      <c r="B1997" s="9">
        <f t="shared" si="125"/>
        <v>0.99832371701327527</v>
      </c>
      <c r="C1997" s="3">
        <f t="shared" si="126"/>
        <v>62452.136765199459</v>
      </c>
      <c r="D1997" s="3">
        <f t="shared" si="127"/>
        <v>0.15717138082982274</v>
      </c>
      <c r="E1997" s="8">
        <f t="shared" si="124"/>
        <v>284.42857142857144</v>
      </c>
    </row>
    <row r="1998" spans="1:5" ht="18.75" x14ac:dyDescent="0.3">
      <c r="A1998" s="3">
        <v>1992</v>
      </c>
      <c r="B1998" s="9">
        <f t="shared" si="125"/>
        <v>0.99832622478048161</v>
      </c>
      <c r="C1998" s="3">
        <f t="shared" si="126"/>
        <v>62452.293643592588</v>
      </c>
      <c r="D1998" s="3">
        <f t="shared" si="127"/>
        <v>0.15687839312886354</v>
      </c>
      <c r="E1998" s="8">
        <f t="shared" si="124"/>
        <v>284.57142857142856</v>
      </c>
    </row>
    <row r="1999" spans="1:5" ht="18.75" x14ac:dyDescent="0.3">
      <c r="A1999" s="3">
        <v>1993</v>
      </c>
      <c r="B1999" s="9">
        <f t="shared" si="125"/>
        <v>0.99832872787469074</v>
      </c>
      <c r="C1999" s="3">
        <f t="shared" si="126"/>
        <v>62452.450229657028</v>
      </c>
      <c r="D1999" s="3">
        <f t="shared" si="127"/>
        <v>0.15658606444048928</v>
      </c>
      <c r="E1999" s="8">
        <f t="shared" si="124"/>
        <v>284.71428571428572</v>
      </c>
    </row>
    <row r="2000" spans="1:5" ht="18.75" x14ac:dyDescent="0.3">
      <c r="A2000" s="3">
        <v>1994</v>
      </c>
      <c r="B2000" s="9">
        <f t="shared" si="125"/>
        <v>0.99833122630640969</v>
      </c>
      <c r="C2000" s="3">
        <f t="shared" si="126"/>
        <v>62452.606524050068</v>
      </c>
      <c r="D2000" s="3">
        <f t="shared" si="127"/>
        <v>0.15629439304029802</v>
      </c>
      <c r="E2000" s="8">
        <f t="shared" si="124"/>
        <v>284.85714285714283</v>
      </c>
    </row>
    <row r="2001" spans="1:5" ht="18.75" x14ac:dyDescent="0.3">
      <c r="A2001" s="3">
        <v>1995</v>
      </c>
      <c r="B2001" s="9">
        <f t="shared" si="125"/>
        <v>0.99833372008611765</v>
      </c>
      <c r="C2001" s="3">
        <f t="shared" si="126"/>
        <v>62452.762527427265</v>
      </c>
      <c r="D2001" s="3">
        <f t="shared" si="127"/>
        <v>0.15600337719661184</v>
      </c>
      <c r="E2001" s="8">
        <f t="shared" si="124"/>
        <v>285</v>
      </c>
    </row>
    <row r="2002" spans="1:5" ht="18.75" x14ac:dyDescent="0.3">
      <c r="A2002" s="3">
        <v>1996</v>
      </c>
      <c r="B2002" s="9">
        <f t="shared" si="125"/>
        <v>0.9983362092242658</v>
      </c>
      <c r="C2002" s="3">
        <f t="shared" si="126"/>
        <v>62452.918240442399</v>
      </c>
      <c r="D2002" s="3">
        <f t="shared" si="127"/>
        <v>0.15571301513409708</v>
      </c>
      <c r="E2002" s="8">
        <f t="shared" si="124"/>
        <v>285.14285714285717</v>
      </c>
    </row>
    <row r="2003" spans="1:5" ht="18.75" x14ac:dyDescent="0.3">
      <c r="A2003" s="3">
        <v>1997</v>
      </c>
      <c r="B2003" s="9">
        <f t="shared" si="125"/>
        <v>0.99833869373127804</v>
      </c>
      <c r="C2003" s="3">
        <f t="shared" si="126"/>
        <v>62453.073663747557</v>
      </c>
      <c r="D2003" s="3">
        <f t="shared" si="127"/>
        <v>0.15542330515745562</v>
      </c>
      <c r="E2003" s="8">
        <f t="shared" si="124"/>
        <v>285.28571428571428</v>
      </c>
    </row>
    <row r="2004" spans="1:5" ht="18.75" x14ac:dyDescent="0.3">
      <c r="A2004" s="3">
        <v>1998</v>
      </c>
      <c r="B2004" s="9">
        <f t="shared" si="125"/>
        <v>0.99834117361755059</v>
      </c>
      <c r="C2004" s="3">
        <f t="shared" si="126"/>
        <v>62453.228797993113</v>
      </c>
      <c r="D2004" s="3">
        <f t="shared" si="127"/>
        <v>0.15513424555683741</v>
      </c>
      <c r="E2004" s="8">
        <f t="shared" si="124"/>
        <v>285.42857142857144</v>
      </c>
    </row>
    <row r="2005" spans="1:5" ht="18.75" x14ac:dyDescent="0.3">
      <c r="A2005" s="3">
        <v>1999</v>
      </c>
      <c r="B2005" s="9">
        <f t="shared" si="125"/>
        <v>0.99834364889345206</v>
      </c>
      <c r="C2005" s="3">
        <f t="shared" si="126"/>
        <v>62453.383643827678</v>
      </c>
      <c r="D2005" s="3">
        <f t="shared" si="127"/>
        <v>0.15484583456418477</v>
      </c>
      <c r="E2005" s="8">
        <f t="shared" si="124"/>
        <v>285.57142857142856</v>
      </c>
    </row>
    <row r="2006" spans="1:5" ht="18.75" x14ac:dyDescent="0.3">
      <c r="A2006" s="3">
        <v>2000</v>
      </c>
      <c r="B2006" s="9">
        <f t="shared" si="125"/>
        <v>0.99834611956932373</v>
      </c>
      <c r="C2006" s="3">
        <f t="shared" si="126"/>
        <v>62453.538201898184</v>
      </c>
      <c r="D2006" s="3">
        <f t="shared" si="127"/>
        <v>0.15455807050602743</v>
      </c>
      <c r="E2006" s="8">
        <f t="shared" si="124"/>
        <v>285.71428571428572</v>
      </c>
    </row>
    <row r="2007" spans="1:5" ht="18.75" x14ac:dyDescent="0.3">
      <c r="A2007" s="3">
        <v>2001</v>
      </c>
      <c r="B2007" s="9">
        <f t="shared" ref="B2007:B2070" si="128">LOGNORMDIST(A2007,$A$3,$B$3)</f>
        <v>0.99834858565547979</v>
      </c>
      <c r="C2007" s="3">
        <f t="shared" si="126"/>
        <v>62453.692472849849</v>
      </c>
      <c r="D2007" s="3">
        <f t="shared" ref="D2007:D2070" si="129">C2007-C2006</f>
        <v>0.15427095166523941</v>
      </c>
      <c r="E2007" s="8">
        <f t="shared" ref="E2007:E2070" si="130">A2007/7</f>
        <v>285.85714285714283</v>
      </c>
    </row>
    <row r="2008" spans="1:5" ht="18.75" x14ac:dyDescent="0.3">
      <c r="A2008" s="3">
        <v>2002</v>
      </c>
      <c r="B2008" s="9">
        <f t="shared" si="128"/>
        <v>0.99835104716220691</v>
      </c>
      <c r="C2008" s="3">
        <f t="shared" si="126"/>
        <v>62453.846457326181</v>
      </c>
      <c r="D2008" s="3">
        <f t="shared" si="129"/>
        <v>0.15398447633197065</v>
      </c>
      <c r="E2008" s="8">
        <f t="shared" si="130"/>
        <v>286</v>
      </c>
    </row>
    <row r="2009" spans="1:5" ht="18.75" x14ac:dyDescent="0.3">
      <c r="A2009" s="3">
        <v>2003</v>
      </c>
      <c r="B2009" s="9">
        <f t="shared" si="128"/>
        <v>0.99835350409976475</v>
      </c>
      <c r="C2009" s="3">
        <f t="shared" si="126"/>
        <v>62454.000155968984</v>
      </c>
      <c r="D2009" s="3">
        <f t="shared" si="129"/>
        <v>0.15369864280364709</v>
      </c>
      <c r="E2009" s="8">
        <f t="shared" si="130"/>
        <v>286.14285714285717</v>
      </c>
    </row>
    <row r="2010" spans="1:5" ht="18.75" x14ac:dyDescent="0.3">
      <c r="A2010" s="3">
        <v>2004</v>
      </c>
      <c r="B2010" s="9">
        <f t="shared" si="128"/>
        <v>0.99835595647838593</v>
      </c>
      <c r="C2010" s="3">
        <f t="shared" si="126"/>
        <v>62454.153569418391</v>
      </c>
      <c r="D2010" s="3">
        <f t="shared" si="129"/>
        <v>0.15341344940679846</v>
      </c>
      <c r="E2010" s="8">
        <f t="shared" si="130"/>
        <v>286.28571428571428</v>
      </c>
    </row>
    <row r="2011" spans="1:5" ht="18.75" x14ac:dyDescent="0.3">
      <c r="A2011" s="3">
        <v>2005</v>
      </c>
      <c r="B2011" s="9">
        <f t="shared" si="128"/>
        <v>0.99835840430827616</v>
      </c>
      <c r="C2011" s="3">
        <f t="shared" si="126"/>
        <v>62454.30669831283</v>
      </c>
      <c r="D2011" s="3">
        <f t="shared" si="129"/>
        <v>0.15312889443885069</v>
      </c>
      <c r="E2011" s="8">
        <f t="shared" si="130"/>
        <v>286.42857142857144</v>
      </c>
    </row>
    <row r="2012" spans="1:5" ht="18.75" x14ac:dyDescent="0.3">
      <c r="A2012" s="3">
        <v>2006</v>
      </c>
      <c r="B2012" s="9">
        <f t="shared" si="128"/>
        <v>0.99836084759961408</v>
      </c>
      <c r="C2012" s="3">
        <f t="shared" si="126"/>
        <v>62454.459543289056</v>
      </c>
      <c r="D2012" s="3">
        <f t="shared" si="129"/>
        <v>0.15284497622633353</v>
      </c>
      <c r="E2012" s="8">
        <f t="shared" si="130"/>
        <v>286.57142857142856</v>
      </c>
    </row>
    <row r="2013" spans="1:5" ht="18.75" x14ac:dyDescent="0.3">
      <c r="A2013" s="3">
        <v>2007</v>
      </c>
      <c r="B2013" s="9">
        <f t="shared" si="128"/>
        <v>0.99836328636255156</v>
      </c>
      <c r="C2013" s="3">
        <f t="shared" si="126"/>
        <v>62454.612104982138</v>
      </c>
      <c r="D2013" s="3">
        <f t="shared" si="129"/>
        <v>0.1525616930812248</v>
      </c>
      <c r="E2013" s="8">
        <f t="shared" si="130"/>
        <v>286.71428571428572</v>
      </c>
    </row>
    <row r="2014" spans="1:5" ht="18.75" x14ac:dyDescent="0.3">
      <c r="A2014" s="3">
        <v>2008</v>
      </c>
      <c r="B2014" s="9">
        <f t="shared" si="128"/>
        <v>0.99836572060721396</v>
      </c>
      <c r="C2014" s="3">
        <f t="shared" si="126"/>
        <v>62454.764384025482</v>
      </c>
      <c r="D2014" s="3">
        <f t="shared" si="129"/>
        <v>0.15227904334460618</v>
      </c>
      <c r="E2014" s="8">
        <f t="shared" si="130"/>
        <v>286.85714285714283</v>
      </c>
    </row>
    <row r="2015" spans="1:5" ht="18.75" x14ac:dyDescent="0.3">
      <c r="A2015" s="3">
        <v>2009</v>
      </c>
      <c r="B2015" s="9">
        <f t="shared" si="128"/>
        <v>0.99836815034369963</v>
      </c>
      <c r="C2015" s="3">
        <f t="shared" si="126"/>
        <v>62454.916381050818</v>
      </c>
      <c r="D2015" s="3">
        <f t="shared" si="129"/>
        <v>0.15199702533573145</v>
      </c>
      <c r="E2015" s="8">
        <f t="shared" si="130"/>
        <v>287</v>
      </c>
    </row>
    <row r="2016" spans="1:5" ht="18.75" x14ac:dyDescent="0.3">
      <c r="A2016" s="3">
        <v>2010</v>
      </c>
      <c r="B2016" s="9">
        <f t="shared" si="128"/>
        <v>0.99837057558208064</v>
      </c>
      <c r="C2016" s="3">
        <f t="shared" si="126"/>
        <v>62455.068096688221</v>
      </c>
      <c r="D2016" s="3">
        <f t="shared" si="129"/>
        <v>0.15171563740295824</v>
      </c>
      <c r="E2016" s="8">
        <f t="shared" si="130"/>
        <v>287.14285714285717</v>
      </c>
    </row>
    <row r="2017" spans="1:5" ht="18.75" x14ac:dyDescent="0.3">
      <c r="A2017" s="3">
        <v>2011</v>
      </c>
      <c r="B2017" s="9">
        <f t="shared" si="128"/>
        <v>0.99837299633240251</v>
      </c>
      <c r="C2017" s="3">
        <f t="shared" si="126"/>
        <v>62455.219531566101</v>
      </c>
      <c r="D2017" s="3">
        <f t="shared" si="129"/>
        <v>0.15143487788009224</v>
      </c>
      <c r="E2017" s="8">
        <f t="shared" si="130"/>
        <v>287.28571428571428</v>
      </c>
    </row>
    <row r="2018" spans="1:5" ht="18.75" x14ac:dyDescent="0.3">
      <c r="A2018" s="3">
        <v>2012</v>
      </c>
      <c r="B2018" s="9">
        <f t="shared" si="128"/>
        <v>0.99837541260468421</v>
      </c>
      <c r="C2018" s="3">
        <f t="shared" si="126"/>
        <v>62455.370686311231</v>
      </c>
      <c r="D2018" s="3">
        <f t="shared" si="129"/>
        <v>0.15115474513004301</v>
      </c>
      <c r="E2018" s="8">
        <f t="shared" si="130"/>
        <v>287.42857142857144</v>
      </c>
    </row>
    <row r="2019" spans="1:5" ht="18.75" x14ac:dyDescent="0.3">
      <c r="A2019" s="3">
        <v>2013</v>
      </c>
      <c r="B2019" s="9">
        <f t="shared" si="128"/>
        <v>0.99837782440891853</v>
      </c>
      <c r="C2019" s="3">
        <f t="shared" si="126"/>
        <v>62455.521561548718</v>
      </c>
      <c r="D2019" s="3">
        <f t="shared" si="129"/>
        <v>0.15087523748661624</v>
      </c>
      <c r="E2019" s="8">
        <f t="shared" si="130"/>
        <v>287.57142857142856</v>
      </c>
    </row>
    <row r="2020" spans="1:5" ht="18.75" x14ac:dyDescent="0.3">
      <c r="A2020" s="3">
        <v>2014</v>
      </c>
      <c r="B2020" s="9">
        <f t="shared" si="128"/>
        <v>0.99838023175507218</v>
      </c>
      <c r="C2020" s="3">
        <f t="shared" si="126"/>
        <v>62455.672157902052</v>
      </c>
      <c r="D2020" s="3">
        <f t="shared" si="129"/>
        <v>0.15059635333454935</v>
      </c>
      <c r="E2020" s="8">
        <f t="shared" si="130"/>
        <v>287.71428571428572</v>
      </c>
    </row>
    <row r="2021" spans="1:5" ht="18.75" x14ac:dyDescent="0.3">
      <c r="A2021" s="3">
        <v>2015</v>
      </c>
      <c r="B2021" s="9">
        <f t="shared" si="128"/>
        <v>0.99838263465308519</v>
      </c>
      <c r="C2021" s="3">
        <f t="shared" si="126"/>
        <v>62455.822475993053</v>
      </c>
      <c r="D2021" s="3">
        <f t="shared" si="129"/>
        <v>0.15031809100037208</v>
      </c>
      <c r="E2021" s="8">
        <f t="shared" si="130"/>
        <v>287.85714285714283</v>
      </c>
    </row>
    <row r="2022" spans="1:5" ht="18.75" x14ac:dyDescent="0.3">
      <c r="A2022" s="3">
        <v>2016</v>
      </c>
      <c r="B2022" s="9">
        <f t="shared" si="128"/>
        <v>0.99838503311287208</v>
      </c>
      <c r="C2022" s="3">
        <f t="shared" si="126"/>
        <v>62455.972516441936</v>
      </c>
      <c r="D2022" s="3">
        <f t="shared" si="129"/>
        <v>0.15004044888337376</v>
      </c>
      <c r="E2022" s="8">
        <f t="shared" si="130"/>
        <v>288</v>
      </c>
    </row>
    <row r="2023" spans="1:5" ht="18.75" x14ac:dyDescent="0.3">
      <c r="A2023" s="3">
        <v>2017</v>
      </c>
      <c r="B2023" s="9">
        <f t="shared" si="128"/>
        <v>0.99838742714432094</v>
      </c>
      <c r="C2023" s="3">
        <f t="shared" si="126"/>
        <v>62456.122279867282</v>
      </c>
      <c r="D2023" s="3">
        <f t="shared" si="129"/>
        <v>0.14976342534646392</v>
      </c>
      <c r="E2023" s="8">
        <f t="shared" si="130"/>
        <v>288.14285714285717</v>
      </c>
    </row>
    <row r="2024" spans="1:5" ht="18.75" x14ac:dyDescent="0.3">
      <c r="A2024" s="3">
        <v>2018</v>
      </c>
      <c r="B2024" s="9">
        <f t="shared" si="128"/>
        <v>0.9983898167572941</v>
      </c>
      <c r="C2024" s="3">
        <f t="shared" si="126"/>
        <v>62456.27176688605</v>
      </c>
      <c r="D2024" s="3">
        <f t="shared" si="129"/>
        <v>0.14948701876710402</v>
      </c>
      <c r="E2024" s="8">
        <f t="shared" si="130"/>
        <v>288.28571428571428</v>
      </c>
    </row>
    <row r="2025" spans="1:5" ht="18.75" x14ac:dyDescent="0.3">
      <c r="A2025" s="3">
        <v>2019</v>
      </c>
      <c r="B2025" s="9">
        <f t="shared" si="128"/>
        <v>0.99839220196162803</v>
      </c>
      <c r="C2025" s="3">
        <f t="shared" si="126"/>
        <v>62456.420978113565</v>
      </c>
      <c r="D2025" s="3">
        <f t="shared" si="129"/>
        <v>0.14921122751547955</v>
      </c>
      <c r="E2025" s="8">
        <f t="shared" si="130"/>
        <v>288.42857142857144</v>
      </c>
    </row>
    <row r="2026" spans="1:5" ht="18.75" x14ac:dyDescent="0.3">
      <c r="A2026" s="3">
        <v>2020</v>
      </c>
      <c r="B2026" s="9">
        <f t="shared" si="128"/>
        <v>0.99839458276713355</v>
      </c>
      <c r="C2026" s="3">
        <f t="shared" si="126"/>
        <v>62456.569914163571</v>
      </c>
      <c r="D2026" s="3">
        <f t="shared" si="129"/>
        <v>0.14893605000543175</v>
      </c>
      <c r="E2026" s="8">
        <f t="shared" si="130"/>
        <v>288.57142857142856</v>
      </c>
    </row>
    <row r="2027" spans="1:5" ht="18.75" x14ac:dyDescent="0.3">
      <c r="A2027" s="3">
        <v>2021</v>
      </c>
      <c r="B2027" s="9">
        <f t="shared" si="128"/>
        <v>0.9983969591835955</v>
      </c>
      <c r="C2027" s="3">
        <f t="shared" si="126"/>
        <v>62456.718575648185</v>
      </c>
      <c r="D2027" s="3">
        <f t="shared" si="129"/>
        <v>0.14866148461442208</v>
      </c>
      <c r="E2027" s="8">
        <f t="shared" si="130"/>
        <v>288.71428571428572</v>
      </c>
    </row>
    <row r="2028" spans="1:5" ht="18.75" x14ac:dyDescent="0.3">
      <c r="A2028" s="3">
        <v>2022</v>
      </c>
      <c r="B2028" s="9">
        <f t="shared" si="128"/>
        <v>0.99839933122077329</v>
      </c>
      <c r="C2028" s="3">
        <f t="shared" si="126"/>
        <v>62456.866963177912</v>
      </c>
      <c r="D2028" s="3">
        <f t="shared" si="129"/>
        <v>0.14838752972718794</v>
      </c>
      <c r="E2028" s="8">
        <f t="shared" si="130"/>
        <v>288.85714285714283</v>
      </c>
    </row>
    <row r="2029" spans="1:5" ht="18.75" x14ac:dyDescent="0.3">
      <c r="A2029" s="3">
        <v>2023</v>
      </c>
      <c r="B2029" s="9">
        <f t="shared" si="128"/>
        <v>0.99840169888840091</v>
      </c>
      <c r="C2029" s="3">
        <f t="shared" si="126"/>
        <v>62457.015077361699</v>
      </c>
      <c r="D2029" s="3">
        <f t="shared" si="129"/>
        <v>0.1481141837866744</v>
      </c>
      <c r="E2029" s="8">
        <f t="shared" si="130"/>
        <v>289</v>
      </c>
    </row>
    <row r="2030" spans="1:5" ht="18.75" x14ac:dyDescent="0.3">
      <c r="A2030" s="3">
        <v>2024</v>
      </c>
      <c r="B2030" s="9">
        <f t="shared" si="128"/>
        <v>0.99840406219618649</v>
      </c>
      <c r="C2030" s="3">
        <f t="shared" si="126"/>
        <v>62457.16291880684</v>
      </c>
      <c r="D2030" s="3">
        <f t="shared" si="129"/>
        <v>0.14784144514123909</v>
      </c>
      <c r="E2030" s="8">
        <f t="shared" si="130"/>
        <v>289.14285714285717</v>
      </c>
    </row>
    <row r="2031" spans="1:5" ht="18.75" x14ac:dyDescent="0.3">
      <c r="A2031" s="3">
        <v>2025</v>
      </c>
      <c r="B2031" s="9">
        <f t="shared" si="128"/>
        <v>0.99840642115381328</v>
      </c>
      <c r="C2031" s="3">
        <f t="shared" si="126"/>
        <v>62457.310488119096</v>
      </c>
      <c r="D2031" s="3">
        <f t="shared" si="129"/>
        <v>0.14756931225565495</v>
      </c>
      <c r="E2031" s="8">
        <f t="shared" si="130"/>
        <v>289.28571428571428</v>
      </c>
    </row>
    <row r="2032" spans="1:5" ht="18.75" x14ac:dyDescent="0.3">
      <c r="A2032" s="3">
        <v>2026</v>
      </c>
      <c r="B2032" s="9">
        <f t="shared" si="128"/>
        <v>0.99840877577093878</v>
      </c>
      <c r="C2032" s="3">
        <f t="shared" si="126"/>
        <v>62457.457785902618</v>
      </c>
      <c r="D2032" s="3">
        <f t="shared" si="129"/>
        <v>0.14729778352193534</v>
      </c>
      <c r="E2032" s="8">
        <f t="shared" si="130"/>
        <v>289.42857142857144</v>
      </c>
    </row>
    <row r="2033" spans="1:5" ht="18.75" x14ac:dyDescent="0.3">
      <c r="A2033" s="3">
        <v>2027</v>
      </c>
      <c r="B2033" s="9">
        <f t="shared" si="128"/>
        <v>0.99841112605719551</v>
      </c>
      <c r="C2033" s="3">
        <f t="shared" si="126"/>
        <v>62457.604812759979</v>
      </c>
      <c r="D2033" s="3">
        <f t="shared" si="129"/>
        <v>0.14702685736119747</v>
      </c>
      <c r="E2033" s="8">
        <f t="shared" si="130"/>
        <v>289.57142857142856</v>
      </c>
    </row>
    <row r="2034" spans="1:5" ht="18.75" x14ac:dyDescent="0.3">
      <c r="A2034" s="3">
        <v>2028</v>
      </c>
      <c r="B2034" s="9">
        <f t="shared" si="128"/>
        <v>0.99841347202219066</v>
      </c>
      <c r="C2034" s="3">
        <f t="shared" si="126"/>
        <v>62457.751569292181</v>
      </c>
      <c r="D2034" s="3">
        <f t="shared" si="129"/>
        <v>0.14675653220183449</v>
      </c>
      <c r="E2034" s="8">
        <f t="shared" si="130"/>
        <v>289.71428571428572</v>
      </c>
    </row>
    <row r="2035" spans="1:5" ht="18.75" x14ac:dyDescent="0.3">
      <c r="A2035" s="3">
        <v>2029</v>
      </c>
      <c r="B2035" s="9">
        <f t="shared" si="128"/>
        <v>0.99841581367550669</v>
      </c>
      <c r="C2035" s="3">
        <f t="shared" si="126"/>
        <v>62457.898056098675</v>
      </c>
      <c r="D2035" s="3">
        <f t="shared" si="129"/>
        <v>0.14648680649406742</v>
      </c>
      <c r="E2035" s="8">
        <f t="shared" si="130"/>
        <v>289.85714285714283</v>
      </c>
    </row>
    <row r="2036" spans="1:5" ht="18.75" x14ac:dyDescent="0.3">
      <c r="A2036" s="3">
        <v>2030</v>
      </c>
      <c r="B2036" s="9">
        <f t="shared" si="128"/>
        <v>0.99841815102670062</v>
      </c>
      <c r="C2036" s="3">
        <f t="shared" si="126"/>
        <v>62458.044273777312</v>
      </c>
      <c r="D2036" s="3">
        <f t="shared" si="129"/>
        <v>0.1462176786371856</v>
      </c>
      <c r="E2036" s="8">
        <f t="shared" si="130"/>
        <v>290</v>
      </c>
    </row>
    <row r="2037" spans="1:5" ht="18.75" x14ac:dyDescent="0.3">
      <c r="A2037" s="3">
        <v>2031</v>
      </c>
      <c r="B2037" s="9">
        <f t="shared" si="128"/>
        <v>0.9984204840853047</v>
      </c>
      <c r="C2037" s="3">
        <f t="shared" si="126"/>
        <v>62458.190222924408</v>
      </c>
      <c r="D2037" s="3">
        <f t="shared" si="129"/>
        <v>0.14594914709596196</v>
      </c>
      <c r="E2037" s="8">
        <f t="shared" si="130"/>
        <v>290.14285714285717</v>
      </c>
    </row>
    <row r="2038" spans="1:5" ht="18.75" x14ac:dyDescent="0.3">
      <c r="A2038" s="3">
        <v>2032</v>
      </c>
      <c r="B2038" s="9">
        <f t="shared" si="128"/>
        <v>0.99842281286082646</v>
      </c>
      <c r="C2038" s="3">
        <f t="shared" si="126"/>
        <v>62458.335904134721</v>
      </c>
      <c r="D2038" s="3">
        <f t="shared" si="129"/>
        <v>0.14568121031334158</v>
      </c>
      <c r="E2038" s="8">
        <f t="shared" si="130"/>
        <v>290.28571428571428</v>
      </c>
    </row>
    <row r="2039" spans="1:5" ht="18.75" x14ac:dyDescent="0.3">
      <c r="A2039" s="3">
        <v>2033</v>
      </c>
      <c r="B2039" s="9">
        <f t="shared" si="128"/>
        <v>0.99842513736274852</v>
      </c>
      <c r="C2039" s="3">
        <f t="shared" si="126"/>
        <v>62458.481318001461</v>
      </c>
      <c r="D2039" s="3">
        <f t="shared" si="129"/>
        <v>0.14541386673954548</v>
      </c>
      <c r="E2039" s="8">
        <f t="shared" si="130"/>
        <v>290.42857142857144</v>
      </c>
    </row>
    <row r="2040" spans="1:5" ht="18.75" x14ac:dyDescent="0.3">
      <c r="A2040" s="3">
        <v>2034</v>
      </c>
      <c r="B2040" s="9">
        <f t="shared" si="128"/>
        <v>0.99842745760052876</v>
      </c>
      <c r="C2040" s="3">
        <f t="shared" si="126"/>
        <v>62458.626465116278</v>
      </c>
      <c r="D2040" s="3">
        <f t="shared" si="129"/>
        <v>0.14514711481751874</v>
      </c>
      <c r="E2040" s="8">
        <f t="shared" si="130"/>
        <v>290.57142857142856</v>
      </c>
    </row>
    <row r="2041" spans="1:5" ht="18.75" x14ac:dyDescent="0.3">
      <c r="A2041" s="3">
        <v>2035</v>
      </c>
      <c r="B2041" s="9">
        <f t="shared" si="128"/>
        <v>0.99842977358360063</v>
      </c>
      <c r="C2041" s="3">
        <f t="shared" si="126"/>
        <v>62458.771346069305</v>
      </c>
      <c r="D2041" s="3">
        <f t="shared" si="129"/>
        <v>0.14488095302658621</v>
      </c>
      <c r="E2041" s="8">
        <f t="shared" si="130"/>
        <v>290.71428571428572</v>
      </c>
    </row>
    <row r="2042" spans="1:5" ht="18.75" x14ac:dyDescent="0.3">
      <c r="A2042" s="3">
        <v>2036</v>
      </c>
      <c r="B2042" s="9">
        <f t="shared" si="128"/>
        <v>0.99843208532137262</v>
      </c>
      <c r="C2042" s="3">
        <f t="shared" si="126"/>
        <v>62458.915961449107</v>
      </c>
      <c r="D2042" s="3">
        <f t="shared" si="129"/>
        <v>0.14461537980241701</v>
      </c>
      <c r="E2042" s="8">
        <f t="shared" si="130"/>
        <v>290.85714285714283</v>
      </c>
    </row>
    <row r="2043" spans="1:5" ht="18.75" x14ac:dyDescent="0.3">
      <c r="A2043" s="3">
        <v>2037</v>
      </c>
      <c r="B2043" s="9">
        <f t="shared" si="128"/>
        <v>0.99843439282322932</v>
      </c>
      <c r="C2043" s="3">
        <f t="shared" si="126"/>
        <v>62459.060311842753</v>
      </c>
      <c r="D2043" s="3">
        <f t="shared" si="129"/>
        <v>0.14435039364616387</v>
      </c>
      <c r="E2043" s="8">
        <f t="shared" si="130"/>
        <v>291</v>
      </c>
    </row>
    <row r="2044" spans="1:5" ht="18.75" x14ac:dyDescent="0.3">
      <c r="A2044" s="3">
        <v>2038</v>
      </c>
      <c r="B2044" s="9">
        <f t="shared" si="128"/>
        <v>0.99843669609853036</v>
      </c>
      <c r="C2044" s="3">
        <f t="shared" si="126"/>
        <v>62459.204397835761</v>
      </c>
      <c r="D2044" s="3">
        <f t="shared" si="129"/>
        <v>0.14408599300804781</v>
      </c>
      <c r="E2044" s="8">
        <f t="shared" si="130"/>
        <v>291.14285714285717</v>
      </c>
    </row>
    <row r="2045" spans="1:5" ht="18.75" x14ac:dyDescent="0.3">
      <c r="A2045" s="3">
        <v>2039</v>
      </c>
      <c r="B2045" s="9">
        <f t="shared" si="128"/>
        <v>0.99843899515661128</v>
      </c>
      <c r="C2045" s="3">
        <f t="shared" si="126"/>
        <v>62459.348220012129</v>
      </c>
      <c r="D2045" s="3">
        <f t="shared" si="129"/>
        <v>0.14382217636739369</v>
      </c>
      <c r="E2045" s="8">
        <f t="shared" si="130"/>
        <v>291.28571428571428</v>
      </c>
    </row>
    <row r="2046" spans="1:5" ht="18.75" x14ac:dyDescent="0.3">
      <c r="A2046" s="3">
        <v>2040</v>
      </c>
      <c r="B2046" s="9">
        <f t="shared" si="128"/>
        <v>0.99844129000678339</v>
      </c>
      <c r="C2046" s="3">
        <f t="shared" si="126"/>
        <v>62459.491778954347</v>
      </c>
      <c r="D2046" s="3">
        <f t="shared" si="129"/>
        <v>0.1435589422180783</v>
      </c>
      <c r="E2046" s="8">
        <f t="shared" si="130"/>
        <v>291.42857142857144</v>
      </c>
    </row>
    <row r="2047" spans="1:5" ht="18.75" x14ac:dyDescent="0.3">
      <c r="A2047" s="3">
        <v>2041</v>
      </c>
      <c r="B2047" s="9">
        <f t="shared" si="128"/>
        <v>0.99844358065833372</v>
      </c>
      <c r="C2047" s="3">
        <f t="shared" si="126"/>
        <v>62459.635075243379</v>
      </c>
      <c r="D2047" s="3">
        <f t="shared" si="129"/>
        <v>0.14329628903215053</v>
      </c>
      <c r="E2047" s="8">
        <f t="shared" si="130"/>
        <v>291.57142857142856</v>
      </c>
    </row>
    <row r="2048" spans="1:5" ht="18.75" x14ac:dyDescent="0.3">
      <c r="A2048" s="3">
        <v>2042</v>
      </c>
      <c r="B2048" s="9">
        <f t="shared" si="128"/>
        <v>0.9984458671205253</v>
      </c>
      <c r="C2048" s="3">
        <f t="shared" si="126"/>
        <v>62459.778109458704</v>
      </c>
      <c r="D2048" s="3">
        <f t="shared" si="129"/>
        <v>0.14303421532531502</v>
      </c>
      <c r="E2048" s="8">
        <f t="shared" si="130"/>
        <v>291.71428571428572</v>
      </c>
    </row>
    <row r="2049" spans="1:5" ht="18.75" x14ac:dyDescent="0.3">
      <c r="A2049" s="3">
        <v>2043</v>
      </c>
      <c r="B2049" s="9">
        <f t="shared" si="128"/>
        <v>0.99844814940259696</v>
      </c>
      <c r="C2049" s="3">
        <f t="shared" si="126"/>
        <v>62459.920882178259</v>
      </c>
      <c r="D2049" s="3">
        <f t="shared" si="129"/>
        <v>0.14277271955506876</v>
      </c>
      <c r="E2049" s="8">
        <f t="shared" si="130"/>
        <v>291.85714285714283</v>
      </c>
    </row>
    <row r="2050" spans="1:5" ht="18.75" x14ac:dyDescent="0.3">
      <c r="A2050" s="3">
        <v>2044</v>
      </c>
      <c r="B2050" s="9">
        <f t="shared" si="128"/>
        <v>0.99845042751376356</v>
      </c>
      <c r="C2050" s="3">
        <f t="shared" si="126"/>
        <v>62460.063393978504</v>
      </c>
      <c r="D2050" s="3">
        <f t="shared" si="129"/>
        <v>0.14251180024439236</v>
      </c>
      <c r="E2050" s="8">
        <f t="shared" si="130"/>
        <v>292</v>
      </c>
    </row>
    <row r="2051" spans="1:5" ht="18.75" x14ac:dyDescent="0.3">
      <c r="A2051" s="3">
        <v>2045</v>
      </c>
      <c r="B2051" s="9">
        <f t="shared" si="128"/>
        <v>0.9984527014632163</v>
      </c>
      <c r="C2051" s="3">
        <f t="shared" si="126"/>
        <v>62460.20564543442</v>
      </c>
      <c r="D2051" s="3">
        <f t="shared" si="129"/>
        <v>0.14225145591626642</v>
      </c>
      <c r="E2051" s="8">
        <f t="shared" si="130"/>
        <v>292.14285714285717</v>
      </c>
    </row>
    <row r="2052" spans="1:5" ht="18.75" x14ac:dyDescent="0.3">
      <c r="A2052" s="3">
        <v>2046</v>
      </c>
      <c r="B2052" s="9">
        <f t="shared" si="128"/>
        <v>0.99845497126012217</v>
      </c>
      <c r="C2052" s="3">
        <f t="shared" si="126"/>
        <v>62460.347637119463</v>
      </c>
      <c r="D2052" s="3">
        <f t="shared" si="129"/>
        <v>0.14199168504273985</v>
      </c>
      <c r="E2052" s="8">
        <f t="shared" si="130"/>
        <v>292.28571428571428</v>
      </c>
    </row>
    <row r="2053" spans="1:5" ht="18.75" x14ac:dyDescent="0.3">
      <c r="A2053" s="3">
        <v>2047</v>
      </c>
      <c r="B2053" s="9">
        <f t="shared" si="128"/>
        <v>0.99845723691362476</v>
      </c>
      <c r="C2053" s="3">
        <f t="shared" si="126"/>
        <v>62460.489369605624</v>
      </c>
      <c r="D2053" s="3">
        <f t="shared" si="129"/>
        <v>0.14173248616134515</v>
      </c>
      <c r="E2053" s="8">
        <f t="shared" si="130"/>
        <v>292.42857142857144</v>
      </c>
    </row>
    <row r="2054" spans="1:5" ht="18.75" x14ac:dyDescent="0.3">
      <c r="A2054" s="3">
        <v>2048</v>
      </c>
      <c r="B2054" s="9">
        <f t="shared" si="128"/>
        <v>0.99845949843284376</v>
      </c>
      <c r="C2054" s="3">
        <f t="shared" si="126"/>
        <v>62460.630843463405</v>
      </c>
      <c r="D2054" s="3">
        <f t="shared" si="129"/>
        <v>0.14147385778051103</v>
      </c>
      <c r="E2054" s="8">
        <f t="shared" si="130"/>
        <v>292.57142857142856</v>
      </c>
    </row>
    <row r="2055" spans="1:5" ht="18.75" x14ac:dyDescent="0.3">
      <c r="A2055" s="3">
        <v>2049</v>
      </c>
      <c r="B2055" s="9">
        <f t="shared" si="128"/>
        <v>0.99846175582687535</v>
      </c>
      <c r="C2055" s="3">
        <f t="shared" si="126"/>
        <v>62460.772059261843</v>
      </c>
      <c r="D2055" s="3">
        <f t="shared" si="129"/>
        <v>0.14121579843776999</v>
      </c>
      <c r="E2055" s="8">
        <f t="shared" si="130"/>
        <v>292.71428571428572</v>
      </c>
    </row>
    <row r="2056" spans="1:5" ht="18.75" x14ac:dyDescent="0.3">
      <c r="A2056" s="3">
        <v>2050</v>
      </c>
      <c r="B2056" s="9">
        <f t="shared" si="128"/>
        <v>0.99846400910479205</v>
      </c>
      <c r="C2056" s="3">
        <f t="shared" ref="C2056:C2119" si="131">$E$3*B2056</f>
        <v>62460.913017568477</v>
      </c>
      <c r="D2056" s="3">
        <f t="shared" si="129"/>
        <v>0.14095830663427478</v>
      </c>
      <c r="E2056" s="8">
        <f t="shared" si="130"/>
        <v>292.85714285714283</v>
      </c>
    </row>
    <row r="2057" spans="1:5" ht="18.75" x14ac:dyDescent="0.3">
      <c r="A2057" s="3">
        <v>2051</v>
      </c>
      <c r="B2057" s="9">
        <f t="shared" si="128"/>
        <v>0.99846625827564295</v>
      </c>
      <c r="C2057" s="3">
        <f t="shared" si="131"/>
        <v>62461.053718949399</v>
      </c>
      <c r="D2057" s="3">
        <f t="shared" si="129"/>
        <v>0.14070138092210982</v>
      </c>
      <c r="E2057" s="8">
        <f t="shared" si="130"/>
        <v>293</v>
      </c>
    </row>
    <row r="2058" spans="1:5" ht="18.75" x14ac:dyDescent="0.3">
      <c r="A2058" s="3">
        <v>2052</v>
      </c>
      <c r="B2058" s="9">
        <f t="shared" si="128"/>
        <v>0.99846850334845372</v>
      </c>
      <c r="C2058" s="3">
        <f t="shared" si="131"/>
        <v>62461.194163969216</v>
      </c>
      <c r="D2058" s="3">
        <f t="shared" si="129"/>
        <v>0.14044501981697977</v>
      </c>
      <c r="E2058" s="8">
        <f t="shared" si="130"/>
        <v>293.14285714285717</v>
      </c>
    </row>
    <row r="2059" spans="1:5" ht="18.75" x14ac:dyDescent="0.3">
      <c r="A2059" s="3">
        <v>2053</v>
      </c>
      <c r="B2059" s="9">
        <f t="shared" si="128"/>
        <v>0.99847074433222682</v>
      </c>
      <c r="C2059" s="3">
        <f t="shared" si="131"/>
        <v>62461.334353191116</v>
      </c>
      <c r="D2059" s="3">
        <f t="shared" si="129"/>
        <v>0.14018922190007288</v>
      </c>
      <c r="E2059" s="8">
        <f t="shared" si="130"/>
        <v>293.28571428571428</v>
      </c>
    </row>
    <row r="2060" spans="1:5" ht="18.75" x14ac:dyDescent="0.3">
      <c r="A2060" s="3">
        <v>2054</v>
      </c>
      <c r="B2060" s="9">
        <f t="shared" si="128"/>
        <v>0.9984729812359413</v>
      </c>
      <c r="C2060" s="3">
        <f t="shared" si="131"/>
        <v>62461.474287176781</v>
      </c>
      <c r="D2060" s="3">
        <f t="shared" si="129"/>
        <v>0.13993398566526594</v>
      </c>
      <c r="E2060" s="8">
        <f t="shared" si="130"/>
        <v>293.42857142857144</v>
      </c>
    </row>
    <row r="2061" spans="1:5" ht="18.75" x14ac:dyDescent="0.3">
      <c r="A2061" s="3">
        <v>2055</v>
      </c>
      <c r="B2061" s="9">
        <f t="shared" si="128"/>
        <v>0.99847521406855311</v>
      </c>
      <c r="C2061" s="3">
        <f t="shared" si="131"/>
        <v>62461.613966486475</v>
      </c>
      <c r="D2061" s="3">
        <f t="shared" si="129"/>
        <v>0.1396793096937472</v>
      </c>
      <c r="E2061" s="8">
        <f t="shared" si="130"/>
        <v>293.57142857142856</v>
      </c>
    </row>
    <row r="2062" spans="1:5" ht="18.75" x14ac:dyDescent="0.3">
      <c r="A2062" s="3">
        <v>2056</v>
      </c>
      <c r="B2062" s="9">
        <f t="shared" si="128"/>
        <v>0.99847744283899487</v>
      </c>
      <c r="C2062" s="3">
        <f t="shared" si="131"/>
        <v>62461.753391679005</v>
      </c>
      <c r="D2062" s="3">
        <f t="shared" si="129"/>
        <v>0.13942519253032515</v>
      </c>
      <c r="E2062" s="8">
        <f t="shared" si="130"/>
        <v>293.71428571428572</v>
      </c>
    </row>
    <row r="2063" spans="1:5" ht="18.75" x14ac:dyDescent="0.3">
      <c r="A2063" s="3">
        <v>2057</v>
      </c>
      <c r="B2063" s="9">
        <f t="shared" si="128"/>
        <v>0.99847966755617645</v>
      </c>
      <c r="C2063" s="3">
        <f t="shared" si="131"/>
        <v>62461.892563311732</v>
      </c>
      <c r="D2063" s="3">
        <f t="shared" si="129"/>
        <v>0.13917163272708422</v>
      </c>
      <c r="E2063" s="8">
        <f t="shared" si="130"/>
        <v>293.85714285714283</v>
      </c>
    </row>
    <row r="2064" spans="1:5" ht="18.75" x14ac:dyDescent="0.3">
      <c r="A2064" s="3">
        <v>2058</v>
      </c>
      <c r="B2064" s="9">
        <f t="shared" si="128"/>
        <v>0.99848188822898454</v>
      </c>
      <c r="C2064" s="3">
        <f t="shared" si="131"/>
        <v>62462.031481940583</v>
      </c>
      <c r="D2064" s="3">
        <f t="shared" si="129"/>
        <v>0.13891862885066075</v>
      </c>
      <c r="E2064" s="8">
        <f t="shared" si="130"/>
        <v>294</v>
      </c>
    </row>
    <row r="2065" spans="1:5" ht="18.75" x14ac:dyDescent="0.3">
      <c r="A2065" s="3">
        <v>2059</v>
      </c>
      <c r="B2065" s="9">
        <f t="shared" si="128"/>
        <v>0.99848410486628292</v>
      </c>
      <c r="C2065" s="3">
        <f t="shared" si="131"/>
        <v>62462.170148120058</v>
      </c>
      <c r="D2065" s="3">
        <f t="shared" si="129"/>
        <v>0.13866617947496707</v>
      </c>
      <c r="E2065" s="8">
        <f t="shared" si="130"/>
        <v>294.14285714285717</v>
      </c>
    </row>
    <row r="2066" spans="1:5" ht="18.75" x14ac:dyDescent="0.3">
      <c r="A2066" s="3">
        <v>2060</v>
      </c>
      <c r="B2066" s="9">
        <f t="shared" si="128"/>
        <v>0.99848631747691252</v>
      </c>
      <c r="C2066" s="3">
        <f t="shared" si="131"/>
        <v>62462.308562403217</v>
      </c>
      <c r="D2066" s="3">
        <f t="shared" si="129"/>
        <v>0.13841428315936355</v>
      </c>
      <c r="E2066" s="8">
        <f t="shared" si="130"/>
        <v>294.28571428571428</v>
      </c>
    </row>
    <row r="2067" spans="1:5" ht="18.75" x14ac:dyDescent="0.3">
      <c r="A2067" s="3">
        <v>2061</v>
      </c>
      <c r="B2067" s="9">
        <f t="shared" si="128"/>
        <v>0.99848852606969141</v>
      </c>
      <c r="C2067" s="3">
        <f t="shared" si="131"/>
        <v>62462.446725341688</v>
      </c>
      <c r="D2067" s="3">
        <f t="shared" si="129"/>
        <v>0.13816293847048655</v>
      </c>
      <c r="E2067" s="8">
        <f t="shared" si="130"/>
        <v>294.42857142857144</v>
      </c>
    </row>
    <row r="2068" spans="1:5" ht="18.75" x14ac:dyDescent="0.3">
      <c r="A2068" s="3">
        <v>2062</v>
      </c>
      <c r="B2068" s="9">
        <f t="shared" si="128"/>
        <v>0.9984907306534152</v>
      </c>
      <c r="C2068" s="3">
        <f t="shared" si="131"/>
        <v>62462.584637485692</v>
      </c>
      <c r="D2068" s="3">
        <f t="shared" si="129"/>
        <v>0.13791214400407625</v>
      </c>
      <c r="E2068" s="8">
        <f t="shared" si="130"/>
        <v>294.57142857142856</v>
      </c>
    </row>
    <row r="2069" spans="1:5" ht="18.75" x14ac:dyDescent="0.3">
      <c r="A2069" s="3">
        <v>2063</v>
      </c>
      <c r="B2069" s="9">
        <f t="shared" si="128"/>
        <v>0.99849293123685656</v>
      </c>
      <c r="C2069" s="3">
        <f t="shared" si="131"/>
        <v>62462.722299384033</v>
      </c>
      <c r="D2069" s="3">
        <f t="shared" si="129"/>
        <v>0.13766189834132092</v>
      </c>
      <c r="E2069" s="8">
        <f t="shared" si="130"/>
        <v>294.71428571428572</v>
      </c>
    </row>
    <row r="2070" spans="1:5" ht="18.75" x14ac:dyDescent="0.3">
      <c r="A2070" s="3">
        <v>2064</v>
      </c>
      <c r="B2070" s="9">
        <f t="shared" si="128"/>
        <v>0.99849512782876571</v>
      </c>
      <c r="C2070" s="3">
        <f t="shared" si="131"/>
        <v>62462.859711584097</v>
      </c>
      <c r="D2070" s="3">
        <f t="shared" si="129"/>
        <v>0.13741220006340882</v>
      </c>
      <c r="E2070" s="8">
        <f t="shared" si="130"/>
        <v>294.85714285714283</v>
      </c>
    </row>
    <row r="2071" spans="1:5" ht="18.75" x14ac:dyDescent="0.3">
      <c r="A2071" s="3">
        <v>2065</v>
      </c>
      <c r="B2071" s="9">
        <f t="shared" ref="B2071:B2134" si="132">LOGNORMDIST(A2071,$A$3,$B$3)</f>
        <v>0.99849732043787043</v>
      </c>
      <c r="C2071" s="3">
        <f t="shared" si="131"/>
        <v>62462.996874631863</v>
      </c>
      <c r="D2071" s="3">
        <f t="shared" ref="D2071:D2134" si="133">C2071-C2070</f>
        <v>0.13716304776608013</v>
      </c>
      <c r="E2071" s="8">
        <f t="shared" ref="E2071:E2134" si="134">A2071/7</f>
        <v>295</v>
      </c>
    </row>
    <row r="2072" spans="1:5" ht="18.75" x14ac:dyDescent="0.3">
      <c r="A2072" s="3">
        <v>2066</v>
      </c>
      <c r="B2072" s="9">
        <f t="shared" si="132"/>
        <v>0.99849950907287577</v>
      </c>
      <c r="C2072" s="3">
        <f t="shared" si="131"/>
        <v>62463.133789071886</v>
      </c>
      <c r="D2072" s="3">
        <f t="shared" si="133"/>
        <v>0.13691444002324715</v>
      </c>
      <c r="E2072" s="8">
        <f t="shared" si="134"/>
        <v>295.14285714285717</v>
      </c>
    </row>
    <row r="2073" spans="1:5" ht="18.75" x14ac:dyDescent="0.3">
      <c r="A2073" s="3">
        <v>2067</v>
      </c>
      <c r="B2073" s="9">
        <f t="shared" si="132"/>
        <v>0.99850169374246478</v>
      </c>
      <c r="C2073" s="3">
        <f t="shared" si="131"/>
        <v>62463.270455447368</v>
      </c>
      <c r="D2073" s="3">
        <f t="shared" si="133"/>
        <v>0.13666637548158178</v>
      </c>
      <c r="E2073" s="8">
        <f t="shared" si="134"/>
        <v>295.28571428571428</v>
      </c>
    </row>
    <row r="2074" spans="1:5" ht="18.75" x14ac:dyDescent="0.3">
      <c r="A2074" s="3">
        <v>2068</v>
      </c>
      <c r="B2074" s="9">
        <f t="shared" si="132"/>
        <v>0.99850387445529787</v>
      </c>
      <c r="C2074" s="3">
        <f t="shared" si="131"/>
        <v>62463.406874300068</v>
      </c>
      <c r="D2074" s="3">
        <f t="shared" si="133"/>
        <v>0.1364188527004444</v>
      </c>
      <c r="E2074" s="8">
        <f t="shared" si="134"/>
        <v>295.42857142857144</v>
      </c>
    </row>
    <row r="2075" spans="1:5" ht="18.75" x14ac:dyDescent="0.3">
      <c r="A2075" s="3">
        <v>2069</v>
      </c>
      <c r="B2075" s="9">
        <f t="shared" si="132"/>
        <v>0.99850605122001346</v>
      </c>
      <c r="C2075" s="3">
        <f t="shared" si="131"/>
        <v>62463.54304617038</v>
      </c>
      <c r="D2075" s="3">
        <f t="shared" si="133"/>
        <v>0.13617187031195499</v>
      </c>
      <c r="E2075" s="8">
        <f t="shared" si="134"/>
        <v>295.57142857142856</v>
      </c>
    </row>
    <row r="2076" spans="1:5" ht="18.75" x14ac:dyDescent="0.3">
      <c r="A2076" s="3">
        <v>2070</v>
      </c>
      <c r="B2076" s="9">
        <f t="shared" si="132"/>
        <v>0.99850822404522754</v>
      </c>
      <c r="C2076" s="3">
        <f t="shared" si="131"/>
        <v>62463.678971597299</v>
      </c>
      <c r="D2076" s="3">
        <f t="shared" si="133"/>
        <v>0.13592542691912968</v>
      </c>
      <c r="E2076" s="8">
        <f t="shared" si="134"/>
        <v>295.71428571428572</v>
      </c>
    </row>
    <row r="2077" spans="1:5" ht="18.75" x14ac:dyDescent="0.3">
      <c r="A2077" s="3">
        <v>2071</v>
      </c>
      <c r="B2077" s="9">
        <f t="shared" si="132"/>
        <v>0.99851039293953403</v>
      </c>
      <c r="C2077" s="3">
        <f t="shared" si="131"/>
        <v>62463.814651118431</v>
      </c>
      <c r="D2077" s="3">
        <f t="shared" si="133"/>
        <v>0.13567952113226056</v>
      </c>
      <c r="E2077" s="8">
        <f t="shared" si="134"/>
        <v>295.85714285714283</v>
      </c>
    </row>
    <row r="2078" spans="1:5" ht="18.75" x14ac:dyDescent="0.3">
      <c r="A2078" s="3">
        <v>2072</v>
      </c>
      <c r="B2078" s="9">
        <f t="shared" si="132"/>
        <v>0.99851255791150506</v>
      </c>
      <c r="C2078" s="3">
        <f t="shared" si="131"/>
        <v>62463.950085270022</v>
      </c>
      <c r="D2078" s="3">
        <f t="shared" si="133"/>
        <v>0.13543415159074357</v>
      </c>
      <c r="E2078" s="8">
        <f t="shared" si="134"/>
        <v>296</v>
      </c>
    </row>
    <row r="2079" spans="1:5" ht="18.75" x14ac:dyDescent="0.3">
      <c r="A2079" s="3">
        <v>2073</v>
      </c>
      <c r="B2079" s="9">
        <f t="shared" si="132"/>
        <v>0.99851471896969046</v>
      </c>
      <c r="C2079" s="3">
        <f t="shared" si="131"/>
        <v>62464.085274586927</v>
      </c>
      <c r="D2079" s="3">
        <f t="shared" si="133"/>
        <v>0.13518931690487079</v>
      </c>
      <c r="E2079" s="8">
        <f t="shared" si="134"/>
        <v>296.14285714285717</v>
      </c>
    </row>
    <row r="2080" spans="1:5" ht="18.75" x14ac:dyDescent="0.3">
      <c r="A2080" s="3">
        <v>2074</v>
      </c>
      <c r="B2080" s="9">
        <f t="shared" si="132"/>
        <v>0.9985168761226183</v>
      </c>
      <c r="C2080" s="3">
        <f t="shared" si="131"/>
        <v>62464.220219602634</v>
      </c>
      <c r="D2080" s="3">
        <f t="shared" si="133"/>
        <v>0.13494501570676221</v>
      </c>
      <c r="E2080" s="8">
        <f t="shared" si="134"/>
        <v>296.28571428571428</v>
      </c>
    </row>
    <row r="2081" spans="1:5" ht="18.75" x14ac:dyDescent="0.3">
      <c r="A2081" s="3">
        <v>2075</v>
      </c>
      <c r="B2081" s="9">
        <f t="shared" si="132"/>
        <v>0.99851902937879466</v>
      </c>
      <c r="C2081" s="3">
        <f t="shared" si="131"/>
        <v>62464.354920849255</v>
      </c>
      <c r="D2081" s="3">
        <f t="shared" si="133"/>
        <v>0.13470124662126182</v>
      </c>
      <c r="E2081" s="8">
        <f t="shared" si="134"/>
        <v>296.42857142857144</v>
      </c>
    </row>
    <row r="2082" spans="1:5" ht="18.75" x14ac:dyDescent="0.3">
      <c r="A2082" s="3">
        <v>2076</v>
      </c>
      <c r="B2082" s="9">
        <f t="shared" si="132"/>
        <v>0.99852117874670399</v>
      </c>
      <c r="C2082" s="3">
        <f t="shared" si="131"/>
        <v>62464.489378857565</v>
      </c>
      <c r="D2082" s="3">
        <f t="shared" si="133"/>
        <v>0.13445800830959342</v>
      </c>
      <c r="E2082" s="8">
        <f t="shared" si="134"/>
        <v>296.57142857142856</v>
      </c>
    </row>
    <row r="2083" spans="1:5" ht="18.75" x14ac:dyDescent="0.3">
      <c r="A2083" s="3">
        <v>2077</v>
      </c>
      <c r="B2083" s="9">
        <f t="shared" si="132"/>
        <v>0.99852332423480883</v>
      </c>
      <c r="C2083" s="3">
        <f t="shared" si="131"/>
        <v>62464.623594156939</v>
      </c>
      <c r="D2083" s="3">
        <f t="shared" si="133"/>
        <v>0.13421529937477317</v>
      </c>
      <c r="E2083" s="8">
        <f t="shared" si="134"/>
        <v>296.71428571428572</v>
      </c>
    </row>
    <row r="2084" spans="1:5" ht="18.75" x14ac:dyDescent="0.3">
      <c r="A2084" s="3">
        <v>2078</v>
      </c>
      <c r="B2084" s="9">
        <f t="shared" si="132"/>
        <v>0.99852546585155033</v>
      </c>
      <c r="C2084" s="3">
        <f t="shared" si="131"/>
        <v>62464.757567275432</v>
      </c>
      <c r="D2084" s="3">
        <f t="shared" si="133"/>
        <v>0.13397311849257676</v>
      </c>
      <c r="E2084" s="8">
        <f t="shared" si="134"/>
        <v>296.85714285714283</v>
      </c>
    </row>
    <row r="2085" spans="1:5" ht="18.75" x14ac:dyDescent="0.3">
      <c r="A2085" s="3">
        <v>2079</v>
      </c>
      <c r="B2085" s="9">
        <f t="shared" si="132"/>
        <v>0.99852760360534776</v>
      </c>
      <c r="C2085" s="3">
        <f t="shared" si="131"/>
        <v>62464.891298739742</v>
      </c>
      <c r="D2085" s="3">
        <f t="shared" si="133"/>
        <v>0.13373146430967608</v>
      </c>
      <c r="E2085" s="8">
        <f t="shared" si="134"/>
        <v>297</v>
      </c>
    </row>
    <row r="2086" spans="1:5" ht="18.75" x14ac:dyDescent="0.3">
      <c r="A2086" s="3">
        <v>2080</v>
      </c>
      <c r="B2086" s="9">
        <f t="shared" si="132"/>
        <v>0.99852973750459895</v>
      </c>
      <c r="C2086" s="3">
        <f t="shared" si="131"/>
        <v>62465.0247890752</v>
      </c>
      <c r="D2086" s="3">
        <f t="shared" si="133"/>
        <v>0.13349033545819111</v>
      </c>
      <c r="E2086" s="8">
        <f t="shared" si="134"/>
        <v>297.14285714285717</v>
      </c>
    </row>
    <row r="2087" spans="1:5" ht="18.75" x14ac:dyDescent="0.3">
      <c r="A2087" s="3">
        <v>2081</v>
      </c>
      <c r="B2087" s="9">
        <f t="shared" si="132"/>
        <v>0.9985318675576802</v>
      </c>
      <c r="C2087" s="3">
        <f t="shared" si="131"/>
        <v>62465.158038805799</v>
      </c>
      <c r="D2087" s="3">
        <f t="shared" si="133"/>
        <v>0.13324973059934564</v>
      </c>
      <c r="E2087" s="8">
        <f t="shared" si="134"/>
        <v>297.28571428571428</v>
      </c>
    </row>
    <row r="2088" spans="1:5" ht="18.75" x14ac:dyDescent="0.3">
      <c r="A2088" s="3">
        <v>2082</v>
      </c>
      <c r="B2088" s="9">
        <f t="shared" si="132"/>
        <v>0.99853399377294672</v>
      </c>
      <c r="C2088" s="3">
        <f t="shared" si="131"/>
        <v>62465.29104845423</v>
      </c>
      <c r="D2088" s="3">
        <f t="shared" si="133"/>
        <v>0.13300964843074325</v>
      </c>
      <c r="E2088" s="8">
        <f t="shared" si="134"/>
        <v>297.42857142857144</v>
      </c>
    </row>
    <row r="2089" spans="1:5" ht="18.75" x14ac:dyDescent="0.3">
      <c r="A2089" s="3">
        <v>2083</v>
      </c>
      <c r="B2089" s="9">
        <f t="shared" si="132"/>
        <v>0.99853611615873183</v>
      </c>
      <c r="C2089" s="3">
        <f t="shared" si="131"/>
        <v>62465.423818541785</v>
      </c>
      <c r="D2089" s="3">
        <f t="shared" si="133"/>
        <v>0.1327700875554001</v>
      </c>
      <c r="E2089" s="8">
        <f t="shared" si="134"/>
        <v>297.57142857142856</v>
      </c>
    </row>
    <row r="2090" spans="1:5" ht="18.75" x14ac:dyDescent="0.3">
      <c r="A2090" s="3">
        <v>2084</v>
      </c>
      <c r="B2090" s="9">
        <f t="shared" si="132"/>
        <v>0.99853823472334802</v>
      </c>
      <c r="C2090" s="3">
        <f t="shared" si="131"/>
        <v>62465.556349588485</v>
      </c>
      <c r="D2090" s="3">
        <f t="shared" si="133"/>
        <v>0.13253104670002358</v>
      </c>
      <c r="E2090" s="8">
        <f t="shared" si="134"/>
        <v>297.71428571428572</v>
      </c>
    </row>
    <row r="2091" spans="1:5" ht="18.75" x14ac:dyDescent="0.3">
      <c r="A2091" s="3">
        <v>2085</v>
      </c>
      <c r="B2091" s="9">
        <f t="shared" si="132"/>
        <v>0.9985403494750863</v>
      </c>
      <c r="C2091" s="3">
        <f t="shared" si="131"/>
        <v>62465.688642112975</v>
      </c>
      <c r="D2091" s="3">
        <f t="shared" si="133"/>
        <v>0.13229252448945772</v>
      </c>
      <c r="E2091" s="8">
        <f t="shared" si="134"/>
        <v>297.85714285714283</v>
      </c>
    </row>
    <row r="2092" spans="1:5" ht="18.75" x14ac:dyDescent="0.3">
      <c r="A2092" s="3">
        <v>2086</v>
      </c>
      <c r="B2092" s="9">
        <f t="shared" si="132"/>
        <v>0.99854246042221684</v>
      </c>
      <c r="C2092" s="3">
        <f t="shared" si="131"/>
        <v>62465.820696632618</v>
      </c>
      <c r="D2092" s="3">
        <f t="shared" si="133"/>
        <v>0.13205451964313397</v>
      </c>
      <c r="E2092" s="8">
        <f t="shared" si="134"/>
        <v>298</v>
      </c>
    </row>
    <row r="2093" spans="1:5" ht="18.75" x14ac:dyDescent="0.3">
      <c r="A2093" s="3">
        <v>2087</v>
      </c>
      <c r="B2093" s="9">
        <f t="shared" si="132"/>
        <v>0.99854456757298815</v>
      </c>
      <c r="C2093" s="3">
        <f t="shared" si="131"/>
        <v>62465.952513663418</v>
      </c>
      <c r="D2093" s="3">
        <f t="shared" si="133"/>
        <v>0.13181703080044826</v>
      </c>
      <c r="E2093" s="8">
        <f t="shared" si="134"/>
        <v>298.14285714285717</v>
      </c>
    </row>
    <row r="2094" spans="1:5" ht="18.75" x14ac:dyDescent="0.3">
      <c r="A2094" s="3">
        <v>2088</v>
      </c>
      <c r="B2094" s="9">
        <f t="shared" si="132"/>
        <v>0.99854667093562832</v>
      </c>
      <c r="C2094" s="3">
        <f t="shared" si="131"/>
        <v>62466.084093720099</v>
      </c>
      <c r="D2094" s="3">
        <f t="shared" si="133"/>
        <v>0.13158005668083206</v>
      </c>
      <c r="E2094" s="8">
        <f t="shared" si="134"/>
        <v>298.28571428571428</v>
      </c>
    </row>
    <row r="2095" spans="1:5" ht="18.75" x14ac:dyDescent="0.3">
      <c r="A2095" s="3">
        <v>2089</v>
      </c>
      <c r="B2095" s="9">
        <f t="shared" si="132"/>
        <v>0.99854877051834401</v>
      </c>
      <c r="C2095" s="3">
        <f t="shared" si="131"/>
        <v>62466.215437316045</v>
      </c>
      <c r="D2095" s="3">
        <f t="shared" si="133"/>
        <v>0.13134359594550915</v>
      </c>
      <c r="E2095" s="8">
        <f t="shared" si="134"/>
        <v>298.42857142857144</v>
      </c>
    </row>
    <row r="2096" spans="1:5" ht="18.75" x14ac:dyDescent="0.3">
      <c r="A2096" s="3">
        <v>2090</v>
      </c>
      <c r="B2096" s="9">
        <f t="shared" si="132"/>
        <v>0.99855086632932133</v>
      </c>
      <c r="C2096" s="3">
        <f t="shared" si="131"/>
        <v>62466.346544963351</v>
      </c>
      <c r="D2096" s="3">
        <f t="shared" si="133"/>
        <v>0.13110764730663504</v>
      </c>
      <c r="E2096" s="8">
        <f t="shared" si="134"/>
        <v>298.57142857142856</v>
      </c>
    </row>
    <row r="2097" spans="1:5" ht="18.75" x14ac:dyDescent="0.3">
      <c r="A2097" s="3">
        <v>2091</v>
      </c>
      <c r="B2097" s="9">
        <f t="shared" si="132"/>
        <v>0.9985529583767252</v>
      </c>
      <c r="C2097" s="3">
        <f t="shared" si="131"/>
        <v>62466.477417172799</v>
      </c>
      <c r="D2097" s="3">
        <f t="shared" si="133"/>
        <v>0.13087220944726141</v>
      </c>
      <c r="E2097" s="8">
        <f t="shared" si="134"/>
        <v>298.71428571428572</v>
      </c>
    </row>
    <row r="2098" spans="1:5" ht="18.75" x14ac:dyDescent="0.3">
      <c r="A2098" s="3">
        <v>2092</v>
      </c>
      <c r="B2098" s="9">
        <f t="shared" si="132"/>
        <v>0.99855504666869999</v>
      </c>
      <c r="C2098" s="3">
        <f t="shared" si="131"/>
        <v>62466.608054453864</v>
      </c>
      <c r="D2098" s="3">
        <f t="shared" si="133"/>
        <v>0.13063728106499184</v>
      </c>
      <c r="E2098" s="8">
        <f t="shared" si="134"/>
        <v>298.85714285714283</v>
      </c>
    </row>
    <row r="2099" spans="1:5" ht="18.75" x14ac:dyDescent="0.3">
      <c r="A2099" s="3">
        <v>2093</v>
      </c>
      <c r="B2099" s="9">
        <f t="shared" si="132"/>
        <v>0.99855713121336931</v>
      </c>
      <c r="C2099" s="3">
        <f t="shared" si="131"/>
        <v>62466.738457314743</v>
      </c>
      <c r="D2099" s="3">
        <f t="shared" si="133"/>
        <v>0.13040286087925779</v>
      </c>
      <c r="E2099" s="8">
        <f t="shared" si="134"/>
        <v>299</v>
      </c>
    </row>
    <row r="2100" spans="1:5" ht="18.75" x14ac:dyDescent="0.3">
      <c r="A2100" s="3">
        <v>2094</v>
      </c>
      <c r="B2100" s="9">
        <f t="shared" si="132"/>
        <v>0.99855921201883591</v>
      </c>
      <c r="C2100" s="3">
        <f t="shared" si="131"/>
        <v>62466.868626262316</v>
      </c>
      <c r="D2100" s="3">
        <f t="shared" si="133"/>
        <v>0.13016894757311093</v>
      </c>
      <c r="E2100" s="8">
        <f t="shared" si="134"/>
        <v>299.14285714285717</v>
      </c>
    </row>
    <row r="2101" spans="1:5" ht="18.75" x14ac:dyDescent="0.3">
      <c r="A2101" s="3">
        <v>2095</v>
      </c>
      <c r="B2101" s="9">
        <f t="shared" si="132"/>
        <v>0.99856128909318231</v>
      </c>
      <c r="C2101" s="3">
        <f t="shared" si="131"/>
        <v>62466.998561802204</v>
      </c>
      <c r="D2101" s="3">
        <f t="shared" si="133"/>
        <v>0.12993553988781059</v>
      </c>
      <c r="E2101" s="8">
        <f t="shared" si="134"/>
        <v>299.28571428571428</v>
      </c>
    </row>
    <row r="2102" spans="1:5" ht="18.75" x14ac:dyDescent="0.3">
      <c r="A2102" s="3">
        <v>2096</v>
      </c>
      <c r="B2102" s="9">
        <f t="shared" si="132"/>
        <v>0.99856336244447008</v>
      </c>
      <c r="C2102" s="3">
        <f t="shared" si="131"/>
        <v>62467.128264438717</v>
      </c>
      <c r="D2102" s="3">
        <f t="shared" si="133"/>
        <v>0.12970263651368441</v>
      </c>
      <c r="E2102" s="8">
        <f t="shared" si="134"/>
        <v>299.42857142857144</v>
      </c>
    </row>
    <row r="2103" spans="1:5" ht="18.75" x14ac:dyDescent="0.3">
      <c r="A2103" s="3">
        <v>2097</v>
      </c>
      <c r="B2103" s="9">
        <f t="shared" si="132"/>
        <v>0.99856543208074056</v>
      </c>
      <c r="C2103" s="3">
        <f t="shared" si="131"/>
        <v>62467.257734674888</v>
      </c>
      <c r="D2103" s="3">
        <f t="shared" si="133"/>
        <v>0.12947023617016384</v>
      </c>
      <c r="E2103" s="8">
        <f t="shared" si="134"/>
        <v>299.57142857142856</v>
      </c>
    </row>
    <row r="2104" spans="1:5" ht="18.75" x14ac:dyDescent="0.3">
      <c r="A2104" s="3">
        <v>2098</v>
      </c>
      <c r="B2104" s="9">
        <f t="shared" si="132"/>
        <v>0.99856749801001465</v>
      </c>
      <c r="C2104" s="3">
        <f t="shared" si="131"/>
        <v>62467.386973012486</v>
      </c>
      <c r="D2104" s="3">
        <f t="shared" si="133"/>
        <v>0.12923833759850822</v>
      </c>
      <c r="E2104" s="8">
        <f t="shared" si="134"/>
        <v>299.71428571428572</v>
      </c>
    </row>
    <row r="2105" spans="1:5" ht="18.75" x14ac:dyDescent="0.3">
      <c r="A2105" s="3">
        <v>2099</v>
      </c>
      <c r="B2105" s="9">
        <f t="shared" si="132"/>
        <v>0.99856956024029275</v>
      </c>
      <c r="C2105" s="3">
        <f t="shared" si="131"/>
        <v>62467.515979951997</v>
      </c>
      <c r="D2105" s="3">
        <f t="shared" si="133"/>
        <v>0.12900693951087305</v>
      </c>
      <c r="E2105" s="8">
        <f t="shared" si="134"/>
        <v>299.85714285714283</v>
      </c>
    </row>
    <row r="2106" spans="1:5" ht="18.75" x14ac:dyDescent="0.3">
      <c r="A2106" s="3">
        <v>2100</v>
      </c>
      <c r="B2106" s="9">
        <f t="shared" si="132"/>
        <v>0.99857161877955503</v>
      </c>
      <c r="C2106" s="3">
        <f t="shared" si="131"/>
        <v>62467.644755992624</v>
      </c>
      <c r="D2106" s="3">
        <f t="shared" si="133"/>
        <v>0.12877604062668979</v>
      </c>
      <c r="E2106" s="8">
        <f t="shared" si="134"/>
        <v>300</v>
      </c>
    </row>
    <row r="2107" spans="1:5" ht="18.75" x14ac:dyDescent="0.3">
      <c r="A2107" s="3">
        <v>2101</v>
      </c>
      <c r="B2107" s="9">
        <f t="shared" si="132"/>
        <v>0.99857367363576133</v>
      </c>
      <c r="C2107" s="3">
        <f t="shared" si="131"/>
        <v>62467.773301632318</v>
      </c>
      <c r="D2107" s="3">
        <f t="shared" si="133"/>
        <v>0.12854563969449373</v>
      </c>
      <c r="E2107" s="8">
        <f t="shared" si="134"/>
        <v>300.14285714285717</v>
      </c>
    </row>
    <row r="2108" spans="1:5" ht="18.75" x14ac:dyDescent="0.3">
      <c r="A2108" s="3">
        <v>2102</v>
      </c>
      <c r="B2108" s="9">
        <f t="shared" si="132"/>
        <v>0.99857572481685164</v>
      </c>
      <c r="C2108" s="3">
        <f t="shared" si="131"/>
        <v>62467.901617367788</v>
      </c>
      <c r="D2108" s="3">
        <f t="shared" si="133"/>
        <v>0.12831573547009612</v>
      </c>
      <c r="E2108" s="8">
        <f t="shared" si="134"/>
        <v>300.28571428571428</v>
      </c>
    </row>
    <row r="2109" spans="1:5" ht="18.75" x14ac:dyDescent="0.3">
      <c r="A2109" s="3">
        <v>2103</v>
      </c>
      <c r="B2109" s="9">
        <f t="shared" si="132"/>
        <v>0.99857777233074529</v>
      </c>
      <c r="C2109" s="3">
        <f t="shared" si="131"/>
        <v>62468.029703694432</v>
      </c>
      <c r="D2109" s="3">
        <f t="shared" si="133"/>
        <v>0.12808632664382458</v>
      </c>
      <c r="E2109" s="8">
        <f t="shared" si="134"/>
        <v>300.42857142857144</v>
      </c>
    </row>
    <row r="2110" spans="1:5" ht="18.75" x14ac:dyDescent="0.3">
      <c r="A2110" s="3">
        <v>2104</v>
      </c>
      <c r="B2110" s="9">
        <f t="shared" si="132"/>
        <v>0.99857981618534208</v>
      </c>
      <c r="C2110" s="3">
        <f t="shared" si="131"/>
        <v>62468.157561106447</v>
      </c>
      <c r="D2110" s="3">
        <f t="shared" si="133"/>
        <v>0.12785741201514611</v>
      </c>
      <c r="E2110" s="8">
        <f t="shared" si="134"/>
        <v>300.57142857142856</v>
      </c>
    </row>
    <row r="2111" spans="1:5" ht="18.75" x14ac:dyDescent="0.3">
      <c r="A2111" s="3">
        <v>2105</v>
      </c>
      <c r="B2111" s="9">
        <f t="shared" si="132"/>
        <v>0.99858185638852137</v>
      </c>
      <c r="C2111" s="3">
        <f t="shared" si="131"/>
        <v>62468.285190096729</v>
      </c>
      <c r="D2111" s="3">
        <f t="shared" si="133"/>
        <v>0.1276289902816643</v>
      </c>
      <c r="E2111" s="8">
        <f t="shared" si="134"/>
        <v>300.71428571428572</v>
      </c>
    </row>
    <row r="2112" spans="1:5" ht="18.75" x14ac:dyDescent="0.3">
      <c r="A2112" s="3">
        <v>2106</v>
      </c>
      <c r="B2112" s="9">
        <f t="shared" si="132"/>
        <v>0.99858389294814287</v>
      </c>
      <c r="C2112" s="3">
        <f t="shared" si="131"/>
        <v>62468.412591156972</v>
      </c>
      <c r="D2112" s="3">
        <f t="shared" si="133"/>
        <v>0.12740106024284614</v>
      </c>
      <c r="E2112" s="8">
        <f t="shared" si="134"/>
        <v>300.85714285714283</v>
      </c>
    </row>
    <row r="2113" spans="1:5" ht="18.75" x14ac:dyDescent="0.3">
      <c r="A2113" s="3">
        <v>2107</v>
      </c>
      <c r="B2113" s="9">
        <f t="shared" si="132"/>
        <v>0.99858592587204609</v>
      </c>
      <c r="C2113" s="3">
        <f t="shared" si="131"/>
        <v>62468.53976477759</v>
      </c>
      <c r="D2113" s="3">
        <f t="shared" si="133"/>
        <v>0.1271736206181231</v>
      </c>
      <c r="E2113" s="8">
        <f t="shared" si="134"/>
        <v>301</v>
      </c>
    </row>
    <row r="2114" spans="1:5" ht="18.75" x14ac:dyDescent="0.3">
      <c r="A2114" s="3">
        <v>2108</v>
      </c>
      <c r="B2114" s="9">
        <f t="shared" si="132"/>
        <v>0.9985879551680511</v>
      </c>
      <c r="C2114" s="3">
        <f t="shared" si="131"/>
        <v>62468.666711447775</v>
      </c>
      <c r="D2114" s="3">
        <f t="shared" si="133"/>
        <v>0.12694667018513428</v>
      </c>
      <c r="E2114" s="8">
        <f t="shared" si="134"/>
        <v>301.14285714285717</v>
      </c>
    </row>
    <row r="2115" spans="1:5" ht="18.75" x14ac:dyDescent="0.3">
      <c r="A2115" s="3">
        <v>2109</v>
      </c>
      <c r="B2115" s="9">
        <f t="shared" si="132"/>
        <v>0.99858998084395778</v>
      </c>
      <c r="C2115" s="3">
        <f t="shared" si="131"/>
        <v>62468.793431655467</v>
      </c>
      <c r="D2115" s="3">
        <f t="shared" si="133"/>
        <v>0.12672020769241499</v>
      </c>
      <c r="E2115" s="8">
        <f t="shared" si="134"/>
        <v>301.28571428571428</v>
      </c>
    </row>
    <row r="2116" spans="1:5" ht="18.75" x14ac:dyDescent="0.3">
      <c r="A2116" s="3">
        <v>2110</v>
      </c>
      <c r="B2116" s="9">
        <f t="shared" si="132"/>
        <v>0.99859200290754657</v>
      </c>
      <c r="C2116" s="3">
        <f t="shared" si="131"/>
        <v>62468.919925887392</v>
      </c>
      <c r="D2116" s="3">
        <f t="shared" si="133"/>
        <v>0.1264942319248803</v>
      </c>
      <c r="E2116" s="8">
        <f t="shared" si="134"/>
        <v>301.42857142857144</v>
      </c>
    </row>
    <row r="2117" spans="1:5" ht="18.75" x14ac:dyDescent="0.3">
      <c r="A2117" s="3">
        <v>2111</v>
      </c>
      <c r="B2117" s="9">
        <f t="shared" si="132"/>
        <v>0.99859402136657827</v>
      </c>
      <c r="C2117" s="3">
        <f t="shared" si="131"/>
        <v>62469.046194629038</v>
      </c>
      <c r="D2117" s="3">
        <f t="shared" si="133"/>
        <v>0.12626874164561741</v>
      </c>
      <c r="E2117" s="8">
        <f t="shared" si="134"/>
        <v>301.57142857142856</v>
      </c>
    </row>
    <row r="2118" spans="1:5" ht="18.75" x14ac:dyDescent="0.3">
      <c r="A2118" s="3">
        <v>2112</v>
      </c>
      <c r="B2118" s="9">
        <f t="shared" si="132"/>
        <v>0.99859603622879378</v>
      </c>
      <c r="C2118" s="3">
        <f t="shared" si="131"/>
        <v>62469.172238364656</v>
      </c>
      <c r="D2118" s="3">
        <f t="shared" si="133"/>
        <v>0.12604373561771354</v>
      </c>
      <c r="E2118" s="8">
        <f t="shared" si="134"/>
        <v>301.71428571428572</v>
      </c>
    </row>
    <row r="2119" spans="1:5" ht="18.75" x14ac:dyDescent="0.3">
      <c r="A2119" s="3">
        <v>2113</v>
      </c>
      <c r="B2119" s="9">
        <f t="shared" si="132"/>
        <v>0.99859804750191483</v>
      </c>
      <c r="C2119" s="3">
        <f t="shared" si="131"/>
        <v>62469.298057577289</v>
      </c>
      <c r="D2119" s="3">
        <f t="shared" si="133"/>
        <v>0.12581921263335971</v>
      </c>
      <c r="E2119" s="8">
        <f t="shared" si="134"/>
        <v>301.85714285714283</v>
      </c>
    </row>
    <row r="2120" spans="1:5" ht="18.75" x14ac:dyDescent="0.3">
      <c r="A2120" s="3">
        <v>2114</v>
      </c>
      <c r="B2120" s="9">
        <f t="shared" si="132"/>
        <v>0.99860005519364337</v>
      </c>
      <c r="C2120" s="3">
        <f t="shared" ref="C2120:C2183" si="135">$E$3*B2120</f>
        <v>62469.423652748745</v>
      </c>
      <c r="D2120" s="3">
        <f t="shared" si="133"/>
        <v>0.12559517145564314</v>
      </c>
      <c r="E2120" s="8">
        <f t="shared" si="134"/>
        <v>302</v>
      </c>
    </row>
    <row r="2121" spans="1:5" ht="18.75" x14ac:dyDescent="0.3">
      <c r="A2121" s="3">
        <v>2115</v>
      </c>
      <c r="B2121" s="9">
        <f t="shared" si="132"/>
        <v>0.9986020593116619</v>
      </c>
      <c r="C2121" s="3">
        <f t="shared" si="135"/>
        <v>62469.549024359636</v>
      </c>
      <c r="D2121" s="3">
        <f t="shared" si="133"/>
        <v>0.12537161089130677</v>
      </c>
      <c r="E2121" s="8">
        <f t="shared" si="134"/>
        <v>302.14285714285717</v>
      </c>
    </row>
    <row r="2122" spans="1:5" ht="18.75" x14ac:dyDescent="0.3">
      <c r="A2122" s="3">
        <v>2116</v>
      </c>
      <c r="B2122" s="9">
        <f t="shared" si="132"/>
        <v>0.99860405986363399</v>
      </c>
      <c r="C2122" s="3">
        <f t="shared" si="135"/>
        <v>62469.674172889354</v>
      </c>
      <c r="D2122" s="3">
        <f t="shared" si="133"/>
        <v>0.12514852971798973</v>
      </c>
      <c r="E2122" s="8">
        <f t="shared" si="134"/>
        <v>302.28571428571428</v>
      </c>
    </row>
    <row r="2123" spans="1:5" ht="18.75" x14ac:dyDescent="0.3">
      <c r="A2123" s="3">
        <v>2117</v>
      </c>
      <c r="B2123" s="9">
        <f t="shared" si="132"/>
        <v>0.99860605685720327</v>
      </c>
      <c r="C2123" s="3">
        <f t="shared" si="135"/>
        <v>62469.799098816067</v>
      </c>
      <c r="D2123" s="3">
        <f t="shared" si="133"/>
        <v>0.12492592671333114</v>
      </c>
      <c r="E2123" s="8">
        <f t="shared" si="134"/>
        <v>302.42857142857144</v>
      </c>
    </row>
    <row r="2124" spans="1:5" ht="18.75" x14ac:dyDescent="0.3">
      <c r="A2124" s="3">
        <v>2118</v>
      </c>
      <c r="B2124" s="9">
        <f t="shared" si="132"/>
        <v>0.99860805029999444</v>
      </c>
      <c r="C2124" s="3">
        <f t="shared" si="135"/>
        <v>62469.923802616751</v>
      </c>
      <c r="D2124" s="3">
        <f t="shared" si="133"/>
        <v>0.12470380068407394</v>
      </c>
      <c r="E2124" s="8">
        <f t="shared" si="134"/>
        <v>302.57142857142856</v>
      </c>
    </row>
    <row r="2125" spans="1:5" ht="18.75" x14ac:dyDescent="0.3">
      <c r="A2125" s="3">
        <v>2119</v>
      </c>
      <c r="B2125" s="9">
        <f t="shared" si="132"/>
        <v>0.99861004019961308</v>
      </c>
      <c r="C2125" s="3">
        <f t="shared" si="135"/>
        <v>62470.048284767196</v>
      </c>
      <c r="D2125" s="3">
        <f t="shared" si="133"/>
        <v>0.12448215044423705</v>
      </c>
      <c r="E2125" s="8">
        <f t="shared" si="134"/>
        <v>302.71428571428572</v>
      </c>
    </row>
    <row r="2126" spans="1:5" ht="18.75" x14ac:dyDescent="0.3">
      <c r="A2126" s="3">
        <v>2120</v>
      </c>
      <c r="B2126" s="9">
        <f t="shared" si="132"/>
        <v>0.99861202656364534</v>
      </c>
      <c r="C2126" s="3">
        <f t="shared" si="135"/>
        <v>62470.17254574196</v>
      </c>
      <c r="D2126" s="3">
        <f t="shared" si="133"/>
        <v>0.12426097476418363</v>
      </c>
      <c r="E2126" s="8">
        <f t="shared" si="134"/>
        <v>302.85714285714283</v>
      </c>
    </row>
    <row r="2127" spans="1:5" ht="18.75" x14ac:dyDescent="0.3">
      <c r="A2127" s="3">
        <v>2121</v>
      </c>
      <c r="B2127" s="9">
        <f t="shared" si="132"/>
        <v>0.9986140093996585</v>
      </c>
      <c r="C2127" s="3">
        <f t="shared" si="135"/>
        <v>62470.29658601444</v>
      </c>
      <c r="D2127" s="3">
        <f t="shared" si="133"/>
        <v>0.12404027247976046</v>
      </c>
      <c r="E2127" s="8">
        <f t="shared" si="134"/>
        <v>303</v>
      </c>
    </row>
    <row r="2128" spans="1:5" ht="18.75" x14ac:dyDescent="0.3">
      <c r="A2128" s="3">
        <v>2122</v>
      </c>
      <c r="B2128" s="9">
        <f t="shared" si="132"/>
        <v>0.99861598871520063</v>
      </c>
      <c r="C2128" s="3">
        <f t="shared" si="135"/>
        <v>62470.420406056808</v>
      </c>
      <c r="D2128" s="3">
        <f t="shared" si="133"/>
        <v>0.12382004236860666</v>
      </c>
      <c r="E2128" s="8">
        <f t="shared" si="134"/>
        <v>303.14285714285717</v>
      </c>
    </row>
    <row r="2129" spans="1:5" ht="18.75" x14ac:dyDescent="0.3">
      <c r="A2129" s="3">
        <v>2123</v>
      </c>
      <c r="B2129" s="9">
        <f t="shared" si="132"/>
        <v>0.99861796451780105</v>
      </c>
      <c r="C2129" s="3">
        <f t="shared" si="135"/>
        <v>62470.544006340082</v>
      </c>
      <c r="D2129" s="3">
        <f t="shared" si="133"/>
        <v>0.12360028327384498</v>
      </c>
      <c r="E2129" s="8">
        <f t="shared" si="134"/>
        <v>303.28571428571428</v>
      </c>
    </row>
    <row r="2130" spans="1:5" ht="18.75" x14ac:dyDescent="0.3">
      <c r="A2130" s="3">
        <v>2124</v>
      </c>
      <c r="B2130" s="9">
        <f t="shared" si="132"/>
        <v>0.99861993681496997</v>
      </c>
      <c r="C2130" s="3">
        <f t="shared" si="135"/>
        <v>62470.667387334077</v>
      </c>
      <c r="D2130" s="3">
        <f t="shared" si="133"/>
        <v>0.1233809939949424</v>
      </c>
      <c r="E2130" s="8">
        <f t="shared" si="134"/>
        <v>303.42857142857144</v>
      </c>
    </row>
    <row r="2131" spans="1:5" ht="18.75" x14ac:dyDescent="0.3">
      <c r="A2131" s="3">
        <v>2125</v>
      </c>
      <c r="B2131" s="9">
        <f t="shared" si="132"/>
        <v>0.9986219056141985</v>
      </c>
      <c r="C2131" s="3">
        <f t="shared" si="135"/>
        <v>62470.790549507416</v>
      </c>
      <c r="D2131" s="3">
        <f t="shared" si="133"/>
        <v>0.12316217333864188</v>
      </c>
      <c r="E2131" s="8">
        <f t="shared" si="134"/>
        <v>303.57142857142856</v>
      </c>
    </row>
    <row r="2132" spans="1:5" ht="18.75" x14ac:dyDescent="0.3">
      <c r="A2132" s="3">
        <v>2126</v>
      </c>
      <c r="B2132" s="9">
        <f t="shared" si="132"/>
        <v>0.99862387092295946</v>
      </c>
      <c r="C2132" s="3">
        <f t="shared" si="135"/>
        <v>62470.913493327578</v>
      </c>
      <c r="D2132" s="3">
        <f t="shared" si="133"/>
        <v>0.12294382016261807</v>
      </c>
      <c r="E2132" s="8">
        <f t="shared" si="134"/>
        <v>303.71428571428572</v>
      </c>
    </row>
    <row r="2133" spans="1:5" ht="18.75" x14ac:dyDescent="0.3">
      <c r="A2133" s="3">
        <v>2127</v>
      </c>
      <c r="B2133" s="9">
        <f t="shared" si="132"/>
        <v>0.99862583274870653</v>
      </c>
      <c r="C2133" s="3">
        <f t="shared" si="135"/>
        <v>62471.036219260837</v>
      </c>
      <c r="D2133" s="3">
        <f t="shared" si="133"/>
        <v>0.122725933259062</v>
      </c>
      <c r="E2133" s="8">
        <f t="shared" si="134"/>
        <v>303.85714285714283</v>
      </c>
    </row>
    <row r="2134" spans="1:5" ht="18.75" x14ac:dyDescent="0.3">
      <c r="A2134" s="3">
        <v>2128</v>
      </c>
      <c r="B2134" s="9">
        <f t="shared" si="132"/>
        <v>0.99862779109887478</v>
      </c>
      <c r="C2134" s="3">
        <f t="shared" si="135"/>
        <v>62471.158727772308</v>
      </c>
      <c r="D2134" s="3">
        <f t="shared" si="133"/>
        <v>0.12250851147109643</v>
      </c>
      <c r="E2134" s="8">
        <f t="shared" si="134"/>
        <v>304</v>
      </c>
    </row>
    <row r="2135" spans="1:5" ht="18.75" x14ac:dyDescent="0.3">
      <c r="A2135" s="3">
        <v>2129</v>
      </c>
      <c r="B2135" s="9">
        <f t="shared" ref="B2135:B2198" si="136">LOGNORMDIST(A2135,$A$3,$B$3)</f>
        <v>0.99862974598088061</v>
      </c>
      <c r="C2135" s="3">
        <f t="shared" si="135"/>
        <v>62471.28101932595</v>
      </c>
      <c r="D2135" s="3">
        <f t="shared" ref="D2135:D2198" si="137">C2135-C2134</f>
        <v>0.12229155364184408</v>
      </c>
      <c r="E2135" s="8">
        <f t="shared" ref="E2135:E2198" si="138">A2135/7</f>
        <v>304.14285714285717</v>
      </c>
    </row>
    <row r="2136" spans="1:5" ht="18.75" x14ac:dyDescent="0.3">
      <c r="A2136" s="3">
        <v>2130</v>
      </c>
      <c r="B2136" s="9">
        <f t="shared" si="136"/>
        <v>0.99863169740212177</v>
      </c>
      <c r="C2136" s="3">
        <f t="shared" si="135"/>
        <v>62471.403094384528</v>
      </c>
      <c r="D2136" s="3">
        <f t="shared" si="137"/>
        <v>0.1220750585780479</v>
      </c>
      <c r="E2136" s="8">
        <f t="shared" si="138"/>
        <v>304.28571428571428</v>
      </c>
    </row>
    <row r="2137" spans="1:5" ht="18.75" x14ac:dyDescent="0.3">
      <c r="A2137" s="3">
        <v>2131</v>
      </c>
      <c r="B2137" s="9">
        <f t="shared" si="136"/>
        <v>0.99863364536997756</v>
      </c>
      <c r="C2137" s="3">
        <f t="shared" si="135"/>
        <v>62471.524953409687</v>
      </c>
      <c r="D2137" s="3">
        <f t="shared" si="137"/>
        <v>0.12185902515921043</v>
      </c>
      <c r="E2137" s="8">
        <f t="shared" si="138"/>
        <v>304.42857142857144</v>
      </c>
    </row>
    <row r="2138" spans="1:5" ht="18.75" x14ac:dyDescent="0.3">
      <c r="A2138" s="3">
        <v>2132</v>
      </c>
      <c r="B2138" s="9">
        <f t="shared" si="136"/>
        <v>0.99863558989180867</v>
      </c>
      <c r="C2138" s="3">
        <f t="shared" si="135"/>
        <v>62471.646596861872</v>
      </c>
      <c r="D2138" s="3">
        <f t="shared" si="137"/>
        <v>0.12164345218479866</v>
      </c>
      <c r="E2138" s="8">
        <f t="shared" si="138"/>
        <v>304.57142857142856</v>
      </c>
    </row>
    <row r="2139" spans="1:5" ht="18.75" x14ac:dyDescent="0.3">
      <c r="A2139" s="3">
        <v>2133</v>
      </c>
      <c r="B2139" s="9">
        <f t="shared" si="136"/>
        <v>0.99863753097495733</v>
      </c>
      <c r="C2139" s="3">
        <f t="shared" si="135"/>
        <v>62471.768025200407</v>
      </c>
      <c r="D2139" s="3">
        <f t="shared" si="137"/>
        <v>0.12142833853431512</v>
      </c>
      <c r="E2139" s="8">
        <f t="shared" si="138"/>
        <v>304.71428571428572</v>
      </c>
    </row>
    <row r="2140" spans="1:5" ht="18.75" x14ac:dyDescent="0.3">
      <c r="A2140" s="3">
        <v>2134</v>
      </c>
      <c r="B2140" s="9">
        <f t="shared" si="136"/>
        <v>0.99863946862674768</v>
      </c>
      <c r="C2140" s="3">
        <f t="shared" si="135"/>
        <v>62471.889238883457</v>
      </c>
      <c r="D2140" s="3">
        <f t="shared" si="137"/>
        <v>0.12121368305088254</v>
      </c>
      <c r="E2140" s="8">
        <f t="shared" si="138"/>
        <v>304.85714285714283</v>
      </c>
    </row>
    <row r="2141" spans="1:5" ht="18.75" x14ac:dyDescent="0.3">
      <c r="A2141" s="3">
        <v>2135</v>
      </c>
      <c r="B2141" s="9">
        <f t="shared" si="136"/>
        <v>0.99864140285448511</v>
      </c>
      <c r="C2141" s="3">
        <f t="shared" si="135"/>
        <v>62472.010238368028</v>
      </c>
      <c r="D2141" s="3">
        <f t="shared" si="137"/>
        <v>0.1209994845703477</v>
      </c>
      <c r="E2141" s="8">
        <f t="shared" si="138"/>
        <v>305</v>
      </c>
    </row>
    <row r="2142" spans="1:5" ht="18.75" x14ac:dyDescent="0.3">
      <c r="A2142" s="3">
        <v>2136</v>
      </c>
      <c r="B2142" s="9">
        <f t="shared" si="136"/>
        <v>0.99864333366545699</v>
      </c>
      <c r="C2142" s="3">
        <f t="shared" si="135"/>
        <v>62472.131024109993</v>
      </c>
      <c r="D2142" s="3">
        <f t="shared" si="137"/>
        <v>0.12078574196493719</v>
      </c>
      <c r="E2142" s="8">
        <f t="shared" si="138"/>
        <v>305.14285714285717</v>
      </c>
    </row>
    <row r="2143" spans="1:5" ht="18.75" x14ac:dyDescent="0.3">
      <c r="A2143" s="3">
        <v>2137</v>
      </c>
      <c r="B2143" s="9">
        <f t="shared" si="136"/>
        <v>0.9986452610669323</v>
      </c>
      <c r="C2143" s="3">
        <f t="shared" si="135"/>
        <v>62472.251596564085</v>
      </c>
      <c r="D2143" s="3">
        <f t="shared" si="137"/>
        <v>0.12057245409232564</v>
      </c>
      <c r="E2143" s="8">
        <f t="shared" si="138"/>
        <v>305.28571428571428</v>
      </c>
    </row>
    <row r="2144" spans="1:5" ht="18.75" x14ac:dyDescent="0.3">
      <c r="A2144" s="3">
        <v>2138</v>
      </c>
      <c r="B2144" s="9">
        <f t="shared" si="136"/>
        <v>0.99864718506616201</v>
      </c>
      <c r="C2144" s="3">
        <f t="shared" si="135"/>
        <v>62472.371956183895</v>
      </c>
      <c r="D2144" s="3">
        <f t="shared" si="137"/>
        <v>0.12035961981018772</v>
      </c>
      <c r="E2144" s="8">
        <f t="shared" si="138"/>
        <v>305.42857142857144</v>
      </c>
    </row>
    <row r="2145" spans="1:5" ht="18.75" x14ac:dyDescent="0.3">
      <c r="A2145" s="3">
        <v>2139</v>
      </c>
      <c r="B2145" s="9">
        <f t="shared" si="136"/>
        <v>0.99864910567037879</v>
      </c>
      <c r="C2145" s="3">
        <f t="shared" si="135"/>
        <v>62472.492103421886</v>
      </c>
      <c r="D2145" s="3">
        <f t="shared" si="137"/>
        <v>0.12014723799075</v>
      </c>
      <c r="E2145" s="8">
        <f t="shared" si="138"/>
        <v>305.57142857142856</v>
      </c>
    </row>
    <row r="2146" spans="1:5" ht="18.75" x14ac:dyDescent="0.3">
      <c r="A2146" s="3">
        <v>2140</v>
      </c>
      <c r="B2146" s="9">
        <f t="shared" si="136"/>
        <v>0.99865102288679741</v>
      </c>
      <c r="C2146" s="3">
        <f t="shared" si="135"/>
        <v>62472.612038729385</v>
      </c>
      <c r="D2146" s="3">
        <f t="shared" si="137"/>
        <v>0.11993530749896308</v>
      </c>
      <c r="E2146" s="8">
        <f t="shared" si="138"/>
        <v>305.71428571428572</v>
      </c>
    </row>
    <row r="2147" spans="1:5" ht="18.75" x14ac:dyDescent="0.3">
      <c r="A2147" s="3">
        <v>2141</v>
      </c>
      <c r="B2147" s="9">
        <f t="shared" si="136"/>
        <v>0.99865293672261435</v>
      </c>
      <c r="C2147" s="3">
        <f t="shared" si="135"/>
        <v>62472.731762556585</v>
      </c>
      <c r="D2147" s="3">
        <f t="shared" si="137"/>
        <v>0.11972382719977759</v>
      </c>
      <c r="E2147" s="8">
        <f t="shared" si="138"/>
        <v>305.85714285714283</v>
      </c>
    </row>
    <row r="2148" spans="1:5" ht="18.75" x14ac:dyDescent="0.3">
      <c r="A2148" s="3">
        <v>2142</v>
      </c>
      <c r="B2148" s="9">
        <f t="shared" si="136"/>
        <v>0.99865484718500852</v>
      </c>
      <c r="C2148" s="3">
        <f t="shared" si="135"/>
        <v>62472.851275352579</v>
      </c>
      <c r="D2148" s="3">
        <f t="shared" si="137"/>
        <v>0.11951279599452391</v>
      </c>
      <c r="E2148" s="8">
        <f t="shared" si="138"/>
        <v>306</v>
      </c>
    </row>
    <row r="2149" spans="1:5" ht="18.75" x14ac:dyDescent="0.3">
      <c r="A2149" s="3">
        <v>2143</v>
      </c>
      <c r="B2149" s="9">
        <f t="shared" si="136"/>
        <v>0.99865675428114054</v>
      </c>
      <c r="C2149" s="3">
        <f t="shared" si="135"/>
        <v>62472.970577565306</v>
      </c>
      <c r="D2149" s="3">
        <f t="shared" si="137"/>
        <v>0.1193022127263248</v>
      </c>
      <c r="E2149" s="8">
        <f t="shared" si="138"/>
        <v>306.14285714285717</v>
      </c>
    </row>
    <row r="2150" spans="1:5" ht="18.75" x14ac:dyDescent="0.3">
      <c r="A2150" s="3">
        <v>2144</v>
      </c>
      <c r="B2150" s="9">
        <f t="shared" si="136"/>
        <v>0.99865865801815334</v>
      </c>
      <c r="C2150" s="3">
        <f t="shared" si="135"/>
        <v>62473.089669641617</v>
      </c>
      <c r="D2150" s="3">
        <f t="shared" si="137"/>
        <v>0.11909207631106256</v>
      </c>
      <c r="E2150" s="8">
        <f t="shared" si="138"/>
        <v>306.28571428571428</v>
      </c>
    </row>
    <row r="2151" spans="1:5" ht="18.75" x14ac:dyDescent="0.3">
      <c r="A2151" s="3">
        <v>2145</v>
      </c>
      <c r="B2151" s="9">
        <f t="shared" si="136"/>
        <v>0.99866055840317203</v>
      </c>
      <c r="C2151" s="3">
        <f t="shared" si="135"/>
        <v>62473.20855202723</v>
      </c>
      <c r="D2151" s="3">
        <f t="shared" si="137"/>
        <v>0.1188823856136878</v>
      </c>
      <c r="E2151" s="8">
        <f t="shared" si="138"/>
        <v>306.42857142857144</v>
      </c>
    </row>
    <row r="2152" spans="1:5" ht="18.75" x14ac:dyDescent="0.3">
      <c r="A2152" s="3">
        <v>2146</v>
      </c>
      <c r="B2152" s="9">
        <f t="shared" si="136"/>
        <v>0.9986624554433039</v>
      </c>
      <c r="C2152" s="3">
        <f t="shared" si="135"/>
        <v>62473.327225166759</v>
      </c>
      <c r="D2152" s="3">
        <f t="shared" si="137"/>
        <v>0.11867313952825498</v>
      </c>
      <c r="E2152" s="8">
        <f t="shared" si="138"/>
        <v>306.57142857142856</v>
      </c>
    </row>
    <row r="2153" spans="1:5" ht="18.75" x14ac:dyDescent="0.3">
      <c r="A2153" s="3">
        <v>2147</v>
      </c>
      <c r="B2153" s="9">
        <f t="shared" si="136"/>
        <v>0.99866434914563862</v>
      </c>
      <c r="C2153" s="3">
        <f t="shared" si="135"/>
        <v>62473.445689503715</v>
      </c>
      <c r="D2153" s="3">
        <f t="shared" si="137"/>
        <v>0.11846433695609448</v>
      </c>
      <c r="E2153" s="8">
        <f t="shared" si="138"/>
        <v>306.71428571428572</v>
      </c>
    </row>
    <row r="2154" spans="1:5" ht="18.75" x14ac:dyDescent="0.3">
      <c r="A2154" s="3">
        <v>2148</v>
      </c>
      <c r="B2154" s="9">
        <f t="shared" si="136"/>
        <v>0.99866623951724798</v>
      </c>
      <c r="C2154" s="3">
        <f t="shared" si="135"/>
        <v>62473.563945480484</v>
      </c>
      <c r="D2154" s="3">
        <f t="shared" si="137"/>
        <v>0.11825597676943289</v>
      </c>
      <c r="E2154" s="8">
        <f t="shared" si="138"/>
        <v>306.85714285714283</v>
      </c>
    </row>
    <row r="2155" spans="1:5" ht="18.75" x14ac:dyDescent="0.3">
      <c r="A2155" s="3">
        <v>2149</v>
      </c>
      <c r="B2155" s="9">
        <f t="shared" si="136"/>
        <v>0.99866812656518644</v>
      </c>
      <c r="C2155" s="3">
        <f t="shared" si="135"/>
        <v>62473.681993538368</v>
      </c>
      <c r="D2155" s="3">
        <f t="shared" si="137"/>
        <v>0.11804805788415251</v>
      </c>
      <c r="E2155" s="8">
        <f t="shared" si="138"/>
        <v>307</v>
      </c>
    </row>
    <row r="2156" spans="1:5" ht="18.75" x14ac:dyDescent="0.3">
      <c r="A2156" s="3">
        <v>2150</v>
      </c>
      <c r="B2156" s="9">
        <f t="shared" si="136"/>
        <v>0.99867001029649072</v>
      </c>
      <c r="C2156" s="3">
        <f t="shared" si="135"/>
        <v>62473.79983411757</v>
      </c>
      <c r="D2156" s="3">
        <f t="shared" si="137"/>
        <v>0.11784057920158375</v>
      </c>
      <c r="E2156" s="8">
        <f t="shared" si="138"/>
        <v>307.14285714285717</v>
      </c>
    </row>
    <row r="2157" spans="1:5" ht="18.75" x14ac:dyDescent="0.3">
      <c r="A2157" s="3">
        <v>2151</v>
      </c>
      <c r="B2157" s="9">
        <f t="shared" si="136"/>
        <v>0.99867189071818008</v>
      </c>
      <c r="C2157" s="3">
        <f t="shared" si="135"/>
        <v>62473.917467657193</v>
      </c>
      <c r="D2157" s="3">
        <f t="shared" si="137"/>
        <v>0.117633539623057</v>
      </c>
      <c r="E2157" s="8">
        <f t="shared" si="138"/>
        <v>307.28571428571428</v>
      </c>
    </row>
    <row r="2158" spans="1:5" ht="18.75" x14ac:dyDescent="0.3">
      <c r="A2158" s="3">
        <v>2152</v>
      </c>
      <c r="B2158" s="9">
        <f t="shared" si="136"/>
        <v>0.99867376783725637</v>
      </c>
      <c r="C2158" s="3">
        <f t="shared" si="135"/>
        <v>62474.03489459525</v>
      </c>
      <c r="D2158" s="3">
        <f t="shared" si="137"/>
        <v>0.11742693805717863</v>
      </c>
      <c r="E2158" s="8">
        <f t="shared" si="138"/>
        <v>307.42857142857144</v>
      </c>
    </row>
    <row r="2159" spans="1:5" ht="18.75" x14ac:dyDescent="0.3">
      <c r="A2159" s="3">
        <v>2153</v>
      </c>
      <c r="B2159" s="9">
        <f t="shared" si="136"/>
        <v>0.99867564166070388</v>
      </c>
      <c r="C2159" s="3">
        <f t="shared" si="135"/>
        <v>62474.152115368655</v>
      </c>
      <c r="D2159" s="3">
        <f t="shared" si="137"/>
        <v>0.11722077340527903</v>
      </c>
      <c r="E2159" s="8">
        <f t="shared" si="138"/>
        <v>307.57142857142856</v>
      </c>
    </row>
    <row r="2160" spans="1:5" ht="18.75" x14ac:dyDescent="0.3">
      <c r="A2160" s="3">
        <v>2154</v>
      </c>
      <c r="B2160" s="9">
        <f t="shared" si="136"/>
        <v>0.99867751219548984</v>
      </c>
      <c r="C2160" s="3">
        <f t="shared" si="135"/>
        <v>62474.26913041326</v>
      </c>
      <c r="D2160" s="3">
        <f t="shared" si="137"/>
        <v>0.1170150446050684</v>
      </c>
      <c r="E2160" s="8">
        <f t="shared" si="138"/>
        <v>307.71428571428572</v>
      </c>
    </row>
    <row r="2161" spans="1:5" ht="18.75" x14ac:dyDescent="0.3">
      <c r="A2161" s="3">
        <v>2155</v>
      </c>
      <c r="B2161" s="9">
        <f t="shared" si="136"/>
        <v>0.99867937944856366</v>
      </c>
      <c r="C2161" s="3">
        <f t="shared" si="135"/>
        <v>62474.385940163796</v>
      </c>
      <c r="D2161" s="3">
        <f t="shared" si="137"/>
        <v>0.11680975053604925</v>
      </c>
      <c r="E2161" s="8">
        <f t="shared" si="138"/>
        <v>307.85714285714283</v>
      </c>
    </row>
    <row r="2162" spans="1:5" ht="18.75" x14ac:dyDescent="0.3">
      <c r="A2162" s="3">
        <v>2156</v>
      </c>
      <c r="B2162" s="9">
        <f t="shared" si="136"/>
        <v>0.99868124342685793</v>
      </c>
      <c r="C2162" s="3">
        <f t="shared" si="135"/>
        <v>62474.502545053954</v>
      </c>
      <c r="D2162" s="3">
        <f t="shared" si="137"/>
        <v>0.11660489015775966</v>
      </c>
      <c r="E2162" s="8">
        <f t="shared" si="138"/>
        <v>308</v>
      </c>
    </row>
    <row r="2163" spans="1:5" ht="18.75" x14ac:dyDescent="0.3">
      <c r="A2163" s="3">
        <v>2157</v>
      </c>
      <c r="B2163" s="9">
        <f t="shared" si="136"/>
        <v>0.998683104137288</v>
      </c>
      <c r="C2163" s="3">
        <f t="shared" si="135"/>
        <v>62474.618945516326</v>
      </c>
      <c r="D2163" s="3">
        <f t="shared" si="137"/>
        <v>0.11640046237153001</v>
      </c>
      <c r="E2163" s="8">
        <f t="shared" si="138"/>
        <v>308.14285714285717</v>
      </c>
    </row>
    <row r="2164" spans="1:5" ht="18.75" x14ac:dyDescent="0.3">
      <c r="A2164" s="3">
        <v>2158</v>
      </c>
      <c r="B2164" s="9">
        <f t="shared" si="136"/>
        <v>0.99868496158675191</v>
      </c>
      <c r="C2164" s="3">
        <f t="shared" si="135"/>
        <v>62474.735141982441</v>
      </c>
      <c r="D2164" s="3">
        <f t="shared" si="137"/>
        <v>0.11619646611507051</v>
      </c>
      <c r="E2164" s="8">
        <f t="shared" si="138"/>
        <v>308.28571428571428</v>
      </c>
    </row>
    <row r="2165" spans="1:5" ht="18.75" x14ac:dyDescent="0.3">
      <c r="A2165" s="3">
        <v>2159</v>
      </c>
      <c r="B2165" s="9">
        <f t="shared" si="136"/>
        <v>0.99868681578213048</v>
      </c>
      <c r="C2165" s="3">
        <f t="shared" si="135"/>
        <v>62474.851134882738</v>
      </c>
      <c r="D2165" s="3">
        <f t="shared" si="137"/>
        <v>0.1159929002969875</v>
      </c>
      <c r="E2165" s="8">
        <f t="shared" si="138"/>
        <v>308.42857142857144</v>
      </c>
    </row>
    <row r="2166" spans="1:5" ht="18.75" x14ac:dyDescent="0.3">
      <c r="A2166" s="3">
        <v>2160</v>
      </c>
      <c r="B2166" s="9">
        <f t="shared" si="136"/>
        <v>0.99868866673028778</v>
      </c>
      <c r="C2166" s="3">
        <f t="shared" si="135"/>
        <v>62474.966924646615</v>
      </c>
      <c r="D2166" s="3">
        <f t="shared" si="137"/>
        <v>0.11578976387681905</v>
      </c>
      <c r="E2166" s="8">
        <f t="shared" si="138"/>
        <v>308.57142857142856</v>
      </c>
    </row>
    <row r="2167" spans="1:5" ht="18.75" x14ac:dyDescent="0.3">
      <c r="A2167" s="3">
        <v>2161</v>
      </c>
      <c r="B2167" s="9">
        <f t="shared" si="136"/>
        <v>0.99869051443807066</v>
      </c>
      <c r="C2167" s="3">
        <f t="shared" si="135"/>
        <v>62475.082511702385</v>
      </c>
      <c r="D2167" s="3">
        <f t="shared" si="137"/>
        <v>0.11558705577044748</v>
      </c>
      <c r="E2167" s="8">
        <f t="shared" si="138"/>
        <v>308.71428571428572</v>
      </c>
    </row>
    <row r="2168" spans="1:5" ht="18.75" x14ac:dyDescent="0.3">
      <c r="A2168" s="3">
        <v>2162</v>
      </c>
      <c r="B2168" s="9">
        <f t="shared" si="136"/>
        <v>0.9986923589123089</v>
      </c>
      <c r="C2168" s="3">
        <f t="shared" si="135"/>
        <v>62475.197896477308</v>
      </c>
      <c r="D2168" s="3">
        <f t="shared" si="137"/>
        <v>0.11538477492285892</v>
      </c>
      <c r="E2168" s="8">
        <f t="shared" si="138"/>
        <v>308.85714285714283</v>
      </c>
    </row>
    <row r="2169" spans="1:5" ht="18.75" x14ac:dyDescent="0.3">
      <c r="A2169" s="3">
        <v>2163</v>
      </c>
      <c r="B2169" s="9">
        <f t="shared" si="136"/>
        <v>0.99869420015981569</v>
      </c>
      <c r="C2169" s="3">
        <f t="shared" si="135"/>
        <v>62475.313079397587</v>
      </c>
      <c r="D2169" s="3">
        <f t="shared" si="137"/>
        <v>0.11518292027903954</v>
      </c>
      <c r="E2169" s="8">
        <f t="shared" si="138"/>
        <v>309</v>
      </c>
    </row>
    <row r="2170" spans="1:5" ht="18.75" x14ac:dyDescent="0.3">
      <c r="A2170" s="3">
        <v>2164</v>
      </c>
      <c r="B2170" s="9">
        <f t="shared" si="136"/>
        <v>0.99869603818738706</v>
      </c>
      <c r="C2170" s="3">
        <f t="shared" si="135"/>
        <v>62475.428060888371</v>
      </c>
      <c r="D2170" s="3">
        <f t="shared" si="137"/>
        <v>0.11498149078397546</v>
      </c>
      <c r="E2170" s="8">
        <f t="shared" si="138"/>
        <v>309.14285714285717</v>
      </c>
    </row>
    <row r="2171" spans="1:5" ht="18.75" x14ac:dyDescent="0.3">
      <c r="A2171" s="3">
        <v>2165</v>
      </c>
      <c r="B2171" s="9">
        <f t="shared" si="136"/>
        <v>0.99869787300180235</v>
      </c>
      <c r="C2171" s="3">
        <f t="shared" si="135"/>
        <v>62475.542841373746</v>
      </c>
      <c r="D2171" s="3">
        <f t="shared" si="137"/>
        <v>0.11478048537537688</v>
      </c>
      <c r="E2171" s="8">
        <f t="shared" si="138"/>
        <v>309.28571428571428</v>
      </c>
    </row>
    <row r="2172" spans="1:5" ht="18.75" x14ac:dyDescent="0.3">
      <c r="A2172" s="3">
        <v>2166</v>
      </c>
      <c r="B2172" s="9">
        <f t="shared" si="136"/>
        <v>0.99869970460982416</v>
      </c>
      <c r="C2172" s="3">
        <f t="shared" si="135"/>
        <v>62475.657421276766</v>
      </c>
      <c r="D2172" s="3">
        <f t="shared" si="137"/>
        <v>0.11457990302005783</v>
      </c>
      <c r="E2172" s="8">
        <f t="shared" si="138"/>
        <v>309.42857142857144</v>
      </c>
    </row>
    <row r="2173" spans="1:5" ht="18.75" x14ac:dyDescent="0.3">
      <c r="A2173" s="3">
        <v>2167</v>
      </c>
      <c r="B2173" s="9">
        <f t="shared" si="136"/>
        <v>0.9987015330181982</v>
      </c>
      <c r="C2173" s="3">
        <f t="shared" si="135"/>
        <v>62475.771801019422</v>
      </c>
      <c r="D2173" s="3">
        <f t="shared" si="137"/>
        <v>0.11437974265572848</v>
      </c>
      <c r="E2173" s="8">
        <f t="shared" si="138"/>
        <v>309.57142857142856</v>
      </c>
    </row>
    <row r="2174" spans="1:5" ht="18.75" x14ac:dyDescent="0.3">
      <c r="A2174" s="3">
        <v>2168</v>
      </c>
      <c r="B2174" s="9">
        <f t="shared" si="136"/>
        <v>0.99870335823365353</v>
      </c>
      <c r="C2174" s="3">
        <f t="shared" si="135"/>
        <v>62475.885981022664</v>
      </c>
      <c r="D2174" s="3">
        <f t="shared" si="137"/>
        <v>0.1141800032419269</v>
      </c>
      <c r="E2174" s="8">
        <f t="shared" si="138"/>
        <v>309.71428571428572</v>
      </c>
    </row>
    <row r="2175" spans="1:5" ht="18.75" x14ac:dyDescent="0.3">
      <c r="A2175" s="3">
        <v>2169</v>
      </c>
      <c r="B2175" s="9">
        <f t="shared" si="136"/>
        <v>0.99870518026290289</v>
      </c>
      <c r="C2175" s="3">
        <f t="shared" si="135"/>
        <v>62475.999961706417</v>
      </c>
      <c r="D2175" s="3">
        <f t="shared" si="137"/>
        <v>0.11398068375274306</v>
      </c>
      <c r="E2175" s="8">
        <f t="shared" si="138"/>
        <v>309.85714285714283</v>
      </c>
    </row>
    <row r="2176" spans="1:5" ht="18.75" x14ac:dyDescent="0.3">
      <c r="A2176" s="3">
        <v>2170</v>
      </c>
      <c r="B2176" s="9">
        <f t="shared" si="136"/>
        <v>0.99870699911264194</v>
      </c>
      <c r="C2176" s="3">
        <f t="shared" si="135"/>
        <v>62476.113743489543</v>
      </c>
      <c r="D2176" s="3">
        <f t="shared" si="137"/>
        <v>0.11378178312588716</v>
      </c>
      <c r="E2176" s="8">
        <f t="shared" si="138"/>
        <v>310</v>
      </c>
    </row>
    <row r="2177" spans="1:5" ht="18.75" x14ac:dyDescent="0.3">
      <c r="A2177" s="3">
        <v>2171</v>
      </c>
      <c r="B2177" s="9">
        <f t="shared" si="136"/>
        <v>0.9987088147895502</v>
      </c>
      <c r="C2177" s="3">
        <f t="shared" si="135"/>
        <v>62476.227326789893</v>
      </c>
      <c r="D2177" s="3">
        <f t="shared" si="137"/>
        <v>0.11358330035000108</v>
      </c>
      <c r="E2177" s="8">
        <f t="shared" si="138"/>
        <v>310.14285714285717</v>
      </c>
    </row>
    <row r="2178" spans="1:5" ht="18.75" x14ac:dyDescent="0.3">
      <c r="A2178" s="3">
        <v>2172</v>
      </c>
      <c r="B2178" s="9">
        <f t="shared" si="136"/>
        <v>0.99871062730029059</v>
      </c>
      <c r="C2178" s="3">
        <f t="shared" si="135"/>
        <v>62476.340712024277</v>
      </c>
      <c r="D2178" s="3">
        <f t="shared" si="137"/>
        <v>0.11338523438462289</v>
      </c>
      <c r="E2178" s="8">
        <f t="shared" si="138"/>
        <v>310.28571428571428</v>
      </c>
    </row>
    <row r="2179" spans="1:5" ht="18.75" x14ac:dyDescent="0.3">
      <c r="A2179" s="3">
        <v>2173</v>
      </c>
      <c r="B2179" s="9">
        <f t="shared" si="136"/>
        <v>0.99871243665150944</v>
      </c>
      <c r="C2179" s="3">
        <f t="shared" si="135"/>
        <v>62476.453899608474</v>
      </c>
      <c r="D2179" s="3">
        <f t="shared" si="137"/>
        <v>0.1131875841965666</v>
      </c>
      <c r="E2179" s="8">
        <f t="shared" si="138"/>
        <v>310.42857142857144</v>
      </c>
    </row>
    <row r="2180" spans="1:5" ht="18.75" x14ac:dyDescent="0.3">
      <c r="A2180" s="3">
        <v>2174</v>
      </c>
      <c r="B2180" s="9">
        <f t="shared" si="136"/>
        <v>0.9987142428498369</v>
      </c>
      <c r="C2180" s="3">
        <f t="shared" si="135"/>
        <v>62476.566889957248</v>
      </c>
      <c r="D2180" s="3">
        <f t="shared" si="137"/>
        <v>0.11299034877447411</v>
      </c>
      <c r="E2180" s="8">
        <f t="shared" si="138"/>
        <v>310.57142857142856</v>
      </c>
    </row>
    <row r="2181" spans="1:5" ht="18.75" x14ac:dyDescent="0.3">
      <c r="A2181" s="3">
        <v>2175</v>
      </c>
      <c r="B2181" s="9">
        <f t="shared" si="136"/>
        <v>0.99871604590188667</v>
      </c>
      <c r="C2181" s="3">
        <f t="shared" si="135"/>
        <v>62476.679683484326</v>
      </c>
      <c r="D2181" s="3">
        <f t="shared" si="137"/>
        <v>0.11279352707788348</v>
      </c>
      <c r="E2181" s="8">
        <f t="shared" si="138"/>
        <v>310.71428571428572</v>
      </c>
    </row>
    <row r="2182" spans="1:5" ht="18.75" x14ac:dyDescent="0.3">
      <c r="A2182" s="3">
        <v>2176</v>
      </c>
      <c r="B2182" s="9">
        <f t="shared" si="136"/>
        <v>0.99871784581425604</v>
      </c>
      <c r="C2182" s="3">
        <f t="shared" si="135"/>
        <v>62476.792280602414</v>
      </c>
      <c r="D2182" s="3">
        <f t="shared" si="137"/>
        <v>0.11259711808816064</v>
      </c>
      <c r="E2182" s="8">
        <f t="shared" si="138"/>
        <v>310.85714285714283</v>
      </c>
    </row>
    <row r="2183" spans="1:5" ht="18.75" x14ac:dyDescent="0.3">
      <c r="A2183" s="3">
        <v>2177</v>
      </c>
      <c r="B2183" s="9">
        <f t="shared" si="136"/>
        <v>0.9987196425935263</v>
      </c>
      <c r="C2183" s="3">
        <f t="shared" si="135"/>
        <v>62476.904681723223</v>
      </c>
      <c r="D2183" s="3">
        <f t="shared" si="137"/>
        <v>0.1124011208084994</v>
      </c>
      <c r="E2183" s="8">
        <f t="shared" si="138"/>
        <v>311</v>
      </c>
    </row>
    <row r="2184" spans="1:5" ht="18.75" x14ac:dyDescent="0.3">
      <c r="A2184" s="3">
        <v>2178</v>
      </c>
      <c r="B2184" s="9">
        <f t="shared" si="136"/>
        <v>0.99872143624626231</v>
      </c>
      <c r="C2184" s="3">
        <f t="shared" ref="C2184:C2247" si="139">$E$3*B2184</f>
        <v>62477.016887257429</v>
      </c>
      <c r="D2184" s="3">
        <f t="shared" si="137"/>
        <v>0.11220553420571378</v>
      </c>
      <c r="E2184" s="8">
        <f t="shared" si="138"/>
        <v>311.14285714285717</v>
      </c>
    </row>
    <row r="2185" spans="1:5" ht="18.75" x14ac:dyDescent="0.3">
      <c r="A2185" s="3">
        <v>2179</v>
      </c>
      <c r="B2185" s="9">
        <f t="shared" si="136"/>
        <v>0.99872322677901293</v>
      </c>
      <c r="C2185" s="3">
        <f t="shared" si="139"/>
        <v>62477.128897614712</v>
      </c>
      <c r="D2185" s="3">
        <f t="shared" si="137"/>
        <v>0.11201035728299757</v>
      </c>
      <c r="E2185" s="8">
        <f t="shared" si="138"/>
        <v>311.28571428571428</v>
      </c>
    </row>
    <row r="2186" spans="1:5" ht="18.75" x14ac:dyDescent="0.3">
      <c r="A2186" s="3">
        <v>2180</v>
      </c>
      <c r="B2186" s="9">
        <f t="shared" si="136"/>
        <v>0.99872501419831061</v>
      </c>
      <c r="C2186" s="3">
        <f t="shared" si="139"/>
        <v>62477.240713203719</v>
      </c>
      <c r="D2186" s="3">
        <f t="shared" si="137"/>
        <v>0.11181558900716482</v>
      </c>
      <c r="E2186" s="8">
        <f t="shared" si="138"/>
        <v>311.42857142857144</v>
      </c>
    </row>
    <row r="2187" spans="1:5" ht="18.75" x14ac:dyDescent="0.3">
      <c r="A2187" s="3">
        <v>2181</v>
      </c>
      <c r="B2187" s="9">
        <f t="shared" si="136"/>
        <v>0.99872679851067214</v>
      </c>
      <c r="C2187" s="3">
        <f t="shared" si="139"/>
        <v>62477.352334432115</v>
      </c>
      <c r="D2187" s="3">
        <f t="shared" si="137"/>
        <v>0.11162122839596123</v>
      </c>
      <c r="E2187" s="8">
        <f t="shared" si="138"/>
        <v>311.57142857142856</v>
      </c>
    </row>
    <row r="2188" spans="1:5" ht="18.75" x14ac:dyDescent="0.3">
      <c r="A2188" s="3">
        <v>2182</v>
      </c>
      <c r="B2188" s="9">
        <f t="shared" si="136"/>
        <v>0.99872857972259799</v>
      </c>
      <c r="C2188" s="3">
        <f t="shared" si="139"/>
        <v>62477.46376170656</v>
      </c>
      <c r="D2188" s="3">
        <f t="shared" si="137"/>
        <v>0.11142727444530465</v>
      </c>
      <c r="E2188" s="8">
        <f t="shared" si="138"/>
        <v>311.71428571428572</v>
      </c>
    </row>
    <row r="2189" spans="1:5" ht="18.75" x14ac:dyDescent="0.3">
      <c r="A2189" s="3">
        <v>2183</v>
      </c>
      <c r="B2189" s="9">
        <f t="shared" si="136"/>
        <v>0.99873035784057274</v>
      </c>
      <c r="C2189" s="3">
        <f t="shared" si="139"/>
        <v>62477.574995432711</v>
      </c>
      <c r="D2189" s="3">
        <f t="shared" si="137"/>
        <v>0.11123372615111293</v>
      </c>
      <c r="E2189" s="8">
        <f t="shared" si="138"/>
        <v>311.85714285714283</v>
      </c>
    </row>
    <row r="2190" spans="1:5" ht="18.75" x14ac:dyDescent="0.3">
      <c r="A2190" s="3">
        <v>2184</v>
      </c>
      <c r="B2190" s="9">
        <f t="shared" si="136"/>
        <v>0.99873213287106499</v>
      </c>
      <c r="C2190" s="3">
        <f t="shared" si="139"/>
        <v>62477.686036015213</v>
      </c>
      <c r="D2190" s="3">
        <f t="shared" si="137"/>
        <v>0.11104058250202797</v>
      </c>
      <c r="E2190" s="8">
        <f t="shared" si="138"/>
        <v>312</v>
      </c>
    </row>
    <row r="2191" spans="1:5" ht="18.75" x14ac:dyDescent="0.3">
      <c r="A2191" s="3">
        <v>2185</v>
      </c>
      <c r="B2191" s="9">
        <f t="shared" si="136"/>
        <v>0.9987339048205276</v>
      </c>
      <c r="C2191" s="3">
        <f t="shared" si="139"/>
        <v>62477.796883857744</v>
      </c>
      <c r="D2191" s="3">
        <f t="shared" si="137"/>
        <v>0.11084784253034741</v>
      </c>
      <c r="E2191" s="8">
        <f t="shared" si="138"/>
        <v>312.14285714285717</v>
      </c>
    </row>
    <row r="2192" spans="1:5" ht="18.75" x14ac:dyDescent="0.3">
      <c r="A2192" s="3">
        <v>2186</v>
      </c>
      <c r="B2192" s="9">
        <f t="shared" si="136"/>
        <v>0.99873567369539729</v>
      </c>
      <c r="C2192" s="3">
        <f t="shared" si="139"/>
        <v>62477.907539362968</v>
      </c>
      <c r="D2192" s="3">
        <f t="shared" si="137"/>
        <v>0.11065550522471312</v>
      </c>
      <c r="E2192" s="8">
        <f t="shared" si="138"/>
        <v>312.28571428571428</v>
      </c>
    </row>
    <row r="2193" spans="1:5" ht="18.75" x14ac:dyDescent="0.3">
      <c r="A2193" s="3">
        <v>2187</v>
      </c>
      <c r="B2193" s="9">
        <f t="shared" si="136"/>
        <v>0.99873743950209537</v>
      </c>
      <c r="C2193" s="3">
        <f t="shared" si="139"/>
        <v>62478.018002932578</v>
      </c>
      <c r="D2193" s="3">
        <f t="shared" si="137"/>
        <v>0.11046356961014681</v>
      </c>
      <c r="E2193" s="8">
        <f t="shared" si="138"/>
        <v>312.42857142857144</v>
      </c>
    </row>
    <row r="2194" spans="1:5" ht="18.75" x14ac:dyDescent="0.3">
      <c r="A2194" s="3">
        <v>2188</v>
      </c>
      <c r="B2194" s="9">
        <f t="shared" si="136"/>
        <v>0.99873920224702695</v>
      </c>
      <c r="C2194" s="3">
        <f t="shared" si="139"/>
        <v>62478.128274967268</v>
      </c>
      <c r="D2194" s="3">
        <f t="shared" si="137"/>
        <v>0.11027203468984226</v>
      </c>
      <c r="E2194" s="8">
        <f t="shared" si="138"/>
        <v>312.57142857142856</v>
      </c>
    </row>
    <row r="2195" spans="1:5" ht="18.75" x14ac:dyDescent="0.3">
      <c r="A2195" s="3">
        <v>2189</v>
      </c>
      <c r="B2195" s="9">
        <f t="shared" si="136"/>
        <v>0.99874096193658191</v>
      </c>
      <c r="C2195" s="3">
        <f t="shared" si="139"/>
        <v>62478.238355866757</v>
      </c>
      <c r="D2195" s="3">
        <f t="shared" si="137"/>
        <v>0.11008089948882116</v>
      </c>
      <c r="E2195" s="8">
        <f t="shared" si="138"/>
        <v>312.71428571428572</v>
      </c>
    </row>
    <row r="2196" spans="1:5" ht="18.75" x14ac:dyDescent="0.3">
      <c r="A2196" s="3">
        <v>2190</v>
      </c>
      <c r="B2196" s="9">
        <f t="shared" si="136"/>
        <v>0.99874271857713404</v>
      </c>
      <c r="C2196" s="3">
        <f t="shared" si="139"/>
        <v>62478.348246029775</v>
      </c>
      <c r="D2196" s="3">
        <f t="shared" si="137"/>
        <v>0.10989016301755328</v>
      </c>
      <c r="E2196" s="8">
        <f t="shared" si="138"/>
        <v>312.85714285714283</v>
      </c>
    </row>
    <row r="2197" spans="1:5" ht="18.75" x14ac:dyDescent="0.3">
      <c r="A2197" s="3">
        <v>2191</v>
      </c>
      <c r="B2197" s="9">
        <f t="shared" si="136"/>
        <v>0.9987444721750417</v>
      </c>
      <c r="C2197" s="3">
        <f t="shared" si="139"/>
        <v>62478.457945854083</v>
      </c>
      <c r="D2197" s="3">
        <f t="shared" si="137"/>
        <v>0.10969982430833625</v>
      </c>
      <c r="E2197" s="8">
        <f t="shared" si="138"/>
        <v>313</v>
      </c>
    </row>
    <row r="2198" spans="1:5" ht="18.75" x14ac:dyDescent="0.3">
      <c r="A2198" s="3">
        <v>2192</v>
      </c>
      <c r="B2198" s="9">
        <f t="shared" si="136"/>
        <v>0.9987462227366477</v>
      </c>
      <c r="C2198" s="3">
        <f t="shared" si="139"/>
        <v>62478.567455736469</v>
      </c>
      <c r="D2198" s="3">
        <f t="shared" si="137"/>
        <v>0.10950988238619175</v>
      </c>
      <c r="E2198" s="8">
        <f t="shared" si="138"/>
        <v>313.14285714285717</v>
      </c>
    </row>
    <row r="2199" spans="1:5" ht="18.75" x14ac:dyDescent="0.3">
      <c r="A2199" s="3">
        <v>2193</v>
      </c>
      <c r="B2199" s="9">
        <f t="shared" ref="B2199:B2262" si="140">LOGNORMDIST(A2199,$A$3,$B$3)</f>
        <v>0.99874797026827933</v>
      </c>
      <c r="C2199" s="3">
        <f t="shared" si="139"/>
        <v>62478.676776072753</v>
      </c>
      <c r="D2199" s="3">
        <f t="shared" ref="D2199:D2262" si="141">C2199-C2198</f>
        <v>0.10932033628341742</v>
      </c>
      <c r="E2199" s="8">
        <f t="shared" ref="E2199:E2262" si="142">A2199/7</f>
        <v>313.28571428571428</v>
      </c>
    </row>
    <row r="2200" spans="1:5" ht="18.75" x14ac:dyDescent="0.3">
      <c r="A2200" s="3">
        <v>2194</v>
      </c>
      <c r="B2200" s="9">
        <f t="shared" si="140"/>
        <v>0.99874971477624819</v>
      </c>
      <c r="C2200" s="3">
        <f t="shared" si="139"/>
        <v>62478.785907257756</v>
      </c>
      <c r="D2200" s="3">
        <f t="shared" si="141"/>
        <v>0.10913118500320707</v>
      </c>
      <c r="E2200" s="8">
        <f t="shared" si="142"/>
        <v>313.42857142857144</v>
      </c>
    </row>
    <row r="2201" spans="1:5" ht="18.75" x14ac:dyDescent="0.3">
      <c r="A2201" s="3">
        <v>2195</v>
      </c>
      <c r="B2201" s="9">
        <f t="shared" si="140"/>
        <v>0.99875145626685069</v>
      </c>
      <c r="C2201" s="3">
        <f t="shared" si="139"/>
        <v>62478.894849685377</v>
      </c>
      <c r="D2201" s="3">
        <f t="shared" si="141"/>
        <v>0.10894242762151407</v>
      </c>
      <c r="E2201" s="8">
        <f t="shared" si="142"/>
        <v>313.57142857142856</v>
      </c>
    </row>
    <row r="2202" spans="1:5" ht="18.75" x14ac:dyDescent="0.3">
      <c r="A2202" s="3">
        <v>2196</v>
      </c>
      <c r="B2202" s="9">
        <f t="shared" si="140"/>
        <v>0.99875319474636759</v>
      </c>
      <c r="C2202" s="3">
        <f t="shared" si="139"/>
        <v>62479.003603748519</v>
      </c>
      <c r="D2202" s="3">
        <f t="shared" si="141"/>
        <v>0.10875406314153224</v>
      </c>
      <c r="E2202" s="8">
        <f t="shared" si="142"/>
        <v>313.71428571428572</v>
      </c>
    </row>
    <row r="2203" spans="1:5" ht="18.75" x14ac:dyDescent="0.3">
      <c r="A2203" s="3">
        <v>2197</v>
      </c>
      <c r="B2203" s="9">
        <f t="shared" si="140"/>
        <v>0.99875493022106454</v>
      </c>
      <c r="C2203" s="3">
        <f t="shared" si="139"/>
        <v>62479.112169839136</v>
      </c>
      <c r="D2203" s="3">
        <f t="shared" si="141"/>
        <v>0.10856609061738709</v>
      </c>
      <c r="E2203" s="8">
        <f t="shared" si="142"/>
        <v>313.85714285714283</v>
      </c>
    </row>
    <row r="2204" spans="1:5" ht="18.75" x14ac:dyDescent="0.3">
      <c r="A2204" s="3">
        <v>2198</v>
      </c>
      <c r="B2204" s="9">
        <f t="shared" si="140"/>
        <v>0.99875666269719166</v>
      </c>
      <c r="C2204" s="3">
        <f t="shared" si="139"/>
        <v>62479.220548348218</v>
      </c>
      <c r="D2204" s="3">
        <f t="shared" si="141"/>
        <v>0.10837850908137625</v>
      </c>
      <c r="E2204" s="8">
        <f t="shared" si="142"/>
        <v>314</v>
      </c>
    </row>
    <row r="2205" spans="1:5" ht="18.75" x14ac:dyDescent="0.3">
      <c r="A2205" s="3">
        <v>2199</v>
      </c>
      <c r="B2205" s="9">
        <f t="shared" si="140"/>
        <v>0.99875839218098394</v>
      </c>
      <c r="C2205" s="3">
        <f t="shared" si="139"/>
        <v>62479.328739665812</v>
      </c>
      <c r="D2205" s="3">
        <f t="shared" si="141"/>
        <v>0.10819131759490119</v>
      </c>
      <c r="E2205" s="8">
        <f t="shared" si="142"/>
        <v>314.14285714285717</v>
      </c>
    </row>
    <row r="2206" spans="1:5" ht="18.75" x14ac:dyDescent="0.3">
      <c r="A2206" s="3">
        <v>2200</v>
      </c>
      <c r="B2206" s="9">
        <f t="shared" si="140"/>
        <v>0.9987601186786611</v>
      </c>
      <c r="C2206" s="3">
        <f t="shared" si="139"/>
        <v>62479.436744181003</v>
      </c>
      <c r="D2206" s="3">
        <f t="shared" si="141"/>
        <v>0.10800451519025955</v>
      </c>
      <c r="E2206" s="8">
        <f t="shared" si="142"/>
        <v>314.28571428571428</v>
      </c>
    </row>
    <row r="2207" spans="1:5" ht="18.75" x14ac:dyDescent="0.3">
      <c r="A2207" s="3">
        <v>2201</v>
      </c>
      <c r="B2207" s="9">
        <f t="shared" si="140"/>
        <v>0.99876184219642761</v>
      </c>
      <c r="C2207" s="3">
        <f t="shared" si="139"/>
        <v>62479.544562281924</v>
      </c>
      <c r="D2207" s="3">
        <f t="shared" si="141"/>
        <v>0.10781810092157684</v>
      </c>
      <c r="E2207" s="8">
        <f t="shared" si="142"/>
        <v>314.42857142857144</v>
      </c>
    </row>
    <row r="2208" spans="1:5" ht="18.75" x14ac:dyDescent="0.3">
      <c r="A2208" s="3">
        <v>2202</v>
      </c>
      <c r="B2208" s="9">
        <f t="shared" si="140"/>
        <v>0.99876356274047284</v>
      </c>
      <c r="C2208" s="3">
        <f t="shared" si="139"/>
        <v>62479.65219435576</v>
      </c>
      <c r="D2208" s="3">
        <f t="shared" si="141"/>
        <v>0.10763207383570261</v>
      </c>
      <c r="E2208" s="8">
        <f t="shared" si="142"/>
        <v>314.57142857142856</v>
      </c>
    </row>
    <row r="2209" spans="1:5" ht="18.75" x14ac:dyDescent="0.3">
      <c r="A2209" s="3">
        <v>2203</v>
      </c>
      <c r="B2209" s="9">
        <f t="shared" si="140"/>
        <v>0.99876528031697109</v>
      </c>
      <c r="C2209" s="3">
        <f t="shared" si="139"/>
        <v>62479.759640788761</v>
      </c>
      <c r="D2209" s="3">
        <f t="shared" si="141"/>
        <v>0.10744643300131429</v>
      </c>
      <c r="E2209" s="8">
        <f t="shared" si="142"/>
        <v>314.71428571428572</v>
      </c>
    </row>
    <row r="2210" spans="1:5" ht="18.75" x14ac:dyDescent="0.3">
      <c r="A2210" s="3">
        <v>2204</v>
      </c>
      <c r="B2210" s="9">
        <f t="shared" si="140"/>
        <v>0.99876699493208143</v>
      </c>
      <c r="C2210" s="3">
        <f t="shared" si="139"/>
        <v>62479.866901966219</v>
      </c>
      <c r="D2210" s="3">
        <f t="shared" si="141"/>
        <v>0.10726117745798547</v>
      </c>
      <c r="E2210" s="8">
        <f t="shared" si="142"/>
        <v>314.85714285714283</v>
      </c>
    </row>
    <row r="2211" spans="1:5" ht="18.75" x14ac:dyDescent="0.3">
      <c r="A2211" s="3">
        <v>2205</v>
      </c>
      <c r="B2211" s="9">
        <f t="shared" si="140"/>
        <v>0.99876870659194839</v>
      </c>
      <c r="C2211" s="3">
        <f t="shared" si="139"/>
        <v>62479.973978272516</v>
      </c>
      <c r="D2211" s="3">
        <f t="shared" si="141"/>
        <v>0.10707630629622145</v>
      </c>
      <c r="E2211" s="8">
        <f t="shared" si="142"/>
        <v>315</v>
      </c>
    </row>
    <row r="2212" spans="1:5" ht="18.75" x14ac:dyDescent="0.3">
      <c r="A2212" s="3">
        <v>2206</v>
      </c>
      <c r="B2212" s="9">
        <f t="shared" si="140"/>
        <v>0.99877041530270083</v>
      </c>
      <c r="C2212" s="3">
        <f t="shared" si="139"/>
        <v>62480.080870091057</v>
      </c>
      <c r="D2212" s="3">
        <f t="shared" si="141"/>
        <v>0.1068918185410439</v>
      </c>
      <c r="E2212" s="8">
        <f t="shared" si="142"/>
        <v>315.14285714285717</v>
      </c>
    </row>
    <row r="2213" spans="1:5" ht="18.75" x14ac:dyDescent="0.3">
      <c r="A2213" s="3">
        <v>2207</v>
      </c>
      <c r="B2213" s="9">
        <f t="shared" si="140"/>
        <v>0.99877212107045321</v>
      </c>
      <c r="C2213" s="3">
        <f t="shared" si="139"/>
        <v>62480.18757780434</v>
      </c>
      <c r="D2213" s="3">
        <f t="shared" si="141"/>
        <v>0.10670771328295814</v>
      </c>
      <c r="E2213" s="8">
        <f t="shared" si="142"/>
        <v>315.28571428571428</v>
      </c>
    </row>
    <row r="2214" spans="1:5" ht="18.75" x14ac:dyDescent="0.3">
      <c r="A2214" s="3">
        <v>2208</v>
      </c>
      <c r="B2214" s="9">
        <f t="shared" si="140"/>
        <v>0.99877382390130487</v>
      </c>
      <c r="C2214" s="3">
        <f t="shared" si="139"/>
        <v>62480.29410179393</v>
      </c>
      <c r="D2214" s="3">
        <f t="shared" si="141"/>
        <v>0.10652398959064158</v>
      </c>
      <c r="E2214" s="8">
        <f t="shared" si="142"/>
        <v>315.42857142857144</v>
      </c>
    </row>
    <row r="2215" spans="1:5" ht="18.75" x14ac:dyDescent="0.3">
      <c r="A2215" s="3">
        <v>2209</v>
      </c>
      <c r="B2215" s="9">
        <f t="shared" si="140"/>
        <v>0.99877552380134038</v>
      </c>
      <c r="C2215" s="3">
        <f t="shared" si="139"/>
        <v>62480.400442440448</v>
      </c>
      <c r="D2215" s="3">
        <f t="shared" si="141"/>
        <v>0.10634064651821973</v>
      </c>
      <c r="E2215" s="8">
        <f t="shared" si="142"/>
        <v>315.57142857142856</v>
      </c>
    </row>
    <row r="2216" spans="1:5" ht="18.75" x14ac:dyDescent="0.3">
      <c r="A2216" s="3">
        <v>2210</v>
      </c>
      <c r="B2216" s="9">
        <f t="shared" si="140"/>
        <v>0.99877722077662945</v>
      </c>
      <c r="C2216" s="3">
        <f t="shared" si="139"/>
        <v>62480.506600123612</v>
      </c>
      <c r="D2216" s="3">
        <f t="shared" si="141"/>
        <v>0.10615768316347385</v>
      </c>
      <c r="E2216" s="8">
        <f t="shared" si="142"/>
        <v>315.71428571428572</v>
      </c>
    </row>
    <row r="2217" spans="1:5" ht="18.75" x14ac:dyDescent="0.3">
      <c r="A2217" s="3">
        <v>2211</v>
      </c>
      <c r="B2217" s="9">
        <f t="shared" si="140"/>
        <v>0.99877891483322701</v>
      </c>
      <c r="C2217" s="3">
        <f t="shared" si="139"/>
        <v>62480.612575222185</v>
      </c>
      <c r="D2217" s="3">
        <f t="shared" si="141"/>
        <v>0.10597509857325349</v>
      </c>
      <c r="E2217" s="8">
        <f t="shared" si="142"/>
        <v>315.85714285714283</v>
      </c>
    </row>
    <row r="2218" spans="1:5" ht="18.75" x14ac:dyDescent="0.3">
      <c r="A2218" s="3">
        <v>2212</v>
      </c>
      <c r="B2218" s="9">
        <f t="shared" si="140"/>
        <v>0.99878060597717344</v>
      </c>
      <c r="C2218" s="3">
        <f t="shared" si="139"/>
        <v>62480.718368114038</v>
      </c>
      <c r="D2218" s="3">
        <f t="shared" si="141"/>
        <v>0.10579289185261587</v>
      </c>
      <c r="E2218" s="8">
        <f t="shared" si="142"/>
        <v>316</v>
      </c>
    </row>
    <row r="2219" spans="1:5" ht="18.75" x14ac:dyDescent="0.3">
      <c r="A2219" s="3">
        <v>2213</v>
      </c>
      <c r="B2219" s="9">
        <f t="shared" si="140"/>
        <v>0.99878229421449416</v>
      </c>
      <c r="C2219" s="3">
        <f t="shared" si="139"/>
        <v>62480.823979176108</v>
      </c>
      <c r="D2219" s="3">
        <f t="shared" si="141"/>
        <v>0.1056110620702384</v>
      </c>
      <c r="E2219" s="8">
        <f t="shared" si="142"/>
        <v>316.14285714285717</v>
      </c>
    </row>
    <row r="2220" spans="1:5" ht="18.75" x14ac:dyDescent="0.3">
      <c r="A2220" s="3">
        <v>2214</v>
      </c>
      <c r="B2220" s="9">
        <f t="shared" si="140"/>
        <v>0.99878397955120013</v>
      </c>
      <c r="C2220" s="3">
        <f t="shared" si="139"/>
        <v>62480.929408784425</v>
      </c>
      <c r="D2220" s="3">
        <f t="shared" si="141"/>
        <v>0.1054296083166264</v>
      </c>
      <c r="E2220" s="8">
        <f t="shared" si="142"/>
        <v>316.28571428571428</v>
      </c>
    </row>
    <row r="2221" spans="1:5" ht="18.75" x14ac:dyDescent="0.3">
      <c r="A2221" s="3">
        <v>2215</v>
      </c>
      <c r="B2221" s="9">
        <f t="shared" si="140"/>
        <v>0.99878566199328767</v>
      </c>
      <c r="C2221" s="3">
        <f t="shared" si="139"/>
        <v>62481.0346573141</v>
      </c>
      <c r="D2221" s="3">
        <f t="shared" si="141"/>
        <v>0.10524852967500919</v>
      </c>
      <c r="E2221" s="8">
        <f t="shared" si="142"/>
        <v>316.42857142857144</v>
      </c>
    </row>
    <row r="2222" spans="1:5" ht="18.75" x14ac:dyDescent="0.3">
      <c r="A2222" s="3">
        <v>2216</v>
      </c>
      <c r="B2222" s="9">
        <f t="shared" si="140"/>
        <v>0.99878734154673854</v>
      </c>
      <c r="C2222" s="3">
        <f t="shared" si="139"/>
        <v>62481.139725139321</v>
      </c>
      <c r="D2222" s="3">
        <f t="shared" si="141"/>
        <v>0.10506782522134017</v>
      </c>
      <c r="E2222" s="8">
        <f t="shared" si="142"/>
        <v>316.57142857142856</v>
      </c>
    </row>
    <row r="2223" spans="1:5" ht="18.75" x14ac:dyDescent="0.3">
      <c r="A2223" s="3">
        <v>2217</v>
      </c>
      <c r="B2223" s="9">
        <f t="shared" si="140"/>
        <v>0.99878901821751997</v>
      </c>
      <c r="C2223" s="3">
        <f t="shared" si="139"/>
        <v>62481.244612633396</v>
      </c>
      <c r="D2223" s="3">
        <f t="shared" si="141"/>
        <v>0.10488749407522846</v>
      </c>
      <c r="E2223" s="8">
        <f t="shared" si="142"/>
        <v>316.71428571428572</v>
      </c>
    </row>
    <row r="2224" spans="1:5" ht="18.75" x14ac:dyDescent="0.3">
      <c r="A2224" s="3">
        <v>2218</v>
      </c>
      <c r="B2224" s="9">
        <f t="shared" si="140"/>
        <v>0.99879069201158466</v>
      </c>
      <c r="C2224" s="3">
        <f t="shared" si="139"/>
        <v>62481.349320168702</v>
      </c>
      <c r="D2224" s="3">
        <f t="shared" si="141"/>
        <v>0.10470753530535148</v>
      </c>
      <c r="E2224" s="8">
        <f t="shared" si="142"/>
        <v>316.85714285714283</v>
      </c>
    </row>
    <row r="2225" spans="1:5" ht="18.75" x14ac:dyDescent="0.3">
      <c r="A2225" s="3">
        <v>2219</v>
      </c>
      <c r="B2225" s="9">
        <f t="shared" si="140"/>
        <v>0.99879236293487106</v>
      </c>
      <c r="C2225" s="3">
        <f t="shared" si="139"/>
        <v>62481.453848116726</v>
      </c>
      <c r="D2225" s="3">
        <f t="shared" si="141"/>
        <v>0.10452794802404242</v>
      </c>
      <c r="E2225" s="8">
        <f t="shared" si="142"/>
        <v>317</v>
      </c>
    </row>
    <row r="2226" spans="1:5" ht="18.75" x14ac:dyDescent="0.3">
      <c r="A2226" s="3">
        <v>2220</v>
      </c>
      <c r="B2226" s="9">
        <f t="shared" si="140"/>
        <v>0.99879403099330288</v>
      </c>
      <c r="C2226" s="3">
        <f t="shared" si="139"/>
        <v>62481.558196848047</v>
      </c>
      <c r="D2226" s="3">
        <f t="shared" si="141"/>
        <v>0.10434873132180655</v>
      </c>
      <c r="E2226" s="8">
        <f t="shared" si="142"/>
        <v>317.14285714285717</v>
      </c>
    </row>
    <row r="2227" spans="1:5" ht="18.75" x14ac:dyDescent="0.3">
      <c r="A2227" s="3">
        <v>2221</v>
      </c>
      <c r="B2227" s="9">
        <f t="shared" si="140"/>
        <v>0.99879569619278985</v>
      </c>
      <c r="C2227" s="3">
        <f t="shared" si="139"/>
        <v>62481.662366732351</v>
      </c>
      <c r="D2227" s="3">
        <f t="shared" si="141"/>
        <v>0.10416988430370111</v>
      </c>
      <c r="E2227" s="8">
        <f t="shared" si="142"/>
        <v>317.28571428571428</v>
      </c>
    </row>
    <row r="2228" spans="1:5" ht="18.75" x14ac:dyDescent="0.3">
      <c r="A2228" s="3">
        <v>2222</v>
      </c>
      <c r="B2228" s="9">
        <f t="shared" si="140"/>
        <v>0.99879735853922724</v>
      </c>
      <c r="C2228" s="3">
        <f t="shared" si="139"/>
        <v>62481.76635813844</v>
      </c>
      <c r="D2228" s="3">
        <f t="shared" si="141"/>
        <v>0.10399140608933521</v>
      </c>
      <c r="E2228" s="8">
        <f t="shared" si="142"/>
        <v>317.42857142857144</v>
      </c>
    </row>
    <row r="2229" spans="1:5" ht="18.75" x14ac:dyDescent="0.3">
      <c r="A2229" s="3">
        <v>2223</v>
      </c>
      <c r="B2229" s="9">
        <f t="shared" si="140"/>
        <v>0.9987990180384958</v>
      </c>
      <c r="C2229" s="3">
        <f t="shared" si="139"/>
        <v>62481.870171434181</v>
      </c>
      <c r="D2229" s="3">
        <f t="shared" si="141"/>
        <v>0.10381329574011033</v>
      </c>
      <c r="E2229" s="8">
        <f t="shared" si="142"/>
        <v>317.57142857142856</v>
      </c>
    </row>
    <row r="2230" spans="1:5" ht="18.75" x14ac:dyDescent="0.3">
      <c r="A2230" s="3">
        <v>2224</v>
      </c>
      <c r="B2230" s="9">
        <f t="shared" si="140"/>
        <v>0.9988006746964625</v>
      </c>
      <c r="C2230" s="3">
        <f t="shared" si="139"/>
        <v>62481.973806986607</v>
      </c>
      <c r="D2230" s="3">
        <f t="shared" si="141"/>
        <v>0.1036355524265673</v>
      </c>
      <c r="E2230" s="8">
        <f t="shared" si="142"/>
        <v>317.71428571428572</v>
      </c>
    </row>
    <row r="2231" spans="1:5" ht="18.75" x14ac:dyDescent="0.3">
      <c r="A2231" s="3">
        <v>2225</v>
      </c>
      <c r="B2231" s="9">
        <f t="shared" si="140"/>
        <v>0.99880232851897965</v>
      </c>
      <c r="C2231" s="3">
        <f t="shared" si="139"/>
        <v>62482.07726516181</v>
      </c>
      <c r="D2231" s="3">
        <f t="shared" si="141"/>
        <v>0.10345817520283163</v>
      </c>
      <c r="E2231" s="8">
        <f t="shared" si="142"/>
        <v>317.85714285714283</v>
      </c>
    </row>
    <row r="2232" spans="1:5" ht="18.75" x14ac:dyDescent="0.3">
      <c r="A2232" s="3">
        <v>2226</v>
      </c>
      <c r="B2232" s="9">
        <f t="shared" si="140"/>
        <v>0.99880397951188582</v>
      </c>
      <c r="C2232" s="3">
        <f t="shared" si="139"/>
        <v>62482.180546325042</v>
      </c>
      <c r="D2232" s="3">
        <f t="shared" si="141"/>
        <v>0.10328116323216818</v>
      </c>
      <c r="E2232" s="8">
        <f t="shared" si="142"/>
        <v>318</v>
      </c>
    </row>
    <row r="2233" spans="1:5" ht="18.75" x14ac:dyDescent="0.3">
      <c r="A2233" s="3">
        <v>2227</v>
      </c>
      <c r="B2233" s="9">
        <f t="shared" si="140"/>
        <v>0.998805627681005</v>
      </c>
      <c r="C2233" s="3">
        <f t="shared" si="139"/>
        <v>62482.283650840633</v>
      </c>
      <c r="D2233" s="3">
        <f t="shared" si="141"/>
        <v>0.10310451559053035</v>
      </c>
      <c r="E2233" s="8">
        <f t="shared" si="142"/>
        <v>318.14285714285717</v>
      </c>
    </row>
    <row r="2234" spans="1:5" ht="18.75" x14ac:dyDescent="0.3">
      <c r="A2234" s="3">
        <v>2228</v>
      </c>
      <c r="B2234" s="9">
        <f t="shared" si="140"/>
        <v>0.99880727303214756</v>
      </c>
      <c r="C2234" s="3">
        <f t="shared" si="139"/>
        <v>62482.386579072052</v>
      </c>
      <c r="D2234" s="3">
        <f t="shared" si="141"/>
        <v>0.10292823141935514</v>
      </c>
      <c r="E2234" s="8">
        <f t="shared" si="142"/>
        <v>318.28571428571428</v>
      </c>
    </row>
    <row r="2235" spans="1:5" ht="18.75" x14ac:dyDescent="0.3">
      <c r="A2235" s="3">
        <v>2229</v>
      </c>
      <c r="B2235" s="9">
        <f t="shared" si="140"/>
        <v>0.99880891557110962</v>
      </c>
      <c r="C2235" s="3">
        <f t="shared" si="139"/>
        <v>62482.489331381905</v>
      </c>
      <c r="D2235" s="3">
        <f t="shared" si="141"/>
        <v>0.10275230985280359</v>
      </c>
      <c r="E2235" s="8">
        <f t="shared" si="142"/>
        <v>318.42857142857144</v>
      </c>
    </row>
    <row r="2236" spans="1:5" ht="18.75" x14ac:dyDescent="0.3">
      <c r="A2236" s="3">
        <v>2230</v>
      </c>
      <c r="B2236" s="9">
        <f t="shared" si="140"/>
        <v>0.99881055530367324</v>
      </c>
      <c r="C2236" s="3">
        <f t="shared" si="139"/>
        <v>62482.591908131886</v>
      </c>
      <c r="D2236" s="3">
        <f t="shared" si="141"/>
        <v>0.102576749981381</v>
      </c>
      <c r="E2236" s="8">
        <f t="shared" si="142"/>
        <v>318.57142857142856</v>
      </c>
    </row>
    <row r="2237" spans="1:5" ht="18.75" x14ac:dyDescent="0.3">
      <c r="A2237" s="3">
        <v>2231</v>
      </c>
      <c r="B2237" s="9">
        <f t="shared" si="140"/>
        <v>0.99881219223560658</v>
      </c>
      <c r="C2237" s="3">
        <f t="shared" si="139"/>
        <v>62482.69430968284</v>
      </c>
      <c r="D2237" s="3">
        <f t="shared" si="141"/>
        <v>0.10240155095380032</v>
      </c>
      <c r="E2237" s="8">
        <f t="shared" si="142"/>
        <v>318.71428571428572</v>
      </c>
    </row>
    <row r="2238" spans="1:5" ht="18.75" x14ac:dyDescent="0.3">
      <c r="A2238" s="3">
        <v>2232</v>
      </c>
      <c r="B2238" s="9">
        <f t="shared" si="140"/>
        <v>0.99881382637266392</v>
      </c>
      <c r="C2238" s="3">
        <f t="shared" si="139"/>
        <v>62482.796536394737</v>
      </c>
      <c r="D2238" s="3">
        <f t="shared" si="141"/>
        <v>0.10222671189694665</v>
      </c>
      <c r="E2238" s="8">
        <f t="shared" si="142"/>
        <v>318.85714285714283</v>
      </c>
    </row>
    <row r="2239" spans="1:5" ht="18.75" x14ac:dyDescent="0.3">
      <c r="A2239" s="3">
        <v>2233</v>
      </c>
      <c r="B2239" s="9">
        <f t="shared" si="140"/>
        <v>0.99881545772058555</v>
      </c>
      <c r="C2239" s="3">
        <f t="shared" si="139"/>
        <v>62482.898588626667</v>
      </c>
      <c r="D2239" s="3">
        <f t="shared" si="141"/>
        <v>0.10205223193042912</v>
      </c>
      <c r="E2239" s="8">
        <f t="shared" si="142"/>
        <v>319</v>
      </c>
    </row>
    <row r="2240" spans="1:5" ht="18.75" x14ac:dyDescent="0.3">
      <c r="A2240" s="3">
        <v>2234</v>
      </c>
      <c r="B2240" s="9">
        <f t="shared" si="140"/>
        <v>0.99881708628509791</v>
      </c>
      <c r="C2240" s="3">
        <f t="shared" si="139"/>
        <v>62483.00046673687</v>
      </c>
      <c r="D2240" s="3">
        <f t="shared" si="141"/>
        <v>0.10187811020296067</v>
      </c>
      <c r="E2240" s="8">
        <f t="shared" si="142"/>
        <v>319.14285714285717</v>
      </c>
    </row>
    <row r="2241" spans="1:5" ht="18.75" x14ac:dyDescent="0.3">
      <c r="A2241" s="3">
        <v>2235</v>
      </c>
      <c r="B2241" s="9">
        <f t="shared" si="140"/>
        <v>0.99881871207191397</v>
      </c>
      <c r="C2241" s="3">
        <f t="shared" si="139"/>
        <v>62483.102171082719</v>
      </c>
      <c r="D2241" s="3">
        <f t="shared" si="141"/>
        <v>0.10170434584870236</v>
      </c>
      <c r="E2241" s="8">
        <f t="shared" si="142"/>
        <v>319.28571428571428</v>
      </c>
    </row>
    <row r="2242" spans="1:5" ht="18.75" x14ac:dyDescent="0.3">
      <c r="A2242" s="3">
        <v>2236</v>
      </c>
      <c r="B2242" s="9">
        <f t="shared" si="140"/>
        <v>0.99882033508673229</v>
      </c>
      <c r="C2242" s="3">
        <f t="shared" si="139"/>
        <v>62483.203702020714</v>
      </c>
      <c r="D2242" s="3">
        <f t="shared" si="141"/>
        <v>0.10153093799453927</v>
      </c>
      <c r="E2242" s="8">
        <f t="shared" si="142"/>
        <v>319.42857142857144</v>
      </c>
    </row>
    <row r="2243" spans="1:5" ht="18.75" x14ac:dyDescent="0.3">
      <c r="A2243" s="3">
        <v>2237</v>
      </c>
      <c r="B2243" s="9">
        <f t="shared" si="140"/>
        <v>0.99882195533523843</v>
      </c>
      <c r="C2243" s="3">
        <f t="shared" si="139"/>
        <v>62483.30505990651</v>
      </c>
      <c r="D2243" s="3">
        <f t="shared" si="141"/>
        <v>0.10135788579646032</v>
      </c>
      <c r="E2243" s="8">
        <f t="shared" si="142"/>
        <v>319.57142857142856</v>
      </c>
    </row>
    <row r="2244" spans="1:5" ht="18.75" x14ac:dyDescent="0.3">
      <c r="A2244" s="3">
        <v>2238</v>
      </c>
      <c r="B2244" s="9">
        <f t="shared" si="140"/>
        <v>0.99882357282310363</v>
      </c>
      <c r="C2244" s="3">
        <f t="shared" si="139"/>
        <v>62483.406245094891</v>
      </c>
      <c r="D2244" s="3">
        <f t="shared" si="141"/>
        <v>0.1011851883813506</v>
      </c>
      <c r="E2244" s="8">
        <f t="shared" si="142"/>
        <v>319.71428571428572</v>
      </c>
    </row>
    <row r="2245" spans="1:5" ht="18.75" x14ac:dyDescent="0.3">
      <c r="A2245" s="3">
        <v>2239</v>
      </c>
      <c r="B2245" s="9">
        <f t="shared" si="140"/>
        <v>0.99882518755598582</v>
      </c>
      <c r="C2245" s="3">
        <f t="shared" si="139"/>
        <v>62483.507257939804</v>
      </c>
      <c r="D2245" s="3">
        <f t="shared" si="141"/>
        <v>0.10101284491247497</v>
      </c>
      <c r="E2245" s="8">
        <f t="shared" si="142"/>
        <v>319.85714285714283</v>
      </c>
    </row>
    <row r="2246" spans="1:5" ht="18.75" x14ac:dyDescent="0.3">
      <c r="A2246" s="3">
        <v>2240</v>
      </c>
      <c r="B2246" s="9">
        <f t="shared" si="140"/>
        <v>0.99882679953952913</v>
      </c>
      <c r="C2246" s="3">
        <f t="shared" si="139"/>
        <v>62483.608098794321</v>
      </c>
      <c r="D2246" s="3">
        <f t="shared" si="141"/>
        <v>0.10084085451671854</v>
      </c>
      <c r="E2246" s="8">
        <f t="shared" si="142"/>
        <v>320</v>
      </c>
    </row>
    <row r="2247" spans="1:5" ht="18.75" x14ac:dyDescent="0.3">
      <c r="A2247" s="3">
        <v>2241</v>
      </c>
      <c r="B2247" s="9">
        <f t="shared" si="140"/>
        <v>0.99882840877936441</v>
      </c>
      <c r="C2247" s="3">
        <f t="shared" si="139"/>
        <v>62483.7087680107</v>
      </c>
      <c r="D2247" s="3">
        <f t="shared" si="141"/>
        <v>0.10066921637917403</v>
      </c>
      <c r="E2247" s="8">
        <f t="shared" si="142"/>
        <v>320.14285714285717</v>
      </c>
    </row>
    <row r="2248" spans="1:5" ht="18.75" x14ac:dyDescent="0.3">
      <c r="A2248" s="3">
        <v>2242</v>
      </c>
      <c r="B2248" s="9">
        <f t="shared" si="140"/>
        <v>0.99883001528110871</v>
      </c>
      <c r="C2248" s="3">
        <f t="shared" ref="C2248:C2311" si="143">$E$3*B2248</f>
        <v>62483.809265940319</v>
      </c>
      <c r="D2248" s="3">
        <f t="shared" si="141"/>
        <v>0.10049792961945059</v>
      </c>
      <c r="E2248" s="8">
        <f t="shared" si="142"/>
        <v>320.28571428571428</v>
      </c>
    </row>
    <row r="2249" spans="1:5" ht="18.75" x14ac:dyDescent="0.3">
      <c r="A2249" s="3">
        <v>2243</v>
      </c>
      <c r="B2249" s="9">
        <f t="shared" si="140"/>
        <v>0.99883161905036544</v>
      </c>
      <c r="C2249" s="3">
        <f t="shared" si="143"/>
        <v>62483.909592933713</v>
      </c>
      <c r="D2249" s="3">
        <f t="shared" si="141"/>
        <v>0.10032699339353712</v>
      </c>
      <c r="E2249" s="8">
        <f t="shared" si="142"/>
        <v>320.42857142857144</v>
      </c>
    </row>
    <row r="2250" spans="1:5" ht="18.75" x14ac:dyDescent="0.3">
      <c r="A2250" s="3">
        <v>2244</v>
      </c>
      <c r="B2250" s="9">
        <f t="shared" si="140"/>
        <v>0.99883322009272502</v>
      </c>
      <c r="C2250" s="3">
        <f t="shared" si="143"/>
        <v>62484.009749340599</v>
      </c>
      <c r="D2250" s="3">
        <f t="shared" si="141"/>
        <v>0.10015640688652638</v>
      </c>
      <c r="E2250" s="8">
        <f t="shared" si="142"/>
        <v>320.57142857142856</v>
      </c>
    </row>
    <row r="2251" spans="1:5" ht="18.75" x14ac:dyDescent="0.3">
      <c r="A2251" s="3">
        <v>2245</v>
      </c>
      <c r="B2251" s="9">
        <f t="shared" si="140"/>
        <v>0.99883481841376387</v>
      </c>
      <c r="C2251" s="3">
        <f t="shared" si="143"/>
        <v>62484.109735509825</v>
      </c>
      <c r="D2251" s="3">
        <f t="shared" si="141"/>
        <v>9.9986169225303456E-2</v>
      </c>
      <c r="E2251" s="8">
        <f t="shared" si="142"/>
        <v>320.71428571428572</v>
      </c>
    </row>
    <row r="2252" spans="1:5" ht="18.75" x14ac:dyDescent="0.3">
      <c r="A2252" s="3">
        <v>2246</v>
      </c>
      <c r="B2252" s="9">
        <f t="shared" si="140"/>
        <v>0.99883641401904555</v>
      </c>
      <c r="C2252" s="3">
        <f t="shared" si="143"/>
        <v>62484.209551789434</v>
      </c>
      <c r="D2252" s="3">
        <f t="shared" si="141"/>
        <v>9.9816279609513003E-2</v>
      </c>
      <c r="E2252" s="8">
        <f t="shared" si="142"/>
        <v>320.85714285714283</v>
      </c>
    </row>
    <row r="2253" spans="1:5" ht="18.75" x14ac:dyDescent="0.3">
      <c r="A2253" s="3">
        <v>2247</v>
      </c>
      <c r="B2253" s="9">
        <f t="shared" si="140"/>
        <v>0.99883800691411984</v>
      </c>
      <c r="C2253" s="3">
        <f t="shared" si="143"/>
        <v>62484.309198526593</v>
      </c>
      <c r="D2253" s="3">
        <f t="shared" si="141"/>
        <v>9.9646737158764154E-2</v>
      </c>
      <c r="E2253" s="8">
        <f t="shared" si="142"/>
        <v>321</v>
      </c>
    </row>
    <row r="2254" spans="1:5" ht="18.75" x14ac:dyDescent="0.3">
      <c r="A2254" s="3">
        <v>2248</v>
      </c>
      <c r="B2254" s="9">
        <f t="shared" si="140"/>
        <v>0.99883959710452352</v>
      </c>
      <c r="C2254" s="3">
        <f t="shared" si="143"/>
        <v>62484.40867606768</v>
      </c>
      <c r="D2254" s="3">
        <f t="shared" si="141"/>
        <v>9.9477541087253485E-2</v>
      </c>
      <c r="E2254" s="8">
        <f t="shared" si="142"/>
        <v>321.14285714285717</v>
      </c>
    </row>
    <row r="2255" spans="1:5" ht="18.75" x14ac:dyDescent="0.3">
      <c r="A2255" s="3">
        <v>2249</v>
      </c>
      <c r="B2255" s="9">
        <f t="shared" si="140"/>
        <v>0.99884118459577986</v>
      </c>
      <c r="C2255" s="3">
        <f t="shared" si="143"/>
        <v>62484.507984758202</v>
      </c>
      <c r="D2255" s="3">
        <f t="shared" si="141"/>
        <v>9.9308690521866083E-2</v>
      </c>
      <c r="E2255" s="8">
        <f t="shared" si="142"/>
        <v>321.28571428571428</v>
      </c>
    </row>
    <row r="2256" spans="1:5" ht="18.75" x14ac:dyDescent="0.3">
      <c r="A2256" s="3">
        <v>2250</v>
      </c>
      <c r="B2256" s="9">
        <f t="shared" si="140"/>
        <v>0.99884276939339889</v>
      </c>
      <c r="C2256" s="3">
        <f t="shared" si="143"/>
        <v>62484.607124942857</v>
      </c>
      <c r="D2256" s="3">
        <f t="shared" si="141"/>
        <v>9.9140184654970653E-2</v>
      </c>
      <c r="E2256" s="8">
        <f t="shared" si="142"/>
        <v>321.42857142857144</v>
      </c>
    </row>
    <row r="2257" spans="1:5" ht="18.75" x14ac:dyDescent="0.3">
      <c r="A2257" s="3">
        <v>2251</v>
      </c>
      <c r="B2257" s="9">
        <f t="shared" si="140"/>
        <v>0.99884435150287765</v>
      </c>
      <c r="C2257" s="3">
        <f t="shared" si="143"/>
        <v>62484.706096965514</v>
      </c>
      <c r="D2257" s="3">
        <f t="shared" si="141"/>
        <v>9.8972022657108027E-2</v>
      </c>
      <c r="E2257" s="8">
        <f t="shared" si="142"/>
        <v>321.57142857142856</v>
      </c>
    </row>
    <row r="2258" spans="1:5" ht="18.75" x14ac:dyDescent="0.3">
      <c r="A2258" s="3">
        <v>2252</v>
      </c>
      <c r="B2258" s="9">
        <f t="shared" si="140"/>
        <v>0.99884593092969987</v>
      </c>
      <c r="C2258" s="3">
        <f t="shared" si="143"/>
        <v>62484.804901169235</v>
      </c>
      <c r="D2258" s="3">
        <f t="shared" si="141"/>
        <v>9.880420372064691E-2</v>
      </c>
      <c r="E2258" s="8">
        <f t="shared" si="142"/>
        <v>321.71428571428572</v>
      </c>
    </row>
    <row r="2259" spans="1:5" ht="18.75" x14ac:dyDescent="0.3">
      <c r="A2259" s="3">
        <v>2253</v>
      </c>
      <c r="B2259" s="9">
        <f t="shared" si="140"/>
        <v>0.99884750767933606</v>
      </c>
      <c r="C2259" s="3">
        <f t="shared" si="143"/>
        <v>62484.903537896229</v>
      </c>
      <c r="D2259" s="3">
        <f t="shared" si="141"/>
        <v>9.8636726994300261E-2</v>
      </c>
      <c r="E2259" s="8">
        <f t="shared" si="142"/>
        <v>321.85714285714283</v>
      </c>
    </row>
    <row r="2260" spans="1:5" ht="18.75" x14ac:dyDescent="0.3">
      <c r="A2260" s="3">
        <v>2254</v>
      </c>
      <c r="B2260" s="9">
        <f t="shared" si="140"/>
        <v>0.99884908175724374</v>
      </c>
      <c r="C2260" s="3">
        <f t="shared" si="143"/>
        <v>62485.002007487899</v>
      </c>
      <c r="D2260" s="3">
        <f t="shared" si="141"/>
        <v>9.8469591670436785E-2</v>
      </c>
      <c r="E2260" s="8">
        <f t="shared" si="142"/>
        <v>322</v>
      </c>
    </row>
    <row r="2261" spans="1:5" ht="18.75" x14ac:dyDescent="0.3">
      <c r="A2261" s="3">
        <v>2255</v>
      </c>
      <c r="B2261" s="9">
        <f t="shared" si="140"/>
        <v>0.99885065316886734</v>
      </c>
      <c r="C2261" s="3">
        <f t="shared" si="143"/>
        <v>62485.100310284834</v>
      </c>
      <c r="D2261" s="3">
        <f t="shared" si="141"/>
        <v>9.8302796934149228E-2</v>
      </c>
      <c r="E2261" s="8">
        <f t="shared" si="142"/>
        <v>322.14285714285717</v>
      </c>
    </row>
    <row r="2262" spans="1:5" ht="18.75" x14ac:dyDescent="0.3">
      <c r="A2262" s="3">
        <v>2256</v>
      </c>
      <c r="B2262" s="9">
        <f t="shared" si="140"/>
        <v>0.99885222191963829</v>
      </c>
      <c r="C2262" s="3">
        <f t="shared" si="143"/>
        <v>62485.198446626811</v>
      </c>
      <c r="D2262" s="3">
        <f t="shared" si="141"/>
        <v>9.8136341977806296E-2</v>
      </c>
      <c r="E2262" s="8">
        <f t="shared" si="142"/>
        <v>322.28571428571428</v>
      </c>
    </row>
    <row r="2263" spans="1:5" ht="18.75" x14ac:dyDescent="0.3">
      <c r="A2263" s="3">
        <v>2257</v>
      </c>
      <c r="B2263" s="9">
        <f t="shared" ref="B2263:B2326" si="144">LOGNORMDIST(A2263,$A$3,$B$3)</f>
        <v>0.99885378801497504</v>
      </c>
      <c r="C2263" s="3">
        <f t="shared" si="143"/>
        <v>62485.296416852791</v>
      </c>
      <c r="D2263" s="3">
        <f t="shared" ref="D2263:D2326" si="145">C2263-C2262</f>
        <v>9.7970225979224779E-2</v>
      </c>
      <c r="E2263" s="8">
        <f t="shared" ref="E2263:E2326" si="146">A2263/7</f>
        <v>322.42857142857144</v>
      </c>
    </row>
    <row r="2264" spans="1:5" ht="18.75" x14ac:dyDescent="0.3">
      <c r="A2264" s="3">
        <v>2258</v>
      </c>
      <c r="B2264" s="9">
        <f t="shared" si="144"/>
        <v>0.99885535146028293</v>
      </c>
      <c r="C2264" s="3">
        <f t="shared" si="143"/>
        <v>62485.394221300921</v>
      </c>
      <c r="D2264" s="3">
        <f t="shared" si="145"/>
        <v>9.780444813077338E-2</v>
      </c>
      <c r="E2264" s="8">
        <f t="shared" si="146"/>
        <v>322.57142857142856</v>
      </c>
    </row>
    <row r="2265" spans="1:5" ht="18.75" x14ac:dyDescent="0.3">
      <c r="A2265" s="3">
        <v>2259</v>
      </c>
      <c r="B2265" s="9">
        <f t="shared" si="144"/>
        <v>0.99885691226095463</v>
      </c>
      <c r="C2265" s="3">
        <f t="shared" si="143"/>
        <v>62485.491860308539</v>
      </c>
      <c r="D2265" s="3">
        <f t="shared" si="145"/>
        <v>9.7639007617544848E-2</v>
      </c>
      <c r="E2265" s="8">
        <f t="shared" si="146"/>
        <v>322.71428571428572</v>
      </c>
    </row>
    <row r="2266" spans="1:5" ht="18.75" x14ac:dyDescent="0.3">
      <c r="A2266" s="3">
        <v>2260</v>
      </c>
      <c r="B2266" s="9">
        <f t="shared" si="144"/>
        <v>0.99885847042236964</v>
      </c>
      <c r="C2266" s="3">
        <f t="shared" si="143"/>
        <v>62485.589334212178</v>
      </c>
      <c r="D2266" s="3">
        <f t="shared" si="145"/>
        <v>9.7473903639183845E-2</v>
      </c>
      <c r="E2266" s="8">
        <f t="shared" si="146"/>
        <v>322.85714285714283</v>
      </c>
    </row>
    <row r="2267" spans="1:5" ht="18.75" x14ac:dyDescent="0.3">
      <c r="A2267" s="3">
        <v>2261</v>
      </c>
      <c r="B2267" s="9">
        <f t="shared" si="144"/>
        <v>0.99886002594989487</v>
      </c>
      <c r="C2267" s="3">
        <f t="shared" si="143"/>
        <v>62485.686643347573</v>
      </c>
      <c r="D2267" s="3">
        <f t="shared" si="145"/>
        <v>9.7309135395335034E-2</v>
      </c>
      <c r="E2267" s="8">
        <f t="shared" si="146"/>
        <v>323</v>
      </c>
    </row>
    <row r="2268" spans="1:5" ht="18.75" x14ac:dyDescent="0.3">
      <c r="A2268" s="3">
        <v>2262</v>
      </c>
      <c r="B2268" s="9">
        <f t="shared" si="144"/>
        <v>0.99886157884888427</v>
      </c>
      <c r="C2268" s="3">
        <f t="shared" si="143"/>
        <v>62485.783788049652</v>
      </c>
      <c r="D2268" s="3">
        <f t="shared" si="145"/>
        <v>9.7144702078367118E-2</v>
      </c>
      <c r="E2268" s="8">
        <f t="shared" si="146"/>
        <v>323.14285714285717</v>
      </c>
    </row>
    <row r="2269" spans="1:5" ht="18.75" x14ac:dyDescent="0.3">
      <c r="A2269" s="3">
        <v>2263</v>
      </c>
      <c r="B2269" s="9">
        <f t="shared" si="144"/>
        <v>0.99886312912467912</v>
      </c>
      <c r="C2269" s="3">
        <f t="shared" si="143"/>
        <v>62485.880768652554</v>
      </c>
      <c r="D2269" s="3">
        <f t="shared" si="145"/>
        <v>9.6980602902476676E-2</v>
      </c>
      <c r="E2269" s="8">
        <f t="shared" si="146"/>
        <v>323.28571428571428</v>
      </c>
    </row>
    <row r="2270" spans="1:5" ht="18.75" x14ac:dyDescent="0.3">
      <c r="A2270" s="3">
        <v>2264</v>
      </c>
      <c r="B2270" s="9">
        <f t="shared" si="144"/>
        <v>0.99886467678260782</v>
      </c>
      <c r="C2270" s="3">
        <f t="shared" si="143"/>
        <v>62485.9775854896</v>
      </c>
      <c r="D2270" s="3">
        <f t="shared" si="145"/>
        <v>9.6816837045480497E-2</v>
      </c>
      <c r="E2270" s="8">
        <f t="shared" si="146"/>
        <v>323.42857142857144</v>
      </c>
    </row>
    <row r="2271" spans="1:5" ht="18.75" x14ac:dyDescent="0.3">
      <c r="A2271" s="3">
        <v>2265</v>
      </c>
      <c r="B2271" s="9">
        <f t="shared" si="144"/>
        <v>0.99886622182798612</v>
      </c>
      <c r="C2271" s="3">
        <f t="shared" si="143"/>
        <v>62486.074238893329</v>
      </c>
      <c r="D2271" s="3">
        <f t="shared" si="145"/>
        <v>9.6653403728851117E-2</v>
      </c>
      <c r="E2271" s="8">
        <f t="shared" si="146"/>
        <v>323.57142857142856</v>
      </c>
    </row>
    <row r="2272" spans="1:5" ht="18.75" x14ac:dyDescent="0.3">
      <c r="A2272" s="3">
        <v>2266</v>
      </c>
      <c r="B2272" s="9">
        <f t="shared" si="144"/>
        <v>0.99886776426611712</v>
      </c>
      <c r="C2272" s="3">
        <f t="shared" si="143"/>
        <v>62486.170729195488</v>
      </c>
      <c r="D2272" s="3">
        <f t="shared" si="145"/>
        <v>9.6490302159509156E-2</v>
      </c>
      <c r="E2272" s="8">
        <f t="shared" si="146"/>
        <v>323.71428571428572</v>
      </c>
    </row>
    <row r="2273" spans="1:5" ht="18.75" x14ac:dyDescent="0.3">
      <c r="A2273" s="3">
        <v>2267</v>
      </c>
      <c r="B2273" s="9">
        <f t="shared" si="144"/>
        <v>0.99886930410229136</v>
      </c>
      <c r="C2273" s="3">
        <f t="shared" si="143"/>
        <v>62486.26705672704</v>
      </c>
      <c r="D2273" s="3">
        <f t="shared" si="145"/>
        <v>9.6327531551651191E-2</v>
      </c>
      <c r="E2273" s="8">
        <f t="shared" si="146"/>
        <v>323.85714285714283</v>
      </c>
    </row>
    <row r="2274" spans="1:5" ht="18.75" x14ac:dyDescent="0.3">
      <c r="A2274" s="3">
        <v>2268</v>
      </c>
      <c r="B2274" s="9">
        <f t="shared" si="144"/>
        <v>0.9988708413417865</v>
      </c>
      <c r="C2274" s="3">
        <f t="shared" si="143"/>
        <v>62486.363221818137</v>
      </c>
      <c r="D2274" s="3">
        <f t="shared" si="145"/>
        <v>9.6165091097645927E-2</v>
      </c>
      <c r="E2274" s="8">
        <f t="shared" si="146"/>
        <v>324</v>
      </c>
    </row>
    <row r="2275" spans="1:5" ht="18.75" x14ac:dyDescent="0.3">
      <c r="A2275" s="3">
        <v>2269</v>
      </c>
      <c r="B2275" s="9">
        <f t="shared" si="144"/>
        <v>0.998872375989868</v>
      </c>
      <c r="C2275" s="3">
        <f t="shared" si="143"/>
        <v>62486.459224798171</v>
      </c>
      <c r="D2275" s="3">
        <f t="shared" si="145"/>
        <v>9.6002980033517815E-2</v>
      </c>
      <c r="E2275" s="8">
        <f t="shared" si="146"/>
        <v>324.14285714285717</v>
      </c>
    </row>
    <row r="2276" spans="1:5" ht="18.75" x14ac:dyDescent="0.3">
      <c r="A2276" s="3">
        <v>2270</v>
      </c>
      <c r="B2276" s="9">
        <f t="shared" si="144"/>
        <v>0.99887390805178855</v>
      </c>
      <c r="C2276" s="3">
        <f t="shared" si="143"/>
        <v>62486.555065995737</v>
      </c>
      <c r="D2276" s="3">
        <f t="shared" si="145"/>
        <v>9.5841197566187475E-2</v>
      </c>
      <c r="E2276" s="8">
        <f t="shared" si="146"/>
        <v>324.28571428571428</v>
      </c>
    </row>
    <row r="2277" spans="1:5" ht="18.75" x14ac:dyDescent="0.3">
      <c r="A2277" s="3">
        <v>2271</v>
      </c>
      <c r="B2277" s="9">
        <f t="shared" si="144"/>
        <v>0.99887543753278829</v>
      </c>
      <c r="C2277" s="3">
        <f t="shared" si="143"/>
        <v>62486.65074573864</v>
      </c>
      <c r="D2277" s="3">
        <f t="shared" si="145"/>
        <v>9.5679742902575526E-2</v>
      </c>
      <c r="E2277" s="8">
        <f t="shared" si="146"/>
        <v>324.42857142857144</v>
      </c>
    </row>
    <row r="2278" spans="1:5" ht="18.75" x14ac:dyDescent="0.3">
      <c r="A2278" s="3">
        <v>2272</v>
      </c>
      <c r="B2278" s="9">
        <f t="shared" si="144"/>
        <v>0.99887696443809515</v>
      </c>
      <c r="C2278" s="3">
        <f t="shared" si="143"/>
        <v>62486.746264353918</v>
      </c>
      <c r="D2278" s="3">
        <f t="shared" si="145"/>
        <v>9.551861527870642E-2</v>
      </c>
      <c r="E2278" s="8">
        <f t="shared" si="146"/>
        <v>324.57142857142856</v>
      </c>
    </row>
    <row r="2279" spans="1:5" ht="18.75" x14ac:dyDescent="0.3">
      <c r="A2279" s="3">
        <v>2273</v>
      </c>
      <c r="B2279" s="9">
        <f t="shared" si="144"/>
        <v>0.99887848877292429</v>
      </c>
      <c r="C2279" s="3">
        <f t="shared" si="143"/>
        <v>62486.841622167827</v>
      </c>
      <c r="D2279" s="3">
        <f t="shared" si="145"/>
        <v>9.5357813908776734E-2</v>
      </c>
      <c r="E2279" s="8">
        <f t="shared" si="146"/>
        <v>324.71428571428572</v>
      </c>
    </row>
    <row r="2280" spans="1:5" ht="18.75" x14ac:dyDescent="0.3">
      <c r="A2280" s="3">
        <v>2274</v>
      </c>
      <c r="B2280" s="9">
        <f t="shared" si="144"/>
        <v>0.99888001054247888</v>
      </c>
      <c r="C2280" s="3">
        <f t="shared" si="143"/>
        <v>62486.936819505849</v>
      </c>
      <c r="D2280" s="3">
        <f t="shared" si="145"/>
        <v>9.5197338021534961E-2</v>
      </c>
      <c r="E2280" s="8">
        <f t="shared" si="146"/>
        <v>324.85714285714283</v>
      </c>
    </row>
    <row r="2281" spans="1:5" ht="18.75" x14ac:dyDescent="0.3">
      <c r="A2281" s="3">
        <v>2275</v>
      </c>
      <c r="B2281" s="9">
        <f t="shared" si="144"/>
        <v>0.99888152975194933</v>
      </c>
      <c r="C2281" s="3">
        <f t="shared" si="143"/>
        <v>62487.031856692694</v>
      </c>
      <c r="D2281" s="3">
        <f t="shared" si="145"/>
        <v>9.5037186845729593E-2</v>
      </c>
      <c r="E2281" s="8">
        <f t="shared" si="146"/>
        <v>325</v>
      </c>
    </row>
    <row r="2282" spans="1:5" ht="18.75" x14ac:dyDescent="0.3">
      <c r="A2282" s="3">
        <v>2276</v>
      </c>
      <c r="B2282" s="9">
        <f t="shared" si="144"/>
        <v>0.99888304640651393</v>
      </c>
      <c r="C2282" s="3">
        <f t="shared" si="143"/>
        <v>62487.12673405229</v>
      </c>
      <c r="D2282" s="3">
        <f t="shared" si="145"/>
        <v>9.4877359595557209E-2</v>
      </c>
      <c r="E2282" s="8">
        <f t="shared" si="146"/>
        <v>325.14285714285717</v>
      </c>
    </row>
    <row r="2283" spans="1:5" ht="18.75" x14ac:dyDescent="0.3">
      <c r="A2283" s="3">
        <v>2277</v>
      </c>
      <c r="B2283" s="9">
        <f t="shared" si="144"/>
        <v>0.99888456051133867</v>
      </c>
      <c r="C2283" s="3">
        <f t="shared" si="143"/>
        <v>62487.221451907812</v>
      </c>
      <c r="D2283" s="3">
        <f t="shared" si="145"/>
        <v>9.4717855521594174E-2</v>
      </c>
      <c r="E2283" s="8">
        <f t="shared" si="146"/>
        <v>325.28571428571428</v>
      </c>
    </row>
    <row r="2284" spans="1:5" ht="18.75" x14ac:dyDescent="0.3">
      <c r="A2284" s="3">
        <v>2278</v>
      </c>
      <c r="B2284" s="9">
        <f t="shared" si="144"/>
        <v>0.9988860720715772</v>
      </c>
      <c r="C2284" s="3">
        <f t="shared" si="143"/>
        <v>62487.316010581657</v>
      </c>
      <c r="D2284" s="3">
        <f t="shared" si="145"/>
        <v>9.4558673845313024E-2</v>
      </c>
      <c r="E2284" s="8">
        <f t="shared" si="146"/>
        <v>325.42857142857144</v>
      </c>
    </row>
    <row r="2285" spans="1:5" ht="18.75" x14ac:dyDescent="0.3">
      <c r="A2285" s="3">
        <v>2279</v>
      </c>
      <c r="B2285" s="9">
        <f t="shared" si="144"/>
        <v>0.99888758109237097</v>
      </c>
      <c r="C2285" s="3">
        <f t="shared" si="143"/>
        <v>62487.410410395452</v>
      </c>
      <c r="D2285" s="3">
        <f t="shared" si="145"/>
        <v>9.4399813795462251E-2</v>
      </c>
      <c r="E2285" s="8">
        <f t="shared" si="146"/>
        <v>325.57142857142856</v>
      </c>
    </row>
    <row r="2286" spans="1:5" ht="18.75" x14ac:dyDescent="0.3">
      <c r="A2286" s="3">
        <v>2280</v>
      </c>
      <c r="B2286" s="9">
        <f t="shared" si="144"/>
        <v>0.99888908757884942</v>
      </c>
      <c r="C2286" s="3">
        <f t="shared" si="143"/>
        <v>62487.504651670082</v>
      </c>
      <c r="D2286" s="3">
        <f t="shared" si="145"/>
        <v>9.4241274629894178E-2</v>
      </c>
      <c r="E2286" s="8">
        <f t="shared" si="146"/>
        <v>325.71428571428572</v>
      </c>
    </row>
    <row r="2287" spans="1:5" ht="18.75" x14ac:dyDescent="0.3">
      <c r="A2287" s="3">
        <v>2281</v>
      </c>
      <c r="B2287" s="9">
        <f t="shared" si="144"/>
        <v>0.99889059153612936</v>
      </c>
      <c r="C2287" s="3">
        <f t="shared" si="143"/>
        <v>62487.598734725645</v>
      </c>
      <c r="D2287" s="3">
        <f t="shared" si="145"/>
        <v>9.4083055562805384E-2</v>
      </c>
      <c r="E2287" s="8">
        <f t="shared" si="146"/>
        <v>325.85714285714283</v>
      </c>
    </row>
    <row r="2288" spans="1:5" ht="18.75" x14ac:dyDescent="0.3">
      <c r="A2288" s="3">
        <v>2282</v>
      </c>
      <c r="B2288" s="9">
        <f t="shared" si="144"/>
        <v>0.99889209296931603</v>
      </c>
      <c r="C2288" s="3">
        <f t="shared" si="143"/>
        <v>62487.692659881504</v>
      </c>
      <c r="D2288" s="3">
        <f t="shared" si="145"/>
        <v>9.392515585932415E-2</v>
      </c>
      <c r="E2288" s="8">
        <f t="shared" si="146"/>
        <v>326</v>
      </c>
    </row>
    <row r="2289" spans="1:5" ht="18.75" x14ac:dyDescent="0.3">
      <c r="A2289" s="3">
        <v>2283</v>
      </c>
      <c r="B2289" s="9">
        <f t="shared" si="144"/>
        <v>0.99889359188350224</v>
      </c>
      <c r="C2289" s="3">
        <f t="shared" si="143"/>
        <v>62487.786427456253</v>
      </c>
      <c r="D2289" s="3">
        <f t="shared" si="145"/>
        <v>9.3767574748198967E-2</v>
      </c>
      <c r="E2289" s="8">
        <f t="shared" si="146"/>
        <v>326.14285714285717</v>
      </c>
    </row>
    <row r="2290" spans="1:5" ht="18.75" x14ac:dyDescent="0.3">
      <c r="A2290" s="3">
        <v>2284</v>
      </c>
      <c r="B2290" s="9">
        <f t="shared" si="144"/>
        <v>0.99889508828376872</v>
      </c>
      <c r="C2290" s="3">
        <f t="shared" si="143"/>
        <v>62487.880037767718</v>
      </c>
      <c r="D2290" s="3">
        <f t="shared" si="145"/>
        <v>9.3610311465454288E-2</v>
      </c>
      <c r="E2290" s="8">
        <f t="shared" si="146"/>
        <v>326.28571428571428</v>
      </c>
    </row>
    <row r="2291" spans="1:5" ht="18.75" x14ac:dyDescent="0.3">
      <c r="A2291" s="3">
        <v>2285</v>
      </c>
      <c r="B2291" s="9">
        <f t="shared" si="144"/>
        <v>0.9988965821751844</v>
      </c>
      <c r="C2291" s="3">
        <f t="shared" si="143"/>
        <v>62487.973491133009</v>
      </c>
      <c r="D2291" s="3">
        <f t="shared" si="145"/>
        <v>9.3453365290770307E-2</v>
      </c>
      <c r="E2291" s="8">
        <f t="shared" si="146"/>
        <v>326.42857142857144</v>
      </c>
    </row>
    <row r="2292" spans="1:5" ht="18.75" x14ac:dyDescent="0.3">
      <c r="A2292" s="3">
        <v>2286</v>
      </c>
      <c r="B2292" s="9">
        <f t="shared" si="144"/>
        <v>0.99889807356280591</v>
      </c>
      <c r="C2292" s="3">
        <f t="shared" si="143"/>
        <v>62488.066787868447</v>
      </c>
      <c r="D2292" s="3">
        <f t="shared" si="145"/>
        <v>9.3296735438343603E-2</v>
      </c>
      <c r="E2292" s="8">
        <f t="shared" si="146"/>
        <v>326.57142857142856</v>
      </c>
    </row>
    <row r="2293" spans="1:5" ht="18.75" x14ac:dyDescent="0.3">
      <c r="A2293" s="3">
        <v>2287</v>
      </c>
      <c r="B2293" s="9">
        <f t="shared" si="144"/>
        <v>0.99889956245167821</v>
      </c>
      <c r="C2293" s="3">
        <f t="shared" si="143"/>
        <v>62488.159928289635</v>
      </c>
      <c r="D2293" s="3">
        <f t="shared" si="145"/>
        <v>9.3140421187854372E-2</v>
      </c>
      <c r="E2293" s="8">
        <f t="shared" si="146"/>
        <v>326.71428571428572</v>
      </c>
    </row>
    <row r="2294" spans="1:5" ht="18.75" x14ac:dyDescent="0.3">
      <c r="A2294" s="3">
        <v>2288</v>
      </c>
      <c r="B2294" s="9">
        <f t="shared" si="144"/>
        <v>0.99890104884683406</v>
      </c>
      <c r="C2294" s="3">
        <f t="shared" si="143"/>
        <v>62488.252912711396</v>
      </c>
      <c r="D2294" s="3">
        <f t="shared" si="145"/>
        <v>9.2984421760775149E-2</v>
      </c>
      <c r="E2294" s="8">
        <f t="shared" si="146"/>
        <v>326.85714285714283</v>
      </c>
    </row>
    <row r="2295" spans="1:5" ht="18.75" x14ac:dyDescent="0.3">
      <c r="A2295" s="3">
        <v>2289</v>
      </c>
      <c r="B2295" s="9">
        <f t="shared" si="144"/>
        <v>0.99890253275329466</v>
      </c>
      <c r="C2295" s="3">
        <f t="shared" si="143"/>
        <v>62488.345741447854</v>
      </c>
      <c r="D2295" s="3">
        <f t="shared" si="145"/>
        <v>9.2828736458614003E-2</v>
      </c>
      <c r="E2295" s="8">
        <f t="shared" si="146"/>
        <v>327</v>
      </c>
    </row>
    <row r="2296" spans="1:5" ht="18.75" x14ac:dyDescent="0.3">
      <c r="A2296" s="3">
        <v>2290</v>
      </c>
      <c r="B2296" s="9">
        <f t="shared" si="144"/>
        <v>0.99890401417606889</v>
      </c>
      <c r="C2296" s="3">
        <f t="shared" si="143"/>
        <v>62488.438414812343</v>
      </c>
      <c r="D2296" s="3">
        <f t="shared" si="145"/>
        <v>9.2673364488291554E-2</v>
      </c>
      <c r="E2296" s="8">
        <f t="shared" si="146"/>
        <v>327.14285714285717</v>
      </c>
    </row>
    <row r="2297" spans="1:5" ht="18.75" x14ac:dyDescent="0.3">
      <c r="A2297" s="3">
        <v>2291</v>
      </c>
      <c r="B2297" s="9">
        <f t="shared" si="144"/>
        <v>0.99890549312015431</v>
      </c>
      <c r="C2297" s="3">
        <f t="shared" si="143"/>
        <v>62488.530933117494</v>
      </c>
      <c r="D2297" s="3">
        <f t="shared" si="145"/>
        <v>9.2518305151315872E-2</v>
      </c>
      <c r="E2297" s="8">
        <f t="shared" si="146"/>
        <v>327.28571428571428</v>
      </c>
    </row>
    <row r="2298" spans="1:5" ht="18.75" x14ac:dyDescent="0.3">
      <c r="A2298" s="3">
        <v>2292</v>
      </c>
      <c r="B2298" s="9">
        <f t="shared" si="144"/>
        <v>0.99890696959053615</v>
      </c>
      <c r="C2298" s="3">
        <f t="shared" si="143"/>
        <v>62488.62329667517</v>
      </c>
      <c r="D2298" s="3">
        <f t="shared" si="145"/>
        <v>9.2363557676435448E-2</v>
      </c>
      <c r="E2298" s="8">
        <f t="shared" si="146"/>
        <v>327.42857142857144</v>
      </c>
    </row>
    <row r="2299" spans="1:5" ht="18.75" x14ac:dyDescent="0.3">
      <c r="A2299" s="3">
        <v>2293</v>
      </c>
      <c r="B2299" s="9">
        <f t="shared" si="144"/>
        <v>0.99890844359218833</v>
      </c>
      <c r="C2299" s="3">
        <f t="shared" si="143"/>
        <v>62488.715505796528</v>
      </c>
      <c r="D2299" s="3">
        <f t="shared" si="145"/>
        <v>9.2209121357882395E-2</v>
      </c>
      <c r="E2299" s="8">
        <f t="shared" si="146"/>
        <v>327.57142857142856</v>
      </c>
    </row>
    <row r="2300" spans="1:5" ht="18.75" x14ac:dyDescent="0.3">
      <c r="A2300" s="3">
        <v>2294</v>
      </c>
      <c r="B2300" s="9">
        <f t="shared" si="144"/>
        <v>0.99890991513007266</v>
      </c>
      <c r="C2300" s="3">
        <f t="shared" si="143"/>
        <v>62488.807560791953</v>
      </c>
      <c r="D2300" s="3">
        <f t="shared" si="145"/>
        <v>9.2054995424405206E-2</v>
      </c>
      <c r="E2300" s="8">
        <f t="shared" si="146"/>
        <v>327.71428571428572</v>
      </c>
    </row>
    <row r="2301" spans="1:5" ht="18.75" x14ac:dyDescent="0.3">
      <c r="A2301" s="3">
        <v>2295</v>
      </c>
      <c r="B2301" s="9">
        <f t="shared" si="144"/>
        <v>0.99891138420913961</v>
      </c>
      <c r="C2301" s="3">
        <f t="shared" si="143"/>
        <v>62488.899461971145</v>
      </c>
      <c r="D2301" s="3">
        <f t="shared" si="145"/>
        <v>9.1901179192063864E-2</v>
      </c>
      <c r="E2301" s="8">
        <f t="shared" si="146"/>
        <v>327.85714285714283</v>
      </c>
    </row>
    <row r="2302" spans="1:5" ht="18.75" x14ac:dyDescent="0.3">
      <c r="A2302" s="3">
        <v>2296</v>
      </c>
      <c r="B2302" s="9">
        <f t="shared" si="144"/>
        <v>0.99891285083432768</v>
      </c>
      <c r="C2302" s="3">
        <f t="shared" si="143"/>
        <v>62488.991209643034</v>
      </c>
      <c r="D2302" s="3">
        <f t="shared" si="145"/>
        <v>9.1747671889606863E-2</v>
      </c>
      <c r="E2302" s="8">
        <f t="shared" si="146"/>
        <v>328</v>
      </c>
    </row>
    <row r="2303" spans="1:5" ht="18.75" x14ac:dyDescent="0.3">
      <c r="A2303" s="3">
        <v>2297</v>
      </c>
      <c r="B2303" s="9">
        <f t="shared" si="144"/>
        <v>0.99891431501056382</v>
      </c>
      <c r="C2303" s="3">
        <f t="shared" si="143"/>
        <v>62489.082804115838</v>
      </c>
      <c r="D2303" s="3">
        <f t="shared" si="145"/>
        <v>9.1594472803990357E-2</v>
      </c>
      <c r="E2303" s="8">
        <f t="shared" si="146"/>
        <v>328.14285714285717</v>
      </c>
    </row>
    <row r="2304" spans="1:5" ht="18.75" x14ac:dyDescent="0.3">
      <c r="A2304" s="3">
        <v>2298</v>
      </c>
      <c r="B2304" s="9">
        <f t="shared" si="144"/>
        <v>0.99891577674276333</v>
      </c>
      <c r="C2304" s="3">
        <f t="shared" si="143"/>
        <v>62489.174245697046</v>
      </c>
      <c r="D2304" s="3">
        <f t="shared" si="145"/>
        <v>9.1441581207618583E-2</v>
      </c>
      <c r="E2304" s="8">
        <f t="shared" si="146"/>
        <v>328.28571428571428</v>
      </c>
    </row>
    <row r="2305" spans="1:5" ht="18.75" x14ac:dyDescent="0.3">
      <c r="A2305" s="3">
        <v>2299</v>
      </c>
      <c r="B2305" s="9">
        <f t="shared" si="144"/>
        <v>0.99891723603583016</v>
      </c>
      <c r="C2305" s="3">
        <f t="shared" si="143"/>
        <v>62489.265534693426</v>
      </c>
      <c r="D2305" s="3">
        <f t="shared" si="145"/>
        <v>9.1288996380171739E-2</v>
      </c>
      <c r="E2305" s="8">
        <f t="shared" si="146"/>
        <v>328.42857142857144</v>
      </c>
    </row>
    <row r="2306" spans="1:5" ht="18.75" x14ac:dyDescent="0.3">
      <c r="A2306" s="3">
        <v>2300</v>
      </c>
      <c r="B2306" s="9">
        <f t="shared" si="144"/>
        <v>0.99891869289465629</v>
      </c>
      <c r="C2306" s="3">
        <f t="shared" si="143"/>
        <v>62489.356671411013</v>
      </c>
      <c r="D2306" s="3">
        <f t="shared" si="145"/>
        <v>9.1136717586778104E-2</v>
      </c>
      <c r="E2306" s="8">
        <f t="shared" si="146"/>
        <v>328.57142857142856</v>
      </c>
    </row>
    <row r="2307" spans="1:5" ht="18.75" x14ac:dyDescent="0.3">
      <c r="A2307" s="3">
        <v>2301</v>
      </c>
      <c r="B2307" s="9">
        <f t="shared" si="144"/>
        <v>0.9989201473241226</v>
      </c>
      <c r="C2307" s="3">
        <f t="shared" si="143"/>
        <v>62489.447656155135</v>
      </c>
      <c r="D2307" s="3">
        <f t="shared" si="145"/>
        <v>9.0984744121669792E-2</v>
      </c>
      <c r="E2307" s="8">
        <f t="shared" si="146"/>
        <v>328.71428571428572</v>
      </c>
    </row>
    <row r="2308" spans="1:5" ht="18.75" x14ac:dyDescent="0.3">
      <c r="A2308" s="3">
        <v>2302</v>
      </c>
      <c r="B2308" s="9">
        <f t="shared" si="144"/>
        <v>0.99892159932909819</v>
      </c>
      <c r="C2308" s="3">
        <f t="shared" si="143"/>
        <v>62489.538489230392</v>
      </c>
      <c r="D2308" s="3">
        <f t="shared" si="145"/>
        <v>9.0833075257251039E-2</v>
      </c>
      <c r="E2308" s="8">
        <f t="shared" si="146"/>
        <v>328.85714285714283</v>
      </c>
    </row>
    <row r="2309" spans="1:5" ht="18.75" x14ac:dyDescent="0.3">
      <c r="A2309" s="3">
        <v>2303</v>
      </c>
      <c r="B2309" s="9">
        <f t="shared" si="144"/>
        <v>0.99892304891444095</v>
      </c>
      <c r="C2309" s="3">
        <f t="shared" si="143"/>
        <v>62489.62917094068</v>
      </c>
      <c r="D2309" s="3">
        <f t="shared" si="145"/>
        <v>9.0681710287753958E-2</v>
      </c>
      <c r="E2309" s="8">
        <f t="shared" si="146"/>
        <v>329</v>
      </c>
    </row>
    <row r="2310" spans="1:5" ht="18.75" x14ac:dyDescent="0.3">
      <c r="A2310" s="3">
        <v>2304</v>
      </c>
      <c r="B2310" s="9">
        <f t="shared" si="144"/>
        <v>0.99892449608499712</v>
      </c>
      <c r="C2310" s="3">
        <f t="shared" si="143"/>
        <v>62489.719701589165</v>
      </c>
      <c r="D2310" s="3">
        <f t="shared" si="145"/>
        <v>9.0530648485582788E-2</v>
      </c>
      <c r="E2310" s="8">
        <f t="shared" si="146"/>
        <v>329.14285714285717</v>
      </c>
    </row>
    <row r="2311" spans="1:5" ht="18.75" x14ac:dyDescent="0.3">
      <c r="A2311" s="3">
        <v>2305</v>
      </c>
      <c r="B2311" s="9">
        <f t="shared" si="144"/>
        <v>0.99892594084560171</v>
      </c>
      <c r="C2311" s="3">
        <f t="shared" si="143"/>
        <v>62489.810081478303</v>
      </c>
      <c r="D2311" s="3">
        <f t="shared" si="145"/>
        <v>9.0379889137693681E-2</v>
      </c>
      <c r="E2311" s="8">
        <f t="shared" si="146"/>
        <v>329.28571428571428</v>
      </c>
    </row>
    <row r="2312" spans="1:5" ht="18.75" x14ac:dyDescent="0.3">
      <c r="A2312" s="3">
        <v>2306</v>
      </c>
      <c r="B2312" s="9">
        <f t="shared" si="144"/>
        <v>0.99892738320107821</v>
      </c>
      <c r="C2312" s="3">
        <f t="shared" ref="C2312:C2375" si="147">$E$3*B2312</f>
        <v>62489.900310909848</v>
      </c>
      <c r="D2312" s="3">
        <f t="shared" si="145"/>
        <v>9.0229431545594707E-2</v>
      </c>
      <c r="E2312" s="8">
        <f t="shared" si="146"/>
        <v>329.42857142857144</v>
      </c>
    </row>
    <row r="2313" spans="1:5" ht="18.75" x14ac:dyDescent="0.3">
      <c r="A2313" s="3">
        <v>2307</v>
      </c>
      <c r="B2313" s="9">
        <f t="shared" si="144"/>
        <v>0.99892882315623899</v>
      </c>
      <c r="C2313" s="3">
        <f t="shared" si="147"/>
        <v>62489.990390184845</v>
      </c>
      <c r="D2313" s="3">
        <f t="shared" si="145"/>
        <v>9.007927499624202E-2</v>
      </c>
      <c r="E2313" s="8">
        <f t="shared" si="146"/>
        <v>329.57142857142856</v>
      </c>
    </row>
    <row r="2314" spans="1:5" ht="18.75" x14ac:dyDescent="0.3">
      <c r="A2314" s="3">
        <v>2308</v>
      </c>
      <c r="B2314" s="9">
        <f t="shared" si="144"/>
        <v>0.99893026071588498</v>
      </c>
      <c r="C2314" s="3">
        <f t="shared" si="147"/>
        <v>62490.080319603614</v>
      </c>
      <c r="D2314" s="3">
        <f t="shared" si="145"/>
        <v>8.9929418769315816E-2</v>
      </c>
      <c r="E2314" s="8">
        <f t="shared" si="146"/>
        <v>329.71428571428572</v>
      </c>
    </row>
    <row r="2315" spans="1:5" ht="18.75" x14ac:dyDescent="0.3">
      <c r="A2315" s="3">
        <v>2309</v>
      </c>
      <c r="B2315" s="9">
        <f t="shared" si="144"/>
        <v>0.99893169588480568</v>
      </c>
      <c r="C2315" s="3">
        <f t="shared" si="147"/>
        <v>62490.170099465788</v>
      </c>
      <c r="D2315" s="3">
        <f t="shared" si="145"/>
        <v>8.9779862173600122E-2</v>
      </c>
      <c r="E2315" s="8">
        <f t="shared" si="146"/>
        <v>329.85714285714283</v>
      </c>
    </row>
    <row r="2316" spans="1:5" ht="18.75" x14ac:dyDescent="0.3">
      <c r="A2316" s="3">
        <v>2310</v>
      </c>
      <c r="B2316" s="9">
        <f t="shared" si="144"/>
        <v>0.99893312866777983</v>
      </c>
      <c r="C2316" s="3">
        <f t="shared" si="147"/>
        <v>62490.259730070306</v>
      </c>
      <c r="D2316" s="3">
        <f t="shared" si="145"/>
        <v>8.9630604517878965E-2</v>
      </c>
      <c r="E2316" s="8">
        <f t="shared" si="146"/>
        <v>330</v>
      </c>
    </row>
    <row r="2317" spans="1:5" ht="18.75" x14ac:dyDescent="0.3">
      <c r="A2317" s="3">
        <v>2311</v>
      </c>
      <c r="B2317" s="9">
        <f t="shared" si="144"/>
        <v>0.9989345590695744</v>
      </c>
      <c r="C2317" s="3">
        <f t="shared" si="147"/>
        <v>62490.349211715366</v>
      </c>
      <c r="D2317" s="3">
        <f t="shared" si="145"/>
        <v>8.9481645060004666E-2</v>
      </c>
      <c r="E2317" s="8">
        <f t="shared" si="146"/>
        <v>330.14285714285717</v>
      </c>
    </row>
    <row r="2318" spans="1:5" ht="18.75" x14ac:dyDescent="0.3">
      <c r="A2318" s="3">
        <v>2312</v>
      </c>
      <c r="B2318" s="9">
        <f t="shared" si="144"/>
        <v>0.99893598709494558</v>
      </c>
      <c r="C2318" s="3">
        <f t="shared" si="147"/>
        <v>62490.438544698511</v>
      </c>
      <c r="D2318" s="3">
        <f t="shared" si="145"/>
        <v>8.9332983145141043E-2</v>
      </c>
      <c r="E2318" s="8">
        <f t="shared" si="146"/>
        <v>330.28571428571428</v>
      </c>
    </row>
    <row r="2319" spans="1:5" ht="18.75" x14ac:dyDescent="0.3">
      <c r="A2319" s="3">
        <v>2313</v>
      </c>
      <c r="B2319" s="9">
        <f t="shared" si="144"/>
        <v>0.99893741274863834</v>
      </c>
      <c r="C2319" s="3">
        <f t="shared" si="147"/>
        <v>62490.527729316571</v>
      </c>
      <c r="D2319" s="3">
        <f t="shared" si="145"/>
        <v>8.9184618060244247E-2</v>
      </c>
      <c r="E2319" s="8">
        <f t="shared" si="146"/>
        <v>330.42857142857144</v>
      </c>
    </row>
    <row r="2320" spans="1:5" ht="18.75" x14ac:dyDescent="0.3">
      <c r="A2320" s="3">
        <v>2314</v>
      </c>
      <c r="B2320" s="9">
        <f t="shared" si="144"/>
        <v>0.99893883603538625</v>
      </c>
      <c r="C2320" s="3">
        <f t="shared" si="147"/>
        <v>62490.616765865656</v>
      </c>
      <c r="D2320" s="3">
        <f t="shared" si="145"/>
        <v>8.9036549084994476E-2</v>
      </c>
      <c r="E2320" s="8">
        <f t="shared" si="146"/>
        <v>330.57142857142856</v>
      </c>
    </row>
    <row r="2321" spans="1:5" ht="18.75" x14ac:dyDescent="0.3">
      <c r="A2321" s="3">
        <v>2315</v>
      </c>
      <c r="B2321" s="9">
        <f t="shared" si="144"/>
        <v>0.99894025695991229</v>
      </c>
      <c r="C2321" s="3">
        <f t="shared" si="147"/>
        <v>62490.705654641235</v>
      </c>
      <c r="D2321" s="3">
        <f t="shared" si="145"/>
        <v>8.888877557910746E-2</v>
      </c>
      <c r="E2321" s="8">
        <f t="shared" si="146"/>
        <v>330.71428571428572</v>
      </c>
    </row>
    <row r="2322" spans="1:5" ht="18.75" x14ac:dyDescent="0.3">
      <c r="A2322" s="3">
        <v>2316</v>
      </c>
      <c r="B2322" s="9">
        <f t="shared" si="144"/>
        <v>0.99894167552692781</v>
      </c>
      <c r="C2322" s="3">
        <f t="shared" si="147"/>
        <v>62490.794395938021</v>
      </c>
      <c r="D2322" s="3">
        <f t="shared" si="145"/>
        <v>8.8741296785883605E-2</v>
      </c>
      <c r="E2322" s="8">
        <f t="shared" si="146"/>
        <v>330.85714285714283</v>
      </c>
    </row>
    <row r="2323" spans="1:5" ht="18.75" x14ac:dyDescent="0.3">
      <c r="A2323" s="3">
        <v>2317</v>
      </c>
      <c r="B2323" s="9">
        <f t="shared" si="144"/>
        <v>0.99894309174113372</v>
      </c>
      <c r="C2323" s="3">
        <f t="shared" si="147"/>
        <v>62490.8829900501</v>
      </c>
      <c r="D2323" s="3">
        <f t="shared" si="145"/>
        <v>8.8594112079590559E-2</v>
      </c>
      <c r="E2323" s="8">
        <f t="shared" si="146"/>
        <v>331</v>
      </c>
    </row>
    <row r="2324" spans="1:5" ht="18.75" x14ac:dyDescent="0.3">
      <c r="A2324" s="3">
        <v>2318</v>
      </c>
      <c r="B2324" s="9">
        <f t="shared" si="144"/>
        <v>0.99894450560721937</v>
      </c>
      <c r="C2324" s="3">
        <f t="shared" si="147"/>
        <v>62490.971437270819</v>
      </c>
      <c r="D2324" s="3">
        <f t="shared" si="145"/>
        <v>8.8447220718080644E-2</v>
      </c>
      <c r="E2324" s="8">
        <f t="shared" si="146"/>
        <v>331.14285714285717</v>
      </c>
    </row>
    <row r="2325" spans="1:5" ht="18.75" x14ac:dyDescent="0.3">
      <c r="A2325" s="3">
        <v>2319</v>
      </c>
      <c r="B2325" s="9">
        <f t="shared" si="144"/>
        <v>0.99894591712986358</v>
      </c>
      <c r="C2325" s="3">
        <f t="shared" si="147"/>
        <v>62491.05973789288</v>
      </c>
      <c r="D2325" s="3">
        <f t="shared" si="145"/>
        <v>8.8300622061069589E-2</v>
      </c>
      <c r="E2325" s="8">
        <f t="shared" si="146"/>
        <v>331.28571428571428</v>
      </c>
    </row>
    <row r="2326" spans="1:5" ht="18.75" x14ac:dyDescent="0.3">
      <c r="A2326" s="3">
        <v>2320</v>
      </c>
      <c r="B2326" s="9">
        <f t="shared" si="144"/>
        <v>0.99894732631373395</v>
      </c>
      <c r="C2326" s="3">
        <f t="shared" si="147"/>
        <v>62491.147892208253</v>
      </c>
      <c r="D2326" s="3">
        <f t="shared" si="145"/>
        <v>8.8154315373685677E-2</v>
      </c>
      <c r="E2326" s="8">
        <f t="shared" si="146"/>
        <v>331.42857142857144</v>
      </c>
    </row>
    <row r="2327" spans="1:5" ht="18.75" x14ac:dyDescent="0.3">
      <c r="A2327" s="3">
        <v>2321</v>
      </c>
      <c r="B2327" s="9">
        <f t="shared" ref="B2327:B2390" si="148">LOGNORMDIST(A2327,$A$3,$B$3)</f>
        <v>0.99894873316348731</v>
      </c>
      <c r="C2327" s="3">
        <f t="shared" si="147"/>
        <v>62491.235900508276</v>
      </c>
      <c r="D2327" s="3">
        <f t="shared" ref="D2327:D2390" si="149">C2327-C2326</f>
        <v>8.8008300022920594E-2</v>
      </c>
      <c r="E2327" s="8">
        <f t="shared" ref="E2327:E2390" si="150">A2327/7</f>
        <v>331.57142857142856</v>
      </c>
    </row>
    <row r="2328" spans="1:5" ht="18.75" x14ac:dyDescent="0.3">
      <c r="A2328" s="3">
        <v>2322</v>
      </c>
      <c r="B2328" s="9">
        <f t="shared" si="148"/>
        <v>0.9989501376837695</v>
      </c>
      <c r="C2328" s="3">
        <f t="shared" si="147"/>
        <v>62491.323763083572</v>
      </c>
      <c r="D2328" s="3">
        <f t="shared" si="149"/>
        <v>8.7862575295730494E-2</v>
      </c>
      <c r="E2328" s="8">
        <f t="shared" si="150"/>
        <v>331.71428571428572</v>
      </c>
    </row>
    <row r="2329" spans="1:5" ht="18.75" x14ac:dyDescent="0.3">
      <c r="A2329" s="3">
        <v>2323</v>
      </c>
      <c r="B2329" s="9">
        <f t="shared" si="148"/>
        <v>0.99895153987921581</v>
      </c>
      <c r="C2329" s="3">
        <f t="shared" si="147"/>
        <v>62491.411480224102</v>
      </c>
      <c r="D2329" s="3">
        <f t="shared" si="149"/>
        <v>8.7717140530003235E-2</v>
      </c>
      <c r="E2329" s="8">
        <f t="shared" si="150"/>
        <v>331.85714285714283</v>
      </c>
    </row>
    <row r="2330" spans="1:5" ht="18.75" x14ac:dyDescent="0.3">
      <c r="A2330" s="3">
        <v>2324</v>
      </c>
      <c r="B2330" s="9">
        <f t="shared" si="148"/>
        <v>0.99895293975445021</v>
      </c>
      <c r="C2330" s="3">
        <f t="shared" si="147"/>
        <v>62491.499052219144</v>
      </c>
      <c r="D2330" s="3">
        <f t="shared" si="149"/>
        <v>8.75719950417988E-2</v>
      </c>
      <c r="E2330" s="8">
        <f t="shared" si="150"/>
        <v>332</v>
      </c>
    </row>
    <row r="2331" spans="1:5" ht="18.75" x14ac:dyDescent="0.3">
      <c r="A2331" s="3">
        <v>2325</v>
      </c>
      <c r="B2331" s="9">
        <f t="shared" si="148"/>
        <v>0.99895433731408634</v>
      </c>
      <c r="C2331" s="3">
        <f t="shared" si="147"/>
        <v>62491.586479357298</v>
      </c>
      <c r="D2331" s="3">
        <f t="shared" si="149"/>
        <v>8.7427138154453132E-2</v>
      </c>
      <c r="E2331" s="8">
        <f t="shared" si="150"/>
        <v>332.14285714285717</v>
      </c>
    </row>
    <row r="2332" spans="1:5" ht="18.75" x14ac:dyDescent="0.3">
      <c r="A2332" s="3">
        <v>2326</v>
      </c>
      <c r="B2332" s="9">
        <f t="shared" si="148"/>
        <v>0.99895573256272685</v>
      </c>
      <c r="C2332" s="3">
        <f t="shared" si="147"/>
        <v>62491.673761926504</v>
      </c>
      <c r="D2332" s="3">
        <f t="shared" si="149"/>
        <v>8.7282569205854088E-2</v>
      </c>
      <c r="E2332" s="8">
        <f t="shared" si="150"/>
        <v>332.28571428571428</v>
      </c>
    </row>
    <row r="2333" spans="1:5" ht="18.75" x14ac:dyDescent="0.3">
      <c r="A2333" s="3">
        <v>2327</v>
      </c>
      <c r="B2333" s="9">
        <f t="shared" si="148"/>
        <v>0.99895712550496352</v>
      </c>
      <c r="C2333" s="3">
        <f t="shared" si="147"/>
        <v>62491.760900214002</v>
      </c>
      <c r="D2333" s="3">
        <f t="shared" si="149"/>
        <v>8.7138287497509737E-2</v>
      </c>
      <c r="E2333" s="8">
        <f t="shared" si="150"/>
        <v>332.42857142857144</v>
      </c>
    </row>
    <row r="2334" spans="1:5" ht="18.75" x14ac:dyDescent="0.3">
      <c r="A2334" s="3">
        <v>2328</v>
      </c>
      <c r="B2334" s="9">
        <f t="shared" si="148"/>
        <v>0.99895851614537778</v>
      </c>
      <c r="C2334" s="3">
        <f t="shared" si="147"/>
        <v>62491.847894506398</v>
      </c>
      <c r="D2334" s="3">
        <f t="shared" si="149"/>
        <v>8.6994292396411765E-2</v>
      </c>
      <c r="E2334" s="8">
        <f t="shared" si="150"/>
        <v>332.57142857142856</v>
      </c>
    </row>
    <row r="2335" spans="1:5" ht="18.75" x14ac:dyDescent="0.3">
      <c r="A2335" s="3">
        <v>2329</v>
      </c>
      <c r="B2335" s="9">
        <f t="shared" si="148"/>
        <v>0.99895990448854011</v>
      </c>
      <c r="C2335" s="3">
        <f t="shared" si="147"/>
        <v>62491.934745089602</v>
      </c>
      <c r="D2335" s="3">
        <f t="shared" si="149"/>
        <v>8.6850583204068244E-2</v>
      </c>
      <c r="E2335" s="8">
        <f t="shared" si="150"/>
        <v>332.71428571428572</v>
      </c>
    </row>
    <row r="2336" spans="1:5" ht="18.75" x14ac:dyDescent="0.3">
      <c r="A2336" s="3">
        <v>2330</v>
      </c>
      <c r="B2336" s="9">
        <f t="shared" si="148"/>
        <v>0.99896129053901039</v>
      </c>
      <c r="C2336" s="3">
        <f t="shared" si="147"/>
        <v>62492.021452248875</v>
      </c>
      <c r="D2336" s="3">
        <f t="shared" si="149"/>
        <v>8.6707159272918943E-2</v>
      </c>
      <c r="E2336" s="8">
        <f t="shared" si="150"/>
        <v>332.85714285714283</v>
      </c>
    </row>
    <row r="2337" spans="1:5" ht="18.75" x14ac:dyDescent="0.3">
      <c r="A2337" s="3">
        <v>2331</v>
      </c>
      <c r="B2337" s="9">
        <f t="shared" si="148"/>
        <v>0.99896267430133801</v>
      </c>
      <c r="C2337" s="3">
        <f t="shared" si="147"/>
        <v>62492.108016268801</v>
      </c>
      <c r="D2337" s="3">
        <f t="shared" si="149"/>
        <v>8.6564019926299807E-2</v>
      </c>
      <c r="E2337" s="8">
        <f t="shared" si="150"/>
        <v>333</v>
      </c>
    </row>
    <row r="2338" spans="1:5" ht="18.75" x14ac:dyDescent="0.3">
      <c r="A2338" s="3">
        <v>2332</v>
      </c>
      <c r="B2338" s="9">
        <f t="shared" si="148"/>
        <v>0.99896405578006164</v>
      </c>
      <c r="C2338" s="3">
        <f t="shared" si="147"/>
        <v>62492.194437433318</v>
      </c>
      <c r="D2338" s="3">
        <f t="shared" si="149"/>
        <v>8.6421164516650606E-2</v>
      </c>
      <c r="E2338" s="8">
        <f t="shared" si="150"/>
        <v>333.14285714285717</v>
      </c>
    </row>
    <row r="2339" spans="1:5" ht="18.75" x14ac:dyDescent="0.3">
      <c r="A2339" s="3">
        <v>2333</v>
      </c>
      <c r="B2339" s="9">
        <f t="shared" si="148"/>
        <v>0.99896543497970935</v>
      </c>
      <c r="C2339" s="3">
        <f t="shared" si="147"/>
        <v>62492.280716025678</v>
      </c>
      <c r="D2339" s="3">
        <f t="shared" si="149"/>
        <v>8.6278592360031325E-2</v>
      </c>
      <c r="E2339" s="8">
        <f t="shared" si="150"/>
        <v>333.28571428571428</v>
      </c>
    </row>
    <row r="2340" spans="1:5" ht="18.75" x14ac:dyDescent="0.3">
      <c r="A2340" s="3">
        <v>2334</v>
      </c>
      <c r="B2340" s="9">
        <f t="shared" si="148"/>
        <v>0.99896681190479875</v>
      </c>
      <c r="C2340" s="3">
        <f t="shared" si="147"/>
        <v>62492.366852328494</v>
      </c>
      <c r="D2340" s="3">
        <f t="shared" si="149"/>
        <v>8.6136302816157695E-2</v>
      </c>
      <c r="E2340" s="8">
        <f t="shared" si="150"/>
        <v>333.42857142857144</v>
      </c>
    </row>
    <row r="2341" spans="1:5" ht="18.75" x14ac:dyDescent="0.3">
      <c r="A2341" s="3">
        <v>2335</v>
      </c>
      <c r="B2341" s="9">
        <f t="shared" si="148"/>
        <v>0.99896818655983699</v>
      </c>
      <c r="C2341" s="3">
        <f t="shared" si="147"/>
        <v>62492.452846623724</v>
      </c>
      <c r="D2341" s="3">
        <f t="shared" si="149"/>
        <v>8.5994295230193529E-2</v>
      </c>
      <c r="E2341" s="8">
        <f t="shared" si="150"/>
        <v>333.57142857142856</v>
      </c>
    </row>
    <row r="2342" spans="1:5" ht="18.75" x14ac:dyDescent="0.3">
      <c r="A2342" s="3">
        <v>2336</v>
      </c>
      <c r="B2342" s="9">
        <f t="shared" si="148"/>
        <v>0.9989695589493206</v>
      </c>
      <c r="C2342" s="3">
        <f t="shared" si="147"/>
        <v>62492.53869919265</v>
      </c>
      <c r="D2342" s="3">
        <f t="shared" si="149"/>
        <v>8.585256892547477E-2</v>
      </c>
      <c r="E2342" s="8">
        <f t="shared" si="150"/>
        <v>333.71428571428572</v>
      </c>
    </row>
    <row r="2343" spans="1:5" ht="18.75" x14ac:dyDescent="0.3">
      <c r="A2343" s="3">
        <v>2337</v>
      </c>
      <c r="B2343" s="9">
        <f t="shared" si="148"/>
        <v>0.99897092907773588</v>
      </c>
      <c r="C2343" s="3">
        <f t="shared" si="147"/>
        <v>62492.624410315926</v>
      </c>
      <c r="D2343" s="3">
        <f t="shared" si="149"/>
        <v>8.5711123276269063E-2</v>
      </c>
      <c r="E2343" s="8">
        <f t="shared" si="150"/>
        <v>333.85714285714283</v>
      </c>
    </row>
    <row r="2344" spans="1:5" ht="18.75" x14ac:dyDescent="0.3">
      <c r="A2344" s="3">
        <v>2338</v>
      </c>
      <c r="B2344" s="9">
        <f t="shared" si="148"/>
        <v>0.99897229694955847</v>
      </c>
      <c r="C2344" s="3">
        <f t="shared" si="147"/>
        <v>62492.709980273532</v>
      </c>
      <c r="D2344" s="3">
        <f t="shared" si="149"/>
        <v>8.556995760591235E-2</v>
      </c>
      <c r="E2344" s="8">
        <f t="shared" si="150"/>
        <v>334</v>
      </c>
    </row>
    <row r="2345" spans="1:5" ht="18.75" x14ac:dyDescent="0.3">
      <c r="A2345" s="3">
        <v>2339</v>
      </c>
      <c r="B2345" s="9">
        <f t="shared" si="148"/>
        <v>0.99897366256925368</v>
      </c>
      <c r="C2345" s="3">
        <f t="shared" si="147"/>
        <v>62492.795409344806</v>
      </c>
      <c r="D2345" s="3">
        <f t="shared" si="149"/>
        <v>8.5429071274120361E-2</v>
      </c>
      <c r="E2345" s="8">
        <f t="shared" si="150"/>
        <v>334.14285714285717</v>
      </c>
    </row>
    <row r="2346" spans="1:5" ht="18.75" x14ac:dyDescent="0.3">
      <c r="A2346" s="3">
        <v>2340</v>
      </c>
      <c r="B2346" s="9">
        <f t="shared" si="148"/>
        <v>0.99897502594127663</v>
      </c>
      <c r="C2346" s="3">
        <f t="shared" si="147"/>
        <v>62492.880697808439</v>
      </c>
      <c r="D2346" s="3">
        <f t="shared" si="149"/>
        <v>8.5288463633332867E-2</v>
      </c>
      <c r="E2346" s="8">
        <f t="shared" si="150"/>
        <v>334.28571428571428</v>
      </c>
    </row>
    <row r="2347" spans="1:5" ht="18.75" x14ac:dyDescent="0.3">
      <c r="A2347" s="3">
        <v>2341</v>
      </c>
      <c r="B2347" s="9">
        <f t="shared" si="148"/>
        <v>0.99897638707007175</v>
      </c>
      <c r="C2347" s="3">
        <f t="shared" si="147"/>
        <v>62492.965845942475</v>
      </c>
      <c r="D2347" s="3">
        <f t="shared" si="149"/>
        <v>8.5148134035989642E-2</v>
      </c>
      <c r="E2347" s="8">
        <f t="shared" si="150"/>
        <v>334.42857142857144</v>
      </c>
    </row>
    <row r="2348" spans="1:5" ht="18.75" x14ac:dyDescent="0.3">
      <c r="A2348" s="3">
        <v>2342</v>
      </c>
      <c r="B2348" s="9">
        <f t="shared" si="148"/>
        <v>0.9989777459600736</v>
      </c>
      <c r="C2348" s="3">
        <f t="shared" si="147"/>
        <v>62493.050854024325</v>
      </c>
      <c r="D2348" s="3">
        <f t="shared" si="149"/>
        <v>8.5008081849082373E-2</v>
      </c>
      <c r="E2348" s="8">
        <f t="shared" si="150"/>
        <v>334.57142857142856</v>
      </c>
    </row>
    <row r="2349" spans="1:5" ht="18.75" x14ac:dyDescent="0.3">
      <c r="A2349" s="3">
        <v>2343</v>
      </c>
      <c r="B2349" s="9">
        <f t="shared" si="148"/>
        <v>0.9989791026157061</v>
      </c>
      <c r="C2349" s="3">
        <f t="shared" si="147"/>
        <v>62493.135722330728</v>
      </c>
      <c r="D2349" s="3">
        <f t="shared" si="149"/>
        <v>8.4868306403222959E-2</v>
      </c>
      <c r="E2349" s="8">
        <f t="shared" si="150"/>
        <v>334.71428571428572</v>
      </c>
    </row>
    <row r="2350" spans="1:5" ht="18.75" x14ac:dyDescent="0.3">
      <c r="A2350" s="3">
        <v>2344</v>
      </c>
      <c r="B2350" s="9">
        <f t="shared" si="148"/>
        <v>0.99898045704138294</v>
      </c>
      <c r="C2350" s="3">
        <f t="shared" si="147"/>
        <v>62493.220451137793</v>
      </c>
      <c r="D2350" s="3">
        <f t="shared" si="149"/>
        <v>8.4728807065403089E-2</v>
      </c>
      <c r="E2350" s="8">
        <f t="shared" si="150"/>
        <v>334.85714285714283</v>
      </c>
    </row>
    <row r="2351" spans="1:5" ht="18.75" x14ac:dyDescent="0.3">
      <c r="A2351" s="3">
        <v>2345</v>
      </c>
      <c r="B2351" s="9">
        <f t="shared" si="148"/>
        <v>0.99898180924150781</v>
      </c>
      <c r="C2351" s="3">
        <f t="shared" si="147"/>
        <v>62493.305040721003</v>
      </c>
      <c r="D2351" s="3">
        <f t="shared" si="149"/>
        <v>8.4589583209890407E-2</v>
      </c>
      <c r="E2351" s="8">
        <f t="shared" si="150"/>
        <v>335</v>
      </c>
    </row>
    <row r="2352" spans="1:5" ht="18.75" x14ac:dyDescent="0.3">
      <c r="A2352" s="3">
        <v>2346</v>
      </c>
      <c r="B2352" s="9">
        <f t="shared" si="148"/>
        <v>0.99898315922047409</v>
      </c>
      <c r="C2352" s="3">
        <f t="shared" si="147"/>
        <v>62493.389491355199</v>
      </c>
      <c r="D2352" s="3">
        <f t="shared" si="149"/>
        <v>8.4450634196400642E-2</v>
      </c>
      <c r="E2352" s="8">
        <f t="shared" si="150"/>
        <v>335.14285714285717</v>
      </c>
    </row>
    <row r="2353" spans="1:5" ht="18.75" x14ac:dyDescent="0.3">
      <c r="A2353" s="3">
        <v>2347</v>
      </c>
      <c r="B2353" s="9">
        <f t="shared" si="148"/>
        <v>0.99898450698266483</v>
      </c>
      <c r="C2353" s="3">
        <f t="shared" si="147"/>
        <v>62493.473803314562</v>
      </c>
      <c r="D2353" s="3">
        <f t="shared" si="149"/>
        <v>8.4311959362821653E-2</v>
      </c>
      <c r="E2353" s="8">
        <f t="shared" si="150"/>
        <v>335.28571428571428</v>
      </c>
    </row>
    <row r="2354" spans="1:5" ht="18.75" x14ac:dyDescent="0.3">
      <c r="A2354" s="3">
        <v>2348</v>
      </c>
      <c r="B2354" s="9">
        <f t="shared" si="148"/>
        <v>0.99898585253245309</v>
      </c>
      <c r="C2354" s="3">
        <f t="shared" si="147"/>
        <v>62493.557976872667</v>
      </c>
      <c r="D2354" s="3">
        <f t="shared" si="149"/>
        <v>8.4173558105248958E-2</v>
      </c>
      <c r="E2354" s="8">
        <f t="shared" si="150"/>
        <v>335.42857142857144</v>
      </c>
    </row>
    <row r="2355" spans="1:5" ht="18.75" x14ac:dyDescent="0.3">
      <c r="A2355" s="3">
        <v>2349</v>
      </c>
      <c r="B2355" s="9">
        <f t="shared" si="148"/>
        <v>0.99898719587420182</v>
      </c>
      <c r="C2355" s="3">
        <f t="shared" si="147"/>
        <v>62493.642012302444</v>
      </c>
      <c r="D2355" s="3">
        <f t="shared" si="149"/>
        <v>8.4035429776122328E-2</v>
      </c>
      <c r="E2355" s="8">
        <f t="shared" si="150"/>
        <v>335.57142857142856</v>
      </c>
    </row>
    <row r="2356" spans="1:5" ht="18.75" x14ac:dyDescent="0.3">
      <c r="A2356" s="3">
        <v>2350</v>
      </c>
      <c r="B2356" s="9">
        <f t="shared" si="148"/>
        <v>0.99898853701226387</v>
      </c>
      <c r="C2356" s="3">
        <f t="shared" si="147"/>
        <v>62493.725909876193</v>
      </c>
      <c r="D2356" s="3">
        <f t="shared" si="149"/>
        <v>8.3897573749709409E-2</v>
      </c>
      <c r="E2356" s="8">
        <f t="shared" si="150"/>
        <v>335.71428571428572</v>
      </c>
    </row>
    <row r="2357" spans="1:5" ht="18.75" x14ac:dyDescent="0.3">
      <c r="A2357" s="3">
        <v>2351</v>
      </c>
      <c r="B2357" s="9">
        <f t="shared" si="148"/>
        <v>0.99898987595098188</v>
      </c>
      <c r="C2357" s="3">
        <f t="shared" si="147"/>
        <v>62493.809669865572</v>
      </c>
      <c r="D2357" s="3">
        <f t="shared" si="149"/>
        <v>8.3759989378449973E-2</v>
      </c>
      <c r="E2357" s="8">
        <f t="shared" si="150"/>
        <v>335.85714285714283</v>
      </c>
    </row>
    <row r="2358" spans="1:5" ht="18.75" x14ac:dyDescent="0.3">
      <c r="A2358" s="3">
        <v>2352</v>
      </c>
      <c r="B2358" s="9">
        <f t="shared" si="148"/>
        <v>0.99899121269468871</v>
      </c>
      <c r="C2358" s="3">
        <f t="shared" si="147"/>
        <v>62493.893292541645</v>
      </c>
      <c r="D2358" s="3">
        <f t="shared" si="149"/>
        <v>8.3622676072991453E-2</v>
      </c>
      <c r="E2358" s="8">
        <f t="shared" si="150"/>
        <v>336</v>
      </c>
    </row>
    <row r="2359" spans="1:5" ht="18.75" x14ac:dyDescent="0.3">
      <c r="A2359" s="3">
        <v>2353</v>
      </c>
      <c r="B2359" s="9">
        <f t="shared" si="148"/>
        <v>0.99899254724770681</v>
      </c>
      <c r="C2359" s="3">
        <f t="shared" si="147"/>
        <v>62493.976778174794</v>
      </c>
      <c r="D2359" s="3">
        <f t="shared" si="149"/>
        <v>8.3485633149393834E-2</v>
      </c>
      <c r="E2359" s="8">
        <f t="shared" si="150"/>
        <v>336.14285714285717</v>
      </c>
    </row>
    <row r="2360" spans="1:5" ht="18.75" x14ac:dyDescent="0.3">
      <c r="A2360" s="3">
        <v>2354</v>
      </c>
      <c r="B2360" s="9">
        <f t="shared" si="148"/>
        <v>0.99899387961434916</v>
      </c>
      <c r="C2360" s="3">
        <f t="shared" si="147"/>
        <v>62494.060127034842</v>
      </c>
      <c r="D2360" s="3">
        <f t="shared" si="149"/>
        <v>8.334886004740838E-2</v>
      </c>
      <c r="E2360" s="8">
        <f t="shared" si="150"/>
        <v>336.28571428571428</v>
      </c>
    </row>
    <row r="2361" spans="1:5" ht="18.75" x14ac:dyDescent="0.3">
      <c r="A2361" s="3">
        <v>2355</v>
      </c>
      <c r="B2361" s="9">
        <f t="shared" si="148"/>
        <v>0.99899520979891832</v>
      </c>
      <c r="C2361" s="3">
        <f t="shared" si="147"/>
        <v>62494.143339390932</v>
      </c>
      <c r="D2361" s="3">
        <f t="shared" si="149"/>
        <v>8.3212356090371031E-2</v>
      </c>
      <c r="E2361" s="8">
        <f t="shared" si="150"/>
        <v>336.42857142857144</v>
      </c>
    </row>
    <row r="2362" spans="1:5" ht="18.75" x14ac:dyDescent="0.3">
      <c r="A2362" s="3">
        <v>2356</v>
      </c>
      <c r="B2362" s="9">
        <f t="shared" si="148"/>
        <v>0.99899653780570719</v>
      </c>
      <c r="C2362" s="3">
        <f t="shared" si="147"/>
        <v>62494.226415511621</v>
      </c>
      <c r="D2362" s="3">
        <f t="shared" si="149"/>
        <v>8.3076120688929223E-2</v>
      </c>
      <c r="E2362" s="8">
        <f t="shared" si="150"/>
        <v>336.57142857142856</v>
      </c>
    </row>
    <row r="2363" spans="1:5" ht="18.75" x14ac:dyDescent="0.3">
      <c r="A2363" s="3">
        <v>2357</v>
      </c>
      <c r="B2363" s="9">
        <f t="shared" si="148"/>
        <v>0.99899786363899867</v>
      </c>
      <c r="C2363" s="3">
        <f t="shared" si="147"/>
        <v>62494.309355664838</v>
      </c>
      <c r="D2363" s="3">
        <f t="shared" si="149"/>
        <v>8.2940153217350598E-2</v>
      </c>
      <c r="E2363" s="8">
        <f t="shared" si="150"/>
        <v>336.71428571428572</v>
      </c>
    </row>
    <row r="2364" spans="1:5" ht="18.75" x14ac:dyDescent="0.3">
      <c r="A2364" s="3">
        <v>2358</v>
      </c>
      <c r="B2364" s="9">
        <f t="shared" si="148"/>
        <v>0.99899918730306569</v>
      </c>
      <c r="C2364" s="3">
        <f t="shared" si="147"/>
        <v>62494.392160117881</v>
      </c>
      <c r="D2364" s="3">
        <f t="shared" si="149"/>
        <v>8.2804453042626847E-2</v>
      </c>
      <c r="E2364" s="8">
        <f t="shared" si="150"/>
        <v>336.85714285714283</v>
      </c>
    </row>
    <row r="2365" spans="1:5" ht="18.75" x14ac:dyDescent="0.3">
      <c r="A2365" s="3">
        <v>2359</v>
      </c>
      <c r="B2365" s="9">
        <f t="shared" si="148"/>
        <v>0.99900050880217151</v>
      </c>
      <c r="C2365" s="3">
        <f t="shared" si="147"/>
        <v>62494.474829137442</v>
      </c>
      <c r="D2365" s="3">
        <f t="shared" si="149"/>
        <v>8.2669019560853485E-2</v>
      </c>
      <c r="E2365" s="8">
        <f t="shared" si="150"/>
        <v>337</v>
      </c>
    </row>
    <row r="2366" spans="1:5" ht="18.75" x14ac:dyDescent="0.3">
      <c r="A2366" s="3">
        <v>2360</v>
      </c>
      <c r="B2366" s="9">
        <f t="shared" si="148"/>
        <v>0.99900182814056948</v>
      </c>
      <c r="C2366" s="3">
        <f t="shared" si="147"/>
        <v>62494.557362989603</v>
      </c>
      <c r="D2366" s="3">
        <f t="shared" si="149"/>
        <v>8.2533852160850074E-2</v>
      </c>
      <c r="E2366" s="8">
        <f t="shared" si="150"/>
        <v>337.14285714285717</v>
      </c>
    </row>
    <row r="2367" spans="1:5" ht="18.75" x14ac:dyDescent="0.3">
      <c r="A2367" s="3">
        <v>2361</v>
      </c>
      <c r="B2367" s="9">
        <f t="shared" si="148"/>
        <v>0.99900314532250301</v>
      </c>
      <c r="C2367" s="3">
        <f t="shared" si="147"/>
        <v>62494.639761939819</v>
      </c>
      <c r="D2367" s="3">
        <f t="shared" si="149"/>
        <v>8.2398950216884259E-2</v>
      </c>
      <c r="E2367" s="8">
        <f t="shared" si="150"/>
        <v>337.28571428571428</v>
      </c>
    </row>
    <row r="2368" spans="1:5" ht="18.75" x14ac:dyDescent="0.3">
      <c r="A2368" s="3">
        <v>2362</v>
      </c>
      <c r="B2368" s="9">
        <f t="shared" si="148"/>
        <v>0.99900446035220603</v>
      </c>
      <c r="C2368" s="3">
        <f t="shared" si="147"/>
        <v>62494.722026252952</v>
      </c>
      <c r="D2368" s="3">
        <f t="shared" si="149"/>
        <v>8.2264313132327516E-2</v>
      </c>
      <c r="E2368" s="8">
        <f t="shared" si="150"/>
        <v>337.42857142857144</v>
      </c>
    </row>
    <row r="2369" spans="1:5" ht="18.75" x14ac:dyDescent="0.3">
      <c r="A2369" s="3">
        <v>2363</v>
      </c>
      <c r="B2369" s="9">
        <f t="shared" si="148"/>
        <v>0.99900577323390249</v>
      </c>
      <c r="C2369" s="3">
        <f t="shared" si="147"/>
        <v>62494.80415619324</v>
      </c>
      <c r="D2369" s="3">
        <f t="shared" si="149"/>
        <v>8.2129940288723446E-2</v>
      </c>
      <c r="E2369" s="8">
        <f t="shared" si="150"/>
        <v>337.57142857142856</v>
      </c>
    </row>
    <row r="2370" spans="1:5" ht="18.75" x14ac:dyDescent="0.3">
      <c r="A2370" s="3">
        <v>2364</v>
      </c>
      <c r="B2370" s="9">
        <f t="shared" si="148"/>
        <v>0.99900708397180671</v>
      </c>
      <c r="C2370" s="3">
        <f t="shared" si="147"/>
        <v>62494.886152024315</v>
      </c>
      <c r="D2370" s="3">
        <f t="shared" si="149"/>
        <v>8.1995831074891612E-2</v>
      </c>
      <c r="E2370" s="8">
        <f t="shared" si="150"/>
        <v>337.71428571428572</v>
      </c>
    </row>
    <row r="2371" spans="1:5" ht="18.75" x14ac:dyDescent="0.3">
      <c r="A2371" s="3">
        <v>2365</v>
      </c>
      <c r="B2371" s="9">
        <f t="shared" si="148"/>
        <v>0.99900839257012308</v>
      </c>
      <c r="C2371" s="3">
        <f t="shared" si="147"/>
        <v>62494.968014009188</v>
      </c>
      <c r="D2371" s="3">
        <f t="shared" si="149"/>
        <v>8.1861984872375615E-2</v>
      </c>
      <c r="E2371" s="8">
        <f t="shared" si="150"/>
        <v>337.85714285714283</v>
      </c>
    </row>
    <row r="2372" spans="1:5" ht="18.75" x14ac:dyDescent="0.3">
      <c r="A2372" s="3">
        <v>2366</v>
      </c>
      <c r="B2372" s="9">
        <f t="shared" si="148"/>
        <v>0.99900969903304682</v>
      </c>
      <c r="C2372" s="3">
        <f t="shared" si="147"/>
        <v>62495.049742410309</v>
      </c>
      <c r="D2372" s="3">
        <f t="shared" si="149"/>
        <v>8.1728401120926719E-2</v>
      </c>
      <c r="E2372" s="8">
        <f t="shared" si="150"/>
        <v>338</v>
      </c>
    </row>
    <row r="2373" spans="1:5" ht="18.75" x14ac:dyDescent="0.3">
      <c r="A2373" s="3">
        <v>2367</v>
      </c>
      <c r="B2373" s="9">
        <f t="shared" si="148"/>
        <v>0.9990110033647629</v>
      </c>
      <c r="C2373" s="3">
        <f t="shared" si="147"/>
        <v>62495.131337489474</v>
      </c>
      <c r="D2373" s="3">
        <f t="shared" si="149"/>
        <v>8.1595079165708739E-2</v>
      </c>
      <c r="E2373" s="8">
        <f t="shared" si="150"/>
        <v>338.14285714285717</v>
      </c>
    </row>
    <row r="2374" spans="1:5" ht="18.75" x14ac:dyDescent="0.3">
      <c r="A2374" s="3">
        <v>2368</v>
      </c>
      <c r="B2374" s="9">
        <f t="shared" si="148"/>
        <v>0.99901230556944709</v>
      </c>
      <c r="C2374" s="3">
        <f t="shared" si="147"/>
        <v>62495.212799507899</v>
      </c>
      <c r="D2374" s="3">
        <f t="shared" si="149"/>
        <v>8.1462018424645066E-2</v>
      </c>
      <c r="E2374" s="8">
        <f t="shared" si="150"/>
        <v>338.28571428571428</v>
      </c>
    </row>
    <row r="2375" spans="1:5" ht="18.75" x14ac:dyDescent="0.3">
      <c r="A2375" s="3">
        <v>2369</v>
      </c>
      <c r="B2375" s="9">
        <f t="shared" si="148"/>
        <v>0.99901360565126551</v>
      </c>
      <c r="C2375" s="3">
        <f t="shared" si="147"/>
        <v>62495.294128726215</v>
      </c>
      <c r="D2375" s="3">
        <f t="shared" si="149"/>
        <v>8.1329218315659091E-2</v>
      </c>
      <c r="E2375" s="8">
        <f t="shared" si="150"/>
        <v>338.42857142857144</v>
      </c>
    </row>
    <row r="2376" spans="1:5" ht="18.75" x14ac:dyDescent="0.3">
      <c r="A2376" s="3">
        <v>2370</v>
      </c>
      <c r="B2376" s="9">
        <f t="shared" si="148"/>
        <v>0.99901490361437462</v>
      </c>
      <c r="C2376" s="3">
        <f t="shared" ref="C2376:C2439" si="151">$E$3*B2376</f>
        <v>62495.375325404435</v>
      </c>
      <c r="D2376" s="3">
        <f t="shared" si="149"/>
        <v>8.1196678220294416E-2</v>
      </c>
      <c r="E2376" s="8">
        <f t="shared" si="150"/>
        <v>338.57142857142856</v>
      </c>
    </row>
    <row r="2377" spans="1:5" ht="18.75" x14ac:dyDescent="0.3">
      <c r="A2377" s="3">
        <v>2371</v>
      </c>
      <c r="B2377" s="9">
        <f t="shared" si="148"/>
        <v>0.9990161994629212</v>
      </c>
      <c r="C2377" s="3">
        <f t="shared" si="151"/>
        <v>62495.456389801962</v>
      </c>
      <c r="D2377" s="3">
        <f t="shared" si="149"/>
        <v>8.1064397527370602E-2</v>
      </c>
      <c r="E2377" s="8">
        <f t="shared" si="150"/>
        <v>338.71428571428572</v>
      </c>
    </row>
    <row r="2378" spans="1:5" ht="18.75" x14ac:dyDescent="0.3">
      <c r="A2378" s="3">
        <v>2372</v>
      </c>
      <c r="B2378" s="9">
        <f t="shared" si="148"/>
        <v>0.99901749320104283</v>
      </c>
      <c r="C2378" s="3">
        <f t="shared" si="151"/>
        <v>62495.537322177639</v>
      </c>
      <c r="D2378" s="3">
        <f t="shared" si="149"/>
        <v>8.0932375676638912E-2</v>
      </c>
      <c r="E2378" s="8">
        <f t="shared" si="150"/>
        <v>338.85714285714283</v>
      </c>
    </row>
    <row r="2379" spans="1:5" ht="18.75" x14ac:dyDescent="0.3">
      <c r="A2379" s="3">
        <v>2373</v>
      </c>
      <c r="B2379" s="9">
        <f t="shared" si="148"/>
        <v>0.99901878483286732</v>
      </c>
      <c r="C2379" s="3">
        <f t="shared" si="151"/>
        <v>62495.618122789681</v>
      </c>
      <c r="D2379" s="3">
        <f t="shared" si="149"/>
        <v>8.0800612042366993E-2</v>
      </c>
      <c r="E2379" s="8">
        <f t="shared" si="150"/>
        <v>339</v>
      </c>
    </row>
    <row r="2380" spans="1:5" ht="18.75" x14ac:dyDescent="0.3">
      <c r="A2380" s="3">
        <v>2374</v>
      </c>
      <c r="B2380" s="9">
        <f t="shared" si="148"/>
        <v>0.99902007436251306</v>
      </c>
      <c r="C2380" s="3">
        <f t="shared" si="151"/>
        <v>62495.698791895731</v>
      </c>
      <c r="D2380" s="3">
        <f t="shared" si="149"/>
        <v>8.0669106049754191E-2</v>
      </c>
      <c r="E2380" s="8">
        <f t="shared" si="150"/>
        <v>339.14285714285717</v>
      </c>
    </row>
    <row r="2381" spans="1:5" ht="18.75" x14ac:dyDescent="0.3">
      <c r="A2381" s="3">
        <v>2375</v>
      </c>
      <c r="B2381" s="9">
        <f t="shared" si="148"/>
        <v>0.99902136179408929</v>
      </c>
      <c r="C2381" s="3">
        <f t="shared" si="151"/>
        <v>62495.779329752841</v>
      </c>
      <c r="D2381" s="3">
        <f t="shared" si="149"/>
        <v>8.0537857109447941E-2</v>
      </c>
      <c r="E2381" s="8">
        <f t="shared" si="150"/>
        <v>339.28571428571428</v>
      </c>
    </row>
    <row r="2382" spans="1:5" ht="18.75" x14ac:dyDescent="0.3">
      <c r="A2382" s="3">
        <v>2376</v>
      </c>
      <c r="B2382" s="9">
        <f t="shared" si="148"/>
        <v>0.99902264713169531</v>
      </c>
      <c r="C2382" s="3">
        <f t="shared" si="151"/>
        <v>62495.859736617465</v>
      </c>
      <c r="D2382" s="3">
        <f t="shared" si="149"/>
        <v>8.0406864624819718E-2</v>
      </c>
      <c r="E2382" s="8">
        <f t="shared" si="150"/>
        <v>339.42857142857144</v>
      </c>
    </row>
    <row r="2383" spans="1:5" ht="18.75" x14ac:dyDescent="0.3">
      <c r="A2383" s="3">
        <v>2377</v>
      </c>
      <c r="B2383" s="9">
        <f t="shared" si="148"/>
        <v>0.99902393037942139</v>
      </c>
      <c r="C2383" s="3">
        <f t="shared" si="151"/>
        <v>62495.940012745465</v>
      </c>
      <c r="D2383" s="3">
        <f t="shared" si="149"/>
        <v>8.0276127999240998E-2</v>
      </c>
      <c r="E2383" s="8">
        <f t="shared" si="150"/>
        <v>339.57142857142856</v>
      </c>
    </row>
    <row r="2384" spans="1:5" ht="18.75" x14ac:dyDescent="0.3">
      <c r="A2384" s="3">
        <v>2378</v>
      </c>
      <c r="B2384" s="9">
        <f t="shared" si="148"/>
        <v>0.99902521154134838</v>
      </c>
      <c r="C2384" s="3">
        <f t="shared" si="151"/>
        <v>62496.02015839213</v>
      </c>
      <c r="D2384" s="3">
        <f t="shared" si="149"/>
        <v>8.0145646665187087E-2</v>
      </c>
      <c r="E2384" s="8">
        <f t="shared" si="150"/>
        <v>339.71428571428572</v>
      </c>
    </row>
    <row r="2385" spans="1:5" ht="18.75" x14ac:dyDescent="0.3">
      <c r="A2385" s="3">
        <v>2379</v>
      </c>
      <c r="B2385" s="9">
        <f t="shared" si="148"/>
        <v>0.9990264906215478</v>
      </c>
      <c r="C2385" s="3">
        <f t="shared" si="151"/>
        <v>62496.100173812163</v>
      </c>
      <c r="D2385" s="3">
        <f t="shared" si="149"/>
        <v>8.0015420033305418E-2</v>
      </c>
      <c r="E2385" s="8">
        <f t="shared" si="150"/>
        <v>339.85714285714283</v>
      </c>
    </row>
    <row r="2386" spans="1:5" ht="18.75" x14ac:dyDescent="0.3">
      <c r="A2386" s="3">
        <v>2380</v>
      </c>
      <c r="B2386" s="9">
        <f t="shared" si="148"/>
        <v>0.99902776762408163</v>
      </c>
      <c r="C2386" s="3">
        <f t="shared" si="151"/>
        <v>62496.180059259677</v>
      </c>
      <c r="D2386" s="3">
        <f t="shared" si="149"/>
        <v>7.9885447514243424E-2</v>
      </c>
      <c r="E2386" s="8">
        <f t="shared" si="150"/>
        <v>340</v>
      </c>
    </row>
    <row r="2387" spans="1:5" ht="18.75" x14ac:dyDescent="0.3">
      <c r="A2387" s="3">
        <v>2381</v>
      </c>
      <c r="B2387" s="9">
        <f t="shared" si="148"/>
        <v>0.99902904255300284</v>
      </c>
      <c r="C2387" s="3">
        <f t="shared" si="151"/>
        <v>62496.259814988196</v>
      </c>
      <c r="D2387" s="3">
        <f t="shared" si="149"/>
        <v>7.9755728518648539E-2</v>
      </c>
      <c r="E2387" s="8">
        <f t="shared" si="150"/>
        <v>340.14285714285717</v>
      </c>
    </row>
    <row r="2388" spans="1:5" ht="18.75" x14ac:dyDescent="0.3">
      <c r="A2388" s="3">
        <v>2382</v>
      </c>
      <c r="B2388" s="9">
        <f t="shared" si="148"/>
        <v>0.99903031541235499</v>
      </c>
      <c r="C2388" s="3">
        <f t="shared" si="151"/>
        <v>62496.33944125069</v>
      </c>
      <c r="D2388" s="3">
        <f t="shared" si="149"/>
        <v>7.9626262493547983E-2</v>
      </c>
      <c r="E2388" s="8">
        <f t="shared" si="150"/>
        <v>340.28571428571428</v>
      </c>
    </row>
    <row r="2389" spans="1:5" ht="18.75" x14ac:dyDescent="0.3">
      <c r="A2389" s="3">
        <v>2383</v>
      </c>
      <c r="B2389" s="9">
        <f t="shared" si="148"/>
        <v>0.99903158620617227</v>
      </c>
      <c r="C2389" s="3">
        <f t="shared" si="151"/>
        <v>62496.418938299517</v>
      </c>
      <c r="D2389" s="3">
        <f t="shared" si="149"/>
        <v>7.9497048827761319E-2</v>
      </c>
      <c r="E2389" s="8">
        <f t="shared" si="150"/>
        <v>340.42857142857144</v>
      </c>
    </row>
    <row r="2390" spans="1:5" ht="18.75" x14ac:dyDescent="0.3">
      <c r="A2390" s="3">
        <v>2384</v>
      </c>
      <c r="B2390" s="9">
        <f t="shared" si="148"/>
        <v>0.99903285493848004</v>
      </c>
      <c r="C2390" s="3">
        <f t="shared" si="151"/>
        <v>62496.498306386493</v>
      </c>
      <c r="D2390" s="3">
        <f t="shared" si="149"/>
        <v>7.9368086975591723E-2</v>
      </c>
      <c r="E2390" s="8">
        <f t="shared" si="150"/>
        <v>340.57142857142856</v>
      </c>
    </row>
    <row r="2391" spans="1:5" ht="18.75" x14ac:dyDescent="0.3">
      <c r="A2391" s="3">
        <v>2385</v>
      </c>
      <c r="B2391" s="9">
        <f t="shared" ref="B2391:B2454" si="152">LOGNORMDIST(A2391,$A$3,$B$3)</f>
        <v>0.99903412161329397</v>
      </c>
      <c r="C2391" s="3">
        <f t="shared" si="151"/>
        <v>62496.577545762833</v>
      </c>
      <c r="D2391" s="3">
        <f t="shared" ref="D2391:D2454" si="153">C2391-C2390</f>
        <v>7.9239376340410672E-2</v>
      </c>
      <c r="E2391" s="8">
        <f t="shared" ref="E2391:E2454" si="154">A2391/7</f>
        <v>340.71428571428572</v>
      </c>
    </row>
    <row r="2392" spans="1:5" ht="18.75" x14ac:dyDescent="0.3">
      <c r="A2392" s="3">
        <v>2386</v>
      </c>
      <c r="B2392" s="9">
        <f t="shared" si="152"/>
        <v>0.99903538623462085</v>
      </c>
      <c r="C2392" s="3">
        <f t="shared" si="151"/>
        <v>62496.656656679173</v>
      </c>
      <c r="D2392" s="3">
        <f t="shared" si="153"/>
        <v>7.9110916340141557E-2</v>
      </c>
      <c r="E2392" s="8">
        <f t="shared" si="154"/>
        <v>340.85714285714283</v>
      </c>
    </row>
    <row r="2393" spans="1:5" ht="18.75" x14ac:dyDescent="0.3">
      <c r="A2393" s="3">
        <v>2387</v>
      </c>
      <c r="B2393" s="9">
        <f t="shared" si="152"/>
        <v>0.99903664880645826</v>
      </c>
      <c r="C2393" s="3">
        <f t="shared" si="151"/>
        <v>62496.73563938561</v>
      </c>
      <c r="D2393" s="3">
        <f t="shared" si="153"/>
        <v>7.8982706436363515E-2</v>
      </c>
      <c r="E2393" s="8">
        <f t="shared" si="154"/>
        <v>341</v>
      </c>
    </row>
    <row r="2394" spans="1:5" ht="18.75" x14ac:dyDescent="0.3">
      <c r="A2394" s="3">
        <v>2388</v>
      </c>
      <c r="B2394" s="9">
        <f t="shared" si="152"/>
        <v>0.99903790933279468</v>
      </c>
      <c r="C2394" s="3">
        <f t="shared" si="151"/>
        <v>62496.814494131635</v>
      </c>
      <c r="D2394" s="3">
        <f t="shared" si="153"/>
        <v>7.8854746025172062E-2</v>
      </c>
      <c r="E2394" s="8">
        <f t="shared" si="154"/>
        <v>341.14285714285717</v>
      </c>
    </row>
    <row r="2395" spans="1:5" ht="18.75" x14ac:dyDescent="0.3">
      <c r="A2395" s="3">
        <v>2389</v>
      </c>
      <c r="B2395" s="9">
        <f t="shared" si="152"/>
        <v>0.99903916781760937</v>
      </c>
      <c r="C2395" s="3">
        <f t="shared" si="151"/>
        <v>62496.893221166189</v>
      </c>
      <c r="D2395" s="3">
        <f t="shared" si="153"/>
        <v>7.8727034553594422E-2</v>
      </c>
      <c r="E2395" s="8">
        <f t="shared" si="154"/>
        <v>341.28571428571428</v>
      </c>
    </row>
    <row r="2396" spans="1:5" ht="18.75" x14ac:dyDescent="0.3">
      <c r="A2396" s="3">
        <v>2390</v>
      </c>
      <c r="B2396" s="9">
        <f t="shared" si="152"/>
        <v>0.99904042426487272</v>
      </c>
      <c r="C2396" s="3">
        <f t="shared" si="151"/>
        <v>62496.971820737643</v>
      </c>
      <c r="D2396" s="3">
        <f t="shared" si="153"/>
        <v>7.8599571454105899E-2</v>
      </c>
      <c r="E2396" s="8">
        <f t="shared" si="154"/>
        <v>341.42857142857144</v>
      </c>
    </row>
    <row r="2397" spans="1:5" ht="18.75" x14ac:dyDescent="0.3">
      <c r="A2397" s="3">
        <v>2391</v>
      </c>
      <c r="B2397" s="9">
        <f t="shared" si="152"/>
        <v>0.99904167867854587</v>
      </c>
      <c r="C2397" s="3">
        <f t="shared" si="151"/>
        <v>62497.050293093795</v>
      </c>
      <c r="D2397" s="3">
        <f t="shared" si="153"/>
        <v>7.8472356151905842E-2</v>
      </c>
      <c r="E2397" s="8">
        <f t="shared" si="154"/>
        <v>341.57142857142856</v>
      </c>
    </row>
    <row r="2398" spans="1:5" ht="18.75" x14ac:dyDescent="0.3">
      <c r="A2398" s="3">
        <v>2392</v>
      </c>
      <c r="B2398" s="9">
        <f t="shared" si="152"/>
        <v>0.99904293106258102</v>
      </c>
      <c r="C2398" s="3">
        <f t="shared" si="151"/>
        <v>62497.128638481881</v>
      </c>
      <c r="D2398" s="3">
        <f t="shared" si="153"/>
        <v>7.8345388086745515E-2</v>
      </c>
      <c r="E2398" s="8">
        <f t="shared" si="154"/>
        <v>341.71428571428572</v>
      </c>
    </row>
    <row r="2399" spans="1:5" ht="18.75" x14ac:dyDescent="0.3">
      <c r="A2399" s="3">
        <v>2393</v>
      </c>
      <c r="B2399" s="9">
        <f t="shared" si="152"/>
        <v>0.99904418142092133</v>
      </c>
      <c r="C2399" s="3">
        <f t="shared" si="151"/>
        <v>62497.206857148572</v>
      </c>
      <c r="D2399" s="3">
        <f t="shared" si="153"/>
        <v>7.8218666691100225E-2</v>
      </c>
      <c r="E2399" s="8">
        <f t="shared" si="154"/>
        <v>341.85714285714283</v>
      </c>
    </row>
    <row r="2400" spans="1:5" ht="18.75" x14ac:dyDescent="0.3">
      <c r="A2400" s="3">
        <v>2394</v>
      </c>
      <c r="B2400" s="9">
        <f t="shared" si="152"/>
        <v>0.99904542975750099</v>
      </c>
      <c r="C2400" s="3">
        <f t="shared" si="151"/>
        <v>62497.284949339992</v>
      </c>
      <c r="D2400" s="3">
        <f t="shared" si="153"/>
        <v>7.8092191419273149E-2</v>
      </c>
      <c r="E2400" s="8">
        <f t="shared" si="154"/>
        <v>342</v>
      </c>
    </row>
    <row r="2401" spans="1:5" ht="18.75" x14ac:dyDescent="0.3">
      <c r="A2401" s="3">
        <v>2395</v>
      </c>
      <c r="B2401" s="9">
        <f t="shared" si="152"/>
        <v>0.99904667607624509</v>
      </c>
      <c r="C2401" s="3">
        <f t="shared" si="151"/>
        <v>62497.362915301666</v>
      </c>
      <c r="D2401" s="3">
        <f t="shared" si="153"/>
        <v>7.7965961674635764E-2</v>
      </c>
      <c r="E2401" s="8">
        <f t="shared" si="154"/>
        <v>342.14285714285717</v>
      </c>
    </row>
    <row r="2402" spans="1:5" ht="18.75" x14ac:dyDescent="0.3">
      <c r="A2402" s="3">
        <v>2396</v>
      </c>
      <c r="B2402" s="9">
        <f t="shared" si="152"/>
        <v>0.99904792038107015</v>
      </c>
      <c r="C2402" s="3">
        <f t="shared" si="151"/>
        <v>62497.440755278607</v>
      </c>
      <c r="D2402" s="3">
        <f t="shared" si="153"/>
        <v>7.7839976940595079E-2</v>
      </c>
      <c r="E2402" s="8">
        <f t="shared" si="154"/>
        <v>342.28571428571428</v>
      </c>
    </row>
    <row r="2403" spans="1:5" ht="18.75" x14ac:dyDescent="0.3">
      <c r="A2403" s="3">
        <v>2397</v>
      </c>
      <c r="B2403" s="9">
        <f t="shared" si="152"/>
        <v>0.99904916267588351</v>
      </c>
      <c r="C2403" s="3">
        <f t="shared" si="151"/>
        <v>62497.518469515242</v>
      </c>
      <c r="D2403" s="3">
        <f t="shared" si="153"/>
        <v>7.7714236635074485E-2</v>
      </c>
      <c r="E2403" s="8">
        <f t="shared" si="154"/>
        <v>342.42857142857144</v>
      </c>
    </row>
    <row r="2404" spans="1:5" ht="18.75" x14ac:dyDescent="0.3">
      <c r="A2404" s="3">
        <v>2398</v>
      </c>
      <c r="B2404" s="9">
        <f t="shared" si="152"/>
        <v>0.99905040296458347</v>
      </c>
      <c r="C2404" s="3">
        <f t="shared" si="151"/>
        <v>62497.596058255447</v>
      </c>
      <c r="D2404" s="3">
        <f t="shared" si="153"/>
        <v>7.7588740205101203E-2</v>
      </c>
      <c r="E2404" s="8">
        <f t="shared" si="154"/>
        <v>342.57142857142856</v>
      </c>
    </row>
    <row r="2405" spans="1:5" ht="18.75" x14ac:dyDescent="0.3">
      <c r="A2405" s="3">
        <v>2399</v>
      </c>
      <c r="B2405" s="9">
        <f t="shared" si="152"/>
        <v>0.99905164125105972</v>
      </c>
      <c r="C2405" s="3">
        <f t="shared" si="151"/>
        <v>62497.673521742545</v>
      </c>
      <c r="D2405" s="3">
        <f t="shared" si="153"/>
        <v>7.7463487097702455E-2</v>
      </c>
      <c r="E2405" s="8">
        <f t="shared" si="154"/>
        <v>342.71428571428572</v>
      </c>
    </row>
    <row r="2406" spans="1:5" ht="18.75" x14ac:dyDescent="0.3">
      <c r="A2406" s="3">
        <v>2400</v>
      </c>
      <c r="B2406" s="9">
        <f t="shared" si="152"/>
        <v>0.99905287753919325</v>
      </c>
      <c r="C2406" s="3">
        <f t="shared" si="151"/>
        <v>62497.750860219312</v>
      </c>
      <c r="D2406" s="3">
        <f t="shared" si="153"/>
        <v>7.7338476767181419E-2</v>
      </c>
      <c r="E2406" s="8">
        <f t="shared" si="154"/>
        <v>342.85714285714283</v>
      </c>
    </row>
    <row r="2407" spans="1:5" ht="18.75" x14ac:dyDescent="0.3">
      <c r="A2407" s="3">
        <v>2401</v>
      </c>
      <c r="B2407" s="9">
        <f t="shared" si="152"/>
        <v>0.99905411183285564</v>
      </c>
      <c r="C2407" s="3">
        <f t="shared" si="151"/>
        <v>62497.828073927951</v>
      </c>
      <c r="D2407" s="3">
        <f t="shared" si="153"/>
        <v>7.7213708638737444E-2</v>
      </c>
      <c r="E2407" s="8">
        <f t="shared" si="154"/>
        <v>343</v>
      </c>
    </row>
    <row r="2408" spans="1:5" ht="18.75" x14ac:dyDescent="0.3">
      <c r="A2408" s="3">
        <v>2402</v>
      </c>
      <c r="B2408" s="9">
        <f t="shared" si="152"/>
        <v>0.99905534413591035</v>
      </c>
      <c r="C2408" s="3">
        <f t="shared" si="151"/>
        <v>62497.905163110147</v>
      </c>
      <c r="D2408" s="3">
        <f t="shared" si="153"/>
        <v>7.7089182195777539E-2</v>
      </c>
      <c r="E2408" s="8">
        <f t="shared" si="154"/>
        <v>343.14285714285717</v>
      </c>
    </row>
    <row r="2409" spans="1:5" ht="18.75" x14ac:dyDescent="0.3">
      <c r="A2409" s="3">
        <v>2403</v>
      </c>
      <c r="B2409" s="9">
        <f t="shared" si="152"/>
        <v>0.99905657445221163</v>
      </c>
      <c r="C2409" s="3">
        <f t="shared" si="151"/>
        <v>62497.982128007003</v>
      </c>
      <c r="D2409" s="3">
        <f t="shared" si="153"/>
        <v>7.6964896856225096E-2</v>
      </c>
      <c r="E2409" s="8">
        <f t="shared" si="154"/>
        <v>343.28571428571428</v>
      </c>
    </row>
    <row r="2410" spans="1:5" ht="18.75" x14ac:dyDescent="0.3">
      <c r="A2410" s="3">
        <v>2404</v>
      </c>
      <c r="B2410" s="9">
        <f t="shared" si="152"/>
        <v>0.99905780278560519</v>
      </c>
      <c r="C2410" s="3">
        <f t="shared" si="151"/>
        <v>62498.058968859106</v>
      </c>
      <c r="D2410" s="3">
        <f t="shared" si="153"/>
        <v>7.6840852103487123E-2</v>
      </c>
      <c r="E2410" s="8">
        <f t="shared" si="154"/>
        <v>343.42857142857144</v>
      </c>
    </row>
    <row r="2411" spans="1:5" ht="18.75" x14ac:dyDescent="0.3">
      <c r="A2411" s="3">
        <v>2405</v>
      </c>
      <c r="B2411" s="9">
        <f t="shared" si="152"/>
        <v>0.99905902913992783</v>
      </c>
      <c r="C2411" s="3">
        <f t="shared" si="151"/>
        <v>62498.135685906469</v>
      </c>
      <c r="D2411" s="3">
        <f t="shared" si="153"/>
        <v>7.6717047362762969E-2</v>
      </c>
      <c r="E2411" s="8">
        <f t="shared" si="154"/>
        <v>343.57142857142856</v>
      </c>
    </row>
    <row r="2412" spans="1:5" ht="18.75" x14ac:dyDescent="0.3">
      <c r="A2412" s="3">
        <v>2406</v>
      </c>
      <c r="B2412" s="9">
        <f t="shared" si="152"/>
        <v>0.99906025351900773</v>
      </c>
      <c r="C2412" s="3">
        <f t="shared" si="151"/>
        <v>62498.212279388565</v>
      </c>
      <c r="D2412" s="3">
        <f t="shared" si="153"/>
        <v>7.6593482095631771E-2</v>
      </c>
      <c r="E2412" s="8">
        <f t="shared" si="154"/>
        <v>343.71428571428572</v>
      </c>
    </row>
    <row r="2413" spans="1:5" ht="18.75" x14ac:dyDescent="0.3">
      <c r="A2413" s="3">
        <v>2407</v>
      </c>
      <c r="B2413" s="9">
        <f t="shared" si="152"/>
        <v>0.9990614759266645</v>
      </c>
      <c r="C2413" s="3">
        <f t="shared" si="151"/>
        <v>62498.28874954435</v>
      </c>
      <c r="D2413" s="3">
        <f t="shared" si="153"/>
        <v>7.6470155785500538E-2</v>
      </c>
      <c r="E2413" s="8">
        <f t="shared" si="154"/>
        <v>343.85714285714283</v>
      </c>
    </row>
    <row r="2414" spans="1:5" ht="18.75" x14ac:dyDescent="0.3">
      <c r="A2414" s="3">
        <v>2408</v>
      </c>
      <c r="B2414" s="9">
        <f t="shared" si="152"/>
        <v>0.99906269636670897</v>
      </c>
      <c r="C2414" s="3">
        <f t="shared" si="151"/>
        <v>62498.365096612215</v>
      </c>
      <c r="D2414" s="3">
        <f t="shared" si="153"/>
        <v>7.6347067864844576E-2</v>
      </c>
      <c r="E2414" s="8">
        <f t="shared" si="154"/>
        <v>344</v>
      </c>
    </row>
    <row r="2415" spans="1:5" ht="18.75" x14ac:dyDescent="0.3">
      <c r="A2415" s="3">
        <v>2409</v>
      </c>
      <c r="B2415" s="9">
        <f t="shared" si="152"/>
        <v>0.99906391484294332</v>
      </c>
      <c r="C2415" s="3">
        <f t="shared" si="151"/>
        <v>62498.441320830003</v>
      </c>
      <c r="D2415" s="3">
        <f t="shared" si="153"/>
        <v>7.6224217787967063E-2</v>
      </c>
      <c r="E2415" s="8">
        <f t="shared" si="154"/>
        <v>344.14285714285717</v>
      </c>
    </row>
    <row r="2416" spans="1:5" ht="18.75" x14ac:dyDescent="0.3">
      <c r="A2416" s="3">
        <v>2410</v>
      </c>
      <c r="B2416" s="9">
        <f t="shared" si="152"/>
        <v>0.99906513135916108</v>
      </c>
      <c r="C2416" s="3">
        <f t="shared" si="151"/>
        <v>62498.517422435041</v>
      </c>
      <c r="D2416" s="3">
        <f t="shared" si="153"/>
        <v>7.6101605038275011E-2</v>
      </c>
      <c r="E2416" s="8">
        <f t="shared" si="154"/>
        <v>344.28571428571428</v>
      </c>
    </row>
    <row r="2417" spans="1:5" ht="18.75" x14ac:dyDescent="0.3">
      <c r="A2417" s="3">
        <v>2411</v>
      </c>
      <c r="B2417" s="9">
        <f t="shared" si="152"/>
        <v>0.99906634591914734</v>
      </c>
      <c r="C2417" s="3">
        <f t="shared" si="151"/>
        <v>62498.593401664097</v>
      </c>
      <c r="D2417" s="3">
        <f t="shared" si="153"/>
        <v>7.5979229055519681E-2</v>
      </c>
      <c r="E2417" s="8">
        <f t="shared" si="154"/>
        <v>344.42857142857144</v>
      </c>
    </row>
    <row r="2418" spans="1:5" ht="18.75" x14ac:dyDescent="0.3">
      <c r="A2418" s="3">
        <v>2412</v>
      </c>
      <c r="B2418" s="9">
        <f t="shared" si="152"/>
        <v>0.99906755852667861</v>
      </c>
      <c r="C2418" s="3">
        <f t="shared" si="151"/>
        <v>62498.669258753434</v>
      </c>
      <c r="D2418" s="3">
        <f t="shared" si="153"/>
        <v>7.585708933766E-2</v>
      </c>
      <c r="E2418" s="8">
        <f t="shared" si="154"/>
        <v>344.57142857142856</v>
      </c>
    </row>
    <row r="2419" spans="1:5" ht="18.75" x14ac:dyDescent="0.3">
      <c r="A2419" s="3">
        <v>2413</v>
      </c>
      <c r="B2419" s="9">
        <f t="shared" si="152"/>
        <v>0.99906876918552268</v>
      </c>
      <c r="C2419" s="3">
        <f t="shared" si="151"/>
        <v>62498.744993938744</v>
      </c>
      <c r="D2419" s="3">
        <f t="shared" si="153"/>
        <v>7.5735185309895314E-2</v>
      </c>
      <c r="E2419" s="8">
        <f t="shared" si="154"/>
        <v>344.71428571428572</v>
      </c>
    </row>
    <row r="2420" spans="1:5" ht="18.75" x14ac:dyDescent="0.3">
      <c r="A2420" s="3">
        <v>2414</v>
      </c>
      <c r="B2420" s="9">
        <f t="shared" si="152"/>
        <v>0.99906997789943885</v>
      </c>
      <c r="C2420" s="3">
        <f t="shared" si="151"/>
        <v>62498.8206074552</v>
      </c>
      <c r="D2420" s="3">
        <f t="shared" si="153"/>
        <v>7.5613516455632634E-2</v>
      </c>
      <c r="E2420" s="8">
        <f t="shared" si="154"/>
        <v>344.85714285714283</v>
      </c>
    </row>
    <row r="2421" spans="1:5" ht="18.75" x14ac:dyDescent="0.3">
      <c r="A2421" s="3">
        <v>2415</v>
      </c>
      <c r="B2421" s="9">
        <f t="shared" si="152"/>
        <v>0.99907118467217804</v>
      </c>
      <c r="C2421" s="3">
        <f t="shared" si="151"/>
        <v>62498.896099537444</v>
      </c>
      <c r="D2421" s="3">
        <f t="shared" si="153"/>
        <v>7.5492082243727054E-2</v>
      </c>
      <c r="E2421" s="8">
        <f t="shared" si="154"/>
        <v>345</v>
      </c>
    </row>
    <row r="2422" spans="1:5" ht="18.75" x14ac:dyDescent="0.3">
      <c r="A2422" s="3">
        <v>2416</v>
      </c>
      <c r="B2422" s="9">
        <f t="shared" si="152"/>
        <v>0.99907238950748256</v>
      </c>
      <c r="C2422" s="3">
        <f t="shared" si="151"/>
        <v>62498.971470419587</v>
      </c>
      <c r="D2422" s="3">
        <f t="shared" si="153"/>
        <v>7.5370882143033668E-2</v>
      </c>
      <c r="E2422" s="8">
        <f t="shared" si="154"/>
        <v>345.14285714285717</v>
      </c>
    </row>
    <row r="2423" spans="1:5" ht="18.75" x14ac:dyDescent="0.3">
      <c r="A2423" s="3">
        <v>2417</v>
      </c>
      <c r="B2423" s="9">
        <f t="shared" si="152"/>
        <v>0.99907359240908644</v>
      </c>
      <c r="C2423" s="3">
        <f t="shared" si="151"/>
        <v>62499.046720335224</v>
      </c>
      <c r="D2423" s="3">
        <f t="shared" si="153"/>
        <v>7.5249915636959486E-2</v>
      </c>
      <c r="E2423" s="8">
        <f t="shared" si="154"/>
        <v>345.28571428571428</v>
      </c>
    </row>
    <row r="2424" spans="1:5" ht="18.75" x14ac:dyDescent="0.3">
      <c r="A2424" s="3">
        <v>2418</v>
      </c>
      <c r="B2424" s="9">
        <f t="shared" si="152"/>
        <v>0.99907479338071514</v>
      </c>
      <c r="C2424" s="3">
        <f t="shared" si="151"/>
        <v>62499.121849517396</v>
      </c>
      <c r="D2424" s="3">
        <f t="shared" si="153"/>
        <v>7.5129182172531728E-2</v>
      </c>
      <c r="E2424" s="8">
        <f t="shared" si="154"/>
        <v>345.42857142857144</v>
      </c>
    </row>
    <row r="2425" spans="1:5" ht="18.75" x14ac:dyDescent="0.3">
      <c r="A2425" s="3">
        <v>2419</v>
      </c>
      <c r="B2425" s="9">
        <f t="shared" si="152"/>
        <v>0.99907599242608569</v>
      </c>
      <c r="C2425" s="3">
        <f t="shared" si="151"/>
        <v>62499.196858198644</v>
      </c>
      <c r="D2425" s="3">
        <f t="shared" si="153"/>
        <v>7.5008681247709319E-2</v>
      </c>
      <c r="E2425" s="8">
        <f t="shared" si="154"/>
        <v>345.57142857142856</v>
      </c>
    </row>
    <row r="2426" spans="1:5" ht="18.75" x14ac:dyDescent="0.3">
      <c r="A2426" s="3">
        <v>2420</v>
      </c>
      <c r="B2426" s="9">
        <f t="shared" si="152"/>
        <v>0.99907718954890667</v>
      </c>
      <c r="C2426" s="3">
        <f t="shared" si="151"/>
        <v>62499.271746610953</v>
      </c>
      <c r="D2426" s="3">
        <f t="shared" si="153"/>
        <v>7.4888412309519481E-2</v>
      </c>
      <c r="E2426" s="8">
        <f t="shared" si="154"/>
        <v>345.71428571428572</v>
      </c>
    </row>
    <row r="2427" spans="1:5" ht="18.75" x14ac:dyDescent="0.3">
      <c r="A2427" s="3">
        <v>2421</v>
      </c>
      <c r="B2427" s="9">
        <f t="shared" si="152"/>
        <v>0.99907838475287847</v>
      </c>
      <c r="C2427" s="3">
        <f t="shared" si="151"/>
        <v>62499.346514985817</v>
      </c>
      <c r="D2427" s="3">
        <f t="shared" si="153"/>
        <v>7.4768374863197096E-2</v>
      </c>
      <c r="E2427" s="8">
        <f t="shared" si="154"/>
        <v>345.85714285714283</v>
      </c>
    </row>
    <row r="2428" spans="1:5" ht="18.75" x14ac:dyDescent="0.3">
      <c r="A2428" s="3">
        <v>2422</v>
      </c>
      <c r="B2428" s="9">
        <f t="shared" si="152"/>
        <v>0.99907957804169301</v>
      </c>
      <c r="C2428" s="3">
        <f t="shared" si="151"/>
        <v>62499.421163554187</v>
      </c>
      <c r="D2428" s="3">
        <f t="shared" si="153"/>
        <v>7.46485683703213E-2</v>
      </c>
      <c r="E2428" s="8">
        <f t="shared" si="154"/>
        <v>346</v>
      </c>
    </row>
    <row r="2429" spans="1:5" ht="18.75" x14ac:dyDescent="0.3">
      <c r="A2429" s="3">
        <v>2423</v>
      </c>
      <c r="B2429" s="9">
        <f t="shared" si="152"/>
        <v>0.9990807694190339</v>
      </c>
      <c r="C2429" s="3">
        <f t="shared" si="151"/>
        <v>62499.495692546501</v>
      </c>
      <c r="D2429" s="3">
        <f t="shared" si="153"/>
        <v>7.4528992314299103E-2</v>
      </c>
      <c r="E2429" s="8">
        <f t="shared" si="154"/>
        <v>346.14285714285717</v>
      </c>
    </row>
    <row r="2430" spans="1:5" ht="18.75" x14ac:dyDescent="0.3">
      <c r="A2430" s="3">
        <v>2424</v>
      </c>
      <c r="B2430" s="9">
        <f t="shared" si="152"/>
        <v>0.99908195888857643</v>
      </c>
      <c r="C2430" s="3">
        <f t="shared" si="151"/>
        <v>62499.570102192672</v>
      </c>
      <c r="D2430" s="3">
        <f t="shared" si="153"/>
        <v>7.4409646171261556E-2</v>
      </c>
      <c r="E2430" s="8">
        <f t="shared" si="154"/>
        <v>346.28571428571428</v>
      </c>
    </row>
    <row r="2431" spans="1:5" ht="18.75" x14ac:dyDescent="0.3">
      <c r="A2431" s="3">
        <v>2425</v>
      </c>
      <c r="B2431" s="9">
        <f t="shared" si="152"/>
        <v>0.99908314645398777</v>
      </c>
      <c r="C2431" s="3">
        <f t="shared" si="151"/>
        <v>62499.644392722112</v>
      </c>
      <c r="D2431" s="3">
        <f t="shared" si="153"/>
        <v>7.4290529439167585E-2</v>
      </c>
      <c r="E2431" s="8">
        <f t="shared" si="154"/>
        <v>346.42857142857144</v>
      </c>
    </row>
    <row r="2432" spans="1:5" ht="18.75" x14ac:dyDescent="0.3">
      <c r="A2432" s="3">
        <v>2426</v>
      </c>
      <c r="B2432" s="9">
        <f t="shared" si="152"/>
        <v>0.99908433211892644</v>
      </c>
      <c r="C2432" s="3">
        <f t="shared" si="151"/>
        <v>62499.718564363684</v>
      </c>
      <c r="D2432" s="3">
        <f t="shared" si="153"/>
        <v>7.4171641572320368E-2</v>
      </c>
      <c r="E2432" s="8">
        <f t="shared" si="154"/>
        <v>346.57142857142856</v>
      </c>
    </row>
    <row r="2433" spans="1:5" ht="18.75" x14ac:dyDescent="0.3">
      <c r="A2433" s="3">
        <v>2427</v>
      </c>
      <c r="B2433" s="9">
        <f t="shared" si="152"/>
        <v>0.99908551588704309</v>
      </c>
      <c r="C2433" s="3">
        <f t="shared" si="151"/>
        <v>62499.792617345753</v>
      </c>
      <c r="D2433" s="3">
        <f t="shared" si="153"/>
        <v>7.405298206867883E-2</v>
      </c>
      <c r="E2433" s="8">
        <f t="shared" si="154"/>
        <v>346.71428571428572</v>
      </c>
    </row>
    <row r="2434" spans="1:5" ht="18.75" x14ac:dyDescent="0.3">
      <c r="A2434" s="3">
        <v>2428</v>
      </c>
      <c r="B2434" s="9">
        <f t="shared" si="152"/>
        <v>0.99908669776198</v>
      </c>
      <c r="C2434" s="3">
        <f t="shared" si="151"/>
        <v>62499.866551896186</v>
      </c>
      <c r="D2434" s="3">
        <f t="shared" si="153"/>
        <v>7.3934550433477852E-2</v>
      </c>
      <c r="E2434" s="8">
        <f t="shared" si="154"/>
        <v>346.85714285714283</v>
      </c>
    </row>
    <row r="2435" spans="1:5" ht="18.75" x14ac:dyDescent="0.3">
      <c r="A2435" s="3">
        <v>2429</v>
      </c>
      <c r="B2435" s="9">
        <f t="shared" si="152"/>
        <v>0.99908787774737129</v>
      </c>
      <c r="C2435" s="3">
        <f t="shared" si="151"/>
        <v>62499.940368242307</v>
      </c>
      <c r="D2435" s="3">
        <f t="shared" si="153"/>
        <v>7.3816346121020615E-2</v>
      </c>
      <c r="E2435" s="8">
        <f t="shared" si="154"/>
        <v>347</v>
      </c>
    </row>
    <row r="2436" spans="1:5" ht="18.75" x14ac:dyDescent="0.3">
      <c r="A2436" s="3">
        <v>2430</v>
      </c>
      <c r="B2436" s="9">
        <f t="shared" si="152"/>
        <v>0.99908905584684293</v>
      </c>
      <c r="C2436" s="3">
        <f t="shared" si="151"/>
        <v>62500.014066610951</v>
      </c>
      <c r="D2436" s="3">
        <f t="shared" si="153"/>
        <v>7.3698368643817957E-2</v>
      </c>
      <c r="E2436" s="8">
        <f t="shared" si="154"/>
        <v>347.14285714285717</v>
      </c>
    </row>
    <row r="2437" spans="1:5" ht="18.75" x14ac:dyDescent="0.3">
      <c r="A2437" s="3">
        <v>2431</v>
      </c>
      <c r="B2437" s="9">
        <f t="shared" si="152"/>
        <v>0.99909023206401248</v>
      </c>
      <c r="C2437" s="3">
        <f t="shared" si="151"/>
        <v>62500.087647228429</v>
      </c>
      <c r="D2437" s="3">
        <f t="shared" si="153"/>
        <v>7.3580617478000931E-2</v>
      </c>
      <c r="E2437" s="8">
        <f t="shared" si="154"/>
        <v>347.28571428571428</v>
      </c>
    </row>
    <row r="2438" spans="1:5" ht="18.75" x14ac:dyDescent="0.3">
      <c r="A2438" s="3">
        <v>2432</v>
      </c>
      <c r="B2438" s="9">
        <f t="shared" si="152"/>
        <v>0.99909140640248972</v>
      </c>
      <c r="C2438" s="3">
        <f t="shared" si="151"/>
        <v>62500.161110320551</v>
      </c>
      <c r="D2438" s="3">
        <f t="shared" si="153"/>
        <v>7.3463092121528462E-2</v>
      </c>
      <c r="E2438" s="8">
        <f t="shared" si="154"/>
        <v>347.42857142857144</v>
      </c>
    </row>
    <row r="2439" spans="1:5" ht="18.75" x14ac:dyDescent="0.3">
      <c r="A2439" s="3">
        <v>2433</v>
      </c>
      <c r="B2439" s="9">
        <f t="shared" si="152"/>
        <v>0.9990925788658761</v>
      </c>
      <c r="C2439" s="3">
        <f t="shared" si="151"/>
        <v>62500.234456112608</v>
      </c>
      <c r="D2439" s="3">
        <f t="shared" si="153"/>
        <v>7.3345792057807557E-2</v>
      </c>
      <c r="E2439" s="8">
        <f t="shared" si="154"/>
        <v>347.57142857142856</v>
      </c>
    </row>
    <row r="2440" spans="1:5" ht="18.75" x14ac:dyDescent="0.3">
      <c r="A2440" s="3">
        <v>2434</v>
      </c>
      <c r="B2440" s="9">
        <f t="shared" si="152"/>
        <v>0.99909374945776519</v>
      </c>
      <c r="C2440" s="3">
        <f t="shared" ref="C2440:C2503" si="155">$E$3*B2440</f>
        <v>62500.307684829415</v>
      </c>
      <c r="D2440" s="3">
        <f t="shared" si="153"/>
        <v>7.3228716806625016E-2</v>
      </c>
      <c r="E2440" s="8">
        <f t="shared" si="154"/>
        <v>347.71428571428572</v>
      </c>
    </row>
    <row r="2441" spans="1:5" ht="18.75" x14ac:dyDescent="0.3">
      <c r="A2441" s="3">
        <v>2435</v>
      </c>
      <c r="B2441" s="9">
        <f t="shared" si="152"/>
        <v>0.99909491818174212</v>
      </c>
      <c r="C2441" s="3">
        <f t="shared" si="155"/>
        <v>62500.380796695244</v>
      </c>
      <c r="D2441" s="3">
        <f t="shared" si="153"/>
        <v>7.3111865829559974E-2</v>
      </c>
      <c r="E2441" s="8">
        <f t="shared" si="154"/>
        <v>347.85714285714283</v>
      </c>
    </row>
    <row r="2442" spans="1:5" ht="18.75" x14ac:dyDescent="0.3">
      <c r="A2442" s="3">
        <v>2436</v>
      </c>
      <c r="B2442" s="9">
        <f t="shared" si="152"/>
        <v>0.99909608504138425</v>
      </c>
      <c r="C2442" s="3">
        <f t="shared" si="155"/>
        <v>62500.453791933876</v>
      </c>
      <c r="D2442" s="3">
        <f t="shared" si="153"/>
        <v>7.2995238631847315E-2</v>
      </c>
      <c r="E2442" s="8">
        <f t="shared" si="154"/>
        <v>348</v>
      </c>
    </row>
    <row r="2443" spans="1:5" ht="18.75" x14ac:dyDescent="0.3">
      <c r="A2443" s="3">
        <v>2437</v>
      </c>
      <c r="B2443" s="9">
        <f t="shared" si="152"/>
        <v>0.99909725004026084</v>
      </c>
      <c r="C2443" s="3">
        <f t="shared" si="155"/>
        <v>62500.526670768595</v>
      </c>
      <c r="D2443" s="3">
        <f t="shared" si="153"/>
        <v>7.2878834718721919E-2</v>
      </c>
      <c r="E2443" s="8">
        <f t="shared" si="154"/>
        <v>348.14285714285717</v>
      </c>
    </row>
    <row r="2444" spans="1:5" ht="18.75" x14ac:dyDescent="0.3">
      <c r="A2444" s="3">
        <v>2438</v>
      </c>
      <c r="B2444" s="9">
        <f t="shared" si="152"/>
        <v>0.99909841318193315</v>
      </c>
      <c r="C2444" s="3">
        <f t="shared" si="155"/>
        <v>62500.59943342219</v>
      </c>
      <c r="D2444" s="3">
        <f t="shared" si="153"/>
        <v>7.2762653595418669E-2</v>
      </c>
      <c r="E2444" s="8">
        <f t="shared" si="154"/>
        <v>348.28571428571428</v>
      </c>
    </row>
    <row r="2445" spans="1:5" ht="18.75" x14ac:dyDescent="0.3">
      <c r="A2445" s="3">
        <v>2439</v>
      </c>
      <c r="B2445" s="9">
        <f t="shared" si="152"/>
        <v>0.99909957446995445</v>
      </c>
      <c r="C2445" s="3">
        <f t="shared" si="155"/>
        <v>62500.672080116943</v>
      </c>
      <c r="D2445" s="3">
        <f t="shared" si="153"/>
        <v>7.2646694752620533E-2</v>
      </c>
      <c r="E2445" s="8">
        <f t="shared" si="154"/>
        <v>348.42857142857144</v>
      </c>
    </row>
    <row r="2446" spans="1:5" ht="18.75" x14ac:dyDescent="0.3">
      <c r="A2446" s="3">
        <v>2440</v>
      </c>
      <c r="B2446" s="9">
        <f t="shared" si="152"/>
        <v>0.99910073390786991</v>
      </c>
      <c r="C2446" s="3">
        <f t="shared" si="155"/>
        <v>62500.744611074617</v>
      </c>
      <c r="D2446" s="3">
        <f t="shared" si="153"/>
        <v>7.253095767373452E-2</v>
      </c>
      <c r="E2446" s="8">
        <f t="shared" si="154"/>
        <v>348.57142857142856</v>
      </c>
    </row>
    <row r="2447" spans="1:5" ht="18.75" x14ac:dyDescent="0.3">
      <c r="A2447" s="3">
        <v>2441</v>
      </c>
      <c r="B2447" s="9">
        <f t="shared" si="152"/>
        <v>0.99910189149921713</v>
      </c>
      <c r="C2447" s="3">
        <f t="shared" si="155"/>
        <v>62500.817026516524</v>
      </c>
      <c r="D2447" s="3">
        <f t="shared" si="153"/>
        <v>7.2415441907651257E-2</v>
      </c>
      <c r="E2447" s="8">
        <f t="shared" si="154"/>
        <v>348.71428571428572</v>
      </c>
    </row>
    <row r="2448" spans="1:5" ht="18.75" x14ac:dyDescent="0.3">
      <c r="A2448" s="3">
        <v>2442</v>
      </c>
      <c r="B2448" s="9">
        <f t="shared" si="152"/>
        <v>0.9991030472475253</v>
      </c>
      <c r="C2448" s="3">
        <f t="shared" si="155"/>
        <v>62500.88932666344</v>
      </c>
      <c r="D2448" s="3">
        <f t="shared" si="153"/>
        <v>7.2300146915949881E-2</v>
      </c>
      <c r="E2448" s="8">
        <f t="shared" si="154"/>
        <v>348.85714285714283</v>
      </c>
    </row>
    <row r="2449" spans="1:5" ht="18.75" x14ac:dyDescent="0.3">
      <c r="A2449" s="3">
        <v>2443</v>
      </c>
      <c r="B2449" s="9">
        <f t="shared" si="152"/>
        <v>0.99910420115631593</v>
      </c>
      <c r="C2449" s="3">
        <f t="shared" si="155"/>
        <v>62500.961511735659</v>
      </c>
      <c r="D2449" s="3">
        <f t="shared" si="153"/>
        <v>7.218507221841719E-2</v>
      </c>
      <c r="E2449" s="8">
        <f t="shared" si="154"/>
        <v>349</v>
      </c>
    </row>
    <row r="2450" spans="1:5" ht="18.75" x14ac:dyDescent="0.3">
      <c r="A2450" s="3">
        <v>2444</v>
      </c>
      <c r="B2450" s="9">
        <f t="shared" si="152"/>
        <v>0.99910535322910266</v>
      </c>
      <c r="C2450" s="3">
        <f t="shared" si="155"/>
        <v>62501.033581952972</v>
      </c>
      <c r="D2450" s="3">
        <f t="shared" si="153"/>
        <v>7.2070217313012108E-2</v>
      </c>
      <c r="E2450" s="8">
        <f t="shared" si="154"/>
        <v>349.14285714285717</v>
      </c>
    </row>
    <row r="2451" spans="1:5" ht="18.75" x14ac:dyDescent="0.3">
      <c r="A2451" s="3">
        <v>2445</v>
      </c>
      <c r="B2451" s="9">
        <f t="shared" si="152"/>
        <v>0.99910650346939134</v>
      </c>
      <c r="C2451" s="3">
        <f t="shared" si="155"/>
        <v>62501.105537534713</v>
      </c>
      <c r="D2451" s="3">
        <f t="shared" si="153"/>
        <v>7.1955581741349306E-2</v>
      </c>
      <c r="E2451" s="8">
        <f t="shared" si="154"/>
        <v>349.28571428571428</v>
      </c>
    </row>
    <row r="2452" spans="1:5" ht="18.75" x14ac:dyDescent="0.3">
      <c r="A2452" s="3">
        <v>2446</v>
      </c>
      <c r="B2452" s="9">
        <f t="shared" si="152"/>
        <v>0.99910765188067974</v>
      </c>
      <c r="C2452" s="3">
        <f t="shared" si="155"/>
        <v>62501.177378699686</v>
      </c>
      <c r="D2452" s="3">
        <f t="shared" si="153"/>
        <v>7.1841164972283877E-2</v>
      </c>
      <c r="E2452" s="8">
        <f t="shared" si="154"/>
        <v>349.42857142857144</v>
      </c>
    </row>
    <row r="2453" spans="1:5" ht="18.75" x14ac:dyDescent="0.3">
      <c r="A2453" s="3">
        <v>2447</v>
      </c>
      <c r="B2453" s="9">
        <f t="shared" si="152"/>
        <v>0.99910879846645806</v>
      </c>
      <c r="C2453" s="3">
        <f t="shared" si="155"/>
        <v>62501.249105666218</v>
      </c>
      <c r="D2453" s="3">
        <f t="shared" si="153"/>
        <v>7.1726966532878578E-2</v>
      </c>
      <c r="E2453" s="8">
        <f t="shared" si="154"/>
        <v>349.57142857142856</v>
      </c>
    </row>
    <row r="2454" spans="1:5" ht="18.75" x14ac:dyDescent="0.3">
      <c r="A2454" s="3">
        <v>2448</v>
      </c>
      <c r="B2454" s="9">
        <f t="shared" si="152"/>
        <v>0.99910994323020841</v>
      </c>
      <c r="C2454" s="3">
        <f t="shared" si="155"/>
        <v>62501.320718652147</v>
      </c>
      <c r="D2454" s="3">
        <f t="shared" si="153"/>
        <v>7.1612985928368289E-2</v>
      </c>
      <c r="E2454" s="8">
        <f t="shared" si="154"/>
        <v>349.71428571428572</v>
      </c>
    </row>
    <row r="2455" spans="1:5" ht="18.75" x14ac:dyDescent="0.3">
      <c r="A2455" s="3">
        <v>2449</v>
      </c>
      <c r="B2455" s="9">
        <f t="shared" ref="B2455:B2518" si="156">LOGNORMDIST(A2455,$A$3,$B$3)</f>
        <v>0.99911108617540534</v>
      </c>
      <c r="C2455" s="3">
        <f t="shared" si="155"/>
        <v>62501.392217874833</v>
      </c>
      <c r="D2455" s="3">
        <f t="shared" ref="D2455:D2518" si="157">C2455-C2454</f>
        <v>7.1499222685815766E-2</v>
      </c>
      <c r="E2455" s="8">
        <f t="shared" ref="E2455:E2518" si="158">A2455/7</f>
        <v>349.85714285714283</v>
      </c>
    </row>
    <row r="2456" spans="1:5" ht="18.75" x14ac:dyDescent="0.3">
      <c r="A2456" s="3">
        <v>2450</v>
      </c>
      <c r="B2456" s="9">
        <f t="shared" si="156"/>
        <v>0.99911222730551563</v>
      </c>
      <c r="C2456" s="3">
        <f t="shared" si="155"/>
        <v>62501.463603551143</v>
      </c>
      <c r="D2456" s="3">
        <f t="shared" si="157"/>
        <v>7.1385676310455892E-2</v>
      </c>
      <c r="E2456" s="8">
        <f t="shared" si="158"/>
        <v>350</v>
      </c>
    </row>
    <row r="2457" spans="1:5" ht="18.75" x14ac:dyDescent="0.3">
      <c r="A2457" s="3">
        <v>2451</v>
      </c>
      <c r="B2457" s="9">
        <f t="shared" si="156"/>
        <v>0.99911336662399819</v>
      </c>
      <c r="C2457" s="3">
        <f t="shared" si="155"/>
        <v>62501.534875897458</v>
      </c>
      <c r="D2457" s="3">
        <f t="shared" si="157"/>
        <v>7.1272346314799506E-2</v>
      </c>
      <c r="E2457" s="8">
        <f t="shared" si="158"/>
        <v>350.14285714285717</v>
      </c>
    </row>
    <row r="2458" spans="1:5" ht="18.75" x14ac:dyDescent="0.3">
      <c r="A2458" s="3">
        <v>2452</v>
      </c>
      <c r="B2458" s="9">
        <f t="shared" si="156"/>
        <v>0.99911450413430425</v>
      </c>
      <c r="C2458" s="3">
        <f t="shared" si="155"/>
        <v>62501.606035129669</v>
      </c>
      <c r="D2458" s="3">
        <f t="shared" si="157"/>
        <v>7.1159232211357448E-2</v>
      </c>
      <c r="E2458" s="8">
        <f t="shared" si="158"/>
        <v>350.28571428571428</v>
      </c>
    </row>
    <row r="2459" spans="1:5" ht="18.75" x14ac:dyDescent="0.3">
      <c r="A2459" s="3">
        <v>2453</v>
      </c>
      <c r="B2459" s="9">
        <f t="shared" si="156"/>
        <v>0.99911563983987728</v>
      </c>
      <c r="C2459" s="3">
        <f t="shared" si="155"/>
        <v>62501.677081463204</v>
      </c>
      <c r="D2459" s="3">
        <f t="shared" si="157"/>
        <v>7.1046333534468431E-2</v>
      </c>
      <c r="E2459" s="8">
        <f t="shared" si="158"/>
        <v>350.42857142857144</v>
      </c>
    </row>
    <row r="2460" spans="1:5" ht="18.75" x14ac:dyDescent="0.3">
      <c r="A2460" s="3">
        <v>2454</v>
      </c>
      <c r="B2460" s="9">
        <f t="shared" si="156"/>
        <v>0.99911677374415331</v>
      </c>
      <c r="C2460" s="3">
        <f t="shared" si="155"/>
        <v>62501.748015113</v>
      </c>
      <c r="D2460" s="3">
        <f t="shared" si="157"/>
        <v>7.0933649796643294E-2</v>
      </c>
      <c r="E2460" s="8">
        <f t="shared" si="158"/>
        <v>350.57142857142856</v>
      </c>
    </row>
    <row r="2461" spans="1:5" ht="18.75" x14ac:dyDescent="0.3">
      <c r="A2461" s="3">
        <v>2455</v>
      </c>
      <c r="B2461" s="9">
        <f t="shared" si="156"/>
        <v>0.99911790585056037</v>
      </c>
      <c r="C2461" s="3">
        <f t="shared" si="155"/>
        <v>62501.818836293503</v>
      </c>
      <c r="D2461" s="3">
        <f t="shared" si="157"/>
        <v>7.0821180503116921E-2</v>
      </c>
      <c r="E2461" s="8">
        <f t="shared" si="158"/>
        <v>350.71428571428572</v>
      </c>
    </row>
    <row r="2462" spans="1:5" ht="18.75" x14ac:dyDescent="0.3">
      <c r="A2462" s="3">
        <v>2456</v>
      </c>
      <c r="B2462" s="9">
        <f t="shared" si="156"/>
        <v>0.99911903616251896</v>
      </c>
      <c r="C2462" s="3">
        <f t="shared" si="155"/>
        <v>62501.889545218699</v>
      </c>
      <c r="D2462" s="3">
        <f t="shared" si="157"/>
        <v>7.070892519550398E-2</v>
      </c>
      <c r="E2462" s="8">
        <f t="shared" si="158"/>
        <v>350.85714285714283</v>
      </c>
    </row>
    <row r="2463" spans="1:5" ht="18.75" x14ac:dyDescent="0.3">
      <c r="A2463" s="3">
        <v>2457</v>
      </c>
      <c r="B2463" s="9">
        <f t="shared" si="156"/>
        <v>0.99912016468344211</v>
      </c>
      <c r="C2463" s="3">
        <f t="shared" si="155"/>
        <v>62501.960142102085</v>
      </c>
      <c r="D2463" s="3">
        <f t="shared" si="157"/>
        <v>7.0596883386315312E-2</v>
      </c>
      <c r="E2463" s="8">
        <f t="shared" si="158"/>
        <v>351</v>
      </c>
    </row>
    <row r="2464" spans="1:5" ht="18.75" x14ac:dyDescent="0.3">
      <c r="A2464" s="3">
        <v>2458</v>
      </c>
      <c r="B2464" s="9">
        <f t="shared" si="156"/>
        <v>0.99912129141673511</v>
      </c>
      <c r="C2464" s="3">
        <f t="shared" si="155"/>
        <v>62502.030627156695</v>
      </c>
      <c r="D2464" s="3">
        <f t="shared" si="157"/>
        <v>7.048505460988963E-2</v>
      </c>
      <c r="E2464" s="8">
        <f t="shared" si="158"/>
        <v>351.14285714285717</v>
      </c>
    </row>
    <row r="2465" spans="1:5" ht="18.75" x14ac:dyDescent="0.3">
      <c r="A2465" s="3">
        <v>2459</v>
      </c>
      <c r="B2465" s="9">
        <f t="shared" si="156"/>
        <v>0.99912241636579557</v>
      </c>
      <c r="C2465" s="3">
        <f t="shared" si="155"/>
        <v>62502.101000595074</v>
      </c>
      <c r="D2465" s="3">
        <f t="shared" si="157"/>
        <v>7.0373438378737774E-2</v>
      </c>
      <c r="E2465" s="8">
        <f t="shared" si="158"/>
        <v>351.28571428571428</v>
      </c>
    </row>
    <row r="2466" spans="1:5" ht="18.75" x14ac:dyDescent="0.3">
      <c r="A2466" s="3">
        <v>2460</v>
      </c>
      <c r="B2466" s="9">
        <f t="shared" si="156"/>
        <v>0.99912353953401367</v>
      </c>
      <c r="C2466" s="3">
        <f t="shared" si="155"/>
        <v>62502.171262629294</v>
      </c>
      <c r="D2466" s="3">
        <f t="shared" si="157"/>
        <v>7.0262034219922498E-2</v>
      </c>
      <c r="E2466" s="8">
        <f t="shared" si="158"/>
        <v>351.42857142857144</v>
      </c>
    </row>
    <row r="2467" spans="1:5" ht="18.75" x14ac:dyDescent="0.3">
      <c r="A2467" s="3">
        <v>2461</v>
      </c>
      <c r="B2467" s="9">
        <f t="shared" si="156"/>
        <v>0.99912466092477203</v>
      </c>
      <c r="C2467" s="3">
        <f t="shared" si="155"/>
        <v>62502.241413470962</v>
      </c>
      <c r="D2467" s="3">
        <f t="shared" si="157"/>
        <v>7.0150841667782515E-2</v>
      </c>
      <c r="E2467" s="8">
        <f t="shared" si="158"/>
        <v>351.57142857142856</v>
      </c>
    </row>
    <row r="2468" spans="1:5" ht="18.75" x14ac:dyDescent="0.3">
      <c r="A2468" s="3">
        <v>2462</v>
      </c>
      <c r="B2468" s="9">
        <f t="shared" si="156"/>
        <v>0.99912578054144574</v>
      </c>
      <c r="C2468" s="3">
        <f t="shared" si="155"/>
        <v>62502.311453331218</v>
      </c>
      <c r="D2468" s="3">
        <f t="shared" si="157"/>
        <v>7.0039860256656539E-2</v>
      </c>
      <c r="E2468" s="8">
        <f t="shared" si="158"/>
        <v>351.71428571428572</v>
      </c>
    </row>
    <row r="2469" spans="1:5" ht="18.75" x14ac:dyDescent="0.3">
      <c r="A2469" s="3">
        <v>2463</v>
      </c>
      <c r="B2469" s="9">
        <f t="shared" si="156"/>
        <v>0.99912689838740221</v>
      </c>
      <c r="C2469" s="3">
        <f t="shared" si="155"/>
        <v>62502.381382420717</v>
      </c>
      <c r="D2469" s="3">
        <f t="shared" si="157"/>
        <v>6.9929089499055408E-2</v>
      </c>
      <c r="E2469" s="8">
        <f t="shared" si="158"/>
        <v>351.85714285714283</v>
      </c>
    </row>
    <row r="2470" spans="1:5" ht="18.75" x14ac:dyDescent="0.3">
      <c r="A2470" s="3">
        <v>2464</v>
      </c>
      <c r="B2470" s="9">
        <f t="shared" si="156"/>
        <v>0.99912801446600152</v>
      </c>
      <c r="C2470" s="3">
        <f t="shared" si="155"/>
        <v>62502.451200949654</v>
      </c>
      <c r="D2470" s="3">
        <f t="shared" si="157"/>
        <v>6.9818528936593793E-2</v>
      </c>
      <c r="E2470" s="8">
        <f t="shared" si="158"/>
        <v>352</v>
      </c>
    </row>
    <row r="2471" spans="1:5" ht="18.75" x14ac:dyDescent="0.3">
      <c r="A2471" s="3">
        <v>2465</v>
      </c>
      <c r="B2471" s="9">
        <f t="shared" si="156"/>
        <v>0.99912912878059645</v>
      </c>
      <c r="C2471" s="3">
        <f t="shared" si="155"/>
        <v>62502.520909127772</v>
      </c>
      <c r="D2471" s="3">
        <f t="shared" si="157"/>
        <v>6.9708178118162323E-2</v>
      </c>
      <c r="E2471" s="8">
        <f t="shared" si="158"/>
        <v>352.14285714285717</v>
      </c>
    </row>
    <row r="2472" spans="1:5" ht="18.75" x14ac:dyDescent="0.3">
      <c r="A2472" s="3">
        <v>2466</v>
      </c>
      <c r="B2472" s="9">
        <f t="shared" si="156"/>
        <v>0.99913024133453188</v>
      </c>
      <c r="C2472" s="3">
        <f t="shared" si="155"/>
        <v>62502.590507164314</v>
      </c>
      <c r="D2472" s="3">
        <f t="shared" si="157"/>
        <v>6.9598036541719921E-2</v>
      </c>
      <c r="E2472" s="8">
        <f t="shared" si="158"/>
        <v>352.28571428571428</v>
      </c>
    </row>
    <row r="2473" spans="1:5" ht="18.75" x14ac:dyDescent="0.3">
      <c r="A2473" s="3">
        <v>2467</v>
      </c>
      <c r="B2473" s="9">
        <f t="shared" si="156"/>
        <v>0.99913135213114557</v>
      </c>
      <c r="C2473" s="3">
        <f t="shared" si="155"/>
        <v>62502.65999526807</v>
      </c>
      <c r="D2473" s="3">
        <f t="shared" si="157"/>
        <v>6.9488103756157216E-2</v>
      </c>
      <c r="E2473" s="8">
        <f t="shared" si="158"/>
        <v>352.42857142857144</v>
      </c>
    </row>
    <row r="2474" spans="1:5" ht="18.75" x14ac:dyDescent="0.3">
      <c r="A2474" s="3">
        <v>2468</v>
      </c>
      <c r="B2474" s="9">
        <f t="shared" si="156"/>
        <v>0.99913246117376786</v>
      </c>
      <c r="C2474" s="3">
        <f t="shared" si="155"/>
        <v>62502.729373647395</v>
      </c>
      <c r="D2474" s="3">
        <f t="shared" si="157"/>
        <v>6.937837932491675E-2</v>
      </c>
      <c r="E2474" s="8">
        <f t="shared" si="158"/>
        <v>352.57142857142856</v>
      </c>
    </row>
    <row r="2475" spans="1:5" ht="18.75" x14ac:dyDescent="0.3">
      <c r="A2475" s="3">
        <v>2469</v>
      </c>
      <c r="B2475" s="9">
        <f t="shared" si="156"/>
        <v>0.99913356846572166</v>
      </c>
      <c r="C2475" s="3">
        <f t="shared" si="155"/>
        <v>62502.798642510148</v>
      </c>
      <c r="D2475" s="3">
        <f t="shared" si="157"/>
        <v>6.9268862753233407E-2</v>
      </c>
      <c r="E2475" s="8">
        <f t="shared" si="158"/>
        <v>352.71428571428572</v>
      </c>
    </row>
    <row r="2476" spans="1:5" ht="18.75" x14ac:dyDescent="0.3">
      <c r="A2476" s="3">
        <v>2470</v>
      </c>
      <c r="B2476" s="9">
        <f t="shared" si="156"/>
        <v>0.9991346740103223</v>
      </c>
      <c r="C2476" s="3">
        <f t="shared" si="155"/>
        <v>62502.867802063731</v>
      </c>
      <c r="D2476" s="3">
        <f t="shared" si="157"/>
        <v>6.9159553582721855E-2</v>
      </c>
      <c r="E2476" s="8">
        <f t="shared" si="158"/>
        <v>352.85714285714283</v>
      </c>
    </row>
    <row r="2477" spans="1:5" ht="18.75" x14ac:dyDescent="0.3">
      <c r="A2477" s="3">
        <v>2471</v>
      </c>
      <c r="B2477" s="9">
        <f t="shared" si="156"/>
        <v>0.99913577781087815</v>
      </c>
      <c r="C2477" s="3">
        <f t="shared" si="155"/>
        <v>62502.936852515108</v>
      </c>
      <c r="D2477" s="3">
        <f t="shared" si="157"/>
        <v>6.905045137682464E-2</v>
      </c>
      <c r="E2477" s="8">
        <f t="shared" si="158"/>
        <v>353</v>
      </c>
    </row>
    <row r="2478" spans="1:5" ht="18.75" x14ac:dyDescent="0.3">
      <c r="A2478" s="3">
        <v>2472</v>
      </c>
      <c r="B2478" s="9">
        <f t="shared" si="156"/>
        <v>0.99913687987068978</v>
      </c>
      <c r="C2478" s="3">
        <f t="shared" si="155"/>
        <v>62503.005794070741</v>
      </c>
      <c r="D2478" s="3">
        <f t="shared" si="157"/>
        <v>6.8941555633500684E-2</v>
      </c>
      <c r="E2478" s="8">
        <f t="shared" si="158"/>
        <v>353.14285714285717</v>
      </c>
    </row>
    <row r="2479" spans="1:5" ht="18.75" x14ac:dyDescent="0.3">
      <c r="A2479" s="3">
        <v>2473</v>
      </c>
      <c r="B2479" s="9">
        <f t="shared" si="156"/>
        <v>0.99913798019305089</v>
      </c>
      <c r="C2479" s="3">
        <f t="shared" si="155"/>
        <v>62503.074626936686</v>
      </c>
      <c r="D2479" s="3">
        <f t="shared" si="157"/>
        <v>6.8832865945296362E-2</v>
      </c>
      <c r="E2479" s="8">
        <f t="shared" si="158"/>
        <v>353.28571428571428</v>
      </c>
    </row>
    <row r="2480" spans="1:5" ht="18.75" x14ac:dyDescent="0.3">
      <c r="A2480" s="3">
        <v>2474</v>
      </c>
      <c r="B2480" s="9">
        <f t="shared" si="156"/>
        <v>0.99913907878124752</v>
      </c>
      <c r="C2480" s="3">
        <f t="shared" si="155"/>
        <v>62503.143351318504</v>
      </c>
      <c r="D2480" s="3">
        <f t="shared" si="157"/>
        <v>6.8724381817446556E-2</v>
      </c>
      <c r="E2480" s="8">
        <f t="shared" si="158"/>
        <v>353.42857142857144</v>
      </c>
    </row>
    <row r="2481" spans="1:5" ht="18.75" x14ac:dyDescent="0.3">
      <c r="A2481" s="3">
        <v>2475</v>
      </c>
      <c r="B2481" s="9">
        <f t="shared" si="156"/>
        <v>0.9991401756385585</v>
      </c>
      <c r="C2481" s="3">
        <f t="shared" si="155"/>
        <v>62503.211967421303</v>
      </c>
      <c r="D2481" s="3">
        <f t="shared" si="157"/>
        <v>6.8616102798841894E-2</v>
      </c>
      <c r="E2481" s="8">
        <f t="shared" si="158"/>
        <v>353.57142857142856</v>
      </c>
    </row>
    <row r="2482" spans="1:5" ht="18.75" x14ac:dyDescent="0.3">
      <c r="A2482" s="3">
        <v>2476</v>
      </c>
      <c r="B2482" s="9">
        <f t="shared" si="156"/>
        <v>0.99914127076825565</v>
      </c>
      <c r="C2482" s="3">
        <f t="shared" si="155"/>
        <v>62503.28047544977</v>
      </c>
      <c r="D2482" s="3">
        <f t="shared" si="157"/>
        <v>6.8508028467476834E-2</v>
      </c>
      <c r="E2482" s="8">
        <f t="shared" si="158"/>
        <v>353.71428571428572</v>
      </c>
    </row>
    <row r="2483" spans="1:5" ht="18.75" x14ac:dyDescent="0.3">
      <c r="A2483" s="3">
        <v>2477</v>
      </c>
      <c r="B2483" s="9">
        <f t="shared" si="156"/>
        <v>0.99914236417360325</v>
      </c>
      <c r="C2483" s="3">
        <f t="shared" si="155"/>
        <v>62503.348875608099</v>
      </c>
      <c r="D2483" s="3">
        <f t="shared" si="157"/>
        <v>6.8400158328586258E-2</v>
      </c>
      <c r="E2483" s="8">
        <f t="shared" si="158"/>
        <v>353.85714285714283</v>
      </c>
    </row>
    <row r="2484" spans="1:5" ht="18.75" x14ac:dyDescent="0.3">
      <c r="A2484" s="3">
        <v>2478</v>
      </c>
      <c r="B2484" s="9">
        <f t="shared" si="156"/>
        <v>0.99914345585785846</v>
      </c>
      <c r="C2484" s="3">
        <f t="shared" si="155"/>
        <v>62503.417168100052</v>
      </c>
      <c r="D2484" s="3">
        <f t="shared" si="157"/>
        <v>6.8292491952888668E-2</v>
      </c>
      <c r="E2484" s="8">
        <f t="shared" si="158"/>
        <v>354</v>
      </c>
    </row>
    <row r="2485" spans="1:5" ht="18.75" x14ac:dyDescent="0.3">
      <c r="A2485" s="3">
        <v>2479</v>
      </c>
      <c r="B2485" s="9">
        <f t="shared" si="156"/>
        <v>0.99914454582427126</v>
      </c>
      <c r="C2485" s="3">
        <f t="shared" si="155"/>
        <v>62503.485353128934</v>
      </c>
      <c r="D2485" s="3">
        <f t="shared" si="157"/>
        <v>6.8185028881998733E-2</v>
      </c>
      <c r="E2485" s="8">
        <f t="shared" si="158"/>
        <v>354.14285714285717</v>
      </c>
    </row>
    <row r="2486" spans="1:5" ht="18.75" x14ac:dyDescent="0.3">
      <c r="A2486" s="3">
        <v>2480</v>
      </c>
      <c r="B2486" s="9">
        <f t="shared" si="156"/>
        <v>0.99914563407608437</v>
      </c>
      <c r="C2486" s="3">
        <f t="shared" si="155"/>
        <v>62503.553430897613</v>
      </c>
      <c r="D2486" s="3">
        <f t="shared" si="157"/>
        <v>6.8077768679358996E-2</v>
      </c>
      <c r="E2486" s="8">
        <f t="shared" si="158"/>
        <v>354.28571428571428</v>
      </c>
    </row>
    <row r="2487" spans="1:5" ht="18.75" x14ac:dyDescent="0.3">
      <c r="A2487" s="3">
        <v>2481</v>
      </c>
      <c r="B2487" s="9">
        <f t="shared" si="156"/>
        <v>0.99914672061653331</v>
      </c>
      <c r="C2487" s="3">
        <f t="shared" si="155"/>
        <v>62503.621401608478</v>
      </c>
      <c r="D2487" s="3">
        <f t="shared" si="157"/>
        <v>6.7970710864756256E-2</v>
      </c>
      <c r="E2487" s="8">
        <f t="shared" si="158"/>
        <v>354.42857142857144</v>
      </c>
    </row>
    <row r="2488" spans="1:5" ht="18.75" x14ac:dyDescent="0.3">
      <c r="A2488" s="3">
        <v>2482</v>
      </c>
      <c r="B2488" s="9">
        <f t="shared" si="156"/>
        <v>0.99914780544884663</v>
      </c>
      <c r="C2488" s="3">
        <f t="shared" si="155"/>
        <v>62503.689265463501</v>
      </c>
      <c r="D2488" s="3">
        <f t="shared" si="157"/>
        <v>6.7863855023460928E-2</v>
      </c>
      <c r="E2488" s="8">
        <f t="shared" si="158"/>
        <v>354.57142857142856</v>
      </c>
    </row>
    <row r="2489" spans="1:5" ht="18.75" x14ac:dyDescent="0.3">
      <c r="A2489" s="3">
        <v>2483</v>
      </c>
      <c r="B2489" s="9">
        <f t="shared" si="156"/>
        <v>0.99914888857624551</v>
      </c>
      <c r="C2489" s="3">
        <f t="shared" si="155"/>
        <v>62503.757022664191</v>
      </c>
      <c r="D2489" s="3">
        <f t="shared" si="157"/>
        <v>6.7757200689811725E-2</v>
      </c>
      <c r="E2489" s="8">
        <f t="shared" si="158"/>
        <v>354.71428571428572</v>
      </c>
    </row>
    <row r="2490" spans="1:5" ht="18.75" x14ac:dyDescent="0.3">
      <c r="A2490" s="3">
        <v>2484</v>
      </c>
      <c r="B2490" s="9">
        <f t="shared" si="156"/>
        <v>0.99914997000194405</v>
      </c>
      <c r="C2490" s="3">
        <f t="shared" si="155"/>
        <v>62503.824673411611</v>
      </c>
      <c r="D2490" s="3">
        <f t="shared" si="157"/>
        <v>6.7650747419975232E-2</v>
      </c>
      <c r="E2490" s="8">
        <f t="shared" si="158"/>
        <v>354.85714285714283</v>
      </c>
    </row>
    <row r="2491" spans="1:5" ht="18.75" x14ac:dyDescent="0.3">
      <c r="A2491" s="3">
        <v>2485</v>
      </c>
      <c r="B2491" s="9">
        <f t="shared" si="156"/>
        <v>0.99915104972914959</v>
      </c>
      <c r="C2491" s="3">
        <f t="shared" si="155"/>
        <v>62503.89221790641</v>
      </c>
      <c r="D2491" s="3">
        <f t="shared" si="157"/>
        <v>6.7544494799221866E-2</v>
      </c>
      <c r="E2491" s="8">
        <f t="shared" si="158"/>
        <v>355</v>
      </c>
    </row>
    <row r="2492" spans="1:5" ht="18.75" x14ac:dyDescent="0.3">
      <c r="A2492" s="3">
        <v>2486</v>
      </c>
      <c r="B2492" s="9">
        <f t="shared" si="156"/>
        <v>0.99915212776106177</v>
      </c>
      <c r="C2492" s="3">
        <f t="shared" si="155"/>
        <v>62503.959656348743</v>
      </c>
      <c r="D2492" s="3">
        <f t="shared" si="157"/>
        <v>6.7438442332786508E-2</v>
      </c>
      <c r="E2492" s="8">
        <f t="shared" si="158"/>
        <v>355.14285714285717</v>
      </c>
    </row>
    <row r="2493" spans="1:5" ht="18.75" x14ac:dyDescent="0.3">
      <c r="A2493" s="3">
        <v>2487</v>
      </c>
      <c r="B2493" s="9">
        <f t="shared" si="156"/>
        <v>0.99915320410087372</v>
      </c>
      <c r="C2493" s="3">
        <f t="shared" si="155"/>
        <v>62504.026988938356</v>
      </c>
      <c r="D2493" s="3">
        <f t="shared" si="157"/>
        <v>6.7332589613215532E-2</v>
      </c>
      <c r="E2493" s="8">
        <f t="shared" si="158"/>
        <v>355.28571428571428</v>
      </c>
    </row>
    <row r="2494" spans="1:5" ht="18.75" x14ac:dyDescent="0.3">
      <c r="A2494" s="3">
        <v>2488</v>
      </c>
      <c r="B2494" s="9">
        <f t="shared" si="156"/>
        <v>0.99915427875177132</v>
      </c>
      <c r="C2494" s="3">
        <f t="shared" si="155"/>
        <v>62504.09421587456</v>
      </c>
      <c r="D2494" s="3">
        <f t="shared" si="157"/>
        <v>6.7226936203951482E-2</v>
      </c>
      <c r="E2494" s="8">
        <f t="shared" si="158"/>
        <v>355.42857142857144</v>
      </c>
    </row>
    <row r="2495" spans="1:5" ht="18.75" x14ac:dyDescent="0.3">
      <c r="A2495" s="3">
        <v>2489</v>
      </c>
      <c r="B2495" s="9">
        <f t="shared" si="156"/>
        <v>0.99915535171693337</v>
      </c>
      <c r="C2495" s="3">
        <f t="shared" si="155"/>
        <v>62504.1613373562</v>
      </c>
      <c r="D2495" s="3">
        <f t="shared" si="157"/>
        <v>6.7121481639333069E-2</v>
      </c>
      <c r="E2495" s="8">
        <f t="shared" si="158"/>
        <v>355.57142857142856</v>
      </c>
    </row>
    <row r="2496" spans="1:5" ht="18.75" x14ac:dyDescent="0.3">
      <c r="A2496" s="3">
        <v>2490</v>
      </c>
      <c r="B2496" s="9">
        <f t="shared" si="156"/>
        <v>0.99915642299953167</v>
      </c>
      <c r="C2496" s="3">
        <f t="shared" si="155"/>
        <v>62504.228353581704</v>
      </c>
      <c r="D2496" s="3">
        <f t="shared" si="157"/>
        <v>6.7016225504630711E-2</v>
      </c>
      <c r="E2496" s="8">
        <f t="shared" si="158"/>
        <v>355.71428571428572</v>
      </c>
    </row>
    <row r="2497" spans="1:5" ht="18.75" x14ac:dyDescent="0.3">
      <c r="A2497" s="3">
        <v>2491</v>
      </c>
      <c r="B2497" s="9">
        <f t="shared" si="156"/>
        <v>0.99915749260273101</v>
      </c>
      <c r="C2497" s="3">
        <f t="shared" si="155"/>
        <v>62504.295264749046</v>
      </c>
      <c r="D2497" s="3">
        <f t="shared" si="157"/>
        <v>6.6911167341459077E-2</v>
      </c>
      <c r="E2497" s="8">
        <f t="shared" si="158"/>
        <v>355.85714285714283</v>
      </c>
    </row>
    <row r="2498" spans="1:5" ht="18.75" x14ac:dyDescent="0.3">
      <c r="A2498" s="3">
        <v>2492</v>
      </c>
      <c r="B2498" s="9">
        <f t="shared" si="156"/>
        <v>0.99915856052968932</v>
      </c>
      <c r="C2498" s="3">
        <f t="shared" si="155"/>
        <v>62504.362071055773</v>
      </c>
      <c r="D2498" s="3">
        <f t="shared" si="157"/>
        <v>6.6806306727812625E-2</v>
      </c>
      <c r="E2498" s="8">
        <f t="shared" si="158"/>
        <v>356</v>
      </c>
    </row>
    <row r="2499" spans="1:5" ht="18.75" x14ac:dyDescent="0.3">
      <c r="A2499" s="3">
        <v>2493</v>
      </c>
      <c r="B2499" s="9">
        <f t="shared" si="156"/>
        <v>0.99915962678355752</v>
      </c>
      <c r="C2499" s="3">
        <f t="shared" si="155"/>
        <v>62504.428772699008</v>
      </c>
      <c r="D2499" s="3">
        <f t="shared" si="157"/>
        <v>6.6701643234409858E-2</v>
      </c>
      <c r="E2499" s="8">
        <f t="shared" si="158"/>
        <v>356.14285714285717</v>
      </c>
    </row>
    <row r="2500" spans="1:5" ht="18.75" x14ac:dyDescent="0.3">
      <c r="A2500" s="3">
        <v>2494</v>
      </c>
      <c r="B2500" s="9">
        <f t="shared" si="156"/>
        <v>0.99916069136747965</v>
      </c>
      <c r="C2500" s="3">
        <f t="shared" si="155"/>
        <v>62504.495369875425</v>
      </c>
      <c r="D2500" s="3">
        <f t="shared" si="157"/>
        <v>6.6597176417417359E-2</v>
      </c>
      <c r="E2500" s="8">
        <f t="shared" si="158"/>
        <v>356.28571428571428</v>
      </c>
    </row>
    <row r="2501" spans="1:5" ht="18.75" x14ac:dyDescent="0.3">
      <c r="A2501" s="3">
        <v>2495</v>
      </c>
      <c r="B2501" s="9">
        <f t="shared" si="156"/>
        <v>0.99916175428459253</v>
      </c>
      <c r="C2501" s="3">
        <f t="shared" si="155"/>
        <v>62504.561862781258</v>
      </c>
      <c r="D2501" s="3">
        <f t="shared" si="157"/>
        <v>6.6492905833001714E-2</v>
      </c>
      <c r="E2501" s="8">
        <f t="shared" si="158"/>
        <v>356.42857142857144</v>
      </c>
    </row>
    <row r="2502" spans="1:5" ht="18.75" x14ac:dyDescent="0.3">
      <c r="A2502" s="3">
        <v>2496</v>
      </c>
      <c r="B2502" s="9">
        <f t="shared" si="156"/>
        <v>0.99916281553802655</v>
      </c>
      <c r="C2502" s="3">
        <f t="shared" si="155"/>
        <v>62504.628251612325</v>
      </c>
      <c r="D2502" s="3">
        <f t="shared" si="157"/>
        <v>6.638883106643334E-2</v>
      </c>
      <c r="E2502" s="8">
        <f t="shared" si="158"/>
        <v>356.57142857142856</v>
      </c>
    </row>
    <row r="2503" spans="1:5" ht="18.75" x14ac:dyDescent="0.3">
      <c r="A2503" s="3">
        <v>2497</v>
      </c>
      <c r="B2503" s="9">
        <f t="shared" si="156"/>
        <v>0.99916387513090477</v>
      </c>
      <c r="C2503" s="3">
        <f t="shared" si="155"/>
        <v>62504.694536564006</v>
      </c>
      <c r="D2503" s="3">
        <f t="shared" si="157"/>
        <v>6.628495168115478E-2</v>
      </c>
      <c r="E2503" s="8">
        <f t="shared" si="158"/>
        <v>356.71428571428572</v>
      </c>
    </row>
    <row r="2504" spans="1:5" ht="18.75" x14ac:dyDescent="0.3">
      <c r="A2504" s="3">
        <v>2498</v>
      </c>
      <c r="B2504" s="9">
        <f t="shared" si="156"/>
        <v>0.99916493306634357</v>
      </c>
      <c r="C2504" s="3">
        <f t="shared" ref="C2504:C2567" si="159">$E$3*B2504</f>
        <v>62504.760717831254</v>
      </c>
      <c r="D2504" s="3">
        <f t="shared" si="157"/>
        <v>6.6181267247884534E-2</v>
      </c>
      <c r="E2504" s="8">
        <f t="shared" si="158"/>
        <v>356.85714285714283</v>
      </c>
    </row>
    <row r="2505" spans="1:5" ht="18.75" x14ac:dyDescent="0.3">
      <c r="A2505" s="3">
        <v>2499</v>
      </c>
      <c r="B2505" s="9">
        <f t="shared" si="156"/>
        <v>0.9991659893474526</v>
      </c>
      <c r="C2505" s="3">
        <f t="shared" si="159"/>
        <v>62504.826795608591</v>
      </c>
      <c r="D2505" s="3">
        <f t="shared" si="157"/>
        <v>6.6077777337341104E-2</v>
      </c>
      <c r="E2505" s="8">
        <f t="shared" si="158"/>
        <v>357</v>
      </c>
    </row>
    <row r="2506" spans="1:5" ht="18.75" x14ac:dyDescent="0.3">
      <c r="A2506" s="3">
        <v>2500</v>
      </c>
      <c r="B2506" s="9">
        <f t="shared" si="156"/>
        <v>0.99916704397733447</v>
      </c>
      <c r="C2506" s="3">
        <f t="shared" si="159"/>
        <v>62504.892770090111</v>
      </c>
      <c r="D2506" s="3">
        <f t="shared" si="157"/>
        <v>6.5974481520242989E-2</v>
      </c>
      <c r="E2506" s="8">
        <f t="shared" si="158"/>
        <v>357.14285714285717</v>
      </c>
    </row>
    <row r="2507" spans="1:5" ht="18.75" x14ac:dyDescent="0.3">
      <c r="A2507" s="3">
        <v>2501</v>
      </c>
      <c r="B2507" s="9">
        <f t="shared" si="156"/>
        <v>0.99916809695908515</v>
      </c>
      <c r="C2507" s="3">
        <f t="shared" si="159"/>
        <v>62504.958641469493</v>
      </c>
      <c r="D2507" s="3">
        <f t="shared" si="157"/>
        <v>6.5871379381860606E-2</v>
      </c>
      <c r="E2507" s="8">
        <f t="shared" si="158"/>
        <v>357.28571428571428</v>
      </c>
    </row>
    <row r="2508" spans="1:5" ht="18.75" x14ac:dyDescent="0.3">
      <c r="A2508" s="3">
        <v>2502</v>
      </c>
      <c r="B2508" s="9">
        <f t="shared" si="156"/>
        <v>0.99916914829579351</v>
      </c>
      <c r="C2508" s="3">
        <f t="shared" si="159"/>
        <v>62505.024409939957</v>
      </c>
      <c r="D2508" s="3">
        <f t="shared" si="157"/>
        <v>6.5768470463808626E-2</v>
      </c>
      <c r="E2508" s="8">
        <f t="shared" si="158"/>
        <v>357.42857142857144</v>
      </c>
    </row>
    <row r="2509" spans="1:5" ht="18.75" x14ac:dyDescent="0.3">
      <c r="A2509" s="3">
        <v>2503</v>
      </c>
      <c r="B2509" s="9">
        <f t="shared" si="156"/>
        <v>0.99917019799054196</v>
      </c>
      <c r="C2509" s="3">
        <f t="shared" si="159"/>
        <v>62505.09007569433</v>
      </c>
      <c r="D2509" s="3">
        <f t="shared" si="157"/>
        <v>6.5665754373185337E-2</v>
      </c>
      <c r="E2509" s="8">
        <f t="shared" si="158"/>
        <v>357.57142857142856</v>
      </c>
    </row>
    <row r="2510" spans="1:5" ht="18.75" x14ac:dyDescent="0.3">
      <c r="A2510" s="3">
        <v>2504</v>
      </c>
      <c r="B2510" s="9">
        <f t="shared" si="156"/>
        <v>0.99917124604640617</v>
      </c>
      <c r="C2510" s="3">
        <f t="shared" si="159"/>
        <v>62505.155638925033</v>
      </c>
      <c r="D2510" s="3">
        <f t="shared" si="157"/>
        <v>6.5563230702537112E-2</v>
      </c>
      <c r="E2510" s="8">
        <f t="shared" si="158"/>
        <v>357.71428571428572</v>
      </c>
    </row>
    <row r="2511" spans="1:5" ht="18.75" x14ac:dyDescent="0.3">
      <c r="A2511" s="3">
        <v>2505</v>
      </c>
      <c r="B2511" s="9">
        <f t="shared" si="156"/>
        <v>0.99917229246645456</v>
      </c>
      <c r="C2511" s="3">
        <f t="shared" si="159"/>
        <v>62505.221099823997</v>
      </c>
      <c r="D2511" s="3">
        <f t="shared" si="157"/>
        <v>6.5460898964374792E-2</v>
      </c>
      <c r="E2511" s="8">
        <f t="shared" si="158"/>
        <v>357.85714285714283</v>
      </c>
    </row>
    <row r="2512" spans="1:5" ht="18.75" x14ac:dyDescent="0.3">
      <c r="A2512" s="3">
        <v>2506</v>
      </c>
      <c r="B2512" s="9">
        <f t="shared" si="156"/>
        <v>0.99917333725374946</v>
      </c>
      <c r="C2512" s="3">
        <f t="shared" si="159"/>
        <v>62505.286458582807</v>
      </c>
      <c r="D2512" s="3">
        <f t="shared" si="157"/>
        <v>6.5358758809452411E-2</v>
      </c>
      <c r="E2512" s="8">
        <f t="shared" si="158"/>
        <v>358</v>
      </c>
    </row>
    <row r="2513" spans="1:5" ht="18.75" x14ac:dyDescent="0.3">
      <c r="A2513" s="3">
        <v>2507</v>
      </c>
      <c r="B2513" s="9">
        <f t="shared" si="156"/>
        <v>0.9991743804113461</v>
      </c>
      <c r="C2513" s="3">
        <f t="shared" si="159"/>
        <v>62505.351715392579</v>
      </c>
      <c r="D2513" s="3">
        <f t="shared" si="157"/>
        <v>6.5256809772108681E-2</v>
      </c>
      <c r="E2513" s="8">
        <f t="shared" si="158"/>
        <v>358.14285714285717</v>
      </c>
    </row>
    <row r="2514" spans="1:5" ht="18.75" x14ac:dyDescent="0.3">
      <c r="A2514" s="3">
        <v>2508</v>
      </c>
      <c r="B2514" s="9">
        <f t="shared" si="156"/>
        <v>0.99917542194229314</v>
      </c>
      <c r="C2514" s="3">
        <f t="shared" si="159"/>
        <v>62505.416870444031</v>
      </c>
      <c r="D2514" s="3">
        <f t="shared" si="157"/>
        <v>6.5155051452165935E-2</v>
      </c>
      <c r="E2514" s="8">
        <f t="shared" si="158"/>
        <v>358.28571428571428</v>
      </c>
    </row>
    <row r="2515" spans="1:5" ht="18.75" x14ac:dyDescent="0.3">
      <c r="A2515" s="3">
        <v>2509</v>
      </c>
      <c r="B2515" s="9">
        <f t="shared" si="156"/>
        <v>0.99917646184963238</v>
      </c>
      <c r="C2515" s="3">
        <f t="shared" si="159"/>
        <v>62505.481923927451</v>
      </c>
      <c r="D2515" s="3">
        <f t="shared" si="157"/>
        <v>6.5053483420342673E-2</v>
      </c>
      <c r="E2515" s="8">
        <f t="shared" si="158"/>
        <v>358.42857142857144</v>
      </c>
    </row>
    <row r="2516" spans="1:5" ht="18.75" x14ac:dyDescent="0.3">
      <c r="A2516" s="3">
        <v>2510</v>
      </c>
      <c r="B2516" s="9">
        <f t="shared" si="156"/>
        <v>0.99917750013639928</v>
      </c>
      <c r="C2516" s="3">
        <f t="shared" si="159"/>
        <v>62505.546876032728</v>
      </c>
      <c r="D2516" s="3">
        <f t="shared" si="157"/>
        <v>6.4952105276461225E-2</v>
      </c>
      <c r="E2516" s="8">
        <f t="shared" si="158"/>
        <v>358.57142857142856</v>
      </c>
    </row>
    <row r="2517" spans="1:5" ht="18.75" x14ac:dyDescent="0.3">
      <c r="A2517" s="3">
        <v>2511</v>
      </c>
      <c r="B2517" s="9">
        <f t="shared" si="156"/>
        <v>0.9991785368056223</v>
      </c>
      <c r="C2517" s="3">
        <f t="shared" si="159"/>
        <v>62505.611726949312</v>
      </c>
      <c r="D2517" s="3">
        <f t="shared" si="157"/>
        <v>6.4850916583964135E-2</v>
      </c>
      <c r="E2517" s="8">
        <f t="shared" si="158"/>
        <v>358.71428571428572</v>
      </c>
    </row>
    <row r="2518" spans="1:5" ht="18.75" x14ac:dyDescent="0.3">
      <c r="A2518" s="3">
        <v>2512</v>
      </c>
      <c r="B2518" s="9">
        <f t="shared" si="156"/>
        <v>0.99917957186032358</v>
      </c>
      <c r="C2518" s="3">
        <f t="shared" si="159"/>
        <v>62505.676476866262</v>
      </c>
      <c r="D2518" s="3">
        <f t="shared" si="157"/>
        <v>6.4749916949949693E-2</v>
      </c>
      <c r="E2518" s="8">
        <f t="shared" si="158"/>
        <v>358.85714285714283</v>
      </c>
    </row>
    <row r="2519" spans="1:5" ht="18.75" x14ac:dyDescent="0.3">
      <c r="A2519" s="3">
        <v>2513</v>
      </c>
      <c r="B2519" s="9">
        <f t="shared" ref="B2519:B2582" si="160">LOGNORMDIST(A2519,$A$3,$B$3)</f>
        <v>0.99918060530351849</v>
      </c>
      <c r="C2519" s="3">
        <f t="shared" si="159"/>
        <v>62505.741125972207</v>
      </c>
      <c r="D2519" s="3">
        <f t="shared" ref="D2519:D2582" si="161">C2519-C2518</f>
        <v>6.4649105945136398E-2</v>
      </c>
      <c r="E2519" s="8">
        <f t="shared" ref="E2519:E2582" si="162">A2519/7</f>
        <v>359</v>
      </c>
    </row>
    <row r="2520" spans="1:5" ht="18.75" x14ac:dyDescent="0.3">
      <c r="A2520" s="3">
        <v>2514</v>
      </c>
      <c r="B2520" s="9">
        <f t="shared" si="160"/>
        <v>0.99918163713821573</v>
      </c>
      <c r="C2520" s="3">
        <f t="shared" si="159"/>
        <v>62505.805674455361</v>
      </c>
      <c r="D2520" s="3">
        <f t="shared" si="161"/>
        <v>6.4548483154794667E-2</v>
      </c>
      <c r="E2520" s="8">
        <f t="shared" si="162"/>
        <v>359.14285714285717</v>
      </c>
    </row>
    <row r="2521" spans="1:5" ht="18.75" x14ac:dyDescent="0.3">
      <c r="A2521" s="3">
        <v>2515</v>
      </c>
      <c r="B2521" s="9">
        <f t="shared" si="160"/>
        <v>0.99918266736741757</v>
      </c>
      <c r="C2521" s="3">
        <f t="shared" si="159"/>
        <v>62505.87012250354</v>
      </c>
      <c r="D2521" s="3">
        <f t="shared" si="161"/>
        <v>6.4448048178746831E-2</v>
      </c>
      <c r="E2521" s="8">
        <f t="shared" si="162"/>
        <v>359.28571428571428</v>
      </c>
    </row>
    <row r="2522" spans="1:5" ht="18.75" x14ac:dyDescent="0.3">
      <c r="A2522" s="3">
        <v>2516</v>
      </c>
      <c r="B2522" s="9">
        <f t="shared" si="160"/>
        <v>0.9991836959941196</v>
      </c>
      <c r="C2522" s="3">
        <f t="shared" si="159"/>
        <v>62505.934470304142</v>
      </c>
      <c r="D2522" s="3">
        <f t="shared" si="161"/>
        <v>6.4347800602263305E-2</v>
      </c>
      <c r="E2522" s="8">
        <f t="shared" si="162"/>
        <v>359.42857142857144</v>
      </c>
    </row>
    <row r="2523" spans="1:5" ht="18.75" x14ac:dyDescent="0.3">
      <c r="A2523" s="3">
        <v>2517</v>
      </c>
      <c r="B2523" s="9">
        <f t="shared" si="160"/>
        <v>0.99918472302131101</v>
      </c>
      <c r="C2523" s="3">
        <f t="shared" si="159"/>
        <v>62505.998718044153</v>
      </c>
      <c r="D2523" s="3">
        <f t="shared" si="161"/>
        <v>6.4247740010614507E-2</v>
      </c>
      <c r="E2523" s="8">
        <f t="shared" si="162"/>
        <v>359.57142857142856</v>
      </c>
    </row>
    <row r="2524" spans="1:5" ht="18.75" x14ac:dyDescent="0.3">
      <c r="A2524" s="3">
        <v>2518</v>
      </c>
      <c r="B2524" s="9">
        <f t="shared" si="160"/>
        <v>0.99918574845197417</v>
      </c>
      <c r="C2524" s="3">
        <f t="shared" si="159"/>
        <v>62506.062865910149</v>
      </c>
      <c r="D2524" s="3">
        <f t="shared" si="161"/>
        <v>6.4147865996346809E-2</v>
      </c>
      <c r="E2524" s="8">
        <f t="shared" si="162"/>
        <v>359.71428571428572</v>
      </c>
    </row>
    <row r="2525" spans="1:5" ht="18.75" x14ac:dyDescent="0.3">
      <c r="A2525" s="3">
        <v>2519</v>
      </c>
      <c r="B2525" s="9">
        <f t="shared" si="160"/>
        <v>0.99918677228908537</v>
      </c>
      <c r="C2525" s="3">
        <f t="shared" si="159"/>
        <v>62506.126914088316</v>
      </c>
      <c r="D2525" s="3">
        <f t="shared" si="161"/>
        <v>6.40481781665585E-2</v>
      </c>
      <c r="E2525" s="8">
        <f t="shared" si="162"/>
        <v>359.85714285714283</v>
      </c>
    </row>
    <row r="2526" spans="1:5" ht="18.75" x14ac:dyDescent="0.3">
      <c r="A2526" s="3">
        <v>2520</v>
      </c>
      <c r="B2526" s="9">
        <f t="shared" si="160"/>
        <v>0.9991877945356139</v>
      </c>
      <c r="C2526" s="3">
        <f t="shared" si="159"/>
        <v>62506.190862764401</v>
      </c>
      <c r="D2526" s="3">
        <f t="shared" si="161"/>
        <v>6.3948676084692124E-2</v>
      </c>
      <c r="E2526" s="8">
        <f t="shared" si="162"/>
        <v>360</v>
      </c>
    </row>
    <row r="2527" spans="1:5" ht="18.75" x14ac:dyDescent="0.3">
      <c r="A2527" s="3">
        <v>2521</v>
      </c>
      <c r="B2527" s="9">
        <f t="shared" si="160"/>
        <v>0.99918881519452307</v>
      </c>
      <c r="C2527" s="3">
        <f t="shared" si="159"/>
        <v>62506.25471212378</v>
      </c>
      <c r="D2527" s="3">
        <f t="shared" si="161"/>
        <v>6.3849359379673842E-2</v>
      </c>
      <c r="E2527" s="8">
        <f t="shared" si="162"/>
        <v>360.14285714285717</v>
      </c>
    </row>
    <row r="2528" spans="1:5" ht="18.75" x14ac:dyDescent="0.3">
      <c r="A2528" s="3">
        <v>2522</v>
      </c>
      <c r="B2528" s="9">
        <f t="shared" si="160"/>
        <v>0.99918983426876928</v>
      </c>
      <c r="C2528" s="3">
        <f t="shared" si="159"/>
        <v>62506.318462351403</v>
      </c>
      <c r="D2528" s="3">
        <f t="shared" si="161"/>
        <v>6.3750227622222155E-2</v>
      </c>
      <c r="E2528" s="8">
        <f t="shared" si="162"/>
        <v>360.28571428571428</v>
      </c>
    </row>
    <row r="2529" spans="1:5" ht="18.75" x14ac:dyDescent="0.3">
      <c r="A2529" s="3">
        <v>2523</v>
      </c>
      <c r="B2529" s="9">
        <f t="shared" si="160"/>
        <v>0.99919085176130273</v>
      </c>
      <c r="C2529" s="3">
        <f t="shared" si="159"/>
        <v>62506.382113631815</v>
      </c>
      <c r="D2529" s="3">
        <f t="shared" si="161"/>
        <v>6.3651280412159394E-2</v>
      </c>
      <c r="E2529" s="8">
        <f t="shared" si="162"/>
        <v>360.42857142857144</v>
      </c>
    </row>
    <row r="2530" spans="1:5" ht="18.75" x14ac:dyDescent="0.3">
      <c r="A2530" s="3">
        <v>2524</v>
      </c>
      <c r="B2530" s="9">
        <f t="shared" si="160"/>
        <v>0.99919186767506718</v>
      </c>
      <c r="C2530" s="3">
        <f t="shared" si="159"/>
        <v>62506.445666149179</v>
      </c>
      <c r="D2530" s="3">
        <f t="shared" si="161"/>
        <v>6.3552517363859806E-2</v>
      </c>
      <c r="E2530" s="8">
        <f t="shared" si="162"/>
        <v>360.57142857142856</v>
      </c>
    </row>
    <row r="2531" spans="1:5" ht="18.75" x14ac:dyDescent="0.3">
      <c r="A2531" s="3">
        <v>2525</v>
      </c>
      <c r="B2531" s="9">
        <f t="shared" si="160"/>
        <v>0.99919288201299983</v>
      </c>
      <c r="C2531" s="3">
        <f t="shared" si="159"/>
        <v>62506.509120087227</v>
      </c>
      <c r="D2531" s="3">
        <f t="shared" si="161"/>
        <v>6.3453938048041891E-2</v>
      </c>
      <c r="E2531" s="8">
        <f t="shared" si="162"/>
        <v>360.71428571428572</v>
      </c>
    </row>
    <row r="2532" spans="1:5" ht="18.75" x14ac:dyDescent="0.3">
      <c r="A2532" s="3">
        <v>2526</v>
      </c>
      <c r="B2532" s="9">
        <f t="shared" si="160"/>
        <v>0.99919389477803167</v>
      </c>
      <c r="C2532" s="3">
        <f t="shared" si="159"/>
        <v>62506.572475629328</v>
      </c>
      <c r="D2532" s="3">
        <f t="shared" si="161"/>
        <v>6.3355542100907769E-2</v>
      </c>
      <c r="E2532" s="8">
        <f t="shared" si="162"/>
        <v>360.85714285714283</v>
      </c>
    </row>
    <row r="2533" spans="1:5" ht="18.75" x14ac:dyDescent="0.3">
      <c r="A2533" s="3">
        <v>2527</v>
      </c>
      <c r="B2533" s="9">
        <f t="shared" si="160"/>
        <v>0.99919490597308713</v>
      </c>
      <c r="C2533" s="3">
        <f t="shared" si="159"/>
        <v>62506.635732958413</v>
      </c>
      <c r="D2533" s="3">
        <f t="shared" si="161"/>
        <v>6.3257329085899983E-2</v>
      </c>
      <c r="E2533" s="8">
        <f t="shared" si="162"/>
        <v>361</v>
      </c>
    </row>
    <row r="2534" spans="1:5" ht="18.75" x14ac:dyDescent="0.3">
      <c r="A2534" s="3">
        <v>2528</v>
      </c>
      <c r="B2534" s="9">
        <f t="shared" si="160"/>
        <v>0.99919591560108445</v>
      </c>
      <c r="C2534" s="3">
        <f t="shared" si="159"/>
        <v>62506.698892257038</v>
      </c>
      <c r="D2534" s="3">
        <f t="shared" si="161"/>
        <v>6.3159298624668736E-2</v>
      </c>
      <c r="E2534" s="8">
        <f t="shared" si="162"/>
        <v>361.14285714285717</v>
      </c>
    </row>
    <row r="2535" spans="1:5" ht="18.75" x14ac:dyDescent="0.3">
      <c r="A2535" s="3">
        <v>2529</v>
      </c>
      <c r="B2535" s="9">
        <f t="shared" si="160"/>
        <v>0.99919692366493529</v>
      </c>
      <c r="C2535" s="3">
        <f t="shared" si="159"/>
        <v>62506.761953707355</v>
      </c>
      <c r="D2535" s="3">
        <f t="shared" si="161"/>
        <v>6.3061450317036361E-2</v>
      </c>
      <c r="E2535" s="8">
        <f t="shared" si="162"/>
        <v>361.28571428571428</v>
      </c>
    </row>
    <row r="2536" spans="1:5" ht="18.75" x14ac:dyDescent="0.3">
      <c r="A2536" s="3">
        <v>2530</v>
      </c>
      <c r="B2536" s="9">
        <f t="shared" si="160"/>
        <v>0.99919793016754521</v>
      </c>
      <c r="C2536" s="3">
        <f t="shared" si="159"/>
        <v>62506.824917491125</v>
      </c>
      <c r="D2536" s="3">
        <f t="shared" si="161"/>
        <v>6.2963783770101145E-2</v>
      </c>
      <c r="E2536" s="8">
        <f t="shared" si="162"/>
        <v>361.42857142857144</v>
      </c>
    </row>
    <row r="2537" spans="1:5" ht="18.75" x14ac:dyDescent="0.3">
      <c r="A2537" s="3">
        <v>2531</v>
      </c>
      <c r="B2537" s="9">
        <f t="shared" si="160"/>
        <v>0.99919893511181324</v>
      </c>
      <c r="C2537" s="3">
        <f t="shared" si="159"/>
        <v>62506.887783789702</v>
      </c>
      <c r="D2537" s="3">
        <f t="shared" si="161"/>
        <v>6.2866298576409463E-2</v>
      </c>
      <c r="E2537" s="8">
        <f t="shared" si="162"/>
        <v>361.57142857142856</v>
      </c>
    </row>
    <row r="2538" spans="1:5" ht="18.75" x14ac:dyDescent="0.3">
      <c r="A2538" s="3">
        <v>2532</v>
      </c>
      <c r="B2538" s="9">
        <f t="shared" si="160"/>
        <v>0.99919993850063216</v>
      </c>
      <c r="C2538" s="3">
        <f t="shared" si="159"/>
        <v>62506.950552784045</v>
      </c>
      <c r="D2538" s="3">
        <f t="shared" si="161"/>
        <v>6.2768994343059603E-2</v>
      </c>
      <c r="E2538" s="8">
        <f t="shared" si="162"/>
        <v>361.71428571428572</v>
      </c>
    </row>
    <row r="2539" spans="1:5" ht="18.75" x14ac:dyDescent="0.3">
      <c r="A2539" s="3">
        <v>2533</v>
      </c>
      <c r="B2539" s="9">
        <f t="shared" si="160"/>
        <v>0.99920094033688855</v>
      </c>
      <c r="C2539" s="3">
        <f t="shared" si="159"/>
        <v>62507.013224654736</v>
      </c>
      <c r="D2539" s="3">
        <f t="shared" si="161"/>
        <v>6.267187069170177E-2</v>
      </c>
      <c r="E2539" s="8">
        <f t="shared" si="162"/>
        <v>361.85714285714283</v>
      </c>
    </row>
    <row r="2540" spans="1:5" ht="18.75" x14ac:dyDescent="0.3">
      <c r="A2540" s="3">
        <v>2534</v>
      </c>
      <c r="B2540" s="9">
        <f t="shared" si="160"/>
        <v>0.99920194062346279</v>
      </c>
      <c r="C2540" s="3">
        <f t="shared" si="159"/>
        <v>62507.075799581959</v>
      </c>
      <c r="D2540" s="3">
        <f t="shared" si="161"/>
        <v>6.2574927222158294E-2</v>
      </c>
      <c r="E2540" s="8">
        <f t="shared" si="162"/>
        <v>362</v>
      </c>
    </row>
    <row r="2541" spans="1:5" ht="18.75" x14ac:dyDescent="0.3">
      <c r="A2541" s="3">
        <v>2535</v>
      </c>
      <c r="B2541" s="9">
        <f t="shared" si="160"/>
        <v>0.99920293936322868</v>
      </c>
      <c r="C2541" s="3">
        <f t="shared" si="159"/>
        <v>62507.1382777455</v>
      </c>
      <c r="D2541" s="3">
        <f t="shared" si="161"/>
        <v>6.2478163541527465E-2</v>
      </c>
      <c r="E2541" s="8">
        <f t="shared" si="162"/>
        <v>362.14285714285717</v>
      </c>
    </row>
    <row r="2542" spans="1:5" ht="18.75" x14ac:dyDescent="0.3">
      <c r="A2542" s="3">
        <v>2536</v>
      </c>
      <c r="B2542" s="9">
        <f t="shared" si="160"/>
        <v>0.99920393655905404</v>
      </c>
      <c r="C2542" s="3">
        <f t="shared" si="159"/>
        <v>62507.200659324742</v>
      </c>
      <c r="D2542" s="3">
        <f t="shared" si="161"/>
        <v>6.2381579242355656E-2</v>
      </c>
      <c r="E2542" s="8">
        <f t="shared" si="162"/>
        <v>362.28571428571428</v>
      </c>
    </row>
    <row r="2543" spans="1:5" ht="18.75" x14ac:dyDescent="0.3">
      <c r="A2543" s="3">
        <v>2537</v>
      </c>
      <c r="B2543" s="9">
        <f t="shared" si="160"/>
        <v>0.99920493221380036</v>
      </c>
      <c r="C2543" s="3">
        <f t="shared" si="159"/>
        <v>62507.262944498711</v>
      </c>
      <c r="D2543" s="3">
        <f t="shared" si="161"/>
        <v>6.2285173968120944E-2</v>
      </c>
      <c r="E2543" s="8">
        <f t="shared" si="162"/>
        <v>362.42857142857144</v>
      </c>
    </row>
    <row r="2544" spans="1:5" ht="18.75" x14ac:dyDescent="0.3">
      <c r="A2544" s="3">
        <v>2538</v>
      </c>
      <c r="B2544" s="9">
        <f t="shared" si="160"/>
        <v>0.9992059263303229</v>
      </c>
      <c r="C2544" s="3">
        <f t="shared" si="159"/>
        <v>62507.325133446007</v>
      </c>
      <c r="D2544" s="3">
        <f t="shared" si="161"/>
        <v>6.2188947296817787E-2</v>
      </c>
      <c r="E2544" s="8">
        <f t="shared" si="162"/>
        <v>362.57142857142856</v>
      </c>
    </row>
    <row r="2545" spans="1:5" ht="18.75" x14ac:dyDescent="0.3">
      <c r="A2545" s="3">
        <v>2539</v>
      </c>
      <c r="B2545" s="9">
        <f t="shared" si="160"/>
        <v>0.99920691891147095</v>
      </c>
      <c r="C2545" s="3">
        <f t="shared" si="159"/>
        <v>62507.387226344887</v>
      </c>
      <c r="D2545" s="3">
        <f t="shared" si="161"/>
        <v>6.209289887920022E-2</v>
      </c>
      <c r="E2545" s="8">
        <f t="shared" si="162"/>
        <v>362.71428571428572</v>
      </c>
    </row>
    <row r="2546" spans="1:5" ht="18.75" x14ac:dyDescent="0.3">
      <c r="A2546" s="3">
        <v>2540</v>
      </c>
      <c r="B2546" s="9">
        <f t="shared" si="160"/>
        <v>0.99920790996008735</v>
      </c>
      <c r="C2546" s="3">
        <f t="shared" si="159"/>
        <v>62507.449223373187</v>
      </c>
      <c r="D2546" s="3">
        <f t="shared" si="161"/>
        <v>6.1997028300538659E-2</v>
      </c>
      <c r="E2546" s="8">
        <f t="shared" si="162"/>
        <v>362.85714285714283</v>
      </c>
    </row>
    <row r="2547" spans="1:5" ht="18.75" x14ac:dyDescent="0.3">
      <c r="A2547" s="3">
        <v>2541</v>
      </c>
      <c r="B2547" s="9">
        <f t="shared" si="160"/>
        <v>0.99920889947900882</v>
      </c>
      <c r="C2547" s="3">
        <f t="shared" si="159"/>
        <v>62507.511124708355</v>
      </c>
      <c r="D2547" s="3">
        <f t="shared" si="161"/>
        <v>6.1901335167931393E-2</v>
      </c>
      <c r="E2547" s="8">
        <f t="shared" si="162"/>
        <v>363</v>
      </c>
    </row>
    <row r="2548" spans="1:5" ht="18.75" x14ac:dyDescent="0.3">
      <c r="A2548" s="3">
        <v>2542</v>
      </c>
      <c r="B2548" s="9">
        <f t="shared" si="160"/>
        <v>0.99920988747106598</v>
      </c>
      <c r="C2548" s="3">
        <f t="shared" si="159"/>
        <v>62507.572930527473</v>
      </c>
      <c r="D2548" s="3">
        <f t="shared" si="161"/>
        <v>6.180581911758054E-2</v>
      </c>
      <c r="E2548" s="8">
        <f t="shared" si="162"/>
        <v>363.14285714285717</v>
      </c>
    </row>
    <row r="2549" spans="1:5" ht="18.75" x14ac:dyDescent="0.3">
      <c r="A2549" s="3">
        <v>2543</v>
      </c>
      <c r="B2549" s="9">
        <f t="shared" si="160"/>
        <v>0.99921087393908326</v>
      </c>
      <c r="C2549" s="3">
        <f t="shared" si="159"/>
        <v>62507.634641007229</v>
      </c>
      <c r="D2549" s="3">
        <f t="shared" si="161"/>
        <v>6.1710479756584391E-2</v>
      </c>
      <c r="E2549" s="8">
        <f t="shared" si="162"/>
        <v>363.28571428571428</v>
      </c>
    </row>
    <row r="2550" spans="1:5" ht="18.75" x14ac:dyDescent="0.3">
      <c r="A2550" s="3">
        <v>2544</v>
      </c>
      <c r="B2550" s="9">
        <f t="shared" si="160"/>
        <v>0.99921185888587916</v>
      </c>
      <c r="C2550" s="3">
        <f t="shared" si="159"/>
        <v>62507.696256323943</v>
      </c>
      <c r="D2550" s="3">
        <f t="shared" si="161"/>
        <v>6.1615316713869106E-2</v>
      </c>
      <c r="E2550" s="8">
        <f t="shared" si="162"/>
        <v>363.42857142857144</v>
      </c>
    </row>
    <row r="2551" spans="1:5" ht="18.75" x14ac:dyDescent="0.3">
      <c r="A2551" s="3">
        <v>2545</v>
      </c>
      <c r="B2551" s="9">
        <f t="shared" si="160"/>
        <v>0.99921284231426588</v>
      </c>
      <c r="C2551" s="3">
        <f t="shared" si="159"/>
        <v>62507.757776653532</v>
      </c>
      <c r="D2551" s="3">
        <f t="shared" si="161"/>
        <v>6.1520329589257017E-2</v>
      </c>
      <c r="E2551" s="8">
        <f t="shared" si="162"/>
        <v>363.57142857142856</v>
      </c>
    </row>
    <row r="2552" spans="1:5" ht="18.75" x14ac:dyDescent="0.3">
      <c r="A2552" s="3">
        <v>2546</v>
      </c>
      <c r="B2552" s="9">
        <f t="shared" si="160"/>
        <v>0.99921382422704952</v>
      </c>
      <c r="C2552" s="3">
        <f t="shared" si="159"/>
        <v>62507.819202171537</v>
      </c>
      <c r="D2552" s="3">
        <f t="shared" si="161"/>
        <v>6.1425518004398327E-2</v>
      </c>
      <c r="E2552" s="8">
        <f t="shared" si="162"/>
        <v>363.71428571428572</v>
      </c>
    </row>
    <row r="2553" spans="1:5" ht="18.75" x14ac:dyDescent="0.3">
      <c r="A2553" s="3">
        <v>2547</v>
      </c>
      <c r="B2553" s="9">
        <f t="shared" si="160"/>
        <v>0.99921480462703027</v>
      </c>
      <c r="C2553" s="3">
        <f t="shared" si="159"/>
        <v>62507.880533053132</v>
      </c>
      <c r="D2553" s="3">
        <f t="shared" si="161"/>
        <v>6.1330881595495157E-2</v>
      </c>
      <c r="E2553" s="8">
        <f t="shared" si="162"/>
        <v>363.85714285714283</v>
      </c>
    </row>
    <row r="2554" spans="1:5" ht="18.75" x14ac:dyDescent="0.3">
      <c r="A2554" s="3">
        <v>2548</v>
      </c>
      <c r="B2554" s="9">
        <f t="shared" si="160"/>
        <v>0.99921578351700202</v>
      </c>
      <c r="C2554" s="3">
        <f t="shared" si="159"/>
        <v>62507.941769473095</v>
      </c>
      <c r="D2554" s="3">
        <f t="shared" si="161"/>
        <v>6.1236419962369837E-2</v>
      </c>
      <c r="E2554" s="8">
        <f t="shared" si="162"/>
        <v>364</v>
      </c>
    </row>
    <row r="2555" spans="1:5" ht="18.75" x14ac:dyDescent="0.3">
      <c r="A2555" s="3">
        <v>2549</v>
      </c>
      <c r="B2555" s="9">
        <f t="shared" si="160"/>
        <v>0.99921676089975286</v>
      </c>
      <c r="C2555" s="3">
        <f t="shared" si="159"/>
        <v>62508.002911605843</v>
      </c>
      <c r="D2555" s="3">
        <f t="shared" si="161"/>
        <v>6.1142132748500444E-2</v>
      </c>
      <c r="E2555" s="8">
        <f t="shared" si="162"/>
        <v>364.14285714285717</v>
      </c>
    </row>
    <row r="2556" spans="1:5" ht="18.75" x14ac:dyDescent="0.3">
      <c r="A2556" s="3">
        <v>2550</v>
      </c>
      <c r="B2556" s="9">
        <f t="shared" si="160"/>
        <v>0.99921773677806469</v>
      </c>
      <c r="C2556" s="3">
        <f t="shared" si="159"/>
        <v>62508.06395962539</v>
      </c>
      <c r="D2556" s="3">
        <f t="shared" si="161"/>
        <v>6.1048019546433352E-2</v>
      </c>
      <c r="E2556" s="8">
        <f t="shared" si="162"/>
        <v>364.28571428571428</v>
      </c>
    </row>
    <row r="2557" spans="1:5" ht="18.75" x14ac:dyDescent="0.3">
      <c r="A2557" s="3">
        <v>2551</v>
      </c>
      <c r="B2557" s="9">
        <f t="shared" si="160"/>
        <v>0.99921871115471361</v>
      </c>
      <c r="C2557" s="3">
        <f t="shared" si="159"/>
        <v>62508.124913705418</v>
      </c>
      <c r="D2557" s="3">
        <f t="shared" si="161"/>
        <v>6.0954080028750468E-2</v>
      </c>
      <c r="E2557" s="8">
        <f t="shared" si="162"/>
        <v>364.42857142857144</v>
      </c>
    </row>
    <row r="2558" spans="1:5" ht="18.75" x14ac:dyDescent="0.3">
      <c r="A2558" s="3">
        <v>2552</v>
      </c>
      <c r="B2558" s="9">
        <f t="shared" si="160"/>
        <v>0.9992196840324693</v>
      </c>
      <c r="C2558" s="3">
        <f t="shared" si="159"/>
        <v>62508.185774019184</v>
      </c>
      <c r="D2558" s="3">
        <f t="shared" si="161"/>
        <v>6.0860313766170293E-2</v>
      </c>
      <c r="E2558" s="8">
        <f t="shared" si="162"/>
        <v>364.57142857142856</v>
      </c>
    </row>
    <row r="2559" spans="1:5" ht="18.75" x14ac:dyDescent="0.3">
      <c r="A2559" s="3">
        <v>2553</v>
      </c>
      <c r="B2559" s="9">
        <f t="shared" si="160"/>
        <v>0.99922065541409599</v>
      </c>
      <c r="C2559" s="3">
        <f t="shared" si="159"/>
        <v>62508.246540739601</v>
      </c>
      <c r="D2559" s="3">
        <f t="shared" si="161"/>
        <v>6.0766720416722819E-2</v>
      </c>
      <c r="E2559" s="8">
        <f t="shared" si="162"/>
        <v>364.71428571428572</v>
      </c>
    </row>
    <row r="2560" spans="1:5" ht="18.75" x14ac:dyDescent="0.3">
      <c r="A2560" s="3">
        <v>2554</v>
      </c>
      <c r="B2560" s="9">
        <f t="shared" si="160"/>
        <v>0.99922162530235148</v>
      </c>
      <c r="C2560" s="3">
        <f t="shared" si="159"/>
        <v>62508.307214039203</v>
      </c>
      <c r="D2560" s="3">
        <f t="shared" si="161"/>
        <v>6.067329960205825E-2</v>
      </c>
      <c r="E2560" s="8">
        <f t="shared" si="162"/>
        <v>364.85714285714283</v>
      </c>
    </row>
    <row r="2561" spans="1:5" ht="18.75" x14ac:dyDescent="0.3">
      <c r="A2561" s="3">
        <v>2555</v>
      </c>
      <c r="B2561" s="9">
        <f t="shared" si="160"/>
        <v>0.99922259369998789</v>
      </c>
      <c r="C2561" s="3">
        <f t="shared" si="159"/>
        <v>62508.36779409014</v>
      </c>
      <c r="D2561" s="3">
        <f t="shared" si="161"/>
        <v>6.0580050936550833E-2</v>
      </c>
      <c r="E2561" s="8">
        <f t="shared" si="162"/>
        <v>365</v>
      </c>
    </row>
    <row r="2562" spans="1:5" ht="18.75" x14ac:dyDescent="0.3">
      <c r="A2562" s="3">
        <v>2556</v>
      </c>
      <c r="B2562" s="9">
        <f t="shared" si="160"/>
        <v>0.99922356060975126</v>
      </c>
      <c r="C2562" s="3">
        <f t="shared" si="159"/>
        <v>62508.428281064211</v>
      </c>
      <c r="D2562" s="3">
        <f t="shared" si="161"/>
        <v>6.0486974070954602E-2</v>
      </c>
      <c r="E2562" s="8">
        <f t="shared" si="162"/>
        <v>365.14285714285717</v>
      </c>
    </row>
    <row r="2563" spans="1:5" ht="18.75" x14ac:dyDescent="0.3">
      <c r="A2563" s="3">
        <v>2557</v>
      </c>
      <c r="B2563" s="9">
        <f t="shared" si="160"/>
        <v>0.99922452603438183</v>
      </c>
      <c r="C2563" s="3">
        <f t="shared" si="159"/>
        <v>62508.488675132823</v>
      </c>
      <c r="D2563" s="3">
        <f t="shared" si="161"/>
        <v>6.0394068612367846E-2</v>
      </c>
      <c r="E2563" s="8">
        <f t="shared" si="162"/>
        <v>365.28571428571428</v>
      </c>
    </row>
    <row r="2564" spans="1:5" ht="18.75" x14ac:dyDescent="0.3">
      <c r="A2564" s="3">
        <v>2558</v>
      </c>
      <c r="B2564" s="9">
        <f t="shared" si="160"/>
        <v>0.99922548997661387</v>
      </c>
      <c r="C2564" s="3">
        <f t="shared" si="159"/>
        <v>62508.548976467035</v>
      </c>
      <c r="D2564" s="3">
        <f t="shared" si="161"/>
        <v>6.0301334211544599E-2</v>
      </c>
      <c r="E2564" s="8">
        <f t="shared" si="162"/>
        <v>365.42857142857144</v>
      </c>
    </row>
    <row r="2565" spans="1:5" ht="18.75" x14ac:dyDescent="0.3">
      <c r="A2565" s="3">
        <v>2559</v>
      </c>
      <c r="B2565" s="9">
        <f t="shared" si="160"/>
        <v>0.99922645243917563</v>
      </c>
      <c r="C2565" s="3">
        <f t="shared" si="159"/>
        <v>62508.60918523751</v>
      </c>
      <c r="D2565" s="3">
        <f t="shared" si="161"/>
        <v>6.0208770475583151E-2</v>
      </c>
      <c r="E2565" s="8">
        <f t="shared" si="162"/>
        <v>365.57142857142856</v>
      </c>
    </row>
    <row r="2566" spans="1:5" ht="18.75" x14ac:dyDescent="0.3">
      <c r="A2566" s="3">
        <v>2560</v>
      </c>
      <c r="B2566" s="9">
        <f t="shared" si="160"/>
        <v>0.99922741342478971</v>
      </c>
      <c r="C2566" s="3">
        <f t="shared" si="159"/>
        <v>62508.669301614573</v>
      </c>
      <c r="D2566" s="3">
        <f t="shared" si="161"/>
        <v>6.0116377062513493E-2</v>
      </c>
      <c r="E2566" s="8">
        <f t="shared" si="162"/>
        <v>365.71428571428572</v>
      </c>
    </row>
    <row r="2567" spans="1:5" ht="18.75" x14ac:dyDescent="0.3">
      <c r="A2567" s="3">
        <v>2561</v>
      </c>
      <c r="B2567" s="9">
        <f t="shared" si="160"/>
        <v>0.99922837293617273</v>
      </c>
      <c r="C2567" s="3">
        <f t="shared" si="159"/>
        <v>62508.729325768159</v>
      </c>
      <c r="D2567" s="3">
        <f t="shared" si="161"/>
        <v>6.0024153586709872E-2</v>
      </c>
      <c r="E2567" s="8">
        <f t="shared" si="162"/>
        <v>365.85714285714283</v>
      </c>
    </row>
    <row r="2568" spans="1:5" ht="18.75" x14ac:dyDescent="0.3">
      <c r="A2568" s="3">
        <v>2562</v>
      </c>
      <c r="B2568" s="9">
        <f t="shared" si="160"/>
        <v>0.99922933097603539</v>
      </c>
      <c r="C2568" s="3">
        <f t="shared" ref="C2568:C2631" si="163">$E$3*B2568</f>
        <v>62508.789257867844</v>
      </c>
      <c r="D2568" s="3">
        <f t="shared" si="161"/>
        <v>5.9932099684374407E-2</v>
      </c>
      <c r="E2568" s="8">
        <f t="shared" si="162"/>
        <v>366</v>
      </c>
    </row>
    <row r="2569" spans="1:5" ht="18.75" x14ac:dyDescent="0.3">
      <c r="A2569" s="3">
        <v>2563</v>
      </c>
      <c r="B2569" s="9">
        <f t="shared" si="160"/>
        <v>0.99923028754708254</v>
      </c>
      <c r="C2569" s="3">
        <f t="shared" si="163"/>
        <v>62508.849098082843</v>
      </c>
      <c r="D2569" s="3">
        <f t="shared" si="161"/>
        <v>5.9840214998985175E-2</v>
      </c>
      <c r="E2569" s="8">
        <f t="shared" si="162"/>
        <v>366.14285714285717</v>
      </c>
    </row>
    <row r="2570" spans="1:5" ht="18.75" x14ac:dyDescent="0.3">
      <c r="A2570" s="3">
        <v>2564</v>
      </c>
      <c r="B2570" s="9">
        <f t="shared" si="160"/>
        <v>0.99923124265201357</v>
      </c>
      <c r="C2570" s="3">
        <f t="shared" si="163"/>
        <v>62508.90884658201</v>
      </c>
      <c r="D2570" s="3">
        <f t="shared" si="161"/>
        <v>5.9748499166744296E-2</v>
      </c>
      <c r="E2570" s="8">
        <f t="shared" si="162"/>
        <v>366.28571428571428</v>
      </c>
    </row>
    <row r="2571" spans="1:5" ht="18.75" x14ac:dyDescent="0.3">
      <c r="A2571" s="3">
        <v>2565</v>
      </c>
      <c r="B2571" s="9">
        <f t="shared" si="160"/>
        <v>0.99923219629352145</v>
      </c>
      <c r="C2571" s="3">
        <f t="shared" si="163"/>
        <v>62508.968503533819</v>
      </c>
      <c r="D2571" s="3">
        <f t="shared" si="161"/>
        <v>5.9656951809301972E-2</v>
      </c>
      <c r="E2571" s="8">
        <f t="shared" si="162"/>
        <v>366.42857142857144</v>
      </c>
    </row>
    <row r="2572" spans="1:5" ht="18.75" x14ac:dyDescent="0.3">
      <c r="A2572" s="3">
        <v>2566</v>
      </c>
      <c r="B2572" s="9">
        <f t="shared" si="160"/>
        <v>0.9992331484742939</v>
      </c>
      <c r="C2572" s="3">
        <f t="shared" si="163"/>
        <v>62509.028069106404</v>
      </c>
      <c r="D2572" s="3">
        <f t="shared" si="161"/>
        <v>5.9565572584688198E-2</v>
      </c>
      <c r="E2572" s="8">
        <f t="shared" si="162"/>
        <v>366.57142857142856</v>
      </c>
    </row>
    <row r="2573" spans="1:5" ht="18.75" x14ac:dyDescent="0.3">
      <c r="A2573" s="3">
        <v>2567</v>
      </c>
      <c r="B2573" s="9">
        <f t="shared" si="160"/>
        <v>0.99923409919701256</v>
      </c>
      <c r="C2573" s="3">
        <f t="shared" si="163"/>
        <v>62509.087543467518</v>
      </c>
      <c r="D2573" s="3">
        <f t="shared" si="161"/>
        <v>5.9474361114553176E-2</v>
      </c>
      <c r="E2573" s="8">
        <f t="shared" si="162"/>
        <v>366.71428571428572</v>
      </c>
    </row>
    <row r="2574" spans="1:5" ht="18.75" x14ac:dyDescent="0.3">
      <c r="A2574" s="3">
        <v>2568</v>
      </c>
      <c r="B2574" s="9">
        <f t="shared" si="160"/>
        <v>0.9992350484643534</v>
      </c>
      <c r="C2574" s="3">
        <f t="shared" si="163"/>
        <v>62509.146926784553</v>
      </c>
      <c r="D2574" s="3">
        <f t="shared" si="161"/>
        <v>5.9383317035099026E-2</v>
      </c>
      <c r="E2574" s="8">
        <f t="shared" si="162"/>
        <v>366.85714285714283</v>
      </c>
    </row>
    <row r="2575" spans="1:5" ht="18.75" x14ac:dyDescent="0.3">
      <c r="A2575" s="3">
        <v>2569</v>
      </c>
      <c r="B2575" s="9">
        <f t="shared" si="160"/>
        <v>0.99923599627898674</v>
      </c>
      <c r="C2575" s="3">
        <f t="shared" si="163"/>
        <v>62509.206219224572</v>
      </c>
      <c r="D2575" s="3">
        <f t="shared" si="161"/>
        <v>5.9292440018907655E-2</v>
      </c>
      <c r="E2575" s="8">
        <f t="shared" si="162"/>
        <v>367</v>
      </c>
    </row>
    <row r="2576" spans="1:5" ht="18.75" x14ac:dyDescent="0.3">
      <c r="A2576" s="3">
        <v>2570</v>
      </c>
      <c r="B2576" s="9">
        <f t="shared" si="160"/>
        <v>0.99923694264357676</v>
      </c>
      <c r="C2576" s="3">
        <f t="shared" si="163"/>
        <v>62509.265420954231</v>
      </c>
      <c r="D2576" s="3">
        <f t="shared" si="161"/>
        <v>5.9201729658525437E-2</v>
      </c>
      <c r="E2576" s="8">
        <f t="shared" si="162"/>
        <v>367.14285714285717</v>
      </c>
    </row>
    <row r="2577" spans="1:5" ht="18.75" x14ac:dyDescent="0.3">
      <c r="A2577" s="3">
        <v>2571</v>
      </c>
      <c r="B2577" s="9">
        <f t="shared" si="160"/>
        <v>0.99923788756078258</v>
      </c>
      <c r="C2577" s="3">
        <f t="shared" si="163"/>
        <v>62509.324532139879</v>
      </c>
      <c r="D2577" s="3">
        <f t="shared" si="161"/>
        <v>5.9111185648362152E-2</v>
      </c>
      <c r="E2577" s="8">
        <f t="shared" si="162"/>
        <v>367.28571428571428</v>
      </c>
    </row>
    <row r="2578" spans="1:5" ht="18.75" x14ac:dyDescent="0.3">
      <c r="A2578" s="3">
        <v>2572</v>
      </c>
      <c r="B2578" s="9">
        <f t="shared" si="160"/>
        <v>0.99923883103325695</v>
      </c>
      <c r="C2578" s="3">
        <f t="shared" si="163"/>
        <v>62509.383552947453</v>
      </c>
      <c r="D2578" s="3">
        <f t="shared" si="161"/>
        <v>5.9020807573688217E-2</v>
      </c>
      <c r="E2578" s="8">
        <f t="shared" si="162"/>
        <v>367.42857142857144</v>
      </c>
    </row>
    <row r="2579" spans="1:5" ht="18.75" x14ac:dyDescent="0.3">
      <c r="A2579" s="3">
        <v>2573</v>
      </c>
      <c r="B2579" s="9">
        <f t="shared" si="160"/>
        <v>0.99923977306364731</v>
      </c>
      <c r="C2579" s="3">
        <f t="shared" si="163"/>
        <v>62509.442483542582</v>
      </c>
      <c r="D2579" s="3">
        <f t="shared" si="161"/>
        <v>5.893059512891341E-2</v>
      </c>
      <c r="E2579" s="8">
        <f t="shared" si="162"/>
        <v>367.57142857142856</v>
      </c>
    </row>
    <row r="2580" spans="1:5" ht="18.75" x14ac:dyDescent="0.3">
      <c r="A2580" s="3">
        <v>2574</v>
      </c>
      <c r="B2580" s="9">
        <f t="shared" si="160"/>
        <v>0.99924071365459533</v>
      </c>
      <c r="C2580" s="3">
        <f t="shared" si="163"/>
        <v>62509.501324090517</v>
      </c>
      <c r="D2580" s="3">
        <f t="shared" si="161"/>
        <v>5.8840547935687937E-2</v>
      </c>
      <c r="E2580" s="8">
        <f t="shared" si="162"/>
        <v>367.71428571428572</v>
      </c>
    </row>
    <row r="2581" spans="1:5" ht="18.75" x14ac:dyDescent="0.3">
      <c r="A2581" s="3">
        <v>2575</v>
      </c>
      <c r="B2581" s="9">
        <f t="shared" si="160"/>
        <v>0.99924165280873689</v>
      </c>
      <c r="C2581" s="3">
        <f t="shared" si="163"/>
        <v>62509.560074756155</v>
      </c>
      <c r="D2581" s="3">
        <f t="shared" si="161"/>
        <v>5.8750665637489874E-2</v>
      </c>
      <c r="E2581" s="8">
        <f t="shared" si="162"/>
        <v>367.85714285714283</v>
      </c>
    </row>
    <row r="2582" spans="1:5" ht="18.75" x14ac:dyDescent="0.3">
      <c r="A2582" s="3">
        <v>2576</v>
      </c>
      <c r="B2582" s="9">
        <f t="shared" si="160"/>
        <v>0.99924259052870257</v>
      </c>
      <c r="C2582" s="3">
        <f t="shared" si="163"/>
        <v>62509.618735704047</v>
      </c>
      <c r="D2582" s="3">
        <f t="shared" si="161"/>
        <v>5.8660947892349213E-2</v>
      </c>
      <c r="E2582" s="8">
        <f t="shared" si="162"/>
        <v>368</v>
      </c>
    </row>
    <row r="2583" spans="1:5" ht="18.75" x14ac:dyDescent="0.3">
      <c r="A2583" s="3">
        <v>2577</v>
      </c>
      <c r="B2583" s="9">
        <f t="shared" ref="B2583:B2646" si="164">LOGNORMDIST(A2583,$A$3,$B$3)</f>
        <v>0.99924352681711692</v>
      </c>
      <c r="C2583" s="3">
        <f t="shared" si="163"/>
        <v>62509.677307098384</v>
      </c>
      <c r="D2583" s="3">
        <f t="shared" ref="D2583:D2646" si="165">C2583-C2582</f>
        <v>5.8571394336468074E-2</v>
      </c>
      <c r="E2583" s="8">
        <f t="shared" ref="E2583:E2646" si="166">A2583/7</f>
        <v>368.14285714285717</v>
      </c>
    </row>
    <row r="2584" spans="1:5" ht="18.75" x14ac:dyDescent="0.3">
      <c r="A2584" s="3">
        <v>2578</v>
      </c>
      <c r="B2584" s="9">
        <f t="shared" si="164"/>
        <v>0.99924446167659908</v>
      </c>
      <c r="C2584" s="3">
        <f t="shared" si="163"/>
        <v>62509.735789103011</v>
      </c>
      <c r="D2584" s="3">
        <f t="shared" si="165"/>
        <v>5.8482004627876449E-2</v>
      </c>
      <c r="E2584" s="8">
        <f t="shared" si="166"/>
        <v>368.28571428571428</v>
      </c>
    </row>
    <row r="2585" spans="1:5" ht="18.75" x14ac:dyDescent="0.3">
      <c r="A2585" s="3">
        <v>2579</v>
      </c>
      <c r="B2585" s="9">
        <f t="shared" si="164"/>
        <v>0.99924539510976251</v>
      </c>
      <c r="C2585" s="3">
        <f t="shared" si="163"/>
        <v>62509.794181881414</v>
      </c>
      <c r="D2585" s="3">
        <f t="shared" si="165"/>
        <v>5.8392778402776457E-2</v>
      </c>
      <c r="E2585" s="8">
        <f t="shared" si="166"/>
        <v>368.42857142857144</v>
      </c>
    </row>
    <row r="2586" spans="1:5" ht="18.75" x14ac:dyDescent="0.3">
      <c r="A2586" s="3">
        <v>2580</v>
      </c>
      <c r="B2586" s="9">
        <f t="shared" si="164"/>
        <v>0.99924632711921502</v>
      </c>
      <c r="C2586" s="3">
        <f t="shared" si="163"/>
        <v>62509.852485596733</v>
      </c>
      <c r="D2586" s="3">
        <f t="shared" si="165"/>
        <v>5.8303715319198091E-2</v>
      </c>
      <c r="E2586" s="8">
        <f t="shared" si="166"/>
        <v>368.57142857142856</v>
      </c>
    </row>
    <row r="2587" spans="1:5" ht="18.75" x14ac:dyDescent="0.3">
      <c r="A2587" s="3">
        <v>2581</v>
      </c>
      <c r="B2587" s="9">
        <f t="shared" si="164"/>
        <v>0.99924725770755884</v>
      </c>
      <c r="C2587" s="3">
        <f t="shared" si="163"/>
        <v>62509.910700411761</v>
      </c>
      <c r="D2587" s="3">
        <f t="shared" si="165"/>
        <v>5.8214815027895384E-2</v>
      </c>
      <c r="E2587" s="8">
        <f t="shared" si="166"/>
        <v>368.71428571428572</v>
      </c>
    </row>
    <row r="2588" spans="1:5" ht="18.75" x14ac:dyDescent="0.3">
      <c r="A2588" s="3">
        <v>2582</v>
      </c>
      <c r="B2588" s="9">
        <f t="shared" si="164"/>
        <v>0.99924818687739092</v>
      </c>
      <c r="C2588" s="3">
        <f t="shared" si="163"/>
        <v>62509.968826488941</v>
      </c>
      <c r="D2588" s="3">
        <f t="shared" si="165"/>
        <v>5.8126077179622371E-2</v>
      </c>
      <c r="E2588" s="8">
        <f t="shared" si="166"/>
        <v>368.85714285714283</v>
      </c>
    </row>
    <row r="2589" spans="1:5" ht="18.75" x14ac:dyDescent="0.3">
      <c r="A2589" s="3">
        <v>2583</v>
      </c>
      <c r="B2589" s="9">
        <f t="shared" si="164"/>
        <v>0.99924911463130228</v>
      </c>
      <c r="C2589" s="3">
        <f t="shared" si="163"/>
        <v>62510.026863990373</v>
      </c>
      <c r="D2589" s="3">
        <f t="shared" si="165"/>
        <v>5.8037501432409044E-2</v>
      </c>
      <c r="E2589" s="8">
        <f t="shared" si="166"/>
        <v>369</v>
      </c>
    </row>
    <row r="2590" spans="1:5" ht="18.75" x14ac:dyDescent="0.3">
      <c r="A2590" s="3">
        <v>2584</v>
      </c>
      <c r="B2590" s="9">
        <f t="shared" si="164"/>
        <v>0.99925004097187853</v>
      </c>
      <c r="C2590" s="3">
        <f t="shared" si="163"/>
        <v>62510.084813077803</v>
      </c>
      <c r="D2590" s="3">
        <f t="shared" si="165"/>
        <v>5.7949087429733481E-2</v>
      </c>
      <c r="E2590" s="8">
        <f t="shared" si="166"/>
        <v>369.14285714285717</v>
      </c>
    </row>
    <row r="2591" spans="1:5" ht="18.75" x14ac:dyDescent="0.3">
      <c r="A2591" s="3">
        <v>2585</v>
      </c>
      <c r="B2591" s="9">
        <f t="shared" si="164"/>
        <v>0.99925096590169971</v>
      </c>
      <c r="C2591" s="3">
        <f t="shared" si="163"/>
        <v>62510.142673912625</v>
      </c>
      <c r="D2591" s="3">
        <f t="shared" si="165"/>
        <v>5.7860834822349716E-2</v>
      </c>
      <c r="E2591" s="8">
        <f t="shared" si="166"/>
        <v>369.28571428571428</v>
      </c>
    </row>
    <row r="2592" spans="1:5" ht="18.75" x14ac:dyDescent="0.3">
      <c r="A2592" s="3">
        <v>2586</v>
      </c>
      <c r="B2592" s="9">
        <f t="shared" si="164"/>
        <v>0.99925188942334053</v>
      </c>
      <c r="C2592" s="3">
        <f t="shared" si="163"/>
        <v>62510.200446655916</v>
      </c>
      <c r="D2592" s="3">
        <f t="shared" si="165"/>
        <v>5.7772743290115613E-2</v>
      </c>
      <c r="E2592" s="8">
        <f t="shared" si="166"/>
        <v>369.42857142857144</v>
      </c>
    </row>
    <row r="2593" spans="1:5" ht="18.75" x14ac:dyDescent="0.3">
      <c r="A2593" s="3">
        <v>2587</v>
      </c>
      <c r="B2593" s="9">
        <f t="shared" si="164"/>
        <v>0.99925281153937007</v>
      </c>
      <c r="C2593" s="3">
        <f t="shared" si="163"/>
        <v>62510.25813146837</v>
      </c>
      <c r="D2593" s="3">
        <f t="shared" si="165"/>
        <v>5.7684812454681378E-2</v>
      </c>
      <c r="E2593" s="8">
        <f t="shared" si="166"/>
        <v>369.57142857142856</v>
      </c>
    </row>
    <row r="2594" spans="1:5" ht="18.75" x14ac:dyDescent="0.3">
      <c r="A2594" s="3">
        <v>2588</v>
      </c>
      <c r="B2594" s="9">
        <f t="shared" si="164"/>
        <v>0.99925373225235181</v>
      </c>
      <c r="C2594" s="3">
        <f t="shared" si="163"/>
        <v>62510.315728510373</v>
      </c>
      <c r="D2594" s="3">
        <f t="shared" si="165"/>
        <v>5.7597042003180832E-2</v>
      </c>
      <c r="E2594" s="8">
        <f t="shared" si="166"/>
        <v>369.71428571428572</v>
      </c>
    </row>
    <row r="2595" spans="1:5" ht="18.75" x14ac:dyDescent="0.3">
      <c r="A2595" s="3">
        <v>2589</v>
      </c>
      <c r="B2595" s="9">
        <f t="shared" si="164"/>
        <v>0.99925465156484383</v>
      </c>
      <c r="C2595" s="3">
        <f t="shared" si="163"/>
        <v>62510.373237941938</v>
      </c>
      <c r="D2595" s="3">
        <f t="shared" si="165"/>
        <v>5.7509431564540137E-2</v>
      </c>
      <c r="E2595" s="8">
        <f t="shared" si="166"/>
        <v>369.85714285714283</v>
      </c>
    </row>
    <row r="2596" spans="1:5" ht="18.75" x14ac:dyDescent="0.3">
      <c r="A2596" s="3">
        <v>2590</v>
      </c>
      <c r="B2596" s="9">
        <f t="shared" si="164"/>
        <v>0.99925556947939898</v>
      </c>
      <c r="C2596" s="3">
        <f t="shared" si="163"/>
        <v>62510.430659922764</v>
      </c>
      <c r="D2596" s="3">
        <f t="shared" si="165"/>
        <v>5.7421980825893115E-2</v>
      </c>
      <c r="E2596" s="8">
        <f t="shared" si="166"/>
        <v>370</v>
      </c>
    </row>
    <row r="2597" spans="1:5" ht="18.75" x14ac:dyDescent="0.3">
      <c r="A2597" s="3">
        <v>2591</v>
      </c>
      <c r="B2597" s="9">
        <f t="shared" si="164"/>
        <v>0.9992564859985642</v>
      </c>
      <c r="C2597" s="3">
        <f t="shared" si="163"/>
        <v>62510.48799461218</v>
      </c>
      <c r="D2597" s="3">
        <f t="shared" si="165"/>
        <v>5.7334689416165929E-2</v>
      </c>
      <c r="E2597" s="8">
        <f t="shared" si="166"/>
        <v>370.14285714285717</v>
      </c>
    </row>
    <row r="2598" spans="1:5" ht="18.75" x14ac:dyDescent="0.3">
      <c r="A2598" s="3">
        <v>2592</v>
      </c>
      <c r="B2598" s="9">
        <f t="shared" si="164"/>
        <v>0.99925740112488159</v>
      </c>
      <c r="C2598" s="3">
        <f t="shared" si="163"/>
        <v>62510.545242169217</v>
      </c>
      <c r="D2598" s="3">
        <f t="shared" si="165"/>
        <v>5.7247557037044317E-2</v>
      </c>
      <c r="E2598" s="8">
        <f t="shared" si="166"/>
        <v>370.28571428571428</v>
      </c>
    </row>
    <row r="2599" spans="1:5" ht="18.75" x14ac:dyDescent="0.3">
      <c r="A2599" s="3">
        <v>2593</v>
      </c>
      <c r="B2599" s="9">
        <f t="shared" si="164"/>
        <v>0.99925831486088723</v>
      </c>
      <c r="C2599" s="3">
        <f t="shared" si="163"/>
        <v>62510.60240275252</v>
      </c>
      <c r="D2599" s="3">
        <f t="shared" si="165"/>
        <v>5.7160583302902523E-2</v>
      </c>
      <c r="E2599" s="8">
        <f t="shared" si="166"/>
        <v>370.42857142857144</v>
      </c>
    </row>
    <row r="2600" spans="1:5" ht="18.75" x14ac:dyDescent="0.3">
      <c r="A2600" s="3">
        <v>2594</v>
      </c>
      <c r="B2600" s="9">
        <f t="shared" si="164"/>
        <v>0.99925922720911209</v>
      </c>
      <c r="C2600" s="3">
        <f t="shared" si="163"/>
        <v>62510.659476520428</v>
      </c>
      <c r="D2600" s="3">
        <f t="shared" si="165"/>
        <v>5.707376790815033E-2</v>
      </c>
      <c r="E2600" s="8">
        <f t="shared" si="166"/>
        <v>370.57142857142856</v>
      </c>
    </row>
    <row r="2601" spans="1:5" ht="18.75" x14ac:dyDescent="0.3">
      <c r="A2601" s="3">
        <v>2595</v>
      </c>
      <c r="B2601" s="9">
        <f t="shared" si="164"/>
        <v>0.99926013817208181</v>
      </c>
      <c r="C2601" s="3">
        <f t="shared" si="163"/>
        <v>62510.716463630924</v>
      </c>
      <c r="D2601" s="3">
        <f t="shared" si="165"/>
        <v>5.6987110496265814E-2</v>
      </c>
      <c r="E2601" s="8">
        <f t="shared" si="166"/>
        <v>370.71428571428572</v>
      </c>
    </row>
    <row r="2602" spans="1:5" ht="18.75" x14ac:dyDescent="0.3">
      <c r="A2602" s="3">
        <v>2596</v>
      </c>
      <c r="B2602" s="9">
        <f t="shared" si="164"/>
        <v>0.99926104775231661</v>
      </c>
      <c r="C2602" s="3">
        <f t="shared" si="163"/>
        <v>62510.773364241672</v>
      </c>
      <c r="D2602" s="3">
        <f t="shared" si="165"/>
        <v>5.6900610747106839E-2</v>
      </c>
      <c r="E2602" s="8">
        <f t="shared" si="166"/>
        <v>370.85714285714283</v>
      </c>
    </row>
    <row r="2603" spans="1:5" ht="18.75" x14ac:dyDescent="0.3">
      <c r="A2603" s="3">
        <v>2597</v>
      </c>
      <c r="B2603" s="9">
        <f t="shared" si="164"/>
        <v>0.99926195595233114</v>
      </c>
      <c r="C2603" s="3">
        <f t="shared" si="163"/>
        <v>62510.830178509976</v>
      </c>
      <c r="D2603" s="3">
        <f t="shared" si="165"/>
        <v>5.6814268304151483E-2</v>
      </c>
      <c r="E2603" s="8">
        <f t="shared" si="166"/>
        <v>371</v>
      </c>
    </row>
    <row r="2604" spans="1:5" ht="18.75" x14ac:dyDescent="0.3">
      <c r="A2604" s="3">
        <v>2598</v>
      </c>
      <c r="B2604" s="9">
        <f t="shared" si="164"/>
        <v>0.99926286277463483</v>
      </c>
      <c r="C2604" s="3">
        <f t="shared" si="163"/>
        <v>62510.88690659283</v>
      </c>
      <c r="D2604" s="3">
        <f t="shared" si="165"/>
        <v>5.6728082854533568E-2</v>
      </c>
      <c r="E2604" s="8">
        <f t="shared" si="166"/>
        <v>371.14285714285717</v>
      </c>
    </row>
    <row r="2605" spans="1:5" ht="18.75" x14ac:dyDescent="0.3">
      <c r="A2605" s="3">
        <v>2599</v>
      </c>
      <c r="B2605" s="9">
        <f t="shared" si="164"/>
        <v>0.99926376822173191</v>
      </c>
      <c r="C2605" s="3">
        <f t="shared" si="163"/>
        <v>62510.943548646886</v>
      </c>
      <c r="D2605" s="3">
        <f t="shared" si="165"/>
        <v>5.6642054056283087E-2</v>
      </c>
      <c r="E2605" s="8">
        <f t="shared" si="166"/>
        <v>371.28571428571428</v>
      </c>
    </row>
    <row r="2606" spans="1:5" ht="18.75" x14ac:dyDescent="0.3">
      <c r="A2606" s="3">
        <v>2600</v>
      </c>
      <c r="B2606" s="9">
        <f t="shared" si="164"/>
        <v>0.99926467229612115</v>
      </c>
      <c r="C2606" s="3">
        <f t="shared" si="163"/>
        <v>62511.000104828454</v>
      </c>
      <c r="D2606" s="3">
        <f t="shared" si="165"/>
        <v>5.6556181567430031E-2</v>
      </c>
      <c r="E2606" s="8">
        <f t="shared" si="166"/>
        <v>371.42857142857144</v>
      </c>
    </row>
    <row r="2607" spans="1:5" ht="18.75" x14ac:dyDescent="0.3">
      <c r="A2607" s="3">
        <v>2601</v>
      </c>
      <c r="B2607" s="9">
        <f t="shared" si="164"/>
        <v>0.99926557500029589</v>
      </c>
      <c r="C2607" s="3">
        <f t="shared" si="163"/>
        <v>62511.056575293507</v>
      </c>
      <c r="D2607" s="3">
        <f t="shared" si="165"/>
        <v>5.647046505328035E-2</v>
      </c>
      <c r="E2607" s="8">
        <f t="shared" si="166"/>
        <v>371.57142857142856</v>
      </c>
    </row>
    <row r="2608" spans="1:5" ht="18.75" x14ac:dyDescent="0.3">
      <c r="A2608" s="3">
        <v>2602</v>
      </c>
      <c r="B2608" s="9">
        <f t="shared" si="164"/>
        <v>0.99926647633674437</v>
      </c>
      <c r="C2608" s="3">
        <f t="shared" si="163"/>
        <v>62511.112960197715</v>
      </c>
      <c r="D2608" s="3">
        <f t="shared" si="165"/>
        <v>5.6384904208243825E-2</v>
      </c>
      <c r="E2608" s="8">
        <f t="shared" si="166"/>
        <v>371.71428571428572</v>
      </c>
    </row>
    <row r="2609" spans="1:5" ht="18.75" x14ac:dyDescent="0.3">
      <c r="A2609" s="3">
        <v>2603</v>
      </c>
      <c r="B2609" s="9">
        <f t="shared" si="164"/>
        <v>0.99926737630794937</v>
      </c>
      <c r="C2609" s="3">
        <f t="shared" si="163"/>
        <v>62511.169259696391</v>
      </c>
      <c r="D2609" s="3">
        <f t="shared" si="165"/>
        <v>5.6299498675798532E-2</v>
      </c>
      <c r="E2609" s="8">
        <f t="shared" si="166"/>
        <v>371.85714285714283</v>
      </c>
    </row>
    <row r="2610" spans="1:5" ht="18.75" x14ac:dyDescent="0.3">
      <c r="A2610" s="3">
        <v>2604</v>
      </c>
      <c r="B2610" s="9">
        <f t="shared" si="164"/>
        <v>0.9992682749163887</v>
      </c>
      <c r="C2610" s="3">
        <f t="shared" si="163"/>
        <v>62511.225473944527</v>
      </c>
      <c r="D2610" s="3">
        <f t="shared" si="165"/>
        <v>5.6214248135802336E-2</v>
      </c>
      <c r="E2610" s="8">
        <f t="shared" si="166"/>
        <v>372</v>
      </c>
    </row>
    <row r="2611" spans="1:5" ht="18.75" x14ac:dyDescent="0.3">
      <c r="A2611" s="3">
        <v>2605</v>
      </c>
      <c r="B2611" s="9">
        <f t="shared" si="164"/>
        <v>0.99926917216453437</v>
      </c>
      <c r="C2611" s="3">
        <f t="shared" si="163"/>
        <v>62511.281603096773</v>
      </c>
      <c r="D2611" s="3">
        <f t="shared" si="165"/>
        <v>5.612915224628523E-2</v>
      </c>
      <c r="E2611" s="8">
        <f t="shared" si="166"/>
        <v>372.14285714285717</v>
      </c>
    </row>
    <row r="2612" spans="1:5" ht="18.75" x14ac:dyDescent="0.3">
      <c r="A2612" s="3">
        <v>2606</v>
      </c>
      <c r="B2612" s="9">
        <f t="shared" si="164"/>
        <v>0.99927006805485374</v>
      </c>
      <c r="C2612" s="3">
        <f t="shared" si="163"/>
        <v>62511.337647307482</v>
      </c>
      <c r="D2612" s="3">
        <f t="shared" si="165"/>
        <v>5.6044210708932951E-2</v>
      </c>
      <c r="E2612" s="8">
        <f t="shared" si="166"/>
        <v>372.28571428571428</v>
      </c>
    </row>
    <row r="2613" spans="1:5" ht="18.75" x14ac:dyDescent="0.3">
      <c r="A2613" s="3">
        <v>2607</v>
      </c>
      <c r="B2613" s="9">
        <f t="shared" si="164"/>
        <v>0.99927096258980841</v>
      </c>
      <c r="C2613" s="3">
        <f t="shared" si="163"/>
        <v>62511.393606730642</v>
      </c>
      <c r="D2613" s="3">
        <f t="shared" si="165"/>
        <v>5.5959423159947619E-2</v>
      </c>
      <c r="E2613" s="8">
        <f t="shared" si="166"/>
        <v>372.42857142857144</v>
      </c>
    </row>
    <row r="2614" spans="1:5" ht="18.75" x14ac:dyDescent="0.3">
      <c r="A2614" s="3">
        <v>2608</v>
      </c>
      <c r="B2614" s="9">
        <f t="shared" si="164"/>
        <v>0.99927185577185518</v>
      </c>
      <c r="C2614" s="3">
        <f t="shared" si="163"/>
        <v>62511.449481519943</v>
      </c>
      <c r="D2614" s="3">
        <f t="shared" si="165"/>
        <v>5.5874789301014971E-2</v>
      </c>
      <c r="E2614" s="8">
        <f t="shared" si="166"/>
        <v>372.57142857142856</v>
      </c>
    </row>
    <row r="2615" spans="1:5" ht="18.75" x14ac:dyDescent="0.3">
      <c r="A2615" s="3">
        <v>2609</v>
      </c>
      <c r="B2615" s="9">
        <f t="shared" si="164"/>
        <v>0.99927274760344531</v>
      </c>
      <c r="C2615" s="3">
        <f t="shared" si="163"/>
        <v>62511.505271828726</v>
      </c>
      <c r="D2615" s="3">
        <f t="shared" si="165"/>
        <v>5.5790308782889042E-2</v>
      </c>
      <c r="E2615" s="8">
        <f t="shared" si="166"/>
        <v>372.71428571428572</v>
      </c>
    </row>
    <row r="2616" spans="1:5" ht="18.75" x14ac:dyDescent="0.3">
      <c r="A2616" s="3">
        <v>2610</v>
      </c>
      <c r="B2616" s="9">
        <f t="shared" si="164"/>
        <v>0.99927363808702507</v>
      </c>
      <c r="C2616" s="3">
        <f t="shared" si="163"/>
        <v>62511.560977810026</v>
      </c>
      <c r="D2616" s="3">
        <f t="shared" si="165"/>
        <v>5.5705981299979612E-2</v>
      </c>
      <c r="E2616" s="8">
        <f t="shared" si="166"/>
        <v>372.85714285714283</v>
      </c>
    </row>
    <row r="2617" spans="1:5" ht="18.75" x14ac:dyDescent="0.3">
      <c r="A2617" s="3">
        <v>2611</v>
      </c>
      <c r="B2617" s="9">
        <f t="shared" si="164"/>
        <v>0.9992745272250354</v>
      </c>
      <c r="C2617" s="3">
        <f t="shared" si="163"/>
        <v>62511.616599616536</v>
      </c>
      <c r="D2617" s="3">
        <f t="shared" si="165"/>
        <v>5.5621806510316674E-2</v>
      </c>
      <c r="E2617" s="8">
        <f t="shared" si="166"/>
        <v>373</v>
      </c>
    </row>
    <row r="2618" spans="1:5" ht="18.75" x14ac:dyDescent="0.3">
      <c r="A2618" s="3">
        <v>2612</v>
      </c>
      <c r="B2618" s="9">
        <f t="shared" si="164"/>
        <v>0.99927541501991224</v>
      </c>
      <c r="C2618" s="3">
        <f t="shared" si="163"/>
        <v>62511.672137400652</v>
      </c>
      <c r="D2618" s="3">
        <f t="shared" si="165"/>
        <v>5.5537784115585964E-2</v>
      </c>
      <c r="E2618" s="8">
        <f t="shared" si="166"/>
        <v>373.14285714285717</v>
      </c>
    </row>
    <row r="2619" spans="1:5" ht="18.75" x14ac:dyDescent="0.3">
      <c r="A2619" s="3">
        <v>2613</v>
      </c>
      <c r="B2619" s="9">
        <f t="shared" si="164"/>
        <v>0.9992763014740863</v>
      </c>
      <c r="C2619" s="3">
        <f t="shared" si="163"/>
        <v>62511.727591314419</v>
      </c>
      <c r="D2619" s="3">
        <f t="shared" si="165"/>
        <v>5.5453913766541518E-2</v>
      </c>
      <c r="E2619" s="8">
        <f t="shared" si="166"/>
        <v>373.28571428571428</v>
      </c>
    </row>
    <row r="2620" spans="1:5" ht="18.75" x14ac:dyDescent="0.3">
      <c r="A2620" s="3">
        <v>2614</v>
      </c>
      <c r="B2620" s="9">
        <f t="shared" si="164"/>
        <v>0.99927718658998288</v>
      </c>
      <c r="C2620" s="3">
        <f t="shared" si="163"/>
        <v>62511.782961509562</v>
      </c>
      <c r="D2620" s="3">
        <f t="shared" si="165"/>
        <v>5.5370195143041201E-2</v>
      </c>
      <c r="E2620" s="8">
        <f t="shared" si="166"/>
        <v>373.42857142857144</v>
      </c>
    </row>
    <row r="2621" spans="1:5" ht="18.75" x14ac:dyDescent="0.3">
      <c r="A2621" s="3">
        <v>2615</v>
      </c>
      <c r="B2621" s="9">
        <f t="shared" si="164"/>
        <v>0.99927807037002248</v>
      </c>
      <c r="C2621" s="3">
        <f t="shared" si="163"/>
        <v>62511.838248137494</v>
      </c>
      <c r="D2621" s="3">
        <f t="shared" si="165"/>
        <v>5.5286627932218835E-2</v>
      </c>
      <c r="E2621" s="8">
        <f t="shared" si="166"/>
        <v>373.57142857142856</v>
      </c>
    </row>
    <row r="2622" spans="1:5" ht="18.75" x14ac:dyDescent="0.3">
      <c r="A2622" s="3">
        <v>2616</v>
      </c>
      <c r="B2622" s="9">
        <f t="shared" si="164"/>
        <v>0.99927895281662049</v>
      </c>
      <c r="C2622" s="3">
        <f t="shared" si="163"/>
        <v>62511.89345134933</v>
      </c>
      <c r="D2622" s="3">
        <f t="shared" si="165"/>
        <v>5.5203211835760158E-2</v>
      </c>
      <c r="E2622" s="8">
        <f t="shared" si="166"/>
        <v>373.71428571428572</v>
      </c>
    </row>
    <row r="2623" spans="1:5" ht="18.75" x14ac:dyDescent="0.3">
      <c r="A2623" s="3">
        <v>2617</v>
      </c>
      <c r="B2623" s="9">
        <f t="shared" si="164"/>
        <v>0.99927983393218689</v>
      </c>
      <c r="C2623" s="3">
        <f t="shared" si="163"/>
        <v>62511.948571295812</v>
      </c>
      <c r="D2623" s="3">
        <f t="shared" si="165"/>
        <v>5.5119946482591331E-2</v>
      </c>
      <c r="E2623" s="8">
        <f t="shared" si="166"/>
        <v>373.85714285714283</v>
      </c>
    </row>
    <row r="2624" spans="1:5" ht="18.75" x14ac:dyDescent="0.3">
      <c r="A2624" s="3">
        <v>2618</v>
      </c>
      <c r="B2624" s="9">
        <f t="shared" si="164"/>
        <v>0.99928071371912686</v>
      </c>
      <c r="C2624" s="3">
        <f t="shared" si="163"/>
        <v>62512.003608127416</v>
      </c>
      <c r="D2624" s="3">
        <f t="shared" si="165"/>
        <v>5.5036831603501923E-2</v>
      </c>
      <c r="E2624" s="8">
        <f t="shared" si="166"/>
        <v>374</v>
      </c>
    </row>
    <row r="2625" spans="1:5" ht="18.75" x14ac:dyDescent="0.3">
      <c r="A2625" s="3">
        <v>2619</v>
      </c>
      <c r="B2625" s="9">
        <f t="shared" si="164"/>
        <v>0.99928159217984025</v>
      </c>
      <c r="C2625" s="3">
        <f t="shared" si="163"/>
        <v>62512.058561994265</v>
      </c>
      <c r="D2625" s="3">
        <f t="shared" si="165"/>
        <v>5.4953866849245969E-2</v>
      </c>
      <c r="E2625" s="8">
        <f t="shared" si="166"/>
        <v>374.14285714285717</v>
      </c>
    </row>
    <row r="2626" spans="1:5" ht="18.75" x14ac:dyDescent="0.3">
      <c r="A2626" s="3">
        <v>2620</v>
      </c>
      <c r="B2626" s="9">
        <f t="shared" si="164"/>
        <v>0.99928246931672193</v>
      </c>
      <c r="C2626" s="3">
        <f t="shared" si="163"/>
        <v>62512.113433046172</v>
      </c>
      <c r="D2626" s="3">
        <f t="shared" si="165"/>
        <v>5.4871051906957291E-2</v>
      </c>
      <c r="E2626" s="8">
        <f t="shared" si="166"/>
        <v>374.28571428571428</v>
      </c>
    </row>
    <row r="2627" spans="1:5" ht="18.75" x14ac:dyDescent="0.3">
      <c r="A2627" s="3">
        <v>2621</v>
      </c>
      <c r="B2627" s="9">
        <f t="shared" si="164"/>
        <v>0.99928334513216188</v>
      </c>
      <c r="C2627" s="3">
        <f t="shared" si="163"/>
        <v>62512.16822143265</v>
      </c>
      <c r="D2627" s="3">
        <f t="shared" si="165"/>
        <v>5.4788386478321627E-2</v>
      </c>
      <c r="E2627" s="8">
        <f t="shared" si="166"/>
        <v>374.42857142857144</v>
      </c>
    </row>
    <row r="2628" spans="1:5" ht="18.75" x14ac:dyDescent="0.3">
      <c r="A2628" s="3">
        <v>2622</v>
      </c>
      <c r="B2628" s="9">
        <f t="shared" si="164"/>
        <v>0.99928421962854475</v>
      </c>
      <c r="C2628" s="3">
        <f t="shared" si="163"/>
        <v>62512.222927302872</v>
      </c>
      <c r="D2628" s="3">
        <f t="shared" si="165"/>
        <v>5.4705870221368968E-2</v>
      </c>
      <c r="E2628" s="8">
        <f t="shared" si="166"/>
        <v>374.57142857142856</v>
      </c>
    </row>
    <row r="2629" spans="1:5" ht="18.75" x14ac:dyDescent="0.3">
      <c r="A2629" s="3">
        <v>2623</v>
      </c>
      <c r="B2629" s="9">
        <f t="shared" si="164"/>
        <v>0.9992850928082504</v>
      </c>
      <c r="C2629" s="3">
        <f t="shared" si="163"/>
        <v>62512.277550805717</v>
      </c>
      <c r="D2629" s="3">
        <f t="shared" si="165"/>
        <v>5.4623502845061012E-2</v>
      </c>
      <c r="E2629" s="8">
        <f t="shared" si="166"/>
        <v>374.71428571428572</v>
      </c>
    </row>
    <row r="2630" spans="1:5" ht="18.75" x14ac:dyDescent="0.3">
      <c r="A2630" s="3">
        <v>2624</v>
      </c>
      <c r="B2630" s="9">
        <f t="shared" si="164"/>
        <v>0.99928596467365338</v>
      </c>
      <c r="C2630" s="3">
        <f t="shared" si="163"/>
        <v>62512.332092089731</v>
      </c>
      <c r="D2630" s="3">
        <f t="shared" si="165"/>
        <v>5.4541284014703706E-2</v>
      </c>
      <c r="E2630" s="8">
        <f t="shared" si="166"/>
        <v>374.85714285714283</v>
      </c>
    </row>
    <row r="2631" spans="1:5" ht="18.75" x14ac:dyDescent="0.3">
      <c r="A2631" s="3">
        <v>2625</v>
      </c>
      <c r="B2631" s="9">
        <f t="shared" si="164"/>
        <v>0.99928683522712347</v>
      </c>
      <c r="C2631" s="3">
        <f t="shared" si="163"/>
        <v>62512.386551303163</v>
      </c>
      <c r="D2631" s="3">
        <f t="shared" si="165"/>
        <v>5.4459213431982789E-2</v>
      </c>
      <c r="E2631" s="8">
        <f t="shared" si="166"/>
        <v>375</v>
      </c>
    </row>
    <row r="2632" spans="1:5" ht="18.75" x14ac:dyDescent="0.3">
      <c r="A2632" s="3">
        <v>2626</v>
      </c>
      <c r="B2632" s="9">
        <f t="shared" si="164"/>
        <v>0.99928770447102544</v>
      </c>
      <c r="C2632" s="3">
        <f t="shared" ref="C2632:C2695" si="167">$E$3*B2632</f>
        <v>62512.44092859394</v>
      </c>
      <c r="D2632" s="3">
        <f t="shared" si="165"/>
        <v>5.4377290776756126E-2</v>
      </c>
      <c r="E2632" s="8">
        <f t="shared" si="166"/>
        <v>375.14285714285717</v>
      </c>
    </row>
    <row r="2633" spans="1:5" ht="18.75" x14ac:dyDescent="0.3">
      <c r="A2633" s="3">
        <v>2627</v>
      </c>
      <c r="B2633" s="9">
        <f t="shared" si="164"/>
        <v>0.99928857240771884</v>
      </c>
      <c r="C2633" s="3">
        <f t="shared" si="167"/>
        <v>62512.495224109669</v>
      </c>
      <c r="D2633" s="3">
        <f t="shared" si="165"/>
        <v>5.4295515728881583E-2</v>
      </c>
      <c r="E2633" s="8">
        <f t="shared" si="166"/>
        <v>375.28571428571428</v>
      </c>
    </row>
    <row r="2634" spans="1:5" ht="18.75" x14ac:dyDescent="0.3">
      <c r="A2634" s="3">
        <v>2628</v>
      </c>
      <c r="B2634" s="9">
        <f t="shared" si="164"/>
        <v>0.99928943903955858</v>
      </c>
      <c r="C2634" s="3">
        <f t="shared" si="167"/>
        <v>62512.549437997666</v>
      </c>
      <c r="D2634" s="3">
        <f t="shared" si="165"/>
        <v>5.4213887997320853E-2</v>
      </c>
      <c r="E2634" s="8">
        <f t="shared" si="166"/>
        <v>375.42857142857144</v>
      </c>
    </row>
    <row r="2635" spans="1:5" ht="18.75" x14ac:dyDescent="0.3">
      <c r="A2635" s="3">
        <v>2629</v>
      </c>
      <c r="B2635" s="9">
        <f t="shared" si="164"/>
        <v>0.99929030436889432</v>
      </c>
      <c r="C2635" s="3">
        <f t="shared" si="167"/>
        <v>62512.603570404921</v>
      </c>
      <c r="D2635" s="3">
        <f t="shared" si="165"/>
        <v>5.4132407254655845E-2</v>
      </c>
      <c r="E2635" s="8">
        <f t="shared" si="166"/>
        <v>375.57142857142856</v>
      </c>
    </row>
    <row r="2636" spans="1:5" ht="18.75" x14ac:dyDescent="0.3">
      <c r="A2636" s="3">
        <v>2630</v>
      </c>
      <c r="B2636" s="9">
        <f t="shared" si="164"/>
        <v>0.99929116839807086</v>
      </c>
      <c r="C2636" s="3">
        <f t="shared" si="167"/>
        <v>62512.657621478116</v>
      </c>
      <c r="D2636" s="3">
        <f t="shared" si="165"/>
        <v>5.405107319529634E-2</v>
      </c>
      <c r="E2636" s="8">
        <f t="shared" si="166"/>
        <v>375.71428571428572</v>
      </c>
    </row>
    <row r="2637" spans="1:5" ht="18.75" x14ac:dyDescent="0.3">
      <c r="A2637" s="3">
        <v>2631</v>
      </c>
      <c r="B2637" s="9">
        <f t="shared" si="164"/>
        <v>0.9992920311294281</v>
      </c>
      <c r="C2637" s="3">
        <f t="shared" si="167"/>
        <v>62512.711591363637</v>
      </c>
      <c r="D2637" s="3">
        <f t="shared" si="165"/>
        <v>5.3969885520928074E-2</v>
      </c>
      <c r="E2637" s="8">
        <f t="shared" si="166"/>
        <v>375.85714285714283</v>
      </c>
    </row>
    <row r="2638" spans="1:5" ht="18.75" x14ac:dyDescent="0.3">
      <c r="A2638" s="3">
        <v>2632</v>
      </c>
      <c r="B2638" s="9">
        <f t="shared" si="164"/>
        <v>0.99929289256530107</v>
      </c>
      <c r="C2638" s="3">
        <f t="shared" si="167"/>
        <v>62512.765480207541</v>
      </c>
      <c r="D2638" s="3">
        <f t="shared" si="165"/>
        <v>5.3888843904132955E-2</v>
      </c>
      <c r="E2638" s="8">
        <f t="shared" si="166"/>
        <v>376</v>
      </c>
    </row>
    <row r="2639" spans="1:5" ht="18.75" x14ac:dyDescent="0.3">
      <c r="A2639" s="3">
        <v>2633</v>
      </c>
      <c r="B2639" s="9">
        <f t="shared" si="164"/>
        <v>0.99929375270801968</v>
      </c>
      <c r="C2639" s="3">
        <f t="shared" si="167"/>
        <v>62512.819288155588</v>
      </c>
      <c r="D2639" s="3">
        <f t="shared" si="165"/>
        <v>5.3807948046596721E-2</v>
      </c>
      <c r="E2639" s="8">
        <f t="shared" si="166"/>
        <v>376.14285714285717</v>
      </c>
    </row>
    <row r="2640" spans="1:5" ht="18.75" x14ac:dyDescent="0.3">
      <c r="A2640" s="3">
        <v>2634</v>
      </c>
      <c r="B2640" s="9">
        <f t="shared" si="164"/>
        <v>0.99929461155990906</v>
      </c>
      <c r="C2640" s="3">
        <f t="shared" si="167"/>
        <v>62512.873015353231</v>
      </c>
      <c r="D2640" s="3">
        <f t="shared" si="165"/>
        <v>5.3727197642729152E-2</v>
      </c>
      <c r="E2640" s="8">
        <f t="shared" si="166"/>
        <v>376.28571428571428</v>
      </c>
    </row>
    <row r="2641" spans="1:5" ht="18.75" x14ac:dyDescent="0.3">
      <c r="A2641" s="3">
        <v>2635</v>
      </c>
      <c r="B2641" s="9">
        <f t="shared" si="164"/>
        <v>0.99929546912328959</v>
      </c>
      <c r="C2641" s="3">
        <f t="shared" si="167"/>
        <v>62512.926661945625</v>
      </c>
      <c r="D2641" s="3">
        <f t="shared" si="165"/>
        <v>5.3646592394215986E-2</v>
      </c>
      <c r="E2641" s="8">
        <f t="shared" si="166"/>
        <v>376.42857142857144</v>
      </c>
    </row>
    <row r="2642" spans="1:5" ht="18.75" x14ac:dyDescent="0.3">
      <c r="A2642" s="3">
        <v>2636</v>
      </c>
      <c r="B2642" s="9">
        <f t="shared" si="164"/>
        <v>0.99929632540047642</v>
      </c>
      <c r="C2642" s="3">
        <f t="shared" si="167"/>
        <v>62512.980228077606</v>
      </c>
      <c r="D2642" s="3">
        <f t="shared" si="165"/>
        <v>5.3566131980915088E-2</v>
      </c>
      <c r="E2642" s="8">
        <f t="shared" si="166"/>
        <v>376.57142857142856</v>
      </c>
    </row>
    <row r="2643" spans="1:5" ht="18.75" x14ac:dyDescent="0.3">
      <c r="A2643" s="3">
        <v>2637</v>
      </c>
      <c r="B2643" s="9">
        <f t="shared" si="164"/>
        <v>0.99929718039378013</v>
      </c>
      <c r="C2643" s="3">
        <f t="shared" si="167"/>
        <v>62513.033713893703</v>
      </c>
      <c r="D2643" s="3">
        <f t="shared" si="165"/>
        <v>5.3485816097236238E-2</v>
      </c>
      <c r="E2643" s="8">
        <f t="shared" si="166"/>
        <v>376.71428571428572</v>
      </c>
    </row>
    <row r="2644" spans="1:5" ht="18.75" x14ac:dyDescent="0.3">
      <c r="A2644" s="3">
        <v>2638</v>
      </c>
      <c r="B2644" s="9">
        <f t="shared" si="164"/>
        <v>0.99929803410550633</v>
      </c>
      <c r="C2644" s="3">
        <f t="shared" si="167"/>
        <v>62513.087119538162</v>
      </c>
      <c r="D2644" s="3">
        <f t="shared" si="165"/>
        <v>5.340564445941709E-2</v>
      </c>
      <c r="E2644" s="8">
        <f t="shared" si="166"/>
        <v>376.85714285714283</v>
      </c>
    </row>
    <row r="2645" spans="1:5" ht="18.75" x14ac:dyDescent="0.3">
      <c r="A2645" s="3">
        <v>2639</v>
      </c>
      <c r="B2645" s="9">
        <f t="shared" si="164"/>
        <v>0.99929888653795573</v>
      </c>
      <c r="C2645" s="3">
        <f t="shared" si="167"/>
        <v>62513.140445154895</v>
      </c>
      <c r="D2645" s="3">
        <f t="shared" si="165"/>
        <v>5.3325616732763592E-2</v>
      </c>
      <c r="E2645" s="8">
        <f t="shared" si="166"/>
        <v>377</v>
      </c>
    </row>
    <row r="2646" spans="1:5" ht="18.75" x14ac:dyDescent="0.3">
      <c r="A2646" s="3">
        <v>2640</v>
      </c>
      <c r="B2646" s="9">
        <f t="shared" si="164"/>
        <v>0.99929973769342439</v>
      </c>
      <c r="C2646" s="3">
        <f t="shared" si="167"/>
        <v>62513.19369088755</v>
      </c>
      <c r="D2646" s="3">
        <f t="shared" si="165"/>
        <v>5.3245732655341271E-2</v>
      </c>
      <c r="E2646" s="8">
        <f t="shared" si="166"/>
        <v>377.14285714285717</v>
      </c>
    </row>
    <row r="2647" spans="1:5" ht="18.75" x14ac:dyDescent="0.3">
      <c r="A2647" s="3">
        <v>2641</v>
      </c>
      <c r="B2647" s="9">
        <f t="shared" ref="B2647:B2710" si="168">LOGNORMDIST(A2647,$A$3,$B$3)</f>
        <v>0.99930058757420326</v>
      </c>
      <c r="C2647" s="3">
        <f t="shared" si="167"/>
        <v>62513.246856879436</v>
      </c>
      <c r="D2647" s="3">
        <f t="shared" ref="D2647:D2710" si="169">C2647-C2646</f>
        <v>5.3165991885180119E-2</v>
      </c>
      <c r="E2647" s="8">
        <f t="shared" ref="E2647:E2710" si="170">A2647/7</f>
        <v>377.28571428571428</v>
      </c>
    </row>
    <row r="2648" spans="1:5" ht="18.75" x14ac:dyDescent="0.3">
      <c r="A2648" s="3">
        <v>2642</v>
      </c>
      <c r="B2648" s="9">
        <f t="shared" si="168"/>
        <v>0.99930143618257883</v>
      </c>
      <c r="C2648" s="3">
        <f t="shared" si="167"/>
        <v>62513.299943273581</v>
      </c>
      <c r="D2648" s="3">
        <f t="shared" si="169"/>
        <v>5.3086394145793747E-2</v>
      </c>
      <c r="E2648" s="8">
        <f t="shared" si="170"/>
        <v>377.42857142857144</v>
      </c>
    </row>
    <row r="2649" spans="1:5" ht="18.75" x14ac:dyDescent="0.3">
      <c r="A2649" s="3">
        <v>2643</v>
      </c>
      <c r="B2649" s="9">
        <f t="shared" si="168"/>
        <v>0.99930228352083261</v>
      </c>
      <c r="C2649" s="3">
        <f t="shared" si="167"/>
        <v>62513.352950212728</v>
      </c>
      <c r="D2649" s="3">
        <f t="shared" si="169"/>
        <v>5.300693914614385E-2</v>
      </c>
      <c r="E2649" s="8">
        <f t="shared" si="170"/>
        <v>377.57142857142856</v>
      </c>
    </row>
    <row r="2650" spans="1:5" ht="18.75" x14ac:dyDescent="0.3">
      <c r="A2650" s="3">
        <v>2644</v>
      </c>
      <c r="B2650" s="9">
        <f t="shared" si="168"/>
        <v>0.99930312959124112</v>
      </c>
      <c r="C2650" s="3">
        <f t="shared" si="167"/>
        <v>62513.405877839272</v>
      </c>
      <c r="D2650" s="3">
        <f t="shared" si="169"/>
        <v>5.292762654426042E-2</v>
      </c>
      <c r="E2650" s="8">
        <f t="shared" si="170"/>
        <v>377.71428571428572</v>
      </c>
    </row>
    <row r="2651" spans="1:5" ht="18.75" x14ac:dyDescent="0.3">
      <c r="A2651" s="3">
        <v>2645</v>
      </c>
      <c r="B2651" s="9">
        <f t="shared" si="168"/>
        <v>0.99930397439607643</v>
      </c>
      <c r="C2651" s="3">
        <f t="shared" si="167"/>
        <v>62513.45872629535</v>
      </c>
      <c r="D2651" s="3">
        <f t="shared" si="169"/>
        <v>5.2848456078208983E-2</v>
      </c>
      <c r="E2651" s="8">
        <f t="shared" si="170"/>
        <v>377.85714285714283</v>
      </c>
    </row>
    <row r="2652" spans="1:5" ht="18.75" x14ac:dyDescent="0.3">
      <c r="A2652" s="3">
        <v>2646</v>
      </c>
      <c r="B2652" s="9">
        <f t="shared" si="168"/>
        <v>0.99930481793760573</v>
      </c>
      <c r="C2652" s="3">
        <f t="shared" si="167"/>
        <v>62513.5114957228</v>
      </c>
      <c r="D2652" s="3">
        <f t="shared" si="169"/>
        <v>5.2769427449675277E-2</v>
      </c>
      <c r="E2652" s="8">
        <f t="shared" si="170"/>
        <v>378</v>
      </c>
    </row>
    <row r="2653" spans="1:5" ht="18.75" x14ac:dyDescent="0.3">
      <c r="A2653" s="3">
        <v>2647</v>
      </c>
      <c r="B2653" s="9">
        <f t="shared" si="168"/>
        <v>0.99930566021809142</v>
      </c>
      <c r="C2653" s="3">
        <f t="shared" si="167"/>
        <v>62513.564186263146</v>
      </c>
      <c r="D2653" s="3">
        <f t="shared" si="169"/>
        <v>5.2690540345793124E-2</v>
      </c>
      <c r="E2653" s="8">
        <f t="shared" si="170"/>
        <v>378.14285714285717</v>
      </c>
    </row>
    <row r="2654" spans="1:5" ht="18.75" x14ac:dyDescent="0.3">
      <c r="A2654" s="3">
        <v>2648</v>
      </c>
      <c r="B2654" s="9">
        <f t="shared" si="168"/>
        <v>0.99930650123979115</v>
      </c>
      <c r="C2654" s="3">
        <f t="shared" si="167"/>
        <v>62513.616798057614</v>
      </c>
      <c r="D2654" s="3">
        <f t="shared" si="169"/>
        <v>5.2611794468248263E-2</v>
      </c>
      <c r="E2654" s="8">
        <f t="shared" si="170"/>
        <v>378.28571428571428</v>
      </c>
    </row>
    <row r="2655" spans="1:5" ht="18.75" x14ac:dyDescent="0.3">
      <c r="A2655" s="3">
        <v>2649</v>
      </c>
      <c r="B2655" s="9">
        <f t="shared" si="168"/>
        <v>0.99930734100495799</v>
      </c>
      <c r="C2655" s="3">
        <f t="shared" si="167"/>
        <v>62513.669331247154</v>
      </c>
      <c r="D2655" s="3">
        <f t="shared" si="169"/>
        <v>5.2533189540554304E-2</v>
      </c>
      <c r="E2655" s="8">
        <f t="shared" si="170"/>
        <v>378.42857142857144</v>
      </c>
    </row>
    <row r="2656" spans="1:5" ht="18.75" x14ac:dyDescent="0.3">
      <c r="A2656" s="3">
        <v>2650</v>
      </c>
      <c r="B2656" s="9">
        <f t="shared" si="168"/>
        <v>0.99930817951583994</v>
      </c>
      <c r="C2656" s="3">
        <f t="shared" si="167"/>
        <v>62513.721785972397</v>
      </c>
      <c r="D2656" s="3">
        <f t="shared" si="169"/>
        <v>5.2454725242569111E-2</v>
      </c>
      <c r="E2656" s="8">
        <f t="shared" si="170"/>
        <v>378.57142857142856</v>
      </c>
    </row>
    <row r="2657" spans="1:5" ht="18.75" x14ac:dyDescent="0.3">
      <c r="A2657" s="3">
        <v>2651</v>
      </c>
      <c r="B2657" s="9">
        <f t="shared" si="168"/>
        <v>0.99930901677468087</v>
      </c>
      <c r="C2657" s="3">
        <f t="shared" si="167"/>
        <v>62513.774162373709</v>
      </c>
      <c r="D2657" s="3">
        <f t="shared" si="169"/>
        <v>5.2376401312358212E-2</v>
      </c>
      <c r="E2657" s="8">
        <f t="shared" si="170"/>
        <v>378.71428571428572</v>
      </c>
    </row>
    <row r="2658" spans="1:5" ht="18.75" x14ac:dyDescent="0.3">
      <c r="A2658" s="3">
        <v>2652</v>
      </c>
      <c r="B2658" s="9">
        <f t="shared" si="168"/>
        <v>0.99930985278371931</v>
      </c>
      <c r="C2658" s="3">
        <f t="shared" si="167"/>
        <v>62513.826460591132</v>
      </c>
      <c r="D2658" s="3">
        <f t="shared" si="169"/>
        <v>5.2298217422503512E-2</v>
      </c>
      <c r="E2658" s="8">
        <f t="shared" si="170"/>
        <v>378.85714285714283</v>
      </c>
    </row>
    <row r="2659" spans="1:5" ht="18.75" x14ac:dyDescent="0.3">
      <c r="A2659" s="3">
        <v>2653</v>
      </c>
      <c r="B2659" s="9">
        <f t="shared" si="168"/>
        <v>0.99931068754518948</v>
      </c>
      <c r="C2659" s="3">
        <f t="shared" si="167"/>
        <v>62513.878680764421</v>
      </c>
      <c r="D2659" s="3">
        <f t="shared" si="169"/>
        <v>5.2220173289242666E-2</v>
      </c>
      <c r="E2659" s="8">
        <f t="shared" si="170"/>
        <v>379</v>
      </c>
    </row>
    <row r="2660" spans="1:5" ht="18.75" x14ac:dyDescent="0.3">
      <c r="A2660" s="3">
        <v>2654</v>
      </c>
      <c r="B2660" s="9">
        <f t="shared" si="168"/>
        <v>0.99931152106132082</v>
      </c>
      <c r="C2660" s="3">
        <f t="shared" si="167"/>
        <v>62513.93082303305</v>
      </c>
      <c r="D2660" s="3">
        <f t="shared" si="169"/>
        <v>5.2142268628813326E-2</v>
      </c>
      <c r="E2660" s="8">
        <f t="shared" si="170"/>
        <v>379.14285714285717</v>
      </c>
    </row>
    <row r="2661" spans="1:5" ht="18.75" x14ac:dyDescent="0.3">
      <c r="A2661" s="3">
        <v>2655</v>
      </c>
      <c r="B2661" s="9">
        <f t="shared" si="168"/>
        <v>0.99931235333433832</v>
      </c>
      <c r="C2661" s="3">
        <f t="shared" si="167"/>
        <v>62513.9828875362</v>
      </c>
      <c r="D2661" s="3">
        <f t="shared" si="169"/>
        <v>5.2064503150177188E-2</v>
      </c>
      <c r="E2661" s="8">
        <f t="shared" si="170"/>
        <v>379.28571428571428</v>
      </c>
    </row>
    <row r="2662" spans="1:5" ht="18.75" x14ac:dyDescent="0.3">
      <c r="A2662" s="3">
        <v>2656</v>
      </c>
      <c r="B2662" s="9">
        <f t="shared" si="168"/>
        <v>0.99931318436646199</v>
      </c>
      <c r="C2662" s="3">
        <f t="shared" si="167"/>
        <v>62514.034874412762</v>
      </c>
      <c r="D2662" s="3">
        <f t="shared" si="169"/>
        <v>5.1986876562295947E-2</v>
      </c>
      <c r="E2662" s="8">
        <f t="shared" si="170"/>
        <v>379.42857142857144</v>
      </c>
    </row>
    <row r="2663" spans="1:5" ht="18.75" x14ac:dyDescent="0.3">
      <c r="A2663" s="3">
        <v>2657</v>
      </c>
      <c r="B2663" s="9">
        <f t="shared" si="168"/>
        <v>0.99931401415990728</v>
      </c>
      <c r="C2663" s="3">
        <f t="shared" si="167"/>
        <v>62514.086783801322</v>
      </c>
      <c r="D2663" s="3">
        <f t="shared" si="169"/>
        <v>5.1909388559579384E-2</v>
      </c>
      <c r="E2663" s="8">
        <f t="shared" si="170"/>
        <v>379.57142857142856</v>
      </c>
    </row>
    <row r="2664" spans="1:5" ht="18.75" x14ac:dyDescent="0.3">
      <c r="A2664" s="3">
        <v>2658</v>
      </c>
      <c r="B2664" s="9">
        <f t="shared" si="168"/>
        <v>0.9993148427168852</v>
      </c>
      <c r="C2664" s="3">
        <f t="shared" si="167"/>
        <v>62514.138615840187</v>
      </c>
      <c r="D2664" s="3">
        <f t="shared" si="169"/>
        <v>5.1832038865541108E-2</v>
      </c>
      <c r="E2664" s="8">
        <f t="shared" si="170"/>
        <v>379.71428571428572</v>
      </c>
    </row>
    <row r="2665" spans="1:5" ht="18.75" x14ac:dyDescent="0.3">
      <c r="A2665" s="3">
        <v>2659</v>
      </c>
      <c r="B2665" s="9">
        <f t="shared" si="168"/>
        <v>0.99931567003960198</v>
      </c>
      <c r="C2665" s="3">
        <f t="shared" si="167"/>
        <v>62514.190370667384</v>
      </c>
      <c r="D2665" s="3">
        <f t="shared" si="169"/>
        <v>5.1754827196418773E-2</v>
      </c>
      <c r="E2665" s="8">
        <f t="shared" si="170"/>
        <v>379.85714285714283</v>
      </c>
    </row>
    <row r="2666" spans="1:5" ht="18.75" x14ac:dyDescent="0.3">
      <c r="A2666" s="3">
        <v>2660</v>
      </c>
      <c r="B2666" s="9">
        <f t="shared" si="168"/>
        <v>0.9993164961302593</v>
      </c>
      <c r="C2666" s="3">
        <f t="shared" si="167"/>
        <v>62514.24204842063</v>
      </c>
      <c r="D2666" s="3">
        <f t="shared" si="169"/>
        <v>5.167775324662216E-2</v>
      </c>
      <c r="E2666" s="8">
        <f t="shared" si="170"/>
        <v>380</v>
      </c>
    </row>
    <row r="2667" spans="1:5" ht="18.75" x14ac:dyDescent="0.3">
      <c r="A2667" s="3">
        <v>2661</v>
      </c>
      <c r="B2667" s="9">
        <f t="shared" si="168"/>
        <v>0.99931732099105419</v>
      </c>
      <c r="C2667" s="3">
        <f t="shared" si="167"/>
        <v>62514.293649237377</v>
      </c>
      <c r="D2667" s="3">
        <f t="shared" si="169"/>
        <v>5.1600816746940836E-2</v>
      </c>
      <c r="E2667" s="8">
        <f t="shared" si="170"/>
        <v>380.14285714285717</v>
      </c>
    </row>
    <row r="2668" spans="1:5" ht="18.75" x14ac:dyDescent="0.3">
      <c r="A2668" s="3">
        <v>2662</v>
      </c>
      <c r="B2668" s="9">
        <f t="shared" si="168"/>
        <v>0.99931814462417912</v>
      </c>
      <c r="C2668" s="3">
        <f t="shared" si="167"/>
        <v>62514.345173254776</v>
      </c>
      <c r="D2668" s="3">
        <f t="shared" si="169"/>
        <v>5.152401739906054E-2</v>
      </c>
      <c r="E2668" s="8">
        <f t="shared" si="170"/>
        <v>380.28571428571428</v>
      </c>
    </row>
    <row r="2669" spans="1:5" ht="18.75" x14ac:dyDescent="0.3">
      <c r="A2669" s="3">
        <v>2663</v>
      </c>
      <c r="B2669" s="9">
        <f t="shared" si="168"/>
        <v>0.9993189670318221</v>
      </c>
      <c r="C2669" s="3">
        <f t="shared" si="167"/>
        <v>62514.396620609696</v>
      </c>
      <c r="D2669" s="3">
        <f t="shared" si="169"/>
        <v>5.1447354919218924E-2</v>
      </c>
      <c r="E2669" s="8">
        <f t="shared" si="170"/>
        <v>380.42857142857144</v>
      </c>
    </row>
    <row r="2670" spans="1:5" ht="18.75" x14ac:dyDescent="0.3">
      <c r="A2670" s="3">
        <v>2664</v>
      </c>
      <c r="B2670" s="9">
        <f t="shared" si="168"/>
        <v>0.99931978821616629</v>
      </c>
      <c r="C2670" s="3">
        <f t="shared" si="167"/>
        <v>62514.447991438712</v>
      </c>
      <c r="D2670" s="3">
        <f t="shared" si="169"/>
        <v>5.1370829016377684E-2</v>
      </c>
      <c r="E2670" s="8">
        <f t="shared" si="170"/>
        <v>380.57142857142856</v>
      </c>
    </row>
    <row r="2671" spans="1:5" ht="18.75" x14ac:dyDescent="0.3">
      <c r="A2671" s="3">
        <v>2665</v>
      </c>
      <c r="B2671" s="9">
        <f t="shared" si="168"/>
        <v>0.99932060817939061</v>
      </c>
      <c r="C2671" s="3">
        <f t="shared" si="167"/>
        <v>62514.499285878141</v>
      </c>
      <c r="D2671" s="3">
        <f t="shared" si="169"/>
        <v>5.1294439428602345E-2</v>
      </c>
      <c r="E2671" s="8">
        <f t="shared" si="170"/>
        <v>380.71428571428572</v>
      </c>
    </row>
    <row r="2672" spans="1:5" ht="18.75" x14ac:dyDescent="0.3">
      <c r="A2672" s="3">
        <v>2666</v>
      </c>
      <c r="B2672" s="9">
        <f t="shared" si="168"/>
        <v>0.99932142692366932</v>
      </c>
      <c r="C2672" s="3">
        <f t="shared" si="167"/>
        <v>62514.550504063984</v>
      </c>
      <c r="D2672" s="3">
        <f t="shared" si="169"/>
        <v>5.1218185843026731E-2</v>
      </c>
      <c r="E2672" s="8">
        <f t="shared" si="170"/>
        <v>380.85714285714283</v>
      </c>
    </row>
    <row r="2673" spans="1:5" ht="18.75" x14ac:dyDescent="0.3">
      <c r="A2673" s="3">
        <v>2667</v>
      </c>
      <c r="B2673" s="9">
        <f t="shared" si="168"/>
        <v>0.99932224445117213</v>
      </c>
      <c r="C2673" s="3">
        <f t="shared" si="167"/>
        <v>62514.601646131974</v>
      </c>
      <c r="D2673" s="3">
        <f t="shared" si="169"/>
        <v>5.114206799044041E-2</v>
      </c>
      <c r="E2673" s="8">
        <f t="shared" si="170"/>
        <v>381</v>
      </c>
    </row>
    <row r="2674" spans="1:5" ht="18.75" x14ac:dyDescent="0.3">
      <c r="A2674" s="3">
        <v>2668</v>
      </c>
      <c r="B2674" s="9">
        <f t="shared" si="168"/>
        <v>0.9993230607640643</v>
      </c>
      <c r="C2674" s="3">
        <f t="shared" si="167"/>
        <v>62514.652712217568</v>
      </c>
      <c r="D2674" s="3">
        <f t="shared" si="169"/>
        <v>5.1066085594356991E-2</v>
      </c>
      <c r="E2674" s="8">
        <f t="shared" si="170"/>
        <v>381.14285714285717</v>
      </c>
    </row>
    <row r="2675" spans="1:5" ht="18.75" x14ac:dyDescent="0.3">
      <c r="A2675" s="3">
        <v>2669</v>
      </c>
      <c r="B2675" s="9">
        <f t="shared" si="168"/>
        <v>0.99932387586450633</v>
      </c>
      <c r="C2675" s="3">
        <f t="shared" si="167"/>
        <v>62514.703702455925</v>
      </c>
      <c r="D2675" s="3">
        <f t="shared" si="169"/>
        <v>5.0990238356462214E-2</v>
      </c>
      <c r="E2675" s="8">
        <f t="shared" si="170"/>
        <v>381.28571428571428</v>
      </c>
    </row>
    <row r="2676" spans="1:5" ht="18.75" x14ac:dyDescent="0.3">
      <c r="A2676" s="3">
        <v>2670</v>
      </c>
      <c r="B2676" s="9">
        <f t="shared" si="168"/>
        <v>0.99932468975465449</v>
      </c>
      <c r="C2676" s="3">
        <f t="shared" si="167"/>
        <v>62514.754616981918</v>
      </c>
      <c r="D2676" s="3">
        <f t="shared" si="169"/>
        <v>5.0914525992993731E-2</v>
      </c>
      <c r="E2676" s="8">
        <f t="shared" si="170"/>
        <v>381.42857142857144</v>
      </c>
    </row>
    <row r="2677" spans="1:5" ht="18.75" x14ac:dyDescent="0.3">
      <c r="A2677" s="3">
        <v>2671</v>
      </c>
      <c r="B2677" s="9">
        <f t="shared" si="168"/>
        <v>0.99932550243666063</v>
      </c>
      <c r="C2677" s="3">
        <f t="shared" si="167"/>
        <v>62514.805455930182</v>
      </c>
      <c r="D2677" s="3">
        <f t="shared" si="169"/>
        <v>5.0838948263844941E-2</v>
      </c>
      <c r="E2677" s="8">
        <f t="shared" si="170"/>
        <v>381.57142857142856</v>
      </c>
    </row>
    <row r="2678" spans="1:5" ht="18.75" x14ac:dyDescent="0.3">
      <c r="A2678" s="3">
        <v>2672</v>
      </c>
      <c r="B2678" s="9">
        <f t="shared" si="168"/>
        <v>0.9993263139126719</v>
      </c>
      <c r="C2678" s="3">
        <f t="shared" si="167"/>
        <v>62514.856219435016</v>
      </c>
      <c r="D2678" s="3">
        <f t="shared" si="169"/>
        <v>5.0763504834321793E-2</v>
      </c>
      <c r="E2678" s="8">
        <f t="shared" si="170"/>
        <v>381.71428571428572</v>
      </c>
    </row>
    <row r="2679" spans="1:5" ht="18.75" x14ac:dyDescent="0.3">
      <c r="A2679" s="3">
        <v>2673</v>
      </c>
      <c r="B2679" s="9">
        <f t="shared" si="168"/>
        <v>0.99932712418483094</v>
      </c>
      <c r="C2679" s="3">
        <f t="shared" si="167"/>
        <v>62514.906907630466</v>
      </c>
      <c r="D2679" s="3">
        <f t="shared" si="169"/>
        <v>5.0688195449765772E-2</v>
      </c>
      <c r="E2679" s="8">
        <f t="shared" si="170"/>
        <v>381.85714285714283</v>
      </c>
    </row>
    <row r="2680" spans="1:5" ht="18.75" x14ac:dyDescent="0.3">
      <c r="A2680" s="3">
        <v>2674</v>
      </c>
      <c r="B2680" s="9">
        <f t="shared" si="168"/>
        <v>0.99932793325527625</v>
      </c>
      <c r="C2680" s="3">
        <f t="shared" si="167"/>
        <v>62514.957520650314</v>
      </c>
      <c r="D2680" s="3">
        <f t="shared" si="169"/>
        <v>5.0613019848242402E-2</v>
      </c>
      <c r="E2680" s="8">
        <f t="shared" si="170"/>
        <v>382</v>
      </c>
    </row>
    <row r="2681" spans="1:5" ht="18.75" x14ac:dyDescent="0.3">
      <c r="A2681" s="3">
        <v>2675</v>
      </c>
      <c r="B2681" s="9">
        <f t="shared" si="168"/>
        <v>0.99932874112614167</v>
      </c>
      <c r="C2681" s="3">
        <f t="shared" si="167"/>
        <v>62515.008058628046</v>
      </c>
      <c r="D2681" s="3">
        <f t="shared" si="169"/>
        <v>5.0537977731437422E-2</v>
      </c>
      <c r="E2681" s="8">
        <f t="shared" si="170"/>
        <v>382.14285714285717</v>
      </c>
    </row>
    <row r="2682" spans="1:5" ht="18.75" x14ac:dyDescent="0.3">
      <c r="A2682" s="3">
        <v>2676</v>
      </c>
      <c r="B2682" s="9">
        <f t="shared" si="168"/>
        <v>0.99932954779955652</v>
      </c>
      <c r="C2682" s="3">
        <f t="shared" si="167"/>
        <v>62515.058521696854</v>
      </c>
      <c r="D2682" s="3">
        <f t="shared" si="169"/>
        <v>5.0463068808312528E-2</v>
      </c>
      <c r="E2682" s="8">
        <f t="shared" si="170"/>
        <v>382.28571428571428</v>
      </c>
    </row>
    <row r="2683" spans="1:5" ht="18.75" x14ac:dyDescent="0.3">
      <c r="A2683" s="3">
        <v>2677</v>
      </c>
      <c r="B2683" s="9">
        <f t="shared" si="168"/>
        <v>0.99933035327764586</v>
      </c>
      <c r="C2683" s="3">
        <f t="shared" si="167"/>
        <v>62515.108909989693</v>
      </c>
      <c r="D2683" s="3">
        <f t="shared" si="169"/>
        <v>5.0388292838761117E-2</v>
      </c>
      <c r="E2683" s="8">
        <f t="shared" si="170"/>
        <v>382.42857142857144</v>
      </c>
    </row>
    <row r="2684" spans="1:5" ht="18.75" x14ac:dyDescent="0.3">
      <c r="A2684" s="3">
        <v>2678</v>
      </c>
      <c r="B2684" s="9">
        <f t="shared" si="168"/>
        <v>0.99933115756253033</v>
      </c>
      <c r="C2684" s="3">
        <f t="shared" si="167"/>
        <v>62515.15922363921</v>
      </c>
      <c r="D2684" s="3">
        <f t="shared" si="169"/>
        <v>5.0313649517192971E-2</v>
      </c>
      <c r="E2684" s="8">
        <f t="shared" si="170"/>
        <v>382.57142857142856</v>
      </c>
    </row>
    <row r="2685" spans="1:5" ht="18.75" x14ac:dyDescent="0.3">
      <c r="A2685" s="3">
        <v>2679</v>
      </c>
      <c r="B2685" s="9">
        <f t="shared" si="168"/>
        <v>0.99933196065632612</v>
      </c>
      <c r="C2685" s="3">
        <f t="shared" si="167"/>
        <v>62515.209462777791</v>
      </c>
      <c r="D2685" s="3">
        <f t="shared" si="169"/>
        <v>5.0239138581673615E-2</v>
      </c>
      <c r="E2685" s="8">
        <f t="shared" si="170"/>
        <v>382.71428571428572</v>
      </c>
    </row>
    <row r="2686" spans="1:5" ht="18.75" x14ac:dyDescent="0.3">
      <c r="A2686" s="3">
        <v>2680</v>
      </c>
      <c r="B2686" s="9">
        <f t="shared" si="168"/>
        <v>0.999332762561145</v>
      </c>
      <c r="C2686" s="3">
        <f t="shared" si="167"/>
        <v>62515.259627537547</v>
      </c>
      <c r="D2686" s="3">
        <f t="shared" si="169"/>
        <v>5.0164759755716659E-2</v>
      </c>
      <c r="E2686" s="8">
        <f t="shared" si="170"/>
        <v>382.85714285714283</v>
      </c>
    </row>
    <row r="2687" spans="1:5" ht="18.75" x14ac:dyDescent="0.3">
      <c r="A2687" s="3">
        <v>2681</v>
      </c>
      <c r="B2687" s="9">
        <f t="shared" si="168"/>
        <v>0.99933356327909451</v>
      </c>
      <c r="C2687" s="3">
        <f t="shared" si="167"/>
        <v>62515.309718050317</v>
      </c>
      <c r="D2687" s="3">
        <f t="shared" si="169"/>
        <v>5.0090512770111673E-2</v>
      </c>
      <c r="E2687" s="8">
        <f t="shared" si="170"/>
        <v>383</v>
      </c>
    </row>
    <row r="2688" spans="1:5" ht="18.75" x14ac:dyDescent="0.3">
      <c r="A2688" s="3">
        <v>2682</v>
      </c>
      <c r="B2688" s="9">
        <f t="shared" si="168"/>
        <v>0.9993343628122775</v>
      </c>
      <c r="C2688" s="3">
        <f t="shared" si="167"/>
        <v>62515.359734447644</v>
      </c>
      <c r="D2688" s="3">
        <f t="shared" si="169"/>
        <v>5.0016397326544393E-2</v>
      </c>
      <c r="E2688" s="8">
        <f t="shared" si="170"/>
        <v>383.14285714285717</v>
      </c>
    </row>
    <row r="2689" spans="1:5" ht="18.75" x14ac:dyDescent="0.3">
      <c r="A2689" s="3">
        <v>2683</v>
      </c>
      <c r="B2689" s="9">
        <f t="shared" si="168"/>
        <v>0.99933516116279275</v>
      </c>
      <c r="C2689" s="3">
        <f t="shared" si="167"/>
        <v>62515.409676860829</v>
      </c>
      <c r="D2689" s="3">
        <f t="shared" si="169"/>
        <v>4.9942413184908219E-2</v>
      </c>
      <c r="E2689" s="8">
        <f t="shared" si="170"/>
        <v>383.28571428571428</v>
      </c>
    </row>
    <row r="2690" spans="1:5" ht="18.75" x14ac:dyDescent="0.3">
      <c r="A2690" s="3">
        <v>2684</v>
      </c>
      <c r="B2690" s="9">
        <f t="shared" si="168"/>
        <v>0.9993359583327347</v>
      </c>
      <c r="C2690" s="3">
        <f t="shared" si="167"/>
        <v>62515.459545420883</v>
      </c>
      <c r="D2690" s="3">
        <f t="shared" si="169"/>
        <v>4.9868560054164845E-2</v>
      </c>
      <c r="E2690" s="8">
        <f t="shared" si="170"/>
        <v>383.42857142857144</v>
      </c>
    </row>
    <row r="2691" spans="1:5" ht="18.75" x14ac:dyDescent="0.3">
      <c r="A2691" s="3">
        <v>2685</v>
      </c>
      <c r="B2691" s="9">
        <f t="shared" si="168"/>
        <v>0.99933675432419322</v>
      </c>
      <c r="C2691" s="3">
        <f t="shared" si="167"/>
        <v>62515.509340258555</v>
      </c>
      <c r="D2691" s="3">
        <f t="shared" si="169"/>
        <v>4.9794837672379799E-2</v>
      </c>
      <c r="E2691" s="8">
        <f t="shared" si="170"/>
        <v>383.57142857142856</v>
      </c>
    </row>
    <row r="2692" spans="1:5" ht="18.75" x14ac:dyDescent="0.3">
      <c r="A2692" s="3">
        <v>2686</v>
      </c>
      <c r="B2692" s="9">
        <f t="shared" si="168"/>
        <v>0.9993375491392541</v>
      </c>
      <c r="C2692" s="3">
        <f t="shared" si="167"/>
        <v>62515.559061504318</v>
      </c>
      <c r="D2692" s="3">
        <f t="shared" si="169"/>
        <v>4.972124576306669E-2</v>
      </c>
      <c r="E2692" s="8">
        <f t="shared" si="170"/>
        <v>383.71428571428572</v>
      </c>
    </row>
    <row r="2693" spans="1:5" ht="18.75" x14ac:dyDescent="0.3">
      <c r="A2693" s="3">
        <v>2687</v>
      </c>
      <c r="B2693" s="9">
        <f t="shared" si="168"/>
        <v>0.99933834277999867</v>
      </c>
      <c r="C2693" s="3">
        <f t="shared" si="167"/>
        <v>62515.608709288375</v>
      </c>
      <c r="D2693" s="3">
        <f t="shared" si="169"/>
        <v>4.9647784057015087E-2</v>
      </c>
      <c r="E2693" s="8">
        <f t="shared" si="170"/>
        <v>383.85714285714283</v>
      </c>
    </row>
    <row r="2694" spans="1:5" ht="18.75" x14ac:dyDescent="0.3">
      <c r="A2694" s="3">
        <v>2688</v>
      </c>
      <c r="B2694" s="9">
        <f t="shared" si="168"/>
        <v>0.99933913524850382</v>
      </c>
      <c r="C2694" s="3">
        <f t="shared" si="167"/>
        <v>62515.658283740653</v>
      </c>
      <c r="D2694" s="3">
        <f t="shared" si="169"/>
        <v>4.9574452277738601E-2</v>
      </c>
      <c r="E2694" s="8">
        <f t="shared" si="170"/>
        <v>384</v>
      </c>
    </row>
    <row r="2695" spans="1:5" ht="18.75" x14ac:dyDescent="0.3">
      <c r="A2695" s="3">
        <v>2689</v>
      </c>
      <c r="B2695" s="9">
        <f t="shared" si="168"/>
        <v>0.99933992654684256</v>
      </c>
      <c r="C2695" s="3">
        <f t="shared" si="167"/>
        <v>62515.707784990831</v>
      </c>
      <c r="D2695" s="3">
        <f t="shared" si="169"/>
        <v>4.9501250177854672E-2</v>
      </c>
      <c r="E2695" s="8">
        <f t="shared" si="170"/>
        <v>384.14285714285717</v>
      </c>
    </row>
    <row r="2696" spans="1:5" ht="18.75" x14ac:dyDescent="0.3">
      <c r="A2696" s="3">
        <v>2690</v>
      </c>
      <c r="B2696" s="9">
        <f t="shared" si="168"/>
        <v>0.99934071667708324</v>
      </c>
      <c r="C2696" s="3">
        <f t="shared" ref="C2696:C2759" si="171">$E$3*B2696</f>
        <v>62515.757213168297</v>
      </c>
      <c r="D2696" s="3">
        <f t="shared" si="169"/>
        <v>4.9428177466324996E-2</v>
      </c>
      <c r="E2696" s="8">
        <f t="shared" si="170"/>
        <v>384.28571428571428</v>
      </c>
    </row>
    <row r="2697" spans="1:5" ht="18.75" x14ac:dyDescent="0.3">
      <c r="A2697" s="3">
        <v>2691</v>
      </c>
      <c r="B2697" s="9">
        <f t="shared" si="168"/>
        <v>0.99934150564128998</v>
      </c>
      <c r="C2697" s="3">
        <f t="shared" si="171"/>
        <v>62515.806568402179</v>
      </c>
      <c r="D2697" s="3">
        <f t="shared" si="169"/>
        <v>4.9355233881215099E-2</v>
      </c>
      <c r="E2697" s="8">
        <f t="shared" si="170"/>
        <v>384.42857142857144</v>
      </c>
    </row>
    <row r="2698" spans="1:5" ht="18.75" x14ac:dyDescent="0.3">
      <c r="A2698" s="3">
        <v>2692</v>
      </c>
      <c r="B2698" s="9">
        <f t="shared" si="168"/>
        <v>0.9993422934415227</v>
      </c>
      <c r="C2698" s="3">
        <f t="shared" si="171"/>
        <v>62515.855850821339</v>
      </c>
      <c r="D2698" s="3">
        <f t="shared" si="169"/>
        <v>4.9282419160590507E-2</v>
      </c>
      <c r="E2698" s="8">
        <f t="shared" si="170"/>
        <v>384.57142857142856</v>
      </c>
    </row>
    <row r="2699" spans="1:5" ht="18.75" x14ac:dyDescent="0.3">
      <c r="A2699" s="3">
        <v>2693</v>
      </c>
      <c r="B2699" s="9">
        <f t="shared" si="168"/>
        <v>0.99934308007983719</v>
      </c>
      <c r="C2699" s="3">
        <f t="shared" si="171"/>
        <v>62515.905060554374</v>
      </c>
      <c r="D2699" s="3">
        <f t="shared" si="169"/>
        <v>4.9209733035240788E-2</v>
      </c>
      <c r="E2699" s="8">
        <f t="shared" si="170"/>
        <v>384.71428571428572</v>
      </c>
    </row>
    <row r="2700" spans="1:5" ht="18.75" x14ac:dyDescent="0.3">
      <c r="A2700" s="3">
        <v>2694</v>
      </c>
      <c r="B2700" s="9">
        <f t="shared" si="168"/>
        <v>0.99934386555828481</v>
      </c>
      <c r="C2700" s="3">
        <f t="shared" si="171"/>
        <v>62515.954197729625</v>
      </c>
      <c r="D2700" s="3">
        <f t="shared" si="169"/>
        <v>4.9137175250507426E-2</v>
      </c>
      <c r="E2700" s="8">
        <f t="shared" si="170"/>
        <v>384.85714285714283</v>
      </c>
    </row>
    <row r="2701" spans="1:5" ht="18.75" x14ac:dyDescent="0.3">
      <c r="A2701" s="3">
        <v>2695</v>
      </c>
      <c r="B2701" s="9">
        <f t="shared" si="168"/>
        <v>0.99934464987891258</v>
      </c>
      <c r="C2701" s="3">
        <f t="shared" si="171"/>
        <v>62516.003262475133</v>
      </c>
      <c r="D2701" s="3">
        <f t="shared" si="169"/>
        <v>4.9064745508076157E-2</v>
      </c>
      <c r="E2701" s="8">
        <f t="shared" si="170"/>
        <v>385</v>
      </c>
    </row>
    <row r="2702" spans="1:5" ht="18.75" x14ac:dyDescent="0.3">
      <c r="A2702" s="3">
        <v>2696</v>
      </c>
      <c r="B2702" s="9">
        <f t="shared" si="168"/>
        <v>0.99934543304376366</v>
      </c>
      <c r="C2702" s="3">
        <f t="shared" si="171"/>
        <v>62516.052254918723</v>
      </c>
      <c r="D2702" s="3">
        <f t="shared" si="169"/>
        <v>4.8992443589668255E-2</v>
      </c>
      <c r="E2702" s="8">
        <f t="shared" si="170"/>
        <v>385.14285714285717</v>
      </c>
    </row>
    <row r="2703" spans="1:5" ht="18.75" x14ac:dyDescent="0.3">
      <c r="A2703" s="3">
        <v>2697</v>
      </c>
      <c r="B2703" s="9">
        <f t="shared" si="168"/>
        <v>0.99934621505487664</v>
      </c>
      <c r="C2703" s="3">
        <f t="shared" si="171"/>
        <v>62516.10117518792</v>
      </c>
      <c r="D2703" s="3">
        <f t="shared" si="169"/>
        <v>4.8920269196969457E-2</v>
      </c>
      <c r="E2703" s="8">
        <f t="shared" si="170"/>
        <v>385.28571428571428</v>
      </c>
    </row>
    <row r="2704" spans="1:5" ht="18.75" x14ac:dyDescent="0.3">
      <c r="A2704" s="3">
        <v>2698</v>
      </c>
      <c r="B2704" s="9">
        <f t="shared" si="168"/>
        <v>0.99934699591428622</v>
      </c>
      <c r="C2704" s="3">
        <f t="shared" si="171"/>
        <v>62516.150023410002</v>
      </c>
      <c r="D2704" s="3">
        <f t="shared" si="169"/>
        <v>4.8848222082597204E-2</v>
      </c>
      <c r="E2704" s="8">
        <f t="shared" si="170"/>
        <v>385.42857142857144</v>
      </c>
    </row>
    <row r="2705" spans="1:5" ht="18.75" x14ac:dyDescent="0.3">
      <c r="A2705" s="3">
        <v>2699</v>
      </c>
      <c r="B2705" s="9">
        <f t="shared" si="168"/>
        <v>0.99934777562402244</v>
      </c>
      <c r="C2705" s="3">
        <f t="shared" si="171"/>
        <v>62516.198799711972</v>
      </c>
      <c r="D2705" s="3">
        <f t="shared" si="169"/>
        <v>4.8776301970065106E-2</v>
      </c>
      <c r="E2705" s="8">
        <f t="shared" si="170"/>
        <v>385.57142857142856</v>
      </c>
    </row>
    <row r="2706" spans="1:5" ht="18.75" x14ac:dyDescent="0.3">
      <c r="A2706" s="3">
        <v>2700</v>
      </c>
      <c r="B2706" s="9">
        <f t="shared" si="168"/>
        <v>0.99934855418611168</v>
      </c>
      <c r="C2706" s="3">
        <f t="shared" si="171"/>
        <v>62516.247504220592</v>
      </c>
      <c r="D2706" s="3">
        <f t="shared" si="169"/>
        <v>4.8704508619266562E-2</v>
      </c>
      <c r="E2706" s="8">
        <f t="shared" si="170"/>
        <v>385.71428571428572</v>
      </c>
    </row>
    <row r="2707" spans="1:5" ht="18.75" x14ac:dyDescent="0.3">
      <c r="A2707" s="3">
        <v>2701</v>
      </c>
      <c r="B2707" s="9">
        <f t="shared" si="168"/>
        <v>0.99934933160257589</v>
      </c>
      <c r="C2707" s="3">
        <f t="shared" si="171"/>
        <v>62516.296137062338</v>
      </c>
      <c r="D2707" s="3">
        <f t="shared" si="169"/>
        <v>4.8632841746439226E-2</v>
      </c>
      <c r="E2707" s="8">
        <f t="shared" si="170"/>
        <v>385.85714285714283</v>
      </c>
    </row>
    <row r="2708" spans="1:5" ht="18.75" x14ac:dyDescent="0.3">
      <c r="A2708" s="3">
        <v>2702</v>
      </c>
      <c r="B2708" s="9">
        <f t="shared" si="168"/>
        <v>0.99935010787543277</v>
      </c>
      <c r="C2708" s="3">
        <f t="shared" si="171"/>
        <v>62516.344698363449</v>
      </c>
      <c r="D2708" s="3">
        <f t="shared" si="169"/>
        <v>4.8561301111476496E-2</v>
      </c>
      <c r="E2708" s="8">
        <f t="shared" si="170"/>
        <v>386</v>
      </c>
    </row>
    <row r="2709" spans="1:5" ht="18.75" x14ac:dyDescent="0.3">
      <c r="A2709" s="3">
        <v>2703</v>
      </c>
      <c r="B2709" s="9">
        <f t="shared" si="168"/>
        <v>0.99935088300669594</v>
      </c>
      <c r="C2709" s="3">
        <f t="shared" si="171"/>
        <v>62516.39318824988</v>
      </c>
      <c r="D2709" s="3">
        <f t="shared" si="169"/>
        <v>4.8489886430616025E-2</v>
      </c>
      <c r="E2709" s="8">
        <f t="shared" si="170"/>
        <v>386.14285714285717</v>
      </c>
    </row>
    <row r="2710" spans="1:5" ht="18.75" x14ac:dyDescent="0.3">
      <c r="A2710" s="3">
        <v>2704</v>
      </c>
      <c r="B2710" s="9">
        <f t="shared" si="168"/>
        <v>0.99935165699837492</v>
      </c>
      <c r="C2710" s="3">
        <f t="shared" si="171"/>
        <v>62516.441606847337</v>
      </c>
      <c r="D2710" s="3">
        <f t="shared" si="169"/>
        <v>4.8418597456475254E-2</v>
      </c>
      <c r="E2710" s="8">
        <f t="shared" si="170"/>
        <v>386.28571428571428</v>
      </c>
    </row>
    <row r="2711" spans="1:5" ht="18.75" x14ac:dyDescent="0.3">
      <c r="A2711" s="3">
        <v>2705</v>
      </c>
      <c r="B2711" s="9">
        <f t="shared" ref="B2711:B2757" si="172">LOGNORMDIST(A2711,$A$3,$B$3)</f>
        <v>0.99935242985247508</v>
      </c>
      <c r="C2711" s="3">
        <f t="shared" si="171"/>
        <v>62516.489954281285</v>
      </c>
      <c r="D2711" s="3">
        <f t="shared" ref="D2711:D2757" si="173">C2711-C2710</f>
        <v>4.8347433948947582E-2</v>
      </c>
      <c r="E2711" s="8">
        <f t="shared" ref="E2711:E2757" si="174">A2711/7</f>
        <v>386.42857142857144</v>
      </c>
    </row>
    <row r="2712" spans="1:5" ht="18.75" x14ac:dyDescent="0.3">
      <c r="A2712" s="3">
        <v>2706</v>
      </c>
      <c r="B2712" s="9">
        <f t="shared" si="172"/>
        <v>0.99935320157099772</v>
      </c>
      <c r="C2712" s="3">
        <f t="shared" si="171"/>
        <v>62516.538230676902</v>
      </c>
      <c r="D2712" s="3">
        <f t="shared" si="173"/>
        <v>4.8276395616994705E-2</v>
      </c>
      <c r="E2712" s="8">
        <f t="shared" si="174"/>
        <v>386.57142857142856</v>
      </c>
    </row>
    <row r="2713" spans="1:5" ht="18.75" x14ac:dyDescent="0.3">
      <c r="A2713" s="3">
        <v>2707</v>
      </c>
      <c r="B2713" s="9">
        <f t="shared" si="172"/>
        <v>0.9993539721559398</v>
      </c>
      <c r="C2713" s="3">
        <f t="shared" si="171"/>
        <v>62516.586436159123</v>
      </c>
      <c r="D2713" s="3">
        <f t="shared" si="173"/>
        <v>4.8205482220510021E-2</v>
      </c>
      <c r="E2713" s="8">
        <f t="shared" si="174"/>
        <v>386.71428571428572</v>
      </c>
    </row>
    <row r="2714" spans="1:5" ht="18.75" x14ac:dyDescent="0.3">
      <c r="A2714" s="3">
        <v>2708</v>
      </c>
      <c r="B2714" s="9">
        <f t="shared" si="172"/>
        <v>0.99935474160929438</v>
      </c>
      <c r="C2714" s="3">
        <f t="shared" si="171"/>
        <v>62516.634570852628</v>
      </c>
      <c r="D2714" s="3">
        <f t="shared" si="173"/>
        <v>4.8134693504835013E-2</v>
      </c>
      <c r="E2714" s="8">
        <f t="shared" si="174"/>
        <v>386.85714285714283</v>
      </c>
    </row>
    <row r="2715" spans="1:5" ht="18.75" x14ac:dyDescent="0.3">
      <c r="A2715" s="3">
        <v>2709</v>
      </c>
      <c r="B2715" s="9">
        <f t="shared" si="172"/>
        <v>0.99935550993305033</v>
      </c>
      <c r="C2715" s="3">
        <f t="shared" si="171"/>
        <v>62516.682634881829</v>
      </c>
      <c r="D2715" s="3">
        <f t="shared" si="173"/>
        <v>4.8064029200759251E-2</v>
      </c>
      <c r="E2715" s="8">
        <f t="shared" si="174"/>
        <v>387</v>
      </c>
    </row>
    <row r="2716" spans="1:5" ht="18.75" x14ac:dyDescent="0.3">
      <c r="A2716" s="3">
        <v>2710</v>
      </c>
      <c r="B2716" s="9">
        <f t="shared" si="172"/>
        <v>0.99935627712919251</v>
      </c>
      <c r="C2716" s="3">
        <f t="shared" si="171"/>
        <v>62516.730628370897</v>
      </c>
      <c r="D2716" s="3">
        <f t="shared" si="173"/>
        <v>4.7993489068176132E-2</v>
      </c>
      <c r="E2716" s="8">
        <f t="shared" si="174"/>
        <v>387.14285714285717</v>
      </c>
    </row>
    <row r="2717" spans="1:5" ht="18.75" x14ac:dyDescent="0.3">
      <c r="A2717" s="3">
        <v>2711</v>
      </c>
      <c r="B2717" s="9">
        <f t="shared" si="172"/>
        <v>0.99935704319970153</v>
      </c>
      <c r="C2717" s="3">
        <f t="shared" si="171"/>
        <v>62516.778551443727</v>
      </c>
      <c r="D2717" s="3">
        <f t="shared" si="173"/>
        <v>4.7923072830599267E-2</v>
      </c>
      <c r="E2717" s="8">
        <f t="shared" si="174"/>
        <v>387.28571428571428</v>
      </c>
    </row>
    <row r="2718" spans="1:5" ht="18.75" x14ac:dyDescent="0.3">
      <c r="A2718" s="3">
        <v>2712</v>
      </c>
      <c r="B2718" s="9">
        <f t="shared" si="172"/>
        <v>0.99935780814655428</v>
      </c>
      <c r="C2718" s="3">
        <f t="shared" si="171"/>
        <v>62516.826404223997</v>
      </c>
      <c r="D2718" s="3">
        <f t="shared" si="173"/>
        <v>4.7852780269749928E-2</v>
      </c>
      <c r="E2718" s="8">
        <f t="shared" si="174"/>
        <v>387.42857142857144</v>
      </c>
    </row>
    <row r="2719" spans="1:5" ht="18.75" x14ac:dyDescent="0.3">
      <c r="A2719" s="3">
        <v>2713</v>
      </c>
      <c r="B2719" s="9">
        <f t="shared" si="172"/>
        <v>0.99935857197172306</v>
      </c>
      <c r="C2719" s="3">
        <f t="shared" si="171"/>
        <v>62516.874186835077</v>
      </c>
      <c r="D2719" s="3">
        <f t="shared" si="173"/>
        <v>4.7782611080037896E-2</v>
      </c>
      <c r="E2719" s="8">
        <f t="shared" si="174"/>
        <v>387.57142857142856</v>
      </c>
    </row>
    <row r="2720" spans="1:5" ht="18.75" x14ac:dyDescent="0.3">
      <c r="A2720" s="3">
        <v>2714</v>
      </c>
      <c r="B2720" s="9">
        <f t="shared" si="172"/>
        <v>0.99935933467717675</v>
      </c>
      <c r="C2720" s="3">
        <f t="shared" si="171"/>
        <v>62516.921899400142</v>
      </c>
      <c r="D2720" s="3">
        <f t="shared" si="173"/>
        <v>4.7712565065012313E-2</v>
      </c>
      <c r="E2720" s="8">
        <f t="shared" si="174"/>
        <v>387.71428571428572</v>
      </c>
    </row>
    <row r="2721" spans="1:5" ht="18.75" x14ac:dyDescent="0.3">
      <c r="A2721" s="3">
        <v>2715</v>
      </c>
      <c r="B2721" s="9">
        <f t="shared" si="172"/>
        <v>0.99936009626487954</v>
      </c>
      <c r="C2721" s="3">
        <f t="shared" si="171"/>
        <v>62516.969542042068</v>
      </c>
      <c r="D2721" s="3">
        <f t="shared" si="173"/>
        <v>4.764264192635892E-2</v>
      </c>
      <c r="E2721" s="8">
        <f t="shared" si="174"/>
        <v>387.85714285714283</v>
      </c>
    </row>
    <row r="2722" spans="1:5" ht="18.75" x14ac:dyDescent="0.3">
      <c r="A2722" s="3">
        <v>2716</v>
      </c>
      <c r="B2722" s="9">
        <f t="shared" si="172"/>
        <v>0.99936085673679209</v>
      </c>
      <c r="C2722" s="3">
        <f t="shared" si="171"/>
        <v>62517.0171148835</v>
      </c>
      <c r="D2722" s="3">
        <f t="shared" si="173"/>
        <v>4.757284143124707E-2</v>
      </c>
      <c r="E2722" s="8">
        <f t="shared" si="174"/>
        <v>388</v>
      </c>
    </row>
    <row r="2723" spans="1:5" ht="18.75" x14ac:dyDescent="0.3">
      <c r="A2723" s="3">
        <v>2717</v>
      </c>
      <c r="B2723" s="9">
        <f t="shared" si="172"/>
        <v>0.99936161609487073</v>
      </c>
      <c r="C2723" s="3">
        <f t="shared" si="171"/>
        <v>62517.064618046825</v>
      </c>
      <c r="D2723" s="3">
        <f t="shared" si="173"/>
        <v>4.7503163325018249E-2</v>
      </c>
      <c r="E2723" s="8">
        <f t="shared" si="174"/>
        <v>388.14285714285717</v>
      </c>
    </row>
    <row r="2724" spans="1:5" ht="18.75" x14ac:dyDescent="0.3">
      <c r="A2724" s="3">
        <v>2718</v>
      </c>
      <c r="B2724" s="9">
        <f t="shared" si="172"/>
        <v>0.999362374341068</v>
      </c>
      <c r="C2724" s="3">
        <f t="shared" si="171"/>
        <v>62517.112051654192</v>
      </c>
      <c r="D2724" s="3">
        <f t="shared" si="173"/>
        <v>4.7433607367565855E-2</v>
      </c>
      <c r="E2724" s="8">
        <f t="shared" si="174"/>
        <v>388.28571428571428</v>
      </c>
    </row>
    <row r="2725" spans="1:5" ht="18.75" x14ac:dyDescent="0.3">
      <c r="A2725" s="3">
        <v>2719</v>
      </c>
      <c r="B2725" s="9">
        <f t="shared" si="172"/>
        <v>0.99936313147733236</v>
      </c>
      <c r="C2725" s="3">
        <f t="shared" si="171"/>
        <v>62517.159415827482</v>
      </c>
      <c r="D2725" s="3">
        <f t="shared" si="173"/>
        <v>4.7364173289679457E-2</v>
      </c>
      <c r="E2725" s="8">
        <f t="shared" si="174"/>
        <v>388.42857142857144</v>
      </c>
    </row>
    <row r="2726" spans="1:5" ht="18.75" x14ac:dyDescent="0.3">
      <c r="A2726" s="3">
        <v>2720</v>
      </c>
      <c r="B2726" s="9">
        <f t="shared" si="172"/>
        <v>0.99936388750560812</v>
      </c>
      <c r="C2726" s="3">
        <f t="shared" si="171"/>
        <v>62517.206710688326</v>
      </c>
      <c r="D2726" s="3">
        <f t="shared" si="173"/>
        <v>4.7294860843976494E-2</v>
      </c>
      <c r="E2726" s="8">
        <f t="shared" si="174"/>
        <v>388.57142857142856</v>
      </c>
    </row>
    <row r="2727" spans="1:5" ht="18.75" x14ac:dyDescent="0.3">
      <c r="A2727" s="3">
        <v>2721</v>
      </c>
      <c r="B2727" s="9">
        <f t="shared" si="172"/>
        <v>0.99936464242783585</v>
      </c>
      <c r="C2727" s="3">
        <f t="shared" si="171"/>
        <v>62517.253936358124</v>
      </c>
      <c r="D2727" s="3">
        <f t="shared" si="173"/>
        <v>4.7225669797626324E-2</v>
      </c>
      <c r="E2727" s="8">
        <f t="shared" si="174"/>
        <v>388.71428571428572</v>
      </c>
    </row>
    <row r="2728" spans="1:5" ht="18.75" x14ac:dyDescent="0.3">
      <c r="A2728" s="3">
        <v>2722</v>
      </c>
      <c r="B2728" s="9">
        <f t="shared" si="172"/>
        <v>0.999365396245952</v>
      </c>
      <c r="C2728" s="3">
        <f t="shared" si="171"/>
        <v>62517.30109295802</v>
      </c>
      <c r="D2728" s="3">
        <f t="shared" si="173"/>
        <v>4.715659989597043E-2</v>
      </c>
      <c r="E2728" s="8">
        <f t="shared" si="174"/>
        <v>388.85714285714283</v>
      </c>
    </row>
    <row r="2729" spans="1:5" ht="18.75" x14ac:dyDescent="0.3">
      <c r="A2729" s="3">
        <v>2723</v>
      </c>
      <c r="B2729" s="9">
        <f t="shared" si="172"/>
        <v>0.99936614896188902</v>
      </c>
      <c r="C2729" s="3">
        <f t="shared" si="171"/>
        <v>62517.348180608889</v>
      </c>
      <c r="D2729" s="3">
        <f t="shared" si="173"/>
        <v>4.7087650869798381E-2</v>
      </c>
      <c r="E2729" s="8">
        <f t="shared" si="174"/>
        <v>389</v>
      </c>
    </row>
    <row r="2730" spans="1:5" ht="18.75" x14ac:dyDescent="0.3">
      <c r="A2730" s="3">
        <v>2724</v>
      </c>
      <c r="B2730" s="9">
        <f t="shared" si="172"/>
        <v>0.9993669005775756</v>
      </c>
      <c r="C2730" s="3">
        <f t="shared" si="171"/>
        <v>62517.395199431397</v>
      </c>
      <c r="D2730" s="3">
        <f t="shared" si="173"/>
        <v>4.7018822508107405E-2</v>
      </c>
      <c r="E2730" s="8">
        <f t="shared" si="174"/>
        <v>389.14285714285717</v>
      </c>
    </row>
    <row r="2731" spans="1:5" ht="18.75" x14ac:dyDescent="0.3">
      <c r="A2731" s="3">
        <v>2725</v>
      </c>
      <c r="B2731" s="9">
        <f t="shared" si="172"/>
        <v>0.99936765109493619</v>
      </c>
      <c r="C2731" s="3">
        <f t="shared" si="171"/>
        <v>62517.442149545925</v>
      </c>
      <c r="D2731" s="3">
        <f t="shared" si="173"/>
        <v>4.6950114527135156E-2</v>
      </c>
      <c r="E2731" s="8">
        <f t="shared" si="174"/>
        <v>389.28571428571428</v>
      </c>
    </row>
    <row r="2732" spans="1:5" ht="18.75" x14ac:dyDescent="0.3">
      <c r="A2732" s="3">
        <v>2726</v>
      </c>
      <c r="B2732" s="9">
        <f t="shared" si="172"/>
        <v>0.9993684005158916</v>
      </c>
      <c r="C2732" s="3">
        <f t="shared" si="171"/>
        <v>62517.489031072633</v>
      </c>
      <c r="D2732" s="3">
        <f t="shared" si="173"/>
        <v>4.6881526708602905E-2</v>
      </c>
      <c r="E2732" s="8">
        <f t="shared" si="174"/>
        <v>389.42857142857144</v>
      </c>
    </row>
    <row r="2733" spans="1:5" ht="18.75" x14ac:dyDescent="0.3">
      <c r="A2733" s="3">
        <v>2727</v>
      </c>
      <c r="B2733" s="9">
        <f t="shared" si="172"/>
        <v>0.99936914884235861</v>
      </c>
      <c r="C2733" s="3">
        <f t="shared" si="171"/>
        <v>62517.535844131431</v>
      </c>
      <c r="D2733" s="3">
        <f t="shared" si="173"/>
        <v>4.6813058797852136E-2</v>
      </c>
      <c r="E2733" s="8">
        <f t="shared" si="174"/>
        <v>389.57142857142856</v>
      </c>
    </row>
    <row r="2734" spans="1:5" ht="18.75" x14ac:dyDescent="0.3">
      <c r="A2734" s="3">
        <v>2728</v>
      </c>
      <c r="B2734" s="9">
        <f t="shared" si="172"/>
        <v>0.99936989607624982</v>
      </c>
      <c r="C2734" s="3">
        <f t="shared" si="171"/>
        <v>62517.582588841957</v>
      </c>
      <c r="D2734" s="3">
        <f t="shared" si="173"/>
        <v>4.6744710525672417E-2</v>
      </c>
      <c r="E2734" s="8">
        <f t="shared" si="174"/>
        <v>389.71428571428572</v>
      </c>
    </row>
    <row r="2735" spans="1:5" ht="18.75" x14ac:dyDescent="0.3">
      <c r="A2735" s="3">
        <v>2729</v>
      </c>
      <c r="B2735" s="9">
        <f t="shared" si="172"/>
        <v>0.99937064221947436</v>
      </c>
      <c r="C2735" s="3">
        <f t="shared" si="171"/>
        <v>62517.62926532366</v>
      </c>
      <c r="D2735" s="3">
        <f t="shared" si="173"/>
        <v>4.667648170288885E-2</v>
      </c>
      <c r="E2735" s="8">
        <f t="shared" si="174"/>
        <v>389.85714285714283</v>
      </c>
    </row>
    <row r="2736" spans="1:5" ht="18.75" x14ac:dyDescent="0.3">
      <c r="A2736" s="3">
        <v>2730</v>
      </c>
      <c r="B2736" s="9">
        <f t="shared" si="172"/>
        <v>0.99937138727393726</v>
      </c>
      <c r="C2736" s="3">
        <f t="shared" si="171"/>
        <v>62517.675873695691</v>
      </c>
      <c r="D2736" s="3">
        <f t="shared" si="173"/>
        <v>4.6608372031187173E-2</v>
      </c>
      <c r="E2736" s="8">
        <f t="shared" si="174"/>
        <v>390</v>
      </c>
    </row>
    <row r="2737" spans="1:5" ht="18.75" x14ac:dyDescent="0.3">
      <c r="A2737" s="3">
        <v>2731</v>
      </c>
      <c r="B2737" s="9">
        <f t="shared" si="172"/>
        <v>0.99937213124153945</v>
      </c>
      <c r="C2737" s="3">
        <f t="shared" si="171"/>
        <v>62517.722414076983</v>
      </c>
      <c r="D2737" s="3">
        <f t="shared" si="173"/>
        <v>4.6540381292288657E-2</v>
      </c>
      <c r="E2737" s="8">
        <f t="shared" si="174"/>
        <v>390.14285714285717</v>
      </c>
    </row>
    <row r="2738" spans="1:5" ht="18.75" x14ac:dyDescent="0.3">
      <c r="A2738" s="3">
        <v>2732</v>
      </c>
      <c r="B2738" s="9">
        <f t="shared" si="172"/>
        <v>0.9993728741241783</v>
      </c>
      <c r="C2738" s="3">
        <f t="shared" si="171"/>
        <v>62517.768886586222</v>
      </c>
      <c r="D2738" s="3">
        <f t="shared" si="173"/>
        <v>4.6472509238810744E-2</v>
      </c>
      <c r="E2738" s="8">
        <f t="shared" si="174"/>
        <v>390.28571428571428</v>
      </c>
    </row>
    <row r="2739" spans="1:5" ht="18.75" x14ac:dyDescent="0.3">
      <c r="A2739" s="3">
        <v>2733</v>
      </c>
      <c r="B2739" s="9">
        <f t="shared" si="172"/>
        <v>0.99937361592374718</v>
      </c>
      <c r="C2739" s="3">
        <f t="shared" si="171"/>
        <v>62517.815291341853</v>
      </c>
      <c r="D2739" s="3">
        <f t="shared" si="173"/>
        <v>4.6404755630646832E-2</v>
      </c>
      <c r="E2739" s="8">
        <f t="shared" si="174"/>
        <v>390.42857142857144</v>
      </c>
    </row>
    <row r="2740" spans="1:5" ht="18.75" x14ac:dyDescent="0.3">
      <c r="A2740" s="3">
        <v>2734</v>
      </c>
      <c r="B2740" s="9">
        <f t="shared" si="172"/>
        <v>0.99937435664213559</v>
      </c>
      <c r="C2740" s="3">
        <f t="shared" si="171"/>
        <v>62517.861628462073</v>
      </c>
      <c r="D2740" s="3">
        <f t="shared" si="173"/>
        <v>4.6337120220414363E-2</v>
      </c>
      <c r="E2740" s="8">
        <f t="shared" si="174"/>
        <v>390.57142857142856</v>
      </c>
    </row>
    <row r="2741" spans="1:5" ht="18.75" x14ac:dyDescent="0.3">
      <c r="A2741" s="3">
        <v>2735</v>
      </c>
      <c r="B2741" s="9">
        <f t="shared" si="172"/>
        <v>0.99937509628122922</v>
      </c>
      <c r="C2741" s="3">
        <f t="shared" si="171"/>
        <v>62517.907898064856</v>
      </c>
      <c r="D2741" s="3">
        <f t="shared" si="173"/>
        <v>4.626960278255865E-2</v>
      </c>
      <c r="E2741" s="8">
        <f t="shared" si="174"/>
        <v>390.71428571428572</v>
      </c>
    </row>
    <row r="2742" spans="1:5" ht="18.75" x14ac:dyDescent="0.3">
      <c r="A2742" s="3">
        <v>2736</v>
      </c>
      <c r="B2742" s="9">
        <f t="shared" si="172"/>
        <v>0.9993758348429097</v>
      </c>
      <c r="C2742" s="3">
        <f t="shared" si="171"/>
        <v>62517.954100267903</v>
      </c>
      <c r="D2742" s="3">
        <f t="shared" si="173"/>
        <v>4.6202203047869261E-2</v>
      </c>
      <c r="E2742" s="8">
        <f t="shared" si="174"/>
        <v>390.85714285714283</v>
      </c>
    </row>
    <row r="2743" spans="1:5" ht="18.75" x14ac:dyDescent="0.3">
      <c r="A2743" s="3">
        <v>2737</v>
      </c>
      <c r="B2743" s="9">
        <f t="shared" si="172"/>
        <v>0.99937657232905519</v>
      </c>
      <c r="C2743" s="3">
        <f t="shared" si="171"/>
        <v>62518.000235188709</v>
      </c>
      <c r="D2743" s="3">
        <f t="shared" si="173"/>
        <v>4.6134920805343427E-2</v>
      </c>
      <c r="E2743" s="8">
        <f t="shared" si="174"/>
        <v>391</v>
      </c>
    </row>
    <row r="2744" spans="1:5" ht="18.75" x14ac:dyDescent="0.3">
      <c r="A2744" s="3">
        <v>2738</v>
      </c>
      <c r="B2744" s="9">
        <f t="shared" si="172"/>
        <v>0.99937730874153974</v>
      </c>
      <c r="C2744" s="3">
        <f t="shared" si="171"/>
        <v>62518.046302944502</v>
      </c>
      <c r="D2744" s="3">
        <f t="shared" si="173"/>
        <v>4.6067755793046672E-2</v>
      </c>
      <c r="E2744" s="8">
        <f t="shared" si="174"/>
        <v>391.14285714285717</v>
      </c>
    </row>
    <row r="2745" spans="1:5" ht="18.75" x14ac:dyDescent="0.3">
      <c r="A2745" s="3">
        <v>2739</v>
      </c>
      <c r="B2745" s="9">
        <f t="shared" si="172"/>
        <v>0.99937804408223363</v>
      </c>
      <c r="C2745" s="3">
        <f t="shared" si="171"/>
        <v>62518.092303652287</v>
      </c>
      <c r="D2745" s="3">
        <f t="shared" si="173"/>
        <v>4.6000707785424311E-2</v>
      </c>
      <c r="E2745" s="8">
        <f t="shared" si="174"/>
        <v>391.28571428571428</v>
      </c>
    </row>
    <row r="2746" spans="1:5" ht="18.75" x14ac:dyDescent="0.3">
      <c r="A2746" s="3">
        <v>2740</v>
      </c>
      <c r="B2746" s="9">
        <f t="shared" si="172"/>
        <v>0.99937877835300348</v>
      </c>
      <c r="C2746" s="3">
        <f t="shared" si="171"/>
        <v>62518.138237428837</v>
      </c>
      <c r="D2746" s="3">
        <f t="shared" si="173"/>
        <v>4.59337765496457E-2</v>
      </c>
      <c r="E2746" s="8">
        <f t="shared" si="174"/>
        <v>391.42857142857144</v>
      </c>
    </row>
    <row r="2747" spans="1:5" ht="18.75" x14ac:dyDescent="0.3">
      <c r="A2747" s="3">
        <v>2741</v>
      </c>
      <c r="B2747" s="9">
        <f t="shared" si="172"/>
        <v>0.99937951155571181</v>
      </c>
      <c r="C2747" s="3">
        <f t="shared" si="171"/>
        <v>62518.184104390661</v>
      </c>
      <c r="D2747" s="3">
        <f t="shared" si="173"/>
        <v>4.5866961823776364E-2</v>
      </c>
      <c r="E2747" s="8">
        <f t="shared" si="174"/>
        <v>391.57142857142856</v>
      </c>
    </row>
    <row r="2748" spans="1:5" ht="18.75" x14ac:dyDescent="0.3">
      <c r="A2748" s="3">
        <v>2742</v>
      </c>
      <c r="B2748" s="9">
        <f t="shared" si="172"/>
        <v>0.99938024369221778</v>
      </c>
      <c r="C2748" s="3">
        <f t="shared" si="171"/>
        <v>62518.229904654065</v>
      </c>
      <c r="D2748" s="3">
        <f t="shared" si="173"/>
        <v>4.5800263404089492E-2</v>
      </c>
      <c r="E2748" s="8">
        <f t="shared" si="174"/>
        <v>391.71428571428572</v>
      </c>
    </row>
    <row r="2749" spans="1:5" ht="18.75" x14ac:dyDescent="0.3">
      <c r="A2749" s="3">
        <v>2743</v>
      </c>
      <c r="B2749" s="9">
        <f t="shared" si="172"/>
        <v>0.99938097476437626</v>
      </c>
      <c r="C2749" s="3">
        <f t="shared" si="171"/>
        <v>62518.275638335086</v>
      </c>
      <c r="D2749" s="3">
        <f t="shared" si="173"/>
        <v>4.573368102137465E-2</v>
      </c>
      <c r="E2749" s="8">
        <f t="shared" si="174"/>
        <v>391.85714285714283</v>
      </c>
    </row>
    <row r="2750" spans="1:5" ht="18.75" x14ac:dyDescent="0.3">
      <c r="A2750" s="3">
        <v>2744</v>
      </c>
      <c r="B2750" s="9">
        <f t="shared" si="172"/>
        <v>0.99938170477403887</v>
      </c>
      <c r="C2750" s="3">
        <f t="shared" si="171"/>
        <v>62518.321305549551</v>
      </c>
      <c r="D2750" s="3">
        <f t="shared" si="173"/>
        <v>4.5667214464629069E-2</v>
      </c>
      <c r="E2750" s="8">
        <f t="shared" si="174"/>
        <v>392</v>
      </c>
    </row>
    <row r="2751" spans="1:5" ht="18.75" x14ac:dyDescent="0.3">
      <c r="A2751" s="3">
        <v>2745</v>
      </c>
      <c r="B2751" s="9">
        <f t="shared" si="172"/>
        <v>0.99938243372305291</v>
      </c>
      <c r="C2751" s="3">
        <f t="shared" si="171"/>
        <v>62518.366906413023</v>
      </c>
      <c r="D2751" s="3">
        <f t="shared" si="173"/>
        <v>4.5600863471918274E-2</v>
      </c>
      <c r="E2751" s="8">
        <f t="shared" si="174"/>
        <v>392.14285714285717</v>
      </c>
    </row>
    <row r="2752" spans="1:5" ht="18.75" x14ac:dyDescent="0.3">
      <c r="A2752" s="3">
        <v>2746</v>
      </c>
      <c r="B2752" s="9">
        <f t="shared" si="172"/>
        <v>0.99938316161326246</v>
      </c>
      <c r="C2752" s="3">
        <f t="shared" si="171"/>
        <v>62518.412441040862</v>
      </c>
      <c r="D2752" s="3">
        <f t="shared" si="173"/>
        <v>4.5534627839515451E-2</v>
      </c>
      <c r="E2752" s="8">
        <f t="shared" si="174"/>
        <v>392.28571428571428</v>
      </c>
    </row>
    <row r="2753" spans="1:5" ht="18.75" x14ac:dyDescent="0.3">
      <c r="A2753" s="3">
        <v>2747</v>
      </c>
      <c r="B2753" s="9">
        <f t="shared" si="172"/>
        <v>0.99938388844650738</v>
      </c>
      <c r="C2753" s="3">
        <f t="shared" si="171"/>
        <v>62518.45790954816</v>
      </c>
      <c r="D2753" s="3">
        <f t="shared" si="173"/>
        <v>4.546850729821017E-2</v>
      </c>
      <c r="E2753" s="8">
        <f t="shared" si="174"/>
        <v>392.42857142857144</v>
      </c>
    </row>
    <row r="2754" spans="1:5" ht="18.75" x14ac:dyDescent="0.3">
      <c r="A2754" s="3">
        <v>2748</v>
      </c>
      <c r="B2754" s="9">
        <f t="shared" si="172"/>
        <v>0.99938461422462421</v>
      </c>
      <c r="C2754" s="3">
        <f t="shared" si="171"/>
        <v>62518.503312049819</v>
      </c>
      <c r="D2754" s="3">
        <f t="shared" si="173"/>
        <v>4.5402501658827532E-2</v>
      </c>
      <c r="E2754" s="8">
        <f t="shared" si="174"/>
        <v>392.57142857142856</v>
      </c>
    </row>
    <row r="2755" spans="1:5" ht="18.75" x14ac:dyDescent="0.3">
      <c r="A2755" s="3">
        <v>2749</v>
      </c>
      <c r="B2755" s="9">
        <f t="shared" si="172"/>
        <v>0.99938533894944548</v>
      </c>
      <c r="C2755" s="3">
        <f t="shared" si="171"/>
        <v>62518.548648660464</v>
      </c>
      <c r="D2755" s="3">
        <f t="shared" si="173"/>
        <v>4.5336610644881148E-2</v>
      </c>
      <c r="E2755" s="8">
        <f t="shared" si="174"/>
        <v>392.71428571428572</v>
      </c>
    </row>
    <row r="2756" spans="1:5" ht="18.75" x14ac:dyDescent="0.3">
      <c r="A2756" s="3">
        <v>2750</v>
      </c>
      <c r="B2756" s="9">
        <f t="shared" si="172"/>
        <v>0.99938606262280005</v>
      </c>
      <c r="C2756" s="3">
        <f t="shared" si="171"/>
        <v>62518.593919494502</v>
      </c>
      <c r="D2756" s="3">
        <f t="shared" si="173"/>
        <v>4.5270834038092289E-2</v>
      </c>
      <c r="E2756" s="8">
        <f t="shared" si="174"/>
        <v>392.85714285714283</v>
      </c>
    </row>
    <row r="2757" spans="1:5" ht="18.75" x14ac:dyDescent="0.3">
      <c r="A2757" s="3">
        <v>2751</v>
      </c>
      <c r="B2757" s="9">
        <f t="shared" si="172"/>
        <v>0.99938678524651314</v>
      </c>
      <c r="C2757" s="3">
        <f t="shared" si="171"/>
        <v>62518.639124666122</v>
      </c>
      <c r="D2757" s="3">
        <f t="shared" si="173"/>
        <v>4.5205171620182227E-2</v>
      </c>
      <c r="E2757" s="8">
        <f t="shared" si="174"/>
        <v>393</v>
      </c>
    </row>
    <row r="2758" spans="1:5" ht="18.75" x14ac:dyDescent="0.3">
      <c r="A2758" s="3">
        <v>2752</v>
      </c>
      <c r="B2758" s="9">
        <f>LOGNORMDIST(A2758,$A$3,$B$3)</f>
        <v>0.99938750682240618</v>
      </c>
      <c r="C2758" s="3">
        <f t="shared" si="171"/>
        <v>62518.684264289266</v>
      </c>
      <c r="D2758" s="3">
        <f>C2758-C2757</f>
        <v>4.5139623143768404E-2</v>
      </c>
      <c r="E2758" s="8">
        <f>A2758/7</f>
        <v>393.14285714285717</v>
      </c>
    </row>
    <row r="2759" spans="1:5" ht="18.75" x14ac:dyDescent="0.3">
      <c r="A2759" s="3">
        <v>2753</v>
      </c>
      <c r="B2759" s="9">
        <f>LOGNORMDIST(A2759,$A$3,$B$3)</f>
        <v>0.99938822735229693</v>
      </c>
      <c r="C2759" s="3">
        <f t="shared" si="171"/>
        <v>62518.729338477642</v>
      </c>
      <c r="D2759" s="3">
        <f>C2759-C2758</f>
        <v>4.5074188376020174E-2</v>
      </c>
      <c r="E2759" s="8">
        <f>A2759/7</f>
        <v>393.28571428571428</v>
      </c>
    </row>
    <row r="2760" spans="1:5" ht="18.75" x14ac:dyDescent="0.3">
      <c r="A2760" s="3">
        <v>2754</v>
      </c>
      <c r="B2760" s="9">
        <f>LOGNORMDIST(A2760,$A$3,$B$3)</f>
        <v>0.99938894683799961</v>
      </c>
      <c r="C2760" s="3">
        <f t="shared" ref="C2760:C2823" si="175">$E$3*B2760</f>
        <v>62518.774347344741</v>
      </c>
      <c r="D2760" s="3">
        <f>C2760-C2759</f>
        <v>4.5008867098658811E-2</v>
      </c>
      <c r="E2760" s="8">
        <f>A2760/7</f>
        <v>393.42857142857144</v>
      </c>
    </row>
    <row r="2761" spans="1:5" ht="18.75" x14ac:dyDescent="0.3">
      <c r="A2761" s="3">
        <v>2755</v>
      </c>
      <c r="B2761" s="9">
        <f>LOGNORMDIST(A2761,$A$3,$B$3)</f>
        <v>0.99938966528132445</v>
      </c>
      <c r="C2761" s="3">
        <f t="shared" si="175"/>
        <v>62518.819291003812</v>
      </c>
      <c r="D2761" s="3">
        <f>C2761-C2760</f>
        <v>4.4943659071577713E-2</v>
      </c>
      <c r="E2761" s="8">
        <f>A2761/7</f>
        <v>393.57142857142856</v>
      </c>
    </row>
    <row r="2762" spans="1:5" ht="18.75" x14ac:dyDescent="0.3">
      <c r="A2762" s="3">
        <v>2756</v>
      </c>
      <c r="B2762" s="9">
        <f t="shared" ref="B2762:B2791" si="176">LOGNORMDIST(A2762,$A$3,$B$3)</f>
        <v>0.9993903826840782</v>
      </c>
      <c r="C2762" s="3">
        <f t="shared" si="175"/>
        <v>62518.864169567882</v>
      </c>
      <c r="D2762" s="3">
        <f t="shared" ref="D2762:D2791" si="177">C2762-C2761</f>
        <v>4.4878564069222193E-2</v>
      </c>
      <c r="E2762" s="8">
        <f t="shared" ref="E2762:E2791" si="178">A2762/7</f>
        <v>393.71428571428572</v>
      </c>
    </row>
    <row r="2763" spans="1:5" ht="18.75" x14ac:dyDescent="0.3">
      <c r="A2763" s="3">
        <v>2757</v>
      </c>
      <c r="B2763" s="9">
        <f t="shared" si="176"/>
        <v>0.99939109904806411</v>
      </c>
      <c r="C2763" s="3">
        <f t="shared" si="175"/>
        <v>62518.908983149748</v>
      </c>
      <c r="D2763" s="3">
        <f t="shared" si="177"/>
        <v>4.4813581866037566E-2</v>
      </c>
      <c r="E2763" s="8">
        <f t="shared" si="178"/>
        <v>393.85714285714283</v>
      </c>
    </row>
    <row r="2764" spans="1:5" ht="18.75" x14ac:dyDescent="0.3">
      <c r="A2764" s="3">
        <v>2758</v>
      </c>
      <c r="B2764" s="9">
        <f t="shared" si="176"/>
        <v>0.9993918143750814</v>
      </c>
      <c r="C2764" s="3">
        <f t="shared" si="175"/>
        <v>62518.95373186197</v>
      </c>
      <c r="D2764" s="3">
        <f t="shared" si="177"/>
        <v>4.4748712221917231E-2</v>
      </c>
      <c r="E2764" s="8">
        <f t="shared" si="178"/>
        <v>394</v>
      </c>
    </row>
    <row r="2765" spans="1:5" ht="18.75" x14ac:dyDescent="0.3">
      <c r="A2765" s="3">
        <v>2759</v>
      </c>
      <c r="B2765" s="9">
        <f t="shared" si="176"/>
        <v>0.99939252866692596</v>
      </c>
      <c r="C2765" s="3">
        <f t="shared" si="175"/>
        <v>62518.998415816888</v>
      </c>
      <c r="D2765" s="3">
        <f t="shared" si="177"/>
        <v>4.4683954918582458E-2</v>
      </c>
      <c r="E2765" s="8">
        <f t="shared" si="178"/>
        <v>394.14285714285717</v>
      </c>
    </row>
    <row r="2766" spans="1:5" ht="18.75" x14ac:dyDescent="0.3">
      <c r="A2766" s="3">
        <v>2760</v>
      </c>
      <c r="B2766" s="9">
        <f t="shared" si="176"/>
        <v>0.99939324192538981</v>
      </c>
      <c r="C2766" s="3">
        <f t="shared" si="175"/>
        <v>62519.043035126611</v>
      </c>
      <c r="D2766" s="3">
        <f t="shared" si="177"/>
        <v>4.4619309723202605E-2</v>
      </c>
      <c r="E2766" s="8">
        <f t="shared" si="178"/>
        <v>394.28571428571428</v>
      </c>
    </row>
    <row r="2767" spans="1:5" ht="18.75" x14ac:dyDescent="0.3">
      <c r="A2767" s="3">
        <v>2761</v>
      </c>
      <c r="B2767" s="9">
        <f t="shared" si="176"/>
        <v>0.99939395415226162</v>
      </c>
      <c r="C2767" s="3">
        <f t="shared" si="175"/>
        <v>62519.087589903029</v>
      </c>
      <c r="D2767" s="3">
        <f t="shared" si="177"/>
        <v>4.4554776417498942E-2</v>
      </c>
      <c r="E2767" s="8">
        <f t="shared" si="178"/>
        <v>394.42857142857144</v>
      </c>
    </row>
    <row r="2768" spans="1:5" ht="18.75" x14ac:dyDescent="0.3">
      <c r="A2768" s="3">
        <v>2762</v>
      </c>
      <c r="B2768" s="9">
        <f t="shared" si="176"/>
        <v>0.99939466534932619</v>
      </c>
      <c r="C2768" s="3">
        <f t="shared" si="175"/>
        <v>62519.132080257797</v>
      </c>
      <c r="D2768" s="3">
        <f t="shared" si="177"/>
        <v>4.4490354768640827E-2</v>
      </c>
      <c r="E2768" s="8">
        <f t="shared" si="178"/>
        <v>394.57142857142856</v>
      </c>
    </row>
    <row r="2769" spans="1:5" ht="18.75" x14ac:dyDescent="0.3">
      <c r="A2769" s="3">
        <v>2763</v>
      </c>
      <c r="B2769" s="9">
        <f t="shared" si="176"/>
        <v>0.99939537551836488</v>
      </c>
      <c r="C2769" s="3">
        <f t="shared" si="175"/>
        <v>62519.176506302349</v>
      </c>
      <c r="D2769" s="3">
        <f t="shared" si="177"/>
        <v>4.4426044551073574E-2</v>
      </c>
      <c r="E2769" s="8">
        <f t="shared" si="178"/>
        <v>394.71428571428572</v>
      </c>
    </row>
    <row r="2770" spans="1:5" ht="18.75" x14ac:dyDescent="0.3">
      <c r="A2770" s="3">
        <v>2764</v>
      </c>
      <c r="B2770" s="9">
        <f t="shared" si="176"/>
        <v>0.99939608466115515</v>
      </c>
      <c r="C2770" s="3">
        <f t="shared" si="175"/>
        <v>62519.220868147881</v>
      </c>
      <c r="D2770" s="3">
        <f t="shared" si="177"/>
        <v>4.4361845531966537E-2</v>
      </c>
      <c r="E2770" s="8">
        <f t="shared" si="178"/>
        <v>394.85714285714283</v>
      </c>
    </row>
    <row r="2771" spans="1:5" ht="18.75" x14ac:dyDescent="0.3">
      <c r="A2771" s="3">
        <v>2765</v>
      </c>
      <c r="B2771" s="9">
        <f t="shared" si="176"/>
        <v>0.99939679277947135</v>
      </c>
      <c r="C2771" s="3">
        <f t="shared" si="175"/>
        <v>62519.265165905388</v>
      </c>
      <c r="D2771" s="3">
        <f t="shared" si="177"/>
        <v>4.4297757507592905E-2</v>
      </c>
      <c r="E2771" s="8">
        <f t="shared" si="178"/>
        <v>395</v>
      </c>
    </row>
    <row r="2772" spans="1:5" ht="18.75" x14ac:dyDescent="0.3">
      <c r="A2772" s="3">
        <v>2766</v>
      </c>
      <c r="B2772" s="9">
        <f t="shared" si="176"/>
        <v>0.99939749987508386</v>
      </c>
      <c r="C2772" s="3">
        <f t="shared" si="175"/>
        <v>62519.309399685619</v>
      </c>
      <c r="D2772" s="3">
        <f t="shared" si="177"/>
        <v>4.4233780230570119E-2</v>
      </c>
      <c r="E2772" s="8">
        <f t="shared" si="178"/>
        <v>395.14285714285717</v>
      </c>
    </row>
    <row r="2773" spans="1:5" ht="18.75" x14ac:dyDescent="0.3">
      <c r="A2773" s="3">
        <v>2767</v>
      </c>
      <c r="B2773" s="9">
        <f t="shared" si="176"/>
        <v>0.99939820594975948</v>
      </c>
      <c r="C2773" s="3">
        <f t="shared" si="175"/>
        <v>62519.353569599101</v>
      </c>
      <c r="D2773" s="3">
        <f t="shared" si="177"/>
        <v>4.4169913482619449E-2</v>
      </c>
      <c r="E2773" s="8">
        <f t="shared" si="178"/>
        <v>395.28571428571428</v>
      </c>
    </row>
    <row r="2774" spans="1:5" ht="18.75" x14ac:dyDescent="0.3">
      <c r="A2774" s="3">
        <v>2768</v>
      </c>
      <c r="B2774" s="9">
        <f t="shared" si="176"/>
        <v>0.99939891100526179</v>
      </c>
      <c r="C2774" s="3">
        <f t="shared" si="175"/>
        <v>62519.397675756161</v>
      </c>
      <c r="D2774" s="3">
        <f t="shared" si="177"/>
        <v>4.4106157060014084E-2</v>
      </c>
      <c r="E2774" s="8">
        <f t="shared" si="178"/>
        <v>395.42857142857144</v>
      </c>
    </row>
    <row r="2775" spans="1:5" ht="18.75" x14ac:dyDescent="0.3">
      <c r="A2775" s="3">
        <v>2769</v>
      </c>
      <c r="B2775" s="9">
        <f t="shared" si="176"/>
        <v>0.9993996150433504</v>
      </c>
      <c r="C2775" s="3">
        <f t="shared" si="175"/>
        <v>62519.441718266869</v>
      </c>
      <c r="D2775" s="3">
        <f t="shared" si="177"/>
        <v>4.4042510708095506E-2</v>
      </c>
      <c r="E2775" s="8">
        <f t="shared" si="178"/>
        <v>395.57142857142856</v>
      </c>
    </row>
    <row r="2776" spans="1:5" ht="18.75" x14ac:dyDescent="0.3">
      <c r="A2776" s="3">
        <v>2770</v>
      </c>
      <c r="B2776" s="9">
        <f t="shared" si="176"/>
        <v>0.99940031806578167</v>
      </c>
      <c r="C2776" s="3">
        <f t="shared" si="175"/>
        <v>62519.485697241107</v>
      </c>
      <c r="D2776" s="3">
        <f t="shared" si="177"/>
        <v>4.3978974237688817E-2</v>
      </c>
      <c r="E2776" s="8">
        <f t="shared" si="178"/>
        <v>395.71428571428572</v>
      </c>
    </row>
    <row r="2777" spans="1:5" ht="18.75" x14ac:dyDescent="0.3">
      <c r="A2777" s="3">
        <v>2771</v>
      </c>
      <c r="B2777" s="9">
        <f t="shared" si="176"/>
        <v>0.9994010200743082</v>
      </c>
      <c r="C2777" s="3">
        <f t="shared" si="175"/>
        <v>62519.529612788501</v>
      </c>
      <c r="D2777" s="3">
        <f t="shared" si="177"/>
        <v>4.3915547394135501E-2</v>
      </c>
      <c r="E2777" s="8">
        <f t="shared" si="178"/>
        <v>395.85714285714283</v>
      </c>
    </row>
    <row r="2778" spans="1:5" ht="18.75" x14ac:dyDescent="0.3">
      <c r="A2778" s="3">
        <v>2772</v>
      </c>
      <c r="B2778" s="9">
        <f t="shared" si="176"/>
        <v>0.99940172107067915</v>
      </c>
      <c r="C2778" s="3">
        <f t="shared" si="175"/>
        <v>62519.573465018475</v>
      </c>
      <c r="D2778" s="3">
        <f t="shared" si="177"/>
        <v>4.3852229973708745E-2</v>
      </c>
      <c r="E2778" s="8">
        <f t="shared" si="178"/>
        <v>396</v>
      </c>
    </row>
    <row r="2779" spans="1:5" ht="18.75" x14ac:dyDescent="0.3">
      <c r="A2779" s="3">
        <v>2773</v>
      </c>
      <c r="B2779" s="9">
        <f t="shared" si="176"/>
        <v>0.99940242105664012</v>
      </c>
      <c r="C2779" s="3">
        <f t="shared" si="175"/>
        <v>62519.617254040233</v>
      </c>
      <c r="D2779" s="3">
        <f t="shared" si="177"/>
        <v>4.378902175812982E-2</v>
      </c>
      <c r="E2779" s="8">
        <f t="shared" si="178"/>
        <v>396.14285714285717</v>
      </c>
    </row>
    <row r="2780" spans="1:5" ht="18.75" x14ac:dyDescent="0.3">
      <c r="A2780" s="3">
        <v>2774</v>
      </c>
      <c r="B2780" s="9">
        <f t="shared" si="176"/>
        <v>0.99940312003393328</v>
      </c>
      <c r="C2780" s="3">
        <f t="shared" si="175"/>
        <v>62519.660979962762</v>
      </c>
      <c r="D2780" s="3">
        <f t="shared" si="177"/>
        <v>4.3725922529119998E-2</v>
      </c>
      <c r="E2780" s="8">
        <f t="shared" si="178"/>
        <v>396.28571428571428</v>
      </c>
    </row>
    <row r="2781" spans="1:5" ht="18.75" x14ac:dyDescent="0.3">
      <c r="A2781" s="3">
        <v>2775</v>
      </c>
      <c r="B2781" s="9">
        <f t="shared" si="176"/>
        <v>0.99940381800429723</v>
      </c>
      <c r="C2781" s="3">
        <f t="shared" si="175"/>
        <v>62519.704642894823</v>
      </c>
      <c r="D2781" s="3">
        <f t="shared" si="177"/>
        <v>4.3662932061124593E-2</v>
      </c>
      <c r="E2781" s="8">
        <f t="shared" si="178"/>
        <v>396.42857142857144</v>
      </c>
    </row>
    <row r="2782" spans="1:5" ht="18.75" x14ac:dyDescent="0.3">
      <c r="A2782" s="3">
        <v>2776</v>
      </c>
      <c r="B2782" s="9">
        <f t="shared" si="176"/>
        <v>0.99940451496946703</v>
      </c>
      <c r="C2782" s="3">
        <f t="shared" si="175"/>
        <v>62519.748242944952</v>
      </c>
      <c r="D2782" s="3">
        <f t="shared" si="177"/>
        <v>4.3600050128588919E-2</v>
      </c>
      <c r="E2782" s="8">
        <f t="shared" si="178"/>
        <v>396.57142857142856</v>
      </c>
    </row>
    <row r="2783" spans="1:5" ht="18.75" x14ac:dyDescent="0.3">
      <c r="A2783" s="3">
        <v>2777</v>
      </c>
      <c r="B2783" s="9">
        <f t="shared" si="176"/>
        <v>0.99940521093117418</v>
      </c>
      <c r="C2783" s="3">
        <f t="shared" si="175"/>
        <v>62519.791780221465</v>
      </c>
      <c r="D2783" s="3">
        <f t="shared" si="177"/>
        <v>4.3537276513234247E-2</v>
      </c>
      <c r="E2783" s="8">
        <f t="shared" si="178"/>
        <v>396.71428571428572</v>
      </c>
    </row>
    <row r="2784" spans="1:5" ht="18.75" x14ac:dyDescent="0.3">
      <c r="A2784" s="3">
        <v>2778</v>
      </c>
      <c r="B2784" s="9">
        <f t="shared" si="176"/>
        <v>0.99940590589114697</v>
      </c>
      <c r="C2784" s="3">
        <f t="shared" si="175"/>
        <v>62519.835254832484</v>
      </c>
      <c r="D2784" s="3">
        <f t="shared" si="177"/>
        <v>4.3474611018609721E-2</v>
      </c>
      <c r="E2784" s="8">
        <f t="shared" si="178"/>
        <v>396.85714285714283</v>
      </c>
    </row>
    <row r="2785" spans="1:5" ht="18.75" x14ac:dyDescent="0.3">
      <c r="A2785" s="3">
        <v>2779</v>
      </c>
      <c r="B2785" s="9">
        <f t="shared" si="176"/>
        <v>0.99940659985110991</v>
      </c>
      <c r="C2785" s="3">
        <f t="shared" si="175"/>
        <v>62519.878666885881</v>
      </c>
      <c r="D2785" s="3">
        <f t="shared" si="177"/>
        <v>4.3412053397332784E-2</v>
      </c>
      <c r="E2785" s="8">
        <f t="shared" si="178"/>
        <v>397</v>
      </c>
    </row>
    <row r="2786" spans="1:5" ht="18.75" x14ac:dyDescent="0.3">
      <c r="A2786" s="3">
        <v>2780</v>
      </c>
      <c r="B2786" s="9">
        <f t="shared" si="176"/>
        <v>0.99940729281278418</v>
      </c>
      <c r="C2786" s="3">
        <f t="shared" si="175"/>
        <v>62519.922016489341</v>
      </c>
      <c r="D2786" s="3">
        <f t="shared" si="177"/>
        <v>4.3349603460228536E-2</v>
      </c>
      <c r="E2786" s="8">
        <f t="shared" si="178"/>
        <v>397.14285714285717</v>
      </c>
    </row>
    <row r="2787" spans="1:5" ht="18.75" x14ac:dyDescent="0.3">
      <c r="A2787" s="3">
        <v>2781</v>
      </c>
      <c r="B2787" s="9">
        <f t="shared" si="176"/>
        <v>0.99940798477788739</v>
      </c>
      <c r="C2787" s="3">
        <f t="shared" si="175"/>
        <v>62519.965303750301</v>
      </c>
      <c r="D2787" s="3">
        <f t="shared" si="177"/>
        <v>4.328726095991442E-2</v>
      </c>
      <c r="E2787" s="8">
        <f t="shared" si="178"/>
        <v>397.28571428571428</v>
      </c>
    </row>
    <row r="2788" spans="1:5" ht="18.75" x14ac:dyDescent="0.3">
      <c r="A2788" s="3">
        <v>2782</v>
      </c>
      <c r="B2788" s="9">
        <f t="shared" si="176"/>
        <v>0.99940867574813397</v>
      </c>
      <c r="C2788" s="3">
        <f t="shared" si="175"/>
        <v>62520.008528776016</v>
      </c>
      <c r="D2788" s="3">
        <f t="shared" si="177"/>
        <v>4.3225025714491494E-2</v>
      </c>
      <c r="E2788" s="8">
        <f t="shared" si="178"/>
        <v>397.42857142857144</v>
      </c>
    </row>
    <row r="2789" spans="1:5" ht="18.75" x14ac:dyDescent="0.3">
      <c r="A2789" s="3">
        <v>2783</v>
      </c>
      <c r="B2789" s="9">
        <f t="shared" si="176"/>
        <v>0.99940936572523453</v>
      </c>
      <c r="C2789" s="3">
        <f t="shared" si="175"/>
        <v>62520.0516916735</v>
      </c>
      <c r="D2789" s="3">
        <f t="shared" si="177"/>
        <v>4.3162897483853158E-2</v>
      </c>
      <c r="E2789" s="8">
        <f t="shared" si="178"/>
        <v>397.57142857142856</v>
      </c>
    </row>
    <row r="2790" spans="1:5" ht="18.75" x14ac:dyDescent="0.3">
      <c r="A2790" s="3">
        <v>2784</v>
      </c>
      <c r="B2790" s="9">
        <f t="shared" si="176"/>
        <v>0.9994100547108965</v>
      </c>
      <c r="C2790" s="3">
        <f t="shared" si="175"/>
        <v>62520.094792549549</v>
      </c>
      <c r="D2790" s="3">
        <f t="shared" si="177"/>
        <v>4.3100876049720682E-2</v>
      </c>
      <c r="E2790" s="8">
        <f t="shared" si="178"/>
        <v>397.71428571428572</v>
      </c>
    </row>
    <row r="2791" spans="1:5" ht="18.75" x14ac:dyDescent="0.3">
      <c r="A2791" s="3">
        <v>2785</v>
      </c>
      <c r="B2791" s="9">
        <f t="shared" si="176"/>
        <v>0.99941074270682373</v>
      </c>
      <c r="C2791" s="3">
        <f t="shared" si="175"/>
        <v>62520.137831510772</v>
      </c>
      <c r="D2791" s="3">
        <f t="shared" si="177"/>
        <v>4.303896122291917E-2</v>
      </c>
      <c r="E2791" s="8">
        <f t="shared" si="178"/>
        <v>397.85714285714283</v>
      </c>
    </row>
    <row r="2792" spans="1:5" ht="18.75" x14ac:dyDescent="0.3">
      <c r="A2792" s="3">
        <v>2786</v>
      </c>
      <c r="B2792" s="9">
        <f t="shared" ref="B2792:B2855" si="179">LOGNORMDIST(A2792,$A$3,$B$3)</f>
        <v>0.99941142971471675</v>
      </c>
      <c r="C2792" s="3">
        <f t="shared" si="175"/>
        <v>62520.180808663536</v>
      </c>
      <c r="D2792" s="3">
        <f t="shared" ref="D2792:D2855" si="180">C2792-C2791</f>
        <v>4.2977152763342019E-2</v>
      </c>
      <c r="E2792" s="8">
        <f t="shared" ref="E2792:E2855" si="181">A2792/7</f>
        <v>398</v>
      </c>
    </row>
    <row r="2793" spans="1:5" ht="18.75" x14ac:dyDescent="0.3">
      <c r="A2793" s="3">
        <v>2787</v>
      </c>
      <c r="B2793" s="9">
        <f t="shared" si="179"/>
        <v>0.99941211573627264</v>
      </c>
      <c r="C2793" s="3">
        <f t="shared" si="175"/>
        <v>62520.22372411401</v>
      </c>
      <c r="D2793" s="3">
        <f t="shared" si="180"/>
        <v>4.2915450474538375E-2</v>
      </c>
      <c r="E2793" s="8">
        <f t="shared" si="181"/>
        <v>398.14285714285717</v>
      </c>
    </row>
    <row r="2794" spans="1:5" ht="18.75" x14ac:dyDescent="0.3">
      <c r="A2794" s="3">
        <v>2788</v>
      </c>
      <c r="B2794" s="9">
        <f t="shared" si="179"/>
        <v>0.99941280077318506</v>
      </c>
      <c r="C2794" s="3">
        <f t="shared" si="175"/>
        <v>62520.266577968141</v>
      </c>
      <c r="D2794" s="3">
        <f t="shared" si="180"/>
        <v>4.285385413095355E-2</v>
      </c>
      <c r="E2794" s="8">
        <f t="shared" si="181"/>
        <v>398.28571428571428</v>
      </c>
    </row>
    <row r="2795" spans="1:5" ht="18.75" x14ac:dyDescent="0.3">
      <c r="A2795" s="3">
        <v>2789</v>
      </c>
      <c r="B2795" s="9">
        <f t="shared" si="179"/>
        <v>0.99941348482714432</v>
      </c>
      <c r="C2795" s="3">
        <f t="shared" si="175"/>
        <v>62520.30937033167</v>
      </c>
      <c r="D2795" s="3">
        <f t="shared" si="180"/>
        <v>4.2792363528860733E-2</v>
      </c>
      <c r="E2795" s="8">
        <f t="shared" si="181"/>
        <v>398.42857142857144</v>
      </c>
    </row>
    <row r="2796" spans="1:5" ht="18.75" x14ac:dyDescent="0.3">
      <c r="A2796" s="3">
        <v>2790</v>
      </c>
      <c r="B2796" s="9">
        <f t="shared" si="179"/>
        <v>0.99941416789983728</v>
      </c>
      <c r="C2796" s="3">
        <f t="shared" si="175"/>
        <v>62520.35210131012</v>
      </c>
      <c r="D2796" s="3">
        <f t="shared" si="180"/>
        <v>4.2730978449981194E-2</v>
      </c>
      <c r="E2796" s="8">
        <f t="shared" si="181"/>
        <v>398.57142857142856</v>
      </c>
    </row>
    <row r="2797" spans="1:5" ht="18.75" x14ac:dyDescent="0.3">
      <c r="A2797" s="3">
        <v>2791</v>
      </c>
      <c r="B2797" s="9">
        <f t="shared" si="179"/>
        <v>0.99941484999294739</v>
      </c>
      <c r="C2797" s="3">
        <f t="shared" si="175"/>
        <v>62520.39477100881</v>
      </c>
      <c r="D2797" s="3">
        <f t="shared" si="180"/>
        <v>4.266969869058812E-2</v>
      </c>
      <c r="E2797" s="8">
        <f t="shared" si="181"/>
        <v>398.71428571428572</v>
      </c>
    </row>
    <row r="2798" spans="1:5" ht="18.75" x14ac:dyDescent="0.3">
      <c r="A2798" s="3">
        <v>2792</v>
      </c>
      <c r="B2798" s="9">
        <f t="shared" si="179"/>
        <v>0.99941553110815473</v>
      </c>
      <c r="C2798" s="3">
        <f t="shared" si="175"/>
        <v>62520.437379532836</v>
      </c>
      <c r="D2798" s="3">
        <f t="shared" si="180"/>
        <v>4.2608524025126826E-2</v>
      </c>
      <c r="E2798" s="8">
        <f t="shared" si="181"/>
        <v>398.85714285714283</v>
      </c>
    </row>
    <row r="2799" spans="1:5" ht="18.75" x14ac:dyDescent="0.3">
      <c r="A2799" s="3">
        <v>2793</v>
      </c>
      <c r="B2799" s="9">
        <f t="shared" si="179"/>
        <v>0.9994162112471362</v>
      </c>
      <c r="C2799" s="3">
        <f t="shared" si="175"/>
        <v>62520.4799269871</v>
      </c>
      <c r="D2799" s="3">
        <f t="shared" si="180"/>
        <v>4.2547454264422413E-2</v>
      </c>
      <c r="E2799" s="8">
        <f t="shared" si="181"/>
        <v>399</v>
      </c>
    </row>
    <row r="2800" spans="1:5" ht="18.75" x14ac:dyDescent="0.3">
      <c r="A2800" s="3">
        <v>2794</v>
      </c>
      <c r="B2800" s="9">
        <f t="shared" si="179"/>
        <v>0.99941689041156501</v>
      </c>
      <c r="C2800" s="3">
        <f t="shared" si="175"/>
        <v>62520.522413476276</v>
      </c>
      <c r="D2800" s="3">
        <f t="shared" si="180"/>
        <v>4.2486489175644238E-2</v>
      </c>
      <c r="E2800" s="8">
        <f t="shared" si="181"/>
        <v>399.14285714285717</v>
      </c>
    </row>
    <row r="2801" spans="1:5" ht="18.75" x14ac:dyDescent="0.3">
      <c r="A2801" s="3">
        <v>2795</v>
      </c>
      <c r="B2801" s="9">
        <f t="shared" si="179"/>
        <v>0.99941756860311137</v>
      </c>
      <c r="C2801" s="3">
        <f t="shared" si="175"/>
        <v>62520.564839104838</v>
      </c>
      <c r="D2801" s="3">
        <f t="shared" si="180"/>
        <v>4.2425628562341444E-2</v>
      </c>
      <c r="E2801" s="8">
        <f t="shared" si="181"/>
        <v>399.28571428571428</v>
      </c>
    </row>
    <row r="2802" spans="1:5" ht="18.75" x14ac:dyDescent="0.3">
      <c r="A2802" s="3">
        <v>2796</v>
      </c>
      <c r="B2802" s="9">
        <f t="shared" si="179"/>
        <v>0.99941824582344174</v>
      </c>
      <c r="C2802" s="3">
        <f t="shared" si="175"/>
        <v>62520.607203977044</v>
      </c>
      <c r="D2802" s="3">
        <f t="shared" si="180"/>
        <v>4.2364872206235304E-2</v>
      </c>
      <c r="E2802" s="8">
        <f t="shared" si="181"/>
        <v>399.42857142857144</v>
      </c>
    </row>
    <row r="2803" spans="1:5" ht="18.75" x14ac:dyDescent="0.3">
      <c r="A2803" s="3">
        <v>2797</v>
      </c>
      <c r="B2803" s="9">
        <f t="shared" si="179"/>
        <v>0.99941892207421967</v>
      </c>
      <c r="C2803" s="3">
        <f t="shared" si="175"/>
        <v>62520.649508196962</v>
      </c>
      <c r="D2803" s="3">
        <f t="shared" si="180"/>
        <v>4.230421991815092E-2</v>
      </c>
      <c r="E2803" s="8">
        <f t="shared" si="181"/>
        <v>399.57142857142856</v>
      </c>
    </row>
    <row r="2804" spans="1:5" ht="18.75" x14ac:dyDescent="0.3">
      <c r="A2804" s="3">
        <v>2798</v>
      </c>
      <c r="B2804" s="9">
        <f t="shared" si="179"/>
        <v>0.99941959735710506</v>
      </c>
      <c r="C2804" s="3">
        <f t="shared" si="175"/>
        <v>62520.69175186842</v>
      </c>
      <c r="D2804" s="3">
        <f t="shared" si="180"/>
        <v>4.2243671457981691E-2</v>
      </c>
      <c r="E2804" s="8">
        <f t="shared" si="181"/>
        <v>399.71428571428572</v>
      </c>
    </row>
    <row r="2805" spans="1:5" ht="18.75" x14ac:dyDescent="0.3">
      <c r="A2805" s="3">
        <v>2799</v>
      </c>
      <c r="B2805" s="9">
        <f t="shared" si="179"/>
        <v>0.99942027167375469</v>
      </c>
      <c r="C2805" s="3">
        <f t="shared" si="175"/>
        <v>62520.733935095072</v>
      </c>
      <c r="D2805" s="3">
        <f t="shared" si="180"/>
        <v>4.2183226651104633E-2</v>
      </c>
      <c r="E2805" s="8">
        <f t="shared" si="181"/>
        <v>399.85714285714283</v>
      </c>
    </row>
    <row r="2806" spans="1:5" ht="18.75" x14ac:dyDescent="0.3">
      <c r="A2806" s="3">
        <v>2800</v>
      </c>
      <c r="B2806" s="9">
        <f t="shared" si="179"/>
        <v>0.99942094502582191</v>
      </c>
      <c r="C2806" s="3">
        <f t="shared" si="175"/>
        <v>62520.776057980343</v>
      </c>
      <c r="D2806" s="3">
        <f t="shared" si="180"/>
        <v>4.212288527196506E-2</v>
      </c>
      <c r="E2806" s="8">
        <f t="shared" si="181"/>
        <v>400</v>
      </c>
    </row>
    <row r="2807" spans="1:5" ht="18.75" x14ac:dyDescent="0.3">
      <c r="A2807" s="3">
        <v>2801</v>
      </c>
      <c r="B2807" s="9">
        <f t="shared" si="179"/>
        <v>0.99942161741495683</v>
      </c>
      <c r="C2807" s="3">
        <f t="shared" si="175"/>
        <v>62520.818120627453</v>
      </c>
      <c r="D2807" s="3">
        <f t="shared" si="180"/>
        <v>4.2062647109560203E-2</v>
      </c>
      <c r="E2807" s="8">
        <f t="shared" si="181"/>
        <v>400.14285714285717</v>
      </c>
    </row>
    <row r="2808" spans="1:5" ht="18.75" x14ac:dyDescent="0.3">
      <c r="A2808" s="3">
        <v>2802</v>
      </c>
      <c r="B2808" s="9">
        <f t="shared" si="179"/>
        <v>0.99942228884280604</v>
      </c>
      <c r="C2808" s="3">
        <f t="shared" si="175"/>
        <v>62520.86012313942</v>
      </c>
      <c r="D2808" s="3">
        <f t="shared" si="180"/>
        <v>4.2002511967439204E-2</v>
      </c>
      <c r="E2808" s="8">
        <f t="shared" si="181"/>
        <v>400.28571428571428</v>
      </c>
    </row>
    <row r="2809" spans="1:5" ht="18.75" x14ac:dyDescent="0.3">
      <c r="A2809" s="3">
        <v>2803</v>
      </c>
      <c r="B2809" s="9">
        <f t="shared" si="179"/>
        <v>0.99942295931101321</v>
      </c>
      <c r="C2809" s="3">
        <f t="shared" si="175"/>
        <v>62520.902065619055</v>
      </c>
      <c r="D2809" s="3">
        <f t="shared" si="180"/>
        <v>4.1942479634599295E-2</v>
      </c>
      <c r="E2809" s="8">
        <f t="shared" si="181"/>
        <v>400.42857142857144</v>
      </c>
    </row>
    <row r="2810" spans="1:5" ht="18.75" x14ac:dyDescent="0.3">
      <c r="A2810" s="3">
        <v>2804</v>
      </c>
      <c r="B2810" s="9">
        <f t="shared" si="179"/>
        <v>0.99942362882121849</v>
      </c>
      <c r="C2810" s="3">
        <f t="shared" si="175"/>
        <v>62520.943948168962</v>
      </c>
      <c r="D2810" s="3">
        <f t="shared" si="180"/>
        <v>4.188254990731366E-2</v>
      </c>
      <c r="E2810" s="8">
        <f t="shared" si="181"/>
        <v>400.57142857142856</v>
      </c>
    </row>
    <row r="2811" spans="1:5" ht="18.75" x14ac:dyDescent="0.3">
      <c r="A2811" s="3">
        <v>2805</v>
      </c>
      <c r="B2811" s="9">
        <f t="shared" si="179"/>
        <v>0.99942429737505878</v>
      </c>
      <c r="C2811" s="3">
        <f t="shared" si="175"/>
        <v>62520.985770891552</v>
      </c>
      <c r="D2811" s="3">
        <f t="shared" si="180"/>
        <v>4.1822722589131445E-2</v>
      </c>
      <c r="E2811" s="8">
        <f t="shared" si="181"/>
        <v>400.71428571428572</v>
      </c>
    </row>
    <row r="2812" spans="1:5" ht="18.75" x14ac:dyDescent="0.3">
      <c r="A2812" s="3">
        <v>2806</v>
      </c>
      <c r="B2812" s="9">
        <f t="shared" si="179"/>
        <v>0.99942496497416777</v>
      </c>
      <c r="C2812" s="3">
        <f t="shared" si="175"/>
        <v>62521.027533889013</v>
      </c>
      <c r="D2812" s="3">
        <f t="shared" si="180"/>
        <v>4.1762997461773921E-2</v>
      </c>
      <c r="E2812" s="8">
        <f t="shared" si="181"/>
        <v>400.85714285714283</v>
      </c>
    </row>
    <row r="2813" spans="1:5" ht="18.75" x14ac:dyDescent="0.3">
      <c r="A2813" s="3">
        <v>2807</v>
      </c>
      <c r="B2813" s="9">
        <f t="shared" si="179"/>
        <v>0.99942563162017584</v>
      </c>
      <c r="C2813" s="3">
        <f t="shared" si="175"/>
        <v>62521.069237263342</v>
      </c>
      <c r="D2813" s="3">
        <f t="shared" si="180"/>
        <v>4.1703374328790233E-2</v>
      </c>
      <c r="E2813" s="8">
        <f t="shared" si="181"/>
        <v>401</v>
      </c>
    </row>
    <row r="2814" spans="1:5" ht="18.75" x14ac:dyDescent="0.3">
      <c r="A2814" s="3">
        <v>2808</v>
      </c>
      <c r="B2814" s="9">
        <f t="shared" si="179"/>
        <v>0.99942629731471</v>
      </c>
      <c r="C2814" s="3">
        <f t="shared" si="175"/>
        <v>62521.110881116314</v>
      </c>
      <c r="D2814" s="3">
        <f t="shared" si="180"/>
        <v>4.1643852971901651E-2</v>
      </c>
      <c r="E2814" s="8">
        <f t="shared" si="181"/>
        <v>401.14285714285717</v>
      </c>
    </row>
    <row r="2815" spans="1:5" ht="18.75" x14ac:dyDescent="0.3">
      <c r="A2815" s="3">
        <v>2809</v>
      </c>
      <c r="B2815" s="9">
        <f t="shared" si="179"/>
        <v>0.9994269620593943</v>
      </c>
      <c r="C2815" s="3">
        <f t="shared" si="175"/>
        <v>62521.15246554953</v>
      </c>
      <c r="D2815" s="3">
        <f t="shared" si="180"/>
        <v>4.1584433216485195E-2</v>
      </c>
      <c r="E2815" s="8">
        <f t="shared" si="181"/>
        <v>401.28571428571428</v>
      </c>
    </row>
    <row r="2816" spans="1:5" ht="18.75" x14ac:dyDescent="0.3">
      <c r="A2816" s="3">
        <v>2810</v>
      </c>
      <c r="B2816" s="9">
        <f t="shared" si="179"/>
        <v>0.99942762585584932</v>
      </c>
      <c r="C2816" s="3">
        <f t="shared" si="175"/>
        <v>62521.193990664367</v>
      </c>
      <c r="D2816" s="3">
        <f t="shared" si="180"/>
        <v>4.1525114836986177E-2</v>
      </c>
      <c r="E2816" s="8">
        <f t="shared" si="181"/>
        <v>401.42857142857144</v>
      </c>
    </row>
    <row r="2817" spans="1:5" ht="18.75" x14ac:dyDescent="0.3">
      <c r="A2817" s="3">
        <v>2811</v>
      </c>
      <c r="B2817" s="9">
        <f t="shared" si="179"/>
        <v>0.99942828870569245</v>
      </c>
      <c r="C2817" s="3">
        <f t="shared" si="175"/>
        <v>62521.235456562004</v>
      </c>
      <c r="D2817" s="3">
        <f t="shared" si="180"/>
        <v>4.1465897636953741E-2</v>
      </c>
      <c r="E2817" s="8">
        <f t="shared" si="181"/>
        <v>401.57142857142856</v>
      </c>
    </row>
    <row r="2818" spans="1:5" ht="18.75" x14ac:dyDescent="0.3">
      <c r="A2818" s="3">
        <v>2812</v>
      </c>
      <c r="B2818" s="9">
        <f t="shared" si="179"/>
        <v>0.99942895061053794</v>
      </c>
      <c r="C2818" s="3">
        <f t="shared" si="175"/>
        <v>62521.276863343424</v>
      </c>
      <c r="D2818" s="3">
        <f t="shared" si="180"/>
        <v>4.1406781419937033E-2</v>
      </c>
      <c r="E2818" s="8">
        <f t="shared" si="181"/>
        <v>401.71428571428572</v>
      </c>
    </row>
    <row r="2819" spans="1:5" ht="18.75" x14ac:dyDescent="0.3">
      <c r="A2819" s="3">
        <v>2813</v>
      </c>
      <c r="B2819" s="9">
        <f t="shared" si="179"/>
        <v>0.99942961157199672</v>
      </c>
      <c r="C2819" s="3">
        <f t="shared" si="175"/>
        <v>62521.318211109399</v>
      </c>
      <c r="D2819" s="3">
        <f t="shared" si="180"/>
        <v>4.1347765974933282E-2</v>
      </c>
      <c r="E2819" s="8">
        <f t="shared" si="181"/>
        <v>401.85714285714283</v>
      </c>
    </row>
    <row r="2820" spans="1:5" ht="18.75" x14ac:dyDescent="0.3">
      <c r="A2820" s="3">
        <v>2814</v>
      </c>
      <c r="B2820" s="9">
        <f t="shared" si="179"/>
        <v>0.99943027159167652</v>
      </c>
      <c r="C2820" s="3">
        <f t="shared" si="175"/>
        <v>62521.359499960505</v>
      </c>
      <c r="D2820" s="3">
        <f t="shared" si="180"/>
        <v>4.1288851105491631E-2</v>
      </c>
      <c r="E2820" s="8">
        <f t="shared" si="181"/>
        <v>402</v>
      </c>
    </row>
    <row r="2821" spans="1:5" ht="18.75" x14ac:dyDescent="0.3">
      <c r="A2821" s="3">
        <v>2815</v>
      </c>
      <c r="B2821" s="9">
        <f t="shared" si="179"/>
        <v>0.99943093067118194</v>
      </c>
      <c r="C2821" s="3">
        <f t="shared" si="175"/>
        <v>62521.400729997127</v>
      </c>
      <c r="D2821" s="3">
        <f t="shared" si="180"/>
        <v>4.1230036622437183E-2</v>
      </c>
      <c r="E2821" s="8">
        <f t="shared" si="181"/>
        <v>402.14285714285717</v>
      </c>
    </row>
    <row r="2822" spans="1:5" ht="18.75" x14ac:dyDescent="0.3">
      <c r="A2822" s="3">
        <v>2816</v>
      </c>
      <c r="B2822" s="9">
        <f t="shared" si="179"/>
        <v>0.99943158881211425</v>
      </c>
      <c r="C2822" s="3">
        <f t="shared" si="175"/>
        <v>62521.441901319427</v>
      </c>
      <c r="D2822" s="3">
        <f t="shared" si="180"/>
        <v>4.1171322300215252E-2</v>
      </c>
      <c r="E2822" s="8">
        <f t="shared" si="181"/>
        <v>402.28571428571428</v>
      </c>
    </row>
    <row r="2823" spans="1:5" ht="18.75" x14ac:dyDescent="0.3">
      <c r="A2823" s="3">
        <v>2817</v>
      </c>
      <c r="B2823" s="9">
        <f t="shared" si="179"/>
        <v>0.99943224601607183</v>
      </c>
      <c r="C2823" s="3">
        <f t="shared" si="175"/>
        <v>62521.483014027406</v>
      </c>
      <c r="D2823" s="3">
        <f t="shared" si="180"/>
        <v>4.111270797875477E-2</v>
      </c>
      <c r="E2823" s="8">
        <f t="shared" si="181"/>
        <v>402.42857142857144</v>
      </c>
    </row>
    <row r="2824" spans="1:5" ht="18.75" x14ac:dyDescent="0.3">
      <c r="A2824" s="3">
        <v>2818</v>
      </c>
      <c r="B2824" s="9">
        <f t="shared" si="179"/>
        <v>0.99943290228464954</v>
      </c>
      <c r="C2824" s="3">
        <f t="shared" ref="C2824:C2887" si="182">$E$3*B2824</f>
        <v>62521.524068220824</v>
      </c>
      <c r="D2824" s="3">
        <f t="shared" si="180"/>
        <v>4.1054193417949136E-2</v>
      </c>
      <c r="E2824" s="8">
        <f t="shared" si="181"/>
        <v>402.57142857142856</v>
      </c>
    </row>
    <row r="2825" spans="1:5" ht="18.75" x14ac:dyDescent="0.3">
      <c r="A2825" s="3">
        <v>2819</v>
      </c>
      <c r="B2825" s="9">
        <f t="shared" si="179"/>
        <v>0.99943355761943908</v>
      </c>
      <c r="C2825" s="3">
        <f t="shared" si="182"/>
        <v>62521.565063999253</v>
      </c>
      <c r="D2825" s="3">
        <f t="shared" si="180"/>
        <v>4.0995778428623453E-2</v>
      </c>
      <c r="E2825" s="8">
        <f t="shared" si="181"/>
        <v>402.71428571428572</v>
      </c>
    </row>
    <row r="2826" spans="1:5" ht="18.75" x14ac:dyDescent="0.3">
      <c r="A2826" s="3">
        <v>2820</v>
      </c>
      <c r="B2826" s="9">
        <f t="shared" si="179"/>
        <v>0.99943421202202942</v>
      </c>
      <c r="C2826" s="3">
        <f t="shared" si="182"/>
        <v>62521.606001462096</v>
      </c>
      <c r="D2826" s="3">
        <f t="shared" si="180"/>
        <v>4.0937462843430694E-2</v>
      </c>
      <c r="E2826" s="8">
        <f t="shared" si="181"/>
        <v>402.85714285714283</v>
      </c>
    </row>
    <row r="2827" spans="1:5" ht="18.75" x14ac:dyDescent="0.3">
      <c r="A2827" s="3">
        <v>2821</v>
      </c>
      <c r="B2827" s="9">
        <f t="shared" si="179"/>
        <v>0.99943486549400573</v>
      </c>
      <c r="C2827" s="3">
        <f t="shared" si="182"/>
        <v>62521.646880708518</v>
      </c>
      <c r="D2827" s="3">
        <f t="shared" si="180"/>
        <v>4.0879246422264259E-2</v>
      </c>
      <c r="E2827" s="8">
        <f t="shared" si="181"/>
        <v>403</v>
      </c>
    </row>
    <row r="2828" spans="1:5" ht="18.75" x14ac:dyDescent="0.3">
      <c r="A2828" s="3">
        <v>2822</v>
      </c>
      <c r="B2828" s="9">
        <f t="shared" si="179"/>
        <v>0.99943551803695052</v>
      </c>
      <c r="C2828" s="3">
        <f t="shared" si="182"/>
        <v>62521.687701837516</v>
      </c>
      <c r="D2828" s="3">
        <f t="shared" si="180"/>
        <v>4.0821128997777123E-2</v>
      </c>
      <c r="E2828" s="8">
        <f t="shared" si="181"/>
        <v>403.14285714285717</v>
      </c>
    </row>
    <row r="2829" spans="1:5" ht="18.75" x14ac:dyDescent="0.3">
      <c r="A2829" s="3">
        <v>2823</v>
      </c>
      <c r="B2829" s="9">
        <f t="shared" si="179"/>
        <v>0.99943616965244297</v>
      </c>
      <c r="C2829" s="3">
        <f t="shared" si="182"/>
        <v>62521.728464947875</v>
      </c>
      <c r="D2829" s="3">
        <f t="shared" si="180"/>
        <v>4.0763110358966514E-2</v>
      </c>
      <c r="E2829" s="8">
        <f t="shared" si="181"/>
        <v>403.28571428571428</v>
      </c>
    </row>
    <row r="2830" spans="1:5" ht="18.75" x14ac:dyDescent="0.3">
      <c r="A2830" s="3">
        <v>2824</v>
      </c>
      <c r="B2830" s="9">
        <f t="shared" si="179"/>
        <v>0.99943682034205916</v>
      </c>
      <c r="C2830" s="3">
        <f t="shared" si="182"/>
        <v>62521.769170138192</v>
      </c>
      <c r="D2830" s="3">
        <f t="shared" si="180"/>
        <v>4.0705190316657536E-2</v>
      </c>
      <c r="E2830" s="8">
        <f t="shared" si="181"/>
        <v>403.42857142857144</v>
      </c>
    </row>
    <row r="2831" spans="1:5" ht="18.75" x14ac:dyDescent="0.3">
      <c r="A2831" s="3">
        <v>2825</v>
      </c>
      <c r="B2831" s="9">
        <f t="shared" si="179"/>
        <v>0.99943747010737194</v>
      </c>
      <c r="C2831" s="3">
        <f t="shared" si="182"/>
        <v>62521.809817506866</v>
      </c>
      <c r="D2831" s="3">
        <f t="shared" si="180"/>
        <v>4.0647368674399331E-2</v>
      </c>
      <c r="E2831" s="8">
        <f t="shared" si="181"/>
        <v>403.57142857142856</v>
      </c>
    </row>
    <row r="2832" spans="1:5" ht="18.75" x14ac:dyDescent="0.3">
      <c r="A2832" s="3">
        <v>2826</v>
      </c>
      <c r="B2832" s="9">
        <f t="shared" si="179"/>
        <v>0.99943811894995116</v>
      </c>
      <c r="C2832" s="3">
        <f t="shared" si="182"/>
        <v>62521.850407152095</v>
      </c>
      <c r="D2832" s="3">
        <f t="shared" si="180"/>
        <v>4.0589645228465088E-2</v>
      </c>
      <c r="E2832" s="8">
        <f t="shared" si="181"/>
        <v>403.71428571428572</v>
      </c>
    </row>
    <row r="2833" spans="1:5" ht="18.75" x14ac:dyDescent="0.3">
      <c r="A2833" s="3">
        <v>2827</v>
      </c>
      <c r="B2833" s="9">
        <f t="shared" si="179"/>
        <v>0.99943876687136357</v>
      </c>
      <c r="C2833" s="3">
        <f t="shared" si="182"/>
        <v>62521.890939171892</v>
      </c>
      <c r="D2833" s="3">
        <f t="shared" si="180"/>
        <v>4.0532019796955865E-2</v>
      </c>
      <c r="E2833" s="8">
        <f t="shared" si="181"/>
        <v>403.85714285714283</v>
      </c>
    </row>
    <row r="2834" spans="1:5" ht="18.75" x14ac:dyDescent="0.3">
      <c r="A2834" s="3">
        <v>2828</v>
      </c>
      <c r="B2834" s="9">
        <f t="shared" si="179"/>
        <v>0.99943941387317259</v>
      </c>
      <c r="C2834" s="3">
        <f t="shared" si="182"/>
        <v>62521.931413664061</v>
      </c>
      <c r="D2834" s="3">
        <f t="shared" si="180"/>
        <v>4.0474492168868892E-2</v>
      </c>
      <c r="E2834" s="8">
        <f t="shared" si="181"/>
        <v>404</v>
      </c>
    </row>
    <row r="2835" spans="1:5" ht="18.75" x14ac:dyDescent="0.3">
      <c r="A2835" s="3">
        <v>2829</v>
      </c>
      <c r="B2835" s="9">
        <f t="shared" si="179"/>
        <v>0.99944005995693885</v>
      </c>
      <c r="C2835" s="3">
        <f t="shared" si="182"/>
        <v>62521.971830726223</v>
      </c>
      <c r="D2835" s="3">
        <f t="shared" si="180"/>
        <v>4.0417062162305228E-2</v>
      </c>
      <c r="E2835" s="8">
        <f t="shared" si="181"/>
        <v>404.14285714285717</v>
      </c>
    </row>
    <row r="2836" spans="1:5" ht="18.75" x14ac:dyDescent="0.3">
      <c r="A2836" s="3">
        <v>2830</v>
      </c>
      <c r="B2836" s="9">
        <f t="shared" si="179"/>
        <v>0.99944070512421967</v>
      </c>
      <c r="C2836" s="3">
        <f t="shared" si="182"/>
        <v>62522.012190455811</v>
      </c>
      <c r="D2836" s="3">
        <f t="shared" si="180"/>
        <v>4.0359729588089976E-2</v>
      </c>
      <c r="E2836" s="8">
        <f t="shared" si="181"/>
        <v>404.28571428571428</v>
      </c>
    </row>
    <row r="2837" spans="1:5" ht="18.75" x14ac:dyDescent="0.3">
      <c r="A2837" s="3">
        <v>2831</v>
      </c>
      <c r="B2837" s="9">
        <f t="shared" si="179"/>
        <v>0.99944134937656937</v>
      </c>
      <c r="C2837" s="3">
        <f t="shared" si="182"/>
        <v>62522.052492950053</v>
      </c>
      <c r="D2837" s="3">
        <f t="shared" si="180"/>
        <v>4.0302494242496323E-2</v>
      </c>
      <c r="E2837" s="8">
        <f t="shared" si="181"/>
        <v>404.42857142857144</v>
      </c>
    </row>
    <row r="2838" spans="1:5" ht="18.75" x14ac:dyDescent="0.3">
      <c r="A2838" s="3">
        <v>2832</v>
      </c>
      <c r="B2838" s="9">
        <f t="shared" si="179"/>
        <v>0.99944199271553924</v>
      </c>
      <c r="C2838" s="3">
        <f t="shared" si="182"/>
        <v>62522.09273830599</v>
      </c>
      <c r="D2838" s="3">
        <f t="shared" si="180"/>
        <v>4.024535593634937E-2</v>
      </c>
      <c r="E2838" s="8">
        <f t="shared" si="181"/>
        <v>404.57142857142856</v>
      </c>
    </row>
    <row r="2839" spans="1:5" ht="18.75" x14ac:dyDescent="0.3">
      <c r="A2839" s="3">
        <v>2833</v>
      </c>
      <c r="B2839" s="9">
        <f t="shared" si="179"/>
        <v>0.99944263514267717</v>
      </c>
      <c r="C2839" s="3">
        <f t="shared" si="182"/>
        <v>62522.132926620456</v>
      </c>
      <c r="D2839" s="3">
        <f t="shared" si="180"/>
        <v>4.0188314465922303E-2</v>
      </c>
      <c r="E2839" s="8">
        <f t="shared" si="181"/>
        <v>404.71428571428572</v>
      </c>
    </row>
    <row r="2840" spans="1:5" ht="18.75" x14ac:dyDescent="0.3">
      <c r="A2840" s="3">
        <v>2834</v>
      </c>
      <c r="B2840" s="9">
        <f t="shared" si="179"/>
        <v>0.99944327665952859</v>
      </c>
      <c r="C2840" s="3">
        <f t="shared" si="182"/>
        <v>62522.173057990127</v>
      </c>
      <c r="D2840" s="3">
        <f t="shared" si="180"/>
        <v>4.0131369671144057E-2</v>
      </c>
      <c r="E2840" s="8">
        <f t="shared" si="181"/>
        <v>404.85714285714283</v>
      </c>
    </row>
    <row r="2841" spans="1:5" ht="18.75" x14ac:dyDescent="0.3">
      <c r="A2841" s="3">
        <v>2835</v>
      </c>
      <c r="B2841" s="9">
        <f t="shared" si="179"/>
        <v>0.99944391726763515</v>
      </c>
      <c r="C2841" s="3">
        <f t="shared" si="182"/>
        <v>62522.213132511453</v>
      </c>
      <c r="D2841" s="3">
        <f t="shared" si="180"/>
        <v>4.0074521326459944E-2</v>
      </c>
      <c r="E2841" s="8">
        <f t="shared" si="181"/>
        <v>405</v>
      </c>
    </row>
    <row r="2842" spans="1:5" ht="18.75" x14ac:dyDescent="0.3">
      <c r="A2842" s="3">
        <v>2836</v>
      </c>
      <c r="B2842" s="9">
        <f t="shared" si="179"/>
        <v>0.99944455696853607</v>
      </c>
      <c r="C2842" s="3">
        <f t="shared" si="182"/>
        <v>62522.253150280711</v>
      </c>
      <c r="D2842" s="3">
        <f t="shared" si="180"/>
        <v>4.0017769257246982E-2</v>
      </c>
      <c r="E2842" s="8">
        <f t="shared" si="181"/>
        <v>405.14285714285717</v>
      </c>
    </row>
    <row r="2843" spans="1:5" ht="18.75" x14ac:dyDescent="0.3">
      <c r="A2843" s="3">
        <v>2837</v>
      </c>
      <c r="B2843" s="9">
        <f t="shared" si="179"/>
        <v>0.99944519576376722</v>
      </c>
      <c r="C2843" s="3">
        <f t="shared" si="182"/>
        <v>62522.293111393985</v>
      </c>
      <c r="D2843" s="3">
        <f t="shared" si="180"/>
        <v>3.9961113274330273E-2</v>
      </c>
      <c r="E2843" s="8">
        <f t="shared" si="181"/>
        <v>405.28571428571428</v>
      </c>
    </row>
    <row r="2844" spans="1:5" ht="18.75" x14ac:dyDescent="0.3">
      <c r="A2844" s="3">
        <v>2838</v>
      </c>
      <c r="B2844" s="9">
        <f t="shared" si="179"/>
        <v>0.99944583365486139</v>
      </c>
      <c r="C2844" s="3">
        <f t="shared" si="182"/>
        <v>62522.333015947166</v>
      </c>
      <c r="D2844" s="3">
        <f t="shared" si="180"/>
        <v>3.9904553181258962E-2</v>
      </c>
      <c r="E2844" s="8">
        <f t="shared" si="181"/>
        <v>405.42857142857144</v>
      </c>
    </row>
    <row r="2845" spans="1:5" ht="18.75" x14ac:dyDescent="0.3">
      <c r="A2845" s="3">
        <v>2839</v>
      </c>
      <c r="B2845" s="9">
        <f t="shared" si="179"/>
        <v>0.99944647064334846</v>
      </c>
      <c r="C2845" s="3">
        <f t="shared" si="182"/>
        <v>62522.372864035948</v>
      </c>
      <c r="D2845" s="3">
        <f t="shared" si="180"/>
        <v>3.9848088781582192E-2</v>
      </c>
      <c r="E2845" s="8">
        <f t="shared" si="181"/>
        <v>405.57142857142856</v>
      </c>
    </row>
    <row r="2846" spans="1:5" ht="18.75" x14ac:dyDescent="0.3">
      <c r="A2846" s="3">
        <v>2840</v>
      </c>
      <c r="B2846" s="9">
        <f t="shared" si="179"/>
        <v>0.99944710673075532</v>
      </c>
      <c r="C2846" s="3">
        <f t="shared" si="182"/>
        <v>62522.412655755863</v>
      </c>
      <c r="D2846" s="3">
        <f t="shared" si="180"/>
        <v>3.9791719915228896E-2</v>
      </c>
      <c r="E2846" s="8">
        <f t="shared" si="181"/>
        <v>405.71428571428572</v>
      </c>
    </row>
    <row r="2847" spans="1:5" ht="18.75" x14ac:dyDescent="0.3">
      <c r="A2847" s="3">
        <v>2841</v>
      </c>
      <c r="B2847" s="9">
        <f t="shared" si="179"/>
        <v>0.99944774191860575</v>
      </c>
      <c r="C2847" s="3">
        <f t="shared" si="182"/>
        <v>62522.45239120222</v>
      </c>
      <c r="D2847" s="3">
        <f t="shared" si="180"/>
        <v>3.9735446356644388E-2</v>
      </c>
      <c r="E2847" s="8">
        <f t="shared" si="181"/>
        <v>405.85714285714283</v>
      </c>
    </row>
    <row r="2848" spans="1:5" ht="18.75" x14ac:dyDescent="0.3">
      <c r="A2848" s="3">
        <v>2842</v>
      </c>
      <c r="B2848" s="9">
        <f t="shared" si="179"/>
        <v>0.99944837620842042</v>
      </c>
      <c r="C2848" s="3">
        <f t="shared" si="182"/>
        <v>62522.492070470158</v>
      </c>
      <c r="D2848" s="3">
        <f t="shared" si="180"/>
        <v>3.9679267938481644E-2</v>
      </c>
      <c r="E2848" s="8">
        <f t="shared" si="181"/>
        <v>406</v>
      </c>
    </row>
    <row r="2849" spans="1:5" ht="18.75" x14ac:dyDescent="0.3">
      <c r="A2849" s="3">
        <v>2843</v>
      </c>
      <c r="B2849" s="9">
        <f t="shared" si="179"/>
        <v>0.99944900960171723</v>
      </c>
      <c r="C2849" s="3">
        <f t="shared" si="182"/>
        <v>62522.531693654622</v>
      </c>
      <c r="D2849" s="3">
        <f t="shared" si="180"/>
        <v>3.9623184464289807E-2</v>
      </c>
      <c r="E2849" s="8">
        <f t="shared" si="181"/>
        <v>406.14285714285717</v>
      </c>
    </row>
    <row r="2850" spans="1:5" ht="18.75" x14ac:dyDescent="0.3">
      <c r="A2850" s="3">
        <v>2844</v>
      </c>
      <c r="B2850" s="9">
        <f t="shared" si="179"/>
        <v>0.99944964210001086</v>
      </c>
      <c r="C2850" s="3">
        <f t="shared" si="182"/>
        <v>62522.571260850382</v>
      </c>
      <c r="D2850" s="3">
        <f t="shared" si="180"/>
        <v>3.9567195759445895E-2</v>
      </c>
      <c r="E2850" s="8">
        <f t="shared" si="181"/>
        <v>406.28571428571428</v>
      </c>
    </row>
    <row r="2851" spans="1:5" ht="18.75" x14ac:dyDescent="0.3">
      <c r="A2851" s="3">
        <v>2845</v>
      </c>
      <c r="B2851" s="9">
        <f t="shared" si="179"/>
        <v>0.99945027370481332</v>
      </c>
      <c r="C2851" s="3">
        <f t="shared" si="182"/>
        <v>62522.610772152009</v>
      </c>
      <c r="D2851" s="3">
        <f t="shared" si="180"/>
        <v>3.9511301627499051E-2</v>
      </c>
      <c r="E2851" s="8">
        <f t="shared" si="181"/>
        <v>406.42857142857144</v>
      </c>
    </row>
    <row r="2852" spans="1:5" ht="18.75" x14ac:dyDescent="0.3">
      <c r="A2852" s="3">
        <v>2846</v>
      </c>
      <c r="B2852" s="9">
        <f t="shared" si="179"/>
        <v>0.99945090441763318</v>
      </c>
      <c r="C2852" s="3">
        <f t="shared" si="182"/>
        <v>62522.650227653881</v>
      </c>
      <c r="D2852" s="3">
        <f t="shared" si="180"/>
        <v>3.9455501871998422E-2</v>
      </c>
      <c r="E2852" s="8">
        <f t="shared" si="181"/>
        <v>406.57142857142856</v>
      </c>
    </row>
    <row r="2853" spans="1:5" ht="18.75" x14ac:dyDescent="0.3">
      <c r="A2853" s="3">
        <v>2847</v>
      </c>
      <c r="B2853" s="9">
        <f t="shared" si="179"/>
        <v>0.99945153423997646</v>
      </c>
      <c r="C2853" s="3">
        <f t="shared" si="182"/>
        <v>62522.689627450207</v>
      </c>
      <c r="D2853" s="3">
        <f t="shared" si="180"/>
        <v>3.9399796325596981E-2</v>
      </c>
      <c r="E2853" s="8">
        <f t="shared" si="181"/>
        <v>406.71428571428572</v>
      </c>
    </row>
    <row r="2854" spans="1:5" ht="18.75" x14ac:dyDescent="0.3">
      <c r="A2854" s="3">
        <v>2848</v>
      </c>
      <c r="B2854" s="9">
        <f t="shared" si="179"/>
        <v>0.99945216317334584</v>
      </c>
      <c r="C2854" s="3">
        <f t="shared" si="182"/>
        <v>62522.728971634999</v>
      </c>
      <c r="D2854" s="3">
        <f t="shared" si="180"/>
        <v>3.9344184791843873E-2</v>
      </c>
      <c r="E2854" s="8">
        <f t="shared" si="181"/>
        <v>406.85714285714283</v>
      </c>
    </row>
    <row r="2855" spans="1:5" ht="18.75" x14ac:dyDescent="0.3">
      <c r="A2855" s="3">
        <v>2849</v>
      </c>
      <c r="B2855" s="9">
        <f t="shared" si="179"/>
        <v>0.99945279121924135</v>
      </c>
      <c r="C2855" s="3">
        <f t="shared" si="182"/>
        <v>62522.76826030208</v>
      </c>
      <c r="D2855" s="3">
        <f t="shared" si="180"/>
        <v>3.9288667081564199E-2</v>
      </c>
      <c r="E2855" s="8">
        <f t="shared" si="181"/>
        <v>407</v>
      </c>
    </row>
    <row r="2856" spans="1:5" ht="18.75" x14ac:dyDescent="0.3">
      <c r="A2856" s="3">
        <v>2850</v>
      </c>
      <c r="B2856" s="9">
        <f t="shared" ref="B2856:B2919" si="183">LOGNORMDIST(A2856,$A$3,$B$3)</f>
        <v>0.99945341837915991</v>
      </c>
      <c r="C2856" s="3">
        <f t="shared" si="182"/>
        <v>62522.807493545108</v>
      </c>
      <c r="D2856" s="3">
        <f t="shared" ref="D2856:D2919" si="184">C2856-C2855</f>
        <v>3.9233243027410936E-2</v>
      </c>
      <c r="E2856" s="8">
        <f t="shared" ref="E2856:E2919" si="185">A2856/7</f>
        <v>407.14285714285717</v>
      </c>
    </row>
    <row r="2857" spans="1:5" ht="18.75" x14ac:dyDescent="0.3">
      <c r="A2857" s="3">
        <v>2851</v>
      </c>
      <c r="B2857" s="9">
        <f t="shared" si="183"/>
        <v>0.99945404465459553</v>
      </c>
      <c r="C2857" s="3">
        <f t="shared" si="182"/>
        <v>62522.846671457533</v>
      </c>
      <c r="D2857" s="3">
        <f t="shared" si="184"/>
        <v>3.9177912425657269E-2</v>
      </c>
      <c r="E2857" s="8">
        <f t="shared" si="185"/>
        <v>407.28571428571428</v>
      </c>
    </row>
    <row r="2858" spans="1:5" ht="18.75" x14ac:dyDescent="0.3">
      <c r="A2858" s="3">
        <v>2852</v>
      </c>
      <c r="B2858" s="9">
        <f t="shared" si="183"/>
        <v>0.99945467004703925</v>
      </c>
      <c r="C2858" s="3">
        <f t="shared" si="182"/>
        <v>62522.885794132635</v>
      </c>
      <c r="D2858" s="3">
        <f t="shared" si="184"/>
        <v>3.9122675101680215E-2</v>
      </c>
      <c r="E2858" s="8">
        <f t="shared" si="185"/>
        <v>407.42857142857144</v>
      </c>
    </row>
    <row r="2859" spans="1:5" ht="18.75" x14ac:dyDescent="0.3">
      <c r="A2859" s="3">
        <v>2853</v>
      </c>
      <c r="B2859" s="9">
        <f t="shared" si="183"/>
        <v>0.9994552945579791</v>
      </c>
      <c r="C2859" s="3">
        <f t="shared" si="182"/>
        <v>62522.924861663501</v>
      </c>
      <c r="D2859" s="3">
        <f t="shared" si="184"/>
        <v>3.9067530866304878E-2</v>
      </c>
      <c r="E2859" s="8">
        <f t="shared" si="185"/>
        <v>407.57142857142856</v>
      </c>
    </row>
    <row r="2860" spans="1:5" ht="18.75" x14ac:dyDescent="0.3">
      <c r="A2860" s="3">
        <v>2854</v>
      </c>
      <c r="B2860" s="9">
        <f t="shared" si="183"/>
        <v>0.99945591818890034</v>
      </c>
      <c r="C2860" s="3">
        <f t="shared" si="182"/>
        <v>62522.963874143039</v>
      </c>
      <c r="D2860" s="3">
        <f t="shared" si="184"/>
        <v>3.9012479537632316E-2</v>
      </c>
      <c r="E2860" s="8">
        <f t="shared" si="185"/>
        <v>407.71428571428572</v>
      </c>
    </row>
    <row r="2861" spans="1:5" ht="18.75" x14ac:dyDescent="0.3">
      <c r="A2861" s="3">
        <v>2855</v>
      </c>
      <c r="B2861" s="9">
        <f t="shared" si="183"/>
        <v>0.99945654094128511</v>
      </c>
      <c r="C2861" s="3">
        <f t="shared" si="182"/>
        <v>62523.002831663973</v>
      </c>
      <c r="D2861" s="3">
        <f t="shared" si="184"/>
        <v>3.895752093376359E-2</v>
      </c>
      <c r="E2861" s="8">
        <f t="shared" si="185"/>
        <v>407.85714285714283</v>
      </c>
    </row>
    <row r="2862" spans="1:5" ht="18.75" x14ac:dyDescent="0.3">
      <c r="A2862" s="3">
        <v>2856</v>
      </c>
      <c r="B2862" s="9">
        <f t="shared" si="183"/>
        <v>0.9994571628166129</v>
      </c>
      <c r="C2862" s="3">
        <f t="shared" si="182"/>
        <v>62523.041734318853</v>
      </c>
      <c r="D2862" s="3">
        <f t="shared" si="184"/>
        <v>3.8902654880075715E-2</v>
      </c>
      <c r="E2862" s="8">
        <f t="shared" si="185"/>
        <v>408</v>
      </c>
    </row>
    <row r="2863" spans="1:5" ht="18.75" x14ac:dyDescent="0.3">
      <c r="A2863" s="3">
        <v>2857</v>
      </c>
      <c r="B2863" s="9">
        <f t="shared" si="183"/>
        <v>0.99945778381636008</v>
      </c>
      <c r="C2863" s="3">
        <f t="shared" si="182"/>
        <v>62523.08058220004</v>
      </c>
      <c r="D2863" s="3">
        <f t="shared" si="184"/>
        <v>3.8847881187393796E-2</v>
      </c>
      <c r="E2863" s="8">
        <f t="shared" si="185"/>
        <v>408.14285714285717</v>
      </c>
    </row>
    <row r="2864" spans="1:5" ht="18.75" x14ac:dyDescent="0.3">
      <c r="A2864" s="3">
        <v>2858</v>
      </c>
      <c r="B2864" s="9">
        <f t="shared" si="183"/>
        <v>0.99945840394200025</v>
      </c>
      <c r="C2864" s="3">
        <f t="shared" si="182"/>
        <v>62523.119375399707</v>
      </c>
      <c r="D2864" s="3">
        <f t="shared" si="184"/>
        <v>3.8793199666542932E-2</v>
      </c>
      <c r="E2864" s="8">
        <f t="shared" si="185"/>
        <v>408.28571428571428</v>
      </c>
    </row>
    <row r="2865" spans="1:5" ht="18.75" x14ac:dyDescent="0.3">
      <c r="A2865" s="3">
        <v>2859</v>
      </c>
      <c r="B2865" s="9">
        <f t="shared" si="183"/>
        <v>0.99945902319500379</v>
      </c>
      <c r="C2865" s="3">
        <f t="shared" si="182"/>
        <v>62523.15811400985</v>
      </c>
      <c r="D2865" s="3">
        <f t="shared" si="184"/>
        <v>3.8738610142900143E-2</v>
      </c>
      <c r="E2865" s="8">
        <f t="shared" si="185"/>
        <v>408.42857142857144</v>
      </c>
    </row>
    <row r="2866" spans="1:5" ht="18.75" x14ac:dyDescent="0.3">
      <c r="A2866" s="3">
        <v>2860</v>
      </c>
      <c r="B2866" s="9">
        <f t="shared" si="183"/>
        <v>0.99945964157683875</v>
      </c>
      <c r="C2866" s="3">
        <f t="shared" si="182"/>
        <v>62523.196798122299</v>
      </c>
      <c r="D2866" s="3">
        <f t="shared" si="184"/>
        <v>3.8684112449118402E-2</v>
      </c>
      <c r="E2866" s="8">
        <f t="shared" si="185"/>
        <v>408.57142857142856</v>
      </c>
    </row>
    <row r="2867" spans="1:5" ht="18.75" x14ac:dyDescent="0.3">
      <c r="A2867" s="3">
        <v>2861</v>
      </c>
      <c r="B2867" s="9">
        <f t="shared" si="183"/>
        <v>0.99946025908896974</v>
      </c>
      <c r="C2867" s="3">
        <f t="shared" si="182"/>
        <v>62523.23542782868</v>
      </c>
      <c r="D2867" s="3">
        <f t="shared" si="184"/>
        <v>3.8629706381470896E-2</v>
      </c>
      <c r="E2867" s="8">
        <f t="shared" si="185"/>
        <v>408.71428571428572</v>
      </c>
    </row>
    <row r="2868" spans="1:5" ht="18.75" x14ac:dyDescent="0.3">
      <c r="A2868" s="3">
        <v>2862</v>
      </c>
      <c r="B2868" s="9">
        <f t="shared" si="183"/>
        <v>0.9994608757328588</v>
      </c>
      <c r="C2868" s="3">
        <f t="shared" si="182"/>
        <v>62523.274003220446</v>
      </c>
      <c r="D2868" s="3">
        <f t="shared" si="184"/>
        <v>3.8575391765334643E-2</v>
      </c>
      <c r="E2868" s="8">
        <f t="shared" si="185"/>
        <v>408.85714285714283</v>
      </c>
    </row>
    <row r="2869" spans="1:5" ht="18.75" x14ac:dyDescent="0.3">
      <c r="A2869" s="3">
        <v>2863</v>
      </c>
      <c r="B2869" s="9">
        <f t="shared" si="183"/>
        <v>0.99946149150996499</v>
      </c>
      <c r="C2869" s="3">
        <f t="shared" si="182"/>
        <v>62523.312524388879</v>
      </c>
      <c r="D2869" s="3">
        <f t="shared" si="184"/>
        <v>3.8521168433362618E-2</v>
      </c>
      <c r="E2869" s="8">
        <f t="shared" si="185"/>
        <v>409</v>
      </c>
    </row>
    <row r="2870" spans="1:5" ht="18.75" x14ac:dyDescent="0.3">
      <c r="A2870" s="3">
        <v>2864</v>
      </c>
      <c r="B2870" s="9">
        <f t="shared" si="183"/>
        <v>0.9994621064217446</v>
      </c>
      <c r="C2870" s="3">
        <f t="shared" si="182"/>
        <v>62523.350991425075</v>
      </c>
      <c r="D2870" s="3">
        <f t="shared" si="184"/>
        <v>3.8467036196379922E-2</v>
      </c>
      <c r="E2870" s="8">
        <f t="shared" si="185"/>
        <v>409.14285714285717</v>
      </c>
    </row>
    <row r="2871" spans="1:5" ht="18.75" x14ac:dyDescent="0.3">
      <c r="A2871" s="3">
        <v>2865</v>
      </c>
      <c r="B2871" s="9">
        <f t="shared" si="183"/>
        <v>0.99946272046965101</v>
      </c>
      <c r="C2871" s="3">
        <f t="shared" si="182"/>
        <v>62523.389404419955</v>
      </c>
      <c r="D2871" s="3">
        <f t="shared" si="184"/>
        <v>3.8412994879763573E-2</v>
      </c>
      <c r="E2871" s="8">
        <f t="shared" si="185"/>
        <v>409.28571428571428</v>
      </c>
    </row>
    <row r="2872" spans="1:5" ht="18.75" x14ac:dyDescent="0.3">
      <c r="A2872" s="3">
        <v>2866</v>
      </c>
      <c r="B2872" s="9">
        <f t="shared" si="183"/>
        <v>0.99946333365513484</v>
      </c>
      <c r="C2872" s="3">
        <f t="shared" si="182"/>
        <v>62523.427763464271</v>
      </c>
      <c r="D2872" s="3">
        <f t="shared" si="184"/>
        <v>3.8359044316166546E-2</v>
      </c>
      <c r="E2872" s="8">
        <f t="shared" si="185"/>
        <v>409.42857142857144</v>
      </c>
    </row>
    <row r="2873" spans="1:5" ht="18.75" x14ac:dyDescent="0.3">
      <c r="A2873" s="3">
        <v>2867</v>
      </c>
      <c r="B2873" s="9">
        <f t="shared" si="183"/>
        <v>0.9994639459796435</v>
      </c>
      <c r="C2873" s="3">
        <f t="shared" si="182"/>
        <v>62523.466068648559</v>
      </c>
      <c r="D2873" s="3">
        <f t="shared" si="184"/>
        <v>3.8305184287310112E-2</v>
      </c>
      <c r="E2873" s="8">
        <f t="shared" si="185"/>
        <v>409.57142857142856</v>
      </c>
    </row>
    <row r="2874" spans="1:5" ht="18.75" x14ac:dyDescent="0.3">
      <c r="A2874" s="3">
        <v>2868</v>
      </c>
      <c r="B2874" s="9">
        <f t="shared" si="183"/>
        <v>0.99946455744462204</v>
      </c>
      <c r="C2874" s="3">
        <f t="shared" si="182"/>
        <v>62523.504320063221</v>
      </c>
      <c r="D2874" s="3">
        <f t="shared" si="184"/>
        <v>3.8251414662227035E-2</v>
      </c>
      <c r="E2874" s="8">
        <f t="shared" si="185"/>
        <v>409.71428571428572</v>
      </c>
    </row>
    <row r="2875" spans="1:5" ht="18.75" x14ac:dyDescent="0.3">
      <c r="A2875" s="3">
        <v>2869</v>
      </c>
      <c r="B2875" s="9">
        <f t="shared" si="183"/>
        <v>0.99946516805151242</v>
      </c>
      <c r="C2875" s="3">
        <f t="shared" si="182"/>
        <v>62523.542517798465</v>
      </c>
      <c r="D2875" s="3">
        <f t="shared" si="184"/>
        <v>3.8197735244466458E-2</v>
      </c>
      <c r="E2875" s="8">
        <f t="shared" si="185"/>
        <v>409.85714285714283</v>
      </c>
    </row>
    <row r="2876" spans="1:5" ht="18.75" x14ac:dyDescent="0.3">
      <c r="A2876" s="3">
        <v>2870</v>
      </c>
      <c r="B2876" s="9">
        <f t="shared" si="183"/>
        <v>0.99946577780175372</v>
      </c>
      <c r="C2876" s="3">
        <f t="shared" si="182"/>
        <v>62523.58066194431</v>
      </c>
      <c r="D2876" s="3">
        <f t="shared" si="184"/>
        <v>3.8144145844853483E-2</v>
      </c>
      <c r="E2876" s="8">
        <f t="shared" si="185"/>
        <v>410</v>
      </c>
    </row>
    <row r="2877" spans="1:5" ht="18.75" x14ac:dyDescent="0.3">
      <c r="A2877" s="3">
        <v>2871</v>
      </c>
      <c r="B2877" s="9">
        <f t="shared" si="183"/>
        <v>0.99946638669678245</v>
      </c>
      <c r="C2877" s="3">
        <f t="shared" si="182"/>
        <v>62523.618752590621</v>
      </c>
      <c r="D2877" s="3">
        <f t="shared" si="184"/>
        <v>3.8090646310593002E-2</v>
      </c>
      <c r="E2877" s="8">
        <f t="shared" si="185"/>
        <v>410.14285714285717</v>
      </c>
    </row>
    <row r="2878" spans="1:5" ht="18.75" x14ac:dyDescent="0.3">
      <c r="A2878" s="3">
        <v>2872</v>
      </c>
      <c r="B2878" s="9">
        <f t="shared" si="183"/>
        <v>0.99946699473803213</v>
      </c>
      <c r="C2878" s="3">
        <f t="shared" si="182"/>
        <v>62523.656789827073</v>
      </c>
      <c r="D2878" s="3">
        <f t="shared" si="184"/>
        <v>3.8037236452510115E-2</v>
      </c>
      <c r="E2878" s="8">
        <f t="shared" si="185"/>
        <v>410.28571428571428</v>
      </c>
    </row>
    <row r="2879" spans="1:5" ht="18.75" x14ac:dyDescent="0.3">
      <c r="A2879" s="3">
        <v>2873</v>
      </c>
      <c r="B2879" s="9">
        <f t="shared" si="183"/>
        <v>0.99946760192693329</v>
      </c>
      <c r="C2879" s="3">
        <f t="shared" si="182"/>
        <v>62523.694773743169</v>
      </c>
      <c r="D2879" s="3">
        <f t="shared" si="184"/>
        <v>3.798391609598184E-2</v>
      </c>
      <c r="E2879" s="8">
        <f t="shared" si="185"/>
        <v>410.42857142857144</v>
      </c>
    </row>
    <row r="2880" spans="1:5" ht="18.75" x14ac:dyDescent="0.3">
      <c r="A2880" s="3">
        <v>2874</v>
      </c>
      <c r="B2880" s="9">
        <f t="shared" si="183"/>
        <v>0.99946820826491412</v>
      </c>
      <c r="C2880" s="3">
        <f t="shared" si="182"/>
        <v>62523.732704428236</v>
      </c>
      <c r="D2880" s="3">
        <f t="shared" si="184"/>
        <v>3.7930685066385195E-2</v>
      </c>
      <c r="E2880" s="8">
        <f t="shared" si="185"/>
        <v>410.57142857142856</v>
      </c>
    </row>
    <row r="2881" spans="1:5" ht="18.75" x14ac:dyDescent="0.3">
      <c r="A2881" s="3">
        <v>2875</v>
      </c>
      <c r="B2881" s="9">
        <f t="shared" si="183"/>
        <v>0.99946881375339958</v>
      </c>
      <c r="C2881" s="3">
        <f t="shared" si="182"/>
        <v>62523.770581971417</v>
      </c>
      <c r="D2881" s="3">
        <f t="shared" si="184"/>
        <v>3.7877543181821238E-2</v>
      </c>
      <c r="E2881" s="8">
        <f t="shared" si="185"/>
        <v>410.71428571428572</v>
      </c>
    </row>
    <row r="2882" spans="1:5" ht="18.75" x14ac:dyDescent="0.3">
      <c r="A2882" s="3">
        <v>2876</v>
      </c>
      <c r="B2882" s="9">
        <f t="shared" si="183"/>
        <v>0.9994694183938122</v>
      </c>
      <c r="C2882" s="3">
        <f t="shared" si="182"/>
        <v>62523.808406461707</v>
      </c>
      <c r="D2882" s="3">
        <f t="shared" si="184"/>
        <v>3.7824490289494861E-2</v>
      </c>
      <c r="E2882" s="8">
        <f t="shared" si="185"/>
        <v>410.85714285714283</v>
      </c>
    </row>
    <row r="2883" spans="1:5" ht="18.75" x14ac:dyDescent="0.3">
      <c r="A2883" s="3">
        <v>2877</v>
      </c>
      <c r="B2883" s="9">
        <f t="shared" si="183"/>
        <v>0.99947002218757131</v>
      </c>
      <c r="C2883" s="3">
        <f t="shared" si="182"/>
        <v>62523.8461779879</v>
      </c>
      <c r="D2883" s="3">
        <f t="shared" si="184"/>
        <v>3.7771526192955207E-2</v>
      </c>
      <c r="E2883" s="8">
        <f t="shared" si="185"/>
        <v>411</v>
      </c>
    </row>
    <row r="2884" spans="1:5" ht="18.75" x14ac:dyDescent="0.3">
      <c r="A2884" s="3">
        <v>2878</v>
      </c>
      <c r="B2884" s="9">
        <f t="shared" si="183"/>
        <v>0.99947062513609397</v>
      </c>
      <c r="C2884" s="3">
        <f t="shared" si="182"/>
        <v>62523.883896638632</v>
      </c>
      <c r="D2884" s="3">
        <f t="shared" si="184"/>
        <v>3.7718650732131209E-2</v>
      </c>
      <c r="E2884" s="8">
        <f t="shared" si="185"/>
        <v>411.14285714285717</v>
      </c>
    </row>
    <row r="2885" spans="1:5" ht="18.75" x14ac:dyDescent="0.3">
      <c r="A2885" s="3">
        <v>2879</v>
      </c>
      <c r="B2885" s="9">
        <f t="shared" si="183"/>
        <v>0.99947122724079396</v>
      </c>
      <c r="C2885" s="3">
        <f t="shared" si="182"/>
        <v>62523.92156250235</v>
      </c>
      <c r="D2885" s="3">
        <f t="shared" si="184"/>
        <v>3.7665863717847969E-2</v>
      </c>
      <c r="E2885" s="8">
        <f t="shared" si="185"/>
        <v>411.28571428571428</v>
      </c>
    </row>
    <row r="2886" spans="1:5" ht="18.75" x14ac:dyDescent="0.3">
      <c r="A2886" s="3">
        <v>2880</v>
      </c>
      <c r="B2886" s="9">
        <f t="shared" si="183"/>
        <v>0.99947182850308258</v>
      </c>
      <c r="C2886" s="3">
        <f t="shared" si="182"/>
        <v>62523.95917566734</v>
      </c>
      <c r="D2886" s="3">
        <f t="shared" si="184"/>
        <v>3.761316499003442E-2</v>
      </c>
      <c r="E2886" s="8">
        <f t="shared" si="185"/>
        <v>411.42857142857144</v>
      </c>
    </row>
    <row r="2887" spans="1:5" ht="18.75" x14ac:dyDescent="0.3">
      <c r="A2887" s="3">
        <v>2881</v>
      </c>
      <c r="B2887" s="9">
        <f t="shared" si="183"/>
        <v>0.99947242892436849</v>
      </c>
      <c r="C2887" s="3">
        <f t="shared" si="182"/>
        <v>62523.996736221721</v>
      </c>
      <c r="D2887" s="3">
        <f t="shared" si="184"/>
        <v>3.7560554381343536E-2</v>
      </c>
      <c r="E2887" s="8">
        <f t="shared" si="185"/>
        <v>411.57142857142856</v>
      </c>
    </row>
    <row r="2888" spans="1:5" ht="18.75" x14ac:dyDescent="0.3">
      <c r="A2888" s="3">
        <v>2882</v>
      </c>
      <c r="B2888" s="9">
        <f t="shared" si="183"/>
        <v>0.99947302850605735</v>
      </c>
      <c r="C2888" s="3">
        <f t="shared" ref="C2888:C2951" si="186">$E$3*B2888</f>
        <v>62524.034244253431</v>
      </c>
      <c r="D2888" s="3">
        <f t="shared" si="184"/>
        <v>3.7508031709876377E-2</v>
      </c>
      <c r="E2888" s="8">
        <f t="shared" si="185"/>
        <v>411.71428571428572</v>
      </c>
    </row>
    <row r="2889" spans="1:5" ht="18.75" x14ac:dyDescent="0.3">
      <c r="A2889" s="3">
        <v>2883</v>
      </c>
      <c r="B2889" s="9">
        <f t="shared" si="183"/>
        <v>0.99947362724955202</v>
      </c>
      <c r="C2889" s="3">
        <f t="shared" si="186"/>
        <v>62524.071699850225</v>
      </c>
      <c r="D2889" s="3">
        <f t="shared" si="184"/>
        <v>3.7455596793734003E-2</v>
      </c>
      <c r="E2889" s="8">
        <f t="shared" si="185"/>
        <v>411.85714285714283</v>
      </c>
    </row>
    <row r="2890" spans="1:5" ht="18.75" x14ac:dyDescent="0.3">
      <c r="A2890" s="3">
        <v>2884</v>
      </c>
      <c r="B2890" s="9">
        <f t="shared" si="183"/>
        <v>0.99947422515625295</v>
      </c>
      <c r="C2890" s="3">
        <f t="shared" si="186"/>
        <v>62524.109103099712</v>
      </c>
      <c r="D2890" s="3">
        <f t="shared" si="184"/>
        <v>3.7403249487397261E-2</v>
      </c>
      <c r="E2890" s="8">
        <f t="shared" si="185"/>
        <v>412</v>
      </c>
    </row>
    <row r="2891" spans="1:5" ht="18.75" x14ac:dyDescent="0.3">
      <c r="A2891" s="3">
        <v>2885</v>
      </c>
      <c r="B2891" s="9">
        <f t="shared" si="183"/>
        <v>0.99947482222755768</v>
      </c>
      <c r="C2891" s="3">
        <f t="shared" si="186"/>
        <v>62524.146454089328</v>
      </c>
      <c r="D2891" s="3">
        <f t="shared" si="184"/>
        <v>3.7350989616243169E-2</v>
      </c>
      <c r="E2891" s="8">
        <f t="shared" si="185"/>
        <v>412.14285714285717</v>
      </c>
    </row>
    <row r="2892" spans="1:5" ht="18.75" x14ac:dyDescent="0.3">
      <c r="A2892" s="3">
        <v>2886</v>
      </c>
      <c r="B2892" s="9">
        <f t="shared" si="183"/>
        <v>0.99947541846486088</v>
      </c>
      <c r="C2892" s="3">
        <f t="shared" si="186"/>
        <v>62524.183752906305</v>
      </c>
      <c r="D2892" s="3">
        <f t="shared" si="184"/>
        <v>3.7298816976544913E-2</v>
      </c>
      <c r="E2892" s="8">
        <f t="shared" si="185"/>
        <v>412.28571428571428</v>
      </c>
    </row>
    <row r="2893" spans="1:5" ht="18.75" x14ac:dyDescent="0.3">
      <c r="A2893" s="3">
        <v>2887</v>
      </c>
      <c r="B2893" s="9">
        <f t="shared" si="183"/>
        <v>0.99947601386955465</v>
      </c>
      <c r="C2893" s="3">
        <f t="shared" si="186"/>
        <v>62524.220999637728</v>
      </c>
      <c r="D2893" s="3">
        <f t="shared" si="184"/>
        <v>3.7246731422783341E-2</v>
      </c>
      <c r="E2893" s="8">
        <f t="shared" si="185"/>
        <v>412.42857142857144</v>
      </c>
    </row>
    <row r="2894" spans="1:5" ht="18.75" x14ac:dyDescent="0.3">
      <c r="A2894" s="3">
        <v>2888</v>
      </c>
      <c r="B2894" s="9">
        <f t="shared" si="183"/>
        <v>0.99947660844302844</v>
      </c>
      <c r="C2894" s="3">
        <f t="shared" si="186"/>
        <v>62524.25819437053</v>
      </c>
      <c r="D2894" s="3">
        <f t="shared" si="184"/>
        <v>3.7194732802163344E-2</v>
      </c>
      <c r="E2894" s="8">
        <f t="shared" si="185"/>
        <v>412.57142857142856</v>
      </c>
    </row>
    <row r="2895" spans="1:5" ht="18.75" x14ac:dyDescent="0.3">
      <c r="A2895" s="3">
        <v>2889</v>
      </c>
      <c r="B2895" s="9">
        <f t="shared" si="183"/>
        <v>0.99947720218666891</v>
      </c>
      <c r="C2895" s="3">
        <f t="shared" si="186"/>
        <v>62524.295337191448</v>
      </c>
      <c r="D2895" s="3">
        <f t="shared" si="184"/>
        <v>3.7142820918234065E-2</v>
      </c>
      <c r="E2895" s="8">
        <f t="shared" si="185"/>
        <v>412.71428571428572</v>
      </c>
    </row>
    <row r="2896" spans="1:5" ht="18.75" x14ac:dyDescent="0.3">
      <c r="A2896" s="3">
        <v>2890</v>
      </c>
      <c r="B2896" s="9">
        <f t="shared" si="183"/>
        <v>0.99947779510185986</v>
      </c>
      <c r="C2896" s="3">
        <f t="shared" si="186"/>
        <v>62524.332428187045</v>
      </c>
      <c r="D2896" s="3">
        <f t="shared" si="184"/>
        <v>3.7090995596372522E-2</v>
      </c>
      <c r="E2896" s="8">
        <f t="shared" si="185"/>
        <v>412.85714285714283</v>
      </c>
    </row>
    <row r="2897" spans="1:5" ht="18.75" x14ac:dyDescent="0.3">
      <c r="A2897" s="3">
        <v>2891</v>
      </c>
      <c r="B2897" s="9">
        <f t="shared" si="183"/>
        <v>0.99947838718998272</v>
      </c>
      <c r="C2897" s="3">
        <f t="shared" si="186"/>
        <v>62524.36946744375</v>
      </c>
      <c r="D2897" s="3">
        <f t="shared" si="184"/>
        <v>3.7039256705611479E-2</v>
      </c>
      <c r="E2897" s="8">
        <f t="shared" si="185"/>
        <v>413</v>
      </c>
    </row>
    <row r="2898" spans="1:5" ht="18.75" x14ac:dyDescent="0.3">
      <c r="A2898" s="3">
        <v>2892</v>
      </c>
      <c r="B2898" s="9">
        <f t="shared" si="183"/>
        <v>0.99947897845241607</v>
      </c>
      <c r="C2898" s="3">
        <f t="shared" si="186"/>
        <v>62524.406455047792</v>
      </c>
      <c r="D2898" s="3">
        <f t="shared" si="184"/>
        <v>3.698760404222412E-2</v>
      </c>
      <c r="E2898" s="8">
        <f t="shared" si="185"/>
        <v>413.14285714285717</v>
      </c>
    </row>
    <row r="2899" spans="1:5" ht="18.75" x14ac:dyDescent="0.3">
      <c r="A2899" s="3">
        <v>2893</v>
      </c>
      <c r="B2899" s="9">
        <f t="shared" si="183"/>
        <v>0.99947956889053557</v>
      </c>
      <c r="C2899" s="3">
        <f t="shared" si="186"/>
        <v>62524.443391085231</v>
      </c>
      <c r="D2899" s="3">
        <f t="shared" si="184"/>
        <v>3.6936037438863423E-2</v>
      </c>
      <c r="E2899" s="8">
        <f t="shared" si="185"/>
        <v>413.28571428571428</v>
      </c>
    </row>
    <row r="2900" spans="1:5" ht="18.75" x14ac:dyDescent="0.3">
      <c r="A2900" s="3">
        <v>2894</v>
      </c>
      <c r="B2900" s="9">
        <f t="shared" si="183"/>
        <v>0.9994801585057147</v>
      </c>
      <c r="C2900" s="3">
        <f t="shared" si="186"/>
        <v>62524.480275641996</v>
      </c>
      <c r="D2900" s="3">
        <f t="shared" si="184"/>
        <v>3.6884556764562149E-2</v>
      </c>
      <c r="E2900" s="8">
        <f t="shared" si="185"/>
        <v>413.42857142857144</v>
      </c>
    </row>
    <row r="2901" spans="1:5" ht="18.75" x14ac:dyDescent="0.3">
      <c r="A2901" s="3">
        <v>2895</v>
      </c>
      <c r="B2901" s="9">
        <f t="shared" si="183"/>
        <v>0.9994807472993239</v>
      </c>
      <c r="C2901" s="3">
        <f t="shared" si="186"/>
        <v>62524.517108803804</v>
      </c>
      <c r="D2901" s="3">
        <f t="shared" si="184"/>
        <v>3.6833161808317527E-2</v>
      </c>
      <c r="E2901" s="8">
        <f t="shared" si="185"/>
        <v>413.57142857142856</v>
      </c>
    </row>
    <row r="2902" spans="1:5" ht="18.75" x14ac:dyDescent="0.3">
      <c r="A2902" s="3">
        <v>2896</v>
      </c>
      <c r="B2902" s="9">
        <f t="shared" si="183"/>
        <v>0.99948133527273098</v>
      </c>
      <c r="C2902" s="3">
        <f t="shared" si="186"/>
        <v>62524.553890656229</v>
      </c>
      <c r="D2902" s="3">
        <f t="shared" si="184"/>
        <v>3.6781852424610406E-2</v>
      </c>
      <c r="E2902" s="8">
        <f t="shared" si="185"/>
        <v>413.71428571428572</v>
      </c>
    </row>
    <row r="2903" spans="1:5" ht="18.75" x14ac:dyDescent="0.3">
      <c r="A2903" s="3">
        <v>2897</v>
      </c>
      <c r="B2903" s="9">
        <f t="shared" si="183"/>
        <v>0.99948192242730105</v>
      </c>
      <c r="C2903" s="3">
        <f t="shared" si="186"/>
        <v>62524.590621284675</v>
      </c>
      <c r="D2903" s="3">
        <f t="shared" si="184"/>
        <v>3.673062844609376E-2</v>
      </c>
      <c r="E2903" s="8">
        <f t="shared" si="185"/>
        <v>413.85714285714283</v>
      </c>
    </row>
    <row r="2904" spans="1:5" ht="18.75" x14ac:dyDescent="0.3">
      <c r="A2904" s="3">
        <v>2898</v>
      </c>
      <c r="B2904" s="9">
        <f t="shared" si="183"/>
        <v>0.99948250876439693</v>
      </c>
      <c r="C2904" s="3">
        <f t="shared" si="186"/>
        <v>62524.62730077438</v>
      </c>
      <c r="D2904" s="3">
        <f t="shared" si="184"/>
        <v>3.6679489705420565E-2</v>
      </c>
      <c r="E2904" s="8">
        <f t="shared" si="185"/>
        <v>414</v>
      </c>
    </row>
    <row r="2905" spans="1:5" ht="18.75" x14ac:dyDescent="0.3">
      <c r="A2905" s="3">
        <v>2899</v>
      </c>
      <c r="B2905" s="9">
        <f t="shared" si="183"/>
        <v>0.9994830942853784</v>
      </c>
      <c r="C2905" s="3">
        <f t="shared" si="186"/>
        <v>62524.663929210416</v>
      </c>
      <c r="D2905" s="3">
        <f t="shared" si="184"/>
        <v>3.6628436035243794E-2</v>
      </c>
      <c r="E2905" s="8">
        <f t="shared" si="185"/>
        <v>414.14285714285717</v>
      </c>
    </row>
    <row r="2906" spans="1:5" ht="18.75" x14ac:dyDescent="0.3">
      <c r="A2906" s="3">
        <v>2900</v>
      </c>
      <c r="B2906" s="9">
        <f t="shared" si="183"/>
        <v>0.99948367899160262</v>
      </c>
      <c r="C2906" s="3">
        <f t="shared" si="186"/>
        <v>62524.700506677684</v>
      </c>
      <c r="D2906" s="3">
        <f t="shared" si="184"/>
        <v>3.6577467268216424E-2</v>
      </c>
      <c r="E2906" s="8">
        <f t="shared" si="185"/>
        <v>414.28571428571428</v>
      </c>
    </row>
    <row r="2907" spans="1:5" ht="18.75" x14ac:dyDescent="0.3">
      <c r="A2907" s="3">
        <v>2901</v>
      </c>
      <c r="B2907" s="9">
        <f t="shared" si="183"/>
        <v>0.99948426288442438</v>
      </c>
      <c r="C2907" s="3">
        <f t="shared" si="186"/>
        <v>62524.737033260935</v>
      </c>
      <c r="D2907" s="3">
        <f t="shared" si="184"/>
        <v>3.6526583251543343E-2</v>
      </c>
      <c r="E2907" s="8">
        <f t="shared" si="185"/>
        <v>414.42857142857144</v>
      </c>
    </row>
    <row r="2908" spans="1:5" ht="18.75" x14ac:dyDescent="0.3">
      <c r="A2908" s="3">
        <v>2902</v>
      </c>
      <c r="B2908" s="9">
        <f t="shared" si="183"/>
        <v>0.9994848459651956</v>
      </c>
      <c r="C2908" s="3">
        <f t="shared" si="186"/>
        <v>62524.773509044739</v>
      </c>
      <c r="D2908" s="3">
        <f t="shared" si="184"/>
        <v>3.6475783803325612E-2</v>
      </c>
      <c r="E2908" s="8">
        <f t="shared" si="185"/>
        <v>414.57142857142856</v>
      </c>
    </row>
    <row r="2909" spans="1:5" ht="18.75" x14ac:dyDescent="0.3">
      <c r="A2909" s="3">
        <v>2903</v>
      </c>
      <c r="B2909" s="9">
        <f t="shared" si="183"/>
        <v>0.99948542823526554</v>
      </c>
      <c r="C2909" s="3">
        <f t="shared" si="186"/>
        <v>62524.809934113509</v>
      </c>
      <c r="D2909" s="3">
        <f t="shared" si="184"/>
        <v>3.6425068770768121E-2</v>
      </c>
      <c r="E2909" s="8">
        <f t="shared" si="185"/>
        <v>414.71428571428572</v>
      </c>
    </row>
    <row r="2910" spans="1:5" ht="18.75" x14ac:dyDescent="0.3">
      <c r="A2910" s="3">
        <v>2904</v>
      </c>
      <c r="B2910" s="9">
        <f t="shared" si="183"/>
        <v>0.99948600969598111</v>
      </c>
      <c r="C2910" s="3">
        <f t="shared" si="186"/>
        <v>62524.846308551489</v>
      </c>
      <c r="D2910" s="3">
        <f t="shared" si="184"/>
        <v>3.6374437979247887E-2</v>
      </c>
      <c r="E2910" s="8">
        <f t="shared" si="185"/>
        <v>414.85714285714283</v>
      </c>
    </row>
    <row r="2911" spans="1:5" ht="18.75" x14ac:dyDescent="0.3">
      <c r="A2911" s="3">
        <v>2905</v>
      </c>
      <c r="B2911" s="9">
        <f t="shared" si="183"/>
        <v>0.99948659034868637</v>
      </c>
      <c r="C2911" s="3">
        <f t="shared" si="186"/>
        <v>62524.882632442772</v>
      </c>
      <c r="D2911" s="3">
        <f t="shared" si="184"/>
        <v>3.6323891283245757E-2</v>
      </c>
      <c r="E2911" s="8">
        <f t="shared" si="185"/>
        <v>415</v>
      </c>
    </row>
    <row r="2912" spans="1:5" ht="18.75" x14ac:dyDescent="0.3">
      <c r="A2912" s="3">
        <v>2906</v>
      </c>
      <c r="B2912" s="9">
        <f t="shared" si="183"/>
        <v>0.99948717019472288</v>
      </c>
      <c r="C2912" s="3">
        <f t="shared" si="186"/>
        <v>62524.91890587128</v>
      </c>
      <c r="D2912" s="3">
        <f t="shared" si="184"/>
        <v>3.627342850813875E-2</v>
      </c>
      <c r="E2912" s="8">
        <f t="shared" si="185"/>
        <v>415.14285714285717</v>
      </c>
    </row>
    <row r="2913" spans="1:5" ht="18.75" x14ac:dyDescent="0.3">
      <c r="A2913" s="3">
        <v>2907</v>
      </c>
      <c r="B2913" s="9">
        <f t="shared" si="183"/>
        <v>0.99948774923542949</v>
      </c>
      <c r="C2913" s="3">
        <f t="shared" si="186"/>
        <v>62524.955128920759</v>
      </c>
      <c r="D2913" s="3">
        <f t="shared" si="184"/>
        <v>3.6223049479303882E-2</v>
      </c>
      <c r="E2913" s="8">
        <f t="shared" si="185"/>
        <v>415.28571428571428</v>
      </c>
    </row>
    <row r="2914" spans="1:5" ht="18.75" x14ac:dyDescent="0.3">
      <c r="A2914" s="3">
        <v>2908</v>
      </c>
      <c r="B2914" s="9">
        <f t="shared" si="183"/>
        <v>0.99948832747214267</v>
      </c>
      <c r="C2914" s="3">
        <f t="shared" si="186"/>
        <v>62524.991301674832</v>
      </c>
      <c r="D2914" s="3">
        <f t="shared" si="184"/>
        <v>3.6172754073049873E-2</v>
      </c>
      <c r="E2914" s="8">
        <f t="shared" si="185"/>
        <v>415.42857142857144</v>
      </c>
    </row>
    <row r="2915" spans="1:5" ht="18.75" x14ac:dyDescent="0.3">
      <c r="A2915" s="3">
        <v>2909</v>
      </c>
      <c r="B2915" s="9">
        <f t="shared" si="183"/>
        <v>0.99948890490619602</v>
      </c>
      <c r="C2915" s="3">
        <f t="shared" si="186"/>
        <v>62525.027424216903</v>
      </c>
      <c r="D2915" s="3">
        <f t="shared" si="184"/>
        <v>3.6122542071097996E-2</v>
      </c>
      <c r="E2915" s="8">
        <f t="shared" si="185"/>
        <v>415.57142857142856</v>
      </c>
    </row>
    <row r="2916" spans="1:5" ht="18.75" x14ac:dyDescent="0.3">
      <c r="A2916" s="3">
        <v>2910</v>
      </c>
      <c r="B2916" s="9">
        <f t="shared" si="183"/>
        <v>0.9994894815389207</v>
      </c>
      <c r="C2916" s="3">
        <f t="shared" si="186"/>
        <v>62525.06349663026</v>
      </c>
      <c r="D2916" s="3">
        <f t="shared" si="184"/>
        <v>3.6072413357032929E-2</v>
      </c>
      <c r="E2916" s="8">
        <f t="shared" si="185"/>
        <v>415.71428571428572</v>
      </c>
    </row>
    <row r="2917" spans="1:5" ht="18.75" x14ac:dyDescent="0.3">
      <c r="A2917" s="3">
        <v>2911</v>
      </c>
      <c r="B2917" s="9">
        <f t="shared" si="183"/>
        <v>0.99949005737164542</v>
      </c>
      <c r="C2917" s="3">
        <f t="shared" si="186"/>
        <v>62525.099518998024</v>
      </c>
      <c r="D2917" s="3">
        <f t="shared" si="184"/>
        <v>3.6022367763507646E-2</v>
      </c>
      <c r="E2917" s="8">
        <f t="shared" si="185"/>
        <v>415.85714285714283</v>
      </c>
    </row>
    <row r="2918" spans="1:5" ht="18.75" x14ac:dyDescent="0.3">
      <c r="A2918" s="3">
        <v>2912</v>
      </c>
      <c r="B2918" s="9">
        <f t="shared" si="183"/>
        <v>0.99949063240569602</v>
      </c>
      <c r="C2918" s="3">
        <f t="shared" si="186"/>
        <v>62525.135491403125</v>
      </c>
      <c r="D2918" s="3">
        <f t="shared" si="184"/>
        <v>3.5972405101347249E-2</v>
      </c>
      <c r="E2918" s="8">
        <f t="shared" si="185"/>
        <v>416</v>
      </c>
    </row>
    <row r="2919" spans="1:5" ht="18.75" x14ac:dyDescent="0.3">
      <c r="A2919" s="3">
        <v>2913</v>
      </c>
      <c r="B2919" s="9">
        <f t="shared" si="183"/>
        <v>0.9994912066423961</v>
      </c>
      <c r="C2919" s="3">
        <f t="shared" si="186"/>
        <v>62525.171413928372</v>
      </c>
      <c r="D2919" s="3">
        <f t="shared" si="184"/>
        <v>3.5922525246860459E-2</v>
      </c>
      <c r="E2919" s="8">
        <f t="shared" si="185"/>
        <v>416.14285714285717</v>
      </c>
    </row>
    <row r="2920" spans="1:5" ht="18.75" x14ac:dyDescent="0.3">
      <c r="A2920" s="3">
        <v>2914</v>
      </c>
      <c r="B2920" s="9">
        <f t="shared" ref="B2920:B2983" si="187">LOGNORMDIST(A2920,$A$3,$B$3)</f>
        <v>0.99949178008306638</v>
      </c>
      <c r="C2920" s="3">
        <f t="shared" si="186"/>
        <v>62525.207286656383</v>
      </c>
      <c r="D2920" s="3">
        <f t="shared" ref="D2920:D2983" si="188">C2920-C2919</f>
        <v>3.5872728010872379E-2</v>
      </c>
      <c r="E2920" s="8">
        <f t="shared" ref="E2920:E2983" si="189">A2920/7</f>
        <v>416.28571428571428</v>
      </c>
    </row>
    <row r="2921" spans="1:5" ht="18.75" x14ac:dyDescent="0.3">
      <c r="A2921" s="3">
        <v>2915</v>
      </c>
      <c r="B2921" s="9">
        <f t="shared" si="187"/>
        <v>0.99949235272902526</v>
      </c>
      <c r="C2921" s="3">
        <f t="shared" si="186"/>
        <v>62525.243109669631</v>
      </c>
      <c r="D2921" s="3">
        <f t="shared" si="188"/>
        <v>3.5823013247863855E-2</v>
      </c>
      <c r="E2921" s="8">
        <f t="shared" si="189"/>
        <v>416.42857142857144</v>
      </c>
    </row>
    <row r="2922" spans="1:5" ht="18.75" x14ac:dyDescent="0.3">
      <c r="A2922" s="3">
        <v>2916</v>
      </c>
      <c r="B2922" s="9">
        <f t="shared" si="187"/>
        <v>0.99949292458158845</v>
      </c>
      <c r="C2922" s="3">
        <f t="shared" si="186"/>
        <v>62525.278883050429</v>
      </c>
      <c r="D2922" s="3">
        <f t="shared" si="188"/>
        <v>3.5773380797763821E-2</v>
      </c>
      <c r="E2922" s="8">
        <f t="shared" si="189"/>
        <v>416.57142857142856</v>
      </c>
    </row>
    <row r="2923" spans="1:5" ht="18.75" x14ac:dyDescent="0.3">
      <c r="A2923" s="3">
        <v>2917</v>
      </c>
      <c r="B2923" s="9">
        <f t="shared" si="187"/>
        <v>0.99949349564206924</v>
      </c>
      <c r="C2923" s="3">
        <f t="shared" si="186"/>
        <v>62525.314606880922</v>
      </c>
      <c r="D2923" s="3">
        <f t="shared" si="188"/>
        <v>3.572383049322525E-2</v>
      </c>
      <c r="E2923" s="8">
        <f t="shared" si="189"/>
        <v>416.71428571428572</v>
      </c>
    </row>
    <row r="2924" spans="1:5" ht="18.75" x14ac:dyDescent="0.3">
      <c r="A2924" s="3">
        <v>2918</v>
      </c>
      <c r="B2924" s="9">
        <f t="shared" si="187"/>
        <v>0.99949406591177825</v>
      </c>
      <c r="C2924" s="3">
        <f t="shared" si="186"/>
        <v>62525.350281243111</v>
      </c>
      <c r="D2924" s="3">
        <f t="shared" si="188"/>
        <v>3.5674362188728992E-2</v>
      </c>
      <c r="E2924" s="8">
        <f t="shared" si="189"/>
        <v>416.85714285714283</v>
      </c>
    </row>
    <row r="2925" spans="1:5" ht="18.75" x14ac:dyDescent="0.3">
      <c r="A2925" s="3">
        <v>2919</v>
      </c>
      <c r="B2925" s="9">
        <f t="shared" si="187"/>
        <v>0.99949463539202366</v>
      </c>
      <c r="C2925" s="3">
        <f t="shared" si="186"/>
        <v>62525.38590621882</v>
      </c>
      <c r="D2925" s="3">
        <f t="shared" si="188"/>
        <v>3.5624975709652063E-2</v>
      </c>
      <c r="E2925" s="8">
        <f t="shared" si="189"/>
        <v>417</v>
      </c>
    </row>
    <row r="2926" spans="1:5" ht="18.75" x14ac:dyDescent="0.3">
      <c r="A2926" s="3">
        <v>2920</v>
      </c>
      <c r="B2926" s="9">
        <f t="shared" si="187"/>
        <v>0.99949520408411108</v>
      </c>
      <c r="C2926" s="3">
        <f t="shared" si="186"/>
        <v>62525.421481889738</v>
      </c>
      <c r="D2926" s="3">
        <f t="shared" si="188"/>
        <v>3.5575670917751268E-2</v>
      </c>
      <c r="E2926" s="8">
        <f t="shared" si="189"/>
        <v>417.14285714285717</v>
      </c>
    </row>
    <row r="2927" spans="1:5" ht="18.75" x14ac:dyDescent="0.3">
      <c r="A2927" s="3">
        <v>2921</v>
      </c>
      <c r="B2927" s="9">
        <f t="shared" si="187"/>
        <v>0.9994957719893437</v>
      </c>
      <c r="C2927" s="3">
        <f t="shared" si="186"/>
        <v>62525.457008337376</v>
      </c>
      <c r="D2927" s="3">
        <f t="shared" si="188"/>
        <v>3.5526447638403624E-2</v>
      </c>
      <c r="E2927" s="8">
        <f t="shared" si="189"/>
        <v>417.28571428571428</v>
      </c>
    </row>
    <row r="2928" spans="1:5" ht="18.75" x14ac:dyDescent="0.3">
      <c r="A2928" s="3">
        <v>2922</v>
      </c>
      <c r="B2928" s="9">
        <f t="shared" si="187"/>
        <v>0.99949633910902203</v>
      </c>
      <c r="C2928" s="3">
        <f t="shared" si="186"/>
        <v>62525.492485643088</v>
      </c>
      <c r="D2928" s="3">
        <f t="shared" si="188"/>
        <v>3.5477305711538065E-2</v>
      </c>
      <c r="E2928" s="8">
        <f t="shared" si="189"/>
        <v>417.42857142857144</v>
      </c>
    </row>
    <row r="2929" spans="1:5" ht="18.75" x14ac:dyDescent="0.3">
      <c r="A2929" s="3">
        <v>2923</v>
      </c>
      <c r="B2929" s="9">
        <f t="shared" si="187"/>
        <v>0.99949690544444403</v>
      </c>
      <c r="C2929" s="3">
        <f t="shared" si="186"/>
        <v>62525.527913888087</v>
      </c>
      <c r="D2929" s="3">
        <f t="shared" si="188"/>
        <v>3.5428244998911396E-2</v>
      </c>
      <c r="E2929" s="8">
        <f t="shared" si="189"/>
        <v>417.57142857142856</v>
      </c>
    </row>
    <row r="2930" spans="1:5" ht="18.75" x14ac:dyDescent="0.3">
      <c r="A2930" s="3">
        <v>2924</v>
      </c>
      <c r="B2930" s="9">
        <f t="shared" si="187"/>
        <v>0.99949747099690545</v>
      </c>
      <c r="C2930" s="3">
        <f t="shared" si="186"/>
        <v>62525.563293153413</v>
      </c>
      <c r="D2930" s="3">
        <f t="shared" si="188"/>
        <v>3.5379265325900633E-2</v>
      </c>
      <c r="E2930" s="8">
        <f t="shared" si="189"/>
        <v>417.71428571428572</v>
      </c>
    </row>
    <row r="2931" spans="1:5" ht="18.75" x14ac:dyDescent="0.3">
      <c r="A2931" s="3">
        <v>2925</v>
      </c>
      <c r="B2931" s="9">
        <f t="shared" si="187"/>
        <v>0.99949803576769924</v>
      </c>
      <c r="C2931" s="3">
        <f t="shared" si="186"/>
        <v>62525.59862351996</v>
      </c>
      <c r="D2931" s="3">
        <f t="shared" si="188"/>
        <v>3.5330366546986625E-2</v>
      </c>
      <c r="E2931" s="8">
        <f t="shared" si="189"/>
        <v>417.85714285714283</v>
      </c>
    </row>
    <row r="2932" spans="1:5" ht="18.75" x14ac:dyDescent="0.3">
      <c r="A2932" s="3">
        <v>2926</v>
      </c>
      <c r="B2932" s="9">
        <f t="shared" si="187"/>
        <v>0.99949859975811606</v>
      </c>
      <c r="C2932" s="3">
        <f t="shared" si="186"/>
        <v>62525.633905068469</v>
      </c>
      <c r="D2932" s="3">
        <f t="shared" si="188"/>
        <v>3.5281548509374261E-2</v>
      </c>
      <c r="E2932" s="8">
        <f t="shared" si="189"/>
        <v>418</v>
      </c>
    </row>
    <row r="2933" spans="1:5" ht="18.75" x14ac:dyDescent="0.3">
      <c r="A2933" s="3">
        <v>2927</v>
      </c>
      <c r="B2933" s="9">
        <f t="shared" si="187"/>
        <v>0.99949916296944397</v>
      </c>
      <c r="C2933" s="3">
        <f t="shared" si="186"/>
        <v>62525.669137879508</v>
      </c>
      <c r="D2933" s="3">
        <f t="shared" si="188"/>
        <v>3.5232811038440559E-2</v>
      </c>
      <c r="E2933" s="8">
        <f t="shared" si="189"/>
        <v>418.14285714285717</v>
      </c>
    </row>
    <row r="2934" spans="1:5" ht="18.75" x14ac:dyDescent="0.3">
      <c r="A2934" s="3">
        <v>2928</v>
      </c>
      <c r="B2934" s="9">
        <f t="shared" si="187"/>
        <v>0.9994997254029685</v>
      </c>
      <c r="C2934" s="3">
        <f t="shared" si="186"/>
        <v>62525.704322033504</v>
      </c>
      <c r="D2934" s="3">
        <f t="shared" si="188"/>
        <v>3.5184153995942324E-2</v>
      </c>
      <c r="E2934" s="8">
        <f t="shared" si="189"/>
        <v>418.28571428571428</v>
      </c>
    </row>
    <row r="2935" spans="1:5" ht="18.75" x14ac:dyDescent="0.3">
      <c r="A2935" s="3">
        <v>2929</v>
      </c>
      <c r="B2935" s="9">
        <f t="shared" si="187"/>
        <v>0.99950028705997296</v>
      </c>
      <c r="C2935" s="3">
        <f t="shared" si="186"/>
        <v>62525.739457610725</v>
      </c>
      <c r="D2935" s="3">
        <f t="shared" si="188"/>
        <v>3.5135577221808489E-2</v>
      </c>
      <c r="E2935" s="8">
        <f t="shared" si="189"/>
        <v>418.42857142857144</v>
      </c>
    </row>
    <row r="2936" spans="1:5" ht="18.75" x14ac:dyDescent="0.3">
      <c r="A2936" s="3">
        <v>2930</v>
      </c>
      <c r="B2936" s="9">
        <f t="shared" si="187"/>
        <v>0.99950084794173777</v>
      </c>
      <c r="C2936" s="3">
        <f t="shared" si="186"/>
        <v>62525.774544691289</v>
      </c>
      <c r="D2936" s="3">
        <f t="shared" si="188"/>
        <v>3.5087080563243944E-2</v>
      </c>
      <c r="E2936" s="8">
        <f t="shared" si="189"/>
        <v>418.57142857142856</v>
      </c>
    </row>
    <row r="2937" spans="1:5" ht="18.75" x14ac:dyDescent="0.3">
      <c r="A2937" s="3">
        <v>2931</v>
      </c>
      <c r="B2937" s="9">
        <f t="shared" si="187"/>
        <v>0.99950140804954113</v>
      </c>
      <c r="C2937" s="3">
        <f t="shared" si="186"/>
        <v>62525.809583355142</v>
      </c>
      <c r="D2937" s="3">
        <f t="shared" si="188"/>
        <v>3.5038663852901664E-2</v>
      </c>
      <c r="E2937" s="8">
        <f t="shared" si="189"/>
        <v>418.71428571428572</v>
      </c>
    </row>
    <row r="2938" spans="1:5" ht="18.75" x14ac:dyDescent="0.3">
      <c r="A2938" s="3">
        <v>2932</v>
      </c>
      <c r="B2938" s="9">
        <f t="shared" si="187"/>
        <v>0.99950196738465902</v>
      </c>
      <c r="C2938" s="3">
        <f t="shared" si="186"/>
        <v>62525.844573682116</v>
      </c>
      <c r="D2938" s="3">
        <f t="shared" si="188"/>
        <v>3.4990326974366326E-2</v>
      </c>
      <c r="E2938" s="8">
        <f t="shared" si="189"/>
        <v>418.85714285714283</v>
      </c>
    </row>
    <row r="2939" spans="1:5" ht="18.75" x14ac:dyDescent="0.3">
      <c r="A2939" s="3">
        <v>2933</v>
      </c>
      <c r="B2939" s="9">
        <f t="shared" si="187"/>
        <v>0.99950252594836442</v>
      </c>
      <c r="C2939" s="3">
        <f t="shared" si="186"/>
        <v>62525.879515751833</v>
      </c>
      <c r="D2939" s="3">
        <f t="shared" si="188"/>
        <v>3.494206971663516E-2</v>
      </c>
      <c r="E2939" s="8">
        <f t="shared" si="189"/>
        <v>419</v>
      </c>
    </row>
    <row r="2940" spans="1:5" ht="18.75" x14ac:dyDescent="0.3">
      <c r="A2940" s="3">
        <v>2934</v>
      </c>
      <c r="B2940" s="9">
        <f t="shared" si="187"/>
        <v>0.99950308374192831</v>
      </c>
      <c r="C2940" s="3">
        <f t="shared" si="186"/>
        <v>62525.91440964381</v>
      </c>
      <c r="D2940" s="3">
        <f t="shared" si="188"/>
        <v>3.489389197784476E-2</v>
      </c>
      <c r="E2940" s="8">
        <f t="shared" si="189"/>
        <v>419.14285714285717</v>
      </c>
    </row>
    <row r="2941" spans="1:5" ht="18.75" x14ac:dyDescent="0.3">
      <c r="A2941" s="3">
        <v>2935</v>
      </c>
      <c r="B2941" s="9">
        <f t="shared" si="187"/>
        <v>0.99950364076661891</v>
      </c>
      <c r="C2941" s="3">
        <f t="shared" si="186"/>
        <v>62525.949255437379</v>
      </c>
      <c r="D2941" s="3">
        <f t="shared" si="188"/>
        <v>3.4845793568820227E-2</v>
      </c>
      <c r="E2941" s="8">
        <f t="shared" si="189"/>
        <v>419.28571428571428</v>
      </c>
    </row>
    <row r="2942" spans="1:5" ht="18.75" x14ac:dyDescent="0.3">
      <c r="A2942" s="3">
        <v>2936</v>
      </c>
      <c r="B2942" s="9">
        <f t="shared" si="187"/>
        <v>0.99950419702370241</v>
      </c>
      <c r="C2942" s="3">
        <f t="shared" si="186"/>
        <v>62525.984053211752</v>
      </c>
      <c r="D2942" s="3">
        <f t="shared" si="188"/>
        <v>3.479777437314624E-2</v>
      </c>
      <c r="E2942" s="8">
        <f t="shared" si="189"/>
        <v>419.42857142857144</v>
      </c>
    </row>
    <row r="2943" spans="1:5" ht="18.75" x14ac:dyDescent="0.3">
      <c r="A2943" s="3">
        <v>2937</v>
      </c>
      <c r="B2943" s="9">
        <f t="shared" si="187"/>
        <v>0.99950475251444204</v>
      </c>
      <c r="C2943" s="3">
        <f t="shared" si="186"/>
        <v>62526.018803045954</v>
      </c>
      <c r="D2943" s="3">
        <f t="shared" si="188"/>
        <v>3.47498342016479E-2</v>
      </c>
      <c r="E2943" s="8">
        <f t="shared" si="189"/>
        <v>419.57142857142856</v>
      </c>
    </row>
    <row r="2944" spans="1:5" ht="18.75" x14ac:dyDescent="0.3">
      <c r="A2944" s="3">
        <v>2938</v>
      </c>
      <c r="B2944" s="9">
        <f t="shared" si="187"/>
        <v>0.99950530724009901</v>
      </c>
      <c r="C2944" s="3">
        <f t="shared" si="186"/>
        <v>62526.05350501887</v>
      </c>
      <c r="D2944" s="3">
        <f t="shared" si="188"/>
        <v>3.4701972916082013E-2</v>
      </c>
      <c r="E2944" s="8">
        <f t="shared" si="189"/>
        <v>419.71428571428572</v>
      </c>
    </row>
    <row r="2945" spans="1:5" ht="18.75" x14ac:dyDescent="0.3">
      <c r="A2945" s="3">
        <v>2939</v>
      </c>
      <c r="B2945" s="9">
        <f t="shared" si="187"/>
        <v>0.99950586120193197</v>
      </c>
      <c r="C2945" s="3">
        <f t="shared" si="186"/>
        <v>62526.088159209256</v>
      </c>
      <c r="D2945" s="3">
        <f t="shared" si="188"/>
        <v>3.4654190385481343E-2</v>
      </c>
      <c r="E2945" s="8">
        <f t="shared" si="189"/>
        <v>419.85714285714283</v>
      </c>
    </row>
    <row r="2946" spans="1:5" ht="18.75" x14ac:dyDescent="0.3">
      <c r="A2946" s="3">
        <v>2940</v>
      </c>
      <c r="B2946" s="9">
        <f t="shared" si="187"/>
        <v>0.99950641440119703</v>
      </c>
      <c r="C2946" s="3">
        <f t="shared" si="186"/>
        <v>62526.122765695683</v>
      </c>
      <c r="D2946" s="3">
        <f t="shared" si="188"/>
        <v>3.4606486427946948E-2</v>
      </c>
      <c r="E2946" s="8">
        <f t="shared" si="189"/>
        <v>420</v>
      </c>
    </row>
    <row r="2947" spans="1:5" ht="18.75" x14ac:dyDescent="0.3">
      <c r="A2947" s="3">
        <v>2941</v>
      </c>
      <c r="B2947" s="9">
        <f t="shared" si="187"/>
        <v>0.99950696683914808</v>
      </c>
      <c r="C2947" s="3">
        <f t="shared" si="186"/>
        <v>62526.157324556589</v>
      </c>
      <c r="D2947" s="3">
        <f t="shared" si="188"/>
        <v>3.4558860905235633E-2</v>
      </c>
      <c r="E2947" s="8">
        <f t="shared" si="189"/>
        <v>420.14285714285717</v>
      </c>
    </row>
    <row r="2948" spans="1:5" ht="18.75" x14ac:dyDescent="0.3">
      <c r="A2948" s="3">
        <v>2942</v>
      </c>
      <c r="B2948" s="9">
        <f t="shared" si="187"/>
        <v>0.99950751851703656</v>
      </c>
      <c r="C2948" s="3">
        <f t="shared" si="186"/>
        <v>62526.191835870253</v>
      </c>
      <c r="D2948" s="3">
        <f t="shared" si="188"/>
        <v>3.451131366455229E-2</v>
      </c>
      <c r="E2948" s="8">
        <f t="shared" si="189"/>
        <v>420.28571428571428</v>
      </c>
    </row>
    <row r="2949" spans="1:5" ht="18.75" x14ac:dyDescent="0.3">
      <c r="A2949" s="3">
        <v>2943</v>
      </c>
      <c r="B2949" s="9">
        <f t="shared" si="187"/>
        <v>0.99950806943611148</v>
      </c>
      <c r="C2949" s="3">
        <f t="shared" si="186"/>
        <v>62526.226299714828</v>
      </c>
      <c r="D2949" s="3">
        <f t="shared" si="188"/>
        <v>3.4463844574929681E-2</v>
      </c>
      <c r="E2949" s="8">
        <f t="shared" si="189"/>
        <v>420.42857142857144</v>
      </c>
    </row>
    <row r="2950" spans="1:5" ht="18.75" x14ac:dyDescent="0.3">
      <c r="A2950" s="3">
        <v>2944</v>
      </c>
      <c r="B2950" s="9">
        <f t="shared" si="187"/>
        <v>0.99950861959761939</v>
      </c>
      <c r="C2950" s="3">
        <f t="shared" si="186"/>
        <v>62526.260716168275</v>
      </c>
      <c r="D2950" s="3">
        <f t="shared" si="188"/>
        <v>3.4416453447192907E-2</v>
      </c>
      <c r="E2950" s="8">
        <f t="shared" si="189"/>
        <v>420.57142857142856</v>
      </c>
    </row>
    <row r="2951" spans="1:5" ht="18.75" x14ac:dyDescent="0.3">
      <c r="A2951" s="3">
        <v>2945</v>
      </c>
      <c r="B2951" s="9">
        <f t="shared" si="187"/>
        <v>0.99950916900280451</v>
      </c>
      <c r="C2951" s="3">
        <f t="shared" si="186"/>
        <v>62526.29508530844</v>
      </c>
      <c r="D2951" s="3">
        <f t="shared" si="188"/>
        <v>3.4369140164926648E-2</v>
      </c>
      <c r="E2951" s="8">
        <f t="shared" si="189"/>
        <v>420.71428571428572</v>
      </c>
    </row>
    <row r="2952" spans="1:5" ht="18.75" x14ac:dyDescent="0.3">
      <c r="A2952" s="3">
        <v>2946</v>
      </c>
      <c r="B2952" s="9">
        <f t="shared" si="187"/>
        <v>0.99950971765290875</v>
      </c>
      <c r="C2952" s="3">
        <f t="shared" ref="C2952:C3006" si="190">$E$3*B2952</f>
        <v>62526.329407213016</v>
      </c>
      <c r="D2952" s="3">
        <f t="shared" si="188"/>
        <v>3.4321904575335793E-2</v>
      </c>
      <c r="E2952" s="8">
        <f t="shared" si="189"/>
        <v>420.85714285714283</v>
      </c>
    </row>
    <row r="2953" spans="1:5" ht="18.75" x14ac:dyDescent="0.3">
      <c r="A2953" s="3">
        <v>2947</v>
      </c>
      <c r="B2953" s="9">
        <f t="shared" si="187"/>
        <v>0.99951026554917144</v>
      </c>
      <c r="C2953" s="3">
        <f t="shared" si="190"/>
        <v>62526.363681959519</v>
      </c>
      <c r="D2953" s="3">
        <f t="shared" si="188"/>
        <v>3.427474650379736E-2</v>
      </c>
      <c r="E2953" s="8">
        <f t="shared" si="189"/>
        <v>421</v>
      </c>
    </row>
    <row r="2954" spans="1:5" ht="18.75" x14ac:dyDescent="0.3">
      <c r="A2954" s="3">
        <v>2948</v>
      </c>
      <c r="B2954" s="9">
        <f t="shared" si="187"/>
        <v>0.99951081269282971</v>
      </c>
      <c r="C2954" s="3">
        <f t="shared" si="190"/>
        <v>62526.397909625346</v>
      </c>
      <c r="D2954" s="3">
        <f t="shared" si="188"/>
        <v>3.4227665826620068E-2</v>
      </c>
      <c r="E2954" s="8">
        <f t="shared" si="189"/>
        <v>421.14285714285717</v>
      </c>
    </row>
    <row r="2955" spans="1:5" ht="18.75" x14ac:dyDescent="0.3">
      <c r="A2955" s="3">
        <v>2949</v>
      </c>
      <c r="B2955" s="9">
        <f t="shared" si="187"/>
        <v>0.99951135908511823</v>
      </c>
      <c r="C2955" s="3">
        <f t="shared" si="190"/>
        <v>62526.432090287744</v>
      </c>
      <c r="D2955" s="3">
        <f t="shared" si="188"/>
        <v>3.4180662398284767E-2</v>
      </c>
      <c r="E2955" s="8">
        <f t="shared" si="189"/>
        <v>421.28571428571428</v>
      </c>
    </row>
    <row r="2956" spans="1:5" ht="18.75" x14ac:dyDescent="0.3">
      <c r="A2956" s="3">
        <v>2950</v>
      </c>
      <c r="B2956" s="9">
        <f t="shared" si="187"/>
        <v>0.99951190472726936</v>
      </c>
      <c r="C2956" s="3">
        <f t="shared" si="190"/>
        <v>62526.466224023789</v>
      </c>
      <c r="D2956" s="3">
        <f t="shared" si="188"/>
        <v>3.4133736044168472E-2</v>
      </c>
      <c r="E2956" s="8">
        <f t="shared" si="189"/>
        <v>421.42857142857144</v>
      </c>
    </row>
    <row r="2957" spans="1:5" ht="18.75" x14ac:dyDescent="0.3">
      <c r="A2957" s="3">
        <v>2951</v>
      </c>
      <c r="B2957" s="9">
        <f t="shared" si="187"/>
        <v>0.999512449620513</v>
      </c>
      <c r="C2957" s="3">
        <f t="shared" si="190"/>
        <v>62526.500310910429</v>
      </c>
      <c r="D2957" s="3">
        <f t="shared" si="188"/>
        <v>3.4086886640579905E-2</v>
      </c>
      <c r="E2957" s="8">
        <f t="shared" si="189"/>
        <v>421.57142857142856</v>
      </c>
    </row>
    <row r="2958" spans="1:5" ht="18.75" x14ac:dyDescent="0.3">
      <c r="A2958" s="3">
        <v>2952</v>
      </c>
      <c r="B2958" s="9">
        <f t="shared" si="187"/>
        <v>0.99951299376607694</v>
      </c>
      <c r="C2958" s="3">
        <f t="shared" si="190"/>
        <v>62526.534351024478</v>
      </c>
      <c r="D2958" s="3">
        <f t="shared" si="188"/>
        <v>3.4040114049275871E-2</v>
      </c>
      <c r="E2958" s="8">
        <f t="shared" si="189"/>
        <v>421.71428571428572</v>
      </c>
    </row>
    <row r="2959" spans="1:5" ht="18.75" x14ac:dyDescent="0.3">
      <c r="A2959" s="3">
        <v>2953</v>
      </c>
      <c r="B2959" s="9">
        <f t="shared" si="187"/>
        <v>0.99951353716518632</v>
      </c>
      <c r="C2959" s="3">
        <f t="shared" si="190"/>
        <v>62526.568344442559</v>
      </c>
      <c r="D2959" s="3">
        <f t="shared" si="188"/>
        <v>3.3993418081081472E-2</v>
      </c>
      <c r="E2959" s="8">
        <f t="shared" si="189"/>
        <v>421.85714285714283</v>
      </c>
    </row>
    <row r="2960" spans="1:5" ht="18.75" x14ac:dyDescent="0.3">
      <c r="A2960" s="3">
        <v>2954</v>
      </c>
      <c r="B2960" s="9">
        <f t="shared" si="187"/>
        <v>0.99951407981906415</v>
      </c>
      <c r="C2960" s="3">
        <f t="shared" si="190"/>
        <v>62526.602291241194</v>
      </c>
      <c r="D2960" s="3">
        <f t="shared" si="188"/>
        <v>3.3946798634133302E-2</v>
      </c>
      <c r="E2960" s="8">
        <f t="shared" si="189"/>
        <v>422</v>
      </c>
    </row>
    <row r="2961" spans="1:5" ht="18.75" x14ac:dyDescent="0.3">
      <c r="A2961" s="3">
        <v>2955</v>
      </c>
      <c r="B2961" s="9">
        <f t="shared" si="187"/>
        <v>0.9995146217289308</v>
      </c>
      <c r="C2961" s="3">
        <f t="shared" si="190"/>
        <v>62526.636191496727</v>
      </c>
      <c r="D2961" s="3">
        <f t="shared" si="188"/>
        <v>3.3900255533808377E-2</v>
      </c>
      <c r="E2961" s="8">
        <f t="shared" si="189"/>
        <v>422.14285714285717</v>
      </c>
    </row>
    <row r="2962" spans="1:5" ht="18.75" x14ac:dyDescent="0.3">
      <c r="A2962" s="3">
        <v>2956</v>
      </c>
      <c r="B2962" s="9">
        <f t="shared" si="187"/>
        <v>0.99951516289600484</v>
      </c>
      <c r="C2962" s="3">
        <f t="shared" si="190"/>
        <v>62526.670045285377</v>
      </c>
      <c r="D2962" s="3">
        <f t="shared" si="188"/>
        <v>3.385378864913946E-2</v>
      </c>
      <c r="E2962" s="8">
        <f t="shared" si="189"/>
        <v>422.28571428571428</v>
      </c>
    </row>
    <row r="2963" spans="1:5" ht="18.75" x14ac:dyDescent="0.3">
      <c r="A2963" s="3">
        <v>2957</v>
      </c>
      <c r="B2963" s="9">
        <f t="shared" si="187"/>
        <v>0.99951570332150197</v>
      </c>
      <c r="C2963" s="3">
        <f t="shared" si="190"/>
        <v>62526.703852683197</v>
      </c>
      <c r="D2963" s="3">
        <f t="shared" si="188"/>
        <v>3.3807397820055485E-2</v>
      </c>
      <c r="E2963" s="8">
        <f t="shared" si="189"/>
        <v>422.42857142857144</v>
      </c>
    </row>
    <row r="2964" spans="1:5" ht="18.75" x14ac:dyDescent="0.3">
      <c r="A2964" s="3">
        <v>2958</v>
      </c>
      <c r="B2964" s="9">
        <f t="shared" si="187"/>
        <v>0.99951624300663577</v>
      </c>
      <c r="C2964" s="3">
        <f t="shared" si="190"/>
        <v>62526.737613766112</v>
      </c>
      <c r="D2964" s="3">
        <f t="shared" si="188"/>
        <v>3.3761082915589213E-2</v>
      </c>
      <c r="E2964" s="8">
        <f t="shared" si="189"/>
        <v>422.57142857142856</v>
      </c>
    </row>
    <row r="2965" spans="1:5" ht="18.75" x14ac:dyDescent="0.3">
      <c r="A2965" s="3">
        <v>2959</v>
      </c>
      <c r="B2965" s="9">
        <f t="shared" si="187"/>
        <v>0.99951678195261773</v>
      </c>
      <c r="C2965" s="3">
        <f t="shared" si="190"/>
        <v>62526.77132860991</v>
      </c>
      <c r="D2965" s="3">
        <f t="shared" si="188"/>
        <v>3.3714843797497451E-2</v>
      </c>
      <c r="E2965" s="8">
        <f t="shared" si="189"/>
        <v>422.71428571428572</v>
      </c>
    </row>
    <row r="2966" spans="1:5" ht="18.75" x14ac:dyDescent="0.3">
      <c r="A2966" s="3">
        <v>2960</v>
      </c>
      <c r="B2966" s="9">
        <f t="shared" si="187"/>
        <v>0.99951732016065664</v>
      </c>
      <c r="C2966" s="3">
        <f t="shared" si="190"/>
        <v>62526.804997290201</v>
      </c>
      <c r="D2966" s="3">
        <f t="shared" si="188"/>
        <v>3.3668680291157216E-2</v>
      </c>
      <c r="E2966" s="8">
        <f t="shared" si="189"/>
        <v>422.85714285714283</v>
      </c>
    </row>
    <row r="2967" spans="1:5" ht="18.75" x14ac:dyDescent="0.3">
      <c r="A2967" s="3">
        <v>2961</v>
      </c>
      <c r="B2967" s="9">
        <f t="shared" si="187"/>
        <v>0.99951785763195911</v>
      </c>
      <c r="C2967" s="3">
        <f t="shared" si="190"/>
        <v>62526.838619882466</v>
      </c>
      <c r="D2967" s="3">
        <f t="shared" si="188"/>
        <v>3.362259226560127E-2</v>
      </c>
      <c r="E2967" s="8">
        <f t="shared" si="189"/>
        <v>423</v>
      </c>
    </row>
    <row r="2968" spans="1:5" ht="18.75" x14ac:dyDescent="0.3">
      <c r="A2968" s="3">
        <v>2962</v>
      </c>
      <c r="B2968" s="9">
        <f t="shared" si="187"/>
        <v>0.9995183943677296</v>
      </c>
      <c r="C2968" s="3">
        <f t="shared" si="190"/>
        <v>62526.872196462064</v>
      </c>
      <c r="D2968" s="3">
        <f t="shared" si="188"/>
        <v>3.3576579597138334E-2</v>
      </c>
      <c r="E2968" s="8">
        <f t="shared" si="189"/>
        <v>423.14285714285717</v>
      </c>
    </row>
    <row r="2969" spans="1:5" ht="18.75" x14ac:dyDescent="0.3">
      <c r="A2969" s="3">
        <v>2963</v>
      </c>
      <c r="B2969" s="9">
        <f t="shared" si="187"/>
        <v>0.99951893036917017</v>
      </c>
      <c r="C2969" s="3">
        <f t="shared" si="190"/>
        <v>62526.905727104175</v>
      </c>
      <c r="D2969" s="3">
        <f t="shared" si="188"/>
        <v>3.3530642111145426E-2</v>
      </c>
      <c r="E2969" s="8">
        <f t="shared" si="189"/>
        <v>423.28571428571428</v>
      </c>
    </row>
    <row r="2970" spans="1:5" ht="18.75" x14ac:dyDescent="0.3">
      <c r="A2970" s="3">
        <v>2964</v>
      </c>
      <c r="B2970" s="9">
        <f t="shared" si="187"/>
        <v>0.99951946563748051</v>
      </c>
      <c r="C2970" s="3">
        <f t="shared" si="190"/>
        <v>62526.939211883866</v>
      </c>
      <c r="D2970" s="3">
        <f t="shared" si="188"/>
        <v>3.3484779691207223E-2</v>
      </c>
      <c r="E2970" s="8">
        <f t="shared" si="189"/>
        <v>423.42857142857144</v>
      </c>
    </row>
    <row r="2971" spans="1:5" ht="18.75" x14ac:dyDescent="0.3">
      <c r="A2971" s="3">
        <v>2965</v>
      </c>
      <c r="B2971" s="9">
        <f t="shared" si="187"/>
        <v>0.99952000017385811</v>
      </c>
      <c r="C2971" s="3">
        <f t="shared" si="190"/>
        <v>62526.972650876043</v>
      </c>
      <c r="D2971" s="3">
        <f t="shared" si="188"/>
        <v>3.3438992177252658E-2</v>
      </c>
      <c r="E2971" s="8">
        <f t="shared" si="189"/>
        <v>423.57142857142856</v>
      </c>
    </row>
    <row r="2972" spans="1:5" ht="18.75" x14ac:dyDescent="0.3">
      <c r="A2972" s="3">
        <v>2966</v>
      </c>
      <c r="B2972" s="9">
        <f t="shared" si="187"/>
        <v>0.99952053397949814</v>
      </c>
      <c r="C2972" s="3">
        <f t="shared" si="190"/>
        <v>62527.006044155467</v>
      </c>
      <c r="D2972" s="3">
        <f t="shared" si="188"/>
        <v>3.3393279423762579E-2</v>
      </c>
      <c r="E2972" s="8">
        <f t="shared" si="189"/>
        <v>423.71428571428572</v>
      </c>
    </row>
    <row r="2973" spans="1:5" ht="18.75" x14ac:dyDescent="0.3">
      <c r="A2973" s="3">
        <v>2967</v>
      </c>
      <c r="B2973" s="9">
        <f t="shared" si="187"/>
        <v>0.99952106705559363</v>
      </c>
      <c r="C2973" s="3">
        <f t="shared" si="190"/>
        <v>62527.039391796774</v>
      </c>
      <c r="D2973" s="3">
        <f t="shared" si="188"/>
        <v>3.3347641307045706E-2</v>
      </c>
      <c r="E2973" s="8">
        <f t="shared" si="189"/>
        <v>423.85714285714283</v>
      </c>
    </row>
    <row r="2974" spans="1:5" ht="18.75" x14ac:dyDescent="0.3">
      <c r="A2974" s="3">
        <v>2968</v>
      </c>
      <c r="B2974" s="9">
        <f t="shared" si="187"/>
        <v>0.99952159940333496</v>
      </c>
      <c r="C2974" s="3">
        <f t="shared" si="190"/>
        <v>62527.072693874426</v>
      </c>
      <c r="D2974" s="3">
        <f t="shared" si="188"/>
        <v>3.3302077652479056E-2</v>
      </c>
      <c r="E2974" s="8">
        <f t="shared" si="189"/>
        <v>424</v>
      </c>
    </row>
    <row r="2975" spans="1:5" ht="18.75" x14ac:dyDescent="0.3">
      <c r="A2975" s="3">
        <v>2969</v>
      </c>
      <c r="B2975" s="9">
        <f t="shared" si="187"/>
        <v>0.99952213102391074</v>
      </c>
      <c r="C2975" s="3">
        <f t="shared" si="190"/>
        <v>62527.105950462785</v>
      </c>
      <c r="D2975" s="3">
        <f t="shared" si="188"/>
        <v>3.3256588358199224E-2</v>
      </c>
      <c r="E2975" s="8">
        <f t="shared" si="189"/>
        <v>424.14285714285717</v>
      </c>
    </row>
    <row r="2976" spans="1:5" ht="18.75" x14ac:dyDescent="0.3">
      <c r="A2976" s="3">
        <v>2970</v>
      </c>
      <c r="B2976" s="9">
        <f t="shared" si="187"/>
        <v>0.99952266191850692</v>
      </c>
      <c r="C2976" s="3">
        <f t="shared" si="190"/>
        <v>62527.139161636034</v>
      </c>
      <c r="D2976" s="3">
        <f t="shared" si="188"/>
        <v>3.3211173249583226E-2</v>
      </c>
      <c r="E2976" s="8">
        <f t="shared" si="189"/>
        <v>424.28571428571428</v>
      </c>
    </row>
    <row r="2977" spans="1:5" ht="18.75" x14ac:dyDescent="0.3">
      <c r="A2977" s="3">
        <v>2971</v>
      </c>
      <c r="B2977" s="9">
        <f t="shared" si="187"/>
        <v>0.99952319208830742</v>
      </c>
      <c r="C2977" s="3">
        <f t="shared" si="190"/>
        <v>62527.172327468244</v>
      </c>
      <c r="D2977" s="3">
        <f t="shared" si="188"/>
        <v>3.316583221021574E-2</v>
      </c>
      <c r="E2977" s="8">
        <f t="shared" si="189"/>
        <v>424.42857142857144</v>
      </c>
    </row>
    <row r="2978" spans="1:5" ht="18.75" x14ac:dyDescent="0.3">
      <c r="A2978" s="3">
        <v>2972</v>
      </c>
      <c r="B2978" s="9">
        <f t="shared" si="187"/>
        <v>0.99952372153449376</v>
      </c>
      <c r="C2978" s="3">
        <f t="shared" si="190"/>
        <v>62527.205448033325</v>
      </c>
      <c r="D2978" s="3">
        <f t="shared" si="188"/>
        <v>3.3120565080025699E-2</v>
      </c>
      <c r="E2978" s="8">
        <f t="shared" si="189"/>
        <v>424.57142857142856</v>
      </c>
    </row>
    <row r="2979" spans="1:5" ht="18.75" x14ac:dyDescent="0.3">
      <c r="A2979" s="3">
        <v>2973</v>
      </c>
      <c r="B2979" s="9">
        <f t="shared" si="187"/>
        <v>0.99952425025824532</v>
      </c>
      <c r="C2979" s="3">
        <f t="shared" si="190"/>
        <v>62527.238523405053</v>
      </c>
      <c r="D2979" s="3">
        <f t="shared" si="188"/>
        <v>3.3075371728045866E-2</v>
      </c>
      <c r="E2979" s="8">
        <f t="shared" si="189"/>
        <v>424.71428571428572</v>
      </c>
    </row>
    <row r="2980" spans="1:5" ht="18.75" x14ac:dyDescent="0.3">
      <c r="A2980" s="3">
        <v>2974</v>
      </c>
      <c r="B2980" s="9">
        <f t="shared" si="187"/>
        <v>0.99952477826073916</v>
      </c>
      <c r="C2980" s="3">
        <f t="shared" si="190"/>
        <v>62527.271553657061</v>
      </c>
      <c r="D2980" s="3">
        <f t="shared" si="188"/>
        <v>3.3030252008757088E-2</v>
      </c>
      <c r="E2980" s="8">
        <f t="shared" si="189"/>
        <v>424.85714285714283</v>
      </c>
    </row>
    <row r="2981" spans="1:5" ht="18.75" x14ac:dyDescent="0.3">
      <c r="A2981" s="3">
        <v>2975</v>
      </c>
      <c r="B2981" s="9">
        <f t="shared" si="187"/>
        <v>0.99952530554315022</v>
      </c>
      <c r="C2981" s="3">
        <f t="shared" si="190"/>
        <v>62527.304538862845</v>
      </c>
      <c r="D2981" s="3">
        <f t="shared" si="188"/>
        <v>3.2985205783916172E-2</v>
      </c>
      <c r="E2981" s="8">
        <f t="shared" si="189"/>
        <v>425</v>
      </c>
    </row>
    <row r="2982" spans="1:5" ht="18.75" x14ac:dyDescent="0.3">
      <c r="A2982" s="3">
        <v>2976</v>
      </c>
      <c r="B2982" s="9">
        <f t="shared" si="187"/>
        <v>0.99952583210665102</v>
      </c>
      <c r="C2982" s="3">
        <f t="shared" si="190"/>
        <v>62527.337479095768</v>
      </c>
      <c r="D2982" s="3">
        <f t="shared" si="188"/>
        <v>3.2940232922555879E-2</v>
      </c>
      <c r="E2982" s="8">
        <f t="shared" si="189"/>
        <v>425.14285714285717</v>
      </c>
    </row>
    <row r="2983" spans="1:5" ht="18.75" x14ac:dyDescent="0.3">
      <c r="A2983" s="3">
        <v>2977</v>
      </c>
      <c r="B2983" s="9">
        <f t="shared" si="187"/>
        <v>0.99952635795241196</v>
      </c>
      <c r="C2983" s="3">
        <f t="shared" si="190"/>
        <v>62527.370374429032</v>
      </c>
      <c r="D2983" s="3">
        <f t="shared" si="188"/>
        <v>3.2895333264605142E-2</v>
      </c>
      <c r="E2983" s="8">
        <f t="shared" si="189"/>
        <v>425.28571428571428</v>
      </c>
    </row>
    <row r="2984" spans="1:5" ht="18.75" x14ac:dyDescent="0.3">
      <c r="A2984" s="3">
        <v>2978</v>
      </c>
      <c r="B2984" s="9">
        <f t="shared" ref="B2984:B3006" si="191">LOGNORMDIST(A2984,$A$3,$B$3)</f>
        <v>0.9995268830816012</v>
      </c>
      <c r="C2984" s="3">
        <f t="shared" si="190"/>
        <v>62527.403224935726</v>
      </c>
      <c r="D2984" s="3">
        <f t="shared" ref="D2984:D3006" si="192">C2984-C2983</f>
        <v>3.285050669364864E-2</v>
      </c>
      <c r="E2984" s="8">
        <f t="shared" ref="E2984:E3006" si="193">A2984/7</f>
        <v>425.42857142857144</v>
      </c>
    </row>
    <row r="2985" spans="1:5" ht="18.75" x14ac:dyDescent="0.3">
      <c r="A2985" s="3">
        <v>2979</v>
      </c>
      <c r="B2985" s="9">
        <f t="shared" si="191"/>
        <v>0.99952740749538471</v>
      </c>
      <c r="C2985" s="3">
        <f t="shared" si="190"/>
        <v>62527.436030688783</v>
      </c>
      <c r="D2985" s="3">
        <f t="shared" si="192"/>
        <v>3.2805753056891263E-2</v>
      </c>
      <c r="E2985" s="8">
        <f t="shared" si="193"/>
        <v>425.57142857142856</v>
      </c>
    </row>
    <row r="2986" spans="1:5" ht="18.75" x14ac:dyDescent="0.3">
      <c r="A2986" s="3">
        <v>2980</v>
      </c>
      <c r="B2986" s="9">
        <f t="shared" si="191"/>
        <v>0.99952793119492622</v>
      </c>
      <c r="C2986" s="3">
        <f t="shared" si="190"/>
        <v>62527.468791760999</v>
      </c>
      <c r="D2986" s="3">
        <f t="shared" si="192"/>
        <v>3.2761072216089815E-2</v>
      </c>
      <c r="E2986" s="8">
        <f t="shared" si="193"/>
        <v>425.71428571428572</v>
      </c>
    </row>
    <row r="2987" spans="1:5" ht="18.75" x14ac:dyDescent="0.3">
      <c r="A2987" s="3">
        <v>2981</v>
      </c>
      <c r="B2987" s="9">
        <f t="shared" si="191"/>
        <v>0.99952845418138736</v>
      </c>
      <c r="C2987" s="3">
        <f t="shared" si="190"/>
        <v>62527.501508225047</v>
      </c>
      <c r="D2987" s="3">
        <f t="shared" si="192"/>
        <v>3.2716464047553018E-2</v>
      </c>
      <c r="E2987" s="8">
        <f t="shared" si="193"/>
        <v>425.85714285714283</v>
      </c>
    </row>
    <row r="2988" spans="1:5" ht="18.75" x14ac:dyDescent="0.3">
      <c r="A2988" s="3">
        <v>2982</v>
      </c>
      <c r="B2988" s="9">
        <f t="shared" si="191"/>
        <v>0.9995289764559272</v>
      </c>
      <c r="C2988" s="3">
        <f t="shared" si="190"/>
        <v>62527.534180153438</v>
      </c>
      <c r="D2988" s="3">
        <f t="shared" si="192"/>
        <v>3.2671928391209804E-2</v>
      </c>
      <c r="E2988" s="8">
        <f t="shared" si="193"/>
        <v>426</v>
      </c>
    </row>
    <row r="2989" spans="1:5" ht="18.75" x14ac:dyDescent="0.3">
      <c r="A2989" s="3">
        <v>2983</v>
      </c>
      <c r="B2989" s="9">
        <f t="shared" si="191"/>
        <v>0.99952949801970303</v>
      </c>
      <c r="C2989" s="3">
        <f t="shared" si="190"/>
        <v>62527.566807618561</v>
      </c>
      <c r="D2989" s="3">
        <f t="shared" si="192"/>
        <v>3.2627465123368893E-2</v>
      </c>
      <c r="E2989" s="8">
        <f t="shared" si="193"/>
        <v>426.14285714285717</v>
      </c>
    </row>
    <row r="2990" spans="1:5" ht="18.75" x14ac:dyDescent="0.3">
      <c r="A2990" s="3">
        <v>2984</v>
      </c>
      <c r="B2990" s="9">
        <f t="shared" si="191"/>
        <v>0.99953001887386972</v>
      </c>
      <c r="C2990" s="3">
        <f t="shared" si="190"/>
        <v>62527.599390692667</v>
      </c>
      <c r="D2990" s="3">
        <f t="shared" si="192"/>
        <v>3.2583074105787091E-2</v>
      </c>
      <c r="E2990" s="8">
        <f t="shared" si="193"/>
        <v>426.28571428571428</v>
      </c>
    </row>
    <row r="2991" spans="1:5" ht="18.75" x14ac:dyDescent="0.3">
      <c r="A2991" s="3">
        <v>2985</v>
      </c>
      <c r="B2991" s="9">
        <f t="shared" si="191"/>
        <v>0.99953053901957989</v>
      </c>
      <c r="C2991" s="3">
        <f t="shared" si="190"/>
        <v>62527.63192944786</v>
      </c>
      <c r="D2991" s="3">
        <f t="shared" si="192"/>
        <v>3.2538755192945246E-2</v>
      </c>
      <c r="E2991" s="8">
        <f t="shared" si="193"/>
        <v>426.42857142857144</v>
      </c>
    </row>
    <row r="2992" spans="1:5" ht="18.75" x14ac:dyDescent="0.3">
      <c r="A2992" s="3">
        <v>2986</v>
      </c>
      <c r="B2992" s="9">
        <f t="shared" si="191"/>
        <v>0.99953105845798429</v>
      </c>
      <c r="C2992" s="3">
        <f t="shared" si="190"/>
        <v>62527.664423956121</v>
      </c>
      <c r="D2992" s="3">
        <f t="shared" si="192"/>
        <v>3.2494508261152077E-2</v>
      </c>
      <c r="E2992" s="8">
        <f t="shared" si="193"/>
        <v>426.57142857142856</v>
      </c>
    </row>
    <row r="2993" spans="1:5" ht="18.75" x14ac:dyDescent="0.3">
      <c r="A2993" s="3">
        <v>2987</v>
      </c>
      <c r="B2993" s="9">
        <f t="shared" si="191"/>
        <v>0.99953157719023111</v>
      </c>
      <c r="C2993" s="3">
        <f t="shared" si="190"/>
        <v>62527.696874289286</v>
      </c>
      <c r="D2993" s="3">
        <f t="shared" si="192"/>
        <v>3.2450333164888434E-2</v>
      </c>
      <c r="E2993" s="8">
        <f t="shared" si="193"/>
        <v>426.71428571428572</v>
      </c>
    </row>
    <row r="2994" spans="1:5" ht="18.75" x14ac:dyDescent="0.3">
      <c r="A2994" s="3">
        <v>2988</v>
      </c>
      <c r="B2994" s="9">
        <f t="shared" si="191"/>
        <v>0.99953209521746667</v>
      </c>
      <c r="C2994" s="3">
        <f t="shared" si="190"/>
        <v>62527.729280519059</v>
      </c>
      <c r="D2994" s="3">
        <f t="shared" si="192"/>
        <v>3.2406229773187079E-2</v>
      </c>
      <c r="E2994" s="8">
        <f t="shared" si="193"/>
        <v>426.85714285714283</v>
      </c>
    </row>
    <row r="2995" spans="1:5" ht="18.75" x14ac:dyDescent="0.3">
      <c r="A2995" s="3">
        <v>2989</v>
      </c>
      <c r="B2995" s="9">
        <f t="shared" si="191"/>
        <v>0.99953261254083481</v>
      </c>
      <c r="C2995" s="3">
        <f t="shared" si="190"/>
        <v>62527.761642717</v>
      </c>
      <c r="D2995" s="3">
        <f t="shared" si="192"/>
        <v>3.2362197940528858E-2</v>
      </c>
      <c r="E2995" s="8">
        <f t="shared" si="193"/>
        <v>427</v>
      </c>
    </row>
    <row r="2996" spans="1:5" ht="18.75" x14ac:dyDescent="0.3">
      <c r="A2996" s="3">
        <v>2990</v>
      </c>
      <c r="B2996" s="9">
        <f t="shared" si="191"/>
        <v>0.99953312916147752</v>
      </c>
      <c r="C2996" s="3">
        <f t="shared" si="190"/>
        <v>62527.79396095455</v>
      </c>
      <c r="D2996" s="3">
        <f t="shared" si="192"/>
        <v>3.2318237550498452E-2</v>
      </c>
      <c r="E2996" s="8">
        <f t="shared" si="193"/>
        <v>427.14285714285717</v>
      </c>
    </row>
    <row r="2997" spans="1:5" ht="18.75" x14ac:dyDescent="0.3">
      <c r="A2997" s="3">
        <v>2991</v>
      </c>
      <c r="B2997" s="9">
        <f t="shared" si="191"/>
        <v>0.99953364508053444</v>
      </c>
      <c r="C2997" s="3">
        <f t="shared" si="190"/>
        <v>62527.826235302993</v>
      </c>
      <c r="D2997" s="3">
        <f t="shared" si="192"/>
        <v>3.2274348443024792E-2</v>
      </c>
      <c r="E2997" s="8">
        <f t="shared" si="193"/>
        <v>427.28571428571428</v>
      </c>
    </row>
    <row r="2998" spans="1:5" ht="18.75" x14ac:dyDescent="0.3">
      <c r="A2998" s="3">
        <v>2992</v>
      </c>
      <c r="B2998" s="9">
        <f t="shared" si="191"/>
        <v>0.99953416029914299</v>
      </c>
      <c r="C2998" s="3">
        <f t="shared" si="190"/>
        <v>62527.858465833488</v>
      </c>
      <c r="D2998" s="3">
        <f t="shared" si="192"/>
        <v>3.2230530494416598E-2</v>
      </c>
      <c r="E2998" s="8">
        <f t="shared" si="193"/>
        <v>427.42857142857144</v>
      </c>
    </row>
    <row r="2999" spans="1:5" ht="18.75" x14ac:dyDescent="0.3">
      <c r="A2999" s="3">
        <v>2993</v>
      </c>
      <c r="B2999" s="9">
        <f t="shared" si="191"/>
        <v>0.99953467481843861</v>
      </c>
      <c r="C2999" s="3">
        <f t="shared" si="190"/>
        <v>62527.890652617061</v>
      </c>
      <c r="D2999" s="3">
        <f t="shared" si="192"/>
        <v>3.2186783573706634E-2</v>
      </c>
      <c r="E2999" s="8">
        <f t="shared" si="193"/>
        <v>427.57142857142856</v>
      </c>
    </row>
    <row r="3000" spans="1:5" ht="18.75" x14ac:dyDescent="0.3">
      <c r="A3000" s="3">
        <v>2994</v>
      </c>
      <c r="B3000" s="9">
        <f t="shared" si="191"/>
        <v>0.99953518863955459</v>
      </c>
      <c r="C3000" s="3">
        <f t="shared" si="190"/>
        <v>62527.922795724618</v>
      </c>
      <c r="D3000" s="3">
        <f t="shared" si="192"/>
        <v>3.2143107557203621E-2</v>
      </c>
      <c r="E3000" s="8">
        <f t="shared" si="193"/>
        <v>427.71428571428572</v>
      </c>
    </row>
    <row r="3001" spans="1:5" ht="18.75" x14ac:dyDescent="0.3">
      <c r="A3001" s="3">
        <v>2995</v>
      </c>
      <c r="B3001" s="9">
        <f t="shared" si="191"/>
        <v>0.99953570176362194</v>
      </c>
      <c r="C3001" s="3">
        <f t="shared" si="190"/>
        <v>62527.954895226896</v>
      </c>
      <c r="D3001" s="3">
        <f t="shared" si="192"/>
        <v>3.2099502277560532E-2</v>
      </c>
      <c r="E3001" s="8">
        <f t="shared" si="193"/>
        <v>427.85714285714283</v>
      </c>
    </row>
    <row r="3002" spans="1:5" ht="18.75" x14ac:dyDescent="0.3">
      <c r="A3002" s="3">
        <v>2996</v>
      </c>
      <c r="B3002" s="9">
        <f t="shared" si="191"/>
        <v>0.99953621419176963</v>
      </c>
      <c r="C3002" s="3">
        <f t="shared" si="190"/>
        <v>62527.986951194536</v>
      </c>
      <c r="D3002" s="3">
        <f t="shared" si="192"/>
        <v>3.205596764018992E-2</v>
      </c>
      <c r="E3002" s="8">
        <f t="shared" si="193"/>
        <v>428</v>
      </c>
    </row>
    <row r="3003" spans="1:5" ht="18.75" x14ac:dyDescent="0.3">
      <c r="A3003" s="3">
        <v>2997</v>
      </c>
      <c r="B3003" s="9">
        <f t="shared" si="191"/>
        <v>0.99953672592512433</v>
      </c>
      <c r="C3003" s="3">
        <f t="shared" si="190"/>
        <v>62528.018963697999</v>
      </c>
      <c r="D3003" s="3">
        <f t="shared" si="192"/>
        <v>3.2012503463192843E-2</v>
      </c>
      <c r="E3003" s="8">
        <f t="shared" si="193"/>
        <v>428.14285714285717</v>
      </c>
    </row>
    <row r="3004" spans="1:5" ht="18.75" x14ac:dyDescent="0.3">
      <c r="A3004" s="3">
        <v>2998</v>
      </c>
      <c r="B3004" s="9">
        <f t="shared" si="191"/>
        <v>0.99953723696481089</v>
      </c>
      <c r="C3004" s="3">
        <f t="shared" si="190"/>
        <v>62528.050932807673</v>
      </c>
      <c r="D3004" s="3">
        <f t="shared" si="192"/>
        <v>3.1969109673809726E-2</v>
      </c>
      <c r="E3004" s="8">
        <f t="shared" si="193"/>
        <v>428.28571428571428</v>
      </c>
    </row>
    <row r="3005" spans="1:5" ht="18.75" x14ac:dyDescent="0.3">
      <c r="A3005" s="3">
        <v>2999</v>
      </c>
      <c r="B3005" s="9">
        <f t="shared" si="191"/>
        <v>0.99953774731195177</v>
      </c>
      <c r="C3005" s="3">
        <f t="shared" si="190"/>
        <v>62528.082858593771</v>
      </c>
      <c r="D3005" s="3">
        <f t="shared" si="192"/>
        <v>3.1925786097417586E-2</v>
      </c>
      <c r="E3005" s="8">
        <f t="shared" si="193"/>
        <v>428.42857142857144</v>
      </c>
    </row>
    <row r="3006" spans="1:5" ht="18.75" x14ac:dyDescent="0.3">
      <c r="A3006" s="3">
        <v>3000</v>
      </c>
      <c r="B3006" s="9">
        <f t="shared" si="191"/>
        <v>0.9995382569676674</v>
      </c>
      <c r="C3006" s="3">
        <f t="shared" si="190"/>
        <v>62528.114741126366</v>
      </c>
      <c r="D3006" s="3">
        <f t="shared" si="192"/>
        <v>3.1882532595773228E-2</v>
      </c>
      <c r="E3006" s="8">
        <f t="shared" si="193"/>
        <v>428.57142857142856</v>
      </c>
    </row>
    <row r="3007" spans="1:5" ht="18.75" x14ac:dyDescent="0.3">
      <c r="A3007" s="3"/>
      <c r="B3007" s="9">
        <f>SUM(B7:B3006)</f>
        <v>2851.0337483178378</v>
      </c>
      <c r="C3007" s="3">
        <f>SUM(C7:C3006)</f>
        <v>178352118.19351873</v>
      </c>
      <c r="D3007" s="3"/>
      <c r="E3007" s="8"/>
    </row>
    <row r="3008" spans="1:5" ht="18.75" x14ac:dyDescent="0.3">
      <c r="A3008" s="3"/>
      <c r="B3008" s="9"/>
      <c r="C3008" s="3"/>
      <c r="D3008" s="3"/>
      <c r="E3008" s="8"/>
    </row>
  </sheetData>
  <phoneticPr fontId="36"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181"/>
  <sheetViews>
    <sheetView zoomScale="90" zoomScaleNormal="90" workbookViewId="0">
      <pane ySplit="2" topLeftCell="A78" activePane="bottomLeft" state="frozen"/>
      <selection pane="bottomLeft" activeCell="S107" sqref="S107"/>
    </sheetView>
  </sheetViews>
  <sheetFormatPr defaultColWidth="9.140625" defaultRowHeight="15" x14ac:dyDescent="0.25"/>
  <cols>
    <col min="1" max="1" width="38.28515625" style="49" customWidth="1"/>
    <col min="2" max="2" width="4.140625" style="50" customWidth="1"/>
    <col min="3" max="3" width="6.7109375" style="50" customWidth="1"/>
    <col min="4" max="4" width="13.28515625" style="771" customWidth="1"/>
    <col min="5" max="5" width="16.140625" style="772" customWidth="1"/>
    <col min="6" max="7" width="12.140625" style="772" customWidth="1"/>
    <col min="8" max="8" width="12.140625" style="773" customWidth="1"/>
    <col min="9" max="12" width="12.140625" style="772" customWidth="1"/>
    <col min="13" max="13" width="12.140625" style="773" customWidth="1"/>
    <col min="14" max="14" width="14.5703125" style="772" customWidth="1"/>
    <col min="15" max="15" width="13.28515625" style="772" customWidth="1"/>
    <col min="16" max="17" width="9.5703125" style="772" customWidth="1"/>
    <col min="18" max="18" width="11.28515625" style="772" customWidth="1"/>
    <col min="19" max="19" width="7.28515625" style="772" customWidth="1"/>
    <col min="20" max="20" width="15.140625" style="10" customWidth="1"/>
    <col min="21" max="21" width="4.28515625" style="10" customWidth="1"/>
    <col min="22" max="22" width="4.7109375" style="10" customWidth="1"/>
    <col min="23" max="16384" width="9.140625" style="10"/>
  </cols>
  <sheetData>
    <row r="1" spans="1:22" x14ac:dyDescent="0.25">
      <c r="A1" s="49" t="str">
        <f>'Inputs TO'!E5</f>
        <v>Rural</v>
      </c>
      <c r="D1" s="1341" t="s">
        <v>509</v>
      </c>
      <c r="E1" s="1342"/>
      <c r="F1" s="1342"/>
      <c r="G1" s="1342"/>
      <c r="H1" s="1342"/>
      <c r="I1" s="1341" t="s">
        <v>606</v>
      </c>
      <c r="J1" s="1342"/>
      <c r="K1" s="1342"/>
      <c r="L1" s="1342"/>
      <c r="M1" s="1342"/>
      <c r="N1" s="1343" t="s">
        <v>510</v>
      </c>
      <c r="O1" s="1343"/>
      <c r="P1" s="1343"/>
      <c r="Q1" s="1343"/>
      <c r="R1" s="1343"/>
      <c r="T1" s="323" t="str">
        <f>'Calibration Data'!$H$2 &amp; " Population"</f>
        <v>Metro Population</v>
      </c>
      <c r="U1" s="323"/>
      <c r="V1" s="323"/>
    </row>
    <row r="2" spans="1:22" ht="15.75" thickBot="1" x14ac:dyDescent="0.3">
      <c r="B2" s="768"/>
      <c r="C2" s="768"/>
      <c r="D2" s="868" t="s">
        <v>67</v>
      </c>
      <c r="E2" s="869" t="s">
        <v>66</v>
      </c>
      <c r="F2" s="869" t="s">
        <v>65</v>
      </c>
      <c r="G2" s="869" t="s">
        <v>64</v>
      </c>
      <c r="H2" s="773" t="s">
        <v>63</v>
      </c>
      <c r="I2" s="771" t="s">
        <v>67</v>
      </c>
      <c r="J2" s="772" t="s">
        <v>66</v>
      </c>
      <c r="K2" s="772" t="s">
        <v>65</v>
      </c>
      <c r="L2" s="772" t="s">
        <v>64</v>
      </c>
      <c r="M2" s="773" t="s">
        <v>63</v>
      </c>
      <c r="N2" s="772" t="str">
        <f>D2</f>
        <v>pproj</v>
      </c>
      <c r="O2" s="772" t="str">
        <f>E2</f>
        <v>dproj</v>
      </c>
      <c r="P2" s="772" t="str">
        <f>F2</f>
        <v>yll</v>
      </c>
      <c r="Q2" s="772" t="str">
        <f>G2</f>
        <v>yld</v>
      </c>
      <c r="R2" s="772" t="str">
        <f>H2</f>
        <v>daly</v>
      </c>
      <c r="S2" s="772" t="s">
        <v>145</v>
      </c>
      <c r="T2" s="588">
        <f>'Calibration Data'!R2</f>
        <v>62557</v>
      </c>
      <c r="U2" s="774"/>
      <c r="V2" s="323"/>
    </row>
    <row r="3" spans="1:22" x14ac:dyDescent="0.25">
      <c r="A3" s="49" t="s">
        <v>73</v>
      </c>
      <c r="B3" s="50">
        <v>1</v>
      </c>
      <c r="C3" s="50" t="s">
        <v>2</v>
      </c>
      <c r="D3" s="871">
        <v>100771.8</v>
      </c>
      <c r="E3" s="872">
        <v>0</v>
      </c>
      <c r="F3" s="872">
        <v>0</v>
      </c>
      <c r="G3" s="872">
        <v>0</v>
      </c>
      <c r="H3" s="873">
        <f>F3+G3</f>
        <v>0</v>
      </c>
      <c r="I3" s="871">
        <v>19204.2</v>
      </c>
      <c r="J3" s="872">
        <v>0</v>
      </c>
      <c r="K3" s="872">
        <v>0</v>
      </c>
      <c r="L3" s="872">
        <v>0</v>
      </c>
      <c r="M3" s="873">
        <f>K3+L3</f>
        <v>0</v>
      </c>
      <c r="N3" s="776">
        <f>'Calibration Data'!T$3</f>
        <v>126.32600000000001</v>
      </c>
      <c r="O3" s="777">
        <f>IF($A$1="urban",$S3*(E3)/$D3*$N3,$S3*(J3)/$I3*$N3)</f>
        <v>0</v>
      </c>
      <c r="P3" s="777">
        <f>IF($A$1="urban",$S3*(F3)/$D3*$N3,$S3*(K3)/$I3*$N3)</f>
        <v>0</v>
      </c>
      <c r="Q3" s="777">
        <f>IF($A$1="urban",$S3*(G3)/$D3*$N3,$S3*(L3)/$I3*$N3)</f>
        <v>0</v>
      </c>
      <c r="R3" s="777">
        <f>IF($A$1="urban",$S3*(H3)/$D3*$N3,$S3*(M3)/$D3*$N3)</f>
        <v>0</v>
      </c>
      <c r="S3" s="368">
        <f>IF($A$1="urban",'Calibration Data'!$R46,RuralCalibration!$R46)</f>
        <v>1</v>
      </c>
      <c r="T3" s="12"/>
      <c r="V3" s="323"/>
    </row>
    <row r="4" spans="1:22" x14ac:dyDescent="0.25">
      <c r="A4" s="49" t="s">
        <v>73</v>
      </c>
      <c r="B4" s="50">
        <v>1</v>
      </c>
      <c r="C4" s="50" t="s">
        <v>41</v>
      </c>
      <c r="D4" s="874">
        <v>205830</v>
      </c>
      <c r="E4" s="870">
        <v>0</v>
      </c>
      <c r="F4" s="870">
        <v>0</v>
      </c>
      <c r="G4" s="870">
        <v>0</v>
      </c>
      <c r="H4" s="875">
        <f t="shared" ref="H4:H18" si="0">F4+G4</f>
        <v>0</v>
      </c>
      <c r="I4" s="874">
        <v>39373.4</v>
      </c>
      <c r="J4" s="870">
        <v>0</v>
      </c>
      <c r="K4" s="870">
        <v>0</v>
      </c>
      <c r="L4" s="870">
        <v>0</v>
      </c>
      <c r="M4" s="875">
        <f t="shared" ref="M4:M18" si="1">K4+L4</f>
        <v>0</v>
      </c>
      <c r="N4" s="776">
        <f>'Calibration Data'!T$4</f>
        <v>267.42600000000004</v>
      </c>
      <c r="O4" s="777">
        <f>IF($A$1="urban",$S4*(E4)/$D4*$N4,$S4*(J4)/$I4*$N4)</f>
        <v>0</v>
      </c>
      <c r="P4" s="777">
        <f t="shared" ref="P4:Q18" si="2">IF($A$1="urban",$S4*(F4)/$D4*$N4,$S4*(K4)/$I4*$N4)</f>
        <v>0</v>
      </c>
      <c r="Q4" s="777">
        <f t="shared" si="2"/>
        <v>0</v>
      </c>
      <c r="R4" s="777">
        <f t="shared" ref="R4:R18" si="3">IF($A$1="urban",$S4*(H4)/$D4*$N4,$S4*(M4)/$D4*$N4)</f>
        <v>0</v>
      </c>
      <c r="S4" s="368">
        <f>IF($A$1="urban",'Calibration Data'!$R47,RuralCalibration!$R47)</f>
        <v>1</v>
      </c>
      <c r="T4" s="12"/>
      <c r="V4" s="324"/>
    </row>
    <row r="5" spans="1:22" x14ac:dyDescent="0.25">
      <c r="A5" s="49" t="s">
        <v>73</v>
      </c>
      <c r="B5" s="50">
        <v>1</v>
      </c>
      <c r="C5" s="50" t="s">
        <v>40</v>
      </c>
      <c r="D5" s="874">
        <v>333948</v>
      </c>
      <c r="E5" s="870">
        <v>0</v>
      </c>
      <c r="F5" s="870">
        <v>0</v>
      </c>
      <c r="G5" s="870">
        <v>0</v>
      </c>
      <c r="H5" s="875">
        <f t="shared" si="0"/>
        <v>0</v>
      </c>
      <c r="I5" s="874">
        <v>59712.800000000003</v>
      </c>
      <c r="J5" s="870">
        <v>0</v>
      </c>
      <c r="K5" s="870">
        <v>0</v>
      </c>
      <c r="L5" s="870">
        <v>0</v>
      </c>
      <c r="M5" s="875">
        <f t="shared" si="1"/>
        <v>0</v>
      </c>
      <c r="N5" s="776">
        <f>'Calibration Data'!T$5</f>
        <v>408.11100000000005</v>
      </c>
      <c r="O5" s="777">
        <f t="shared" ref="O5:O18" si="4">IF($A$1="urban",$S5*(E5)/$D5*$N5,$S5*(J5)/$I5*$N5)</f>
        <v>0</v>
      </c>
      <c r="P5" s="777">
        <f t="shared" si="2"/>
        <v>0</v>
      </c>
      <c r="Q5" s="777">
        <f t="shared" si="2"/>
        <v>0</v>
      </c>
      <c r="R5" s="777">
        <f t="shared" si="3"/>
        <v>0</v>
      </c>
      <c r="S5" s="368">
        <f>IF($A$1="urban",'Calibration Data'!$R48,RuralCalibration!$R48)</f>
        <v>1</v>
      </c>
      <c r="T5" s="12"/>
      <c r="V5" s="325"/>
    </row>
    <row r="6" spans="1:22" x14ac:dyDescent="0.25">
      <c r="A6" s="49" t="s">
        <v>73</v>
      </c>
      <c r="B6" s="50">
        <v>1</v>
      </c>
      <c r="C6" s="50" t="s">
        <v>39</v>
      </c>
      <c r="D6" s="874">
        <v>334802.40000000002</v>
      </c>
      <c r="E6" s="870">
        <v>0</v>
      </c>
      <c r="F6" s="870">
        <v>0</v>
      </c>
      <c r="G6" s="870">
        <v>0</v>
      </c>
      <c r="H6" s="875">
        <f t="shared" si="0"/>
        <v>0</v>
      </c>
      <c r="I6" s="874">
        <v>54951</v>
      </c>
      <c r="J6" s="870">
        <v>0</v>
      </c>
      <c r="K6" s="870">
        <v>0</v>
      </c>
      <c r="L6" s="870">
        <v>0</v>
      </c>
      <c r="M6" s="875">
        <f t="shared" si="1"/>
        <v>0</v>
      </c>
      <c r="N6" s="776">
        <f>'Calibration Data'!T$6</f>
        <v>393.50300000000004</v>
      </c>
      <c r="O6" s="777">
        <f t="shared" si="4"/>
        <v>0</v>
      </c>
      <c r="P6" s="777">
        <f t="shared" si="2"/>
        <v>0</v>
      </c>
      <c r="Q6" s="777">
        <f t="shared" si="2"/>
        <v>0</v>
      </c>
      <c r="R6" s="777">
        <f t="shared" si="3"/>
        <v>0</v>
      </c>
      <c r="S6" s="368">
        <f>IF($A$1="urban",'Calibration Data'!$R49,RuralCalibration!$R49)</f>
        <v>1</v>
      </c>
      <c r="T6" s="12"/>
      <c r="V6" s="325"/>
    </row>
    <row r="7" spans="1:22" x14ac:dyDescent="0.25">
      <c r="A7" s="49" t="s">
        <v>73</v>
      </c>
      <c r="B7" s="50">
        <v>1</v>
      </c>
      <c r="C7" s="50" t="s">
        <v>38</v>
      </c>
      <c r="D7" s="874">
        <v>324395.59999999998</v>
      </c>
      <c r="E7" s="870">
        <v>0.2</v>
      </c>
      <c r="F7" s="870">
        <v>3.4733248428720298</v>
      </c>
      <c r="G7" s="870">
        <v>0</v>
      </c>
      <c r="H7" s="875">
        <f t="shared" si="0"/>
        <v>3.4733248428720298</v>
      </c>
      <c r="I7" s="874">
        <v>70272</v>
      </c>
      <c r="J7" s="870">
        <v>0.2</v>
      </c>
      <c r="K7" s="870">
        <v>2.98266972972438</v>
      </c>
      <c r="L7" s="870">
        <v>0</v>
      </c>
      <c r="M7" s="875">
        <f t="shared" si="1"/>
        <v>2.98266972972438</v>
      </c>
      <c r="N7" s="776">
        <f>'Calibration Data'!T$7</f>
        <v>581.00000000000011</v>
      </c>
      <c r="O7" s="777">
        <f t="shared" si="4"/>
        <v>1.653574681238616E-3</v>
      </c>
      <c r="P7" s="777">
        <f t="shared" si="2"/>
        <v>2.4660335737845304E-2</v>
      </c>
      <c r="Q7" s="777">
        <f t="shared" si="2"/>
        <v>0</v>
      </c>
      <c r="R7" s="777">
        <f t="shared" si="3"/>
        <v>5.3420302648058892E-3</v>
      </c>
      <c r="S7" s="368">
        <f>IF($A$1="urban",'Calibration Data'!$R50,RuralCalibration!R50)</f>
        <v>1</v>
      </c>
      <c r="T7" s="12"/>
      <c r="V7" s="325"/>
    </row>
    <row r="8" spans="1:22" x14ac:dyDescent="0.25">
      <c r="A8" s="49" t="s">
        <v>73</v>
      </c>
      <c r="B8" s="50">
        <v>1</v>
      </c>
      <c r="C8" s="50" t="s">
        <v>37</v>
      </c>
      <c r="D8" s="874">
        <v>163949.4</v>
      </c>
      <c r="E8" s="870">
        <v>0.8</v>
      </c>
      <c r="F8" s="870">
        <v>9.4668374421441595</v>
      </c>
      <c r="G8" s="870">
        <v>0</v>
      </c>
      <c r="H8" s="875">
        <f t="shared" si="0"/>
        <v>9.4668374421441595</v>
      </c>
      <c r="I8" s="874">
        <v>44455</v>
      </c>
      <c r="J8" s="870">
        <v>0</v>
      </c>
      <c r="K8" s="870">
        <v>0</v>
      </c>
      <c r="L8" s="870">
        <v>0</v>
      </c>
      <c r="M8" s="875">
        <f t="shared" si="1"/>
        <v>0</v>
      </c>
      <c r="N8" s="776">
        <f>'Calibration Data'!T$8</f>
        <v>422.47000000000008</v>
      </c>
      <c r="O8" s="777">
        <f t="shared" si="4"/>
        <v>0</v>
      </c>
      <c r="P8" s="777">
        <f t="shared" si="2"/>
        <v>0</v>
      </c>
      <c r="Q8" s="777">
        <f t="shared" si="2"/>
        <v>0</v>
      </c>
      <c r="R8" s="777">
        <f t="shared" si="3"/>
        <v>0</v>
      </c>
      <c r="S8" s="368">
        <f>IF($A$1="urban",'Calibration Data'!$R51,RuralCalibration!$R51)</f>
        <v>1</v>
      </c>
      <c r="T8" s="12"/>
      <c r="V8" s="325"/>
    </row>
    <row r="9" spans="1:22" x14ac:dyDescent="0.25">
      <c r="A9" s="49" t="s">
        <v>73</v>
      </c>
      <c r="B9" s="50">
        <v>1</v>
      </c>
      <c r="C9" s="50" t="s">
        <v>36</v>
      </c>
      <c r="D9" s="874">
        <v>78168.399999999994</v>
      </c>
      <c r="E9" s="870">
        <v>0.6</v>
      </c>
      <c r="F9" s="870">
        <v>4.3065312605822301</v>
      </c>
      <c r="G9" s="870">
        <v>0</v>
      </c>
      <c r="H9" s="875">
        <f t="shared" si="0"/>
        <v>4.3065312605822301</v>
      </c>
      <c r="I9" s="874">
        <v>25872.400000000001</v>
      </c>
      <c r="J9" s="870">
        <v>0.2</v>
      </c>
      <c r="K9" s="870">
        <v>1.5645483115490699</v>
      </c>
      <c r="L9" s="870">
        <v>0</v>
      </c>
      <c r="M9" s="875">
        <f t="shared" si="1"/>
        <v>1.5645483115490699</v>
      </c>
      <c r="N9" s="776">
        <f>'Calibration Data'!T$9</f>
        <v>272.24</v>
      </c>
      <c r="O9" s="777">
        <f t="shared" si="4"/>
        <v>2.1044819962585614E-3</v>
      </c>
      <c r="P9" s="777">
        <f t="shared" si="2"/>
        <v>1.646281876965874E-2</v>
      </c>
      <c r="Q9" s="777">
        <f t="shared" si="2"/>
        <v>0</v>
      </c>
      <c r="R9" s="777">
        <f t="shared" si="3"/>
        <v>5.4489107150219119E-3</v>
      </c>
      <c r="S9" s="368">
        <f>IF($A$1="urban",'Calibration Data'!$R52,RuralCalibration!$R52)</f>
        <v>1</v>
      </c>
      <c r="T9" s="12"/>
      <c r="V9" s="325"/>
    </row>
    <row r="10" spans="1:22" x14ac:dyDescent="0.25">
      <c r="A10" s="49" t="s">
        <v>73</v>
      </c>
      <c r="B10" s="50">
        <v>1</v>
      </c>
      <c r="C10" s="50" t="s">
        <v>35</v>
      </c>
      <c r="D10" s="874">
        <v>45490.6</v>
      </c>
      <c r="E10" s="870">
        <v>1</v>
      </c>
      <c r="F10" s="870">
        <v>3.2351323546417001</v>
      </c>
      <c r="G10" s="870">
        <v>0</v>
      </c>
      <c r="H10" s="875">
        <f t="shared" si="0"/>
        <v>3.2351323546417001</v>
      </c>
      <c r="I10" s="874">
        <v>13268.2</v>
      </c>
      <c r="J10" s="870">
        <v>0.2</v>
      </c>
      <c r="K10" s="870">
        <v>0.84931846155128798</v>
      </c>
      <c r="L10" s="870">
        <v>0</v>
      </c>
      <c r="M10" s="875">
        <f t="shared" si="1"/>
        <v>0.84931846155128798</v>
      </c>
      <c r="N10" s="776">
        <f>'Calibration Data'!T$10</f>
        <v>161.76700000000002</v>
      </c>
      <c r="O10" s="777">
        <f t="shared" si="4"/>
        <v>2.438416665410531E-3</v>
      </c>
      <c r="P10" s="777">
        <f t="shared" si="2"/>
        <v>1.0354961454437468E-2</v>
      </c>
      <c r="Q10" s="777">
        <f t="shared" si="2"/>
        <v>0</v>
      </c>
      <c r="R10" s="777">
        <f t="shared" si="3"/>
        <v>3.0202217506422697E-3</v>
      </c>
      <c r="S10" s="368">
        <f>IF($A$1="urban",'Calibration Data'!$R53,RuralCalibration!$R53)</f>
        <v>1</v>
      </c>
      <c r="T10" s="778"/>
      <c r="V10" s="325"/>
    </row>
    <row r="11" spans="1:22" x14ac:dyDescent="0.25">
      <c r="A11" s="49" t="s">
        <v>73</v>
      </c>
      <c r="B11" s="50">
        <v>2</v>
      </c>
      <c r="C11" s="50" t="s">
        <v>2</v>
      </c>
      <c r="D11" s="874">
        <v>95879.4</v>
      </c>
      <c r="E11" s="870">
        <v>0</v>
      </c>
      <c r="F11" s="870">
        <v>0</v>
      </c>
      <c r="G11" s="870">
        <v>0</v>
      </c>
      <c r="H11" s="875">
        <f t="shared" si="0"/>
        <v>0</v>
      </c>
      <c r="I11" s="874">
        <v>18432</v>
      </c>
      <c r="J11" s="870">
        <v>0</v>
      </c>
      <c r="K11" s="870">
        <v>0</v>
      </c>
      <c r="L11" s="870">
        <v>0</v>
      </c>
      <c r="M11" s="875">
        <f t="shared" si="1"/>
        <v>0</v>
      </c>
      <c r="N11" s="776">
        <f>'Calibration Data'!T$11</f>
        <v>130.55900000000003</v>
      </c>
      <c r="O11" s="777">
        <f t="shared" si="4"/>
        <v>0</v>
      </c>
      <c r="P11" s="777">
        <f t="shared" si="2"/>
        <v>0</v>
      </c>
      <c r="Q11" s="777">
        <f t="shared" si="2"/>
        <v>0</v>
      </c>
      <c r="R11" s="777">
        <f t="shared" si="3"/>
        <v>0</v>
      </c>
      <c r="S11" s="368">
        <f>IF($A$1="urban",'Calibration Data'!$R38,RuralCalibration!$R38)</f>
        <v>1</v>
      </c>
      <c r="T11" s="12"/>
      <c r="V11" s="325"/>
    </row>
    <row r="12" spans="1:22" x14ac:dyDescent="0.25">
      <c r="A12" s="49" t="s">
        <v>73</v>
      </c>
      <c r="B12" s="50">
        <v>2</v>
      </c>
      <c r="C12" s="50" t="s">
        <v>41</v>
      </c>
      <c r="D12" s="874">
        <v>196469.6</v>
      </c>
      <c r="E12" s="870">
        <v>0</v>
      </c>
      <c r="F12" s="870">
        <v>0</v>
      </c>
      <c r="G12" s="870">
        <v>0</v>
      </c>
      <c r="H12" s="875">
        <f t="shared" si="0"/>
        <v>0</v>
      </c>
      <c r="I12" s="874">
        <v>37956.6</v>
      </c>
      <c r="J12" s="870">
        <v>0</v>
      </c>
      <c r="K12" s="870">
        <v>0</v>
      </c>
      <c r="L12" s="870">
        <v>0</v>
      </c>
      <c r="M12" s="875">
        <f t="shared" si="1"/>
        <v>0</v>
      </c>
      <c r="N12" s="776">
        <f>'Calibration Data'!T$12</f>
        <v>274.73000000000008</v>
      </c>
      <c r="O12" s="777">
        <f t="shared" si="4"/>
        <v>0</v>
      </c>
      <c r="P12" s="777">
        <f t="shared" si="2"/>
        <v>0</v>
      </c>
      <c r="Q12" s="777">
        <f t="shared" si="2"/>
        <v>0</v>
      </c>
      <c r="R12" s="777">
        <f t="shared" si="3"/>
        <v>0</v>
      </c>
      <c r="S12" s="368">
        <f>IF($A$1="urban",'Calibration Data'!$R39,RuralCalibration!$R39)</f>
        <v>1</v>
      </c>
      <c r="T12" s="12"/>
      <c r="V12" s="325"/>
    </row>
    <row r="13" spans="1:22" x14ac:dyDescent="0.25">
      <c r="A13" s="49" t="s">
        <v>73</v>
      </c>
      <c r="B13" s="50">
        <v>2</v>
      </c>
      <c r="C13" s="50" t="s">
        <v>40</v>
      </c>
      <c r="D13" s="874">
        <v>327420</v>
      </c>
      <c r="E13" s="870">
        <v>0.6</v>
      </c>
      <c r="F13" s="870">
        <v>17.541957529760499</v>
      </c>
      <c r="G13" s="870">
        <v>3.0944401563845112</v>
      </c>
      <c r="H13" s="875">
        <f t="shared" si="0"/>
        <v>20.63639768614501</v>
      </c>
      <c r="I13" s="874">
        <v>53626</v>
      </c>
      <c r="J13" s="870">
        <v>0</v>
      </c>
      <c r="K13" s="870">
        <v>0</v>
      </c>
      <c r="L13" s="870">
        <v>0.50681830012300955</v>
      </c>
      <c r="M13" s="875">
        <f t="shared" si="1"/>
        <v>0.50681830012300955</v>
      </c>
      <c r="N13" s="776">
        <f>'Calibration Data'!T$13</f>
        <v>418.07100000000008</v>
      </c>
      <c r="O13" s="777">
        <f t="shared" si="4"/>
        <v>0</v>
      </c>
      <c r="P13" s="777">
        <f t="shared" si="2"/>
        <v>0</v>
      </c>
      <c r="Q13" s="777">
        <f t="shared" si="2"/>
        <v>3.9511810232112548E-3</v>
      </c>
      <c r="R13" s="777">
        <f t="shared" si="3"/>
        <v>6.4713833470993458E-4</v>
      </c>
      <c r="S13" s="368">
        <f>IF($A$1="urban",'Calibration Data'!$R40,RuralCalibration!$R40)</f>
        <v>1</v>
      </c>
      <c r="T13" s="12"/>
      <c r="V13" s="325"/>
    </row>
    <row r="14" spans="1:22" x14ac:dyDescent="0.25">
      <c r="A14" s="49" t="s">
        <v>73</v>
      </c>
      <c r="B14" s="50">
        <v>2</v>
      </c>
      <c r="C14" s="50" t="s">
        <v>39</v>
      </c>
      <c r="D14" s="874">
        <v>327918</v>
      </c>
      <c r="E14" s="870">
        <v>19</v>
      </c>
      <c r="F14" s="870">
        <v>454.86179891393903</v>
      </c>
      <c r="G14" s="870">
        <v>65.532618249402972</v>
      </c>
      <c r="H14" s="875">
        <f t="shared" si="0"/>
        <v>520.39441716334204</v>
      </c>
      <c r="I14" s="874">
        <v>51801</v>
      </c>
      <c r="J14" s="870">
        <v>3.4</v>
      </c>
      <c r="K14" s="870">
        <v>82.975395052782403</v>
      </c>
      <c r="L14" s="870">
        <v>14.554535637603223</v>
      </c>
      <c r="M14" s="875">
        <f t="shared" si="1"/>
        <v>97.529930690385626</v>
      </c>
      <c r="N14" s="776">
        <f>'Calibration Data'!T$14</f>
        <v>405.04</v>
      </c>
      <c r="O14" s="777">
        <f t="shared" si="4"/>
        <v>0.1186237878577647</v>
      </c>
      <c r="P14" s="777">
        <f t="shared" si="2"/>
        <v>2.8949575471045526</v>
      </c>
      <c r="Q14" s="777">
        <f t="shared" si="2"/>
        <v>0.50779827877744732</v>
      </c>
      <c r="R14" s="777">
        <f t="shared" si="3"/>
        <v>0.53753119541017413</v>
      </c>
      <c r="S14" s="368">
        <f>IF($A$1="urban",'Calibration Data'!$R41,RuralCalibration!$R41)</f>
        <v>4.4620363092825031</v>
      </c>
      <c r="T14" s="12"/>
      <c r="V14" s="323"/>
    </row>
    <row r="15" spans="1:22" x14ac:dyDescent="0.25">
      <c r="A15" s="49" t="s">
        <v>73</v>
      </c>
      <c r="B15" s="50">
        <v>2</v>
      </c>
      <c r="C15" s="50" t="s">
        <v>38</v>
      </c>
      <c r="D15" s="874">
        <v>337487.2</v>
      </c>
      <c r="E15" s="870">
        <v>92</v>
      </c>
      <c r="F15" s="870">
        <v>1622.83635163032</v>
      </c>
      <c r="G15" s="870">
        <v>364.41782943339075</v>
      </c>
      <c r="H15" s="875">
        <f t="shared" si="0"/>
        <v>1987.2541810637108</v>
      </c>
      <c r="I15" s="874">
        <v>71962</v>
      </c>
      <c r="J15" s="870">
        <v>18.8</v>
      </c>
      <c r="K15" s="870">
        <v>329.61548012112502</v>
      </c>
      <c r="L15" s="870">
        <v>74.467991232040717</v>
      </c>
      <c r="M15" s="875">
        <f t="shared" si="1"/>
        <v>404.08347135316575</v>
      </c>
      <c r="N15" s="776">
        <f>'Calibration Data'!T$15</f>
        <v>543.15200000000004</v>
      </c>
      <c r="O15" s="777">
        <f t="shared" si="4"/>
        <v>0.1418979127873044</v>
      </c>
      <c r="P15" s="777">
        <f t="shared" si="2"/>
        <v>2.4878589708283441</v>
      </c>
      <c r="Q15" s="777">
        <f t="shared" si="2"/>
        <v>0.56206662368563109</v>
      </c>
      <c r="R15" s="777">
        <f t="shared" si="3"/>
        <v>0.65033205891190748</v>
      </c>
      <c r="S15" s="368">
        <f>IF($A$1="urban",'Calibration Data'!$R42,RuralCalibration!$R42)</f>
        <v>1</v>
      </c>
      <c r="T15" s="12"/>
      <c r="V15" s="324"/>
    </row>
    <row r="16" spans="1:22" x14ac:dyDescent="0.25">
      <c r="A16" s="49" t="s">
        <v>73</v>
      </c>
      <c r="B16" s="50">
        <v>2</v>
      </c>
      <c r="C16" s="50" t="s">
        <v>37</v>
      </c>
      <c r="D16" s="874">
        <v>176202.8</v>
      </c>
      <c r="E16" s="870">
        <v>101.2</v>
      </c>
      <c r="F16" s="870">
        <v>1273.3149599092901</v>
      </c>
      <c r="G16" s="870">
        <v>421.81454620023527</v>
      </c>
      <c r="H16" s="875">
        <f t="shared" si="0"/>
        <v>1695.1295061095254</v>
      </c>
      <c r="I16" s="874">
        <v>45270.8</v>
      </c>
      <c r="J16" s="870">
        <v>29.2</v>
      </c>
      <c r="K16" s="870">
        <v>363.384562904973</v>
      </c>
      <c r="L16" s="870">
        <v>121.70933546489002</v>
      </c>
      <c r="M16" s="875">
        <f t="shared" si="1"/>
        <v>485.09389836986304</v>
      </c>
      <c r="N16" s="776">
        <f>'Calibration Data'!T$16</f>
        <v>399.14700000000005</v>
      </c>
      <c r="O16" s="777">
        <f t="shared" si="4"/>
        <v>0.25557905440870615</v>
      </c>
      <c r="P16" s="777">
        <f t="shared" si="2"/>
        <v>3.1805987319854112</v>
      </c>
      <c r="Q16" s="777">
        <f t="shared" si="2"/>
        <v>1.0652861942064586</v>
      </c>
      <c r="R16" s="777">
        <f t="shared" si="3"/>
        <v>1.0908714692198249</v>
      </c>
      <c r="S16" s="368">
        <f>IF($A$1="urban",'Calibration Data'!$R43,RuralCalibration!$R43)</f>
        <v>0.99272213889318062</v>
      </c>
      <c r="T16" s="12"/>
      <c r="V16" s="324"/>
    </row>
    <row r="17" spans="1:24" x14ac:dyDescent="0.25">
      <c r="A17" s="49" t="s">
        <v>73</v>
      </c>
      <c r="B17" s="50">
        <v>2</v>
      </c>
      <c r="C17" s="50" t="s">
        <v>36</v>
      </c>
      <c r="D17" s="874">
        <v>91991</v>
      </c>
      <c r="E17" s="870">
        <v>86.6</v>
      </c>
      <c r="F17" s="870">
        <v>691.34938857483303</v>
      </c>
      <c r="G17" s="870">
        <v>360.18417743281231</v>
      </c>
      <c r="H17" s="875">
        <f t="shared" si="0"/>
        <v>1051.5335660076453</v>
      </c>
      <c r="I17" s="874">
        <v>27046</v>
      </c>
      <c r="J17" s="870">
        <v>23.8</v>
      </c>
      <c r="K17" s="870">
        <v>191.23889596726201</v>
      </c>
      <c r="L17" s="870">
        <v>98.988261234421856</v>
      </c>
      <c r="M17" s="875">
        <f t="shared" si="1"/>
        <v>290.22715720168389</v>
      </c>
      <c r="N17" s="776">
        <f>'Calibration Data'!T$17</f>
        <v>257.71500000000003</v>
      </c>
      <c r="O17" s="777">
        <f t="shared" si="4"/>
        <v>0.24698142377038595</v>
      </c>
      <c r="P17" s="777">
        <f t="shared" si="2"/>
        <v>1.9845569246332391</v>
      </c>
      <c r="Q17" s="777">
        <f t="shared" si="2"/>
        <v>1.0272378863963199</v>
      </c>
      <c r="R17" s="777">
        <f t="shared" si="3"/>
        <v>0.88548882454920008</v>
      </c>
      <c r="S17" s="368">
        <f>IF($A$1="urban",'Calibration Data'!$R44,RuralCalibration!$R44)</f>
        <v>1.0890571725123785</v>
      </c>
      <c r="T17" s="12"/>
    </row>
    <row r="18" spans="1:24" ht="15.75" thickBot="1" x14ac:dyDescent="0.3">
      <c r="A18" s="49" t="s">
        <v>73</v>
      </c>
      <c r="B18" s="50">
        <v>2</v>
      </c>
      <c r="C18" s="50" t="s">
        <v>35</v>
      </c>
      <c r="D18" s="876">
        <v>76048.800000000003</v>
      </c>
      <c r="E18" s="877">
        <v>103.6</v>
      </c>
      <c r="F18" s="877">
        <v>367.19961015959899</v>
      </c>
      <c r="G18" s="877">
        <v>323.4843822191109</v>
      </c>
      <c r="H18" s="878">
        <f t="shared" si="0"/>
        <v>690.68399237870995</v>
      </c>
      <c r="I18" s="876">
        <v>18745.8</v>
      </c>
      <c r="J18" s="877">
        <v>27.4</v>
      </c>
      <c r="K18" s="877">
        <v>96.263844660801198</v>
      </c>
      <c r="L18" s="877">
        <v>85.554749737486858</v>
      </c>
      <c r="M18" s="878">
        <f t="shared" si="1"/>
        <v>181.81859439828804</v>
      </c>
      <c r="N18" s="776">
        <f>'Calibration Data'!T$18</f>
        <v>130.97400000000002</v>
      </c>
      <c r="O18" s="777">
        <f t="shared" si="4"/>
        <v>0.16797507253347363</v>
      </c>
      <c r="P18" s="777">
        <f t="shared" si="2"/>
        <v>0.59014329522807007</v>
      </c>
      <c r="Q18" s="777">
        <f t="shared" si="2"/>
        <v>0.52449143404151599</v>
      </c>
      <c r="R18" s="777">
        <f t="shared" si="3"/>
        <v>0.27475410141832352</v>
      </c>
      <c r="S18" s="368">
        <f>IF($A$1="urban",'Calibration Data'!$R45,RuralCalibration!$R45)</f>
        <v>0.87743138040156776</v>
      </c>
      <c r="T18" s="12"/>
    </row>
    <row r="19" spans="1:24" ht="15.75" thickBot="1" x14ac:dyDescent="0.3">
      <c r="A19" s="49" t="s">
        <v>72</v>
      </c>
      <c r="D19" s="775">
        <f t="shared" ref="D19:R19" si="5">SUM(D3:D18)</f>
        <v>3216773</v>
      </c>
      <c r="E19" s="779">
        <f t="shared" si="5"/>
        <v>405.6</v>
      </c>
      <c r="F19" s="779">
        <f t="shared" si="5"/>
        <v>4447.5858926179817</v>
      </c>
      <c r="G19" s="779">
        <f t="shared" si="5"/>
        <v>1538.5279936913366</v>
      </c>
      <c r="H19" s="780">
        <f t="shared" si="5"/>
        <v>5986.1138863093192</v>
      </c>
      <c r="I19" s="775">
        <f t="shared" si="5"/>
        <v>651949.20000000019</v>
      </c>
      <c r="J19" s="779">
        <f t="shared" si="5"/>
        <v>103.19999999999999</v>
      </c>
      <c r="K19" s="779">
        <f t="shared" si="5"/>
        <v>1068.8747152097685</v>
      </c>
      <c r="L19" s="779">
        <f t="shared" si="5"/>
        <v>395.78169160656569</v>
      </c>
      <c r="M19" s="780">
        <f t="shared" si="5"/>
        <v>1464.6564068163341</v>
      </c>
      <c r="N19" s="779">
        <f t="shared" si="5"/>
        <v>5192.2310000000007</v>
      </c>
      <c r="O19" s="782">
        <f t="shared" si="5"/>
        <v>0.93725372470054258</v>
      </c>
      <c r="P19" s="782">
        <f t="shared" si="5"/>
        <v>11.189593585741559</v>
      </c>
      <c r="Q19" s="782">
        <f t="shared" si="5"/>
        <v>3.6908315981305839</v>
      </c>
      <c r="R19" s="782">
        <f t="shared" si="5"/>
        <v>3.4534359505746104</v>
      </c>
      <c r="S19" s="368"/>
      <c r="X19" s="866"/>
    </row>
    <row r="20" spans="1:24" x14ac:dyDescent="0.25">
      <c r="A20" s="49" t="s">
        <v>71</v>
      </c>
      <c r="B20" s="50">
        <v>1</v>
      </c>
      <c r="C20" s="50" t="s">
        <v>2</v>
      </c>
      <c r="D20" s="775">
        <f t="shared" ref="D20:D35" si="6">D3</f>
        <v>100771.8</v>
      </c>
      <c r="E20" s="879">
        <v>0</v>
      </c>
      <c r="F20" s="872">
        <v>0</v>
      </c>
      <c r="G20" s="872">
        <v>0</v>
      </c>
      <c r="H20" s="873">
        <f>F20+G20</f>
        <v>0</v>
      </c>
      <c r="I20" s="775">
        <v>19204.2</v>
      </c>
      <c r="J20" s="879">
        <v>0</v>
      </c>
      <c r="K20" s="872">
        <v>0</v>
      </c>
      <c r="L20" s="872">
        <v>0</v>
      </c>
      <c r="M20" s="873">
        <f>K20+L20</f>
        <v>0</v>
      </c>
      <c r="N20" s="772">
        <f>N3</f>
        <v>126.32600000000001</v>
      </c>
      <c r="O20" s="777">
        <f>IF($A$1="urban",($S20*(E20)/$D20*$N20)*$V$22,($S20*(J20)/$D20*$N20)*$V$22)</f>
        <v>0</v>
      </c>
      <c r="P20" s="777">
        <f>IF($A$1="urban",($S20*(F20)/$D20*$N20)*$V$22,($S20*(K20)/$D20*$N20)*$V$22)</f>
        <v>0</v>
      </c>
      <c r="Q20" s="777">
        <f>IF($A$1="urban",($S20*(G20)/$D20*$N20)*$V$22,($S20*(L20)/$D20*$N20)*$V$22)</f>
        <v>0</v>
      </c>
      <c r="R20" s="777">
        <f>IF($A$1="urban",($S20*(H20)/$D20*$N20)*$V$22,($S20*(M20)/$D20*$N20)*$V$22)</f>
        <v>0</v>
      </c>
      <c r="S20" s="783">
        <f>IF($A$1="urban",'Calibration Data'!$R62,RuralCalibration!$R62)</f>
        <v>1</v>
      </c>
    </row>
    <row r="21" spans="1:24" x14ac:dyDescent="0.25">
      <c r="A21" s="49" t="s">
        <v>71</v>
      </c>
      <c r="B21" s="50">
        <v>1</v>
      </c>
      <c r="C21" s="50" t="s">
        <v>41</v>
      </c>
      <c r="D21" s="775">
        <f t="shared" si="6"/>
        <v>205830</v>
      </c>
      <c r="E21" s="880">
        <v>0</v>
      </c>
      <c r="F21" s="870">
        <v>0</v>
      </c>
      <c r="G21" s="870">
        <v>0</v>
      </c>
      <c r="H21" s="875">
        <f t="shared" ref="H21:H35" si="7">F21+G21</f>
        <v>0</v>
      </c>
      <c r="I21" s="775">
        <v>39373.4</v>
      </c>
      <c r="J21" s="880">
        <v>0</v>
      </c>
      <c r="K21" s="870">
        <v>0</v>
      </c>
      <c r="L21" s="870">
        <v>0</v>
      </c>
      <c r="M21" s="875">
        <f t="shared" ref="M21:M35" si="8">K21+L21</f>
        <v>0</v>
      </c>
      <c r="N21" s="772">
        <f>N4</f>
        <v>267.42600000000004</v>
      </c>
      <c r="O21" s="777">
        <f t="shared" ref="O21:R35" si="9">IF($A$1="urban",($S21*(E21)/$D21*$N21)*$V$22,($S21*(J21)/$D21*$N21)*$V$22)</f>
        <v>0</v>
      </c>
      <c r="P21" s="777">
        <f t="shared" si="9"/>
        <v>0</v>
      </c>
      <c r="Q21" s="777">
        <f t="shared" si="9"/>
        <v>0</v>
      </c>
      <c r="R21" s="777">
        <f t="shared" si="9"/>
        <v>0</v>
      </c>
      <c r="S21" s="783">
        <f>IF($A$1="urban",'Calibration Data'!$R63,RuralCalibration!$R63)</f>
        <v>1</v>
      </c>
      <c r="T21" s="784" t="s">
        <v>140</v>
      </c>
      <c r="U21" s="784" t="s">
        <v>608</v>
      </c>
      <c r="V21" s="784" t="s">
        <v>609</v>
      </c>
    </row>
    <row r="22" spans="1:24" x14ac:dyDescent="0.25">
      <c r="A22" s="49" t="s">
        <v>71</v>
      </c>
      <c r="B22" s="50">
        <v>1</v>
      </c>
      <c r="C22" s="50" t="s">
        <v>40</v>
      </c>
      <c r="D22" s="775">
        <f t="shared" si="6"/>
        <v>333948</v>
      </c>
      <c r="E22" s="880">
        <v>0.4</v>
      </c>
      <c r="F22" s="870">
        <v>11.531365550954201</v>
      </c>
      <c r="G22" s="870">
        <v>1.4885648231794244</v>
      </c>
      <c r="H22" s="875">
        <f t="shared" si="7"/>
        <v>13.019930374133626</v>
      </c>
      <c r="I22" s="775">
        <v>59712.800000000003</v>
      </c>
      <c r="J22" s="880">
        <v>0.4</v>
      </c>
      <c r="K22" s="870">
        <v>11.531365550954201</v>
      </c>
      <c r="L22" s="870">
        <v>0.26616830636371031</v>
      </c>
      <c r="M22" s="875">
        <f t="shared" si="8"/>
        <v>11.79753385731791</v>
      </c>
      <c r="N22" s="772">
        <f t="shared" ref="N22:N35" si="10">N5</f>
        <v>408.11100000000005</v>
      </c>
      <c r="O22" s="777">
        <f t="shared" si="9"/>
        <v>3.7377748164092717E-4</v>
      </c>
      <c r="P22" s="777">
        <f t="shared" si="9"/>
        <v>1.0775411938791508E-2</v>
      </c>
      <c r="Q22" s="777">
        <f t="shared" si="9"/>
        <v>2.4871929811314599E-4</v>
      </c>
      <c r="R22" s="777">
        <f t="shared" si="9"/>
        <v>1.1024131236904653E-2</v>
      </c>
      <c r="S22" s="783">
        <f>IF($A$1="urban",'Calibration Data'!$R64,RuralCalibration!$R64)</f>
        <v>1</v>
      </c>
      <c r="T22" s="784" t="s">
        <v>60</v>
      </c>
      <c r="U22" s="326">
        <f>'Calibration Data'!$R$231</f>
        <v>0.76463414634146298</v>
      </c>
      <c r="V22" s="785">
        <f>RuralCalibration!$R$231</f>
        <v>0.76463414634146298</v>
      </c>
    </row>
    <row r="23" spans="1:24" x14ac:dyDescent="0.25">
      <c r="A23" s="49" t="s">
        <v>71</v>
      </c>
      <c r="B23" s="50">
        <v>1</v>
      </c>
      <c r="C23" s="50" t="s">
        <v>39</v>
      </c>
      <c r="D23" s="775">
        <f t="shared" si="6"/>
        <v>334802.40000000002</v>
      </c>
      <c r="E23" s="880">
        <v>7.6</v>
      </c>
      <c r="F23" s="870">
        <v>178.908771397908</v>
      </c>
      <c r="G23" s="870">
        <v>14.288771721704485</v>
      </c>
      <c r="H23" s="875">
        <f t="shared" si="7"/>
        <v>193.19754311961248</v>
      </c>
      <c r="I23" s="775">
        <v>54951</v>
      </c>
      <c r="J23" s="880">
        <v>0.8</v>
      </c>
      <c r="K23" s="870">
        <v>17.7483349172958</v>
      </c>
      <c r="L23" s="870">
        <v>2.3452110704086446</v>
      </c>
      <c r="M23" s="875">
        <f t="shared" si="8"/>
        <v>20.093545987704445</v>
      </c>
      <c r="N23" s="772">
        <f t="shared" si="10"/>
        <v>393.50300000000004</v>
      </c>
      <c r="O23" s="777">
        <f t="shared" si="9"/>
        <v>1.1077417316247153E-2</v>
      </c>
      <c r="P23" s="777">
        <f t="shared" si="9"/>
        <v>0.24575714068425808</v>
      </c>
      <c r="Q23" s="777">
        <f t="shared" si="9"/>
        <v>3.2473602151999043E-2</v>
      </c>
      <c r="R23" s="777">
        <f t="shared" si="9"/>
        <v>0.27823074283625715</v>
      </c>
      <c r="S23" s="783">
        <f>IF($A$1="urban",'Calibration Data'!$R65,RuralCalibration!$R65)</f>
        <v>15.40761281973789</v>
      </c>
      <c r="T23" s="784" t="s">
        <v>59</v>
      </c>
      <c r="U23" s="326">
        <f>'Calibration Data'!$R$230</f>
        <v>0.80437499999999995</v>
      </c>
      <c r="V23" s="785">
        <f>RuralCalibration!$R$230</f>
        <v>0.80437499999999995</v>
      </c>
    </row>
    <row r="24" spans="1:24" x14ac:dyDescent="0.25">
      <c r="A24" s="49" t="s">
        <v>71</v>
      </c>
      <c r="B24" s="50">
        <v>1</v>
      </c>
      <c r="C24" s="50" t="s">
        <v>38</v>
      </c>
      <c r="D24" s="775">
        <f t="shared" si="6"/>
        <v>324395.59999999998</v>
      </c>
      <c r="E24" s="880">
        <v>48.6</v>
      </c>
      <c r="F24" s="870">
        <v>806.32333247710403</v>
      </c>
      <c r="G24" s="870">
        <v>74.034021096961283</v>
      </c>
      <c r="H24" s="875">
        <f t="shared" si="7"/>
        <v>880.35735357406531</v>
      </c>
      <c r="I24" s="775">
        <v>70272</v>
      </c>
      <c r="J24" s="880">
        <v>14.4</v>
      </c>
      <c r="K24" s="870">
        <v>240.131347843307</v>
      </c>
      <c r="L24" s="870">
        <v>21.936006250951493</v>
      </c>
      <c r="M24" s="875">
        <f t="shared" si="8"/>
        <v>262.06735409425846</v>
      </c>
      <c r="N24" s="772">
        <f t="shared" si="10"/>
        <v>581.00000000000011</v>
      </c>
      <c r="O24" s="777">
        <f t="shared" si="9"/>
        <v>1.9720474389761197E-2</v>
      </c>
      <c r="P24" s="777">
        <f t="shared" si="9"/>
        <v>0.32885445106408151</v>
      </c>
      <c r="Q24" s="777">
        <f t="shared" si="9"/>
        <v>3.0040864547606287E-2</v>
      </c>
      <c r="R24" s="777">
        <f t="shared" si="9"/>
        <v>0.35889531561168775</v>
      </c>
      <c r="S24" s="783">
        <f>IF($A$1="urban",'Calibration Data'!$R66,RuralCalibration!$R66)</f>
        <v>1</v>
      </c>
    </row>
    <row r="25" spans="1:24" x14ac:dyDescent="0.25">
      <c r="A25" s="49" t="s">
        <v>71</v>
      </c>
      <c r="B25" s="50">
        <v>1</v>
      </c>
      <c r="C25" s="50" t="s">
        <v>37</v>
      </c>
      <c r="D25" s="775">
        <f t="shared" si="6"/>
        <v>163949.4</v>
      </c>
      <c r="E25" s="880">
        <v>65.2</v>
      </c>
      <c r="F25" s="870">
        <v>729.31687648837703</v>
      </c>
      <c r="G25" s="870">
        <v>85.14198570855514</v>
      </c>
      <c r="H25" s="875">
        <f t="shared" si="7"/>
        <v>814.45886219693216</v>
      </c>
      <c r="I25" s="775">
        <v>44455</v>
      </c>
      <c r="J25" s="880">
        <v>17</v>
      </c>
      <c r="K25" s="870">
        <v>185.84670241445099</v>
      </c>
      <c r="L25" s="870">
        <v>22.199597500696893</v>
      </c>
      <c r="M25" s="875">
        <f t="shared" si="8"/>
        <v>208.04629991514787</v>
      </c>
      <c r="N25" s="772">
        <f t="shared" si="10"/>
        <v>422.47000000000008</v>
      </c>
      <c r="O25" s="777">
        <f t="shared" si="9"/>
        <v>4.0152786152688462E-2</v>
      </c>
      <c r="P25" s="777">
        <f t="shared" si="9"/>
        <v>0.43895664113116356</v>
      </c>
      <c r="Q25" s="777">
        <f t="shared" si="9"/>
        <v>5.2433864183602324E-2</v>
      </c>
      <c r="R25" s="777">
        <f t="shared" si="9"/>
        <v>0.49139050531476591</v>
      </c>
      <c r="S25" s="783">
        <f>IF($A$1="urban",'Calibration Data'!$R67,RuralCalibration!$R67)</f>
        <v>1.1987456188196721</v>
      </c>
    </row>
    <row r="26" spans="1:24" x14ac:dyDescent="0.25">
      <c r="A26" s="49" t="s">
        <v>71</v>
      </c>
      <c r="B26" s="50">
        <v>1</v>
      </c>
      <c r="C26" s="50" t="s">
        <v>36</v>
      </c>
      <c r="D26" s="775">
        <f t="shared" si="6"/>
        <v>78168.399999999994</v>
      </c>
      <c r="E26" s="880">
        <v>59.2</v>
      </c>
      <c r="F26" s="870">
        <v>403.49079441251803</v>
      </c>
      <c r="G26" s="870">
        <v>66.704132783887175</v>
      </c>
      <c r="H26" s="875">
        <f t="shared" si="7"/>
        <v>470.19492719640522</v>
      </c>
      <c r="I26" s="775">
        <v>25872.400000000001</v>
      </c>
      <c r="J26" s="880">
        <v>26.6</v>
      </c>
      <c r="K26" s="870">
        <v>179.43851355521801</v>
      </c>
      <c r="L26" s="870">
        <v>29.971789392760115</v>
      </c>
      <c r="M26" s="875">
        <f t="shared" si="8"/>
        <v>209.41030294797812</v>
      </c>
      <c r="N26" s="772">
        <f t="shared" si="10"/>
        <v>272.24</v>
      </c>
      <c r="O26" s="777">
        <f t="shared" si="9"/>
        <v>9.5693771619649995E-2</v>
      </c>
      <c r="P26" s="777">
        <f t="shared" si="9"/>
        <v>0.64553188480911661</v>
      </c>
      <c r="Q26" s="777">
        <f t="shared" si="9"/>
        <v>0.10782381839033965</v>
      </c>
      <c r="R26" s="777">
        <f t="shared" si="9"/>
        <v>0.75335570319945622</v>
      </c>
      <c r="S26" s="783">
        <f>IF($A$1="urban",'Calibration Data'!$R68,RuralCalibration!$R68)</f>
        <v>1.3509137852762729</v>
      </c>
    </row>
    <row r="27" spans="1:24" x14ac:dyDescent="0.25">
      <c r="A27" s="49" t="s">
        <v>71</v>
      </c>
      <c r="B27" s="50">
        <v>1</v>
      </c>
      <c r="C27" s="50" t="s">
        <v>35</v>
      </c>
      <c r="D27" s="775">
        <f t="shared" si="6"/>
        <v>45490.6</v>
      </c>
      <c r="E27" s="880">
        <v>75</v>
      </c>
      <c r="F27" s="870">
        <v>242.97207991583201</v>
      </c>
      <c r="G27" s="870">
        <v>62.068938968543435</v>
      </c>
      <c r="H27" s="875">
        <f t="shared" si="7"/>
        <v>305.04101888437543</v>
      </c>
      <c r="I27" s="775">
        <v>13268.2</v>
      </c>
      <c r="J27" s="880">
        <v>27.4</v>
      </c>
      <c r="K27" s="870">
        <v>87.6985972276089</v>
      </c>
      <c r="L27" s="870">
        <v>22.675852369841202</v>
      </c>
      <c r="M27" s="875">
        <f t="shared" si="8"/>
        <v>110.37444959745011</v>
      </c>
      <c r="N27" s="772">
        <f t="shared" si="10"/>
        <v>161.76700000000002</v>
      </c>
      <c r="O27" s="777">
        <f t="shared" si="9"/>
        <v>0.10923734820141458</v>
      </c>
      <c r="P27" s="777">
        <f t="shared" si="9"/>
        <v>0.34963365701196802</v>
      </c>
      <c r="Q27" s="777">
        <f t="shared" si="9"/>
        <v>9.0403283981321719E-2</v>
      </c>
      <c r="R27" s="777">
        <f t="shared" si="9"/>
        <v>0.44003694099328977</v>
      </c>
      <c r="S27" s="783">
        <f>IF($A$1="urban",'Calibration Data'!$R69,RuralCalibration!$R69)</f>
        <v>1.4662182845691674</v>
      </c>
      <c r="T27" s="784"/>
    </row>
    <row r="28" spans="1:24" x14ac:dyDescent="0.25">
      <c r="A28" s="49" t="s">
        <v>71</v>
      </c>
      <c r="B28" s="50">
        <v>2</v>
      </c>
      <c r="C28" s="50" t="s">
        <v>2</v>
      </c>
      <c r="D28" s="775">
        <f t="shared" si="6"/>
        <v>95879.4</v>
      </c>
      <c r="E28" s="880">
        <v>0</v>
      </c>
      <c r="F28" s="870">
        <v>0</v>
      </c>
      <c r="G28" s="870">
        <v>0</v>
      </c>
      <c r="H28" s="875">
        <f t="shared" si="7"/>
        <v>0</v>
      </c>
      <c r="I28" s="775">
        <v>18432</v>
      </c>
      <c r="J28" s="880">
        <v>0</v>
      </c>
      <c r="K28" s="870">
        <v>0</v>
      </c>
      <c r="L28" s="870">
        <v>0</v>
      </c>
      <c r="M28" s="875">
        <f t="shared" si="8"/>
        <v>0</v>
      </c>
      <c r="N28" s="772">
        <f t="shared" si="10"/>
        <v>130.55900000000003</v>
      </c>
      <c r="O28" s="777">
        <f t="shared" si="9"/>
        <v>0</v>
      </c>
      <c r="P28" s="777">
        <f t="shared" si="9"/>
        <v>0</v>
      </c>
      <c r="Q28" s="777">
        <f t="shared" si="9"/>
        <v>0</v>
      </c>
      <c r="R28" s="777">
        <f t="shared" si="9"/>
        <v>0</v>
      </c>
      <c r="S28" s="783">
        <f>IF($A$1="urban",'Calibration Data'!$R54,RuralCalibration!$R54)</f>
        <v>1</v>
      </c>
    </row>
    <row r="29" spans="1:24" x14ac:dyDescent="0.25">
      <c r="A29" s="49" t="s">
        <v>71</v>
      </c>
      <c r="B29" s="50">
        <v>2</v>
      </c>
      <c r="C29" s="50" t="s">
        <v>41</v>
      </c>
      <c r="D29" s="775">
        <f t="shared" si="6"/>
        <v>196469.6</v>
      </c>
      <c r="E29" s="880">
        <v>0</v>
      </c>
      <c r="F29" s="870">
        <v>0</v>
      </c>
      <c r="G29" s="870">
        <v>0</v>
      </c>
      <c r="H29" s="875">
        <f t="shared" si="7"/>
        <v>0</v>
      </c>
      <c r="I29" s="775">
        <v>37956.6</v>
      </c>
      <c r="J29" s="880">
        <v>0</v>
      </c>
      <c r="K29" s="870">
        <v>0</v>
      </c>
      <c r="L29" s="870">
        <v>0</v>
      </c>
      <c r="M29" s="875">
        <f t="shared" si="8"/>
        <v>0</v>
      </c>
      <c r="N29" s="772">
        <f t="shared" si="10"/>
        <v>274.73000000000008</v>
      </c>
      <c r="O29" s="777">
        <f t="shared" si="9"/>
        <v>0</v>
      </c>
      <c r="P29" s="777">
        <f t="shared" si="9"/>
        <v>0</v>
      </c>
      <c r="Q29" s="777">
        <f t="shared" si="9"/>
        <v>0</v>
      </c>
      <c r="R29" s="777">
        <f t="shared" si="9"/>
        <v>0</v>
      </c>
      <c r="S29" s="783">
        <f>IF($A$1="urban",'Calibration Data'!$R55,RuralCalibration!$R55)</f>
        <v>1</v>
      </c>
    </row>
    <row r="30" spans="1:24" x14ac:dyDescent="0.25">
      <c r="A30" s="49" t="s">
        <v>71</v>
      </c>
      <c r="B30" s="50">
        <v>2</v>
      </c>
      <c r="C30" s="50" t="s">
        <v>40</v>
      </c>
      <c r="D30" s="775">
        <f t="shared" si="6"/>
        <v>327420</v>
      </c>
      <c r="E30" s="880">
        <v>0.2</v>
      </c>
      <c r="F30" s="870">
        <v>5.8473191765868204</v>
      </c>
      <c r="G30" s="870">
        <v>1.2002025719283214</v>
      </c>
      <c r="H30" s="875">
        <f t="shared" si="7"/>
        <v>7.047521748515142</v>
      </c>
      <c r="I30" s="775">
        <v>53626</v>
      </c>
      <c r="J30" s="880">
        <v>0</v>
      </c>
      <c r="K30" s="870">
        <v>0</v>
      </c>
      <c r="L30" s="870">
        <v>0.19657340150946231</v>
      </c>
      <c r="M30" s="875">
        <f t="shared" si="8"/>
        <v>0.19657340150946231</v>
      </c>
      <c r="N30" s="772">
        <f t="shared" si="10"/>
        <v>418.07100000000008</v>
      </c>
      <c r="O30" s="777">
        <f t="shared" si="9"/>
        <v>0</v>
      </c>
      <c r="P30" s="777">
        <f t="shared" si="9"/>
        <v>0</v>
      </c>
      <c r="Q30" s="777">
        <f t="shared" si="9"/>
        <v>1.9192134576952673E-4</v>
      </c>
      <c r="R30" s="777">
        <f t="shared" si="9"/>
        <v>1.9192134576952673E-4</v>
      </c>
      <c r="S30" s="783">
        <f>IF($A$1="urban",'Calibration Data'!$R56,RuralCalibration!$R56)</f>
        <v>1</v>
      </c>
    </row>
    <row r="31" spans="1:24" x14ac:dyDescent="0.25">
      <c r="A31" s="49" t="s">
        <v>71</v>
      </c>
      <c r="B31" s="50">
        <v>2</v>
      </c>
      <c r="C31" s="50" t="s">
        <v>39</v>
      </c>
      <c r="D31" s="775">
        <f t="shared" si="6"/>
        <v>327918</v>
      </c>
      <c r="E31" s="880">
        <v>8.4</v>
      </c>
      <c r="F31" s="870">
        <v>203.01839315065499</v>
      </c>
      <c r="G31" s="870">
        <v>13.321257582710391</v>
      </c>
      <c r="H31" s="875">
        <f t="shared" si="7"/>
        <v>216.33965073336537</v>
      </c>
      <c r="I31" s="775">
        <v>51801</v>
      </c>
      <c r="J31" s="880">
        <v>1.4</v>
      </c>
      <c r="K31" s="870">
        <v>34.166097087136002</v>
      </c>
      <c r="L31" s="870">
        <v>2.1043506731621346</v>
      </c>
      <c r="M31" s="875">
        <f t="shared" si="8"/>
        <v>36.27044776029814</v>
      </c>
      <c r="N31" s="772">
        <f t="shared" si="10"/>
        <v>405.04</v>
      </c>
      <c r="O31" s="777">
        <f t="shared" si="9"/>
        <v>1.3222524548448229E-3</v>
      </c>
      <c r="P31" s="777">
        <f t="shared" si="9"/>
        <v>3.2268718389951524E-2</v>
      </c>
      <c r="Q31" s="777">
        <f t="shared" si="9"/>
        <v>1.9874877453164201E-3</v>
      </c>
      <c r="R31" s="777">
        <f t="shared" si="9"/>
        <v>3.4256206135267947E-2</v>
      </c>
      <c r="S31" s="783">
        <f>IF($A$1="urban",'Calibration Data'!$R57,RuralCalibration!$R57)</f>
        <v>1</v>
      </c>
    </row>
    <row r="32" spans="1:24" x14ac:dyDescent="0.25">
      <c r="A32" s="49" t="s">
        <v>71</v>
      </c>
      <c r="B32" s="50">
        <v>2</v>
      </c>
      <c r="C32" s="50" t="s">
        <v>38</v>
      </c>
      <c r="D32" s="775">
        <f t="shared" si="6"/>
        <v>337487.2</v>
      </c>
      <c r="E32" s="880">
        <v>34</v>
      </c>
      <c r="F32" s="870">
        <v>601.24062340588398</v>
      </c>
      <c r="G32" s="870">
        <v>55.127128152056336</v>
      </c>
      <c r="H32" s="875">
        <f t="shared" si="7"/>
        <v>656.36775155794032</v>
      </c>
      <c r="I32" s="775">
        <v>71962</v>
      </c>
      <c r="J32" s="880">
        <v>8.8000000000000007</v>
      </c>
      <c r="K32" s="870">
        <v>157.977776770416</v>
      </c>
      <c r="L32" s="870">
        <v>15.108492401602957</v>
      </c>
      <c r="M32" s="875">
        <f t="shared" si="8"/>
        <v>173.08626917201894</v>
      </c>
      <c r="N32" s="772">
        <f t="shared" si="10"/>
        <v>543.15200000000004</v>
      </c>
      <c r="O32" s="777">
        <f t="shared" si="9"/>
        <v>1.0829301317241642E-2</v>
      </c>
      <c r="P32" s="777">
        <f t="shared" si="9"/>
        <v>0.19440783478122406</v>
      </c>
      <c r="Q32" s="777">
        <f t="shared" si="9"/>
        <v>1.8592547348433436E-2</v>
      </c>
      <c r="R32" s="777">
        <f t="shared" si="9"/>
        <v>0.21300038212965755</v>
      </c>
      <c r="S32" s="783">
        <f>IF($A$1="urban",'Calibration Data'!$R58,RuralCalibration!$R58)</f>
        <v>1</v>
      </c>
    </row>
    <row r="33" spans="1:20" x14ac:dyDescent="0.25">
      <c r="A33" s="49" t="s">
        <v>71</v>
      </c>
      <c r="B33" s="50">
        <v>2</v>
      </c>
      <c r="C33" s="50" t="s">
        <v>37</v>
      </c>
      <c r="D33" s="775">
        <f t="shared" si="6"/>
        <v>176202.8</v>
      </c>
      <c r="E33" s="880">
        <v>45.4</v>
      </c>
      <c r="F33" s="870">
        <v>568.31958633360898</v>
      </c>
      <c r="G33" s="870">
        <v>63.613957862302165</v>
      </c>
      <c r="H33" s="875">
        <f t="shared" si="7"/>
        <v>631.93354419591117</v>
      </c>
      <c r="I33" s="775">
        <v>45270.8</v>
      </c>
      <c r="J33" s="880">
        <v>15.8</v>
      </c>
      <c r="K33" s="870">
        <v>196.17310113072699</v>
      </c>
      <c r="L33" s="870">
        <v>22.138778286880491</v>
      </c>
      <c r="M33" s="875">
        <f t="shared" si="8"/>
        <v>218.31187941760749</v>
      </c>
      <c r="N33" s="772">
        <f t="shared" si="10"/>
        <v>399.14700000000005</v>
      </c>
      <c r="O33" s="777">
        <f t="shared" si="9"/>
        <v>3.4151576143177834E-2</v>
      </c>
      <c r="P33" s="777">
        <f t="shared" si="9"/>
        <v>0.42402662028540172</v>
      </c>
      <c r="Q33" s="777">
        <f t="shared" si="9"/>
        <v>4.7852795720337411E-2</v>
      </c>
      <c r="R33" s="777">
        <f t="shared" si="9"/>
        <v>0.47187941600573913</v>
      </c>
      <c r="S33" s="783">
        <f>IF($A$1="urban",'Calibration Data'!$R59,RuralCalibration!$R59)</f>
        <v>1.2479003667115827</v>
      </c>
    </row>
    <row r="34" spans="1:20" x14ac:dyDescent="0.25">
      <c r="A34" s="49" t="s">
        <v>71</v>
      </c>
      <c r="B34" s="50">
        <v>2</v>
      </c>
      <c r="C34" s="50" t="s">
        <v>36</v>
      </c>
      <c r="D34" s="775">
        <f t="shared" si="6"/>
        <v>91991</v>
      </c>
      <c r="E34" s="880">
        <v>51.8</v>
      </c>
      <c r="F34" s="870">
        <v>400.249205166038</v>
      </c>
      <c r="G34" s="870">
        <v>61.570817961919438</v>
      </c>
      <c r="H34" s="875">
        <f t="shared" si="7"/>
        <v>461.82002312795743</v>
      </c>
      <c r="I34" s="775">
        <v>27046</v>
      </c>
      <c r="J34" s="880">
        <v>20</v>
      </c>
      <c r="K34" s="870">
        <v>154.598058470414</v>
      </c>
      <c r="L34" s="870">
        <v>23.772516587613683</v>
      </c>
      <c r="M34" s="875">
        <f t="shared" si="8"/>
        <v>178.3705750580277</v>
      </c>
      <c r="N34" s="772">
        <f t="shared" si="10"/>
        <v>257.71500000000003</v>
      </c>
      <c r="O34" s="777">
        <f t="shared" si="9"/>
        <v>4.9455822400810007E-2</v>
      </c>
      <c r="P34" s="777">
        <f t="shared" si="9"/>
        <v>0.38228870616114186</v>
      </c>
      <c r="Q34" s="777">
        <f t="shared" si="9"/>
        <v>5.8784467918866629E-2</v>
      </c>
      <c r="R34" s="777">
        <f t="shared" si="9"/>
        <v>0.44107317408000851</v>
      </c>
      <c r="S34" s="783">
        <f>IF($A$1="urban",'Calibration Data'!$R60,RuralCalibration!$R60)</f>
        <v>1.1543549964979585</v>
      </c>
    </row>
    <row r="35" spans="1:20" ht="15.75" thickBot="1" x14ac:dyDescent="0.3">
      <c r="A35" s="49" t="s">
        <v>71</v>
      </c>
      <c r="B35" s="50">
        <v>2</v>
      </c>
      <c r="C35" s="50" t="s">
        <v>35</v>
      </c>
      <c r="D35" s="775">
        <f t="shared" si="6"/>
        <v>76048.800000000003</v>
      </c>
      <c r="E35" s="881">
        <v>113.2</v>
      </c>
      <c r="F35" s="877">
        <v>394.99623030321698</v>
      </c>
      <c r="G35" s="877">
        <v>92.849627166607732</v>
      </c>
      <c r="H35" s="878">
        <f t="shared" si="7"/>
        <v>487.84585746982469</v>
      </c>
      <c r="I35" s="775">
        <v>18745.8</v>
      </c>
      <c r="J35" s="881">
        <v>28</v>
      </c>
      <c r="K35" s="877">
        <v>102.212927882757</v>
      </c>
      <c r="L35" s="877">
        <v>22.966338875132653</v>
      </c>
      <c r="M35" s="878">
        <f t="shared" si="8"/>
        <v>125.17926675788965</v>
      </c>
      <c r="N35" s="772">
        <f t="shared" si="10"/>
        <v>130.97400000000002</v>
      </c>
      <c r="O35" s="777">
        <f t="shared" si="9"/>
        <v>4.7604401220909288E-2</v>
      </c>
      <c r="P35" s="777">
        <f t="shared" si="9"/>
        <v>0.17377804388909393</v>
      </c>
      <c r="Q35" s="777">
        <f t="shared" si="9"/>
        <v>3.9046386085256478E-2</v>
      </c>
      <c r="R35" s="777">
        <f t="shared" si="9"/>
        <v>0.21282442997435047</v>
      </c>
      <c r="S35" s="783">
        <f>IF($A$1="urban",'Calibration Data'!$R61,RuralCalibration!$R61)</f>
        <v>1.2910488090374714</v>
      </c>
    </row>
    <row r="36" spans="1:20" ht="15.75" thickBot="1" x14ac:dyDescent="0.3">
      <c r="A36" s="49" t="s">
        <v>70</v>
      </c>
      <c r="D36" s="775">
        <f t="shared" ref="D36:N36" si="11">SUM(D20:D35)</f>
        <v>3216773</v>
      </c>
      <c r="E36" s="779">
        <f t="shared" si="11"/>
        <v>508.99999999999994</v>
      </c>
      <c r="F36" s="779">
        <f t="shared" si="11"/>
        <v>4546.2145777786836</v>
      </c>
      <c r="G36" s="779">
        <f t="shared" si="11"/>
        <v>591.40940640035535</v>
      </c>
      <c r="H36" s="780">
        <f t="shared" si="11"/>
        <v>5137.6239841790375</v>
      </c>
      <c r="I36" s="775">
        <f t="shared" si="11"/>
        <v>651949.20000000019</v>
      </c>
      <c r="J36" s="779">
        <f t="shared" si="11"/>
        <v>160.6</v>
      </c>
      <c r="K36" s="779">
        <f t="shared" si="11"/>
        <v>1367.5228228502847</v>
      </c>
      <c r="L36" s="779">
        <f t="shared" si="11"/>
        <v>185.68167511692346</v>
      </c>
      <c r="M36" s="780">
        <f t="shared" si="11"/>
        <v>1553.2044979672082</v>
      </c>
      <c r="N36" s="779">
        <f t="shared" si="11"/>
        <v>5192.2310000000007</v>
      </c>
      <c r="O36" s="782">
        <f>SUM(O20:O35)</f>
        <v>0.41961892869838585</v>
      </c>
      <c r="P36" s="782">
        <f>SUM(P20:P35)</f>
        <v>3.2262791101461934</v>
      </c>
      <c r="Q36" s="782">
        <f>SUM(Q20:Q35)</f>
        <v>0.47987975871696198</v>
      </c>
      <c r="R36" s="782">
        <f>SUM(R20:R35)</f>
        <v>3.7061588688631542</v>
      </c>
      <c r="S36" s="368"/>
    </row>
    <row r="37" spans="1:20" x14ac:dyDescent="0.25">
      <c r="A37" s="786" t="s">
        <v>189</v>
      </c>
      <c r="B37" s="50">
        <v>1</v>
      </c>
      <c r="C37" s="50" t="s">
        <v>2</v>
      </c>
      <c r="D37" s="775">
        <f t="shared" ref="D37:D52" si="12">D3</f>
        <v>100771.8</v>
      </c>
      <c r="E37" s="879">
        <v>0</v>
      </c>
      <c r="F37" s="872">
        <v>0</v>
      </c>
      <c r="G37" s="872">
        <v>3.70121585861308E-2</v>
      </c>
      <c r="H37" s="873">
        <f>F37+G37</f>
        <v>3.70121585861308E-2</v>
      </c>
      <c r="I37" s="775">
        <v>19204.2</v>
      </c>
      <c r="J37" s="879">
        <v>0</v>
      </c>
      <c r="K37" s="872">
        <v>0</v>
      </c>
      <c r="L37" s="872">
        <v>7.0534504287883427E-3</v>
      </c>
      <c r="M37" s="873">
        <f>K37+L37</f>
        <v>7.0534504287883427E-3</v>
      </c>
      <c r="N37" s="772">
        <f>N20</f>
        <v>126.32600000000001</v>
      </c>
      <c r="O37" s="777">
        <f t="shared" ref="O37:P52" si="13">$S37*(E37)/$D37*$N37</f>
        <v>0</v>
      </c>
      <c r="P37" s="777">
        <f>$S37*((F37)/$D37*$N37)</f>
        <v>0</v>
      </c>
      <c r="Q37" s="777">
        <f t="shared" ref="Q37:R52" si="14">$S37*(G37)/$D37*$N37</f>
        <v>4.6397880612944886E-5</v>
      </c>
      <c r="R37" s="777">
        <f t="shared" si="14"/>
        <v>4.6397880612944886E-5</v>
      </c>
      <c r="S37" s="368">
        <f>IF($A$1="urban",'Calibration Data'!$R126,RuralCalibration!$R126)</f>
        <v>1</v>
      </c>
    </row>
    <row r="38" spans="1:20" x14ac:dyDescent="0.25">
      <c r="A38" s="786" t="s">
        <v>189</v>
      </c>
      <c r="B38" s="50">
        <v>1</v>
      </c>
      <c r="C38" s="50" t="s">
        <v>41</v>
      </c>
      <c r="D38" s="775">
        <f t="shared" si="12"/>
        <v>205830</v>
      </c>
      <c r="E38" s="880">
        <v>0</v>
      </c>
      <c r="F38" s="870">
        <v>0</v>
      </c>
      <c r="G38" s="870">
        <v>0.15662740816423851</v>
      </c>
      <c r="H38" s="875">
        <f t="shared" ref="H38:H52" si="15">F38+G38</f>
        <v>0.15662740816423851</v>
      </c>
      <c r="I38" s="775">
        <v>39373.4</v>
      </c>
      <c r="J38" s="880">
        <v>0</v>
      </c>
      <c r="K38" s="870">
        <v>0</v>
      </c>
      <c r="L38" s="870">
        <v>2.996139334700398E-2</v>
      </c>
      <c r="M38" s="875">
        <f t="shared" ref="M38:M52" si="16">K38+L38</f>
        <v>2.996139334700398E-2</v>
      </c>
      <c r="N38" s="772">
        <f>N21</f>
        <v>267.42600000000004</v>
      </c>
      <c r="O38" s="777">
        <f t="shared" si="13"/>
        <v>0</v>
      </c>
      <c r="P38" s="777">
        <f t="shared" si="13"/>
        <v>0</v>
      </c>
      <c r="Q38" s="777">
        <f t="shared" si="14"/>
        <v>2.0349920446839455E-4</v>
      </c>
      <c r="R38" s="777">
        <f t="shared" si="14"/>
        <v>2.0349920446839455E-4</v>
      </c>
      <c r="S38" s="368">
        <f>IF($A$1="urban",'Calibration Data'!$R127,RuralCalibration!$R127)</f>
        <v>1</v>
      </c>
    </row>
    <row r="39" spans="1:20" x14ac:dyDescent="0.25">
      <c r="A39" s="786" t="s">
        <v>189</v>
      </c>
      <c r="B39" s="50">
        <v>1</v>
      </c>
      <c r="C39" s="50" t="s">
        <v>40</v>
      </c>
      <c r="D39" s="775">
        <f t="shared" si="12"/>
        <v>333948</v>
      </c>
      <c r="E39" s="880">
        <v>0.2</v>
      </c>
      <c r="F39" s="870">
        <v>5.7656827754770799</v>
      </c>
      <c r="G39" s="870">
        <v>1.717403298588041</v>
      </c>
      <c r="H39" s="875">
        <f t="shared" si="15"/>
        <v>7.4830860740651204</v>
      </c>
      <c r="I39" s="775">
        <v>59712.800000000003</v>
      </c>
      <c r="J39" s="880">
        <v>0</v>
      </c>
      <c r="K39" s="870">
        <v>0</v>
      </c>
      <c r="L39" s="870">
        <v>0.30708661135244997</v>
      </c>
      <c r="M39" s="875">
        <f t="shared" si="16"/>
        <v>0.30708661135244997</v>
      </c>
      <c r="N39" s="772">
        <f t="shared" ref="N39:N52" si="17">N22</f>
        <v>408.11100000000005</v>
      </c>
      <c r="O39" s="777">
        <f t="shared" si="13"/>
        <v>2.4441589708577388E-4</v>
      </c>
      <c r="P39" s="777">
        <f t="shared" si="13"/>
        <v>7.0461226394011251E-3</v>
      </c>
      <c r="Q39" s="777">
        <f t="shared" si="14"/>
        <v>2.0988033394123157E-3</v>
      </c>
      <c r="R39" s="777">
        <f t="shared" si="14"/>
        <v>9.14492597881344E-3</v>
      </c>
      <c r="S39" s="368">
        <f>IF($A$1="urban",'Calibration Data'!$R128,RuralCalibration!$R128)</f>
        <v>1</v>
      </c>
    </row>
    <row r="40" spans="1:20" x14ac:dyDescent="0.25">
      <c r="A40" s="786" t="s">
        <v>189</v>
      </c>
      <c r="B40" s="50">
        <v>1</v>
      </c>
      <c r="C40" s="50" t="s">
        <v>39</v>
      </c>
      <c r="D40" s="775">
        <f t="shared" si="12"/>
        <v>334802.40000000002</v>
      </c>
      <c r="E40" s="880">
        <v>1.2</v>
      </c>
      <c r="F40" s="870">
        <v>29.383636116822501</v>
      </c>
      <c r="G40" s="870">
        <v>5.9331398821240411</v>
      </c>
      <c r="H40" s="875">
        <f t="shared" si="15"/>
        <v>35.31677599894654</v>
      </c>
      <c r="I40" s="775">
        <v>54951</v>
      </c>
      <c r="J40" s="880">
        <v>0.2</v>
      </c>
      <c r="K40" s="870">
        <v>4.4370837293239402</v>
      </c>
      <c r="L40" s="870">
        <v>0.97380415929694109</v>
      </c>
      <c r="M40" s="875">
        <f t="shared" si="16"/>
        <v>5.4108878886208815</v>
      </c>
      <c r="N40" s="772">
        <f t="shared" si="17"/>
        <v>393.50300000000004</v>
      </c>
      <c r="O40" s="777">
        <f t="shared" si="13"/>
        <v>1.4103949075633866E-3</v>
      </c>
      <c r="P40" s="777">
        <f t="shared" si="13"/>
        <v>3.4535442287385053E-2</v>
      </c>
      <c r="Q40" s="777">
        <f t="shared" si="14"/>
        <v>6.9733918963408165E-3</v>
      </c>
      <c r="R40" s="777">
        <f t="shared" si="14"/>
        <v>4.1508834183725862E-2</v>
      </c>
      <c r="S40" s="368">
        <f>IF($A$1="urban",'Calibration Data'!$R129,RuralCalibration!$R129)</f>
        <v>1</v>
      </c>
    </row>
    <row r="41" spans="1:20" x14ac:dyDescent="0.25">
      <c r="A41" s="786" t="s">
        <v>189</v>
      </c>
      <c r="B41" s="50">
        <v>1</v>
      </c>
      <c r="C41" s="50" t="s">
        <v>38</v>
      </c>
      <c r="D41" s="775">
        <f t="shared" si="12"/>
        <v>324395.59999999998</v>
      </c>
      <c r="E41" s="880">
        <v>8.4</v>
      </c>
      <c r="F41" s="870">
        <v>142.329395968141</v>
      </c>
      <c r="G41" s="870">
        <v>18.838430786287642</v>
      </c>
      <c r="H41" s="875">
        <f t="shared" si="15"/>
        <v>161.16782675442863</v>
      </c>
      <c r="I41" s="775">
        <v>70272</v>
      </c>
      <c r="J41" s="880">
        <v>4</v>
      </c>
      <c r="K41" s="870">
        <v>66.974667411552105</v>
      </c>
      <c r="L41" s="870">
        <v>4.0808636375277754</v>
      </c>
      <c r="M41" s="875">
        <f t="shared" si="16"/>
        <v>71.055531049079875</v>
      </c>
      <c r="N41" s="772">
        <f t="shared" si="17"/>
        <v>581.00000000000011</v>
      </c>
      <c r="O41" s="777">
        <f t="shared" si="13"/>
        <v>1.5044593699791248E-2</v>
      </c>
      <c r="P41" s="777">
        <f t="shared" si="13"/>
        <v>0.25491523022349855</v>
      </c>
      <c r="Q41" s="777">
        <f t="shared" si="14"/>
        <v>3.3740063943016249E-2</v>
      </c>
      <c r="R41" s="777">
        <f t="shared" si="14"/>
        <v>0.28865529416651475</v>
      </c>
      <c r="S41" s="368">
        <f>IF($A$1="urban",'Calibration Data'!$R130,RuralCalibration!$R130)</f>
        <v>1</v>
      </c>
    </row>
    <row r="42" spans="1:20" x14ac:dyDescent="0.25">
      <c r="A42" s="786" t="s">
        <v>189</v>
      </c>
      <c r="B42" s="50">
        <v>1</v>
      </c>
      <c r="C42" s="50" t="s">
        <v>37</v>
      </c>
      <c r="D42" s="775">
        <f t="shared" si="12"/>
        <v>163949.4</v>
      </c>
      <c r="E42" s="880">
        <v>10.199999999999999</v>
      </c>
      <c r="F42" s="870">
        <v>113.82465916549999</v>
      </c>
      <c r="G42" s="870">
        <v>5.3182173601039171</v>
      </c>
      <c r="H42" s="875">
        <f t="shared" si="15"/>
        <v>119.14287652560391</v>
      </c>
      <c r="I42" s="775">
        <v>44455</v>
      </c>
      <c r="J42" s="880">
        <v>1.2</v>
      </c>
      <c r="K42" s="870">
        <v>12.9936740190342</v>
      </c>
      <c r="L42" s="870">
        <v>5.495331121639432</v>
      </c>
      <c r="M42" s="875">
        <f t="shared" si="16"/>
        <v>18.489005140673633</v>
      </c>
      <c r="N42" s="772">
        <f t="shared" si="17"/>
        <v>422.47000000000008</v>
      </c>
      <c r="O42" s="777">
        <f t="shared" si="13"/>
        <v>2.6283682648426898E-2</v>
      </c>
      <c r="P42" s="777">
        <f t="shared" si="13"/>
        <v>0.29330698226189783</v>
      </c>
      <c r="Q42" s="777">
        <f t="shared" si="14"/>
        <v>1.370415072042412E-2</v>
      </c>
      <c r="R42" s="777">
        <f t="shared" si="14"/>
        <v>0.30701113298232197</v>
      </c>
      <c r="S42" s="368">
        <f>IF($A$1="urban",'Calibration Data'!$R131,RuralCalibration!$R131)</f>
        <v>1</v>
      </c>
    </row>
    <row r="43" spans="1:20" x14ac:dyDescent="0.25">
      <c r="A43" s="786" t="s">
        <v>189</v>
      </c>
      <c r="B43" s="50">
        <v>1</v>
      </c>
      <c r="C43" s="50" t="s">
        <v>36</v>
      </c>
      <c r="D43" s="775">
        <f t="shared" si="12"/>
        <v>78168.399999999994</v>
      </c>
      <c r="E43" s="880">
        <v>9.8000000000000007</v>
      </c>
      <c r="F43" s="870">
        <v>62.339661325500103</v>
      </c>
      <c r="G43" s="870">
        <v>18.63086021027798</v>
      </c>
      <c r="H43" s="875">
        <f t="shared" si="15"/>
        <v>80.97052153577809</v>
      </c>
      <c r="I43" s="775">
        <v>25872.400000000001</v>
      </c>
      <c r="J43" s="880">
        <v>3.2</v>
      </c>
      <c r="K43" s="870">
        <v>21.161636244135298</v>
      </c>
      <c r="L43" s="870">
        <v>6.1664952551721166</v>
      </c>
      <c r="M43" s="875">
        <f t="shared" si="16"/>
        <v>27.328131499307414</v>
      </c>
      <c r="N43" s="772">
        <f t="shared" si="17"/>
        <v>272.24</v>
      </c>
      <c r="O43" s="777">
        <f t="shared" si="13"/>
        <v>3.413082524396048E-2</v>
      </c>
      <c r="P43" s="777">
        <f t="shared" si="13"/>
        <v>0.21711266188452305</v>
      </c>
      <c r="Q43" s="777">
        <f t="shared" si="14"/>
        <v>6.4886391222617801E-2</v>
      </c>
      <c r="R43" s="777">
        <f t="shared" si="14"/>
        <v>0.28199905310714085</v>
      </c>
      <c r="S43" s="368">
        <f>IF($A$1="urban",'Calibration Data'!$R132,RuralCalibration!$R132)</f>
        <v>1</v>
      </c>
    </row>
    <row r="44" spans="1:20" x14ac:dyDescent="0.25">
      <c r="A44" s="786" t="s">
        <v>189</v>
      </c>
      <c r="B44" s="50">
        <v>1</v>
      </c>
      <c r="C44" s="50" t="s">
        <v>35</v>
      </c>
      <c r="D44" s="775">
        <f t="shared" si="12"/>
        <v>45490.6</v>
      </c>
      <c r="E44" s="880">
        <v>38</v>
      </c>
      <c r="F44" s="870">
        <v>114.16904321605701</v>
      </c>
      <c r="G44" s="870">
        <v>11.437159641021276</v>
      </c>
      <c r="H44" s="875">
        <f t="shared" si="15"/>
        <v>125.60620285707829</v>
      </c>
      <c r="I44" s="775">
        <v>13268.2</v>
      </c>
      <c r="J44" s="880">
        <v>12.2</v>
      </c>
      <c r="K44" s="870">
        <v>37.6479868110222</v>
      </c>
      <c r="L44" s="870">
        <v>3.67193020053841</v>
      </c>
      <c r="M44" s="875">
        <f t="shared" si="16"/>
        <v>41.319917011560612</v>
      </c>
      <c r="N44" s="772">
        <f t="shared" si="17"/>
        <v>161.76700000000002</v>
      </c>
      <c r="O44" s="777">
        <f t="shared" si="13"/>
        <v>4.8666086377589589E-2</v>
      </c>
      <c r="P44" s="777">
        <f t="shared" si="13"/>
        <v>0.14621475049472077</v>
      </c>
      <c r="Q44" s="777">
        <f t="shared" si="14"/>
        <v>1.4647415763269027E-2</v>
      </c>
      <c r="R44" s="777">
        <f t="shared" si="14"/>
        <v>0.1608621662579898</v>
      </c>
      <c r="S44" s="368">
        <f>IF($A$1="urban",'Calibration Data'!$R133,RuralCalibration!$R133)</f>
        <v>0.36014265302440784</v>
      </c>
      <c r="T44" s="784"/>
    </row>
    <row r="45" spans="1:20" x14ac:dyDescent="0.25">
      <c r="A45" s="786" t="s">
        <v>189</v>
      </c>
      <c r="B45" s="50">
        <v>2</v>
      </c>
      <c r="C45" s="50" t="s">
        <v>2</v>
      </c>
      <c r="D45" s="775">
        <f t="shared" si="12"/>
        <v>95879.4</v>
      </c>
      <c r="E45" s="880">
        <v>0</v>
      </c>
      <c r="F45" s="870">
        <v>0</v>
      </c>
      <c r="G45" s="870">
        <v>2.3315380498050233E-2</v>
      </c>
      <c r="H45" s="875">
        <f t="shared" si="15"/>
        <v>2.3315380498050233E-2</v>
      </c>
      <c r="I45" s="775">
        <v>18432</v>
      </c>
      <c r="J45" s="880">
        <v>0</v>
      </c>
      <c r="K45" s="870">
        <v>0</v>
      </c>
      <c r="L45" s="870">
        <v>4.4821837990231678E-3</v>
      </c>
      <c r="M45" s="875">
        <f t="shared" si="16"/>
        <v>4.4821837990231678E-3</v>
      </c>
      <c r="N45" s="772">
        <f t="shared" si="17"/>
        <v>130.55900000000003</v>
      </c>
      <c r="O45" s="777">
        <f t="shared" si="13"/>
        <v>0</v>
      </c>
      <c r="P45" s="777">
        <f t="shared" si="13"/>
        <v>0</v>
      </c>
      <c r="Q45" s="777">
        <f t="shared" si="14"/>
        <v>3.1748558735713209E-5</v>
      </c>
      <c r="R45" s="777">
        <f t="shared" si="14"/>
        <v>3.1748558735713209E-5</v>
      </c>
      <c r="S45" s="368">
        <f>IF($A$1="urban",'Calibration Data'!$R118,RuralCalibration!$R118)</f>
        <v>1</v>
      </c>
    </row>
    <row r="46" spans="1:20" x14ac:dyDescent="0.25">
      <c r="A46" s="786" t="s">
        <v>189</v>
      </c>
      <c r="B46" s="50">
        <v>2</v>
      </c>
      <c r="C46" s="50" t="s">
        <v>41</v>
      </c>
      <c r="D46" s="775">
        <f t="shared" si="12"/>
        <v>196469.6</v>
      </c>
      <c r="E46" s="880">
        <v>0</v>
      </c>
      <c r="F46" s="870">
        <v>0</v>
      </c>
      <c r="G46" s="870">
        <v>0.11256180781878018</v>
      </c>
      <c r="H46" s="875">
        <f t="shared" si="15"/>
        <v>0.11256180781878018</v>
      </c>
      <c r="I46" s="775">
        <v>37956.6</v>
      </c>
      <c r="J46" s="880">
        <v>0</v>
      </c>
      <c r="K46" s="870">
        <v>0</v>
      </c>
      <c r="L46" s="870">
        <v>2.1746181163163722E-2</v>
      </c>
      <c r="M46" s="875">
        <f t="shared" si="16"/>
        <v>2.1746181163163722E-2</v>
      </c>
      <c r="N46" s="772">
        <f t="shared" si="17"/>
        <v>274.73000000000008</v>
      </c>
      <c r="O46" s="777">
        <f t="shared" si="13"/>
        <v>0</v>
      </c>
      <c r="P46" s="777">
        <f t="shared" si="13"/>
        <v>0</v>
      </c>
      <c r="Q46" s="777">
        <f t="shared" si="14"/>
        <v>1.5739893328053545E-4</v>
      </c>
      <c r="R46" s="777">
        <f t="shared" si="14"/>
        <v>1.5739893328053545E-4</v>
      </c>
      <c r="S46" s="368">
        <f>IF($A$1="urban",'Calibration Data'!$R119,RuralCalibration!$R119)</f>
        <v>1</v>
      </c>
    </row>
    <row r="47" spans="1:20" x14ac:dyDescent="0.25">
      <c r="A47" s="786" t="s">
        <v>189</v>
      </c>
      <c r="B47" s="50">
        <v>2</v>
      </c>
      <c r="C47" s="50" t="s">
        <v>40</v>
      </c>
      <c r="D47" s="775">
        <f t="shared" si="12"/>
        <v>327420</v>
      </c>
      <c r="E47" s="880">
        <v>0</v>
      </c>
      <c r="F47" s="870">
        <v>0</v>
      </c>
      <c r="G47" s="870">
        <v>1.4092058039277593</v>
      </c>
      <c r="H47" s="875">
        <f t="shared" si="15"/>
        <v>1.4092058039277593</v>
      </c>
      <c r="I47" s="775">
        <v>53626</v>
      </c>
      <c r="J47" s="880">
        <v>0</v>
      </c>
      <c r="K47" s="870">
        <v>0</v>
      </c>
      <c r="L47" s="870">
        <v>0.23080468646212818</v>
      </c>
      <c r="M47" s="875">
        <f t="shared" si="16"/>
        <v>0.23080468646212818</v>
      </c>
      <c r="N47" s="772">
        <f t="shared" si="17"/>
        <v>418.07100000000008</v>
      </c>
      <c r="O47" s="777">
        <f t="shared" si="13"/>
        <v>0</v>
      </c>
      <c r="P47" s="777">
        <f t="shared" si="13"/>
        <v>0</v>
      </c>
      <c r="Q47" s="777">
        <f t="shared" si="14"/>
        <v>1.7993649735931904E-3</v>
      </c>
      <c r="R47" s="777">
        <f t="shared" si="14"/>
        <v>1.7993649735931904E-3</v>
      </c>
      <c r="S47" s="368">
        <f>IF($A$1="urban",'Calibration Data'!$R120,RuralCalibration!$R120)</f>
        <v>1</v>
      </c>
    </row>
    <row r="48" spans="1:20" x14ac:dyDescent="0.25">
      <c r="A48" s="786" t="s">
        <v>189</v>
      </c>
      <c r="B48" s="50">
        <v>2</v>
      </c>
      <c r="C48" s="50" t="s">
        <v>39</v>
      </c>
      <c r="D48" s="775">
        <f t="shared" si="12"/>
        <v>327918</v>
      </c>
      <c r="E48" s="880">
        <v>1.4</v>
      </c>
      <c r="F48" s="870">
        <v>34.201163118942802</v>
      </c>
      <c r="G48" s="870">
        <v>6.2512752189968914</v>
      </c>
      <c r="H48" s="875">
        <f t="shared" si="15"/>
        <v>40.452438337939697</v>
      </c>
      <c r="I48" s="775">
        <v>51801</v>
      </c>
      <c r="J48" s="880">
        <v>0</v>
      </c>
      <c r="K48" s="870">
        <v>0</v>
      </c>
      <c r="L48" s="870">
        <v>0.98751001048816456</v>
      </c>
      <c r="M48" s="875">
        <f t="shared" si="16"/>
        <v>0.98751001048816456</v>
      </c>
      <c r="N48" s="772">
        <f t="shared" si="17"/>
        <v>405.04</v>
      </c>
      <c r="O48" s="777">
        <f t="shared" si="13"/>
        <v>1.7292615836886052E-3</v>
      </c>
      <c r="P48" s="777">
        <f t="shared" si="13"/>
        <v>4.2244826785039533E-2</v>
      </c>
      <c r="Q48" s="777">
        <f t="shared" si="14"/>
        <v>7.7214929180542125E-3</v>
      </c>
      <c r="R48" s="777">
        <f t="shared" si="14"/>
        <v>4.9966319703093745E-2</v>
      </c>
      <c r="S48" s="368">
        <f>IF($A$1="urban",'Calibration Data'!$R121,RuralCalibration!$R121)</f>
        <v>1</v>
      </c>
    </row>
    <row r="49" spans="1:22" x14ac:dyDescent="0.25">
      <c r="A49" s="786" t="s">
        <v>189</v>
      </c>
      <c r="B49" s="50">
        <v>2</v>
      </c>
      <c r="C49" s="50" t="s">
        <v>38</v>
      </c>
      <c r="D49" s="775">
        <f t="shared" si="12"/>
        <v>337487.2</v>
      </c>
      <c r="E49" s="880">
        <v>2.2000000000000002</v>
      </c>
      <c r="F49" s="870">
        <v>39.293252981452703</v>
      </c>
      <c r="G49" s="870">
        <v>21.208733505849963</v>
      </c>
      <c r="H49" s="875">
        <f t="shared" si="15"/>
        <v>60.501986487302666</v>
      </c>
      <c r="I49" s="775">
        <v>71962</v>
      </c>
      <c r="J49" s="880">
        <v>0.8</v>
      </c>
      <c r="K49" s="870">
        <v>15.1052685078942</v>
      </c>
      <c r="L49" s="870">
        <v>4.522313381212606</v>
      </c>
      <c r="M49" s="875">
        <f t="shared" si="16"/>
        <v>19.627581889106807</v>
      </c>
      <c r="N49" s="772">
        <f t="shared" si="17"/>
        <v>543.15200000000004</v>
      </c>
      <c r="O49" s="777">
        <f t="shared" si="13"/>
        <v>3.5406806539625803E-3</v>
      </c>
      <c r="P49" s="777">
        <f t="shared" si="13"/>
        <v>6.3238573028494116E-2</v>
      </c>
      <c r="Q49" s="777">
        <f t="shared" si="14"/>
        <v>3.4133342008732241E-2</v>
      </c>
      <c r="R49" s="777">
        <f t="shared" si="14"/>
        <v>9.737191503722635E-2</v>
      </c>
      <c r="S49" s="368">
        <f>IF($A$1="urban",'Calibration Data'!$R122,RuralCalibration!$R122)</f>
        <v>1</v>
      </c>
    </row>
    <row r="50" spans="1:22" x14ac:dyDescent="0.25">
      <c r="A50" s="786" t="s">
        <v>189</v>
      </c>
      <c r="B50" s="50">
        <v>2</v>
      </c>
      <c r="C50" s="50" t="s">
        <v>37</v>
      </c>
      <c r="D50" s="775">
        <f t="shared" si="12"/>
        <v>176202.8</v>
      </c>
      <c r="E50" s="880">
        <v>2.8</v>
      </c>
      <c r="F50" s="870">
        <v>33.473780656815201</v>
      </c>
      <c r="G50" s="870">
        <v>24.245458547530077</v>
      </c>
      <c r="H50" s="875">
        <f t="shared" si="15"/>
        <v>57.719239204345278</v>
      </c>
      <c r="I50" s="775">
        <v>45270.8</v>
      </c>
      <c r="J50" s="880">
        <v>1</v>
      </c>
      <c r="K50" s="870">
        <v>13.169144805312399</v>
      </c>
      <c r="L50" s="870">
        <v>6.2292500732878526</v>
      </c>
      <c r="M50" s="875">
        <f t="shared" si="16"/>
        <v>19.39839487860025</v>
      </c>
      <c r="N50" s="772">
        <f t="shared" si="17"/>
        <v>399.14700000000005</v>
      </c>
      <c r="O50" s="777">
        <f t="shared" si="13"/>
        <v>6.3427573228121235E-3</v>
      </c>
      <c r="P50" s="777">
        <f t="shared" si="13"/>
        <v>7.5827166922579098E-2</v>
      </c>
      <c r="Q50" s="777">
        <f t="shared" si="14"/>
        <v>5.4922521338315787E-2</v>
      </c>
      <c r="R50" s="777">
        <f t="shared" si="14"/>
        <v>0.13074968826089489</v>
      </c>
      <c r="S50" s="368">
        <f>IF($A$1="urban",'Calibration Data'!$R123,RuralCalibration!$R123)</f>
        <v>1</v>
      </c>
    </row>
    <row r="51" spans="1:22" x14ac:dyDescent="0.25">
      <c r="A51" s="786" t="s">
        <v>189</v>
      </c>
      <c r="B51" s="50">
        <v>2</v>
      </c>
      <c r="C51" s="50" t="s">
        <v>36</v>
      </c>
      <c r="D51" s="775">
        <f t="shared" si="12"/>
        <v>91991</v>
      </c>
      <c r="E51" s="880">
        <v>8.8000000000000007</v>
      </c>
      <c r="F51" s="870">
        <v>67.194088313794595</v>
      </c>
      <c r="G51" s="870">
        <v>26.140625844025273</v>
      </c>
      <c r="H51" s="875">
        <f t="shared" si="15"/>
        <v>93.33471415781986</v>
      </c>
      <c r="I51" s="775">
        <v>27046</v>
      </c>
      <c r="J51" s="880">
        <v>2.4</v>
      </c>
      <c r="K51" s="870">
        <v>18.482678898684</v>
      </c>
      <c r="L51" s="870">
        <v>7.6855275687568074</v>
      </c>
      <c r="M51" s="875">
        <f t="shared" si="16"/>
        <v>26.168206467440807</v>
      </c>
      <c r="N51" s="772">
        <f t="shared" si="17"/>
        <v>257.71500000000003</v>
      </c>
      <c r="O51" s="777">
        <f t="shared" si="13"/>
        <v>2.4653411746801322E-2</v>
      </c>
      <c r="P51" s="777">
        <f t="shared" si="13"/>
        <v>0.18824585524442147</v>
      </c>
      <c r="Q51" s="777">
        <f t="shared" si="14"/>
        <v>7.3233592301344408E-2</v>
      </c>
      <c r="R51" s="777">
        <f t="shared" si="14"/>
        <v>0.26147944754576585</v>
      </c>
      <c r="S51" s="368">
        <f>IF($A$1="urban",'Calibration Data'!$R124,RuralCalibration!$R124)</f>
        <v>1</v>
      </c>
    </row>
    <row r="52" spans="1:22" ht="15.75" thickBot="1" x14ac:dyDescent="0.3">
      <c r="A52" s="786" t="s">
        <v>189</v>
      </c>
      <c r="B52" s="50">
        <v>2</v>
      </c>
      <c r="C52" s="50" t="s">
        <v>35</v>
      </c>
      <c r="D52" s="775">
        <f t="shared" si="12"/>
        <v>76048.800000000003</v>
      </c>
      <c r="E52" s="881">
        <v>99.8</v>
      </c>
      <c r="F52" s="877">
        <v>310.34992315382198</v>
      </c>
      <c r="G52" s="877">
        <v>25.939581365609609</v>
      </c>
      <c r="H52" s="878">
        <f t="shared" si="15"/>
        <v>336.2895045194316</v>
      </c>
      <c r="I52" s="775">
        <v>18745.8</v>
      </c>
      <c r="J52" s="881">
        <v>20.2</v>
      </c>
      <c r="K52" s="877">
        <v>62.646862582526197</v>
      </c>
      <c r="L52" s="877">
        <v>5.2502960279089583</v>
      </c>
      <c r="M52" s="878">
        <f t="shared" si="16"/>
        <v>67.897158610435156</v>
      </c>
      <c r="N52" s="772">
        <f t="shared" si="17"/>
        <v>130.97400000000002</v>
      </c>
      <c r="O52" s="777">
        <f t="shared" si="13"/>
        <v>5.1104158140350235E-2</v>
      </c>
      <c r="P52" s="777">
        <f t="shared" si="13"/>
        <v>0.15891955462623708</v>
      </c>
      <c r="Q52" s="777">
        <f t="shared" si="14"/>
        <v>1.3282770222470897E-2</v>
      </c>
      <c r="R52" s="777">
        <f t="shared" si="14"/>
        <v>0.17220232484870801</v>
      </c>
      <c r="S52" s="368">
        <f>IF($A$1="urban",'Calibration Data'!$R125,RuralCalibration!$R125)</f>
        <v>0.2973260569410896</v>
      </c>
    </row>
    <row r="53" spans="1:22" ht="15.75" thickBot="1" x14ac:dyDescent="0.3">
      <c r="A53" s="786" t="s">
        <v>72</v>
      </c>
      <c r="D53" s="775">
        <f>SUM(D37:D52)</f>
        <v>3216773</v>
      </c>
      <c r="E53" s="779">
        <f t="shared" ref="E53:R53" si="18">SUM(E37:E52)</f>
        <v>182.8</v>
      </c>
      <c r="F53" s="779">
        <f t="shared" si="18"/>
        <v>952.32428679232498</v>
      </c>
      <c r="G53" s="779">
        <f t="shared" si="18"/>
        <v>167.39960821940966</v>
      </c>
      <c r="H53" s="780">
        <f t="shared" si="18"/>
        <v>1119.7238950117348</v>
      </c>
      <c r="I53" s="775">
        <f t="shared" ref="I53:M53" si="19">SUM(I37:I52)</f>
        <v>651949.20000000019</v>
      </c>
      <c r="J53" s="779">
        <f t="shared" si="19"/>
        <v>45.2</v>
      </c>
      <c r="K53" s="779">
        <f t="shared" si="19"/>
        <v>252.61900300948457</v>
      </c>
      <c r="L53" s="779">
        <f t="shared" si="19"/>
        <v>45.664455942381622</v>
      </c>
      <c r="M53" s="780">
        <f t="shared" si="19"/>
        <v>298.28345895186612</v>
      </c>
      <c r="N53" s="779">
        <f>SUM(N37:N52)</f>
        <v>5192.2310000000007</v>
      </c>
      <c r="O53" s="782">
        <f t="shared" si="18"/>
        <v>0.21315026822203223</v>
      </c>
      <c r="P53" s="782">
        <f t="shared" si="18"/>
        <v>1.4816071663981978</v>
      </c>
      <c r="Q53" s="782">
        <f t="shared" si="18"/>
        <v>0.3215823452246887</v>
      </c>
      <c r="R53" s="782">
        <f t="shared" si="18"/>
        <v>1.8031895116228864</v>
      </c>
      <c r="S53" s="787"/>
    </row>
    <row r="54" spans="1:22" x14ac:dyDescent="0.25">
      <c r="A54" s="786" t="s">
        <v>188</v>
      </c>
      <c r="B54" s="50">
        <v>1</v>
      </c>
      <c r="C54" s="50" t="s">
        <v>2</v>
      </c>
      <c r="D54" s="775">
        <f t="shared" ref="D54:D69" si="20">D20</f>
        <v>100771.8</v>
      </c>
      <c r="E54" s="879">
        <v>0</v>
      </c>
      <c r="F54" s="872">
        <v>0</v>
      </c>
      <c r="G54" s="872">
        <v>0.5736577463690572</v>
      </c>
      <c r="H54" s="873">
        <f>F54+G54</f>
        <v>0.5736577463690572</v>
      </c>
      <c r="I54" s="775">
        <v>19204.2</v>
      </c>
      <c r="J54" s="879">
        <v>0.2</v>
      </c>
      <c r="K54" s="872">
        <v>6.5271010896098298</v>
      </c>
      <c r="L54" s="872">
        <v>0.10932262887852204</v>
      </c>
      <c r="M54" s="873">
        <f>K54+L54</f>
        <v>6.6364237184883521</v>
      </c>
      <c r="N54" s="772">
        <f>N37</f>
        <v>126.32600000000001</v>
      </c>
      <c r="O54" s="777">
        <f t="shared" ref="O54:P69" si="21">$S54*(E54)/$D54*$N54</f>
        <v>0</v>
      </c>
      <c r="P54" s="777">
        <f>$S54*((F54)/$D54*$N54)</f>
        <v>0</v>
      </c>
      <c r="Q54" s="777">
        <f t="shared" ref="Q54:R69" si="22">$S54*(G54)/$D54*$N54</f>
        <v>7.1912864975933269E-4</v>
      </c>
      <c r="R54" s="777">
        <f t="shared" si="22"/>
        <v>7.1912864975933269E-4</v>
      </c>
      <c r="S54" s="788">
        <f>IF($A$1="urban",'Calibration Data'!$R142,RuralCalibration!$R142)</f>
        <v>1</v>
      </c>
      <c r="T54" s="772"/>
      <c r="U54" s="772"/>
      <c r="V54" s="772"/>
    </row>
    <row r="55" spans="1:22" x14ac:dyDescent="0.25">
      <c r="A55" s="786" t="s">
        <v>188</v>
      </c>
      <c r="B55" s="50">
        <v>1</v>
      </c>
      <c r="C55" s="50" t="s">
        <v>41</v>
      </c>
      <c r="D55" s="775">
        <f t="shared" si="20"/>
        <v>205830</v>
      </c>
      <c r="E55" s="880">
        <v>0</v>
      </c>
      <c r="F55" s="870">
        <v>0</v>
      </c>
      <c r="G55" s="870">
        <v>2.4198312983142181</v>
      </c>
      <c r="H55" s="875">
        <f t="shared" ref="H55:H69" si="23">F55+G55</f>
        <v>2.4198312983142181</v>
      </c>
      <c r="I55" s="775">
        <v>39373.4</v>
      </c>
      <c r="J55" s="880">
        <v>0</v>
      </c>
      <c r="K55" s="870">
        <v>0</v>
      </c>
      <c r="L55" s="870">
        <v>0.46289163698705266</v>
      </c>
      <c r="M55" s="875">
        <f t="shared" ref="M55:M69" si="24">K55+L55</f>
        <v>0.46289163698705266</v>
      </c>
      <c r="N55" s="772">
        <f>N38</f>
        <v>267.42600000000004</v>
      </c>
      <c r="O55" s="777">
        <f t="shared" si="21"/>
        <v>0</v>
      </c>
      <c r="P55" s="777">
        <f t="shared" si="21"/>
        <v>0</v>
      </c>
      <c r="Q55" s="777">
        <f t="shared" si="22"/>
        <v>3.1439819500703407E-3</v>
      </c>
      <c r="R55" s="777">
        <f t="shared" si="22"/>
        <v>3.1439819500703407E-3</v>
      </c>
      <c r="S55" s="788">
        <f>IF($A$1="urban",'Calibration Data'!$R143,RuralCalibration!$R143)</f>
        <v>1</v>
      </c>
      <c r="T55" s="772"/>
      <c r="U55" s="772"/>
      <c r="V55" s="772"/>
    </row>
    <row r="56" spans="1:22" x14ac:dyDescent="0.25">
      <c r="A56" s="786" t="s">
        <v>188</v>
      </c>
      <c r="B56" s="50">
        <v>1</v>
      </c>
      <c r="C56" s="50" t="s">
        <v>40</v>
      </c>
      <c r="D56" s="775">
        <f t="shared" si="20"/>
        <v>333948</v>
      </c>
      <c r="E56" s="880">
        <v>2.6</v>
      </c>
      <c r="F56" s="870">
        <v>76.408409695138701</v>
      </c>
      <c r="G56" s="870">
        <v>62.249519395809237</v>
      </c>
      <c r="H56" s="875">
        <f t="shared" si="23"/>
        <v>138.65792909094793</v>
      </c>
      <c r="I56" s="775">
        <v>59712.800000000003</v>
      </c>
      <c r="J56" s="880">
        <v>0</v>
      </c>
      <c r="K56" s="870">
        <v>0</v>
      </c>
      <c r="L56" s="870">
        <v>11.130754194599392</v>
      </c>
      <c r="M56" s="875">
        <f t="shared" si="24"/>
        <v>11.130754194599392</v>
      </c>
      <c r="N56" s="772">
        <f t="shared" ref="N56:N69" si="25">N39</f>
        <v>408.11100000000005</v>
      </c>
      <c r="O56" s="777">
        <f t="shared" si="21"/>
        <v>3.1774066621150601E-3</v>
      </c>
      <c r="P56" s="777">
        <f t="shared" si="21"/>
        <v>9.3377150002673326E-2</v>
      </c>
      <c r="Q56" s="777">
        <f t="shared" si="22"/>
        <v>7.6073860631424975E-2</v>
      </c>
      <c r="R56" s="777">
        <f t="shared" si="22"/>
        <v>0.16945101063409829</v>
      </c>
      <c r="S56" s="788">
        <f>IF($A$1="urban",'Calibration Data'!$R144,RuralCalibration!$R144)</f>
        <v>1</v>
      </c>
      <c r="T56" s="772"/>
      <c r="U56" s="772"/>
      <c r="V56" s="772"/>
    </row>
    <row r="57" spans="1:22" x14ac:dyDescent="0.25">
      <c r="A57" s="786" t="s">
        <v>188</v>
      </c>
      <c r="B57" s="50">
        <v>1</v>
      </c>
      <c r="C57" s="50" t="s">
        <v>39</v>
      </c>
      <c r="D57" s="775">
        <f t="shared" si="20"/>
        <v>334802.40000000002</v>
      </c>
      <c r="E57" s="880">
        <v>32</v>
      </c>
      <c r="F57" s="870">
        <v>751.27397273443898</v>
      </c>
      <c r="G57" s="870">
        <v>151.56267181567662</v>
      </c>
      <c r="H57" s="875">
        <f t="shared" si="23"/>
        <v>902.83664455011558</v>
      </c>
      <c r="I57" s="775">
        <v>54951</v>
      </c>
      <c r="J57" s="880">
        <v>9</v>
      </c>
      <c r="K57" s="870">
        <v>209.49720400675599</v>
      </c>
      <c r="L57" s="870">
        <v>46.400295487399838</v>
      </c>
      <c r="M57" s="875">
        <f t="shared" si="24"/>
        <v>255.89749949415582</v>
      </c>
      <c r="N57" s="772">
        <f t="shared" si="25"/>
        <v>393.50300000000004</v>
      </c>
      <c r="O57" s="777">
        <f t="shared" si="21"/>
        <v>0.23661216423426756</v>
      </c>
      <c r="P57" s="777">
        <f t="shared" si="21"/>
        <v>5.5550175194241165</v>
      </c>
      <c r="Q57" s="777">
        <f t="shared" si="22"/>
        <v>1.1206741186073521</v>
      </c>
      <c r="R57" s="777">
        <f t="shared" si="22"/>
        <v>6.675691638031469</v>
      </c>
      <c r="S57" s="788">
        <f>IF($A$1="urban",'Calibration Data'!$R145,RuralCalibration!$R145)</f>
        <v>6.2911147163130696</v>
      </c>
      <c r="T57" s="772"/>
      <c r="U57" s="772"/>
      <c r="V57" s="772"/>
    </row>
    <row r="58" spans="1:22" x14ac:dyDescent="0.25">
      <c r="A58" s="786" t="s">
        <v>188</v>
      </c>
      <c r="B58" s="50">
        <v>1</v>
      </c>
      <c r="C58" s="50" t="s">
        <v>38</v>
      </c>
      <c r="D58" s="775">
        <f t="shared" si="20"/>
        <v>324395.59999999998</v>
      </c>
      <c r="E58" s="880">
        <v>222.2</v>
      </c>
      <c r="F58" s="870">
        <v>3684.71626170849</v>
      </c>
      <c r="G58" s="870">
        <v>558.39606729003617</v>
      </c>
      <c r="H58" s="875">
        <f t="shared" si="23"/>
        <v>4243.1123289985262</v>
      </c>
      <c r="I58" s="775">
        <v>70272</v>
      </c>
      <c r="J58" s="880">
        <v>64.400000000000006</v>
      </c>
      <c r="K58" s="870">
        <v>1068.83424917804</v>
      </c>
      <c r="L58" s="870">
        <v>161.83936423707621</v>
      </c>
      <c r="M58" s="875">
        <f t="shared" si="24"/>
        <v>1230.6736134151161</v>
      </c>
      <c r="N58" s="772">
        <f t="shared" si="25"/>
        <v>581.00000000000011</v>
      </c>
      <c r="O58" s="777">
        <f t="shared" si="21"/>
        <v>0.39796532382066846</v>
      </c>
      <c r="P58" s="777">
        <f t="shared" si="21"/>
        <v>6.5994117924307023</v>
      </c>
      <c r="Q58" s="777">
        <f t="shared" si="22"/>
        <v>1.0001002328499866</v>
      </c>
      <c r="R58" s="777">
        <f t="shared" si="22"/>
        <v>7.5995120252806885</v>
      </c>
      <c r="S58" s="788">
        <f>IF($A$1="urban",'Calibration Data'!$R146,RuralCalibration!$R146)</f>
        <v>1</v>
      </c>
      <c r="T58" s="772"/>
      <c r="U58" s="772"/>
      <c r="V58" s="772"/>
    </row>
    <row r="59" spans="1:22" x14ac:dyDescent="0.25">
      <c r="A59" s="786" t="s">
        <v>188</v>
      </c>
      <c r="B59" s="50">
        <v>1</v>
      </c>
      <c r="C59" s="50" t="s">
        <v>37</v>
      </c>
      <c r="D59" s="775">
        <f t="shared" si="20"/>
        <v>163949.4</v>
      </c>
      <c r="E59" s="880">
        <v>290.60000000000002</v>
      </c>
      <c r="F59" s="870">
        <v>3244.93095028881</v>
      </c>
      <c r="G59" s="870">
        <v>573.01219979894722</v>
      </c>
      <c r="H59" s="875">
        <f t="shared" si="23"/>
        <v>3817.9431500877572</v>
      </c>
      <c r="I59" s="775">
        <v>44455</v>
      </c>
      <c r="J59" s="880">
        <v>112.8</v>
      </c>
      <c r="K59" s="870">
        <v>1254.7070249686401</v>
      </c>
      <c r="L59" s="870">
        <v>222.42180363840757</v>
      </c>
      <c r="M59" s="875">
        <f t="shared" si="24"/>
        <v>1477.1288286070476</v>
      </c>
      <c r="N59" s="772">
        <f t="shared" si="25"/>
        <v>422.47000000000008</v>
      </c>
      <c r="O59" s="777">
        <f t="shared" si="21"/>
        <v>0.74303785699975611</v>
      </c>
      <c r="P59" s="777">
        <f t="shared" si="21"/>
        <v>8.2969942856668251</v>
      </c>
      <c r="Q59" s="777">
        <f t="shared" si="22"/>
        <v>1.4651402511126144</v>
      </c>
      <c r="R59" s="777">
        <f t="shared" si="22"/>
        <v>9.7621345367794401</v>
      </c>
      <c r="S59" s="788">
        <f>IF($A$1="urban",'Calibration Data'!$R147,RuralCalibration!$R147)</f>
        <v>0.99226869061635847</v>
      </c>
      <c r="T59" s="772"/>
      <c r="U59" s="772"/>
      <c r="V59" s="772"/>
    </row>
    <row r="60" spans="1:22" x14ac:dyDescent="0.25">
      <c r="A60" s="786" t="s">
        <v>188</v>
      </c>
      <c r="B60" s="50">
        <v>1</v>
      </c>
      <c r="C60" s="50" t="s">
        <v>36</v>
      </c>
      <c r="D60" s="775">
        <f t="shared" si="20"/>
        <v>78168.399999999994</v>
      </c>
      <c r="E60" s="880">
        <v>316.60000000000002</v>
      </c>
      <c r="F60" s="870">
        <v>2150.7302636194599</v>
      </c>
      <c r="G60" s="870">
        <v>412.14903062889624</v>
      </c>
      <c r="H60" s="875">
        <f t="shared" si="23"/>
        <v>2562.879294248356</v>
      </c>
      <c r="I60" s="775">
        <v>25872.400000000001</v>
      </c>
      <c r="J60" s="880">
        <v>128.80000000000001</v>
      </c>
      <c r="K60" s="870">
        <v>888.33810102558698</v>
      </c>
      <c r="L60" s="870">
        <v>167.67149445673354</v>
      </c>
      <c r="M60" s="875">
        <f t="shared" si="24"/>
        <v>1056.0095954823205</v>
      </c>
      <c r="N60" s="772">
        <f t="shared" si="25"/>
        <v>272.24</v>
      </c>
      <c r="O60" s="777">
        <f t="shared" si="21"/>
        <v>1.0320507176417013</v>
      </c>
      <c r="P60" s="777">
        <f t="shared" si="21"/>
        <v>7.0109371826348355</v>
      </c>
      <c r="Q60" s="777">
        <f t="shared" si="22"/>
        <v>1.3435208554513072</v>
      </c>
      <c r="R60" s="777">
        <f t="shared" si="22"/>
        <v>8.3544580380861433</v>
      </c>
      <c r="S60" s="788">
        <f>IF($A$1="urban",'Calibration Data'!$R148,RuralCalibration!$R148)</f>
        <v>0.93598613655085139</v>
      </c>
      <c r="T60" s="772"/>
      <c r="U60" s="772"/>
      <c r="V60" s="772"/>
    </row>
    <row r="61" spans="1:22" x14ac:dyDescent="0.25">
      <c r="A61" s="786" t="s">
        <v>188</v>
      </c>
      <c r="B61" s="50">
        <v>1</v>
      </c>
      <c r="C61" s="50" t="s">
        <v>35</v>
      </c>
      <c r="D61" s="775">
        <f t="shared" si="20"/>
        <v>45490.6</v>
      </c>
      <c r="E61" s="880">
        <v>706.6</v>
      </c>
      <c r="F61" s="870">
        <v>2192.4856221220198</v>
      </c>
      <c r="G61" s="870">
        <v>375.0600536530489</v>
      </c>
      <c r="H61" s="875">
        <f t="shared" si="23"/>
        <v>2567.5456757750685</v>
      </c>
      <c r="I61" s="775">
        <v>13268.2</v>
      </c>
      <c r="J61" s="880">
        <v>232</v>
      </c>
      <c r="K61" s="870">
        <v>731.33296716769496</v>
      </c>
      <c r="L61" s="870">
        <v>123.14454068427305</v>
      </c>
      <c r="M61" s="875">
        <f t="shared" si="24"/>
        <v>854.47750785196797</v>
      </c>
      <c r="N61" s="772">
        <f t="shared" si="25"/>
        <v>161.76700000000002</v>
      </c>
      <c r="O61" s="777">
        <f t="shared" si="21"/>
        <v>2.4065615322706839</v>
      </c>
      <c r="P61" s="777">
        <f t="shared" si="21"/>
        <v>7.4672396805199721</v>
      </c>
      <c r="Q61" s="777">
        <f t="shared" si="22"/>
        <v>1.2773918729306628</v>
      </c>
      <c r="R61" s="777">
        <f t="shared" si="22"/>
        <v>8.7446315534506347</v>
      </c>
      <c r="S61" s="788">
        <f>IF($A$1="urban",'Calibration Data'!$R149,RuralCalibration!$R149)</f>
        <v>0.95775641787911736</v>
      </c>
      <c r="T61" s="772"/>
      <c r="U61" s="772"/>
      <c r="V61" s="772"/>
    </row>
    <row r="62" spans="1:22" x14ac:dyDescent="0.25">
      <c r="A62" s="786" t="s">
        <v>188</v>
      </c>
      <c r="B62" s="50">
        <v>2</v>
      </c>
      <c r="C62" s="50" t="s">
        <v>2</v>
      </c>
      <c r="D62" s="775">
        <f t="shared" si="20"/>
        <v>95879.4</v>
      </c>
      <c r="E62" s="880">
        <v>0</v>
      </c>
      <c r="F62" s="870">
        <v>0</v>
      </c>
      <c r="G62" s="870">
        <v>0.22176793005823248</v>
      </c>
      <c r="H62" s="875">
        <f t="shared" si="23"/>
        <v>0.22176793005823248</v>
      </c>
      <c r="I62" s="775">
        <v>18432</v>
      </c>
      <c r="J62" s="880">
        <v>0</v>
      </c>
      <c r="K62" s="870">
        <v>0</v>
      </c>
      <c r="L62" s="870">
        <v>4.2633000277779602E-2</v>
      </c>
      <c r="M62" s="875">
        <f t="shared" si="24"/>
        <v>4.2633000277779602E-2</v>
      </c>
      <c r="N62" s="772">
        <f t="shared" si="25"/>
        <v>130.55900000000003</v>
      </c>
      <c r="O62" s="777">
        <f t="shared" si="21"/>
        <v>0</v>
      </c>
      <c r="P62" s="777">
        <f t="shared" si="21"/>
        <v>0</v>
      </c>
      <c r="Q62" s="777">
        <f t="shared" si="22"/>
        <v>3.0198143897930922E-4</v>
      </c>
      <c r="R62" s="777">
        <f t="shared" si="22"/>
        <v>3.0198143897930922E-4</v>
      </c>
      <c r="S62" s="788">
        <f>IF($A$1="urban",'Calibration Data'!$R134,RuralCalibration!$R134)</f>
        <v>1</v>
      </c>
      <c r="T62" s="772"/>
      <c r="U62" s="772"/>
      <c r="V62" s="772"/>
    </row>
    <row r="63" spans="1:22" x14ac:dyDescent="0.25">
      <c r="A63" s="786" t="s">
        <v>188</v>
      </c>
      <c r="B63" s="50">
        <v>2</v>
      </c>
      <c r="C63" s="50" t="s">
        <v>41</v>
      </c>
      <c r="D63" s="775">
        <f t="shared" si="20"/>
        <v>196469.6</v>
      </c>
      <c r="E63" s="880">
        <v>0.2</v>
      </c>
      <c r="F63" s="870">
        <v>6.7217440379328304</v>
      </c>
      <c r="G63" s="870">
        <v>1.2361028656508855</v>
      </c>
      <c r="H63" s="875">
        <f t="shared" si="23"/>
        <v>7.9578469035837163</v>
      </c>
      <c r="I63" s="775">
        <v>37956.6</v>
      </c>
      <c r="J63" s="880">
        <v>0</v>
      </c>
      <c r="K63" s="870">
        <v>0</v>
      </c>
      <c r="L63" s="870">
        <v>0.23880672648778434</v>
      </c>
      <c r="M63" s="875">
        <f t="shared" si="24"/>
        <v>0.23880672648778434</v>
      </c>
      <c r="N63" s="772">
        <f t="shared" si="25"/>
        <v>274.73000000000008</v>
      </c>
      <c r="O63" s="777">
        <f t="shared" si="21"/>
        <v>2.7966667616771256E-4</v>
      </c>
      <c r="P63" s="777">
        <f t="shared" si="21"/>
        <v>9.399239065694065E-3</v>
      </c>
      <c r="Q63" s="777">
        <f t="shared" si="22"/>
        <v>1.7284838991898381E-3</v>
      </c>
      <c r="R63" s="777">
        <f t="shared" si="22"/>
        <v>1.1127722964883905E-2</v>
      </c>
      <c r="S63" s="788">
        <f>IF($A$1="urban",'Calibration Data'!$R135,RuralCalibration!$R135)</f>
        <v>1</v>
      </c>
      <c r="T63" s="772"/>
      <c r="U63" s="772"/>
      <c r="V63" s="772"/>
    </row>
    <row r="64" spans="1:22" x14ac:dyDescent="0.25">
      <c r="A64" s="786" t="s">
        <v>188</v>
      </c>
      <c r="B64" s="50">
        <v>2</v>
      </c>
      <c r="C64" s="50" t="s">
        <v>40</v>
      </c>
      <c r="D64" s="775">
        <f t="shared" si="20"/>
        <v>327420</v>
      </c>
      <c r="E64" s="880">
        <v>0.6</v>
      </c>
      <c r="F64" s="870">
        <v>17.541957529760499</v>
      </c>
      <c r="G64" s="870">
        <v>41.594630415123852</v>
      </c>
      <c r="H64" s="875">
        <f t="shared" si="23"/>
        <v>59.136587944884354</v>
      </c>
      <c r="I64" s="775">
        <v>53626</v>
      </c>
      <c r="J64" s="880">
        <v>0</v>
      </c>
      <c r="K64" s="870">
        <v>0</v>
      </c>
      <c r="L64" s="870">
        <v>6.8125149674468011</v>
      </c>
      <c r="M64" s="875">
        <f t="shared" si="24"/>
        <v>6.8125149674468011</v>
      </c>
      <c r="N64" s="772">
        <f t="shared" si="25"/>
        <v>418.07100000000008</v>
      </c>
      <c r="O64" s="777">
        <f t="shared" si="21"/>
        <v>7.6611874656404635E-4</v>
      </c>
      <c r="P64" s="777">
        <f t="shared" si="21"/>
        <v>2.2398704191633079E-2</v>
      </c>
      <c r="Q64" s="777">
        <f t="shared" si="22"/>
        <v>5.3110710195715741E-2</v>
      </c>
      <c r="R64" s="777">
        <f t="shared" si="22"/>
        <v>7.550941438734883E-2</v>
      </c>
      <c r="S64" s="788">
        <f>IF($A$1="urban",'Calibration Data'!$R136,RuralCalibration!$R136)</f>
        <v>1</v>
      </c>
      <c r="T64" s="772"/>
      <c r="U64" s="772"/>
      <c r="V64" s="772"/>
    </row>
    <row r="65" spans="1:22" x14ac:dyDescent="0.25">
      <c r="A65" s="786" t="s">
        <v>188</v>
      </c>
      <c r="B65" s="50">
        <v>2</v>
      </c>
      <c r="C65" s="50" t="s">
        <v>39</v>
      </c>
      <c r="D65" s="775">
        <f t="shared" si="20"/>
        <v>327918</v>
      </c>
      <c r="E65" s="880">
        <v>6.4</v>
      </c>
      <c r="F65" s="870">
        <v>152.74866651361901</v>
      </c>
      <c r="G65" s="870">
        <v>207.3610877103246</v>
      </c>
      <c r="H65" s="875">
        <f t="shared" si="23"/>
        <v>360.10975422394358</v>
      </c>
      <c r="I65" s="775">
        <v>51801</v>
      </c>
      <c r="J65" s="880">
        <v>2.4</v>
      </c>
      <c r="K65" s="870">
        <v>55.722078234876598</v>
      </c>
      <c r="L65" s="870">
        <v>32.756700469271351</v>
      </c>
      <c r="M65" s="875">
        <f t="shared" si="24"/>
        <v>88.478778704147942</v>
      </c>
      <c r="N65" s="772">
        <f t="shared" si="25"/>
        <v>405.04</v>
      </c>
      <c r="O65" s="777">
        <f t="shared" si="21"/>
        <v>5.653729920241532E-2</v>
      </c>
      <c r="P65" s="777">
        <f t="shared" si="21"/>
        <v>1.3493745408516307</v>
      </c>
      <c r="Q65" s="777">
        <f t="shared" si="22"/>
        <v>1.8318181029401419</v>
      </c>
      <c r="R65" s="777">
        <f t="shared" si="22"/>
        <v>3.1811926437917717</v>
      </c>
      <c r="S65" s="788">
        <f>IF($A$1="urban",'Calibration Data'!$R137,RuralCalibration!$R137)</f>
        <v>7.1519163538854285</v>
      </c>
      <c r="T65" s="772"/>
      <c r="U65" s="772"/>
      <c r="V65" s="772"/>
    </row>
    <row r="66" spans="1:22" x14ac:dyDescent="0.25">
      <c r="A66" s="786" t="s">
        <v>188</v>
      </c>
      <c r="B66" s="50">
        <v>2</v>
      </c>
      <c r="C66" s="50" t="s">
        <v>38</v>
      </c>
      <c r="D66" s="775">
        <f t="shared" si="20"/>
        <v>337487.2</v>
      </c>
      <c r="E66" s="880">
        <v>54.8</v>
      </c>
      <c r="F66" s="870">
        <v>960.42606345980198</v>
      </c>
      <c r="G66" s="870">
        <v>291.7400938983709</v>
      </c>
      <c r="H66" s="875">
        <f t="shared" si="23"/>
        <v>1252.1661573581728</v>
      </c>
      <c r="I66" s="775">
        <v>71962</v>
      </c>
      <c r="J66" s="880">
        <v>22.6</v>
      </c>
      <c r="K66" s="870">
        <v>393.47784414722003</v>
      </c>
      <c r="L66" s="870">
        <v>120.31617011137195</v>
      </c>
      <c r="M66" s="875">
        <f t="shared" si="24"/>
        <v>513.79401425859191</v>
      </c>
      <c r="N66" s="772">
        <f t="shared" si="25"/>
        <v>543.15200000000004</v>
      </c>
      <c r="O66" s="777">
        <f t="shared" si="21"/>
        <v>8.8195136289613354E-2</v>
      </c>
      <c r="P66" s="777">
        <f t="shared" si="21"/>
        <v>1.5457099920243447</v>
      </c>
      <c r="Q66" s="777">
        <f t="shared" si="22"/>
        <v>0.46952659384144929</v>
      </c>
      <c r="R66" s="777">
        <f t="shared" si="22"/>
        <v>2.0152365858657939</v>
      </c>
      <c r="S66" s="788">
        <f>IF($A$1="urban",'Calibration Data'!$R138,RuralCalibration!$R138)</f>
        <v>1</v>
      </c>
      <c r="T66" s="772"/>
      <c r="U66" s="772"/>
      <c r="V66" s="772"/>
    </row>
    <row r="67" spans="1:22" x14ac:dyDescent="0.25">
      <c r="A67" s="786" t="s">
        <v>188</v>
      </c>
      <c r="B67" s="50">
        <v>2</v>
      </c>
      <c r="C67" s="50" t="s">
        <v>37</v>
      </c>
      <c r="D67" s="775">
        <f t="shared" si="20"/>
        <v>176202.8</v>
      </c>
      <c r="E67" s="880">
        <v>106.4</v>
      </c>
      <c r="F67" s="870">
        <v>1306.9463087168101</v>
      </c>
      <c r="G67" s="870">
        <v>328.6896543425288</v>
      </c>
      <c r="H67" s="875">
        <f t="shared" si="23"/>
        <v>1635.6359630593388</v>
      </c>
      <c r="I67" s="775">
        <v>45270.8</v>
      </c>
      <c r="J67" s="880">
        <v>37.6</v>
      </c>
      <c r="K67" s="870">
        <v>462.86150909818002</v>
      </c>
      <c r="L67" s="870">
        <v>116.15348687292369</v>
      </c>
      <c r="M67" s="875">
        <f t="shared" si="24"/>
        <v>579.01499597110376</v>
      </c>
      <c r="N67" s="772">
        <f t="shared" si="25"/>
        <v>399.14700000000005</v>
      </c>
      <c r="O67" s="777">
        <f t="shared" si="21"/>
        <v>0.23456318366049467</v>
      </c>
      <c r="P67" s="777">
        <f t="shared" si="21"/>
        <v>2.8812169835145363</v>
      </c>
      <c r="Q67" s="777">
        <f t="shared" si="22"/>
        <v>0.72460988495160783</v>
      </c>
      <c r="R67" s="777">
        <f t="shared" si="22"/>
        <v>3.6058268684661439</v>
      </c>
      <c r="S67" s="788">
        <f>IF($A$1="urban",'Calibration Data'!$R139,RuralCalibration!$R139)</f>
        <v>0.97319116045732079</v>
      </c>
      <c r="T67" s="772"/>
      <c r="U67" s="772"/>
      <c r="V67" s="772"/>
    </row>
    <row r="68" spans="1:22" x14ac:dyDescent="0.25">
      <c r="A68" s="786" t="s">
        <v>188</v>
      </c>
      <c r="B68" s="50">
        <v>2</v>
      </c>
      <c r="C68" s="50" t="s">
        <v>36</v>
      </c>
      <c r="D68" s="775">
        <f t="shared" si="20"/>
        <v>91991</v>
      </c>
      <c r="E68" s="880">
        <v>162.4</v>
      </c>
      <c r="F68" s="870">
        <v>1251.3809400376799</v>
      </c>
      <c r="G68" s="870">
        <v>249.16563478447827</v>
      </c>
      <c r="H68" s="875">
        <f t="shared" si="23"/>
        <v>1500.5465748221582</v>
      </c>
      <c r="I68" s="775">
        <v>27046</v>
      </c>
      <c r="J68" s="880">
        <v>62.4</v>
      </c>
      <c r="K68" s="870">
        <v>482.70865504595997</v>
      </c>
      <c r="L68" s="870">
        <v>95.738519769405443</v>
      </c>
      <c r="M68" s="875">
        <f t="shared" si="24"/>
        <v>578.44717481536543</v>
      </c>
      <c r="N68" s="772">
        <f t="shared" si="25"/>
        <v>257.71500000000003</v>
      </c>
      <c r="O68" s="777">
        <f t="shared" si="21"/>
        <v>0.42091674392066886</v>
      </c>
      <c r="P68" s="777">
        <f t="shared" si="21"/>
        <v>3.2433940313118601</v>
      </c>
      <c r="Q68" s="777">
        <f t="shared" si="22"/>
        <v>0.64580041681286426</v>
      </c>
      <c r="R68" s="777">
        <f t="shared" si="22"/>
        <v>3.8891944481247238</v>
      </c>
      <c r="S68" s="788">
        <f>IF($A$1="urban",'Calibration Data'!$R140,RuralCalibration!$R140)</f>
        <v>0.92515781194328839</v>
      </c>
      <c r="T68" s="772"/>
      <c r="U68" s="772"/>
      <c r="V68" s="772"/>
    </row>
    <row r="69" spans="1:22" ht="15.75" thickBot="1" x14ac:dyDescent="0.3">
      <c r="A69" s="786" t="s">
        <v>188</v>
      </c>
      <c r="B69" s="50">
        <v>2</v>
      </c>
      <c r="C69" s="50" t="s">
        <v>35</v>
      </c>
      <c r="D69" s="775">
        <f t="shared" si="20"/>
        <v>76048.800000000003</v>
      </c>
      <c r="E69" s="881">
        <v>688.4</v>
      </c>
      <c r="F69" s="877">
        <v>2233.1338001741601</v>
      </c>
      <c r="G69" s="877">
        <v>290.85298035595525</v>
      </c>
      <c r="H69" s="878">
        <f t="shared" si="23"/>
        <v>2523.9867805301155</v>
      </c>
      <c r="I69" s="775">
        <v>18745.8</v>
      </c>
      <c r="J69" s="881">
        <v>200.8</v>
      </c>
      <c r="K69" s="877">
        <v>660.92702519044803</v>
      </c>
      <c r="L69" s="877">
        <v>84.839161033520952</v>
      </c>
      <c r="M69" s="878">
        <f t="shared" si="24"/>
        <v>745.76618622396904</v>
      </c>
      <c r="N69" s="772">
        <f t="shared" si="25"/>
        <v>130.97400000000002</v>
      </c>
      <c r="O69" s="777">
        <f t="shared" si="21"/>
        <v>1.1029197310093459</v>
      </c>
      <c r="P69" s="777">
        <f t="shared" si="21"/>
        <v>3.5778142507204573</v>
      </c>
      <c r="Q69" s="777">
        <f t="shared" si="22"/>
        <v>0.46598996347684007</v>
      </c>
      <c r="R69" s="777">
        <f t="shared" si="22"/>
        <v>4.0438042141972979</v>
      </c>
      <c r="S69" s="788">
        <f>IF($A$1="urban",'Calibration Data'!$R141,RuralCalibration!$R141)</f>
        <v>0.93027279136167551</v>
      </c>
      <c r="T69" s="772"/>
      <c r="U69" s="772"/>
      <c r="V69" s="772"/>
    </row>
    <row r="70" spans="1:22" ht="15.75" thickBot="1" x14ac:dyDescent="0.3">
      <c r="A70" s="786" t="s">
        <v>72</v>
      </c>
      <c r="D70" s="775">
        <f t="shared" ref="D70:R70" si="26">SUM(D54:D69)</f>
        <v>3216773</v>
      </c>
      <c r="E70" s="779">
        <f t="shared" si="26"/>
        <v>2589.8000000000002</v>
      </c>
      <c r="F70" s="779">
        <f t="shared" si="26"/>
        <v>18029.44496063812</v>
      </c>
      <c r="G70" s="779">
        <f t="shared" si="26"/>
        <v>3546.2849839295891</v>
      </c>
      <c r="H70" s="780">
        <f t="shared" si="26"/>
        <v>21575.729944567709</v>
      </c>
      <c r="I70" s="775">
        <f t="shared" si="26"/>
        <v>651949.20000000019</v>
      </c>
      <c r="J70" s="779">
        <f t="shared" si="26"/>
        <v>873</v>
      </c>
      <c r="K70" s="779">
        <f t="shared" si="26"/>
        <v>6214.9337591530129</v>
      </c>
      <c r="L70" s="779">
        <f t="shared" si="26"/>
        <v>1190.0784599150606</v>
      </c>
      <c r="M70" s="780">
        <f t="shared" si="26"/>
        <v>7405.0122190680731</v>
      </c>
      <c r="N70" s="779">
        <f>SUM(N54:N69)</f>
        <v>5192.2310000000007</v>
      </c>
      <c r="O70" s="782">
        <f t="shared" si="26"/>
        <v>6.7235828811344618</v>
      </c>
      <c r="P70" s="782">
        <f t="shared" si="26"/>
        <v>47.652285352359272</v>
      </c>
      <c r="Q70" s="782">
        <f t="shared" si="26"/>
        <v>10.479650439739965</v>
      </c>
      <c r="R70" s="782">
        <f t="shared" si="26"/>
        <v>58.131935792099256</v>
      </c>
      <c r="S70" s="789"/>
    </row>
    <row r="71" spans="1:22" x14ac:dyDescent="0.25">
      <c r="A71" s="786" t="s">
        <v>186</v>
      </c>
      <c r="B71" s="50">
        <v>1</v>
      </c>
      <c r="C71" s="50" t="s">
        <v>2</v>
      </c>
      <c r="D71" s="775">
        <f t="shared" ref="D71:D86" si="27">D37</f>
        <v>100771.8</v>
      </c>
      <c r="E71" s="879">
        <v>0.4</v>
      </c>
      <c r="F71" s="872">
        <v>12.682920759490599</v>
      </c>
      <c r="G71" s="872">
        <v>0.43557455118118482</v>
      </c>
      <c r="H71" s="873">
        <f>F71+G71</f>
        <v>13.118495310671785</v>
      </c>
      <c r="I71" s="775">
        <v>19204.2</v>
      </c>
      <c r="J71" s="879">
        <v>0</v>
      </c>
      <c r="K71" s="872">
        <v>0</v>
      </c>
      <c r="L71" s="872">
        <v>8.3007952579925229E-2</v>
      </c>
      <c r="M71" s="873">
        <f>K71+L71</f>
        <v>8.3007952579925229E-2</v>
      </c>
      <c r="N71" s="772">
        <f>N54</f>
        <v>126.32600000000001</v>
      </c>
      <c r="O71" s="777">
        <f t="shared" ref="O71:P86" si="28">$S71*(E71)/$D71*$N71</f>
        <v>5.0143393290583279E-4</v>
      </c>
      <c r="P71" s="777">
        <f>$S71*((F71)/$D71*$N71)</f>
        <v>1.589911709291101E-2</v>
      </c>
      <c r="Q71" s="777">
        <f t="shared" ref="Q71:R86" si="29">$S71*(G71)/$D71*$N71</f>
        <v>5.4602965068118619E-4</v>
      </c>
      <c r="R71" s="777">
        <f t="shared" si="29"/>
        <v>1.6445146743592196E-2</v>
      </c>
      <c r="S71" s="788">
        <f>IF($A$1="urban",'Calibration Data'!$R222,RuralCalibration!$R222)</f>
        <v>1</v>
      </c>
      <c r="T71" s="772"/>
      <c r="U71" s="772"/>
      <c r="V71" s="772"/>
    </row>
    <row r="72" spans="1:22" x14ac:dyDescent="0.25">
      <c r="A72" s="786" t="s">
        <v>186</v>
      </c>
      <c r="B72" s="50">
        <v>1</v>
      </c>
      <c r="C72" s="50" t="s">
        <v>41</v>
      </c>
      <c r="D72" s="775">
        <f t="shared" si="27"/>
        <v>205830</v>
      </c>
      <c r="E72" s="880">
        <v>0</v>
      </c>
      <c r="F72" s="870">
        <v>0</v>
      </c>
      <c r="G72" s="870">
        <v>15.010255937385248</v>
      </c>
      <c r="H72" s="875">
        <f t="shared" ref="H72:H86" si="30">F72+G72</f>
        <v>15.010255937385248</v>
      </c>
      <c r="I72" s="775">
        <v>39373.4</v>
      </c>
      <c r="J72" s="880">
        <v>0</v>
      </c>
      <c r="K72" s="870">
        <v>0</v>
      </c>
      <c r="L72" s="870">
        <v>2.8713249338048117</v>
      </c>
      <c r="M72" s="875">
        <f t="shared" ref="M72:M86" si="31">K72+L72</f>
        <v>2.8713249338048117</v>
      </c>
      <c r="N72" s="772">
        <f>N55</f>
        <v>267.42600000000004</v>
      </c>
      <c r="O72" s="777">
        <f t="shared" si="28"/>
        <v>0</v>
      </c>
      <c r="P72" s="777">
        <f t="shared" si="28"/>
        <v>0</v>
      </c>
      <c r="Q72" s="777">
        <f t="shared" si="29"/>
        <v>1.9502175116898352E-2</v>
      </c>
      <c r="R72" s="777">
        <f t="shared" si="29"/>
        <v>1.9502175116898352E-2</v>
      </c>
      <c r="S72" s="788">
        <f>IF($A$1="urban",'Calibration Data'!$R223,RuralCalibration!$R223)</f>
        <v>1</v>
      </c>
      <c r="T72" s="772"/>
      <c r="U72" s="772"/>
      <c r="V72" s="772"/>
    </row>
    <row r="73" spans="1:22" x14ac:dyDescent="0.25">
      <c r="A73" s="786" t="s">
        <v>186</v>
      </c>
      <c r="B73" s="50">
        <v>1</v>
      </c>
      <c r="C73" s="50" t="s">
        <v>40</v>
      </c>
      <c r="D73" s="775">
        <f t="shared" si="27"/>
        <v>333948</v>
      </c>
      <c r="E73" s="880">
        <v>1.4</v>
      </c>
      <c r="F73" s="870">
        <v>41.087046235307902</v>
      </c>
      <c r="G73" s="870">
        <v>110.68998957990205</v>
      </c>
      <c r="H73" s="875">
        <f t="shared" si="30"/>
        <v>151.77703581520996</v>
      </c>
      <c r="I73" s="775">
        <v>59712.800000000003</v>
      </c>
      <c r="J73" s="880">
        <v>0</v>
      </c>
      <c r="K73" s="870">
        <v>0</v>
      </c>
      <c r="L73" s="870">
        <v>19.79233057178595</v>
      </c>
      <c r="M73" s="875">
        <f t="shared" si="31"/>
        <v>19.79233057178595</v>
      </c>
      <c r="N73" s="772">
        <f t="shared" ref="N73:N86" si="32">N56</f>
        <v>408.11100000000005</v>
      </c>
      <c r="O73" s="777">
        <f t="shared" si="28"/>
        <v>1.7109112796004169E-3</v>
      </c>
      <c r="P73" s="777">
        <f t="shared" si="28"/>
        <v>5.0211636321037249E-2</v>
      </c>
      <c r="Q73" s="777">
        <f t="shared" si="29"/>
        <v>0.13527196550793361</v>
      </c>
      <c r="R73" s="777">
        <f t="shared" si="29"/>
        <v>0.18548360182897086</v>
      </c>
      <c r="S73" s="788">
        <f>IF($A$1="urban",'Calibration Data'!$R224,RuralCalibration!$R224)</f>
        <v>1</v>
      </c>
      <c r="T73" s="772"/>
      <c r="U73" s="772"/>
      <c r="V73" s="772"/>
    </row>
    <row r="74" spans="1:22" x14ac:dyDescent="0.25">
      <c r="A74" s="786" t="s">
        <v>186</v>
      </c>
      <c r="B74" s="50">
        <v>1</v>
      </c>
      <c r="C74" s="50" t="s">
        <v>39</v>
      </c>
      <c r="D74" s="775">
        <f t="shared" si="27"/>
        <v>334802.40000000002</v>
      </c>
      <c r="E74" s="880">
        <v>10.199999999999999</v>
      </c>
      <c r="F74" s="870">
        <v>243.42790699367501</v>
      </c>
      <c r="G74" s="870">
        <v>141.69813517150087</v>
      </c>
      <c r="H74" s="875">
        <f t="shared" si="30"/>
        <v>385.12604216517587</v>
      </c>
      <c r="I74" s="775">
        <v>54951</v>
      </c>
      <c r="J74" s="880">
        <v>1.6</v>
      </c>
      <c r="K74" s="870">
        <v>39.167216949489799</v>
      </c>
      <c r="L74" s="870">
        <v>58.396235058119942</v>
      </c>
      <c r="M74" s="875">
        <f t="shared" si="31"/>
        <v>97.56345200760974</v>
      </c>
      <c r="N74" s="772">
        <f t="shared" si="32"/>
        <v>393.50300000000004</v>
      </c>
      <c r="O74" s="777">
        <f t="shared" si="28"/>
        <v>8.2388291289588161E-2</v>
      </c>
      <c r="P74" s="777">
        <f t="shared" si="28"/>
        <v>1.9662362068048698</v>
      </c>
      <c r="Q74" s="777">
        <f t="shared" si="29"/>
        <v>1.1445360035001031</v>
      </c>
      <c r="R74" s="777">
        <f t="shared" si="29"/>
        <v>3.1107722103049729</v>
      </c>
      <c r="S74" s="788">
        <f>IF($A$1="urban",'Calibration Data'!$R225,RuralCalibration!$R225)</f>
        <v>6.8723590107550345</v>
      </c>
      <c r="T74" s="772"/>
      <c r="U74" s="772"/>
      <c r="V74" s="772"/>
    </row>
    <row r="75" spans="1:22" x14ac:dyDescent="0.25">
      <c r="A75" s="786" t="s">
        <v>186</v>
      </c>
      <c r="B75" s="50">
        <v>1</v>
      </c>
      <c r="C75" s="50" t="s">
        <v>38</v>
      </c>
      <c r="D75" s="775">
        <f t="shared" si="27"/>
        <v>324395.59999999998</v>
      </c>
      <c r="E75" s="880">
        <v>54.2</v>
      </c>
      <c r="F75" s="870">
        <v>902.50837162088806</v>
      </c>
      <c r="G75" s="870">
        <v>550.46172234898575</v>
      </c>
      <c r="H75" s="875">
        <f t="shared" si="30"/>
        <v>1452.9700939698737</v>
      </c>
      <c r="I75" s="775">
        <v>70272</v>
      </c>
      <c r="J75" s="880">
        <v>12.6</v>
      </c>
      <c r="K75" s="870">
        <v>205.98532439879801</v>
      </c>
      <c r="L75" s="870">
        <v>127.96711626563136</v>
      </c>
      <c r="M75" s="875">
        <f t="shared" si="31"/>
        <v>333.95244066442939</v>
      </c>
      <c r="N75" s="772">
        <f t="shared" si="32"/>
        <v>581.00000000000011</v>
      </c>
      <c r="O75" s="777">
        <f t="shared" si="28"/>
        <v>9.7073449824843519E-2</v>
      </c>
      <c r="P75" s="777">
        <f t="shared" si="28"/>
        <v>1.6164133049638654</v>
      </c>
      <c r="Q75" s="777">
        <f t="shared" si="29"/>
        <v>0.98588963809854635</v>
      </c>
      <c r="R75" s="777">
        <f t="shared" si="29"/>
        <v>2.6023029430624116</v>
      </c>
      <c r="S75" s="788">
        <f>IF($A$1="urban",'Calibration Data'!$R226,RuralCalibration!$R226)</f>
        <v>1</v>
      </c>
      <c r="T75" s="772"/>
      <c r="U75" s="772"/>
      <c r="V75" s="772"/>
    </row>
    <row r="76" spans="1:22" x14ac:dyDescent="0.25">
      <c r="A76" s="786" t="s">
        <v>186</v>
      </c>
      <c r="B76" s="50">
        <v>1</v>
      </c>
      <c r="C76" s="50" t="s">
        <v>37</v>
      </c>
      <c r="D76" s="775">
        <f t="shared" si="27"/>
        <v>163949.4</v>
      </c>
      <c r="E76" s="880">
        <v>78.2</v>
      </c>
      <c r="F76" s="870">
        <v>867.82939169210704</v>
      </c>
      <c r="G76" s="870">
        <v>685.422205284553</v>
      </c>
      <c r="H76" s="875">
        <f t="shared" si="30"/>
        <v>1553.25159697666</v>
      </c>
      <c r="I76" s="775">
        <v>44455</v>
      </c>
      <c r="J76" s="880">
        <v>22</v>
      </c>
      <c r="K76" s="870">
        <v>246.10036035761601</v>
      </c>
      <c r="L76" s="870">
        <v>192.82977642276427</v>
      </c>
      <c r="M76" s="875">
        <f t="shared" si="31"/>
        <v>438.93013678038028</v>
      </c>
      <c r="N76" s="772">
        <f t="shared" si="32"/>
        <v>422.47000000000008</v>
      </c>
      <c r="O76" s="777">
        <f t="shared" si="28"/>
        <v>0.19664646942162725</v>
      </c>
      <c r="P76" s="777">
        <f t="shared" si="28"/>
        <v>2.1822964953525741</v>
      </c>
      <c r="Q76" s="777">
        <f t="shared" si="29"/>
        <v>1.7236043060408333</v>
      </c>
      <c r="R76" s="777">
        <f t="shared" si="29"/>
        <v>3.9059008013934071</v>
      </c>
      <c r="S76" s="788">
        <f>IF($A$1="urban",'Calibration Data'!$R227,RuralCalibration!$R227)</f>
        <v>0.97587312375013069</v>
      </c>
      <c r="T76" s="772"/>
      <c r="U76" s="772"/>
      <c r="V76" s="772"/>
    </row>
    <row r="77" spans="1:22" x14ac:dyDescent="0.25">
      <c r="A77" s="786" t="s">
        <v>186</v>
      </c>
      <c r="B77" s="50">
        <v>1</v>
      </c>
      <c r="C77" s="50" t="s">
        <v>36</v>
      </c>
      <c r="D77" s="775">
        <f t="shared" si="27"/>
        <v>78168.399999999994</v>
      </c>
      <c r="E77" s="880">
        <v>121.2</v>
      </c>
      <c r="F77" s="870">
        <v>815.72340026851305</v>
      </c>
      <c r="G77" s="870">
        <v>675.56408946441661</v>
      </c>
      <c r="H77" s="875">
        <f t="shared" si="30"/>
        <v>1491.2874897329298</v>
      </c>
      <c r="I77" s="775">
        <v>25872.400000000001</v>
      </c>
      <c r="J77" s="880">
        <v>42.8</v>
      </c>
      <c r="K77" s="870">
        <v>284.48856104305298</v>
      </c>
      <c r="L77" s="870">
        <v>238.56553654353985</v>
      </c>
      <c r="M77" s="875">
        <f t="shared" si="31"/>
        <v>523.05409758659289</v>
      </c>
      <c r="N77" s="772">
        <f t="shared" si="32"/>
        <v>272.24</v>
      </c>
      <c r="O77" s="777">
        <f t="shared" si="28"/>
        <v>0.39805003081123658</v>
      </c>
      <c r="P77" s="777">
        <f t="shared" si="28"/>
        <v>2.679032381273335</v>
      </c>
      <c r="Q77" s="777">
        <f t="shared" si="29"/>
        <v>2.2187154012068975</v>
      </c>
      <c r="R77" s="777">
        <f t="shared" si="29"/>
        <v>4.8977477824802333</v>
      </c>
      <c r="S77" s="788">
        <f>IF($A$1="urban",'Calibration Data'!$R228,RuralCalibration!$R228)</f>
        <v>0.94300572334208421</v>
      </c>
      <c r="T77" s="772"/>
      <c r="U77" s="772"/>
      <c r="V77" s="772"/>
    </row>
    <row r="78" spans="1:22" x14ac:dyDescent="0.25">
      <c r="A78" s="786" t="s">
        <v>186</v>
      </c>
      <c r="B78" s="50">
        <v>1</v>
      </c>
      <c r="C78" s="50" t="s">
        <v>35</v>
      </c>
      <c r="D78" s="775">
        <f t="shared" si="27"/>
        <v>45490.6</v>
      </c>
      <c r="E78" s="880">
        <v>334.2</v>
      </c>
      <c r="F78" s="870">
        <v>1039.91366683418</v>
      </c>
      <c r="G78" s="870">
        <v>639.19131852603675</v>
      </c>
      <c r="H78" s="875">
        <f t="shared" si="30"/>
        <v>1679.1049853602167</v>
      </c>
      <c r="I78" s="775">
        <v>13268.2</v>
      </c>
      <c r="J78" s="880">
        <v>90.6</v>
      </c>
      <c r="K78" s="870">
        <v>284.26957440666899</v>
      </c>
      <c r="L78" s="870">
        <v>173.28166803847674</v>
      </c>
      <c r="M78" s="875">
        <f t="shared" si="31"/>
        <v>457.5512424451457</v>
      </c>
      <c r="N78" s="772">
        <f t="shared" si="32"/>
        <v>161.76700000000002</v>
      </c>
      <c r="O78" s="777">
        <f t="shared" si="28"/>
        <v>1.1173100540037719</v>
      </c>
      <c r="P78" s="777">
        <f t="shared" si="28"/>
        <v>3.4766786213338068</v>
      </c>
      <c r="Q78" s="777">
        <f t="shared" si="29"/>
        <v>2.1369685416549022</v>
      </c>
      <c r="R78" s="777">
        <f t="shared" si="29"/>
        <v>5.613647162988709</v>
      </c>
      <c r="S78" s="788">
        <f>IF($A$1="urban",'Calibration Data'!$R229,RuralCalibration!$R229)</f>
        <v>0.94015399254249465</v>
      </c>
      <c r="T78" s="772"/>
      <c r="U78" s="772"/>
      <c r="V78" s="772"/>
    </row>
    <row r="79" spans="1:22" x14ac:dyDescent="0.25">
      <c r="A79" s="786" t="s">
        <v>186</v>
      </c>
      <c r="B79" s="50">
        <v>2</v>
      </c>
      <c r="C79" s="50" t="s">
        <v>2</v>
      </c>
      <c r="D79" s="775">
        <f t="shared" si="27"/>
        <v>95879.4</v>
      </c>
      <c r="E79" s="880">
        <v>1</v>
      </c>
      <c r="F79" s="870">
        <v>32.249813315767099</v>
      </c>
      <c r="G79" s="870">
        <v>0.28679791563899176</v>
      </c>
      <c r="H79" s="875">
        <f t="shared" si="30"/>
        <v>32.536611231406091</v>
      </c>
      <c r="I79" s="775">
        <v>18432</v>
      </c>
      <c r="J79" s="880">
        <v>0</v>
      </c>
      <c r="K79" s="870">
        <v>0</v>
      </c>
      <c r="L79" s="870">
        <v>5.5134462471165824E-2</v>
      </c>
      <c r="M79" s="875">
        <f t="shared" si="31"/>
        <v>5.5134462471165824E-2</v>
      </c>
      <c r="N79" s="772">
        <f t="shared" si="32"/>
        <v>130.55900000000003</v>
      </c>
      <c r="O79" s="777">
        <f t="shared" si="28"/>
        <v>1.3617002192337462E-3</v>
      </c>
      <c r="P79" s="777">
        <f t="shared" si="28"/>
        <v>4.3914577862327442E-2</v>
      </c>
      <c r="Q79" s="777">
        <f t="shared" si="29"/>
        <v>3.9053278460139652E-4</v>
      </c>
      <c r="R79" s="777">
        <f t="shared" si="29"/>
        <v>4.4305110646928839E-2</v>
      </c>
      <c r="S79" s="788">
        <f>IF($A$1="urban",'Calibration Data'!$R214,RuralCalibration!$R214)</f>
        <v>1</v>
      </c>
      <c r="T79" s="772"/>
      <c r="U79" s="772"/>
      <c r="V79" s="772"/>
    </row>
    <row r="80" spans="1:22" x14ac:dyDescent="0.25">
      <c r="A80" s="786" t="s">
        <v>186</v>
      </c>
      <c r="B80" s="50">
        <v>2</v>
      </c>
      <c r="C80" s="50" t="s">
        <v>41</v>
      </c>
      <c r="D80" s="775">
        <f t="shared" si="27"/>
        <v>196469.6</v>
      </c>
      <c r="E80" s="880">
        <v>0</v>
      </c>
      <c r="F80" s="870">
        <v>0</v>
      </c>
      <c r="G80" s="870">
        <v>10.452090901261151</v>
      </c>
      <c r="H80" s="875">
        <f t="shared" si="30"/>
        <v>10.452090901261151</v>
      </c>
      <c r="I80" s="775">
        <v>37956.6</v>
      </c>
      <c r="J80" s="880">
        <v>0</v>
      </c>
      <c r="K80" s="870">
        <v>0</v>
      </c>
      <c r="L80" s="870">
        <v>2.0192733812396879</v>
      </c>
      <c r="M80" s="875">
        <f t="shared" si="31"/>
        <v>2.0192733812396879</v>
      </c>
      <c r="N80" s="772">
        <f t="shared" si="32"/>
        <v>274.73000000000008</v>
      </c>
      <c r="O80" s="777">
        <f t="shared" si="28"/>
        <v>0</v>
      </c>
      <c r="P80" s="777">
        <f t="shared" si="28"/>
        <v>0</v>
      </c>
      <c r="Q80" s="777">
        <f t="shared" si="29"/>
        <v>1.4615507606792484E-2</v>
      </c>
      <c r="R80" s="777">
        <f t="shared" si="29"/>
        <v>1.4615507606792484E-2</v>
      </c>
      <c r="S80" s="788">
        <f>IF($A$1="urban",'Calibration Data'!$R215,RuralCalibration!$R215)</f>
        <v>1</v>
      </c>
      <c r="T80" s="772"/>
      <c r="U80" s="772"/>
      <c r="V80" s="772"/>
    </row>
    <row r="81" spans="1:22" x14ac:dyDescent="0.25">
      <c r="A81" s="786" t="s">
        <v>186</v>
      </c>
      <c r="B81" s="50">
        <v>2</v>
      </c>
      <c r="C81" s="50" t="s">
        <v>40</v>
      </c>
      <c r="D81" s="775">
        <f t="shared" si="27"/>
        <v>327420</v>
      </c>
      <c r="E81" s="880">
        <v>0.4</v>
      </c>
      <c r="F81" s="870">
        <v>12.041135362915499</v>
      </c>
      <c r="G81" s="870">
        <v>79.911923963040095</v>
      </c>
      <c r="H81" s="875">
        <f t="shared" si="30"/>
        <v>91.953059325955593</v>
      </c>
      <c r="I81" s="775">
        <v>53626</v>
      </c>
      <c r="J81" s="880">
        <v>0.6</v>
      </c>
      <c r="K81" s="870">
        <v>17.541957529760499</v>
      </c>
      <c r="L81" s="870">
        <v>13.088256167741701</v>
      </c>
      <c r="M81" s="875">
        <f t="shared" si="31"/>
        <v>30.630213697502199</v>
      </c>
      <c r="N81" s="772">
        <f t="shared" si="32"/>
        <v>418.07100000000008</v>
      </c>
      <c r="O81" s="777">
        <f t="shared" si="28"/>
        <v>5.1074583104269761E-4</v>
      </c>
      <c r="P81" s="777">
        <f t="shared" si="28"/>
        <v>1.5374899219074725E-2</v>
      </c>
      <c r="Q81" s="777">
        <f t="shared" si="29"/>
        <v>0.10203670503680944</v>
      </c>
      <c r="R81" s="777">
        <f t="shared" si="29"/>
        <v>0.11741160425588415</v>
      </c>
      <c r="S81" s="788">
        <f>IF($A$1="urban",'Calibration Data'!$R216,RuralCalibration!$R216)</f>
        <v>1</v>
      </c>
      <c r="T81" s="772"/>
      <c r="U81" s="772"/>
      <c r="V81" s="772"/>
    </row>
    <row r="82" spans="1:22" x14ac:dyDescent="0.25">
      <c r="A82" s="786" t="s">
        <v>186</v>
      </c>
      <c r="B82" s="50">
        <v>2</v>
      </c>
      <c r="C82" s="50" t="s">
        <v>39</v>
      </c>
      <c r="D82" s="775">
        <f t="shared" si="27"/>
        <v>327918</v>
      </c>
      <c r="E82" s="880">
        <v>5</v>
      </c>
      <c r="F82" s="870">
        <v>120.459675591389</v>
      </c>
      <c r="G82" s="870">
        <v>316.18080073513232</v>
      </c>
      <c r="H82" s="875">
        <f t="shared" si="30"/>
        <v>436.64047632652131</v>
      </c>
      <c r="I82" s="775">
        <v>51801</v>
      </c>
      <c r="J82" s="880">
        <v>1</v>
      </c>
      <c r="K82" s="870">
        <v>23.709500678935299</v>
      </c>
      <c r="L82" s="870">
        <v>49.946882021970694</v>
      </c>
      <c r="M82" s="875">
        <f t="shared" si="31"/>
        <v>73.656382700905993</v>
      </c>
      <c r="N82" s="772">
        <f t="shared" si="32"/>
        <v>405.04</v>
      </c>
      <c r="O82" s="777">
        <f t="shared" si="28"/>
        <v>8.2085403985807645E-2</v>
      </c>
      <c r="P82" s="777">
        <f t="shared" si="28"/>
        <v>1.9775962269836997</v>
      </c>
      <c r="Q82" s="777">
        <f t="shared" si="29"/>
        <v>5.1907657521798969</v>
      </c>
      <c r="R82" s="777">
        <f t="shared" si="29"/>
        <v>7.1683619791635955</v>
      </c>
      <c r="S82" s="788">
        <f>IF($A$1="urban",'Calibration Data'!$R217,RuralCalibration!$R217)</f>
        <v>13.291171985096815</v>
      </c>
      <c r="T82" s="772"/>
      <c r="U82" s="772"/>
      <c r="V82" s="772"/>
    </row>
    <row r="83" spans="1:22" x14ac:dyDescent="0.25">
      <c r="A83" s="786" t="s">
        <v>186</v>
      </c>
      <c r="B83" s="50">
        <v>2</v>
      </c>
      <c r="C83" s="50" t="s">
        <v>38</v>
      </c>
      <c r="D83" s="775">
        <f t="shared" si="27"/>
        <v>337487.2</v>
      </c>
      <c r="E83" s="880">
        <v>35.6</v>
      </c>
      <c r="F83" s="870">
        <v>624.10988954981303</v>
      </c>
      <c r="G83" s="870">
        <v>412.75582333802419</v>
      </c>
      <c r="H83" s="875">
        <f t="shared" si="30"/>
        <v>1036.8657128878372</v>
      </c>
      <c r="I83" s="775">
        <v>71962</v>
      </c>
      <c r="J83" s="880">
        <v>10</v>
      </c>
      <c r="K83" s="870">
        <v>176.23352391324599</v>
      </c>
      <c r="L83" s="870">
        <v>115.94264700506298</v>
      </c>
      <c r="M83" s="875">
        <f t="shared" si="31"/>
        <v>292.17617091830897</v>
      </c>
      <c r="N83" s="772">
        <f t="shared" si="32"/>
        <v>543.15200000000004</v>
      </c>
      <c r="O83" s="777">
        <f t="shared" si="28"/>
        <v>5.7294650582303576E-2</v>
      </c>
      <c r="P83" s="777">
        <f t="shared" si="28"/>
        <v>1.0044426417617025</v>
      </c>
      <c r="Q83" s="777">
        <f t="shared" si="29"/>
        <v>0.66428934477424484</v>
      </c>
      <c r="R83" s="777">
        <f t="shared" si="29"/>
        <v>1.6687319865359473</v>
      </c>
      <c r="S83" s="788">
        <f>IF($A$1="urban",'Calibration Data'!$R218,RuralCalibration!$R218)</f>
        <v>1</v>
      </c>
      <c r="T83" s="772"/>
      <c r="U83" s="772"/>
      <c r="V83" s="772"/>
    </row>
    <row r="84" spans="1:22" x14ac:dyDescent="0.25">
      <c r="A84" s="786" t="s">
        <v>186</v>
      </c>
      <c r="B84" s="50">
        <v>2</v>
      </c>
      <c r="C84" s="50" t="s">
        <v>37</v>
      </c>
      <c r="D84" s="775">
        <f t="shared" si="27"/>
        <v>176202.8</v>
      </c>
      <c r="E84" s="880">
        <v>57.8</v>
      </c>
      <c r="F84" s="870">
        <v>709.14036242120096</v>
      </c>
      <c r="G84" s="870">
        <v>542.73443373178009</v>
      </c>
      <c r="H84" s="875">
        <f t="shared" si="30"/>
        <v>1251.8747961529812</v>
      </c>
      <c r="I84" s="775">
        <v>45270.8</v>
      </c>
      <c r="J84" s="880">
        <v>17.8</v>
      </c>
      <c r="K84" s="870">
        <v>216.84501607792001</v>
      </c>
      <c r="L84" s="870">
        <v>167.1396699035586</v>
      </c>
      <c r="M84" s="875">
        <f t="shared" si="31"/>
        <v>383.98468598147861</v>
      </c>
      <c r="N84" s="772">
        <f t="shared" si="32"/>
        <v>399.14700000000005</v>
      </c>
      <c r="O84" s="777">
        <f t="shared" si="28"/>
        <v>0.11821233717156658</v>
      </c>
      <c r="P84" s="777">
        <f t="shared" si="28"/>
        <v>1.4503311353720059</v>
      </c>
      <c r="Q84" s="777">
        <f t="shared" si="29"/>
        <v>1.1099983715384163</v>
      </c>
      <c r="R84" s="777">
        <f t="shared" si="29"/>
        <v>2.5603295069104224</v>
      </c>
      <c r="S84" s="788">
        <f>IF($A$1="urban",'Calibration Data'!$R219,RuralCalibration!$R219)</f>
        <v>0.90284854269090908</v>
      </c>
      <c r="T84" s="772"/>
      <c r="U84" s="772"/>
      <c r="V84" s="772"/>
    </row>
    <row r="85" spans="1:22" x14ac:dyDescent="0.25">
      <c r="A85" s="786" t="s">
        <v>186</v>
      </c>
      <c r="B85" s="50">
        <v>2</v>
      </c>
      <c r="C85" s="50" t="s">
        <v>36</v>
      </c>
      <c r="D85" s="775">
        <f t="shared" si="27"/>
        <v>91991</v>
      </c>
      <c r="E85" s="880">
        <v>121.4</v>
      </c>
      <c r="F85" s="870">
        <v>935.81509249183898</v>
      </c>
      <c r="G85" s="870">
        <v>665.12532411397819</v>
      </c>
      <c r="H85" s="875">
        <f t="shared" si="30"/>
        <v>1600.9404166058171</v>
      </c>
      <c r="I85" s="775">
        <v>27046</v>
      </c>
      <c r="J85" s="880">
        <v>39</v>
      </c>
      <c r="K85" s="870">
        <v>294.62217235115003</v>
      </c>
      <c r="L85" s="870">
        <v>213.67288006956463</v>
      </c>
      <c r="M85" s="875">
        <f t="shared" si="31"/>
        <v>508.29505242071468</v>
      </c>
      <c r="N85" s="772">
        <f t="shared" si="32"/>
        <v>257.71500000000003</v>
      </c>
      <c r="O85" s="777">
        <f t="shared" si="28"/>
        <v>0.33611852732902736</v>
      </c>
      <c r="P85" s="777">
        <f t="shared" si="28"/>
        <v>2.5909785069245017</v>
      </c>
      <c r="Q85" s="777">
        <f t="shared" si="29"/>
        <v>1.8415234302342041</v>
      </c>
      <c r="R85" s="777">
        <f t="shared" si="29"/>
        <v>4.4325019371587056</v>
      </c>
      <c r="S85" s="788">
        <f>IF($A$1="urban",'Calibration Data'!$R220,RuralCalibration!$R220)</f>
        <v>0.98827863875416044</v>
      </c>
      <c r="T85" s="772"/>
      <c r="U85" s="772"/>
      <c r="V85" s="772"/>
    </row>
    <row r="86" spans="1:22" ht="15.75" thickBot="1" x14ac:dyDescent="0.3">
      <c r="A86" s="786" t="s">
        <v>186</v>
      </c>
      <c r="B86" s="50">
        <v>2</v>
      </c>
      <c r="C86" s="50" t="s">
        <v>35</v>
      </c>
      <c r="D86" s="775">
        <f t="shared" si="27"/>
        <v>76048.800000000003</v>
      </c>
      <c r="E86" s="881">
        <v>602.6</v>
      </c>
      <c r="F86" s="877">
        <v>1950.71205805717</v>
      </c>
      <c r="G86" s="877">
        <v>785.45886713006894</v>
      </c>
      <c r="H86" s="878">
        <f t="shared" si="30"/>
        <v>2736.1709251872389</v>
      </c>
      <c r="I86" s="775">
        <v>18745.8</v>
      </c>
      <c r="J86" s="881">
        <v>159.80000000000001</v>
      </c>
      <c r="K86" s="877">
        <v>538.26876602734706</v>
      </c>
      <c r="L86" s="877">
        <v>208.29128272051946</v>
      </c>
      <c r="M86" s="878">
        <f t="shared" si="31"/>
        <v>746.56004874786652</v>
      </c>
      <c r="N86" s="772">
        <f t="shared" si="32"/>
        <v>130.97400000000002</v>
      </c>
      <c r="O86" s="777">
        <f t="shared" si="28"/>
        <v>0.97555305676914061</v>
      </c>
      <c r="P86" s="777">
        <f t="shared" si="28"/>
        <v>3.1580204299935164</v>
      </c>
      <c r="Q86" s="777">
        <f t="shared" si="29"/>
        <v>1.2715844653089363</v>
      </c>
      <c r="R86" s="777">
        <f t="shared" si="29"/>
        <v>4.4296048953024529</v>
      </c>
      <c r="S86" s="788">
        <f>IF($A$1="urban",'Calibration Data'!$R221,RuralCalibration!$R221)</f>
        <v>0.94000257013365529</v>
      </c>
      <c r="T86" s="772"/>
      <c r="U86" s="772"/>
      <c r="V86" s="772"/>
    </row>
    <row r="87" spans="1:22" ht="15.75" thickBot="1" x14ac:dyDescent="0.3">
      <c r="A87" s="786" t="s">
        <v>72</v>
      </c>
      <c r="D87" s="775">
        <f>SUM(D71:D86)</f>
        <v>3216773</v>
      </c>
      <c r="E87" s="779">
        <f t="shared" ref="E87:R87" si="33">SUM(E71:E86)</f>
        <v>1423.6</v>
      </c>
      <c r="F87" s="779">
        <f t="shared" si="33"/>
        <v>8307.7007311942562</v>
      </c>
      <c r="G87" s="779">
        <f t="shared" si="33"/>
        <v>5631.3793526928857</v>
      </c>
      <c r="H87" s="780">
        <f t="shared" si="33"/>
        <v>13939.08008388714</v>
      </c>
      <c r="I87" s="775">
        <f t="shared" ref="I87:M87" si="34">SUM(I71:I86)</f>
        <v>651949.20000000019</v>
      </c>
      <c r="J87" s="779">
        <f t="shared" si="34"/>
        <v>397.8</v>
      </c>
      <c r="K87" s="779">
        <f t="shared" si="34"/>
        <v>2327.2319737339849</v>
      </c>
      <c r="L87" s="779">
        <f t="shared" si="34"/>
        <v>1583.9430215188318</v>
      </c>
      <c r="M87" s="780">
        <f t="shared" si="34"/>
        <v>3911.1749952528157</v>
      </c>
      <c r="N87" s="779">
        <f>SUM(N71:N86)</f>
        <v>5192.2310000000007</v>
      </c>
      <c r="O87" s="782">
        <f t="shared" si="33"/>
        <v>3.4648170624516959</v>
      </c>
      <c r="P87" s="782">
        <f t="shared" si="33"/>
        <v>22.227426181259226</v>
      </c>
      <c r="Q87" s="782">
        <f t="shared" si="33"/>
        <v>18.560238170240698</v>
      </c>
      <c r="R87" s="782">
        <f t="shared" si="33"/>
        <v>40.78766435149992</v>
      </c>
      <c r="S87" s="789"/>
    </row>
    <row r="88" spans="1:22" x14ac:dyDescent="0.25">
      <c r="A88" s="49" t="s">
        <v>32</v>
      </c>
      <c r="B88" s="50">
        <v>1</v>
      </c>
      <c r="C88" s="50" t="s">
        <v>2</v>
      </c>
      <c r="D88" s="775">
        <f t="shared" ref="D88:D103" si="35">D54</f>
        <v>100771.8</v>
      </c>
      <c r="E88" s="879">
        <v>0.4</v>
      </c>
      <c r="F88" s="872">
        <v>13.0542021792197</v>
      </c>
      <c r="G88" s="872">
        <v>0</v>
      </c>
      <c r="H88" s="873">
        <f>F88+G88</f>
        <v>13.0542021792197</v>
      </c>
      <c r="I88" s="775">
        <v>19204.2</v>
      </c>
      <c r="J88" s="879">
        <v>0</v>
      </c>
      <c r="K88" s="872">
        <v>0</v>
      </c>
      <c r="L88" s="872">
        <v>0</v>
      </c>
      <c r="M88" s="873">
        <f>K88+L88</f>
        <v>0</v>
      </c>
      <c r="N88" s="772">
        <f>N71</f>
        <v>126.32600000000001</v>
      </c>
      <c r="O88" s="777">
        <f t="shared" ref="O88:P103" si="36">$S88*(E88)/$D88*$N88</f>
        <v>5.0143393290583279E-4</v>
      </c>
      <c r="P88" s="777">
        <f>$S88*((F88)/$D88*$N88)</f>
        <v>1.6364549849185069E-2</v>
      </c>
      <c r="Q88" s="777">
        <f t="shared" ref="Q88:R103" si="37">$S88*(G88)/$D88*$N88</f>
        <v>0</v>
      </c>
      <c r="R88" s="777">
        <f t="shared" si="37"/>
        <v>1.6364549849185069E-2</v>
      </c>
      <c r="S88" s="788">
        <f>IF($A$1="urban",'Calibration Data'!$R78,RuralCalibration!$R78)</f>
        <v>1</v>
      </c>
    </row>
    <row r="89" spans="1:22" x14ac:dyDescent="0.25">
      <c r="A89" s="49" t="s">
        <v>32</v>
      </c>
      <c r="B89" s="50">
        <v>1</v>
      </c>
      <c r="C89" s="50" t="s">
        <v>41</v>
      </c>
      <c r="D89" s="775">
        <f t="shared" si="35"/>
        <v>205830</v>
      </c>
      <c r="E89" s="880">
        <v>0.2</v>
      </c>
      <c r="F89" s="870">
        <v>6.6787775322638696</v>
      </c>
      <c r="G89" s="870">
        <v>0</v>
      </c>
      <c r="H89" s="875">
        <f t="shared" ref="H89:H103" si="38">F89+G89</f>
        <v>6.6787775322638696</v>
      </c>
      <c r="I89" s="775">
        <v>39373.4</v>
      </c>
      <c r="J89" s="880">
        <v>0</v>
      </c>
      <c r="K89" s="870">
        <v>0</v>
      </c>
      <c r="L89" s="870">
        <v>0</v>
      </c>
      <c r="M89" s="875">
        <f t="shared" ref="M89:M103" si="39">K89+L89</f>
        <v>0</v>
      </c>
      <c r="N89" s="772">
        <f>N72</f>
        <v>267.42600000000004</v>
      </c>
      <c r="O89" s="777">
        <f t="shared" si="36"/>
        <v>2.5985133362483605E-4</v>
      </c>
      <c r="P89" s="777">
        <f t="shared" si="36"/>
        <v>8.6774462437117922E-3</v>
      </c>
      <c r="Q89" s="777">
        <f t="shared" si="37"/>
        <v>0</v>
      </c>
      <c r="R89" s="777">
        <f t="shared" si="37"/>
        <v>8.6774462437117922E-3</v>
      </c>
      <c r="S89" s="788">
        <f>IF($A$1="urban",'Calibration Data'!$R79,RuralCalibration!$R79)</f>
        <v>1</v>
      </c>
    </row>
    <row r="90" spans="1:22" x14ac:dyDescent="0.25">
      <c r="A90" s="49" t="s">
        <v>32</v>
      </c>
      <c r="B90" s="50">
        <v>1</v>
      </c>
      <c r="C90" s="50" t="s">
        <v>40</v>
      </c>
      <c r="D90" s="775">
        <f t="shared" si="35"/>
        <v>333948</v>
      </c>
      <c r="E90" s="880">
        <v>0</v>
      </c>
      <c r="F90" s="870">
        <v>0</v>
      </c>
      <c r="G90" s="870">
        <v>0</v>
      </c>
      <c r="H90" s="875">
        <f t="shared" si="38"/>
        <v>0</v>
      </c>
      <c r="I90" s="775">
        <v>59712.800000000003</v>
      </c>
      <c r="J90" s="880">
        <v>0</v>
      </c>
      <c r="K90" s="870">
        <v>0</v>
      </c>
      <c r="L90" s="870">
        <v>0</v>
      </c>
      <c r="M90" s="875">
        <f t="shared" si="39"/>
        <v>0</v>
      </c>
      <c r="N90" s="772">
        <f t="shared" ref="N90:N103" si="40">N73</f>
        <v>408.11100000000005</v>
      </c>
      <c r="O90" s="777">
        <f t="shared" si="36"/>
        <v>0</v>
      </c>
      <c r="P90" s="777">
        <f t="shared" si="36"/>
        <v>0</v>
      </c>
      <c r="Q90" s="777">
        <f t="shared" si="37"/>
        <v>0</v>
      </c>
      <c r="R90" s="777">
        <f t="shared" si="37"/>
        <v>0</v>
      </c>
      <c r="S90" s="788">
        <f>IF($A$1="urban",'Calibration Data'!$R80,RuralCalibration!$R80)</f>
        <v>1</v>
      </c>
    </row>
    <row r="91" spans="1:22" x14ac:dyDescent="0.25">
      <c r="A91" s="49" t="s">
        <v>32</v>
      </c>
      <c r="B91" s="50">
        <v>1</v>
      </c>
      <c r="C91" s="50" t="s">
        <v>39</v>
      </c>
      <c r="D91" s="775">
        <f t="shared" si="35"/>
        <v>334802.40000000002</v>
      </c>
      <c r="E91" s="880">
        <v>0.4</v>
      </c>
      <c r="F91" s="870">
        <v>10.6929942066868</v>
      </c>
      <c r="G91" s="870">
        <v>3.2446322408422654</v>
      </c>
      <c r="H91" s="875">
        <f t="shared" si="38"/>
        <v>13.937626447529066</v>
      </c>
      <c r="I91" s="775">
        <v>54951</v>
      </c>
      <c r="J91" s="880">
        <v>0.2</v>
      </c>
      <c r="K91" s="870">
        <v>4.4370837293239402</v>
      </c>
      <c r="L91" s="870">
        <v>0.53254034698234942</v>
      </c>
      <c r="M91" s="875">
        <f t="shared" si="39"/>
        <v>4.9696240763062898</v>
      </c>
      <c r="N91" s="772">
        <f t="shared" si="40"/>
        <v>393.50300000000004</v>
      </c>
      <c r="O91" s="777">
        <f t="shared" si="36"/>
        <v>4.7013163585446228E-4</v>
      </c>
      <c r="P91" s="777">
        <f t="shared" si="36"/>
        <v>1.2567787146429881E-2</v>
      </c>
      <c r="Q91" s="777">
        <f t="shared" si="37"/>
        <v>3.8135106578332592E-3</v>
      </c>
      <c r="R91" s="777">
        <f t="shared" si="37"/>
        <v>1.6381297804263142E-2</v>
      </c>
      <c r="S91" s="788">
        <f>IF($A$1="urban",'Calibration Data'!$R81,RuralCalibration!$R81)</f>
        <v>1</v>
      </c>
    </row>
    <row r="92" spans="1:22" x14ac:dyDescent="0.25">
      <c r="A92" s="49" t="s">
        <v>32</v>
      </c>
      <c r="B92" s="50">
        <v>1</v>
      </c>
      <c r="C92" s="50" t="s">
        <v>38</v>
      </c>
      <c r="D92" s="775">
        <f t="shared" si="35"/>
        <v>324395.59999999998</v>
      </c>
      <c r="E92" s="880">
        <v>7.6</v>
      </c>
      <c r="F92" s="870">
        <v>122.625342999182</v>
      </c>
      <c r="G92" s="870">
        <v>244.61877363748448</v>
      </c>
      <c r="H92" s="875">
        <f t="shared" si="38"/>
        <v>367.24411663666649</v>
      </c>
      <c r="I92" s="775">
        <v>70272</v>
      </c>
      <c r="J92" s="880">
        <v>2.8</v>
      </c>
      <c r="K92" s="870">
        <v>44.6916684249897</v>
      </c>
      <c r="L92" s="870">
        <v>52.990393399458291</v>
      </c>
      <c r="M92" s="875">
        <f t="shared" si="39"/>
        <v>97.682061824447999</v>
      </c>
      <c r="N92" s="772">
        <f t="shared" si="40"/>
        <v>581.00000000000011</v>
      </c>
      <c r="O92" s="777">
        <f t="shared" si="36"/>
        <v>1.3611775252192079E-2</v>
      </c>
      <c r="P92" s="777">
        <f t="shared" si="36"/>
        <v>0.21962481699050407</v>
      </c>
      <c r="Q92" s="777">
        <f t="shared" si="37"/>
        <v>0.43811786437109046</v>
      </c>
      <c r="R92" s="777">
        <f t="shared" si="37"/>
        <v>0.65774268136159464</v>
      </c>
      <c r="S92" s="788">
        <f>IF($A$1="urban",'Calibration Data'!$R82,RuralCalibration!$R82)</f>
        <v>1</v>
      </c>
    </row>
    <row r="93" spans="1:22" x14ac:dyDescent="0.25">
      <c r="A93" s="49" t="s">
        <v>32</v>
      </c>
      <c r="B93" s="50">
        <v>1</v>
      </c>
      <c r="C93" s="50" t="s">
        <v>37</v>
      </c>
      <c r="D93" s="775">
        <f t="shared" si="35"/>
        <v>163949.4</v>
      </c>
      <c r="E93" s="880">
        <v>30.6</v>
      </c>
      <c r="F93" s="870">
        <v>333.26921891606298</v>
      </c>
      <c r="G93" s="870">
        <v>510.99052137553792</v>
      </c>
      <c r="H93" s="875">
        <f t="shared" si="38"/>
        <v>844.25974029160091</v>
      </c>
      <c r="I93" s="775">
        <v>44455</v>
      </c>
      <c r="J93" s="880">
        <v>8.6</v>
      </c>
      <c r="K93" s="870">
        <v>93.925718565866305</v>
      </c>
      <c r="L93" s="870">
        <v>119.71566646544693</v>
      </c>
      <c r="M93" s="875">
        <f t="shared" si="39"/>
        <v>213.64138503131323</v>
      </c>
      <c r="N93" s="772">
        <f t="shared" si="40"/>
        <v>422.47000000000008</v>
      </c>
      <c r="O93" s="777">
        <f t="shared" si="36"/>
        <v>7.8851047945280708E-2</v>
      </c>
      <c r="P93" s="777">
        <f t="shared" si="36"/>
        <v>0.85877866534106961</v>
      </c>
      <c r="Q93" s="777">
        <f t="shared" si="37"/>
        <v>1.3167365392342001</v>
      </c>
      <c r="R93" s="777">
        <f t="shared" si="37"/>
        <v>2.1755152045752699</v>
      </c>
      <c r="S93" s="788">
        <f>IF($A$1="urban",'Calibration Data'!$R83,RuralCalibration!$R83)</f>
        <v>1</v>
      </c>
    </row>
    <row r="94" spans="1:22" x14ac:dyDescent="0.25">
      <c r="A94" s="49" t="s">
        <v>32</v>
      </c>
      <c r="B94" s="50">
        <v>1</v>
      </c>
      <c r="C94" s="50" t="s">
        <v>36</v>
      </c>
      <c r="D94" s="775">
        <f t="shared" si="35"/>
        <v>78168.399999999994</v>
      </c>
      <c r="E94" s="880">
        <v>129.80000000000001</v>
      </c>
      <c r="F94" s="870">
        <v>837.70667779951998</v>
      </c>
      <c r="G94" s="870">
        <v>961.54133800095451</v>
      </c>
      <c r="H94" s="875">
        <f t="shared" si="38"/>
        <v>1799.2480158004746</v>
      </c>
      <c r="I94" s="775">
        <v>25872.400000000001</v>
      </c>
      <c r="J94" s="880">
        <v>33.200000000000003</v>
      </c>
      <c r="K94" s="870">
        <v>213.648492503413</v>
      </c>
      <c r="L94" s="870">
        <v>245.94123591395757</v>
      </c>
      <c r="M94" s="875">
        <f t="shared" si="39"/>
        <v>459.58972841737057</v>
      </c>
      <c r="N94" s="772">
        <f t="shared" si="40"/>
        <v>272.24</v>
      </c>
      <c r="O94" s="777">
        <f t="shared" si="36"/>
        <v>0.41444856418424997</v>
      </c>
      <c r="P94" s="777">
        <f t="shared" si="36"/>
        <v>2.6747791203510718</v>
      </c>
      <c r="Q94" s="777">
        <f t="shared" si="37"/>
        <v>3.0701804848867349</v>
      </c>
      <c r="R94" s="777">
        <f t="shared" si="37"/>
        <v>5.744959605237808</v>
      </c>
      <c r="S94" s="788">
        <f>IF($A$1="urban",'Calibration Data'!$R84,RuralCalibration!$R84)</f>
        <v>0.9168013275408029</v>
      </c>
    </row>
    <row r="95" spans="1:22" x14ac:dyDescent="0.25">
      <c r="A95" s="49" t="s">
        <v>32</v>
      </c>
      <c r="B95" s="50">
        <v>1</v>
      </c>
      <c r="C95" s="50" t="s">
        <v>35</v>
      </c>
      <c r="D95" s="775">
        <f t="shared" si="35"/>
        <v>45490.6</v>
      </c>
      <c r="E95" s="880">
        <v>677.2</v>
      </c>
      <c r="F95" s="870">
        <v>2020.0971904775899</v>
      </c>
      <c r="G95" s="870">
        <v>2993.8066078888219</v>
      </c>
      <c r="H95" s="875">
        <f t="shared" si="38"/>
        <v>5013.903798366412</v>
      </c>
      <c r="I95" s="775">
        <v>13268.2</v>
      </c>
      <c r="J95" s="880">
        <v>173</v>
      </c>
      <c r="K95" s="870">
        <v>518.20803927531006</v>
      </c>
      <c r="L95" s="870">
        <v>764.80883515175162</v>
      </c>
      <c r="M95" s="875">
        <f t="shared" si="39"/>
        <v>1283.0168744270618</v>
      </c>
      <c r="N95" s="772">
        <f t="shared" si="40"/>
        <v>161.76700000000002</v>
      </c>
      <c r="O95" s="777">
        <f t="shared" si="36"/>
        <v>2.4374060496035659</v>
      </c>
      <c r="P95" s="777">
        <f t="shared" si="36"/>
        <v>7.2708167644082167</v>
      </c>
      <c r="Q95" s="777">
        <f t="shared" si="37"/>
        <v>10.775431685486334</v>
      </c>
      <c r="R95" s="777">
        <f t="shared" si="37"/>
        <v>18.046248449894552</v>
      </c>
      <c r="S95" s="788">
        <f>IF($A$1="urban",'Calibration Data'!$R85,RuralCalibration!$R85)</f>
        <v>1.0121448479441986</v>
      </c>
      <c r="T95" s="784"/>
    </row>
    <row r="96" spans="1:22" x14ac:dyDescent="0.25">
      <c r="A96" s="49" t="s">
        <v>32</v>
      </c>
      <c r="B96" s="50">
        <v>2</v>
      </c>
      <c r="C96" s="50" t="s">
        <v>2</v>
      </c>
      <c r="D96" s="775">
        <f t="shared" si="35"/>
        <v>95879.4</v>
      </c>
      <c r="E96" s="880">
        <v>0.4</v>
      </c>
      <c r="F96" s="870">
        <v>13.1255333244745</v>
      </c>
      <c r="G96" s="870">
        <v>0</v>
      </c>
      <c r="H96" s="875">
        <f t="shared" si="38"/>
        <v>13.1255333244745</v>
      </c>
      <c r="I96" s="775">
        <v>18432</v>
      </c>
      <c r="J96" s="880">
        <v>0</v>
      </c>
      <c r="K96" s="870">
        <v>0</v>
      </c>
      <c r="L96" s="870">
        <v>0</v>
      </c>
      <c r="M96" s="875">
        <f t="shared" si="39"/>
        <v>0</v>
      </c>
      <c r="N96" s="772">
        <f t="shared" si="40"/>
        <v>130.55900000000003</v>
      </c>
      <c r="O96" s="777">
        <f t="shared" si="36"/>
        <v>5.4468008769349837E-4</v>
      </c>
      <c r="P96" s="777">
        <f t="shared" si="36"/>
        <v>1.7873041605496767E-2</v>
      </c>
      <c r="Q96" s="777">
        <f t="shared" si="37"/>
        <v>0</v>
      </c>
      <c r="R96" s="777">
        <f t="shared" si="37"/>
        <v>1.7873041605496767E-2</v>
      </c>
      <c r="S96" s="788">
        <f>IF($A$1="urban",'Calibration Data'!$R70, RuralCalibration!$R70)</f>
        <v>1</v>
      </c>
    </row>
    <row r="97" spans="1:20" x14ac:dyDescent="0.25">
      <c r="A97" s="49" t="s">
        <v>32</v>
      </c>
      <c r="B97" s="50">
        <v>2</v>
      </c>
      <c r="C97" s="50" t="s">
        <v>41</v>
      </c>
      <c r="D97" s="775">
        <f t="shared" si="35"/>
        <v>196469.6</v>
      </c>
      <c r="E97" s="880">
        <v>0.2</v>
      </c>
      <c r="F97" s="870">
        <v>6.7217440379328304</v>
      </c>
      <c r="G97" s="870">
        <v>0</v>
      </c>
      <c r="H97" s="875">
        <f t="shared" si="38"/>
        <v>6.7217440379328304</v>
      </c>
      <c r="I97" s="775">
        <v>37956.6</v>
      </c>
      <c r="J97" s="880">
        <v>0</v>
      </c>
      <c r="K97" s="870">
        <v>0</v>
      </c>
      <c r="L97" s="870">
        <v>0</v>
      </c>
      <c r="M97" s="875">
        <f t="shared" si="39"/>
        <v>0</v>
      </c>
      <c r="N97" s="772">
        <f t="shared" si="40"/>
        <v>274.73000000000008</v>
      </c>
      <c r="O97" s="777">
        <f t="shared" si="36"/>
        <v>2.7966667616771256E-4</v>
      </c>
      <c r="P97" s="777">
        <f t="shared" si="36"/>
        <v>9.399239065694065E-3</v>
      </c>
      <c r="Q97" s="777">
        <f t="shared" si="37"/>
        <v>0</v>
      </c>
      <c r="R97" s="777">
        <f t="shared" si="37"/>
        <v>9.399239065694065E-3</v>
      </c>
      <c r="S97" s="788">
        <f>IF($A$1="urban",'Calibration Data'!$R71, RuralCalibration!$R71)</f>
        <v>1</v>
      </c>
    </row>
    <row r="98" spans="1:20" x14ac:dyDescent="0.25">
      <c r="A98" s="49" t="s">
        <v>32</v>
      </c>
      <c r="B98" s="50">
        <v>2</v>
      </c>
      <c r="C98" s="50" t="s">
        <v>40</v>
      </c>
      <c r="D98" s="775">
        <f t="shared" si="35"/>
        <v>327420</v>
      </c>
      <c r="E98" s="880">
        <v>0</v>
      </c>
      <c r="F98" s="870">
        <v>0</v>
      </c>
      <c r="G98" s="870">
        <v>0</v>
      </c>
      <c r="H98" s="875">
        <f t="shared" si="38"/>
        <v>0</v>
      </c>
      <c r="I98" s="775">
        <v>53626</v>
      </c>
      <c r="J98" s="880">
        <v>0</v>
      </c>
      <c r="K98" s="870">
        <v>0</v>
      </c>
      <c r="L98" s="870">
        <v>0</v>
      </c>
      <c r="M98" s="875">
        <f t="shared" si="39"/>
        <v>0</v>
      </c>
      <c r="N98" s="772">
        <f t="shared" si="40"/>
        <v>418.07100000000008</v>
      </c>
      <c r="O98" s="777">
        <f t="shared" si="36"/>
        <v>0</v>
      </c>
      <c r="P98" s="777">
        <f t="shared" si="36"/>
        <v>0</v>
      </c>
      <c r="Q98" s="777">
        <f t="shared" si="37"/>
        <v>0</v>
      </c>
      <c r="R98" s="777">
        <f t="shared" si="37"/>
        <v>0</v>
      </c>
      <c r="S98" s="788">
        <f>IF($A$1="urban",'Calibration Data'!$R72, RuralCalibration!$R72)</f>
        <v>1</v>
      </c>
    </row>
    <row r="99" spans="1:20" x14ac:dyDescent="0.25">
      <c r="A99" s="49" t="s">
        <v>32</v>
      </c>
      <c r="B99" s="50">
        <v>2</v>
      </c>
      <c r="C99" s="50" t="s">
        <v>39</v>
      </c>
      <c r="D99" s="775">
        <f t="shared" si="35"/>
        <v>327918</v>
      </c>
      <c r="E99" s="880">
        <v>0.6</v>
      </c>
      <c r="F99" s="870">
        <v>15.4414898337361</v>
      </c>
      <c r="G99" s="870">
        <v>3.6970469521675766</v>
      </c>
      <c r="H99" s="875">
        <f t="shared" si="38"/>
        <v>19.138536785903675</v>
      </c>
      <c r="I99" s="775">
        <v>51801</v>
      </c>
      <c r="J99" s="880">
        <v>0</v>
      </c>
      <c r="K99" s="870">
        <v>0</v>
      </c>
      <c r="L99" s="870">
        <v>0.58402017934127615</v>
      </c>
      <c r="M99" s="875">
        <f t="shared" si="39"/>
        <v>0.58402017934127615</v>
      </c>
      <c r="N99" s="772">
        <f t="shared" si="40"/>
        <v>405.04</v>
      </c>
      <c r="O99" s="777">
        <f t="shared" si="36"/>
        <v>7.4111210729511652E-4</v>
      </c>
      <c r="P99" s="777">
        <f t="shared" si="36"/>
        <v>1.907312511742713E-2</v>
      </c>
      <c r="Q99" s="777">
        <f t="shared" si="37"/>
        <v>4.566543762483167E-3</v>
      </c>
      <c r="R99" s="777">
        <f t="shared" si="37"/>
        <v>2.36396688799103E-2</v>
      </c>
      <c r="S99" s="788">
        <f>IF($A$1="urban",'Calibration Data'!$R73, RuralCalibration!$R73)</f>
        <v>1</v>
      </c>
    </row>
    <row r="100" spans="1:20" x14ac:dyDescent="0.25">
      <c r="A100" s="49" t="s">
        <v>32</v>
      </c>
      <c r="B100" s="50">
        <v>2</v>
      </c>
      <c r="C100" s="50" t="s">
        <v>38</v>
      </c>
      <c r="D100" s="775">
        <f t="shared" si="35"/>
        <v>337487.2</v>
      </c>
      <c r="E100" s="880">
        <v>8.6</v>
      </c>
      <c r="F100" s="870">
        <v>147.00217884909699</v>
      </c>
      <c r="G100" s="870">
        <v>334.3015054185189</v>
      </c>
      <c r="H100" s="875">
        <f t="shared" si="38"/>
        <v>481.30368426761589</v>
      </c>
      <c r="I100" s="775">
        <v>71962</v>
      </c>
      <c r="J100" s="880">
        <v>0.8</v>
      </c>
      <c r="K100" s="870">
        <v>13.2247931841785</v>
      </c>
      <c r="L100" s="870">
        <v>71.282718079167012</v>
      </c>
      <c r="M100" s="875">
        <f t="shared" si="39"/>
        <v>84.507511263345506</v>
      </c>
      <c r="N100" s="772">
        <f t="shared" si="40"/>
        <v>543.15200000000004</v>
      </c>
      <c r="O100" s="777">
        <f t="shared" si="36"/>
        <v>1.3840842556399178E-2</v>
      </c>
      <c r="P100" s="777">
        <f t="shared" si="36"/>
        <v>0.23658535033697495</v>
      </c>
      <c r="Q100" s="777">
        <f t="shared" si="37"/>
        <v>0.53802494219359842</v>
      </c>
      <c r="R100" s="777">
        <f t="shared" si="37"/>
        <v>0.77461029253057334</v>
      </c>
      <c r="S100" s="788">
        <f>IF($A$1="urban",'Calibration Data'!$R74, RuralCalibration!$R74)</f>
        <v>1</v>
      </c>
    </row>
    <row r="101" spans="1:20" x14ac:dyDescent="0.25">
      <c r="A101" s="49" t="s">
        <v>32</v>
      </c>
      <c r="B101" s="50">
        <v>2</v>
      </c>
      <c r="C101" s="50" t="s">
        <v>37</v>
      </c>
      <c r="D101" s="775">
        <f t="shared" si="35"/>
        <v>176202.8</v>
      </c>
      <c r="E101" s="880">
        <v>32.4</v>
      </c>
      <c r="F101" s="870">
        <v>396.17630808731002</v>
      </c>
      <c r="G101" s="870">
        <v>767.95297127457866</v>
      </c>
      <c r="H101" s="875">
        <f t="shared" si="38"/>
        <v>1164.1292793618886</v>
      </c>
      <c r="I101" s="775">
        <v>45270.8</v>
      </c>
      <c r="J101" s="880">
        <v>8.1999999999999993</v>
      </c>
      <c r="K101" s="870">
        <v>96.276479765801199</v>
      </c>
      <c r="L101" s="870">
        <v>152.84361392508325</v>
      </c>
      <c r="M101" s="875">
        <f t="shared" si="39"/>
        <v>249.12009369088446</v>
      </c>
      <c r="N101" s="772">
        <f t="shared" si="40"/>
        <v>399.14700000000005</v>
      </c>
      <c r="O101" s="777">
        <f t="shared" si="36"/>
        <v>7.3394763306826011E-2</v>
      </c>
      <c r="P101" s="777">
        <f t="shared" si="36"/>
        <v>0.89744649258766351</v>
      </c>
      <c r="Q101" s="777">
        <f t="shared" si="37"/>
        <v>1.7396211900454153</v>
      </c>
      <c r="R101" s="777">
        <f t="shared" si="37"/>
        <v>2.637067682633079</v>
      </c>
      <c r="S101" s="788">
        <f>IF($A$1="urban",'Calibration Data'!$R75, RuralCalibration!$R75)</f>
        <v>1</v>
      </c>
    </row>
    <row r="102" spans="1:20" x14ac:dyDescent="0.25">
      <c r="A102" s="49" t="s">
        <v>32</v>
      </c>
      <c r="B102" s="50">
        <v>2</v>
      </c>
      <c r="C102" s="50" t="s">
        <v>36</v>
      </c>
      <c r="D102" s="775">
        <f t="shared" si="35"/>
        <v>91991</v>
      </c>
      <c r="E102" s="880">
        <v>161</v>
      </c>
      <c r="F102" s="870">
        <v>1191.33811004411</v>
      </c>
      <c r="G102" s="870">
        <v>1440.3882807188802</v>
      </c>
      <c r="H102" s="875">
        <f t="shared" si="38"/>
        <v>2631.7263907629904</v>
      </c>
      <c r="I102" s="775">
        <v>27046</v>
      </c>
      <c r="J102" s="880">
        <v>45.8</v>
      </c>
      <c r="K102" s="870">
        <v>336.98637884594302</v>
      </c>
      <c r="L102" s="870">
        <v>409.7502065647497</v>
      </c>
      <c r="M102" s="875">
        <f t="shared" si="39"/>
        <v>746.73658541069267</v>
      </c>
      <c r="N102" s="772">
        <f t="shared" si="40"/>
        <v>257.71500000000003</v>
      </c>
      <c r="O102" s="777">
        <f t="shared" si="36"/>
        <v>0.43797868880265439</v>
      </c>
      <c r="P102" s="777">
        <f t="shared" si="36"/>
        <v>3.2408739338990782</v>
      </c>
      <c r="Q102" s="777">
        <f t="shared" si="37"/>
        <v>3.9183811835774209</v>
      </c>
      <c r="R102" s="777">
        <f t="shared" si="37"/>
        <v>7.1592551174764996</v>
      </c>
      <c r="S102" s="788">
        <f>IF($A$1="urban",'Calibration Data'!$R76, RuralCalibration!$R76)</f>
        <v>0.97103022011880991</v>
      </c>
    </row>
    <row r="103" spans="1:20" ht="15.75" thickBot="1" x14ac:dyDescent="0.3">
      <c r="A103" s="49" t="s">
        <v>32</v>
      </c>
      <c r="B103" s="50">
        <v>2</v>
      </c>
      <c r="C103" s="50" t="s">
        <v>35</v>
      </c>
      <c r="D103" s="775">
        <f t="shared" si="35"/>
        <v>76048.800000000003</v>
      </c>
      <c r="E103" s="881">
        <v>1552</v>
      </c>
      <c r="F103" s="877">
        <v>4861.2056300014601</v>
      </c>
      <c r="G103" s="877">
        <v>5646.3307064841692</v>
      </c>
      <c r="H103" s="878">
        <f t="shared" si="38"/>
        <v>10507.536336485629</v>
      </c>
      <c r="I103" s="775">
        <v>18745.8</v>
      </c>
      <c r="J103" s="881">
        <v>360.4</v>
      </c>
      <c r="K103" s="877">
        <v>1152.71618333323</v>
      </c>
      <c r="L103" s="877">
        <v>1311.1711253974836</v>
      </c>
      <c r="M103" s="878">
        <f t="shared" si="39"/>
        <v>2463.8873087307138</v>
      </c>
      <c r="N103" s="772">
        <f t="shared" si="40"/>
        <v>130.97400000000002</v>
      </c>
      <c r="O103" s="777">
        <f t="shared" si="36"/>
        <v>2.6796229123600668</v>
      </c>
      <c r="P103" s="777">
        <f t="shared" si="36"/>
        <v>8.3931688066015884</v>
      </c>
      <c r="Q103" s="777">
        <f t="shared" si="37"/>
        <v>9.7487352653718986</v>
      </c>
      <c r="R103" s="777">
        <f t="shared" si="37"/>
        <v>18.141904071973489</v>
      </c>
      <c r="S103" s="788">
        <f>IF($A$1="urban",'Calibration Data'!$R77, RuralCalibration!$R77)</f>
        <v>1.0025112156196434</v>
      </c>
    </row>
    <row r="104" spans="1:20" ht="15.75" thickBot="1" x14ac:dyDescent="0.3">
      <c r="D104" s="775">
        <f t="shared" ref="D104:N104" si="41">SUM(D88:D103)</f>
        <v>3216773</v>
      </c>
      <c r="E104" s="779">
        <f t="shared" si="41"/>
        <v>2601.4</v>
      </c>
      <c r="F104" s="779">
        <f t="shared" si="41"/>
        <v>9975.1353982886467</v>
      </c>
      <c r="G104" s="779">
        <f t="shared" si="41"/>
        <v>12906.872383991955</v>
      </c>
      <c r="H104" s="780">
        <f t="shared" si="41"/>
        <v>22882.007782280605</v>
      </c>
      <c r="I104" s="775">
        <f t="shared" si="41"/>
        <v>651949.20000000019</v>
      </c>
      <c r="J104" s="779">
        <f t="shared" si="41"/>
        <v>633</v>
      </c>
      <c r="K104" s="779">
        <f t="shared" si="41"/>
        <v>2474.1148376280557</v>
      </c>
      <c r="L104" s="779">
        <f t="shared" si="41"/>
        <v>3129.6203554234216</v>
      </c>
      <c r="M104" s="780">
        <f t="shared" si="41"/>
        <v>5603.7351930514778</v>
      </c>
      <c r="N104" s="779">
        <f t="shared" si="41"/>
        <v>5192.2310000000007</v>
      </c>
      <c r="O104" s="782">
        <f>SUM(O88:O103)</f>
        <v>6.1519515197847765</v>
      </c>
      <c r="P104" s="782">
        <f>SUM(P88:P103)</f>
        <v>23.876029139544109</v>
      </c>
      <c r="Q104" s="782">
        <f>SUM(Q88:Q103)</f>
        <v>31.553609209587009</v>
      </c>
      <c r="R104" s="782">
        <f>SUM(R88:R103)</f>
        <v>55.429638349131125</v>
      </c>
      <c r="S104" s="789"/>
    </row>
    <row r="105" spans="1:20" x14ac:dyDescent="0.25">
      <c r="A105" s="49" t="s">
        <v>33</v>
      </c>
      <c r="B105" s="50">
        <v>1</v>
      </c>
      <c r="C105" s="50" t="s">
        <v>2</v>
      </c>
      <c r="D105" s="775">
        <f t="shared" ref="D105:D137" si="42">D88</f>
        <v>100771.8</v>
      </c>
      <c r="E105" s="879">
        <v>0</v>
      </c>
      <c r="F105" s="872">
        <v>0</v>
      </c>
      <c r="G105" s="872">
        <v>27.285479828676536</v>
      </c>
      <c r="H105" s="873">
        <f>F105+G105</f>
        <v>27.285479828676536</v>
      </c>
      <c r="I105" s="775">
        <v>19204.2</v>
      </c>
      <c r="J105" s="879">
        <v>0</v>
      </c>
      <c r="K105" s="872">
        <v>0</v>
      </c>
      <c r="L105" s="872">
        <v>5.1998258612614832</v>
      </c>
      <c r="M105" s="873">
        <f>K105+L105</f>
        <v>5.1998258612614832</v>
      </c>
      <c r="N105" s="772">
        <f>N88</f>
        <v>126.32600000000001</v>
      </c>
      <c r="O105" s="777">
        <f t="shared" ref="O105:P120" si="43">$S105*(E105)/$D105*$N105</f>
        <v>0</v>
      </c>
      <c r="P105" s="777">
        <f>$S105*((F105)/$D105*$N105)</f>
        <v>0</v>
      </c>
      <c r="Q105" s="777">
        <f t="shared" ref="Q105:R120" si="44">$S105*(G105)/$D105*$N105</f>
        <v>3.4204663654290111E-2</v>
      </c>
      <c r="R105" s="777">
        <f t="shared" si="44"/>
        <v>3.4204663654290111E-2</v>
      </c>
      <c r="S105" s="788">
        <f>IF($A$1="urban",'Calibration Data'!$R110,RuralCalibration!$R110)</f>
        <v>1</v>
      </c>
    </row>
    <row r="106" spans="1:20" x14ac:dyDescent="0.25">
      <c r="A106" s="49" t="s">
        <v>33</v>
      </c>
      <c r="B106" s="50">
        <v>1</v>
      </c>
      <c r="C106" s="50" t="s">
        <v>41</v>
      </c>
      <c r="D106" s="775">
        <f t="shared" si="42"/>
        <v>205830</v>
      </c>
      <c r="E106" s="880">
        <v>0</v>
      </c>
      <c r="F106" s="870">
        <v>0</v>
      </c>
      <c r="G106" s="870">
        <v>63.475382622380117</v>
      </c>
      <c r="H106" s="875">
        <f t="shared" ref="H106:H120" si="45">F106+G106</f>
        <v>63.475382622380117</v>
      </c>
      <c r="I106" s="775">
        <v>39373.4</v>
      </c>
      <c r="J106" s="880">
        <v>0</v>
      </c>
      <c r="K106" s="870">
        <v>0</v>
      </c>
      <c r="L106" s="870">
        <v>12.142261235699468</v>
      </c>
      <c r="M106" s="875">
        <f t="shared" ref="M106:M120" si="46">K106+L106</f>
        <v>12.142261235699468</v>
      </c>
      <c r="N106" s="772">
        <f>N89</f>
        <v>267.42600000000004</v>
      </c>
      <c r="O106" s="777">
        <f t="shared" si="43"/>
        <v>0</v>
      </c>
      <c r="P106" s="777">
        <f t="shared" si="43"/>
        <v>0</v>
      </c>
      <c r="Q106" s="777">
        <f t="shared" si="44"/>
        <v>8.2470814133861092E-2</v>
      </c>
      <c r="R106" s="777">
        <f t="shared" si="44"/>
        <v>8.2470814133861092E-2</v>
      </c>
      <c r="S106" s="788">
        <f>IF($A$1="urban",'Calibration Data'!$R111,RuralCalibration!$R111)</f>
        <v>1</v>
      </c>
    </row>
    <row r="107" spans="1:20" x14ac:dyDescent="0.25">
      <c r="A107" s="49" t="s">
        <v>33</v>
      </c>
      <c r="B107" s="50">
        <v>1</v>
      </c>
      <c r="C107" s="50" t="s">
        <v>40</v>
      </c>
      <c r="D107" s="775">
        <f t="shared" si="42"/>
        <v>333948</v>
      </c>
      <c r="E107" s="880">
        <v>2</v>
      </c>
      <c r="F107" s="870">
        <v>59.4749947721917</v>
      </c>
      <c r="G107" s="870">
        <v>196.23121706196741</v>
      </c>
      <c r="H107" s="875">
        <f t="shared" si="45"/>
        <v>255.70621183415912</v>
      </c>
      <c r="I107" s="775">
        <v>59712.800000000003</v>
      </c>
      <c r="J107" s="880">
        <v>0.8</v>
      </c>
      <c r="K107" s="870">
        <v>24.153631312360901</v>
      </c>
      <c r="L107" s="870">
        <v>35.087844269700213</v>
      </c>
      <c r="M107" s="875">
        <f t="shared" si="46"/>
        <v>59.241475582061113</v>
      </c>
      <c r="N107" s="772">
        <f t="shared" ref="N107:N120" si="47">N90</f>
        <v>408.11100000000005</v>
      </c>
      <c r="O107" s="777">
        <f t="shared" si="43"/>
        <v>2.4441589708577385E-3</v>
      </c>
      <c r="P107" s="777">
        <f t="shared" si="43"/>
        <v>7.2683171007084726E-2</v>
      </c>
      <c r="Q107" s="777">
        <f t="shared" si="44"/>
        <v>0.23981014477216989</v>
      </c>
      <c r="R107" s="777">
        <f t="shared" si="44"/>
        <v>0.31249331577925465</v>
      </c>
      <c r="S107" s="788">
        <f>IF($A$1="urban",'Calibration Data'!$R112,RuralCalibration!$R112)</f>
        <v>1</v>
      </c>
    </row>
    <row r="108" spans="1:20" x14ac:dyDescent="0.25">
      <c r="A108" s="49" t="s">
        <v>33</v>
      </c>
      <c r="B108" s="50">
        <v>1</v>
      </c>
      <c r="C108" s="50" t="s">
        <v>39</v>
      </c>
      <c r="D108" s="775">
        <f t="shared" si="42"/>
        <v>334802.40000000002</v>
      </c>
      <c r="E108" s="880">
        <v>16</v>
      </c>
      <c r="F108" s="870">
        <v>380.85788986312599</v>
      </c>
      <c r="G108" s="870">
        <v>900.11203562099104</v>
      </c>
      <c r="H108" s="875">
        <f t="shared" si="45"/>
        <v>1280.9699254841171</v>
      </c>
      <c r="I108" s="775">
        <v>54951</v>
      </c>
      <c r="J108" s="880">
        <v>3.8</v>
      </c>
      <c r="K108" s="870">
        <v>89.355704842492599</v>
      </c>
      <c r="L108" s="870">
        <v>141.08083999937043</v>
      </c>
      <c r="M108" s="875">
        <f t="shared" si="46"/>
        <v>230.43654484186303</v>
      </c>
      <c r="N108" s="772">
        <f t="shared" si="47"/>
        <v>393.50300000000004</v>
      </c>
      <c r="O108" s="777">
        <f t="shared" si="43"/>
        <v>0.11385123352809572</v>
      </c>
      <c r="P108" s="777">
        <f t="shared" si="43"/>
        <v>2.7100712849890325</v>
      </c>
      <c r="Q108" s="777">
        <f t="shared" si="44"/>
        <v>6.4049290980584423</v>
      </c>
      <c r="R108" s="777">
        <f t="shared" si="44"/>
        <v>9.1150003830474731</v>
      </c>
      <c r="S108" s="788">
        <f>IF($A$1="urban",'Calibration Data'!$R113,RuralCalibration!$R113)</f>
        <v>6.0542210332841986</v>
      </c>
    </row>
    <row r="109" spans="1:20" x14ac:dyDescent="0.25">
      <c r="A109" s="49" t="s">
        <v>33</v>
      </c>
      <c r="B109" s="50">
        <v>1</v>
      </c>
      <c r="C109" s="50" t="s">
        <v>38</v>
      </c>
      <c r="D109" s="775">
        <f t="shared" si="42"/>
        <v>324395.59999999998</v>
      </c>
      <c r="E109" s="880">
        <v>81.400000000000006</v>
      </c>
      <c r="F109" s="870">
        <v>1362.72892720447</v>
      </c>
      <c r="G109" s="870">
        <v>2320.9582147015767</v>
      </c>
      <c r="H109" s="875">
        <f t="shared" si="45"/>
        <v>3683.6871419060467</v>
      </c>
      <c r="I109" s="775">
        <v>70272</v>
      </c>
      <c r="J109" s="880">
        <v>22.2</v>
      </c>
      <c r="K109" s="870">
        <v>363.30536194655002</v>
      </c>
      <c r="L109" s="870">
        <v>632.98860400952083</v>
      </c>
      <c r="M109" s="875">
        <f t="shared" si="46"/>
        <v>996.29396595607091</v>
      </c>
      <c r="N109" s="772">
        <f t="shared" si="47"/>
        <v>581.00000000000011</v>
      </c>
      <c r="O109" s="777">
        <f t="shared" si="43"/>
        <v>0.14578927704321518</v>
      </c>
      <c r="P109" s="777">
        <f t="shared" si="43"/>
        <v>2.4406789324694826</v>
      </c>
      <c r="Q109" s="777">
        <f t="shared" si="44"/>
        <v>4.1568896826640573</v>
      </c>
      <c r="R109" s="777">
        <f t="shared" si="44"/>
        <v>6.5975686151335395</v>
      </c>
      <c r="S109" s="788">
        <f>IF($A$1="urban",'Calibration Data'!$R114,RuralCalibration!$R114)</f>
        <v>1</v>
      </c>
    </row>
    <row r="110" spans="1:20" x14ac:dyDescent="0.25">
      <c r="A110" s="49" t="s">
        <v>33</v>
      </c>
      <c r="B110" s="50">
        <v>1</v>
      </c>
      <c r="C110" s="50" t="s">
        <v>37</v>
      </c>
      <c r="D110" s="775">
        <f t="shared" si="42"/>
        <v>163949.4</v>
      </c>
      <c r="E110" s="880">
        <v>104.6</v>
      </c>
      <c r="F110" s="870">
        <v>1174.4434329907899</v>
      </c>
      <c r="G110" s="870">
        <v>1545.9289525714155</v>
      </c>
      <c r="H110" s="875">
        <f t="shared" si="45"/>
        <v>2720.3723855622056</v>
      </c>
      <c r="I110" s="775">
        <v>44455</v>
      </c>
      <c r="J110" s="880">
        <v>32.799999999999997</v>
      </c>
      <c r="K110" s="870">
        <v>357.73446509452299</v>
      </c>
      <c r="L110" s="870">
        <v>484.76548417153373</v>
      </c>
      <c r="M110" s="875">
        <f t="shared" si="46"/>
        <v>842.49994926605677</v>
      </c>
      <c r="N110" s="772">
        <f t="shared" si="47"/>
        <v>422.47000000000008</v>
      </c>
      <c r="O110" s="777">
        <f t="shared" si="43"/>
        <v>0.2806823696422488</v>
      </c>
      <c r="P110" s="777">
        <f t="shared" si="43"/>
        <v>3.1514872445758373</v>
      </c>
      <c r="Q110" s="777">
        <f t="shared" si="44"/>
        <v>4.1483269761596997</v>
      </c>
      <c r="R110" s="777">
        <f t="shared" si="44"/>
        <v>7.2998142207355379</v>
      </c>
      <c r="S110" s="788">
        <f>IF($A$1="urban",'Calibration Data'!$R115,RuralCalibration!$R115)</f>
        <v>1.0413516434516852</v>
      </c>
    </row>
    <row r="111" spans="1:20" x14ac:dyDescent="0.25">
      <c r="A111" s="49" t="s">
        <v>33</v>
      </c>
      <c r="B111" s="50">
        <v>1</v>
      </c>
      <c r="C111" s="50" t="s">
        <v>36</v>
      </c>
      <c r="D111" s="775">
        <f t="shared" si="42"/>
        <v>78168.399999999994</v>
      </c>
      <c r="E111" s="880">
        <v>105.4</v>
      </c>
      <c r="F111" s="870">
        <v>721.93183655914004</v>
      </c>
      <c r="G111" s="870">
        <v>904.64531888896181</v>
      </c>
      <c r="H111" s="875">
        <f t="shared" si="45"/>
        <v>1626.5771554481018</v>
      </c>
      <c r="I111" s="775">
        <v>25872.400000000001</v>
      </c>
      <c r="J111" s="880">
        <v>40.799999999999997</v>
      </c>
      <c r="K111" s="870">
        <v>277.35957875699199</v>
      </c>
      <c r="L111" s="870">
        <v>350.18528473121103</v>
      </c>
      <c r="M111" s="875">
        <f t="shared" si="46"/>
        <v>627.54486348820296</v>
      </c>
      <c r="N111" s="772">
        <f t="shared" si="47"/>
        <v>272.24</v>
      </c>
      <c r="O111" s="777">
        <f t="shared" si="43"/>
        <v>0.36635948402598462</v>
      </c>
      <c r="P111" s="777">
        <f t="shared" si="43"/>
        <v>2.5093602954813847</v>
      </c>
      <c r="Q111" s="777">
        <f t="shared" si="44"/>
        <v>3.1444534369514447</v>
      </c>
      <c r="R111" s="777">
        <f t="shared" si="44"/>
        <v>5.6538137324328295</v>
      </c>
      <c r="S111" s="788">
        <f>IF($A$1="urban",'Calibration Data'!$R116,RuralCalibration!$R116)</f>
        <v>0.99803578726218689</v>
      </c>
    </row>
    <row r="112" spans="1:20" x14ac:dyDescent="0.25">
      <c r="A112" s="49" t="s">
        <v>33</v>
      </c>
      <c r="B112" s="50">
        <v>1</v>
      </c>
      <c r="C112" s="50" t="s">
        <v>35</v>
      </c>
      <c r="D112" s="775">
        <f t="shared" si="42"/>
        <v>45490.6</v>
      </c>
      <c r="E112" s="880">
        <v>144.19999999999999</v>
      </c>
      <c r="F112" s="870">
        <v>467.71983748307099</v>
      </c>
      <c r="G112" s="870">
        <v>550.17012662974491</v>
      </c>
      <c r="H112" s="875">
        <f t="shared" si="45"/>
        <v>1017.889964112816</v>
      </c>
      <c r="I112" s="775">
        <v>13268.2</v>
      </c>
      <c r="J112" s="880">
        <v>43.2</v>
      </c>
      <c r="K112" s="870">
        <v>139.96000971114401</v>
      </c>
      <c r="L112" s="870">
        <v>164.82211838006231</v>
      </c>
      <c r="M112" s="875">
        <f t="shared" si="46"/>
        <v>304.78212809120635</v>
      </c>
      <c r="N112" s="772">
        <f t="shared" si="47"/>
        <v>161.76700000000002</v>
      </c>
      <c r="O112" s="777">
        <f t="shared" si="43"/>
        <v>0.52266757038031897</v>
      </c>
      <c r="P112" s="777">
        <f t="shared" si="43"/>
        <v>1.6952981350620968</v>
      </c>
      <c r="Q112" s="777">
        <f t="shared" si="44"/>
        <v>1.9941475962649189</v>
      </c>
      <c r="R112" s="777">
        <f t="shared" si="44"/>
        <v>3.6894457313270159</v>
      </c>
      <c r="S112" s="788">
        <f>IF($A$1="urban",'Calibration Data'!$R117,RuralCalibration!$R117)</f>
        <v>1.0192765381516447</v>
      </c>
      <c r="T112" s="784"/>
    </row>
    <row r="113" spans="1:19" x14ac:dyDescent="0.25">
      <c r="A113" s="49" t="s">
        <v>33</v>
      </c>
      <c r="B113" s="50">
        <v>2</v>
      </c>
      <c r="C113" s="50" t="s">
        <v>2</v>
      </c>
      <c r="D113" s="775">
        <f t="shared" si="42"/>
        <v>95879.4</v>
      </c>
      <c r="E113" s="880">
        <v>0</v>
      </c>
      <c r="F113" s="870">
        <v>0</v>
      </c>
      <c r="G113" s="870">
        <v>22.740119719063113</v>
      </c>
      <c r="H113" s="875">
        <f t="shared" si="45"/>
        <v>22.740119719063113</v>
      </c>
      <c r="I113" s="775">
        <v>18432</v>
      </c>
      <c r="J113" s="880">
        <v>0</v>
      </c>
      <c r="K113" s="870">
        <v>0</v>
      </c>
      <c r="L113" s="870">
        <v>4.3715948020301685</v>
      </c>
      <c r="M113" s="875">
        <f t="shared" si="46"/>
        <v>4.3715948020301685</v>
      </c>
      <c r="N113" s="772">
        <f t="shared" si="47"/>
        <v>130.55900000000003</v>
      </c>
      <c r="O113" s="777">
        <f t="shared" si="43"/>
        <v>0</v>
      </c>
      <c r="P113" s="777">
        <f t="shared" si="43"/>
        <v>0</v>
      </c>
      <c r="Q113" s="777">
        <f t="shared" si="44"/>
        <v>3.0965226006849873E-2</v>
      </c>
      <c r="R113" s="777">
        <f t="shared" si="44"/>
        <v>3.0965226006849873E-2</v>
      </c>
      <c r="S113" s="788">
        <f>IF($A$1="urban",'Calibration Data'!$R102,RuralCalibration!$R102)</f>
        <v>1</v>
      </c>
    </row>
    <row r="114" spans="1:19" x14ac:dyDescent="0.25">
      <c r="A114" s="49" t="s">
        <v>33</v>
      </c>
      <c r="B114" s="50">
        <v>2</v>
      </c>
      <c r="C114" s="50" t="s">
        <v>41</v>
      </c>
      <c r="D114" s="775">
        <f t="shared" si="42"/>
        <v>196469.6</v>
      </c>
      <c r="E114" s="880">
        <v>0.2</v>
      </c>
      <c r="F114" s="870">
        <v>6.67710309358137</v>
      </c>
      <c r="G114" s="870">
        <v>57.969566617576646</v>
      </c>
      <c r="H114" s="875">
        <f t="shared" si="45"/>
        <v>64.646669711158012</v>
      </c>
      <c r="I114" s="775">
        <v>37956.6</v>
      </c>
      <c r="J114" s="880">
        <v>0</v>
      </c>
      <c r="K114" s="870">
        <v>0</v>
      </c>
      <c r="L114" s="870">
        <v>11.199328813601236</v>
      </c>
      <c r="M114" s="875">
        <f t="shared" si="46"/>
        <v>11.199328813601236</v>
      </c>
      <c r="N114" s="772">
        <f t="shared" si="47"/>
        <v>274.73000000000008</v>
      </c>
      <c r="O114" s="777">
        <f t="shared" si="43"/>
        <v>2.7966667616771256E-4</v>
      </c>
      <c r="P114" s="777">
        <f t="shared" si="43"/>
        <v>9.3368161430552633E-3</v>
      </c>
      <c r="Q114" s="777">
        <f t="shared" si="44"/>
        <v>8.1060780074102223E-2</v>
      </c>
      <c r="R114" s="777">
        <f t="shared" si="44"/>
        <v>9.0397596217157483E-2</v>
      </c>
      <c r="S114" s="788">
        <f>IF($A$1="urban",'Calibration Data'!$R103,RuralCalibration!$R103)</f>
        <v>1</v>
      </c>
    </row>
    <row r="115" spans="1:19" x14ac:dyDescent="0.25">
      <c r="A115" s="49" t="s">
        <v>33</v>
      </c>
      <c r="B115" s="50">
        <v>2</v>
      </c>
      <c r="C115" s="50" t="s">
        <v>40</v>
      </c>
      <c r="D115" s="775">
        <f t="shared" si="42"/>
        <v>327420</v>
      </c>
      <c r="E115" s="880">
        <v>1.6</v>
      </c>
      <c r="F115" s="870">
        <v>47.818044441920101</v>
      </c>
      <c r="G115" s="870">
        <v>180.82686483402958</v>
      </c>
      <c r="H115" s="875">
        <f t="shared" si="45"/>
        <v>228.64490927594969</v>
      </c>
      <c r="I115" s="775">
        <v>53626</v>
      </c>
      <c r="J115" s="880">
        <v>0.8</v>
      </c>
      <c r="K115" s="870">
        <v>24.357543825191001</v>
      </c>
      <c r="L115" s="870">
        <v>29.616460367691861</v>
      </c>
      <c r="M115" s="875">
        <f t="shared" si="46"/>
        <v>53.974004192882859</v>
      </c>
      <c r="N115" s="772">
        <f t="shared" si="47"/>
        <v>418.07100000000008</v>
      </c>
      <c r="O115" s="777">
        <f t="shared" si="43"/>
        <v>2.0429833241707904E-3</v>
      </c>
      <c r="P115" s="777">
        <f t="shared" si="43"/>
        <v>6.105716711831282E-2</v>
      </c>
      <c r="Q115" s="777">
        <f t="shared" si="44"/>
        <v>0.23089141838625493</v>
      </c>
      <c r="R115" s="777">
        <f t="shared" si="44"/>
        <v>0.29194858550456781</v>
      </c>
      <c r="S115" s="788">
        <f>IF($A$1="urban",'Calibration Data'!$R104,RuralCalibration!$R104)</f>
        <v>1</v>
      </c>
    </row>
    <row r="116" spans="1:19" x14ac:dyDescent="0.25">
      <c r="A116" s="49" t="s">
        <v>33</v>
      </c>
      <c r="B116" s="50">
        <v>2</v>
      </c>
      <c r="C116" s="50" t="s">
        <v>39</v>
      </c>
      <c r="D116" s="775">
        <f t="shared" si="42"/>
        <v>327918</v>
      </c>
      <c r="E116" s="880">
        <v>10.8</v>
      </c>
      <c r="F116" s="870">
        <v>260.37211532779003</v>
      </c>
      <c r="G116" s="870">
        <v>799.85204036338905</v>
      </c>
      <c r="H116" s="875">
        <f t="shared" si="45"/>
        <v>1060.224155691179</v>
      </c>
      <c r="I116" s="775">
        <v>51801</v>
      </c>
      <c r="J116" s="880">
        <v>2.2000000000000002</v>
      </c>
      <c r="K116" s="870">
        <v>53.759125359375098</v>
      </c>
      <c r="L116" s="870">
        <v>114.39056565501552</v>
      </c>
      <c r="M116" s="875">
        <f t="shared" si="46"/>
        <v>168.14969101439061</v>
      </c>
      <c r="N116" s="772">
        <f t="shared" si="47"/>
        <v>405.04</v>
      </c>
      <c r="O116" s="777">
        <f t="shared" si="43"/>
        <v>6.8388868006461476E-2</v>
      </c>
      <c r="P116" s="777">
        <f t="shared" si="43"/>
        <v>1.6487550210847588</v>
      </c>
      <c r="Q116" s="777">
        <f t="shared" si="44"/>
        <v>5.0649051493621027</v>
      </c>
      <c r="R116" s="777">
        <f t="shared" si="44"/>
        <v>6.7136601704468601</v>
      </c>
      <c r="S116" s="788">
        <f>IF($A$1="urban",'Calibration Data'!$R105,RuralCalibration!$R105)</f>
        <v>5.1265949085373439</v>
      </c>
    </row>
    <row r="117" spans="1:19" x14ac:dyDescent="0.25">
      <c r="A117" s="49" t="s">
        <v>33</v>
      </c>
      <c r="B117" s="50">
        <v>2</v>
      </c>
      <c r="C117" s="50" t="s">
        <v>38</v>
      </c>
      <c r="D117" s="775">
        <f t="shared" si="42"/>
        <v>337487.2</v>
      </c>
      <c r="E117" s="880">
        <v>44.8</v>
      </c>
      <c r="F117" s="870">
        <v>795.65602191185303</v>
      </c>
      <c r="G117" s="870">
        <v>1703.7878628895328</v>
      </c>
      <c r="H117" s="875">
        <f t="shared" si="45"/>
        <v>2499.443884801386</v>
      </c>
      <c r="I117" s="775">
        <v>71962</v>
      </c>
      <c r="J117" s="880">
        <v>10.8</v>
      </c>
      <c r="K117" s="870">
        <v>189.48842216792599</v>
      </c>
      <c r="L117" s="870">
        <v>410.73457408944097</v>
      </c>
      <c r="M117" s="875">
        <f t="shared" si="46"/>
        <v>600.22299625736696</v>
      </c>
      <c r="N117" s="772">
        <f t="shared" si="47"/>
        <v>543.15200000000004</v>
      </c>
      <c r="O117" s="777">
        <f t="shared" si="43"/>
        <v>7.2101133317056171E-2</v>
      </c>
      <c r="P117" s="777">
        <f t="shared" si="43"/>
        <v>1.2805290381782386</v>
      </c>
      <c r="Q117" s="777">
        <f t="shared" si="44"/>
        <v>2.742076692995099</v>
      </c>
      <c r="R117" s="777">
        <f t="shared" si="44"/>
        <v>4.0226057311733374</v>
      </c>
      <c r="S117" s="788">
        <f>IF($A$1="urban",'Calibration Data'!$R106,RuralCalibration!$R106)</f>
        <v>1</v>
      </c>
    </row>
    <row r="118" spans="1:19" x14ac:dyDescent="0.25">
      <c r="A118" s="49" t="s">
        <v>33</v>
      </c>
      <c r="B118" s="50">
        <v>2</v>
      </c>
      <c r="C118" s="50" t="s">
        <v>37</v>
      </c>
      <c r="D118" s="775">
        <f t="shared" si="42"/>
        <v>176202.8</v>
      </c>
      <c r="E118" s="880">
        <v>67.2</v>
      </c>
      <c r="F118" s="870">
        <v>833.59140063520397</v>
      </c>
      <c r="G118" s="870">
        <v>1251.2546787476613</v>
      </c>
      <c r="H118" s="875">
        <f t="shared" si="45"/>
        <v>2084.8460793828654</v>
      </c>
      <c r="I118" s="775">
        <v>45270.8</v>
      </c>
      <c r="J118" s="880">
        <v>20.399999999999999</v>
      </c>
      <c r="K118" s="870">
        <v>253.256902859381</v>
      </c>
      <c r="L118" s="870">
        <v>379.8451703341114</v>
      </c>
      <c r="M118" s="875">
        <f t="shared" si="46"/>
        <v>633.1020731934924</v>
      </c>
      <c r="N118" s="772">
        <f t="shared" si="47"/>
        <v>399.14700000000005</v>
      </c>
      <c r="O118" s="777">
        <f t="shared" si="43"/>
        <v>0.16552137349466714</v>
      </c>
      <c r="P118" s="777">
        <f t="shared" si="43"/>
        <v>2.0532320471202721</v>
      </c>
      <c r="Q118" s="777">
        <f t="shared" si="44"/>
        <v>3.0819850151479375</v>
      </c>
      <c r="R118" s="777">
        <f t="shared" si="44"/>
        <v>5.1352170622682101</v>
      </c>
      <c r="S118" s="788">
        <f>IF($A$1="urban",'Calibration Data'!$R107,RuralCalibration!$R107)</f>
        <v>1.0873384467677221</v>
      </c>
    </row>
    <row r="119" spans="1:19" x14ac:dyDescent="0.25">
      <c r="A119" s="49" t="s">
        <v>33</v>
      </c>
      <c r="B119" s="50">
        <v>2</v>
      </c>
      <c r="C119" s="50" t="s">
        <v>36</v>
      </c>
      <c r="D119" s="775">
        <f t="shared" si="42"/>
        <v>91991</v>
      </c>
      <c r="E119" s="880">
        <v>80.2</v>
      </c>
      <c r="F119" s="870">
        <v>618.02533720572296</v>
      </c>
      <c r="G119" s="870">
        <v>829.40451467993591</v>
      </c>
      <c r="H119" s="875">
        <f t="shared" si="45"/>
        <v>1447.429851885659</v>
      </c>
      <c r="I119" s="775">
        <v>27046</v>
      </c>
      <c r="J119" s="880">
        <v>24.6</v>
      </c>
      <c r="K119" s="870">
        <v>191.93031294371301</v>
      </c>
      <c r="L119" s="870">
        <v>254.40587358012999</v>
      </c>
      <c r="M119" s="875">
        <f t="shared" si="46"/>
        <v>446.33618652384303</v>
      </c>
      <c r="N119" s="772">
        <f t="shared" si="47"/>
        <v>257.71500000000003</v>
      </c>
      <c r="O119" s="777">
        <f t="shared" si="43"/>
        <v>0.20679661888256187</v>
      </c>
      <c r="P119" s="777">
        <f t="shared" si="43"/>
        <v>1.5935854129413796</v>
      </c>
      <c r="Q119" s="777">
        <f t="shared" si="44"/>
        <v>2.1386290439120059</v>
      </c>
      <c r="R119" s="777">
        <f t="shared" si="44"/>
        <v>3.7322144568533862</v>
      </c>
      <c r="S119" s="788">
        <f>IF($A$1="urban",'Calibration Data'!$R108,RuralCalibration!$R108)</f>
        <v>0.92039597026416864</v>
      </c>
    </row>
    <row r="120" spans="1:19" ht="15.75" thickBot="1" x14ac:dyDescent="0.3">
      <c r="A120" s="49" t="s">
        <v>33</v>
      </c>
      <c r="B120" s="50">
        <v>2</v>
      </c>
      <c r="C120" s="50" t="s">
        <v>35</v>
      </c>
      <c r="D120" s="775">
        <f t="shared" si="42"/>
        <v>76048.800000000003</v>
      </c>
      <c r="E120" s="881">
        <v>184.2</v>
      </c>
      <c r="F120" s="877">
        <v>621.09783810379395</v>
      </c>
      <c r="G120" s="877">
        <v>734.04558230086866</v>
      </c>
      <c r="H120" s="878">
        <f t="shared" si="45"/>
        <v>1355.1434204046627</v>
      </c>
      <c r="I120" s="775">
        <v>18745.8</v>
      </c>
      <c r="J120" s="881">
        <v>48.6</v>
      </c>
      <c r="K120" s="877">
        <v>171.54428653415701</v>
      </c>
      <c r="L120" s="877">
        <v>193.67326438557123</v>
      </c>
      <c r="M120" s="878">
        <f t="shared" si="46"/>
        <v>365.21755091972824</v>
      </c>
      <c r="N120" s="772">
        <f t="shared" si="47"/>
        <v>130.97400000000002</v>
      </c>
      <c r="O120" s="777">
        <f t="shared" si="43"/>
        <v>0.33184497228906923</v>
      </c>
      <c r="P120" s="777">
        <f t="shared" si="43"/>
        <v>1.1189369971463317</v>
      </c>
      <c r="Q120" s="777">
        <f t="shared" si="44"/>
        <v>1.3224176759910176</v>
      </c>
      <c r="R120" s="777">
        <f t="shared" si="44"/>
        <v>2.4413546731373494</v>
      </c>
      <c r="S120" s="788">
        <f>IF($A$1="urban",'Calibration Data'!$R109,RuralCalibration!$R109)</f>
        <v>1.0460510760967836</v>
      </c>
    </row>
    <row r="121" spans="1:19" ht="15.75" thickBot="1" x14ac:dyDescent="0.3">
      <c r="D121" s="775">
        <f t="shared" ref="D121:N121" si="48">SUM(D105:D120)</f>
        <v>3216773</v>
      </c>
      <c r="E121" s="779">
        <f t="shared" si="48"/>
        <v>842.60000000000014</v>
      </c>
      <c r="F121" s="779">
        <f t="shared" si="48"/>
        <v>7350.3947795926551</v>
      </c>
      <c r="G121" s="779">
        <f t="shared" si="48"/>
        <v>12088.687958077773</v>
      </c>
      <c r="H121" s="780">
        <f t="shared" si="48"/>
        <v>19439.082737670429</v>
      </c>
      <c r="I121" s="775">
        <f t="shared" si="48"/>
        <v>651949.20000000019</v>
      </c>
      <c r="J121" s="779">
        <f t="shared" si="48"/>
        <v>251</v>
      </c>
      <c r="K121" s="779">
        <f t="shared" si="48"/>
        <v>2136.2053453538056</v>
      </c>
      <c r="L121" s="779">
        <f t="shared" si="48"/>
        <v>3224.5090946859518</v>
      </c>
      <c r="M121" s="780">
        <f t="shared" si="48"/>
        <v>5360.7144400397583</v>
      </c>
      <c r="N121" s="779">
        <f t="shared" si="48"/>
        <v>5192.2310000000007</v>
      </c>
      <c r="O121" s="782">
        <f>SUM(O105:O120)</f>
        <v>2.2787697095808754</v>
      </c>
      <c r="P121" s="782">
        <f>SUM(P105:P120)</f>
        <v>20.345011563317268</v>
      </c>
      <c r="Q121" s="782">
        <f>SUM(Q105:Q120)</f>
        <v>34.898163414534253</v>
      </c>
      <c r="R121" s="782">
        <f>SUM(R105:R120)</f>
        <v>55.243174977851517</v>
      </c>
      <c r="S121" s="782"/>
    </row>
    <row r="122" spans="1:19" x14ac:dyDescent="0.25">
      <c r="A122" s="49" t="s">
        <v>30</v>
      </c>
      <c r="B122" s="50">
        <v>1</v>
      </c>
      <c r="C122" s="50" t="s">
        <v>2</v>
      </c>
      <c r="D122" s="775">
        <f t="shared" si="42"/>
        <v>100771.8</v>
      </c>
      <c r="E122" s="879">
        <v>0</v>
      </c>
      <c r="F122" s="872">
        <v>0</v>
      </c>
      <c r="G122" s="872">
        <v>0.51959047838411976</v>
      </c>
      <c r="H122" s="873">
        <f>F122+G122</f>
        <v>0.51959047838411976</v>
      </c>
      <c r="I122" s="775">
        <v>19204.2</v>
      </c>
      <c r="J122" s="879">
        <v>0</v>
      </c>
      <c r="K122" s="872">
        <v>0</v>
      </c>
      <c r="L122" s="872">
        <v>9.8631697283192196E-2</v>
      </c>
      <c r="M122" s="873">
        <f>K122+L122</f>
        <v>9.8631697283192196E-2</v>
      </c>
      <c r="N122" s="772">
        <f>N105</f>
        <v>126.32600000000001</v>
      </c>
      <c r="O122" s="777">
        <f t="shared" ref="O122:P137" si="49">$S122*(E122)/$D122*$N122</f>
        <v>0</v>
      </c>
      <c r="P122" s="777">
        <f>$S122*((F122)/$D122*$N122)</f>
        <v>0</v>
      </c>
      <c r="Q122" s="777">
        <f t="shared" ref="Q122:R137" si="50">$S122*(G122)/$D122*$N122</f>
        <v>6.5135074269143068E-4</v>
      </c>
      <c r="R122" s="777">
        <f t="shared" si="50"/>
        <v>6.5135074269143068E-4</v>
      </c>
      <c r="S122" s="788">
        <f>IF($A$1="urban",'Calibration Data'!$R94,RuralCalibration!$R94)</f>
        <v>1</v>
      </c>
    </row>
    <row r="123" spans="1:19" x14ac:dyDescent="0.25">
      <c r="A123" s="49" t="s">
        <v>30</v>
      </c>
      <c r="B123" s="50">
        <v>1</v>
      </c>
      <c r="C123" s="50" t="s">
        <v>41</v>
      </c>
      <c r="D123" s="775">
        <f t="shared" si="42"/>
        <v>205830</v>
      </c>
      <c r="E123" s="880">
        <v>0</v>
      </c>
      <c r="F123" s="870">
        <v>0</v>
      </c>
      <c r="G123" s="870">
        <v>862.29906545220445</v>
      </c>
      <c r="H123" s="875">
        <f t="shared" ref="H123:H137" si="51">F123+G123</f>
        <v>862.29906545220445</v>
      </c>
      <c r="I123" s="775">
        <v>39373.4</v>
      </c>
      <c r="J123" s="880">
        <v>0</v>
      </c>
      <c r="K123" s="870">
        <v>0</v>
      </c>
      <c r="L123" s="870">
        <v>164.94975162021001</v>
      </c>
      <c r="M123" s="875">
        <f t="shared" ref="M123:M137" si="52">K123+L123</f>
        <v>164.94975162021001</v>
      </c>
      <c r="N123" s="772">
        <f>N106</f>
        <v>267.42600000000004</v>
      </c>
      <c r="O123" s="777">
        <f t="shared" si="49"/>
        <v>0</v>
      </c>
      <c r="P123" s="777">
        <f t="shared" si="49"/>
        <v>0</v>
      </c>
      <c r="Q123" s="777">
        <f t="shared" si="50"/>
        <v>1.1203478107060256</v>
      </c>
      <c r="R123" s="777">
        <f t="shared" si="50"/>
        <v>1.1203478107060256</v>
      </c>
      <c r="S123" s="788">
        <f>IF($A$1="urban",'Calibration Data'!$R95,RuralCalibration!$R95)</f>
        <v>1</v>
      </c>
    </row>
    <row r="124" spans="1:19" x14ac:dyDescent="0.25">
      <c r="A124" s="49" t="s">
        <v>30</v>
      </c>
      <c r="B124" s="50">
        <v>1</v>
      </c>
      <c r="C124" s="50" t="s">
        <v>40</v>
      </c>
      <c r="D124" s="775">
        <f t="shared" si="42"/>
        <v>333948</v>
      </c>
      <c r="E124" s="880">
        <v>0</v>
      </c>
      <c r="F124" s="870">
        <v>0</v>
      </c>
      <c r="G124" s="870">
        <v>2599.066928073928</v>
      </c>
      <c r="H124" s="875">
        <f t="shared" si="51"/>
        <v>2599.066928073928</v>
      </c>
      <c r="I124" s="775">
        <v>59712.800000000003</v>
      </c>
      <c r="J124" s="880">
        <v>0</v>
      </c>
      <c r="K124" s="870">
        <v>0</v>
      </c>
      <c r="L124" s="870">
        <v>464.73644313780602</v>
      </c>
      <c r="M124" s="875">
        <f t="shared" si="52"/>
        <v>464.73644313780602</v>
      </c>
      <c r="N124" s="772">
        <f t="shared" ref="N124:N137" si="53">N107</f>
        <v>408.11100000000005</v>
      </c>
      <c r="O124" s="777">
        <f t="shared" si="49"/>
        <v>0</v>
      </c>
      <c r="P124" s="777">
        <f t="shared" si="49"/>
        <v>0</v>
      </c>
      <c r="Q124" s="777">
        <f t="shared" si="50"/>
        <v>3.1762663740557779</v>
      </c>
      <c r="R124" s="777">
        <f t="shared" si="50"/>
        <v>3.1762663740557779</v>
      </c>
      <c r="S124" s="788">
        <f>IF($A$1="urban",'Calibration Data'!$R96,RuralCalibration!$R96)</f>
        <v>1</v>
      </c>
    </row>
    <row r="125" spans="1:19" x14ac:dyDescent="0.25">
      <c r="A125" s="49" t="s">
        <v>30</v>
      </c>
      <c r="B125" s="50">
        <v>1</v>
      </c>
      <c r="C125" s="50" t="s">
        <v>39</v>
      </c>
      <c r="D125" s="775">
        <f t="shared" si="42"/>
        <v>334802.40000000002</v>
      </c>
      <c r="E125" s="880">
        <v>0.2</v>
      </c>
      <c r="F125" s="870">
        <v>4.9082372257438998</v>
      </c>
      <c r="G125" s="870">
        <v>3120.3177650734501</v>
      </c>
      <c r="H125" s="875">
        <f t="shared" si="51"/>
        <v>3125.2260022991941</v>
      </c>
      <c r="I125" s="775">
        <v>54951</v>
      </c>
      <c r="J125" s="880">
        <v>0.2</v>
      </c>
      <c r="K125" s="870">
        <v>4.4370837293239402</v>
      </c>
      <c r="L125" s="870">
        <v>512.13629472229695</v>
      </c>
      <c r="M125" s="875">
        <f t="shared" si="52"/>
        <v>516.5733784516209</v>
      </c>
      <c r="N125" s="772">
        <f t="shared" si="53"/>
        <v>393.50300000000004</v>
      </c>
      <c r="O125" s="777">
        <f t="shared" si="49"/>
        <v>2.3506581792723114E-4</v>
      </c>
      <c r="P125" s="777">
        <f t="shared" si="49"/>
        <v>5.7687939902518678E-3</v>
      </c>
      <c r="Q125" s="777">
        <f t="shared" si="50"/>
        <v>3.6674002381993018</v>
      </c>
      <c r="R125" s="777">
        <f t="shared" si="50"/>
        <v>3.6731690321895538</v>
      </c>
      <c r="S125" s="788">
        <f>IF($A$1="urban",'Calibration Data'!$R97,RuralCalibration!$R97)</f>
        <v>1</v>
      </c>
    </row>
    <row r="126" spans="1:19" x14ac:dyDescent="0.25">
      <c r="A126" s="49" t="s">
        <v>30</v>
      </c>
      <c r="B126" s="50">
        <v>1</v>
      </c>
      <c r="C126" s="50" t="s">
        <v>38</v>
      </c>
      <c r="D126" s="775">
        <f t="shared" si="42"/>
        <v>324395.59999999998</v>
      </c>
      <c r="E126" s="880">
        <v>1</v>
      </c>
      <c r="F126" s="870">
        <v>14.9133486486219</v>
      </c>
      <c r="G126" s="870">
        <v>3041.7699767501472</v>
      </c>
      <c r="H126" s="875">
        <f t="shared" si="51"/>
        <v>3056.6833253987693</v>
      </c>
      <c r="I126" s="775">
        <v>70272</v>
      </c>
      <c r="J126" s="880">
        <v>0.6</v>
      </c>
      <c r="K126" s="870">
        <v>9.4386643023207899</v>
      </c>
      <c r="L126" s="870">
        <v>658.92246306899403</v>
      </c>
      <c r="M126" s="875">
        <f t="shared" si="52"/>
        <v>668.36112737131486</v>
      </c>
      <c r="N126" s="772">
        <f t="shared" si="53"/>
        <v>581.00000000000011</v>
      </c>
      <c r="O126" s="777">
        <f t="shared" si="49"/>
        <v>1.7910230594989579E-3</v>
      </c>
      <c r="P126" s="777">
        <f t="shared" si="49"/>
        <v>2.6710151324029444E-2</v>
      </c>
      <c r="Q126" s="777">
        <f t="shared" si="50"/>
        <v>5.447880170051123</v>
      </c>
      <c r="R126" s="777">
        <f t="shared" si="50"/>
        <v>5.4745903213751523</v>
      </c>
      <c r="S126" s="788">
        <f>IF($A$1="urban",'Calibration Data'!$R98,RuralCalibration!$R98)</f>
        <v>1</v>
      </c>
    </row>
    <row r="127" spans="1:19" x14ac:dyDescent="0.25">
      <c r="A127" s="49" t="s">
        <v>30</v>
      </c>
      <c r="B127" s="50">
        <v>1</v>
      </c>
      <c r="C127" s="50" t="s">
        <v>37</v>
      </c>
      <c r="D127" s="775">
        <f t="shared" si="42"/>
        <v>163949.4</v>
      </c>
      <c r="E127" s="880">
        <v>0.4</v>
      </c>
      <c r="F127" s="870">
        <v>4.4921022922356704</v>
      </c>
      <c r="G127" s="870">
        <v>1273.9978808011199</v>
      </c>
      <c r="H127" s="875">
        <f t="shared" si="51"/>
        <v>1278.4899830933555</v>
      </c>
      <c r="I127" s="775">
        <v>44455</v>
      </c>
      <c r="J127" s="880">
        <v>0.4</v>
      </c>
      <c r="K127" s="870">
        <v>4.97473514990849</v>
      </c>
      <c r="L127" s="870">
        <v>345.44577846722302</v>
      </c>
      <c r="M127" s="875">
        <f t="shared" si="52"/>
        <v>350.42051361713152</v>
      </c>
      <c r="N127" s="772">
        <f t="shared" si="53"/>
        <v>422.47000000000008</v>
      </c>
      <c r="O127" s="777">
        <f t="shared" si="49"/>
        <v>1.0307326528794863E-3</v>
      </c>
      <c r="P127" s="777">
        <f t="shared" si="49"/>
        <v>1.1575391281705235E-2</v>
      </c>
      <c r="Q127" s="777">
        <f t="shared" si="50"/>
        <v>3.2828780386024543</v>
      </c>
      <c r="R127" s="777">
        <f t="shared" si="50"/>
        <v>3.2944534298841597</v>
      </c>
      <c r="S127" s="788">
        <f>IF($A$1="urban",'Calibration Data'!$R99,RuralCalibration!$R99)</f>
        <v>1</v>
      </c>
    </row>
    <row r="128" spans="1:19" x14ac:dyDescent="0.25">
      <c r="A128" s="49" t="s">
        <v>30</v>
      </c>
      <c r="B128" s="50">
        <v>1</v>
      </c>
      <c r="C128" s="50" t="s">
        <v>36</v>
      </c>
      <c r="D128" s="775">
        <f t="shared" si="42"/>
        <v>78168.399999999994</v>
      </c>
      <c r="E128" s="880">
        <v>1.8</v>
      </c>
      <c r="F128" s="870">
        <v>12.5324801076817</v>
      </c>
      <c r="G128" s="870">
        <v>521.9808704452787</v>
      </c>
      <c r="H128" s="875">
        <f t="shared" si="51"/>
        <v>534.51335055296045</v>
      </c>
      <c r="I128" s="775">
        <v>25872.400000000001</v>
      </c>
      <c r="J128" s="880">
        <v>1</v>
      </c>
      <c r="K128" s="870">
        <v>6.6614005355504</v>
      </c>
      <c r="L128" s="870">
        <v>172.768110945335</v>
      </c>
      <c r="M128" s="875">
        <f t="shared" si="52"/>
        <v>179.4295114808854</v>
      </c>
      <c r="N128" s="772">
        <f t="shared" si="53"/>
        <v>272.24</v>
      </c>
      <c r="O128" s="777">
        <f t="shared" si="49"/>
        <v>6.2689270856253945E-3</v>
      </c>
      <c r="P128" s="777">
        <f t="shared" si="49"/>
        <v>4.364733555394848E-2</v>
      </c>
      <c r="Q128" s="777">
        <f t="shared" si="50"/>
        <v>1.8179222316181818</v>
      </c>
      <c r="R128" s="777">
        <f t="shared" si="50"/>
        <v>1.8615695671721306</v>
      </c>
      <c r="S128" s="788">
        <f>IF($A$1="urban",'Calibration Data'!$R100,RuralCalibration!$R100)</f>
        <v>1</v>
      </c>
    </row>
    <row r="129" spans="1:20" x14ac:dyDescent="0.25">
      <c r="A129" s="49" t="s">
        <v>30</v>
      </c>
      <c r="B129" s="50">
        <v>1</v>
      </c>
      <c r="C129" s="50" t="s">
        <v>35</v>
      </c>
      <c r="D129" s="775">
        <f t="shared" si="42"/>
        <v>45490.6</v>
      </c>
      <c r="E129" s="880">
        <v>2.4</v>
      </c>
      <c r="F129" s="870">
        <v>7.83174831468106</v>
      </c>
      <c r="G129" s="870">
        <v>335.39971246700276</v>
      </c>
      <c r="H129" s="875">
        <f t="shared" si="51"/>
        <v>343.23146078168384</v>
      </c>
      <c r="I129" s="775">
        <v>13268.2</v>
      </c>
      <c r="J129" s="880">
        <v>0.6</v>
      </c>
      <c r="K129" s="870">
        <v>1.5364954315391299</v>
      </c>
      <c r="L129" s="870">
        <v>97.827339263227003</v>
      </c>
      <c r="M129" s="875">
        <f t="shared" si="52"/>
        <v>99.363834694766126</v>
      </c>
      <c r="N129" s="772">
        <f t="shared" si="53"/>
        <v>161.76700000000002</v>
      </c>
      <c r="O129" s="777">
        <f t="shared" si="49"/>
        <v>8.5345280123805822E-3</v>
      </c>
      <c r="P129" s="777">
        <f t="shared" si="49"/>
        <v>2.7850114740649967E-2</v>
      </c>
      <c r="Q129" s="777">
        <f t="shared" si="50"/>
        <v>1.1926992672475114</v>
      </c>
      <c r="R129" s="777">
        <f t="shared" si="50"/>
        <v>1.2205493819881617</v>
      </c>
      <c r="S129" s="788">
        <f>IF($A$1="urban",'Calibration Data'!$R101,RuralCalibration!$R101)</f>
        <v>1</v>
      </c>
      <c r="T129" s="784"/>
    </row>
    <row r="130" spans="1:20" x14ac:dyDescent="0.25">
      <c r="A130" s="49" t="s">
        <v>30</v>
      </c>
      <c r="B130" s="50">
        <v>2</v>
      </c>
      <c r="C130" s="50" t="s">
        <v>2</v>
      </c>
      <c r="D130" s="775">
        <f t="shared" si="42"/>
        <v>95879.4</v>
      </c>
      <c r="E130" s="880">
        <v>0</v>
      </c>
      <c r="F130" s="870">
        <v>0</v>
      </c>
      <c r="G130" s="870">
        <v>0.85838533097414627</v>
      </c>
      <c r="H130" s="875">
        <f t="shared" si="51"/>
        <v>0.85838533097414627</v>
      </c>
      <c r="I130" s="775">
        <v>18432</v>
      </c>
      <c r="J130" s="880">
        <v>0</v>
      </c>
      <c r="K130" s="870">
        <v>0</v>
      </c>
      <c r="L130" s="870">
        <v>0.164139513162149</v>
      </c>
      <c r="M130" s="875">
        <f t="shared" si="52"/>
        <v>0.164139513162149</v>
      </c>
      <c r="N130" s="772">
        <f t="shared" si="53"/>
        <v>130.55900000000003</v>
      </c>
      <c r="O130" s="777">
        <f t="shared" si="49"/>
        <v>0</v>
      </c>
      <c r="P130" s="777">
        <f t="shared" si="49"/>
        <v>0</v>
      </c>
      <c r="Q130" s="777">
        <f t="shared" si="50"/>
        <v>1.1688634933745268E-3</v>
      </c>
      <c r="R130" s="777">
        <f t="shared" si="50"/>
        <v>1.1688634933745268E-3</v>
      </c>
      <c r="S130" s="788">
        <f>IF($A$1="urban",'Calibration Data'!$R86,RuralCalibration!$R86)</f>
        <v>1</v>
      </c>
    </row>
    <row r="131" spans="1:20" x14ac:dyDescent="0.25">
      <c r="A131" s="49" t="s">
        <v>30</v>
      </c>
      <c r="B131" s="50">
        <v>2</v>
      </c>
      <c r="C131" s="50" t="s">
        <v>41</v>
      </c>
      <c r="D131" s="775">
        <f t="shared" si="42"/>
        <v>196469.6</v>
      </c>
      <c r="E131" s="880">
        <v>0</v>
      </c>
      <c r="F131" s="870">
        <v>0</v>
      </c>
      <c r="G131" s="870">
        <v>1379.0923408669903</v>
      </c>
      <c r="H131" s="875">
        <f t="shared" si="51"/>
        <v>1379.0923408669903</v>
      </c>
      <c r="I131" s="775">
        <v>37956.6</v>
      </c>
      <c r="J131" s="880">
        <v>0</v>
      </c>
      <c r="K131" s="870">
        <v>0</v>
      </c>
      <c r="L131" s="870">
        <v>266.431516769925</v>
      </c>
      <c r="M131" s="875">
        <f t="shared" si="52"/>
        <v>266.431516769925</v>
      </c>
      <c r="N131" s="772">
        <f t="shared" si="53"/>
        <v>274.73000000000008</v>
      </c>
      <c r="O131" s="777">
        <f t="shared" si="49"/>
        <v>0</v>
      </c>
      <c r="P131" s="777">
        <f t="shared" si="49"/>
        <v>0</v>
      </c>
      <c r="Q131" s="777">
        <f t="shared" si="50"/>
        <v>1.928430855493106</v>
      </c>
      <c r="R131" s="777">
        <f t="shared" si="50"/>
        <v>1.928430855493106</v>
      </c>
      <c r="S131" s="788">
        <f>IF($A$1="urban",'Calibration Data'!$R87,RuralCalibration!$R87)</f>
        <v>1</v>
      </c>
    </row>
    <row r="132" spans="1:20" x14ac:dyDescent="0.25">
      <c r="A132" s="49" t="s">
        <v>30</v>
      </c>
      <c r="B132" s="50">
        <v>2</v>
      </c>
      <c r="C132" s="50" t="s">
        <v>40</v>
      </c>
      <c r="D132" s="775">
        <f t="shared" si="42"/>
        <v>327420</v>
      </c>
      <c r="E132" s="880">
        <v>0</v>
      </c>
      <c r="F132" s="870">
        <v>0</v>
      </c>
      <c r="G132" s="870">
        <v>4176.3859671252258</v>
      </c>
      <c r="H132" s="875">
        <f t="shared" si="51"/>
        <v>4176.3859671252258</v>
      </c>
      <c r="I132" s="775">
        <v>53626</v>
      </c>
      <c r="J132" s="880">
        <v>0</v>
      </c>
      <c r="K132" s="870">
        <v>0</v>
      </c>
      <c r="L132" s="870">
        <v>684.02319306413006</v>
      </c>
      <c r="M132" s="875">
        <f t="shared" si="52"/>
        <v>684.02319306413006</v>
      </c>
      <c r="N132" s="772">
        <f t="shared" si="53"/>
        <v>418.07100000000008</v>
      </c>
      <c r="O132" s="777">
        <f t="shared" si="49"/>
        <v>0</v>
      </c>
      <c r="P132" s="777">
        <f t="shared" si="49"/>
        <v>0</v>
      </c>
      <c r="Q132" s="777">
        <f t="shared" si="50"/>
        <v>5.332679303836084</v>
      </c>
      <c r="R132" s="777">
        <f t="shared" si="50"/>
        <v>5.332679303836084</v>
      </c>
      <c r="S132" s="788">
        <f>IF($A$1="urban",'Calibration Data'!$R88,RuralCalibration!$R88)</f>
        <v>1</v>
      </c>
    </row>
    <row r="133" spans="1:20" x14ac:dyDescent="0.25">
      <c r="A133" s="49" t="s">
        <v>30</v>
      </c>
      <c r="B133" s="50">
        <v>2</v>
      </c>
      <c r="C133" s="50" t="s">
        <v>39</v>
      </c>
      <c r="D133" s="775">
        <f t="shared" si="42"/>
        <v>327918</v>
      </c>
      <c r="E133" s="880">
        <v>0</v>
      </c>
      <c r="F133" s="870">
        <v>0</v>
      </c>
      <c r="G133" s="870">
        <v>5020.7337010737774</v>
      </c>
      <c r="H133" s="875">
        <f t="shared" si="51"/>
        <v>5020.7337010737774</v>
      </c>
      <c r="I133" s="775">
        <v>51801</v>
      </c>
      <c r="J133" s="880">
        <v>0</v>
      </c>
      <c r="K133" s="870">
        <v>0</v>
      </c>
      <c r="L133" s="870">
        <v>793.12214166139904</v>
      </c>
      <c r="M133" s="875">
        <f t="shared" si="52"/>
        <v>793.12214166139904</v>
      </c>
      <c r="N133" s="772">
        <f t="shared" si="53"/>
        <v>405.04</v>
      </c>
      <c r="O133" s="777">
        <f t="shared" si="49"/>
        <v>0</v>
      </c>
      <c r="P133" s="777">
        <f t="shared" si="49"/>
        <v>0</v>
      </c>
      <c r="Q133" s="777">
        <f t="shared" si="50"/>
        <v>6.2015442222839949</v>
      </c>
      <c r="R133" s="777">
        <f t="shared" si="50"/>
        <v>6.2015442222839949</v>
      </c>
      <c r="S133" s="788">
        <f>IF($A$1="urban",'Calibration Data'!$R89,RuralCalibration!$R89)</f>
        <v>1</v>
      </c>
    </row>
    <row r="134" spans="1:20" x14ac:dyDescent="0.25">
      <c r="A134" s="49" t="s">
        <v>30</v>
      </c>
      <c r="B134" s="50">
        <v>2</v>
      </c>
      <c r="C134" s="50" t="s">
        <v>38</v>
      </c>
      <c r="D134" s="775">
        <f t="shared" si="42"/>
        <v>337487.2</v>
      </c>
      <c r="E134" s="880">
        <v>1</v>
      </c>
      <c r="F134" s="870">
        <v>17.3668704026928</v>
      </c>
      <c r="G134" s="870">
        <v>5329.8936042747291</v>
      </c>
      <c r="H134" s="875">
        <f t="shared" si="51"/>
        <v>5347.2604746774223</v>
      </c>
      <c r="I134" s="775">
        <v>71962</v>
      </c>
      <c r="J134" s="880">
        <v>0.4</v>
      </c>
      <c r="K134" s="870">
        <v>6.8512191413663102</v>
      </c>
      <c r="L134" s="870">
        <v>1136.48696469323</v>
      </c>
      <c r="M134" s="875">
        <f t="shared" si="52"/>
        <v>1143.3381838345963</v>
      </c>
      <c r="N134" s="772">
        <f t="shared" si="53"/>
        <v>543.15200000000004</v>
      </c>
      <c r="O134" s="777">
        <f t="shared" si="49"/>
        <v>1.6094002972557183E-3</v>
      </c>
      <c r="P134" s="777">
        <f t="shared" si="49"/>
        <v>2.7950246388495328E-2</v>
      </c>
      <c r="Q134" s="777">
        <f t="shared" si="50"/>
        <v>8.5779323510611007</v>
      </c>
      <c r="R134" s="777">
        <f t="shared" si="50"/>
        <v>8.6058825974495949</v>
      </c>
      <c r="S134" s="788">
        <f>IF($A$1="urban",'Calibration Data'!$R90,RuralCalibration!$R90)</f>
        <v>1</v>
      </c>
    </row>
    <row r="135" spans="1:20" x14ac:dyDescent="0.25">
      <c r="A135" s="49" t="s">
        <v>30</v>
      </c>
      <c r="B135" s="50">
        <v>2</v>
      </c>
      <c r="C135" s="50" t="s">
        <v>37</v>
      </c>
      <c r="D135" s="775">
        <f t="shared" si="42"/>
        <v>176202.8</v>
      </c>
      <c r="E135" s="880">
        <v>0.2</v>
      </c>
      <c r="F135" s="870">
        <v>2.7282685387863399</v>
      </c>
      <c r="G135" s="870">
        <v>2335.6046731883935</v>
      </c>
      <c r="H135" s="875">
        <f t="shared" si="51"/>
        <v>2338.3329417271798</v>
      </c>
      <c r="I135" s="775">
        <v>45270.8</v>
      </c>
      <c r="J135" s="880">
        <v>0.8</v>
      </c>
      <c r="K135" s="870">
        <v>10.440876266526001</v>
      </c>
      <c r="L135" s="870">
        <v>600.07266518481197</v>
      </c>
      <c r="M135" s="875">
        <f t="shared" si="52"/>
        <v>610.51354145133791</v>
      </c>
      <c r="N135" s="772">
        <f t="shared" si="53"/>
        <v>399.14700000000005</v>
      </c>
      <c r="O135" s="777">
        <f t="shared" si="49"/>
        <v>4.5305409448658039E-4</v>
      </c>
      <c r="P135" s="777">
        <f t="shared" si="49"/>
        <v>6.180266161780355E-3</v>
      </c>
      <c r="Q135" s="777">
        <f t="shared" si="50"/>
        <v>5.2907763014499647</v>
      </c>
      <c r="R135" s="777">
        <f t="shared" si="50"/>
        <v>5.2969565676117449</v>
      </c>
      <c r="S135" s="788">
        <f>IF($A$1="urban",'Calibration Data'!$R91,RuralCalibration!$R91)</f>
        <v>1</v>
      </c>
    </row>
    <row r="136" spans="1:20" x14ac:dyDescent="0.25">
      <c r="A136" s="49" t="s">
        <v>30</v>
      </c>
      <c r="B136" s="50">
        <v>2</v>
      </c>
      <c r="C136" s="50" t="s">
        <v>36</v>
      </c>
      <c r="D136" s="775">
        <f t="shared" si="42"/>
        <v>91991</v>
      </c>
      <c r="E136" s="880">
        <v>1.4</v>
      </c>
      <c r="F136" s="870">
        <v>10.385745349533501</v>
      </c>
      <c r="G136" s="870">
        <v>1067.9074875013646</v>
      </c>
      <c r="H136" s="875">
        <f t="shared" si="51"/>
        <v>1078.293232850898</v>
      </c>
      <c r="I136" s="775">
        <v>27046</v>
      </c>
      <c r="J136" s="880">
        <v>0.6</v>
      </c>
      <c r="K136" s="870">
        <v>4.0809188046271601</v>
      </c>
      <c r="L136" s="870">
        <v>313.97141576825402</v>
      </c>
      <c r="M136" s="875">
        <f t="shared" si="52"/>
        <v>318.05233457288119</v>
      </c>
      <c r="N136" s="772">
        <f t="shared" si="53"/>
        <v>257.71500000000003</v>
      </c>
      <c r="O136" s="777">
        <f t="shared" si="49"/>
        <v>3.9221336869911189E-3</v>
      </c>
      <c r="P136" s="777">
        <f t="shared" si="49"/>
        <v>2.9095915499940499E-2</v>
      </c>
      <c r="Q136" s="777">
        <f t="shared" si="50"/>
        <v>2.9917685223708212</v>
      </c>
      <c r="R136" s="777">
        <f t="shared" si="50"/>
        <v>3.0208644378707614</v>
      </c>
      <c r="S136" s="788">
        <f>IF($A$1="urban",'Calibration Data'!$R92,RuralCalibration!$R92)</f>
        <v>1</v>
      </c>
    </row>
    <row r="137" spans="1:20" ht="15.75" thickBot="1" x14ac:dyDescent="0.3">
      <c r="A137" s="49" t="s">
        <v>30</v>
      </c>
      <c r="B137" s="50">
        <v>2</v>
      </c>
      <c r="C137" s="50" t="s">
        <v>35</v>
      </c>
      <c r="D137" s="775">
        <f t="shared" si="42"/>
        <v>76048.800000000003</v>
      </c>
      <c r="E137" s="881">
        <v>6.6</v>
      </c>
      <c r="F137" s="877">
        <v>20.371032015998701</v>
      </c>
      <c r="G137" s="877">
        <v>962.3390117335997</v>
      </c>
      <c r="H137" s="878">
        <f t="shared" si="51"/>
        <v>982.71004374959841</v>
      </c>
      <c r="I137" s="775">
        <v>18745.8</v>
      </c>
      <c r="J137" s="881">
        <v>0.8</v>
      </c>
      <c r="K137" s="877">
        <v>2.2090781466693401</v>
      </c>
      <c r="L137" s="877">
        <v>237.21366604280001</v>
      </c>
      <c r="M137" s="878">
        <f t="shared" si="52"/>
        <v>239.42274418946934</v>
      </c>
      <c r="N137" s="772">
        <f t="shared" si="53"/>
        <v>130.97400000000002</v>
      </c>
      <c r="O137" s="777">
        <f t="shared" si="49"/>
        <v>1.1366759238804558E-2</v>
      </c>
      <c r="P137" s="777">
        <f t="shared" si="49"/>
        <v>3.508372975330859E-2</v>
      </c>
      <c r="Q137" s="777">
        <f t="shared" si="50"/>
        <v>1.6573751291643852</v>
      </c>
      <c r="R137" s="777">
        <f t="shared" si="50"/>
        <v>1.6924588589176939</v>
      </c>
      <c r="S137" s="788">
        <f>IF($A$1="urban",'Calibration Data'!$R93,RuralCalibration!$R93)</f>
        <v>1</v>
      </c>
    </row>
    <row r="138" spans="1:20" x14ac:dyDescent="0.25">
      <c r="D138" s="775">
        <f t="shared" ref="D138:N138" si="54">SUM(D122:D137)</f>
        <v>3216773</v>
      </c>
      <c r="E138" s="779">
        <f t="shared" si="54"/>
        <v>15</v>
      </c>
      <c r="F138" s="779">
        <f t="shared" si="54"/>
        <v>95.529832895975574</v>
      </c>
      <c r="G138" s="779">
        <f t="shared" si="54"/>
        <v>32028.166960636572</v>
      </c>
      <c r="H138" s="780">
        <f t="shared" si="54"/>
        <v>32123.696793532545</v>
      </c>
      <c r="I138" s="775">
        <f t="shared" si="54"/>
        <v>651949.20000000019</v>
      </c>
      <c r="J138" s="779">
        <f t="shared" si="54"/>
        <v>5.3999999999999995</v>
      </c>
      <c r="K138" s="779">
        <f t="shared" si="54"/>
        <v>50.630471507831558</v>
      </c>
      <c r="L138" s="779">
        <f t="shared" si="54"/>
        <v>6448.3705156200867</v>
      </c>
      <c r="M138" s="780">
        <f t="shared" si="54"/>
        <v>6499.000987127919</v>
      </c>
      <c r="N138" s="779">
        <f t="shared" si="54"/>
        <v>5192.2310000000007</v>
      </c>
      <c r="O138" s="782">
        <f>SUM(O122:O137)</f>
        <v>3.5211623945849625E-2</v>
      </c>
      <c r="P138" s="782">
        <f>SUM(P122:P137)</f>
        <v>0.21386194469410977</v>
      </c>
      <c r="Q138" s="782">
        <f>SUM(Q122:Q137)</f>
        <v>51.687721030375904</v>
      </c>
      <c r="R138" s="782">
        <f>SUM(R122:R137)</f>
        <v>51.901582975070006</v>
      </c>
      <c r="S138" s="790"/>
    </row>
    <row r="139" spans="1:20" x14ac:dyDescent="0.25">
      <c r="I139" s="864"/>
      <c r="J139" s="865"/>
      <c r="K139" s="865"/>
      <c r="L139" s="865"/>
    </row>
    <row r="140" spans="1:20" ht="15.75" thickBot="1" x14ac:dyDescent="0.3">
      <c r="I140" s="864"/>
      <c r="J140" s="865"/>
      <c r="K140" s="865"/>
      <c r="L140" s="865"/>
    </row>
    <row r="141" spans="1:20" x14ac:dyDescent="0.25">
      <c r="A141" s="786" t="s">
        <v>154</v>
      </c>
      <c r="B141" s="50">
        <v>1</v>
      </c>
      <c r="C141" s="50" t="s">
        <v>2</v>
      </c>
      <c r="D141" s="775">
        <f>D122</f>
        <v>100771.8</v>
      </c>
      <c r="E141" s="879">
        <v>0</v>
      </c>
      <c r="F141" s="872">
        <v>0</v>
      </c>
      <c r="G141" s="872">
        <v>0</v>
      </c>
      <c r="H141" s="873">
        <f>F141+G141</f>
        <v>0</v>
      </c>
      <c r="I141" s="775">
        <v>19204.2</v>
      </c>
      <c r="J141" s="879">
        <v>0</v>
      </c>
      <c r="K141" s="872">
        <v>0</v>
      </c>
      <c r="L141" s="872">
        <v>0</v>
      </c>
      <c r="M141" s="873">
        <f>K141+L141</f>
        <v>0</v>
      </c>
      <c r="N141" s="772">
        <f>N122</f>
        <v>126.32600000000001</v>
      </c>
      <c r="O141" s="777">
        <f t="shared" ref="O141:P156" si="55">$S141*(E141)/$D141*$N141</f>
        <v>0</v>
      </c>
      <c r="P141" s="777">
        <f>$S141*((F141)/$D141*$N141)</f>
        <v>0</v>
      </c>
      <c r="Q141" s="777">
        <f t="shared" ref="Q141:R156" si="56">$S141*(G141)/$D141*$N141</f>
        <v>0</v>
      </c>
      <c r="R141" s="777">
        <f t="shared" si="56"/>
        <v>0</v>
      </c>
      <c r="S141" s="788">
        <f>IF($A$1="urban",'Calibration Data'!$R174,RuralCalibration!$R174)</f>
        <v>1</v>
      </c>
    </row>
    <row r="142" spans="1:20" x14ac:dyDescent="0.25">
      <c r="A142" s="786" t="s">
        <v>154</v>
      </c>
      <c r="B142" s="50">
        <v>1</v>
      </c>
      <c r="C142" s="50" t="s">
        <v>41</v>
      </c>
      <c r="D142" s="775">
        <f>D123</f>
        <v>205830</v>
      </c>
      <c r="E142" s="880">
        <v>0</v>
      </c>
      <c r="F142" s="870">
        <v>0</v>
      </c>
      <c r="G142" s="870">
        <v>0</v>
      </c>
      <c r="H142" s="875">
        <f t="shared" ref="H142:H156" si="57">F142+G142</f>
        <v>0</v>
      </c>
      <c r="I142" s="775">
        <v>39373.4</v>
      </c>
      <c r="J142" s="880">
        <v>0</v>
      </c>
      <c r="K142" s="870">
        <v>0</v>
      </c>
      <c r="L142" s="870">
        <v>0</v>
      </c>
      <c r="M142" s="875">
        <f t="shared" ref="M142:M156" si="58">K142+L142</f>
        <v>0</v>
      </c>
      <c r="N142" s="772">
        <f t="shared" ref="N142:N156" si="59">N123</f>
        <v>267.42600000000004</v>
      </c>
      <c r="O142" s="777">
        <f t="shared" si="55"/>
        <v>0</v>
      </c>
      <c r="P142" s="777">
        <f t="shared" si="55"/>
        <v>0</v>
      </c>
      <c r="Q142" s="777">
        <f t="shared" si="56"/>
        <v>0</v>
      </c>
      <c r="R142" s="777">
        <f t="shared" si="56"/>
        <v>0</v>
      </c>
      <c r="S142" s="788">
        <f>IF($A$1="urban",'Calibration Data'!$R175,RuralCalibration!$R175)</f>
        <v>1</v>
      </c>
    </row>
    <row r="143" spans="1:20" x14ac:dyDescent="0.25">
      <c r="A143" s="786" t="s">
        <v>154</v>
      </c>
      <c r="B143" s="50">
        <v>1</v>
      </c>
      <c r="C143" s="50" t="s">
        <v>40</v>
      </c>
      <c r="D143" s="775">
        <f t="shared" ref="D143:D156" si="60">D124</f>
        <v>333948</v>
      </c>
      <c r="E143" s="880">
        <v>0.4</v>
      </c>
      <c r="F143" s="870">
        <v>11.8949989544383</v>
      </c>
      <c r="G143" s="870">
        <v>0.19573891042308098</v>
      </c>
      <c r="H143" s="875">
        <f t="shared" si="57"/>
        <v>12.090737864861381</v>
      </c>
      <c r="I143" s="775">
        <v>59712.800000000003</v>
      </c>
      <c r="J143" s="880">
        <v>0</v>
      </c>
      <c r="K143" s="870">
        <v>0</v>
      </c>
      <c r="L143" s="870">
        <v>3.4999815571021088E-2</v>
      </c>
      <c r="M143" s="875">
        <f t="shared" si="58"/>
        <v>3.4999815571021088E-2</v>
      </c>
      <c r="N143" s="772">
        <f t="shared" si="59"/>
        <v>408.11100000000005</v>
      </c>
      <c r="O143" s="777">
        <f t="shared" si="55"/>
        <v>4.8883179417154776E-4</v>
      </c>
      <c r="P143" s="777">
        <f t="shared" si="55"/>
        <v>1.4536634201416895E-2</v>
      </c>
      <c r="Q143" s="777">
        <f t="shared" si="56"/>
        <v>2.3920850692824635E-4</v>
      </c>
      <c r="R143" s="777">
        <f t="shared" si="56"/>
        <v>1.4775842708345144E-2</v>
      </c>
      <c r="S143" s="788">
        <f>IF($A$1="urban",'Calibration Data'!$R176,RuralCalibration!$R176)</f>
        <v>1</v>
      </c>
    </row>
    <row r="144" spans="1:20" x14ac:dyDescent="0.25">
      <c r="A144" s="786" t="s">
        <v>154</v>
      </c>
      <c r="B144" s="50">
        <v>1</v>
      </c>
      <c r="C144" s="50" t="s">
        <v>39</v>
      </c>
      <c r="D144" s="775">
        <f t="shared" si="60"/>
        <v>334802.40000000002</v>
      </c>
      <c r="E144" s="880">
        <v>5</v>
      </c>
      <c r="F144" s="870">
        <v>113.721120592798</v>
      </c>
      <c r="G144" s="870">
        <v>3.647502982652854</v>
      </c>
      <c r="H144" s="875">
        <f t="shared" si="57"/>
        <v>117.36862357545085</v>
      </c>
      <c r="I144" s="775">
        <v>54951</v>
      </c>
      <c r="J144" s="880">
        <v>0.2</v>
      </c>
      <c r="K144" s="870">
        <v>4.4370837293239402</v>
      </c>
      <c r="L144" s="870">
        <v>0.59866337995115027</v>
      </c>
      <c r="M144" s="875">
        <f t="shared" si="58"/>
        <v>5.0357471092750909</v>
      </c>
      <c r="N144" s="772">
        <f t="shared" si="59"/>
        <v>393.50300000000004</v>
      </c>
      <c r="O144" s="777">
        <f t="shared" si="55"/>
        <v>0.22924099723900357</v>
      </c>
      <c r="P144" s="777">
        <f t="shared" si="55"/>
        <v>5.2139086183659993</v>
      </c>
      <c r="Q144" s="777">
        <f t="shared" si="56"/>
        <v>0.16723144423511602</v>
      </c>
      <c r="R144" s="777">
        <f t="shared" si="56"/>
        <v>5.3811400626011148</v>
      </c>
      <c r="S144" s="788">
        <f>IF($A$1="urban",'Calibration Data'!$R177,RuralCalibration!$R177)</f>
        <v>39.008818765809544</v>
      </c>
    </row>
    <row r="145" spans="1:20" x14ac:dyDescent="0.25">
      <c r="A145" s="786" t="s">
        <v>154</v>
      </c>
      <c r="B145" s="50">
        <v>1</v>
      </c>
      <c r="C145" s="50" t="s">
        <v>38</v>
      </c>
      <c r="D145" s="775">
        <f t="shared" si="60"/>
        <v>324395.59999999998</v>
      </c>
      <c r="E145" s="880">
        <v>104.8</v>
      </c>
      <c r="F145" s="870">
        <v>1706.0351090353199</v>
      </c>
      <c r="G145" s="870">
        <v>32.540133360359917</v>
      </c>
      <c r="H145" s="875">
        <f t="shared" si="57"/>
        <v>1738.5752423956799</v>
      </c>
      <c r="I145" s="775">
        <v>70272</v>
      </c>
      <c r="J145" s="880">
        <v>29.8</v>
      </c>
      <c r="K145" s="870">
        <v>481.06270769440499</v>
      </c>
      <c r="L145" s="870">
        <v>9.2528241807130289</v>
      </c>
      <c r="M145" s="875">
        <f t="shared" si="58"/>
        <v>490.31553187511804</v>
      </c>
      <c r="N145" s="772">
        <f t="shared" si="59"/>
        <v>581.00000000000011</v>
      </c>
      <c r="O145" s="777">
        <f t="shared" si="55"/>
        <v>0.18769921663549077</v>
      </c>
      <c r="P145" s="777">
        <f t="shared" si="55"/>
        <v>3.055548220597077</v>
      </c>
      <c r="Q145" s="777">
        <f t="shared" si="56"/>
        <v>5.8280129207575929E-2</v>
      </c>
      <c r="R145" s="777">
        <f t="shared" si="56"/>
        <v>3.1138283498046531</v>
      </c>
      <c r="S145" s="788">
        <f>IF($A$1="urban",'Calibration Data'!$R178,RuralCalibration!$R178)</f>
        <v>1</v>
      </c>
    </row>
    <row r="146" spans="1:20" x14ac:dyDescent="0.25">
      <c r="A146" s="786" t="s">
        <v>154</v>
      </c>
      <c r="B146" s="50">
        <v>1</v>
      </c>
      <c r="C146" s="50" t="s">
        <v>37</v>
      </c>
      <c r="D146" s="775">
        <f t="shared" si="60"/>
        <v>163949.4</v>
      </c>
      <c r="E146" s="880">
        <v>220.8</v>
      </c>
      <c r="F146" s="870">
        <v>2452.1303924267399</v>
      </c>
      <c r="G146" s="870">
        <v>64.038214817424532</v>
      </c>
      <c r="H146" s="875">
        <f t="shared" si="57"/>
        <v>2516.1686072441644</v>
      </c>
      <c r="I146" s="775">
        <v>44455</v>
      </c>
      <c r="J146" s="880">
        <v>76</v>
      </c>
      <c r="K146" s="870">
        <v>836.60728550622798</v>
      </c>
      <c r="L146" s="870">
        <v>22.042139158171484</v>
      </c>
      <c r="M146" s="875">
        <f t="shared" si="58"/>
        <v>858.64942466439948</v>
      </c>
      <c r="N146" s="772">
        <f t="shared" si="59"/>
        <v>422.47000000000008</v>
      </c>
      <c r="O146" s="777">
        <f t="shared" si="55"/>
        <v>0.54636553331963256</v>
      </c>
      <c r="P146" s="777">
        <f t="shared" si="55"/>
        <v>6.0677514928782408</v>
      </c>
      <c r="Q146" s="777">
        <f t="shared" si="56"/>
        <v>0.15846138311394634</v>
      </c>
      <c r="R146" s="777">
        <f t="shared" si="56"/>
        <v>6.2262128759921866</v>
      </c>
      <c r="S146" s="788">
        <f>IF($A$1="urban",'Calibration Data'!$R179,RuralCalibration!$R179)</f>
        <v>0.96028066061583117</v>
      </c>
    </row>
    <row r="147" spans="1:20" x14ac:dyDescent="0.25">
      <c r="A147" s="786" t="s">
        <v>154</v>
      </c>
      <c r="B147" s="50">
        <v>1</v>
      </c>
      <c r="C147" s="50" t="s">
        <v>36</v>
      </c>
      <c r="D147" s="775">
        <f t="shared" si="60"/>
        <v>78168.399999999994</v>
      </c>
      <c r="E147" s="880">
        <v>250.2</v>
      </c>
      <c r="F147" s="870">
        <v>1730.4013247458099</v>
      </c>
      <c r="G147" s="870">
        <v>64.408282637810032</v>
      </c>
      <c r="H147" s="875">
        <f t="shared" si="57"/>
        <v>1794.80960738362</v>
      </c>
      <c r="I147" s="775">
        <v>25872.400000000001</v>
      </c>
      <c r="J147" s="880">
        <v>96.6</v>
      </c>
      <c r="K147" s="870">
        <v>663.93089372479994</v>
      </c>
      <c r="L147" s="870">
        <v>24.867466438099317</v>
      </c>
      <c r="M147" s="875">
        <f t="shared" si="58"/>
        <v>688.79836016289926</v>
      </c>
      <c r="N147" s="772">
        <f t="shared" si="59"/>
        <v>272.24</v>
      </c>
      <c r="O147" s="777">
        <f t="shared" si="55"/>
        <v>0.83680601984319758</v>
      </c>
      <c r="P147" s="777">
        <f t="shared" si="55"/>
        <v>5.7874110523258899</v>
      </c>
      <c r="Q147" s="777">
        <f t="shared" si="56"/>
        <v>0.21541662125931874</v>
      </c>
      <c r="R147" s="777">
        <f t="shared" si="56"/>
        <v>6.0028276735852089</v>
      </c>
      <c r="S147" s="788">
        <f>IF($A$1="urban",'Calibration Data'!$R180,RuralCalibration!$R180)</f>
        <v>0.9603217761011732</v>
      </c>
    </row>
    <row r="148" spans="1:20" x14ac:dyDescent="0.25">
      <c r="A148" s="786" t="s">
        <v>154</v>
      </c>
      <c r="B148" s="50">
        <v>1</v>
      </c>
      <c r="C148" s="50" t="s">
        <v>35</v>
      </c>
      <c r="D148" s="775">
        <f t="shared" si="60"/>
        <v>45490.6</v>
      </c>
      <c r="E148" s="880">
        <v>211</v>
      </c>
      <c r="F148" s="870">
        <v>727.11716476644699</v>
      </c>
      <c r="G148" s="870">
        <v>44.600969872441198</v>
      </c>
      <c r="H148" s="875">
        <f t="shared" si="57"/>
        <v>771.71813463888816</v>
      </c>
      <c r="I148" s="775">
        <v>13268.2</v>
      </c>
      <c r="J148" s="880">
        <v>70.599999999999994</v>
      </c>
      <c r="K148" s="870">
        <v>243.841966188589</v>
      </c>
      <c r="L148" s="870">
        <v>14.923357691916342</v>
      </c>
      <c r="M148" s="875">
        <f t="shared" si="58"/>
        <v>258.76532388050532</v>
      </c>
      <c r="N148" s="772">
        <f t="shared" si="59"/>
        <v>161.76700000000002</v>
      </c>
      <c r="O148" s="777">
        <f t="shared" si="55"/>
        <v>0.71795278990054934</v>
      </c>
      <c r="P148" s="777">
        <f t="shared" si="55"/>
        <v>2.4741033034533086</v>
      </c>
      <c r="Q148" s="777">
        <f t="shared" si="56"/>
        <v>0.15176014574497398</v>
      </c>
      <c r="R148" s="777">
        <f t="shared" si="56"/>
        <v>2.6258634491982824</v>
      </c>
      <c r="S148" s="788">
        <f>IF($A$1="urban",'Calibration Data'!$R181,RuralCalibration!$R181)</f>
        <v>0.95685287408866504</v>
      </c>
      <c r="T148" s="784"/>
    </row>
    <row r="149" spans="1:20" x14ac:dyDescent="0.25">
      <c r="A149" s="786" t="s">
        <v>154</v>
      </c>
      <c r="B149" s="50">
        <v>2</v>
      </c>
      <c r="C149" s="50" t="s">
        <v>2</v>
      </c>
      <c r="D149" s="775">
        <f t="shared" si="60"/>
        <v>95879.4</v>
      </c>
      <c r="E149" s="880">
        <v>0</v>
      </c>
      <c r="F149" s="870">
        <v>0</v>
      </c>
      <c r="G149" s="870">
        <v>0</v>
      </c>
      <c r="H149" s="875">
        <f t="shared" si="57"/>
        <v>0</v>
      </c>
      <c r="I149" s="775">
        <v>18432</v>
      </c>
      <c r="J149" s="880">
        <v>0</v>
      </c>
      <c r="K149" s="870">
        <v>0</v>
      </c>
      <c r="L149" s="870">
        <v>0</v>
      </c>
      <c r="M149" s="875">
        <f t="shared" si="58"/>
        <v>0</v>
      </c>
      <c r="N149" s="772">
        <f t="shared" si="59"/>
        <v>130.55900000000003</v>
      </c>
      <c r="O149" s="777">
        <f t="shared" si="55"/>
        <v>0</v>
      </c>
      <c r="P149" s="777">
        <f t="shared" si="55"/>
        <v>0</v>
      </c>
      <c r="Q149" s="777">
        <f t="shared" si="56"/>
        <v>0</v>
      </c>
      <c r="R149" s="777">
        <f t="shared" si="56"/>
        <v>0</v>
      </c>
      <c r="S149" s="788">
        <f>IF($A$1="urban",'Calibration Data'!$R166,RuralCalibration!$R166)</f>
        <v>1</v>
      </c>
    </row>
    <row r="150" spans="1:20" x14ac:dyDescent="0.25">
      <c r="A150" s="786" t="s">
        <v>154</v>
      </c>
      <c r="B150" s="50">
        <v>2</v>
      </c>
      <c r="C150" s="50" t="s">
        <v>41</v>
      </c>
      <c r="D150" s="775">
        <f t="shared" si="60"/>
        <v>196469.6</v>
      </c>
      <c r="E150" s="880">
        <v>0</v>
      </c>
      <c r="F150" s="870">
        <v>0</v>
      </c>
      <c r="G150" s="870">
        <v>0</v>
      </c>
      <c r="H150" s="875">
        <f t="shared" si="57"/>
        <v>0</v>
      </c>
      <c r="I150" s="775">
        <v>37956.6</v>
      </c>
      <c r="J150" s="880">
        <v>0.2</v>
      </c>
      <c r="K150" s="870">
        <v>6.7217440379328304</v>
      </c>
      <c r="L150" s="870">
        <v>0</v>
      </c>
      <c r="M150" s="875">
        <f t="shared" si="58"/>
        <v>6.7217440379328304</v>
      </c>
      <c r="N150" s="772">
        <f t="shared" si="59"/>
        <v>274.73000000000008</v>
      </c>
      <c r="O150" s="777">
        <f t="shared" si="55"/>
        <v>0</v>
      </c>
      <c r="P150" s="777">
        <f t="shared" si="55"/>
        <v>0</v>
      </c>
      <c r="Q150" s="777">
        <f t="shared" si="56"/>
        <v>0</v>
      </c>
      <c r="R150" s="777">
        <f t="shared" si="56"/>
        <v>0</v>
      </c>
      <c r="S150" s="788">
        <f>IF($A$1="urban",'Calibration Data'!$R167,RuralCalibration!$R167)</f>
        <v>1</v>
      </c>
    </row>
    <row r="151" spans="1:20" x14ac:dyDescent="0.25">
      <c r="A151" s="786" t="s">
        <v>154</v>
      </c>
      <c r="B151" s="50">
        <v>2</v>
      </c>
      <c r="C151" s="50" t="s">
        <v>40</v>
      </c>
      <c r="D151" s="775">
        <f t="shared" si="60"/>
        <v>327420</v>
      </c>
      <c r="E151" s="880">
        <v>0.6</v>
      </c>
      <c r="F151" s="870">
        <v>18.234951549244101</v>
      </c>
      <c r="G151" s="870">
        <v>0.24188768216582485</v>
      </c>
      <c r="H151" s="875">
        <f t="shared" si="57"/>
        <v>18.476839231409926</v>
      </c>
      <c r="I151" s="775">
        <v>53626</v>
      </c>
      <c r="J151" s="880">
        <v>0</v>
      </c>
      <c r="K151" s="870">
        <v>0</v>
      </c>
      <c r="L151" s="870">
        <v>3.9617215942289785E-2</v>
      </c>
      <c r="M151" s="875">
        <f t="shared" si="58"/>
        <v>3.9617215942289785E-2</v>
      </c>
      <c r="N151" s="772">
        <f t="shared" si="59"/>
        <v>418.07100000000008</v>
      </c>
      <c r="O151" s="777">
        <f t="shared" si="55"/>
        <v>7.6611874656404635E-4</v>
      </c>
      <c r="P151" s="777">
        <f t="shared" si="55"/>
        <v>2.3283563707605009E-2</v>
      </c>
      <c r="Q151" s="777">
        <f t="shared" si="56"/>
        <v>3.0885781311694026E-4</v>
      </c>
      <c r="R151" s="777">
        <f t="shared" si="56"/>
        <v>2.3592421520721951E-2</v>
      </c>
      <c r="S151" s="788">
        <f>IF($A$1="urban",'Calibration Data'!$R168,RuralCalibration!$R168)</f>
        <v>1</v>
      </c>
    </row>
    <row r="152" spans="1:20" x14ac:dyDescent="0.25">
      <c r="A152" s="786" t="s">
        <v>154</v>
      </c>
      <c r="B152" s="50">
        <v>2</v>
      </c>
      <c r="C152" s="50" t="s">
        <v>39</v>
      </c>
      <c r="D152" s="775">
        <f t="shared" si="60"/>
        <v>327918</v>
      </c>
      <c r="E152" s="880">
        <v>6</v>
      </c>
      <c r="F152" s="870">
        <v>143.30075525148499</v>
      </c>
      <c r="G152" s="870">
        <v>3.9354299454650739</v>
      </c>
      <c r="H152" s="875">
        <f t="shared" si="57"/>
        <v>147.23618519695006</v>
      </c>
      <c r="I152" s="775">
        <v>51801</v>
      </c>
      <c r="J152" s="880">
        <v>0.4</v>
      </c>
      <c r="K152" s="870">
        <v>9.5881753893614405</v>
      </c>
      <c r="L152" s="870">
        <v>0.62167739070449402</v>
      </c>
      <c r="M152" s="875">
        <f t="shared" si="58"/>
        <v>10.209852780065935</v>
      </c>
      <c r="N152" s="772">
        <f t="shared" si="59"/>
        <v>405.04</v>
      </c>
      <c r="O152" s="777">
        <f t="shared" si="55"/>
        <v>0.1986466776456545</v>
      </c>
      <c r="P152" s="777">
        <f t="shared" si="55"/>
        <v>4.7443698224700945</v>
      </c>
      <c r="Q152" s="777">
        <f t="shared" si="56"/>
        <v>0.13029334729564271</v>
      </c>
      <c r="R152" s="777">
        <f t="shared" si="56"/>
        <v>4.8746631697657374</v>
      </c>
      <c r="S152" s="788">
        <f>IF($A$1="urban",'Calibration Data'!$R169,RuralCalibration!$R169)</f>
        <v>26.803863503278578</v>
      </c>
    </row>
    <row r="153" spans="1:20" x14ac:dyDescent="0.25">
      <c r="A153" s="786" t="s">
        <v>154</v>
      </c>
      <c r="B153" s="50">
        <v>2</v>
      </c>
      <c r="C153" s="50" t="s">
        <v>38</v>
      </c>
      <c r="D153" s="775">
        <f t="shared" si="60"/>
        <v>337487.2</v>
      </c>
      <c r="E153" s="880">
        <v>91.8</v>
      </c>
      <c r="F153" s="870">
        <v>1609.02498818818</v>
      </c>
      <c r="G153" s="870">
        <v>31.768961434677415</v>
      </c>
      <c r="H153" s="875">
        <f t="shared" si="57"/>
        <v>1640.7939496228576</v>
      </c>
      <c r="I153" s="775">
        <v>71962</v>
      </c>
      <c r="J153" s="880">
        <v>24.2</v>
      </c>
      <c r="K153" s="870">
        <v>411.21343448905702</v>
      </c>
      <c r="L153" s="870">
        <v>8.3748242562003643</v>
      </c>
      <c r="M153" s="875">
        <f t="shared" si="58"/>
        <v>419.58825874525741</v>
      </c>
      <c r="N153" s="772">
        <f t="shared" si="59"/>
        <v>543.15200000000004</v>
      </c>
      <c r="O153" s="777">
        <f t="shared" si="55"/>
        <v>0.14774294728807491</v>
      </c>
      <c r="P153" s="777">
        <f t="shared" si="55"/>
        <v>2.5895652942819352</v>
      </c>
      <c r="Q153" s="777">
        <f t="shared" si="56"/>
        <v>5.1128975976475276E-2</v>
      </c>
      <c r="R153" s="777">
        <f t="shared" si="56"/>
        <v>2.6406942702584111</v>
      </c>
      <c r="S153" s="788">
        <f>IF($A$1="urban",'Calibration Data'!$R170,RuralCalibration!$R170)</f>
        <v>1</v>
      </c>
    </row>
    <row r="154" spans="1:20" x14ac:dyDescent="0.25">
      <c r="A154" s="786" t="s">
        <v>154</v>
      </c>
      <c r="B154" s="50">
        <v>2</v>
      </c>
      <c r="C154" s="50" t="s">
        <v>37</v>
      </c>
      <c r="D154" s="775">
        <f t="shared" si="60"/>
        <v>176202.8</v>
      </c>
      <c r="E154" s="880">
        <v>186.4</v>
      </c>
      <c r="F154" s="870">
        <v>2300.9809591757598</v>
      </c>
      <c r="G154" s="870">
        <v>60.423349274685059</v>
      </c>
      <c r="H154" s="875">
        <f t="shared" si="57"/>
        <v>2361.4043084504451</v>
      </c>
      <c r="I154" s="775">
        <v>45270.8</v>
      </c>
      <c r="J154" s="880">
        <v>59.6</v>
      </c>
      <c r="K154" s="870">
        <v>729.91719616132298</v>
      </c>
      <c r="L154" s="870">
        <v>19.319912107141789</v>
      </c>
      <c r="M154" s="875">
        <f t="shared" si="58"/>
        <v>749.23710826846479</v>
      </c>
      <c r="N154" s="772">
        <f t="shared" si="59"/>
        <v>399.14700000000005</v>
      </c>
      <c r="O154" s="777">
        <f t="shared" si="55"/>
        <v>0.40071142064466803</v>
      </c>
      <c r="P154" s="777">
        <f t="shared" si="55"/>
        <v>4.9465093831955453</v>
      </c>
      <c r="Q154" s="777">
        <f t="shared" si="56"/>
        <v>0.1298944534762233</v>
      </c>
      <c r="R154" s="777">
        <f t="shared" si="56"/>
        <v>5.0764038366717683</v>
      </c>
      <c r="S154" s="788">
        <f>IF($A$1="urban",'Calibration Data'!$R171,RuralCalibration!$R171)</f>
        <v>0.94899898590568821</v>
      </c>
    </row>
    <row r="155" spans="1:20" x14ac:dyDescent="0.25">
      <c r="A155" s="786" t="s">
        <v>154</v>
      </c>
      <c r="B155" s="50">
        <v>2</v>
      </c>
      <c r="C155" s="50" t="s">
        <v>36</v>
      </c>
      <c r="D155" s="775">
        <f t="shared" si="60"/>
        <v>91991</v>
      </c>
      <c r="E155" s="880">
        <v>243.2</v>
      </c>
      <c r="F155" s="870">
        <v>1911.4856608191101</v>
      </c>
      <c r="G155" s="870">
        <v>69.31321563356498</v>
      </c>
      <c r="H155" s="875">
        <f t="shared" si="57"/>
        <v>1980.7988764526751</v>
      </c>
      <c r="I155" s="775">
        <v>27046</v>
      </c>
      <c r="J155" s="880">
        <v>78.8</v>
      </c>
      <c r="K155" s="870">
        <v>619.29821172913603</v>
      </c>
      <c r="L155" s="870">
        <v>22.458393881270233</v>
      </c>
      <c r="M155" s="875">
        <f t="shared" si="58"/>
        <v>641.75660561040627</v>
      </c>
      <c r="N155" s="772">
        <f t="shared" si="59"/>
        <v>257.71500000000003</v>
      </c>
      <c r="O155" s="777">
        <f t="shared" si="55"/>
        <v>0.66307925189901762</v>
      </c>
      <c r="P155" s="777">
        <f t="shared" si="55"/>
        <v>5.2116220476629733</v>
      </c>
      <c r="Q155" s="777">
        <f t="shared" si="56"/>
        <v>0.1889809011884028</v>
      </c>
      <c r="R155" s="777">
        <f t="shared" si="56"/>
        <v>5.4006029488513763</v>
      </c>
      <c r="S155" s="788">
        <f>IF($A$1="urban",'Calibration Data'!$R172,RuralCalibration!$R172)</f>
        <v>0.97321212547626512</v>
      </c>
    </row>
    <row r="156" spans="1:20" ht="15.75" thickBot="1" x14ac:dyDescent="0.3">
      <c r="A156" s="786" t="s">
        <v>154</v>
      </c>
      <c r="B156" s="50">
        <v>2</v>
      </c>
      <c r="C156" s="50" t="s">
        <v>35</v>
      </c>
      <c r="D156" s="775">
        <f t="shared" si="60"/>
        <v>76048.800000000003</v>
      </c>
      <c r="E156" s="881">
        <v>233.2</v>
      </c>
      <c r="F156" s="877">
        <v>903.19966631609805</v>
      </c>
      <c r="G156" s="877">
        <v>51.647123626299809</v>
      </c>
      <c r="H156" s="878">
        <f t="shared" si="57"/>
        <v>954.84678994239789</v>
      </c>
      <c r="I156" s="775">
        <v>18745.8</v>
      </c>
      <c r="J156" s="881">
        <v>61.2</v>
      </c>
      <c r="K156" s="877">
        <v>239.817009317436</v>
      </c>
      <c r="L156" s="877">
        <v>13.554047881344548</v>
      </c>
      <c r="M156" s="878">
        <f t="shared" si="58"/>
        <v>253.37105719878056</v>
      </c>
      <c r="N156" s="772">
        <f t="shared" si="59"/>
        <v>130.97400000000002</v>
      </c>
      <c r="O156" s="777">
        <f t="shared" si="55"/>
        <v>0.38418452211819226</v>
      </c>
      <c r="P156" s="777">
        <f t="shared" si="55"/>
        <v>1.4879731225598665</v>
      </c>
      <c r="Q156" s="777">
        <f t="shared" si="56"/>
        <v>8.5085872680742664E-2</v>
      </c>
      <c r="R156" s="777">
        <f t="shared" si="56"/>
        <v>1.5730589952406091</v>
      </c>
      <c r="S156" s="788">
        <f>IF($A$1="urban",'Calibration Data'!$R173,RuralCalibration!$R173)</f>
        <v>0.95657404401443069</v>
      </c>
    </row>
    <row r="157" spans="1:20" x14ac:dyDescent="0.25">
      <c r="D157" s="775">
        <f t="shared" ref="D157:R157" si="61">SUM(D141:D156)</f>
        <v>3216773</v>
      </c>
      <c r="E157" s="779">
        <f t="shared" si="61"/>
        <v>1553.4</v>
      </c>
      <c r="F157" s="779">
        <f t="shared" si="61"/>
        <v>13627.52709182143</v>
      </c>
      <c r="G157" s="779">
        <f t="shared" si="61"/>
        <v>426.7608101779698</v>
      </c>
      <c r="H157" s="780">
        <f t="shared" si="61"/>
        <v>14054.287901999398</v>
      </c>
      <c r="I157" s="775">
        <f t="shared" si="61"/>
        <v>651949.20000000019</v>
      </c>
      <c r="J157" s="779">
        <f t="shared" si="61"/>
        <v>497.59999999999997</v>
      </c>
      <c r="K157" s="779">
        <f t="shared" si="61"/>
        <v>4246.435707967592</v>
      </c>
      <c r="L157" s="779">
        <f t="shared" si="61"/>
        <v>136.08792339702606</v>
      </c>
      <c r="M157" s="780">
        <f t="shared" si="61"/>
        <v>4382.5236313646183</v>
      </c>
      <c r="N157" s="779">
        <f t="shared" si="61"/>
        <v>5192.2310000000007</v>
      </c>
      <c r="O157" s="782">
        <f t="shared" si="61"/>
        <v>4.3136843270742169</v>
      </c>
      <c r="P157" s="782">
        <f t="shared" si="61"/>
        <v>41.616582555699949</v>
      </c>
      <c r="Q157" s="782">
        <f t="shared" si="61"/>
        <v>1.3370813404984627</v>
      </c>
      <c r="R157" s="782">
        <f t="shared" si="61"/>
        <v>42.953663896198414</v>
      </c>
      <c r="S157" s="788"/>
    </row>
    <row r="158" spans="1:20" x14ac:dyDescent="0.25">
      <c r="D158" s="30"/>
      <c r="I158" s="30"/>
      <c r="J158" s="865"/>
      <c r="K158" s="865"/>
      <c r="L158" s="865"/>
      <c r="O158" s="791"/>
      <c r="P158" s="791"/>
      <c r="Q158" s="791"/>
      <c r="R158" s="791"/>
      <c r="S158" s="791"/>
    </row>
    <row r="159" spans="1:20" x14ac:dyDescent="0.25">
      <c r="A159" s="786" t="s">
        <v>155</v>
      </c>
      <c r="B159" s="50">
        <v>1</v>
      </c>
      <c r="C159" s="50" t="s">
        <v>2</v>
      </c>
      <c r="D159" s="775">
        <f>D141</f>
        <v>100771.8</v>
      </c>
      <c r="E159" s="772">
        <v>1.4</v>
      </c>
      <c r="F159" s="772">
        <v>45.318426207539702</v>
      </c>
      <c r="G159" s="772">
        <v>24.980978126983217</v>
      </c>
      <c r="H159" s="773">
        <f>F159+G159</f>
        <v>70.299404334522919</v>
      </c>
      <c r="I159" s="775">
        <v>19204.2</v>
      </c>
      <c r="J159" s="865">
        <v>0.4</v>
      </c>
      <c r="K159" s="865">
        <v>12.8685614693551</v>
      </c>
      <c r="L159" s="865">
        <v>4.7606542717924167</v>
      </c>
      <c r="M159" s="773">
        <f>K159+L159</f>
        <v>17.629215741147519</v>
      </c>
      <c r="N159" s="772">
        <f>N141</f>
        <v>126.32600000000001</v>
      </c>
      <c r="O159" s="777">
        <f>$S159*(E159)/$D159*$N159</f>
        <v>1.7550187651704146E-3</v>
      </c>
      <c r="P159" s="777">
        <f>$S159*((F159)/$D159*$N159)</f>
        <v>5.6810491715873497E-2</v>
      </c>
      <c r="Q159" s="777">
        <f>$S159*(G159)/$D159*$N159</f>
        <v>3.1315775275119445E-2</v>
      </c>
      <c r="R159" s="777">
        <f>$S159*(H159)/$D159*$N159</f>
        <v>8.8126266990992935E-2</v>
      </c>
      <c r="S159" s="792">
        <f>IF($A$1="urban",'Calibration Data'!$R$21,RuralCalibration!$R$21)</f>
        <v>1</v>
      </c>
    </row>
    <row r="160" spans="1:20" x14ac:dyDescent="0.25">
      <c r="A160" s="786" t="s">
        <v>155</v>
      </c>
      <c r="B160" s="50">
        <v>2</v>
      </c>
      <c r="C160" s="50" t="s">
        <v>2</v>
      </c>
      <c r="D160" s="775">
        <f>D149</f>
        <v>95879.4</v>
      </c>
      <c r="E160" s="772">
        <v>0.8</v>
      </c>
      <c r="F160" s="772">
        <v>26.0630599838093</v>
      </c>
      <c r="G160" s="772">
        <v>23.338278380296973</v>
      </c>
      <c r="H160" s="773">
        <f t="shared" ref="H160" si="62">F160+G160</f>
        <v>49.401338364106273</v>
      </c>
      <c r="I160" s="775">
        <v>39373.4</v>
      </c>
      <c r="J160" s="865">
        <v>0.6</v>
      </c>
      <c r="K160" s="865">
        <v>19.312286656432299</v>
      </c>
      <c r="L160" s="865">
        <v>9.5839916601353892</v>
      </c>
      <c r="M160" s="773">
        <f t="shared" ref="M160" si="63">K160+L160</f>
        <v>28.896278316567688</v>
      </c>
      <c r="N160" s="772">
        <f>N130</f>
        <v>130.55900000000003</v>
      </c>
      <c r="O160" s="777">
        <f>$S160*(E160)/$D160*$N160</f>
        <v>1.0893601753869967E-3</v>
      </c>
      <c r="P160" s="777">
        <f>$S160*((F160)/$D160*$N160)</f>
        <v>3.5490074493855397E-2</v>
      </c>
      <c r="Q160" s="777">
        <f>$S160*(G160)/$D160*$N160</f>
        <v>3.1779738786988587E-2</v>
      </c>
      <c r="R160" s="777">
        <f>$S160*(H160)/$D160*$N160</f>
        <v>6.7269813280843985E-2</v>
      </c>
      <c r="S160" s="792">
        <f>IF($A$1="urban",'Calibration Data'!$R$20,RuralCalibration!$R$20)</f>
        <v>1</v>
      </c>
    </row>
    <row r="161" spans="1:20" x14ac:dyDescent="0.25">
      <c r="D161" s="781">
        <f>SUM(D159:D160)</f>
        <v>196651.2</v>
      </c>
      <c r="E161" s="779">
        <f>SUM(E159:E160)</f>
        <v>2.2000000000000002</v>
      </c>
      <c r="F161" s="779">
        <f t="shared" ref="F161:R161" si="64">SUM(F159:F160)</f>
        <v>71.381486191348998</v>
      </c>
      <c r="G161" s="779">
        <f t="shared" si="64"/>
        <v>48.319256507280187</v>
      </c>
      <c r="H161" s="780">
        <f t="shared" si="64"/>
        <v>119.7007426986292</v>
      </c>
      <c r="I161" s="781">
        <f>SUM(I159:I160)</f>
        <v>58577.600000000006</v>
      </c>
      <c r="J161" s="779">
        <v>1</v>
      </c>
      <c r="K161" s="779">
        <v>30.356660000000002</v>
      </c>
      <c r="L161" s="779">
        <v>7.7773412549793939</v>
      </c>
      <c r="M161" s="780">
        <v>38.134001254979395</v>
      </c>
      <c r="N161" s="779">
        <f t="shared" si="64"/>
        <v>256.88500000000005</v>
      </c>
      <c r="O161" s="779">
        <f t="shared" si="64"/>
        <v>2.8443789405574113E-3</v>
      </c>
      <c r="P161" s="779">
        <f t="shared" si="64"/>
        <v>9.2300566209728901E-2</v>
      </c>
      <c r="Q161" s="779">
        <f t="shared" si="64"/>
        <v>6.3095514062108032E-2</v>
      </c>
      <c r="R161" s="779">
        <f t="shared" si="64"/>
        <v>0.15539608027183693</v>
      </c>
    </row>
    <row r="162" spans="1:20" ht="15.75" thickBot="1" x14ac:dyDescent="0.3">
      <c r="I162" s="864"/>
      <c r="J162" s="865"/>
      <c r="K162" s="865"/>
      <c r="L162" s="865"/>
    </row>
    <row r="163" spans="1:20" x14ac:dyDescent="0.25">
      <c r="A163" s="786" t="s">
        <v>156</v>
      </c>
      <c r="B163" s="50">
        <v>1</v>
      </c>
      <c r="C163" s="50" t="s">
        <v>2</v>
      </c>
      <c r="D163" s="775">
        <f>D141</f>
        <v>100771.8</v>
      </c>
      <c r="E163" s="879">
        <v>1</v>
      </c>
      <c r="F163" s="872">
        <v>32.0785833184555</v>
      </c>
      <c r="G163" s="872">
        <v>2.0949355960362914</v>
      </c>
      <c r="H163" s="873">
        <f>F163+G163</f>
        <v>34.173518914491794</v>
      </c>
      <c r="I163" s="775">
        <v>19204.2</v>
      </c>
      <c r="J163" s="879">
        <v>0</v>
      </c>
      <c r="K163" s="872">
        <v>0</v>
      </c>
      <c r="L163" s="872">
        <v>0.39923433116606183</v>
      </c>
      <c r="M163" s="873">
        <f>K163+L163</f>
        <v>0.39923433116606183</v>
      </c>
      <c r="N163" s="772">
        <f>N141</f>
        <v>126.32600000000001</v>
      </c>
      <c r="O163" s="777">
        <f t="shared" ref="O163:P178" si="65">$S163*(E163)/$D163*$N163</f>
        <v>1.253584832264582E-3</v>
      </c>
      <c r="P163" s="777">
        <f>$S163*((F163)/$D163*$N163)</f>
        <v>4.0213225488551455E-2</v>
      </c>
      <c r="Q163" s="777">
        <f t="shared" ref="Q163:R178" si="66">$S163*(G163)/$D163*$N163</f>
        <v>2.6261794877622566E-3</v>
      </c>
      <c r="R163" s="777">
        <f t="shared" si="66"/>
        <v>4.2839404976313715E-2</v>
      </c>
      <c r="S163" s="788">
        <f>IF($A$1="urban",'Calibration Data'!$R158,RuralCalibration!$R158)</f>
        <v>1</v>
      </c>
    </row>
    <row r="164" spans="1:20" x14ac:dyDescent="0.25">
      <c r="A164" s="786" t="s">
        <v>156</v>
      </c>
      <c r="B164" s="50">
        <v>1</v>
      </c>
      <c r="C164" s="50" t="s">
        <v>41</v>
      </c>
      <c r="D164" s="775">
        <f t="shared" ref="D164:D178" si="67">D142</f>
        <v>205830</v>
      </c>
      <c r="E164" s="880">
        <v>0.8</v>
      </c>
      <c r="F164" s="870">
        <v>26.468561129907101</v>
      </c>
      <c r="G164" s="870">
        <v>8.853344848236727</v>
      </c>
      <c r="H164" s="875">
        <f t="shared" ref="H164:H178" si="68">F164+G164</f>
        <v>35.321905978143832</v>
      </c>
      <c r="I164" s="775">
        <v>39373.4</v>
      </c>
      <c r="J164" s="880">
        <v>0</v>
      </c>
      <c r="K164" s="870">
        <v>0</v>
      </c>
      <c r="L164" s="870">
        <v>1.693564048231861</v>
      </c>
      <c r="M164" s="875">
        <f t="shared" ref="M164:M178" si="69">K164+L164</f>
        <v>1.693564048231861</v>
      </c>
      <c r="N164" s="772">
        <f t="shared" ref="N164:N178" si="70">N142</f>
        <v>267.42600000000004</v>
      </c>
      <c r="O164" s="777">
        <f t="shared" si="65"/>
        <v>1.0394053344993442E-3</v>
      </c>
      <c r="P164" s="777">
        <f t="shared" si="65"/>
        <v>3.4389454543684292E-2</v>
      </c>
      <c r="Q164" s="777">
        <f t="shared" si="66"/>
        <v>1.1502767329274426E-2</v>
      </c>
      <c r="R164" s="777">
        <f t="shared" si="66"/>
        <v>4.5892221872958723E-2</v>
      </c>
      <c r="S164" s="788">
        <f>IF($A$1="urban",'Calibration Data'!$R159,RuralCalibration!$R159)</f>
        <v>1</v>
      </c>
    </row>
    <row r="165" spans="1:20" x14ac:dyDescent="0.25">
      <c r="A165" s="786" t="s">
        <v>156</v>
      </c>
      <c r="B165" s="50">
        <v>1</v>
      </c>
      <c r="C165" s="50" t="s">
        <v>40</v>
      </c>
      <c r="D165" s="775">
        <f t="shared" si="67"/>
        <v>333948</v>
      </c>
      <c r="E165" s="880">
        <v>4.8</v>
      </c>
      <c r="F165" s="870">
        <v>142.55907112967401</v>
      </c>
      <c r="G165" s="870">
        <v>38.470911227169566</v>
      </c>
      <c r="H165" s="875">
        <f t="shared" si="68"/>
        <v>181.02998235684356</v>
      </c>
      <c r="I165" s="775">
        <v>59712.800000000003</v>
      </c>
      <c r="J165" s="880">
        <v>1.2</v>
      </c>
      <c r="K165" s="870">
        <v>35.321363459830799</v>
      </c>
      <c r="L165" s="870">
        <v>6.8789327318197167</v>
      </c>
      <c r="M165" s="875">
        <f t="shared" si="69"/>
        <v>42.200296191650516</v>
      </c>
      <c r="N165" s="772">
        <f t="shared" si="70"/>
        <v>408.11100000000005</v>
      </c>
      <c r="O165" s="777">
        <f t="shared" si="65"/>
        <v>5.8659815300585718E-3</v>
      </c>
      <c r="P165" s="777">
        <f t="shared" si="65"/>
        <v>0.1742185162893696</v>
      </c>
      <c r="Q165" s="777">
        <f t="shared" si="66"/>
        <v>4.7014511396479094E-2</v>
      </c>
      <c r="R165" s="777">
        <f t="shared" si="66"/>
        <v>0.22123302768584865</v>
      </c>
      <c r="S165" s="788">
        <f>IF($A$1="urban",'Calibration Data'!$R160,RuralCalibration!$R160)</f>
        <v>1</v>
      </c>
    </row>
    <row r="166" spans="1:20" x14ac:dyDescent="0.25">
      <c r="A166" s="786" t="s">
        <v>156</v>
      </c>
      <c r="B166" s="50">
        <v>1</v>
      </c>
      <c r="C166" s="50" t="s">
        <v>39</v>
      </c>
      <c r="D166" s="775">
        <f t="shared" si="67"/>
        <v>334802.40000000002</v>
      </c>
      <c r="E166" s="880">
        <v>7.8</v>
      </c>
      <c r="F166" s="870">
        <v>190.15000862296799</v>
      </c>
      <c r="G166" s="870">
        <v>50.402073025314152</v>
      </c>
      <c r="H166" s="875">
        <f t="shared" si="68"/>
        <v>240.55208164828213</v>
      </c>
      <c r="I166" s="775">
        <v>54951</v>
      </c>
      <c r="J166" s="880">
        <v>1</v>
      </c>
      <c r="K166" s="870">
        <v>25.384812265097999</v>
      </c>
      <c r="L166" s="870">
        <v>8.272474494848419</v>
      </c>
      <c r="M166" s="875">
        <f t="shared" si="69"/>
        <v>33.657286759946416</v>
      </c>
      <c r="N166" s="772">
        <f t="shared" si="70"/>
        <v>393.50300000000004</v>
      </c>
      <c r="O166" s="777">
        <f t="shared" si="65"/>
        <v>9.1675668991620125E-3</v>
      </c>
      <c r="P166" s="777">
        <f t="shared" si="65"/>
        <v>0.22348883652914009</v>
      </c>
      <c r="Q166" s="777">
        <f t="shared" si="66"/>
        <v>5.9239022604617518E-2</v>
      </c>
      <c r="R166" s="777">
        <f t="shared" si="66"/>
        <v>0.28272785913375759</v>
      </c>
      <c r="S166" s="788">
        <f>IF($A$1="urban",'Calibration Data'!$R161,RuralCalibration!$R161)</f>
        <v>1</v>
      </c>
    </row>
    <row r="167" spans="1:20" x14ac:dyDescent="0.25">
      <c r="A167" s="786" t="s">
        <v>156</v>
      </c>
      <c r="B167" s="50">
        <v>1</v>
      </c>
      <c r="C167" s="50" t="s">
        <v>38</v>
      </c>
      <c r="D167" s="775">
        <f t="shared" si="67"/>
        <v>324395.59999999998</v>
      </c>
      <c r="E167" s="880">
        <v>25</v>
      </c>
      <c r="F167" s="870">
        <v>427.901843669767</v>
      </c>
      <c r="G167" s="870">
        <v>47.855460848066571</v>
      </c>
      <c r="H167" s="875">
        <f t="shared" si="68"/>
        <v>475.75730451783357</v>
      </c>
      <c r="I167" s="775">
        <v>70272</v>
      </c>
      <c r="J167" s="880">
        <v>5.8</v>
      </c>
      <c r="K167" s="870">
        <v>98.1960371172501</v>
      </c>
      <c r="L167" s="870">
        <v>17.525900832144703</v>
      </c>
      <c r="M167" s="875">
        <f t="shared" si="69"/>
        <v>115.7219379493948</v>
      </c>
      <c r="N167" s="772">
        <f t="shared" si="70"/>
        <v>581.00000000000011</v>
      </c>
      <c r="O167" s="777">
        <f t="shared" si="65"/>
        <v>4.4775576487473948E-2</v>
      </c>
      <c r="P167" s="777">
        <f t="shared" si="65"/>
        <v>0.766382069214671</v>
      </c>
      <c r="Q167" s="777">
        <f t="shared" si="66"/>
        <v>8.5710233901836783E-2</v>
      </c>
      <c r="R167" s="777">
        <f t="shared" si="66"/>
        <v>0.85209230311650774</v>
      </c>
      <c r="S167" s="788">
        <f>IF($A$1="urban",'Calibration Data'!$R162,RuralCalibration!$R162)</f>
        <v>1</v>
      </c>
    </row>
    <row r="168" spans="1:20" x14ac:dyDescent="0.25">
      <c r="A168" s="786" t="s">
        <v>156</v>
      </c>
      <c r="B168" s="50">
        <v>1</v>
      </c>
      <c r="C168" s="50" t="s">
        <v>37</v>
      </c>
      <c r="D168" s="775">
        <f t="shared" si="67"/>
        <v>163949.4</v>
      </c>
      <c r="E168" s="880">
        <v>25.4</v>
      </c>
      <c r="F168" s="870">
        <v>287.90297627416498</v>
      </c>
      <c r="G168" s="870">
        <v>36.579164127059293</v>
      </c>
      <c r="H168" s="875">
        <f t="shared" si="68"/>
        <v>324.48214040122429</v>
      </c>
      <c r="I168" s="775">
        <v>44455</v>
      </c>
      <c r="J168" s="880">
        <v>9.1999999999999993</v>
      </c>
      <c r="K168" s="870">
        <v>103.80098557909299</v>
      </c>
      <c r="L168" s="870">
        <v>17.139166912358586</v>
      </c>
      <c r="M168" s="875">
        <f t="shared" si="69"/>
        <v>120.94015249145158</v>
      </c>
      <c r="N168" s="772">
        <f t="shared" si="70"/>
        <v>422.47000000000008</v>
      </c>
      <c r="O168" s="777">
        <f t="shared" si="65"/>
        <v>6.5451523457847369E-2</v>
      </c>
      <c r="P168" s="777">
        <f t="shared" si="65"/>
        <v>0.74187749626742461</v>
      </c>
      <c r="Q168" s="777">
        <f t="shared" si="66"/>
        <v>9.4258347201994899E-2</v>
      </c>
      <c r="R168" s="777">
        <f t="shared" si="66"/>
        <v>0.83613584346941949</v>
      </c>
      <c r="S168" s="788">
        <f>IF($A$1="urban",'Calibration Data'!$R163,RuralCalibration!$R163)</f>
        <v>1</v>
      </c>
    </row>
    <row r="169" spans="1:20" x14ac:dyDescent="0.25">
      <c r="A169" s="786" t="s">
        <v>156</v>
      </c>
      <c r="B169" s="50">
        <v>1</v>
      </c>
      <c r="C169" s="50" t="s">
        <v>36</v>
      </c>
      <c r="D169" s="775">
        <f t="shared" si="67"/>
        <v>78168.399999999994</v>
      </c>
      <c r="E169" s="880">
        <v>28.2</v>
      </c>
      <c r="F169" s="870">
        <v>191.18067269948</v>
      </c>
      <c r="G169" s="870">
        <v>27.444106226788499</v>
      </c>
      <c r="H169" s="875">
        <f t="shared" si="68"/>
        <v>218.6247789262685</v>
      </c>
      <c r="I169" s="775">
        <v>25872.400000000001</v>
      </c>
      <c r="J169" s="880">
        <v>9.8000000000000007</v>
      </c>
      <c r="K169" s="870">
        <v>66.985025414279903</v>
      </c>
      <c r="L169" s="870">
        <v>15.322619846762075</v>
      </c>
      <c r="M169" s="875">
        <f t="shared" si="69"/>
        <v>82.307645261041984</v>
      </c>
      <c r="N169" s="772">
        <f t="shared" si="70"/>
        <v>272.24</v>
      </c>
      <c r="O169" s="777">
        <f t="shared" si="65"/>
        <v>9.8213191008131168E-2</v>
      </c>
      <c r="P169" s="777">
        <f t="shared" si="65"/>
        <v>0.66583205407436308</v>
      </c>
      <c r="Q169" s="777">
        <f t="shared" si="66"/>
        <v>9.5580611592163869E-2</v>
      </c>
      <c r="R169" s="777">
        <f t="shared" si="66"/>
        <v>0.76141266566652688</v>
      </c>
      <c r="S169" s="788">
        <f>IF($A$1="urban",'Calibration Data'!$R164,RuralCalibration!$R164)</f>
        <v>1</v>
      </c>
    </row>
    <row r="170" spans="1:20" x14ac:dyDescent="0.25">
      <c r="A170" s="786" t="s">
        <v>156</v>
      </c>
      <c r="B170" s="50">
        <v>1</v>
      </c>
      <c r="C170" s="50" t="s">
        <v>35</v>
      </c>
      <c r="D170" s="775">
        <f t="shared" si="67"/>
        <v>45490.6</v>
      </c>
      <c r="E170" s="880">
        <v>54.2</v>
      </c>
      <c r="F170" s="870">
        <v>166.78047935187499</v>
      </c>
      <c r="G170" s="870">
        <v>28.140413563085325</v>
      </c>
      <c r="H170" s="875">
        <f t="shared" si="68"/>
        <v>194.92089291496032</v>
      </c>
      <c r="I170" s="775">
        <v>13268.2</v>
      </c>
      <c r="J170" s="880">
        <v>16</v>
      </c>
      <c r="K170" s="870">
        <v>50.076351085742701</v>
      </c>
      <c r="L170" s="870">
        <v>8.3071331551543395</v>
      </c>
      <c r="M170" s="875">
        <f t="shared" si="69"/>
        <v>58.38348424089704</v>
      </c>
      <c r="N170" s="772">
        <f t="shared" si="70"/>
        <v>161.76700000000002</v>
      </c>
      <c r="O170" s="777">
        <f t="shared" si="65"/>
        <v>0.1863213411770421</v>
      </c>
      <c r="P170" s="777">
        <f t="shared" si="65"/>
        <v>0.57333510322862213</v>
      </c>
      <c r="Q170" s="777">
        <f t="shared" si="66"/>
        <v>9.6737261925289336E-2</v>
      </c>
      <c r="R170" s="777">
        <f t="shared" si="66"/>
        <v>0.67007236515391144</v>
      </c>
      <c r="S170" s="788">
        <f>IF($A$1="urban",'Calibration Data'!$R165,RuralCalibration!$R165)</f>
        <v>0.96670741243873537</v>
      </c>
      <c r="T170" s="784"/>
    </row>
    <row r="171" spans="1:20" x14ac:dyDescent="0.25">
      <c r="A171" s="786" t="s">
        <v>156</v>
      </c>
      <c r="B171" s="50">
        <v>2</v>
      </c>
      <c r="C171" s="50" t="s">
        <v>2</v>
      </c>
      <c r="D171" s="775">
        <f t="shared" si="67"/>
        <v>95879.4</v>
      </c>
      <c r="E171" s="880">
        <v>0</v>
      </c>
      <c r="F171" s="870">
        <v>0</v>
      </c>
      <c r="G171" s="870">
        <v>0.92517622191463511</v>
      </c>
      <c r="H171" s="875">
        <f t="shared" si="68"/>
        <v>0.92517622191463511</v>
      </c>
      <c r="I171" s="775">
        <v>18432</v>
      </c>
      <c r="J171" s="880">
        <v>0</v>
      </c>
      <c r="K171" s="870">
        <v>0</v>
      </c>
      <c r="L171" s="870">
        <v>0.17785726780028407</v>
      </c>
      <c r="M171" s="875">
        <f t="shared" si="69"/>
        <v>0.17785726780028407</v>
      </c>
      <c r="N171" s="772">
        <f t="shared" si="70"/>
        <v>130.55900000000003</v>
      </c>
      <c r="O171" s="777">
        <f t="shared" si="65"/>
        <v>0</v>
      </c>
      <c r="P171" s="777">
        <f t="shared" si="65"/>
        <v>0</v>
      </c>
      <c r="Q171" s="777">
        <f t="shared" si="66"/>
        <v>1.2598126642110075E-3</v>
      </c>
      <c r="R171" s="777">
        <f t="shared" si="66"/>
        <v>1.2598126642110075E-3</v>
      </c>
      <c r="S171" s="788">
        <f>IF($A$1="urban",'Calibration Data'!$R150,RuralCalibration!$R150)</f>
        <v>1</v>
      </c>
    </row>
    <row r="172" spans="1:20" x14ac:dyDescent="0.25">
      <c r="A172" s="786" t="s">
        <v>156</v>
      </c>
      <c r="B172" s="50">
        <v>2</v>
      </c>
      <c r="C172" s="50" t="s">
        <v>41</v>
      </c>
      <c r="D172" s="775">
        <f t="shared" si="67"/>
        <v>196469.6</v>
      </c>
      <c r="E172" s="880">
        <v>0.4</v>
      </c>
      <c r="F172" s="870">
        <v>13.3988471315142</v>
      </c>
      <c r="G172" s="870">
        <v>3.6524620913249879</v>
      </c>
      <c r="H172" s="875">
        <f t="shared" si="68"/>
        <v>17.051309222839187</v>
      </c>
      <c r="I172" s="775">
        <v>37956.6</v>
      </c>
      <c r="J172" s="880">
        <v>0</v>
      </c>
      <c r="K172" s="870">
        <v>0</v>
      </c>
      <c r="L172" s="870">
        <v>0.70563101169639486</v>
      </c>
      <c r="M172" s="875">
        <f t="shared" si="69"/>
        <v>0.70563101169639486</v>
      </c>
      <c r="N172" s="772">
        <f t="shared" si="70"/>
        <v>274.73000000000008</v>
      </c>
      <c r="O172" s="777">
        <f t="shared" si="65"/>
        <v>5.5933335233542512E-4</v>
      </c>
      <c r="P172" s="777">
        <f t="shared" si="65"/>
        <v>1.8736055208749332E-2</v>
      </c>
      <c r="Q172" s="777">
        <f t="shared" si="66"/>
        <v>5.1073596645471574E-3</v>
      </c>
      <c r="R172" s="777">
        <f t="shared" si="66"/>
        <v>2.3843414873296484E-2</v>
      </c>
      <c r="S172" s="788">
        <f>IF($A$1="urban",'Calibration Data'!$R151,RuralCalibration!$R151)</f>
        <v>1</v>
      </c>
    </row>
    <row r="173" spans="1:20" x14ac:dyDescent="0.25">
      <c r="A173" s="786" t="s">
        <v>156</v>
      </c>
      <c r="B173" s="50">
        <v>2</v>
      </c>
      <c r="C173" s="50" t="s">
        <v>40</v>
      </c>
      <c r="D173" s="775">
        <f t="shared" si="67"/>
        <v>327420</v>
      </c>
      <c r="E173" s="880">
        <v>1</v>
      </c>
      <c r="F173" s="870">
        <v>30.276086912159599</v>
      </c>
      <c r="G173" s="870">
        <v>16.487052030526872</v>
      </c>
      <c r="H173" s="875">
        <f t="shared" si="68"/>
        <v>46.763138942686467</v>
      </c>
      <c r="I173" s="775">
        <v>53626</v>
      </c>
      <c r="J173" s="880">
        <v>0.2</v>
      </c>
      <c r="K173" s="870">
        <v>5.8473191765868204</v>
      </c>
      <c r="L173" s="870">
        <v>2.7003074100208719</v>
      </c>
      <c r="M173" s="875">
        <f t="shared" si="69"/>
        <v>8.5476265866076915</v>
      </c>
      <c r="N173" s="772">
        <f t="shared" si="70"/>
        <v>418.07100000000008</v>
      </c>
      <c r="O173" s="777">
        <f t="shared" si="65"/>
        <v>1.2768645776067439E-3</v>
      </c>
      <c r="P173" s="777">
        <f t="shared" si="65"/>
        <v>3.8658462926679737E-2</v>
      </c>
      <c r="Q173" s="777">
        <f t="shared" si="66"/>
        <v>2.1051732726939103E-2</v>
      </c>
      <c r="R173" s="777">
        <f t="shared" si="66"/>
        <v>5.9710195653618826E-2</v>
      </c>
      <c r="S173" s="788">
        <f>IF($A$1="urban",'Calibration Data'!$R152,RuralCalibration!$R152)</f>
        <v>1</v>
      </c>
    </row>
    <row r="174" spans="1:20" x14ac:dyDescent="0.25">
      <c r="A174" s="786" t="s">
        <v>156</v>
      </c>
      <c r="B174" s="50">
        <v>2</v>
      </c>
      <c r="C174" s="50" t="s">
        <v>39</v>
      </c>
      <c r="D174" s="775">
        <f t="shared" si="67"/>
        <v>327918</v>
      </c>
      <c r="E174" s="880">
        <v>2.2000000000000002</v>
      </c>
      <c r="F174" s="870">
        <v>54.210868884698101</v>
      </c>
      <c r="G174" s="870">
        <v>26.24856934882726</v>
      </c>
      <c r="H174" s="875">
        <f t="shared" si="68"/>
        <v>80.459438233525361</v>
      </c>
      <c r="I174" s="775">
        <v>51801</v>
      </c>
      <c r="J174" s="880">
        <v>0.6</v>
      </c>
      <c r="K174" s="870">
        <v>13.7046477960576</v>
      </c>
      <c r="L174" s="870">
        <v>4.1464699737086734</v>
      </c>
      <c r="M174" s="875">
        <f t="shared" si="69"/>
        <v>17.851117769766272</v>
      </c>
      <c r="N174" s="772">
        <f t="shared" si="70"/>
        <v>405.04</v>
      </c>
      <c r="O174" s="777">
        <f t="shared" si="65"/>
        <v>2.7174110600820937E-3</v>
      </c>
      <c r="P174" s="777">
        <f t="shared" si="65"/>
        <v>6.6960552129063114E-2</v>
      </c>
      <c r="Q174" s="777">
        <f t="shared" si="66"/>
        <v>3.242188757265229E-2</v>
      </c>
      <c r="R174" s="777">
        <f t="shared" si="66"/>
        <v>9.9382439701715425E-2</v>
      </c>
      <c r="S174" s="788">
        <f>IF($A$1="urban",'Calibration Data'!$R153,RuralCalibration!$R153)</f>
        <v>1</v>
      </c>
    </row>
    <row r="175" spans="1:20" x14ac:dyDescent="0.25">
      <c r="A175" s="786" t="s">
        <v>156</v>
      </c>
      <c r="B175" s="50">
        <v>2</v>
      </c>
      <c r="C175" s="50" t="s">
        <v>38</v>
      </c>
      <c r="D175" s="775">
        <f t="shared" si="67"/>
        <v>337487.2</v>
      </c>
      <c r="E175" s="880">
        <v>12</v>
      </c>
      <c r="F175" s="870">
        <v>215.532980210669</v>
      </c>
      <c r="G175" s="870">
        <v>34.005251240845531</v>
      </c>
      <c r="H175" s="875">
        <f t="shared" si="68"/>
        <v>249.53823145151452</v>
      </c>
      <c r="I175" s="775">
        <v>71962</v>
      </c>
      <c r="J175" s="880">
        <v>2.2000000000000002</v>
      </c>
      <c r="K175" s="870">
        <v>40.188333037559701</v>
      </c>
      <c r="L175" s="870">
        <v>10.907789316366957</v>
      </c>
      <c r="M175" s="875">
        <f t="shared" si="69"/>
        <v>51.09612235392666</v>
      </c>
      <c r="N175" s="772">
        <f t="shared" si="70"/>
        <v>543.15200000000004</v>
      </c>
      <c r="O175" s="777">
        <f t="shared" si="65"/>
        <v>1.9312803567068621E-2</v>
      </c>
      <c r="P175" s="777">
        <f t="shared" si="65"/>
        <v>0.34687884241946154</v>
      </c>
      <c r="Q175" s="777">
        <f t="shared" si="66"/>
        <v>5.4728061455272176E-2</v>
      </c>
      <c r="R175" s="777">
        <f t="shared" si="66"/>
        <v>0.40160690387473369</v>
      </c>
      <c r="S175" s="788">
        <f>IF($A$1="urban",'Calibration Data'!$R154,RuralCalibration!$R154)</f>
        <v>1</v>
      </c>
    </row>
    <row r="176" spans="1:20" x14ac:dyDescent="0.25">
      <c r="A176" s="786" t="s">
        <v>156</v>
      </c>
      <c r="B176" s="50">
        <v>2</v>
      </c>
      <c r="C176" s="50" t="s">
        <v>37</v>
      </c>
      <c r="D176" s="775">
        <f t="shared" si="67"/>
        <v>176202.8</v>
      </c>
      <c r="E176" s="880">
        <v>14.6</v>
      </c>
      <c r="F176" s="870">
        <v>176.97030256629299</v>
      </c>
      <c r="G176" s="870">
        <v>30.098080245382288</v>
      </c>
      <c r="H176" s="875">
        <f t="shared" si="68"/>
        <v>207.06838281167526</v>
      </c>
      <c r="I176" s="775">
        <v>45270.8</v>
      </c>
      <c r="J176" s="880">
        <v>3.8</v>
      </c>
      <c r="K176" s="870">
        <v>46.6429254621276</v>
      </c>
      <c r="L176" s="870">
        <v>11.649819721023238</v>
      </c>
      <c r="M176" s="875">
        <f t="shared" si="69"/>
        <v>58.292745183150842</v>
      </c>
      <c r="N176" s="772">
        <f t="shared" si="70"/>
        <v>399.14700000000005</v>
      </c>
      <c r="O176" s="777">
        <f t="shared" si="65"/>
        <v>3.3072948897520361E-2</v>
      </c>
      <c r="P176" s="777">
        <f t="shared" si="65"/>
        <v>0.40088560090094</v>
      </c>
      <c r="Q176" s="777">
        <f t="shared" si="66"/>
        <v>6.818029245678052E-2</v>
      </c>
      <c r="R176" s="777">
        <f t="shared" si="66"/>
        <v>0.46906589335772053</v>
      </c>
      <c r="S176" s="788">
        <f>IF($A$1="urban",'Calibration Data'!$R155,RuralCalibration!$R155)</f>
        <v>1</v>
      </c>
    </row>
    <row r="177" spans="1:20" x14ac:dyDescent="0.25">
      <c r="A177" s="786" t="s">
        <v>156</v>
      </c>
      <c r="B177" s="50">
        <v>2</v>
      </c>
      <c r="C177" s="50" t="s">
        <v>36</v>
      </c>
      <c r="D177" s="775">
        <f t="shared" si="67"/>
        <v>91991</v>
      </c>
      <c r="E177" s="880">
        <v>20.399999999999999</v>
      </c>
      <c r="F177" s="870">
        <v>157.75047174286701</v>
      </c>
      <c r="G177" s="870">
        <v>24.760663206900546</v>
      </c>
      <c r="H177" s="875">
        <f t="shared" si="68"/>
        <v>182.51113494976755</v>
      </c>
      <c r="I177" s="775">
        <v>27046</v>
      </c>
      <c r="J177" s="880">
        <v>5.4</v>
      </c>
      <c r="K177" s="870">
        <v>40.614475865960102</v>
      </c>
      <c r="L177" s="870">
        <v>10.054379488704035</v>
      </c>
      <c r="M177" s="875">
        <f t="shared" si="69"/>
        <v>50.668855354664139</v>
      </c>
      <c r="N177" s="772">
        <f t="shared" si="70"/>
        <v>257.71500000000003</v>
      </c>
      <c r="O177" s="777">
        <f t="shared" si="65"/>
        <v>5.7151090867584874E-2</v>
      </c>
      <c r="P177" s="777">
        <f t="shared" si="65"/>
        <v>0.44194174240102813</v>
      </c>
      <c r="Q177" s="777">
        <f t="shared" si="66"/>
        <v>6.9367593768590141E-2</v>
      </c>
      <c r="R177" s="777">
        <f t="shared" si="66"/>
        <v>0.51130933616961816</v>
      </c>
      <c r="S177" s="788">
        <f>IF($A$1="urban",'Calibration Data'!$R156,RuralCalibration!$R156)</f>
        <v>1</v>
      </c>
    </row>
    <row r="178" spans="1:20" ht="15.75" thickBot="1" x14ac:dyDescent="0.3">
      <c r="A178" s="786" t="s">
        <v>156</v>
      </c>
      <c r="B178" s="50">
        <v>2</v>
      </c>
      <c r="C178" s="50" t="s">
        <v>35</v>
      </c>
      <c r="D178" s="775">
        <f t="shared" si="67"/>
        <v>76048.800000000003</v>
      </c>
      <c r="E178" s="881">
        <v>70</v>
      </c>
      <c r="F178" s="877">
        <v>230.207899496366</v>
      </c>
      <c r="G178" s="877">
        <v>34.289981341119244</v>
      </c>
      <c r="H178" s="878">
        <f t="shared" si="68"/>
        <v>264.49788083748524</v>
      </c>
      <c r="I178" s="775">
        <v>18745.8</v>
      </c>
      <c r="J178" s="881">
        <v>15</v>
      </c>
      <c r="K178" s="877">
        <v>50.4339919351522</v>
      </c>
      <c r="L178" s="877">
        <v>7.3478531445255522</v>
      </c>
      <c r="M178" s="878">
        <f t="shared" si="69"/>
        <v>57.781845079677751</v>
      </c>
      <c r="N178" s="772">
        <f t="shared" si="70"/>
        <v>130.97400000000002</v>
      </c>
      <c r="O178" s="777">
        <f t="shared" si="65"/>
        <v>0.1069486991873588</v>
      </c>
      <c r="P178" s="777">
        <f t="shared" si="65"/>
        <v>0.35172050562557972</v>
      </c>
      <c r="Q178" s="777">
        <f t="shared" si="66"/>
        <v>5.2389555708450122E-2</v>
      </c>
      <c r="R178" s="777">
        <f t="shared" si="66"/>
        <v>0.40411006133402982</v>
      </c>
      <c r="S178" s="788">
        <f>IF($A$1="urban",'Calibration Data'!$R157,RuralCalibration!$R157)</f>
        <v>0.88712484209075437</v>
      </c>
    </row>
    <row r="179" spans="1:20" x14ac:dyDescent="0.25">
      <c r="D179" s="775">
        <f t="shared" ref="D179:R179" si="71">SUM(D163:D178)</f>
        <v>3216773</v>
      </c>
      <c r="E179" s="779">
        <f t="shared" si="71"/>
        <v>267.79999999999995</v>
      </c>
      <c r="F179" s="779">
        <f t="shared" si="71"/>
        <v>2343.3696531408582</v>
      </c>
      <c r="G179" s="779">
        <f t="shared" si="71"/>
        <v>410.30764518859775</v>
      </c>
      <c r="H179" s="780">
        <f t="shared" si="71"/>
        <v>2753.6772983294563</v>
      </c>
      <c r="I179" s="775">
        <f t="shared" si="71"/>
        <v>651949.20000000019</v>
      </c>
      <c r="J179" s="779">
        <f t="shared" si="71"/>
        <v>70.2</v>
      </c>
      <c r="K179" s="779">
        <f t="shared" si="71"/>
        <v>577.19626819473854</v>
      </c>
      <c r="L179" s="779">
        <f t="shared" si="71"/>
        <v>123.22913368633176</v>
      </c>
      <c r="M179" s="780">
        <f t="shared" si="71"/>
        <v>700.42540188107034</v>
      </c>
      <c r="N179" s="779">
        <f t="shared" si="71"/>
        <v>5192.2310000000007</v>
      </c>
      <c r="O179" s="782">
        <f t="shared" si="71"/>
        <v>0.63312732223603607</v>
      </c>
      <c r="P179" s="782">
        <f t="shared" si="71"/>
        <v>4.8855185172473279</v>
      </c>
      <c r="Q179" s="782">
        <f t="shared" si="71"/>
        <v>0.79717523145686064</v>
      </c>
      <c r="R179" s="782">
        <f t="shared" si="71"/>
        <v>5.682693748704188</v>
      </c>
      <c r="S179" s="592"/>
    </row>
    <row r="180" spans="1:20" ht="15.75" thickBot="1" x14ac:dyDescent="0.3">
      <c r="I180" s="864"/>
      <c r="J180" s="865"/>
      <c r="K180" s="865"/>
      <c r="L180" s="865"/>
    </row>
    <row r="181" spans="1:20" x14ac:dyDescent="0.25">
      <c r="A181" s="786" t="s">
        <v>157</v>
      </c>
      <c r="B181" s="50">
        <v>1</v>
      </c>
      <c r="C181" s="50" t="s">
        <v>2</v>
      </c>
      <c r="D181" s="775">
        <f>D163</f>
        <v>100771.8</v>
      </c>
      <c r="E181" s="879">
        <v>0.4</v>
      </c>
      <c r="F181" s="872">
        <v>13.0542021792197</v>
      </c>
      <c r="G181" s="872">
        <v>186.87902670757478</v>
      </c>
      <c r="H181" s="873">
        <f>F181+G181</f>
        <v>199.9332288867945</v>
      </c>
      <c r="I181" s="775">
        <v>19204.2</v>
      </c>
      <c r="J181" s="879">
        <v>0</v>
      </c>
      <c r="K181" s="872">
        <v>0</v>
      </c>
      <c r="L181" s="872">
        <v>35.613755085228284</v>
      </c>
      <c r="M181" s="873">
        <f>K181+L181</f>
        <v>35.613755085228284</v>
      </c>
      <c r="N181" s="772">
        <f>N163</f>
        <v>126.32600000000001</v>
      </c>
      <c r="O181" s="777">
        <f t="shared" ref="O181:P196" si="72">$S181*(E181)/$D181*$N181</f>
        <v>5.0143393290583279E-4</v>
      </c>
      <c r="P181" s="777">
        <f>$S181*((F181)/$D181*$N181)</f>
        <v>1.6364549849185069E-2</v>
      </c>
      <c r="Q181" s="777">
        <f t="shared" ref="Q181:R196" si="73">$S181*(G181)/$D181*$N181</f>
        <v>0.23426871334898347</v>
      </c>
      <c r="R181" s="777">
        <f t="shared" si="73"/>
        <v>0.25063326319816853</v>
      </c>
      <c r="S181" s="788">
        <f>IF($A$1="urban",'Calibration Data'!$R190,RuralCalibration!$R190)</f>
        <v>1</v>
      </c>
    </row>
    <row r="182" spans="1:20" x14ac:dyDescent="0.25">
      <c r="A182" s="786" t="s">
        <v>157</v>
      </c>
      <c r="B182" s="50">
        <v>1</v>
      </c>
      <c r="C182" s="50" t="s">
        <v>41</v>
      </c>
      <c r="D182" s="775">
        <f t="shared" ref="D182:D196" si="74">D164</f>
        <v>205830</v>
      </c>
      <c r="E182" s="880">
        <v>0.2</v>
      </c>
      <c r="F182" s="870">
        <v>6.6787775322638696</v>
      </c>
      <c r="G182" s="870">
        <v>1713.0211119071034</v>
      </c>
      <c r="H182" s="875">
        <f t="shared" ref="H182:H196" si="75">F182+G182</f>
        <v>1719.6998894393673</v>
      </c>
      <c r="I182" s="775">
        <v>39373.4</v>
      </c>
      <c r="J182" s="880">
        <v>0</v>
      </c>
      <c r="K182" s="870">
        <v>0</v>
      </c>
      <c r="L182" s="870">
        <v>327.685300721776</v>
      </c>
      <c r="M182" s="875">
        <f t="shared" ref="M182:M196" si="76">K182+L182</f>
        <v>327.685300721776</v>
      </c>
      <c r="N182" s="772">
        <f t="shared" ref="N182:N196" si="77">N164</f>
        <v>267.42600000000004</v>
      </c>
      <c r="O182" s="777">
        <f t="shared" si="72"/>
        <v>2.5985133362483605E-4</v>
      </c>
      <c r="P182" s="777">
        <f t="shared" si="72"/>
        <v>8.6774462437117922E-3</v>
      </c>
      <c r="Q182" s="777">
        <f t="shared" si="73"/>
        <v>2.2256541022828018</v>
      </c>
      <c r="R182" s="777">
        <f t="shared" si="73"/>
        <v>2.2343315485265141</v>
      </c>
      <c r="S182" s="788">
        <f>IF($A$1="urban",'Calibration Data'!$R191,RuralCalibration!$R191)</f>
        <v>1</v>
      </c>
    </row>
    <row r="183" spans="1:20" x14ac:dyDescent="0.25">
      <c r="A183" s="786" t="s">
        <v>157</v>
      </c>
      <c r="B183" s="50">
        <v>1</v>
      </c>
      <c r="C183" s="50" t="s">
        <v>40</v>
      </c>
      <c r="D183" s="775">
        <f t="shared" si="74"/>
        <v>333948</v>
      </c>
      <c r="E183" s="880">
        <v>0.4</v>
      </c>
      <c r="F183" s="870">
        <v>11.531365550954201</v>
      </c>
      <c r="G183" s="870">
        <v>2145.2405468430075</v>
      </c>
      <c r="H183" s="875">
        <f t="shared" si="75"/>
        <v>2156.7719123939614</v>
      </c>
      <c r="I183" s="775">
        <v>59712.800000000003</v>
      </c>
      <c r="J183" s="880">
        <v>0.4</v>
      </c>
      <c r="K183" s="870">
        <v>11.8949989544383</v>
      </c>
      <c r="L183" s="870">
        <v>383.58762359866546</v>
      </c>
      <c r="M183" s="875">
        <f t="shared" si="76"/>
        <v>395.48262255310374</v>
      </c>
      <c r="N183" s="772">
        <f t="shared" si="77"/>
        <v>408.11100000000005</v>
      </c>
      <c r="O183" s="777">
        <f t="shared" si="72"/>
        <v>4.8883179417154776E-4</v>
      </c>
      <c r="P183" s="777">
        <f t="shared" si="72"/>
        <v>1.4092245278802299E-2</v>
      </c>
      <c r="Q183" s="777">
        <f t="shared" si="73"/>
        <v>2.6216544636070487</v>
      </c>
      <c r="R183" s="777">
        <f t="shared" si="73"/>
        <v>2.6357467088858511</v>
      </c>
      <c r="S183" s="788">
        <f>IF($A$1="urban",'Calibration Data'!$R192,RuralCalibration!$R192)</f>
        <v>1</v>
      </c>
    </row>
    <row r="184" spans="1:20" x14ac:dyDescent="0.25">
      <c r="A184" s="786" t="s">
        <v>157</v>
      </c>
      <c r="B184" s="50">
        <v>1</v>
      </c>
      <c r="C184" s="50" t="s">
        <v>39</v>
      </c>
      <c r="D184" s="775">
        <f t="shared" si="74"/>
        <v>334802.40000000002</v>
      </c>
      <c r="E184" s="880">
        <v>3.2</v>
      </c>
      <c r="F184" s="870">
        <v>75.671981014562206</v>
      </c>
      <c r="G184" s="870">
        <v>2480.2367377457608</v>
      </c>
      <c r="H184" s="875">
        <f t="shared" si="75"/>
        <v>2555.9087187603232</v>
      </c>
      <c r="I184" s="775">
        <v>54951</v>
      </c>
      <c r="J184" s="880">
        <v>0.2</v>
      </c>
      <c r="K184" s="870">
        <v>4.9082372257438998</v>
      </c>
      <c r="L184" s="870">
        <v>407.0803822668754</v>
      </c>
      <c r="M184" s="875">
        <f t="shared" si="76"/>
        <v>411.98861949261931</v>
      </c>
      <c r="N184" s="772">
        <f t="shared" si="77"/>
        <v>393.50300000000004</v>
      </c>
      <c r="O184" s="777">
        <f t="shared" si="72"/>
        <v>9.1573316480976469E-2</v>
      </c>
      <c r="P184" s="777">
        <f t="shared" si="72"/>
        <v>2.1654794581840457</v>
      </c>
      <c r="Q184" s="777">
        <f t="shared" si="73"/>
        <v>70.976094916667861</v>
      </c>
      <c r="R184" s="777">
        <f t="shared" si="73"/>
        <v>73.141574374851913</v>
      </c>
      <c r="S184" s="788">
        <f>IF($A$1="urban",'Calibration Data'!$R193,RuralCalibration!$R193)</f>
        <v>24.347786209532131</v>
      </c>
    </row>
    <row r="185" spans="1:20" x14ac:dyDescent="0.25">
      <c r="A185" s="786" t="s">
        <v>157</v>
      </c>
      <c r="B185" s="50">
        <v>1</v>
      </c>
      <c r="C185" s="50" t="s">
        <v>38</v>
      </c>
      <c r="D185" s="775">
        <f t="shared" si="74"/>
        <v>324395.59999999998</v>
      </c>
      <c r="E185" s="880">
        <v>49.4</v>
      </c>
      <c r="F185" s="870">
        <v>795.83809171181099</v>
      </c>
      <c r="G185" s="870">
        <v>1894.2496027060927</v>
      </c>
      <c r="H185" s="875">
        <f t="shared" si="75"/>
        <v>2690.0876944179035</v>
      </c>
      <c r="I185" s="775">
        <v>70272</v>
      </c>
      <c r="J185" s="880">
        <v>18.600000000000001</v>
      </c>
      <c r="K185" s="870">
        <v>299.91022771897099</v>
      </c>
      <c r="L185" s="870">
        <v>713.2194860391362</v>
      </c>
      <c r="M185" s="875">
        <f t="shared" si="76"/>
        <v>1013.1297137581072</v>
      </c>
      <c r="N185" s="772">
        <f t="shared" si="77"/>
        <v>581.00000000000011</v>
      </c>
      <c r="O185" s="777">
        <f t="shared" si="72"/>
        <v>8.8476539139248522E-2</v>
      </c>
      <c r="P185" s="777">
        <f t="shared" si="72"/>
        <v>1.4253643738835</v>
      </c>
      <c r="Q185" s="777">
        <f t="shared" si="73"/>
        <v>3.3926447188933517</v>
      </c>
      <c r="R185" s="777">
        <f t="shared" si="73"/>
        <v>4.818009092776852</v>
      </c>
      <c r="S185" s="788">
        <f>IF($A$1="urban",'Calibration Data'!$R194,RuralCalibration!$R194)</f>
        <v>1</v>
      </c>
    </row>
    <row r="186" spans="1:20" x14ac:dyDescent="0.25">
      <c r="A186" s="786" t="s">
        <v>157</v>
      </c>
      <c r="B186" s="50">
        <v>1</v>
      </c>
      <c r="C186" s="50" t="s">
        <v>37</v>
      </c>
      <c r="D186" s="775">
        <f t="shared" si="74"/>
        <v>163949.4</v>
      </c>
      <c r="E186" s="880">
        <v>126.4</v>
      </c>
      <c r="F186" s="870">
        <v>1389.5810871707599</v>
      </c>
      <c r="G186" s="870">
        <v>1501.2179639588726</v>
      </c>
      <c r="H186" s="875">
        <f t="shared" si="75"/>
        <v>2890.7990511296325</v>
      </c>
      <c r="I186" s="775">
        <v>44455</v>
      </c>
      <c r="J186" s="880">
        <v>43.8</v>
      </c>
      <c r="K186" s="870">
        <v>483.92175884820398</v>
      </c>
      <c r="L186" s="870">
        <v>520.2005286503055</v>
      </c>
      <c r="M186" s="875">
        <f t="shared" si="76"/>
        <v>1004.1222874985094</v>
      </c>
      <c r="N186" s="772">
        <f t="shared" si="77"/>
        <v>422.47000000000008</v>
      </c>
      <c r="O186" s="777">
        <f t="shared" si="72"/>
        <v>0.31640832991988588</v>
      </c>
      <c r="P186" s="777">
        <f t="shared" si="72"/>
        <v>3.478441701581958</v>
      </c>
      <c r="Q186" s="777">
        <f t="shared" si="73"/>
        <v>3.7578945318192902</v>
      </c>
      <c r="R186" s="777">
        <f t="shared" si="73"/>
        <v>7.2363362334012473</v>
      </c>
      <c r="S186" s="788">
        <f>IF($A$1="urban",'Calibration Data'!$R195,RuralCalibration!$R195)</f>
        <v>0.97143733682399369</v>
      </c>
    </row>
    <row r="187" spans="1:20" x14ac:dyDescent="0.25">
      <c r="A187" s="786" t="s">
        <v>157</v>
      </c>
      <c r="B187" s="50">
        <v>1</v>
      </c>
      <c r="C187" s="50" t="s">
        <v>36</v>
      </c>
      <c r="D187" s="775">
        <f t="shared" si="74"/>
        <v>78168.399999999994</v>
      </c>
      <c r="E187" s="880">
        <v>202.4</v>
      </c>
      <c r="F187" s="870">
        <v>1381.24955342574</v>
      </c>
      <c r="G187" s="870">
        <v>954.72698442882142</v>
      </c>
      <c r="H187" s="875">
        <f t="shared" si="75"/>
        <v>2335.9765378545617</v>
      </c>
      <c r="I187" s="775">
        <v>25872.400000000001</v>
      </c>
      <c r="J187" s="880">
        <v>82.4</v>
      </c>
      <c r="K187" s="870">
        <v>552.84796360481596</v>
      </c>
      <c r="L187" s="870">
        <v>388.68331777141742</v>
      </c>
      <c r="M187" s="875">
        <f t="shared" si="76"/>
        <v>941.53128137623344</v>
      </c>
      <c r="N187" s="772">
        <f t="shared" si="77"/>
        <v>272.24</v>
      </c>
      <c r="O187" s="777">
        <f t="shared" si="72"/>
        <v>0.68221683017783696</v>
      </c>
      <c r="P187" s="777">
        <f t="shared" si="72"/>
        <v>4.6556901779775748</v>
      </c>
      <c r="Q187" s="777">
        <f t="shared" si="73"/>
        <v>3.2180376334104523</v>
      </c>
      <c r="R187" s="777">
        <f t="shared" si="73"/>
        <v>7.8737278113880285</v>
      </c>
      <c r="S187" s="788">
        <f>IF($A$1="urban",'Calibration Data'!$R196,RuralCalibration!$R196)</f>
        <v>0.96781245659043469</v>
      </c>
    </row>
    <row r="188" spans="1:20" x14ac:dyDescent="0.25">
      <c r="A188" s="786" t="s">
        <v>157</v>
      </c>
      <c r="B188" s="50">
        <v>1</v>
      </c>
      <c r="C188" s="50" t="s">
        <v>35</v>
      </c>
      <c r="D188" s="775">
        <f t="shared" si="74"/>
        <v>45490.6</v>
      </c>
      <c r="E188" s="880">
        <v>293.8</v>
      </c>
      <c r="F188" s="870">
        <v>967.47441300605897</v>
      </c>
      <c r="G188" s="870">
        <v>504.70527633256592</v>
      </c>
      <c r="H188" s="875">
        <f t="shared" si="75"/>
        <v>1472.1796893386249</v>
      </c>
      <c r="I188" s="775">
        <v>13268.2</v>
      </c>
      <c r="J188" s="880">
        <v>106.2</v>
      </c>
      <c r="K188" s="870">
        <v>352.53933431389902</v>
      </c>
      <c r="L188" s="870">
        <v>182.4360120711998</v>
      </c>
      <c r="M188" s="875">
        <f t="shared" si="76"/>
        <v>534.97534638509887</v>
      </c>
      <c r="N188" s="772">
        <f t="shared" si="77"/>
        <v>161.76700000000002</v>
      </c>
      <c r="O188" s="777">
        <f t="shared" si="72"/>
        <v>1.0595336391280628</v>
      </c>
      <c r="P188" s="777">
        <f t="shared" si="72"/>
        <v>3.4890118637698984</v>
      </c>
      <c r="Q188" s="777">
        <f t="shared" si="73"/>
        <v>1.8201232747439691</v>
      </c>
      <c r="R188" s="777">
        <f t="shared" si="73"/>
        <v>5.3091351385138674</v>
      </c>
      <c r="S188" s="788">
        <f>IF($A$1="urban",'Calibration Data'!$R197,RuralCalibration!$R197)</f>
        <v>1.014132478813361</v>
      </c>
      <c r="T188" s="784"/>
    </row>
    <row r="189" spans="1:20" x14ac:dyDescent="0.25">
      <c r="A189" s="786" t="s">
        <v>157</v>
      </c>
      <c r="B189" s="50">
        <v>2</v>
      </c>
      <c r="C189" s="50" t="s">
        <v>2</v>
      </c>
      <c r="D189" s="775">
        <f t="shared" si="74"/>
        <v>95879.4</v>
      </c>
      <c r="E189" s="880">
        <v>0</v>
      </c>
      <c r="F189" s="870">
        <v>0</v>
      </c>
      <c r="G189" s="870">
        <v>163.80169189356275</v>
      </c>
      <c r="H189" s="875">
        <f t="shared" si="75"/>
        <v>163.80169189356275</v>
      </c>
      <c r="I189" s="775">
        <v>18432</v>
      </c>
      <c r="J189" s="880">
        <v>0</v>
      </c>
      <c r="K189" s="870">
        <v>0</v>
      </c>
      <c r="L189" s="870">
        <v>31.489483507219997</v>
      </c>
      <c r="M189" s="875">
        <f t="shared" si="76"/>
        <v>31.489483507219997</v>
      </c>
      <c r="N189" s="772">
        <f t="shared" si="77"/>
        <v>130.55900000000003</v>
      </c>
      <c r="O189" s="777">
        <f t="shared" si="72"/>
        <v>0</v>
      </c>
      <c r="P189" s="777">
        <f t="shared" si="72"/>
        <v>0</v>
      </c>
      <c r="Q189" s="777">
        <f t="shared" si="73"/>
        <v>0.22304879976232292</v>
      </c>
      <c r="R189" s="777">
        <f t="shared" si="73"/>
        <v>0.22304879976232292</v>
      </c>
      <c r="S189" s="788">
        <f>IF($A$1="urban",'Calibration Data'!$R182,RuralCalibration!$R182)</f>
        <v>1</v>
      </c>
    </row>
    <row r="190" spans="1:20" x14ac:dyDescent="0.25">
      <c r="A190" s="786" t="s">
        <v>157</v>
      </c>
      <c r="B190" s="50">
        <v>2</v>
      </c>
      <c r="C190" s="50" t="s">
        <v>41</v>
      </c>
      <c r="D190" s="775">
        <f t="shared" si="74"/>
        <v>196469.6</v>
      </c>
      <c r="E190" s="880">
        <v>0.2</v>
      </c>
      <c r="F190" s="870">
        <v>6.67710309358137</v>
      </c>
      <c r="G190" s="870">
        <v>1646.5925741883757</v>
      </c>
      <c r="H190" s="875">
        <f t="shared" si="75"/>
        <v>1653.269677281957</v>
      </c>
      <c r="I190" s="775">
        <v>37956.6</v>
      </c>
      <c r="J190" s="880">
        <v>0</v>
      </c>
      <c r="K190" s="870">
        <v>0</v>
      </c>
      <c r="L190" s="870">
        <v>318.11056622214579</v>
      </c>
      <c r="M190" s="875">
        <f t="shared" si="76"/>
        <v>318.11056622214579</v>
      </c>
      <c r="N190" s="772">
        <f t="shared" si="77"/>
        <v>274.73000000000008</v>
      </c>
      <c r="O190" s="777">
        <f t="shared" si="72"/>
        <v>2.7966667616771256E-4</v>
      </c>
      <c r="P190" s="777">
        <f t="shared" si="72"/>
        <v>9.3368161430552633E-3</v>
      </c>
      <c r="Q190" s="777">
        <f t="shared" si="73"/>
        <v>2.302485361128503</v>
      </c>
      <c r="R190" s="777">
        <f t="shared" si="73"/>
        <v>2.3118221772715581</v>
      </c>
      <c r="S190" s="788">
        <f>IF($A$1="urban",'Calibration Data'!$R183,RuralCalibration!$R183)</f>
        <v>1</v>
      </c>
    </row>
    <row r="191" spans="1:20" x14ac:dyDescent="0.25">
      <c r="A191" s="786" t="s">
        <v>157</v>
      </c>
      <c r="B191" s="50">
        <v>2</v>
      </c>
      <c r="C191" s="50" t="s">
        <v>40</v>
      </c>
      <c r="D191" s="775">
        <f t="shared" si="74"/>
        <v>327420</v>
      </c>
      <c r="E191" s="880">
        <v>1.2</v>
      </c>
      <c r="F191" s="870">
        <v>36.1234060887464</v>
      </c>
      <c r="G191" s="870">
        <v>2103.535240120224</v>
      </c>
      <c r="H191" s="875">
        <f t="shared" si="75"/>
        <v>2139.6586462089704</v>
      </c>
      <c r="I191" s="775">
        <v>53626</v>
      </c>
      <c r="J191" s="880">
        <v>0.2</v>
      </c>
      <c r="K191" s="870">
        <v>5.8473191765868204</v>
      </c>
      <c r="L191" s="870">
        <v>344.52440531026548</v>
      </c>
      <c r="M191" s="875">
        <f t="shared" si="76"/>
        <v>350.37172448685232</v>
      </c>
      <c r="N191" s="772">
        <f t="shared" si="77"/>
        <v>418.07100000000008</v>
      </c>
      <c r="O191" s="777">
        <f t="shared" si="72"/>
        <v>1.5322374931280927E-3</v>
      </c>
      <c r="P191" s="777">
        <f t="shared" si="72"/>
        <v>4.6124697657224052E-2</v>
      </c>
      <c r="Q191" s="777">
        <f t="shared" si="73"/>
        <v>2.6859296358570104</v>
      </c>
      <c r="R191" s="777">
        <f t="shared" si="73"/>
        <v>2.7320543335142342</v>
      </c>
      <c r="S191" s="788">
        <f>IF($A$1="urban",'Calibration Data'!$R184,RuralCalibration!$R184)</f>
        <v>1</v>
      </c>
    </row>
    <row r="192" spans="1:20" x14ac:dyDescent="0.25">
      <c r="A192" s="786" t="s">
        <v>157</v>
      </c>
      <c r="B192" s="50">
        <v>2</v>
      </c>
      <c r="C192" s="50" t="s">
        <v>39</v>
      </c>
      <c r="D192" s="775">
        <f t="shared" si="74"/>
        <v>327918</v>
      </c>
      <c r="E192" s="880">
        <v>5.2</v>
      </c>
      <c r="F192" s="870">
        <v>124.541081966278</v>
      </c>
      <c r="G192" s="870">
        <v>2376.3966799239329</v>
      </c>
      <c r="H192" s="875">
        <f t="shared" si="75"/>
        <v>2500.9377618902108</v>
      </c>
      <c r="I192" s="775">
        <v>51801</v>
      </c>
      <c r="J192" s="880">
        <v>1.4</v>
      </c>
      <c r="K192" s="870">
        <v>34.652906644265798</v>
      </c>
      <c r="L192" s="870">
        <v>375.39788732774542</v>
      </c>
      <c r="M192" s="875">
        <f t="shared" si="76"/>
        <v>410.05079397201121</v>
      </c>
      <c r="N192" s="772">
        <f t="shared" si="77"/>
        <v>405.04</v>
      </c>
      <c r="O192" s="777">
        <f t="shared" si="72"/>
        <v>8.34717352531235E-2</v>
      </c>
      <c r="P192" s="777">
        <f t="shared" si="72"/>
        <v>1.999165427312829</v>
      </c>
      <c r="Q192" s="777">
        <f t="shared" si="73"/>
        <v>38.146529715963879</v>
      </c>
      <c r="R192" s="777">
        <f t="shared" si="73"/>
        <v>40.145695143276704</v>
      </c>
      <c r="S192" s="788">
        <f>IF($A$1="urban",'Calibration Data'!$R185,RuralCalibration!$R185)</f>
        <v>12.995812607650217</v>
      </c>
    </row>
    <row r="193" spans="1:20" x14ac:dyDescent="0.25">
      <c r="A193" s="786" t="s">
        <v>157</v>
      </c>
      <c r="B193" s="50">
        <v>2</v>
      </c>
      <c r="C193" s="50" t="s">
        <v>38</v>
      </c>
      <c r="D193" s="775">
        <f t="shared" si="74"/>
        <v>337487.2</v>
      </c>
      <c r="E193" s="880">
        <v>52.8</v>
      </c>
      <c r="F193" s="870">
        <v>907.339145474769</v>
      </c>
      <c r="G193" s="870">
        <v>2366.7244007645459</v>
      </c>
      <c r="H193" s="875">
        <f t="shared" si="75"/>
        <v>3274.0635462393147</v>
      </c>
      <c r="I193" s="775">
        <v>71962</v>
      </c>
      <c r="J193" s="880">
        <v>17.600000000000001</v>
      </c>
      <c r="K193" s="870">
        <v>306.79401748625799</v>
      </c>
      <c r="L193" s="870">
        <v>788.90813358818207</v>
      </c>
      <c r="M193" s="875">
        <f t="shared" si="76"/>
        <v>1095.7021510744401</v>
      </c>
      <c r="N193" s="772">
        <f t="shared" si="77"/>
        <v>543.15200000000004</v>
      </c>
      <c r="O193" s="777">
        <f t="shared" si="72"/>
        <v>8.4976335695101921E-2</v>
      </c>
      <c r="P193" s="777">
        <f t="shared" si="72"/>
        <v>1.4602718904388425</v>
      </c>
      <c r="Q193" s="777">
        <f t="shared" si="73"/>
        <v>3.8090069541128218</v>
      </c>
      <c r="R193" s="777">
        <f t="shared" si="73"/>
        <v>5.2692788445516641</v>
      </c>
      <c r="S193" s="788">
        <f>IF($A$1="urban",'Calibration Data'!$R186,RuralCalibration!$R186)</f>
        <v>1</v>
      </c>
    </row>
    <row r="194" spans="1:20" x14ac:dyDescent="0.25">
      <c r="A194" s="786" t="s">
        <v>157</v>
      </c>
      <c r="B194" s="50">
        <v>2</v>
      </c>
      <c r="C194" s="50" t="s">
        <v>37</v>
      </c>
      <c r="D194" s="775">
        <f t="shared" si="74"/>
        <v>176202.8</v>
      </c>
      <c r="E194" s="880">
        <v>130</v>
      </c>
      <c r="F194" s="870">
        <v>1584.4953947633801</v>
      </c>
      <c r="G194" s="870">
        <v>1884.8014947848044</v>
      </c>
      <c r="H194" s="875">
        <f t="shared" si="75"/>
        <v>3469.2968895481845</v>
      </c>
      <c r="I194" s="775">
        <v>45270.8</v>
      </c>
      <c r="J194" s="880">
        <v>48.4</v>
      </c>
      <c r="K194" s="870">
        <v>592.24449042510696</v>
      </c>
      <c r="L194" s="870">
        <v>701.72609498141946</v>
      </c>
      <c r="M194" s="875">
        <f t="shared" si="76"/>
        <v>1293.9705854065264</v>
      </c>
      <c r="N194" s="772">
        <f t="shared" si="77"/>
        <v>399.14700000000005</v>
      </c>
      <c r="O194" s="777">
        <f t="shared" si="72"/>
        <v>0.31126685271746724</v>
      </c>
      <c r="P194" s="777">
        <f t="shared" si="72"/>
        <v>3.7938530359486013</v>
      </c>
      <c r="Q194" s="777">
        <f t="shared" si="73"/>
        <v>4.5128940713757215</v>
      </c>
      <c r="R194" s="777">
        <f t="shared" si="73"/>
        <v>8.3067471073243233</v>
      </c>
      <c r="S194" s="788">
        <f>IF($A$1="urban",'Calibration Data'!$R187,RuralCalibration!$R187)</f>
        <v>1.0569865429568039</v>
      </c>
    </row>
    <row r="195" spans="1:20" x14ac:dyDescent="0.25">
      <c r="A195" s="786" t="s">
        <v>157</v>
      </c>
      <c r="B195" s="50">
        <v>2</v>
      </c>
      <c r="C195" s="50" t="s">
        <v>36</v>
      </c>
      <c r="D195" s="775">
        <f t="shared" si="74"/>
        <v>91991</v>
      </c>
      <c r="E195" s="880">
        <v>222.8</v>
      </c>
      <c r="F195" s="870">
        <v>1735.1677574267401</v>
      </c>
      <c r="G195" s="870">
        <v>1372.4291655515622</v>
      </c>
      <c r="H195" s="875">
        <f t="shared" si="75"/>
        <v>3107.5969229783022</v>
      </c>
      <c r="I195" s="775">
        <v>27046</v>
      </c>
      <c r="J195" s="880">
        <v>90.4</v>
      </c>
      <c r="K195" s="870">
        <v>699.92317822940197</v>
      </c>
      <c r="L195" s="870">
        <v>556.85635801553519</v>
      </c>
      <c r="M195" s="875">
        <f t="shared" si="76"/>
        <v>1256.7795362449372</v>
      </c>
      <c r="N195" s="772">
        <f t="shared" si="77"/>
        <v>257.71500000000003</v>
      </c>
      <c r="O195" s="777">
        <f t="shared" si="72"/>
        <v>0.65135072052206699</v>
      </c>
      <c r="P195" s="777">
        <f t="shared" si="72"/>
        <v>5.0727233798319853</v>
      </c>
      <c r="Q195" s="777">
        <f t="shared" si="73"/>
        <v>4.0122653763353195</v>
      </c>
      <c r="R195" s="777">
        <f t="shared" si="73"/>
        <v>9.0849887561673039</v>
      </c>
      <c r="S195" s="788">
        <f>IF($A$1="urban",'Calibration Data'!$R188,RuralCalibration!$R188)</f>
        <v>1.0435309984079015</v>
      </c>
    </row>
    <row r="196" spans="1:20" ht="15.75" thickBot="1" x14ac:dyDescent="0.3">
      <c r="A196" s="786" t="s">
        <v>157</v>
      </c>
      <c r="B196" s="50">
        <v>2</v>
      </c>
      <c r="C196" s="50" t="s">
        <v>35</v>
      </c>
      <c r="D196" s="775">
        <f t="shared" si="74"/>
        <v>76048.800000000003</v>
      </c>
      <c r="E196" s="881">
        <v>369</v>
      </c>
      <c r="F196" s="877">
        <v>1324.11802006112</v>
      </c>
      <c r="G196" s="877">
        <v>794.11775426462611</v>
      </c>
      <c r="H196" s="878">
        <f t="shared" si="75"/>
        <v>2118.2357743257462</v>
      </c>
      <c r="I196" s="775">
        <v>18745.8</v>
      </c>
      <c r="J196" s="881">
        <v>106</v>
      </c>
      <c r="K196" s="877">
        <v>379.40680159514602</v>
      </c>
      <c r="L196" s="877">
        <v>228.12054729552946</v>
      </c>
      <c r="M196" s="878">
        <f t="shared" si="76"/>
        <v>607.52734889067551</v>
      </c>
      <c r="N196" s="772">
        <f t="shared" si="77"/>
        <v>130.97400000000002</v>
      </c>
      <c r="O196" s="777">
        <f t="shared" si="72"/>
        <v>0.63812856128852224</v>
      </c>
      <c r="P196" s="777">
        <f t="shared" si="72"/>
        <v>2.2898577970672336</v>
      </c>
      <c r="Q196" s="777">
        <f t="shared" si="73"/>
        <v>1.3733041193023254</v>
      </c>
      <c r="R196" s="777">
        <f t="shared" si="73"/>
        <v>3.6631619163695586</v>
      </c>
      <c r="S196" s="788">
        <f>IF($A$1="urban",'Calibration Data'!$R189,RuralCalibration!$R189)</f>
        <v>1.0041280319422623</v>
      </c>
    </row>
    <row r="197" spans="1:20" ht="15.75" thickBot="1" x14ac:dyDescent="0.3">
      <c r="D197" s="775">
        <f>SUM(D181:D196)</f>
        <v>3216773</v>
      </c>
      <c r="E197" s="779">
        <f>SUM(E181:E196)</f>
        <v>1457.4</v>
      </c>
      <c r="F197" s="779">
        <f t="shared" ref="F197:R197" si="78">SUM(F181:F196)</f>
        <v>10359.541380465986</v>
      </c>
      <c r="G197" s="779">
        <f t="shared" si="78"/>
        <v>24088.676252121437</v>
      </c>
      <c r="H197" s="780">
        <f t="shared" si="78"/>
        <v>34448.217632587417</v>
      </c>
      <c r="I197" s="775">
        <f t="shared" ref="I197:M197" si="79">SUM(I181:I196)</f>
        <v>651949.20000000019</v>
      </c>
      <c r="J197" s="779">
        <f t="shared" si="79"/>
        <v>515.6</v>
      </c>
      <c r="K197" s="779">
        <f t="shared" si="79"/>
        <v>3724.8912342228377</v>
      </c>
      <c r="L197" s="779">
        <f t="shared" si="79"/>
        <v>6303.6398824526477</v>
      </c>
      <c r="M197" s="780">
        <f t="shared" si="79"/>
        <v>10028.531116675485</v>
      </c>
      <c r="N197" s="779">
        <f t="shared" si="78"/>
        <v>5192.2310000000007</v>
      </c>
      <c r="O197" s="779">
        <f t="shared" si="78"/>
        <v>4.0104648815522905</v>
      </c>
      <c r="P197" s="779">
        <f t="shared" si="78"/>
        <v>29.924454861168446</v>
      </c>
      <c r="Q197" s="779">
        <f t="shared" si="78"/>
        <v>145.31183638861162</v>
      </c>
      <c r="R197" s="779">
        <f t="shared" si="78"/>
        <v>175.23629124978004</v>
      </c>
    </row>
    <row r="198" spans="1:20" x14ac:dyDescent="0.25">
      <c r="A198" s="786" t="s">
        <v>191</v>
      </c>
      <c r="B198" s="50">
        <v>1</v>
      </c>
      <c r="C198" s="50" t="s">
        <v>2</v>
      </c>
      <c r="D198" s="775">
        <f>D181</f>
        <v>100771.8</v>
      </c>
      <c r="E198" s="879">
        <v>1.8</v>
      </c>
      <c r="F198" s="872">
        <v>58.558269096623903</v>
      </c>
      <c r="G198" s="872">
        <v>4.8087320923341972</v>
      </c>
      <c r="H198" s="873">
        <f>F198+G198</f>
        <v>63.367001188958099</v>
      </c>
      <c r="I198" s="775">
        <v>19204.2</v>
      </c>
      <c r="J198" s="879">
        <v>0.8</v>
      </c>
      <c r="K198" s="872">
        <v>26.108404358439302</v>
      </c>
      <c r="L198" s="872">
        <v>0.91640570921234299</v>
      </c>
      <c r="M198" s="873">
        <f>K198+L198</f>
        <v>27.024810067651643</v>
      </c>
      <c r="N198" s="772">
        <f>N181</f>
        <v>126.32600000000001</v>
      </c>
      <c r="O198" s="777">
        <f t="shared" ref="O198:P213" si="80">$S198*(E198)/$D198*$N198</f>
        <v>2.2564526980762474E-3</v>
      </c>
      <c r="P198" s="777">
        <f>$S198*((F198)/$D198*$N198)</f>
        <v>7.340775794319554E-2</v>
      </c>
      <c r="Q198" s="777">
        <f t="shared" ref="Q198:R213" si="81">$S198*(G198)/$D198*$N198</f>
        <v>6.0281536133740769E-3</v>
      </c>
      <c r="R198" s="777">
        <f t="shared" si="81"/>
        <v>7.9435911556569608E-2</v>
      </c>
      <c r="S198" s="788">
        <f>IF($A$1="urban",'Calibration Data'!$R206,RuralCalibration!$R206)</f>
        <v>1</v>
      </c>
    </row>
    <row r="199" spans="1:20" x14ac:dyDescent="0.25">
      <c r="A199" s="786" t="s">
        <v>191</v>
      </c>
      <c r="B199" s="50">
        <v>1</v>
      </c>
      <c r="C199" s="50" t="s">
        <v>41</v>
      </c>
      <c r="D199" s="775">
        <f t="shared" ref="D199:D213" si="82">D182</f>
        <v>205830</v>
      </c>
      <c r="E199" s="880">
        <v>2.4</v>
      </c>
      <c r="F199" s="870">
        <v>79.652232388869706</v>
      </c>
      <c r="G199" s="870">
        <v>81.675428851427085</v>
      </c>
      <c r="H199" s="875">
        <f t="shared" ref="H199:H213" si="83">F199+G199</f>
        <v>161.32766124029678</v>
      </c>
      <c r="I199" s="775">
        <v>39373.4</v>
      </c>
      <c r="J199" s="880">
        <v>1.8</v>
      </c>
      <c r="K199" s="870">
        <v>59.862448791226399</v>
      </c>
      <c r="L199" s="870">
        <v>15.623763933045616</v>
      </c>
      <c r="M199" s="875">
        <f t="shared" ref="M199:M213" si="84">K199+L199</f>
        <v>75.486212724272008</v>
      </c>
      <c r="N199" s="772">
        <f t="shared" ref="N199:N213" si="85">N182</f>
        <v>267.42600000000004</v>
      </c>
      <c r="O199" s="777">
        <f t="shared" si="80"/>
        <v>3.2289584178748651E-2</v>
      </c>
      <c r="P199" s="777">
        <f t="shared" si="80"/>
        <v>1.0716406094773574</v>
      </c>
      <c r="Q199" s="777">
        <f t="shared" si="81"/>
        <v>1.098860681347313</v>
      </c>
      <c r="R199" s="777">
        <f t="shared" si="81"/>
        <v>2.1705012908246704</v>
      </c>
      <c r="S199" s="788">
        <f>IF($A$1="urban",'Calibration Data'!$R207,RuralCalibration!$R207)</f>
        <v>10.355146706490508</v>
      </c>
    </row>
    <row r="200" spans="1:20" x14ac:dyDescent="0.25">
      <c r="A200" s="786" t="s">
        <v>191</v>
      </c>
      <c r="B200" s="50">
        <v>1</v>
      </c>
      <c r="C200" s="50" t="s">
        <v>40</v>
      </c>
      <c r="D200" s="775">
        <f t="shared" si="82"/>
        <v>333948</v>
      </c>
      <c r="E200" s="880">
        <v>48.4</v>
      </c>
      <c r="F200" s="870">
        <v>1462.2145824444201</v>
      </c>
      <c r="G200" s="870">
        <v>232.16721566553616</v>
      </c>
      <c r="H200" s="875">
        <f t="shared" si="83"/>
        <v>1694.3817981099562</v>
      </c>
      <c r="I200" s="775">
        <v>59712.800000000003</v>
      </c>
      <c r="J200" s="880">
        <v>14</v>
      </c>
      <c r="K200" s="870">
        <v>423.32625698964699</v>
      </c>
      <c r="L200" s="870">
        <v>67.155806184246003</v>
      </c>
      <c r="M200" s="875">
        <f t="shared" si="84"/>
        <v>490.48206317389298</v>
      </c>
      <c r="N200" s="772">
        <f t="shared" si="85"/>
        <v>408.11100000000005</v>
      </c>
      <c r="O200" s="777">
        <f t="shared" si="80"/>
        <v>5.5634189015062646E-2</v>
      </c>
      <c r="P200" s="777">
        <f t="shared" si="80"/>
        <v>1.6807669929812765</v>
      </c>
      <c r="Q200" s="777">
        <f t="shared" si="81"/>
        <v>0.2668684867652325</v>
      </c>
      <c r="R200" s="777">
        <f t="shared" si="81"/>
        <v>1.9476354797465085</v>
      </c>
      <c r="S200" s="788">
        <f>IF($A$1="urban",'Calibration Data'!$R208,RuralCalibration!$R208)</f>
        <v>0.94058261258174858</v>
      </c>
    </row>
    <row r="201" spans="1:20" x14ac:dyDescent="0.25">
      <c r="A201" s="786" t="s">
        <v>191</v>
      </c>
      <c r="B201" s="50">
        <v>1</v>
      </c>
      <c r="C201" s="50" t="s">
        <v>39</v>
      </c>
      <c r="D201" s="775">
        <f t="shared" si="82"/>
        <v>334802.40000000002</v>
      </c>
      <c r="E201" s="880">
        <v>38.799999999999997</v>
      </c>
      <c r="F201" s="870">
        <v>951.308928966145</v>
      </c>
      <c r="G201" s="870">
        <v>471.61534199737235</v>
      </c>
      <c r="H201" s="875">
        <f t="shared" si="83"/>
        <v>1422.9242709635173</v>
      </c>
      <c r="I201" s="775">
        <v>54951</v>
      </c>
      <c r="J201" s="880">
        <v>16.2</v>
      </c>
      <c r="K201" s="870">
        <v>400.18516659789998</v>
      </c>
      <c r="L201" s="870">
        <v>196.9115603184905</v>
      </c>
      <c r="M201" s="875">
        <f t="shared" si="84"/>
        <v>597.09672691639048</v>
      </c>
      <c r="N201" s="772">
        <f t="shared" si="85"/>
        <v>393.50300000000004</v>
      </c>
      <c r="O201" s="777">
        <f t="shared" si="80"/>
        <v>7.0354787359736368E-2</v>
      </c>
      <c r="P201" s="777">
        <f t="shared" si="80"/>
        <v>1.7249777683204044</v>
      </c>
      <c r="Q201" s="777">
        <f t="shared" si="81"/>
        <v>0.85516487375810513</v>
      </c>
      <c r="R201" s="777">
        <f t="shared" si="81"/>
        <v>2.580142642078509</v>
      </c>
      <c r="S201" s="788">
        <f>IF($A$1="urban",'Calibration Data'!$R209,RuralCalibration!$R209)</f>
        <v>1.542774471802151</v>
      </c>
    </row>
    <row r="202" spans="1:20" x14ac:dyDescent="0.25">
      <c r="A202" s="786" t="s">
        <v>191</v>
      </c>
      <c r="B202" s="50">
        <v>1</v>
      </c>
      <c r="C202" s="50" t="s">
        <v>38</v>
      </c>
      <c r="D202" s="775">
        <f t="shared" si="82"/>
        <v>324395.59999999998</v>
      </c>
      <c r="E202" s="880">
        <v>47.2</v>
      </c>
      <c r="F202" s="870">
        <v>813.15174712743499</v>
      </c>
      <c r="G202" s="870">
        <v>558.46977778488827</v>
      </c>
      <c r="H202" s="875">
        <f t="shared" si="83"/>
        <v>1371.6215249123234</v>
      </c>
      <c r="I202" s="775">
        <v>70272</v>
      </c>
      <c r="J202" s="880">
        <v>19.8</v>
      </c>
      <c r="K202" s="870">
        <v>339.144470854838</v>
      </c>
      <c r="L202" s="870">
        <v>234.27333898603362</v>
      </c>
      <c r="M202" s="875">
        <f t="shared" si="84"/>
        <v>573.41780984087166</v>
      </c>
      <c r="N202" s="772">
        <f t="shared" si="85"/>
        <v>581.00000000000011</v>
      </c>
      <c r="O202" s="777">
        <f t="shared" si="80"/>
        <v>8.4536288408350826E-2</v>
      </c>
      <c r="P202" s="777">
        <f t="shared" si="80"/>
        <v>1.4563735299771017</v>
      </c>
      <c r="Q202" s="777">
        <f t="shared" si="81"/>
        <v>1.0002322500459937</v>
      </c>
      <c r="R202" s="777">
        <f t="shared" si="81"/>
        <v>2.4566057800230956</v>
      </c>
      <c r="S202" s="788">
        <f>IF($A$1="urban",'Calibration Data'!$R210,RuralCalibration!$R210)</f>
        <v>1</v>
      </c>
    </row>
    <row r="203" spans="1:20" x14ac:dyDescent="0.25">
      <c r="A203" s="786" t="s">
        <v>191</v>
      </c>
      <c r="B203" s="50">
        <v>1</v>
      </c>
      <c r="C203" s="50" t="s">
        <v>37</v>
      </c>
      <c r="D203" s="775">
        <f t="shared" si="82"/>
        <v>163949.4</v>
      </c>
      <c r="E203" s="880">
        <v>21.4</v>
      </c>
      <c r="F203" s="870">
        <v>242.98195335180901</v>
      </c>
      <c r="G203" s="870">
        <v>226.90177255016735</v>
      </c>
      <c r="H203" s="875">
        <f t="shared" si="83"/>
        <v>469.88372590197639</v>
      </c>
      <c r="I203" s="775">
        <v>44455</v>
      </c>
      <c r="J203" s="880">
        <v>8.8000000000000007</v>
      </c>
      <c r="K203" s="870">
        <v>103.16994614824</v>
      </c>
      <c r="L203" s="870">
        <v>92.488427138831625</v>
      </c>
      <c r="M203" s="875">
        <f t="shared" si="84"/>
        <v>195.65837328707164</v>
      </c>
      <c r="N203" s="772">
        <f t="shared" si="85"/>
        <v>422.47000000000008</v>
      </c>
      <c r="O203" s="777">
        <f t="shared" si="80"/>
        <v>5.5144196929052508E-2</v>
      </c>
      <c r="P203" s="777">
        <f t="shared" si="80"/>
        <v>0.62612358345037411</v>
      </c>
      <c r="Q203" s="777">
        <f t="shared" si="81"/>
        <v>0.58468766490922952</v>
      </c>
      <c r="R203" s="777">
        <f t="shared" si="81"/>
        <v>1.2108112483596036</v>
      </c>
      <c r="S203" s="788">
        <f>IF($A$1="urban",'Calibration Data'!$R211,RuralCalibration!$R211)</f>
        <v>1</v>
      </c>
    </row>
    <row r="204" spans="1:20" x14ac:dyDescent="0.25">
      <c r="A204" s="786" t="s">
        <v>191</v>
      </c>
      <c r="B204" s="50">
        <v>1</v>
      </c>
      <c r="C204" s="50" t="s">
        <v>36</v>
      </c>
      <c r="D204" s="775">
        <f t="shared" si="82"/>
        <v>78168.399999999994</v>
      </c>
      <c r="E204" s="880">
        <v>16.399999999999999</v>
      </c>
      <c r="F204" s="870">
        <v>115.905323976944</v>
      </c>
      <c r="G204" s="870">
        <v>113.76731232774102</v>
      </c>
      <c r="H204" s="875">
        <f t="shared" si="83"/>
        <v>229.67263630468503</v>
      </c>
      <c r="I204" s="775">
        <v>25872.400000000001</v>
      </c>
      <c r="J204" s="880">
        <v>6.8</v>
      </c>
      <c r="K204" s="870">
        <v>46.226596459498701</v>
      </c>
      <c r="L204" s="870">
        <v>50.332025013600209</v>
      </c>
      <c r="M204" s="875">
        <f t="shared" si="84"/>
        <v>96.55862147309891</v>
      </c>
      <c r="N204" s="772">
        <f t="shared" si="85"/>
        <v>272.24</v>
      </c>
      <c r="O204" s="777">
        <f t="shared" si="80"/>
        <v>5.7116891224586915E-2</v>
      </c>
      <c r="P204" s="777">
        <f t="shared" si="80"/>
        <v>0.40366779158180593</v>
      </c>
      <c r="Q204" s="777">
        <f t="shared" si="81"/>
        <v>0.39622165872787751</v>
      </c>
      <c r="R204" s="777">
        <f t="shared" si="81"/>
        <v>0.79988945030968339</v>
      </c>
      <c r="S204" s="788">
        <f>IF($A$1="urban",'Calibration Data'!$R212,RuralCalibration!$R212)</f>
        <v>1</v>
      </c>
    </row>
    <row r="205" spans="1:20" x14ac:dyDescent="0.25">
      <c r="A205" s="786" t="s">
        <v>191</v>
      </c>
      <c r="B205" s="50">
        <v>1</v>
      </c>
      <c r="C205" s="50" t="s">
        <v>35</v>
      </c>
      <c r="D205" s="775">
        <f t="shared" si="82"/>
        <v>45490.6</v>
      </c>
      <c r="E205" s="880">
        <v>10.8</v>
      </c>
      <c r="F205" s="870">
        <v>37.434363981146703</v>
      </c>
      <c r="G205" s="870">
        <v>32.458962736941068</v>
      </c>
      <c r="H205" s="875">
        <f t="shared" si="83"/>
        <v>69.893326718087764</v>
      </c>
      <c r="I205" s="775">
        <v>13268.2</v>
      </c>
      <c r="J205" s="880">
        <v>7.2</v>
      </c>
      <c r="K205" s="870">
        <v>25.181011532567801</v>
      </c>
      <c r="L205" s="870">
        <v>22.015862068881081</v>
      </c>
      <c r="M205" s="875">
        <f t="shared" si="84"/>
        <v>47.196873601448885</v>
      </c>
      <c r="N205" s="772">
        <f t="shared" si="85"/>
        <v>161.76700000000002</v>
      </c>
      <c r="O205" s="777">
        <f t="shared" si="80"/>
        <v>3.840537605571262E-2</v>
      </c>
      <c r="P205" s="777">
        <f t="shared" si="80"/>
        <v>0.13311859500947801</v>
      </c>
      <c r="Q205" s="777">
        <f t="shared" si="81"/>
        <v>0.11542580280468376</v>
      </c>
      <c r="R205" s="777">
        <f t="shared" si="81"/>
        <v>0.24854439781416171</v>
      </c>
      <c r="S205" s="788">
        <f>IF($A$1="urban",'Calibration Data'!$R213,RuralCalibration!$R213)</f>
        <v>1</v>
      </c>
      <c r="T205" s="784"/>
    </row>
    <row r="206" spans="1:20" x14ac:dyDescent="0.25">
      <c r="A206" s="786" t="s">
        <v>191</v>
      </c>
      <c r="B206" s="50">
        <v>2</v>
      </c>
      <c r="C206" s="50" t="s">
        <v>2</v>
      </c>
      <c r="D206" s="775">
        <f t="shared" si="82"/>
        <v>95879.4</v>
      </c>
      <c r="E206" s="880">
        <v>0.8</v>
      </c>
      <c r="F206" s="870">
        <v>26.251066648949099</v>
      </c>
      <c r="G206" s="870">
        <v>2.7067625413848599</v>
      </c>
      <c r="H206" s="875">
        <f t="shared" si="83"/>
        <v>28.95782919033396</v>
      </c>
      <c r="I206" s="775">
        <v>18432</v>
      </c>
      <c r="J206" s="880">
        <v>0.6</v>
      </c>
      <c r="K206" s="870">
        <v>19.500293321572101</v>
      </c>
      <c r="L206" s="870">
        <v>0.52035210027185974</v>
      </c>
      <c r="M206" s="875">
        <f t="shared" si="84"/>
        <v>20.020645421843962</v>
      </c>
      <c r="N206" s="772">
        <f t="shared" si="85"/>
        <v>130.55900000000003</v>
      </c>
      <c r="O206" s="777">
        <f t="shared" si="80"/>
        <v>1.0893601753869967E-3</v>
      </c>
      <c r="P206" s="777">
        <f t="shared" si="80"/>
        <v>3.5746083210993665E-2</v>
      </c>
      <c r="Q206" s="777">
        <f t="shared" si="81"/>
        <v>3.6857991460174551E-3</v>
      </c>
      <c r="R206" s="777">
        <f t="shared" si="81"/>
        <v>3.9431882357011123E-2</v>
      </c>
      <c r="S206" s="788">
        <f>IF($A$1="urban",'Calibration Data'!$R198,RuralCalibration!$R198)</f>
        <v>1</v>
      </c>
    </row>
    <row r="207" spans="1:20" x14ac:dyDescent="0.25">
      <c r="A207" s="786" t="s">
        <v>191</v>
      </c>
      <c r="B207" s="50">
        <v>2</v>
      </c>
      <c r="C207" s="50" t="s">
        <v>41</v>
      </c>
      <c r="D207" s="775">
        <f t="shared" si="82"/>
        <v>196469.6</v>
      </c>
      <c r="E207" s="880">
        <v>2.6</v>
      </c>
      <c r="F207" s="870">
        <v>86.980903993963693</v>
      </c>
      <c r="G207" s="870">
        <v>44.241229083794956</v>
      </c>
      <c r="H207" s="875">
        <f t="shared" si="83"/>
        <v>131.22213307775866</v>
      </c>
      <c r="I207" s="775">
        <v>37956.6</v>
      </c>
      <c r="J207" s="880">
        <v>1.2</v>
      </c>
      <c r="K207" s="870">
        <v>40.1519004501911</v>
      </c>
      <c r="L207" s="870">
        <v>8.5471067067982602</v>
      </c>
      <c r="M207" s="875">
        <f t="shared" si="84"/>
        <v>48.69900715698936</v>
      </c>
      <c r="N207" s="772">
        <f t="shared" si="85"/>
        <v>274.73000000000008</v>
      </c>
      <c r="O207" s="777">
        <f t="shared" si="80"/>
        <v>3.6356667901802633E-3</v>
      </c>
      <c r="P207" s="777">
        <f t="shared" si="80"/>
        <v>0.1216283015502737</v>
      </c>
      <c r="Q207" s="777">
        <f t="shared" si="81"/>
        <v>6.1863987437196344E-2</v>
      </c>
      <c r="R207" s="777">
        <f t="shared" si="81"/>
        <v>0.18349228898747005</v>
      </c>
      <c r="S207" s="788">
        <f>IF($A$1="urban",'Calibration Data'!$R199,RuralCalibration!$R199)</f>
        <v>1</v>
      </c>
    </row>
    <row r="208" spans="1:20" x14ac:dyDescent="0.25">
      <c r="A208" s="786" t="s">
        <v>191</v>
      </c>
      <c r="B208" s="50">
        <v>2</v>
      </c>
      <c r="C208" s="50" t="s">
        <v>40</v>
      </c>
      <c r="D208" s="775">
        <f t="shared" si="82"/>
        <v>327420</v>
      </c>
      <c r="E208" s="880">
        <v>19.600000000000001</v>
      </c>
      <c r="F208" s="870">
        <v>601.49239038821997</v>
      </c>
      <c r="G208" s="870">
        <v>133.97181750363768</v>
      </c>
      <c r="H208" s="875">
        <f t="shared" si="83"/>
        <v>735.46420789185765</v>
      </c>
      <c r="I208" s="775">
        <v>53626</v>
      </c>
      <c r="J208" s="880">
        <v>8.1999999999999993</v>
      </c>
      <c r="K208" s="870">
        <v>253.37667235642101</v>
      </c>
      <c r="L208" s="870">
        <v>39.045763483076719</v>
      </c>
      <c r="M208" s="875">
        <f t="shared" si="84"/>
        <v>292.42243583949772</v>
      </c>
      <c r="N208" s="772">
        <f t="shared" si="85"/>
        <v>418.07100000000008</v>
      </c>
      <c r="O208" s="777">
        <f t="shared" si="80"/>
        <v>2.5026545721092183E-2</v>
      </c>
      <c r="P208" s="777">
        <f t="shared" si="80"/>
        <v>0.76802432698672518</v>
      </c>
      <c r="Q208" s="777">
        <f t="shared" si="81"/>
        <v>0.1710638681679901</v>
      </c>
      <c r="R208" s="777">
        <f t="shared" si="81"/>
        <v>0.93908819515471531</v>
      </c>
      <c r="S208" s="788">
        <f>IF($A$1="urban",'Calibration Data'!$R200,RuralCalibration!$R200)</f>
        <v>1</v>
      </c>
    </row>
    <row r="209" spans="1:20" x14ac:dyDescent="0.25">
      <c r="A209" s="786" t="s">
        <v>191</v>
      </c>
      <c r="B209" s="50">
        <v>2</v>
      </c>
      <c r="C209" s="50" t="s">
        <v>39</v>
      </c>
      <c r="D209" s="775">
        <f t="shared" si="82"/>
        <v>327918</v>
      </c>
      <c r="E209" s="880">
        <v>12.6</v>
      </c>
      <c r="F209" s="870">
        <v>316.70095956155302</v>
      </c>
      <c r="G209" s="870">
        <v>188.7945519607963</v>
      </c>
      <c r="H209" s="875">
        <f t="shared" si="83"/>
        <v>505.49551152234932</v>
      </c>
      <c r="I209" s="775">
        <v>51801</v>
      </c>
      <c r="J209" s="880">
        <v>4.2</v>
      </c>
      <c r="K209" s="870">
        <v>107.327205912734</v>
      </c>
      <c r="L209" s="870">
        <v>55.947581192754051</v>
      </c>
      <c r="M209" s="875">
        <f t="shared" si="84"/>
        <v>163.27478710548806</v>
      </c>
      <c r="N209" s="772">
        <f t="shared" si="85"/>
        <v>405.04</v>
      </c>
      <c r="O209" s="777">
        <f t="shared" si="80"/>
        <v>1.5563354253197447E-2</v>
      </c>
      <c r="P209" s="777">
        <f t="shared" si="80"/>
        <v>0.39118485920508006</v>
      </c>
      <c r="Q209" s="777">
        <f t="shared" si="81"/>
        <v>0.2331965470825052</v>
      </c>
      <c r="R209" s="777">
        <f t="shared" si="81"/>
        <v>0.62438140628758521</v>
      </c>
      <c r="S209" s="788">
        <f>IF($A$1="urban",'Calibration Data'!$R201,RuralCalibration!$R201)</f>
        <v>1</v>
      </c>
    </row>
    <row r="210" spans="1:20" x14ac:dyDescent="0.25">
      <c r="A210" s="786" t="s">
        <v>191</v>
      </c>
      <c r="B210" s="50">
        <v>2</v>
      </c>
      <c r="C210" s="50" t="s">
        <v>38</v>
      </c>
      <c r="D210" s="775">
        <f t="shared" si="82"/>
        <v>337487.2</v>
      </c>
      <c r="E210" s="880">
        <v>16.8</v>
      </c>
      <c r="F210" s="870">
        <v>301.98620565304998</v>
      </c>
      <c r="G210" s="870">
        <v>225.2856674870182</v>
      </c>
      <c r="H210" s="875">
        <f t="shared" si="83"/>
        <v>527.27187314006824</v>
      </c>
      <c r="I210" s="775">
        <v>71962</v>
      </c>
      <c r="J210" s="880">
        <v>5</v>
      </c>
      <c r="K210" s="870">
        <v>90.922422406946396</v>
      </c>
      <c r="L210" s="870">
        <v>78.004677460863064</v>
      </c>
      <c r="M210" s="875">
        <f t="shared" si="84"/>
        <v>168.92709986780946</v>
      </c>
      <c r="N210" s="772">
        <f t="shared" si="85"/>
        <v>543.15200000000004</v>
      </c>
      <c r="O210" s="777">
        <f t="shared" si="80"/>
        <v>2.7037924993896068E-2</v>
      </c>
      <c r="P210" s="777">
        <f t="shared" si="80"/>
        <v>0.48601668914514506</v>
      </c>
      <c r="Q210" s="777">
        <f t="shared" si="81"/>
        <v>0.36257482022105997</v>
      </c>
      <c r="R210" s="777">
        <f t="shared" si="81"/>
        <v>0.8485915093662052</v>
      </c>
      <c r="S210" s="788">
        <f>IF($A$1="urban",'Calibration Data'!$R202,RuralCalibration!$R202)</f>
        <v>1</v>
      </c>
    </row>
    <row r="211" spans="1:20" x14ac:dyDescent="0.25">
      <c r="A211" s="786" t="s">
        <v>191</v>
      </c>
      <c r="B211" s="50">
        <v>2</v>
      </c>
      <c r="C211" s="50" t="s">
        <v>37</v>
      </c>
      <c r="D211" s="775">
        <f t="shared" si="82"/>
        <v>176202.8</v>
      </c>
      <c r="E211" s="880">
        <v>10.8</v>
      </c>
      <c r="F211" s="870">
        <v>138.82693909931399</v>
      </c>
      <c r="G211" s="870">
        <v>94.298434500304367</v>
      </c>
      <c r="H211" s="875">
        <f t="shared" si="83"/>
        <v>233.12537359961834</v>
      </c>
      <c r="I211" s="775">
        <v>45270.8</v>
      </c>
      <c r="J211" s="880">
        <v>3.4</v>
      </c>
      <c r="K211" s="870">
        <v>42.130784161793599</v>
      </c>
      <c r="L211" s="870">
        <v>41.317980006708815</v>
      </c>
      <c r="M211" s="875">
        <f t="shared" si="84"/>
        <v>83.448764168502407</v>
      </c>
      <c r="N211" s="772">
        <f t="shared" si="85"/>
        <v>399.14700000000005</v>
      </c>
      <c r="O211" s="777">
        <f t="shared" si="80"/>
        <v>2.4464921102275342E-2</v>
      </c>
      <c r="P211" s="777">
        <f t="shared" si="80"/>
        <v>0.31448056591991663</v>
      </c>
      <c r="Q211" s="777">
        <f t="shared" si="81"/>
        <v>0.21361145927018749</v>
      </c>
      <c r="R211" s="777">
        <f t="shared" si="81"/>
        <v>0.52809202519010412</v>
      </c>
      <c r="S211" s="788">
        <f>IF($A$1="urban",'Calibration Data'!$R203,RuralCalibration!$R203)</f>
        <v>1</v>
      </c>
    </row>
    <row r="212" spans="1:20" x14ac:dyDescent="0.25">
      <c r="A212" s="786" t="s">
        <v>191</v>
      </c>
      <c r="B212" s="50">
        <v>2</v>
      </c>
      <c r="C212" s="50" t="s">
        <v>36</v>
      </c>
      <c r="D212" s="775">
        <f t="shared" si="82"/>
        <v>91991</v>
      </c>
      <c r="E212" s="880">
        <v>6.4</v>
      </c>
      <c r="F212" s="870">
        <v>51.734014567356098</v>
      </c>
      <c r="G212" s="870">
        <v>79.801200644390079</v>
      </c>
      <c r="H212" s="875">
        <f t="shared" si="83"/>
        <v>131.53521521174616</v>
      </c>
      <c r="I212" s="775">
        <v>27046</v>
      </c>
      <c r="J212" s="880">
        <v>3.2</v>
      </c>
      <c r="K212" s="870">
        <v>24.355704707555301</v>
      </c>
      <c r="L212" s="870">
        <v>23.462113387485449</v>
      </c>
      <c r="M212" s="875">
        <f t="shared" si="84"/>
        <v>47.817818095040749</v>
      </c>
      <c r="N212" s="772">
        <f t="shared" si="85"/>
        <v>257.71500000000003</v>
      </c>
      <c r="O212" s="777">
        <f t="shared" si="80"/>
        <v>1.792975399767369E-2</v>
      </c>
      <c r="P212" s="777">
        <f t="shared" si="80"/>
        <v>0.14493408664136903</v>
      </c>
      <c r="Q212" s="777">
        <f t="shared" si="81"/>
        <v>0.22356498379264267</v>
      </c>
      <c r="R212" s="777">
        <f t="shared" si="81"/>
        <v>0.36849907043401164</v>
      </c>
      <c r="S212" s="788">
        <f>IF($A$1="urban",'Calibration Data'!$R204,RuralCalibration!$R204)</f>
        <v>1</v>
      </c>
    </row>
    <row r="213" spans="1:20" ht="15.75" thickBot="1" x14ac:dyDescent="0.3">
      <c r="A213" s="786" t="s">
        <v>191</v>
      </c>
      <c r="B213" s="50">
        <v>2</v>
      </c>
      <c r="C213" s="50" t="s">
        <v>35</v>
      </c>
      <c r="D213" s="775">
        <f t="shared" si="82"/>
        <v>76048.800000000003</v>
      </c>
      <c r="E213" s="881">
        <v>8</v>
      </c>
      <c r="F213" s="877">
        <v>29.816875768209499</v>
      </c>
      <c r="G213" s="877">
        <v>54.357609353773341</v>
      </c>
      <c r="H213" s="878">
        <f t="shared" si="83"/>
        <v>84.17448512198284</v>
      </c>
      <c r="I213" s="775">
        <v>18745.8</v>
      </c>
      <c r="J213" s="881">
        <v>3</v>
      </c>
      <c r="K213" s="877">
        <v>11.7178627395727</v>
      </c>
      <c r="L213" s="877">
        <v>13.398986879792504</v>
      </c>
      <c r="M213" s="878">
        <f t="shared" si="84"/>
        <v>25.116849619365205</v>
      </c>
      <c r="N213" s="772">
        <f t="shared" si="85"/>
        <v>130.97400000000002</v>
      </c>
      <c r="O213" s="777">
        <f t="shared" si="80"/>
        <v>1.3777889986429767E-2</v>
      </c>
      <c r="P213" s="777">
        <f t="shared" si="80"/>
        <v>5.1351704259179259E-2</v>
      </c>
      <c r="Q213" s="777">
        <f t="shared" si="81"/>
        <v>9.3616645200201853E-2</v>
      </c>
      <c r="R213" s="777">
        <f t="shared" si="81"/>
        <v>0.14496834945938109</v>
      </c>
      <c r="S213" s="788">
        <f>IF($A$1="urban",'Calibration Data'!$R205,RuralCalibration!$R205)</f>
        <v>1</v>
      </c>
    </row>
    <row r="214" spans="1:20" x14ac:dyDescent="0.25">
      <c r="D214" s="775">
        <f>SUM(D198:D213)</f>
        <v>3216773</v>
      </c>
      <c r="E214" s="779">
        <f>SUM(E198:E213)</f>
        <v>264.80000000000007</v>
      </c>
      <c r="F214" s="779">
        <f t="shared" ref="F214:R214" si="86">SUM(F198:F213)</f>
        <v>5314.9967570140088</v>
      </c>
      <c r="G214" s="779">
        <f t="shared" si="86"/>
        <v>2545.3218170815071</v>
      </c>
      <c r="H214" s="780">
        <f t="shared" si="86"/>
        <v>7860.3185740955159</v>
      </c>
      <c r="I214" s="775">
        <f t="shared" ref="I214:M214" si="87">SUM(I198:I213)</f>
        <v>651949.20000000019</v>
      </c>
      <c r="J214" s="779">
        <f t="shared" si="87"/>
        <v>104.2</v>
      </c>
      <c r="K214" s="779">
        <f t="shared" si="87"/>
        <v>2012.6871477891434</v>
      </c>
      <c r="L214" s="779">
        <f t="shared" si="87"/>
        <v>939.96175057009168</v>
      </c>
      <c r="M214" s="780">
        <f t="shared" si="87"/>
        <v>2952.6488983592349</v>
      </c>
      <c r="N214" s="779">
        <f t="shared" si="86"/>
        <v>5192.2310000000007</v>
      </c>
      <c r="O214" s="779">
        <f t="shared" si="86"/>
        <v>0.5242631828894585</v>
      </c>
      <c r="P214" s="779">
        <f t="shared" si="86"/>
        <v>9.4834432456596751</v>
      </c>
      <c r="Q214" s="779">
        <f t="shared" si="86"/>
        <v>5.6866676822896114</v>
      </c>
      <c r="R214" s="779">
        <f t="shared" si="86"/>
        <v>15.170110927949283</v>
      </c>
    </row>
    <row r="215" spans="1:20" x14ac:dyDescent="0.25">
      <c r="A215" s="786" t="s">
        <v>213</v>
      </c>
      <c r="E215" s="790">
        <f>100*E214/E216</f>
        <v>9.9400668026543917E-3</v>
      </c>
      <c r="H215" s="793">
        <f>100*H214/H216</f>
        <v>9.6051311880602803E-3</v>
      </c>
      <c r="I215" s="864"/>
      <c r="J215" s="790">
        <v>1.1728210549399548E-3</v>
      </c>
      <c r="K215" s="865"/>
      <c r="L215" s="865"/>
      <c r="M215" s="793">
        <v>4.176470723350854</v>
      </c>
      <c r="O215" s="772">
        <f>O214+O197+O179+O161+O157+O138+O121+O104+O87+O70+O53+O36+O19</f>
        <v>29.708739811211185</v>
      </c>
      <c r="P215" s="772">
        <f>P214+P197+P179+P161+P157+P138+P121+P104+P87+P70+P53+P36+P19</f>
        <v>216.21439378944507</v>
      </c>
      <c r="Q215" s="772">
        <f>Q214+Q197+Q179+Q161+Q157+Q138+Q121+Q104+Q87+Q70+Q53+Q36+Q19</f>
        <v>304.86753212346866</v>
      </c>
      <c r="R215" s="772">
        <f>R214+R197+R179+R161+R157+R138+R121+R104+R87+R70+R53+R36+R19</f>
        <v>509.65493667961624</v>
      </c>
    </row>
    <row r="216" spans="1:20" x14ac:dyDescent="0.25">
      <c r="A216" s="786" t="s">
        <v>130</v>
      </c>
      <c r="B216" s="49">
        <v>0</v>
      </c>
      <c r="C216" s="49">
        <v>0</v>
      </c>
      <c r="D216" s="794">
        <f>D256</f>
        <v>308745538</v>
      </c>
      <c r="E216" s="794">
        <f>E256</f>
        <v>2663966</v>
      </c>
      <c r="F216" s="794">
        <f t="shared" ref="F216:H216" si="88">F256</f>
        <v>45145397.600000001</v>
      </c>
      <c r="G216" s="794">
        <f t="shared" si="88"/>
        <v>36689195</v>
      </c>
      <c r="H216" s="794">
        <f t="shared" si="88"/>
        <v>81834578</v>
      </c>
      <c r="I216" s="794"/>
      <c r="J216" s="794">
        <v>11919977.000000004</v>
      </c>
      <c r="K216" s="794">
        <v>43098.76439541232</v>
      </c>
      <c r="L216" s="794">
        <v>41272</v>
      </c>
      <c r="M216" s="794">
        <v>84378.541736667321</v>
      </c>
      <c r="N216" s="779">
        <f>N214</f>
        <v>5192.2310000000007</v>
      </c>
      <c r="O216" s="782">
        <f>(E216)/$D216*$N216</f>
        <v>44.8004105184704</v>
      </c>
      <c r="P216" s="782">
        <f>(F216)/$D216*$N216</f>
        <v>759.2185281266984</v>
      </c>
      <c r="Q216" s="782">
        <f>(G216)/$D216*$N216</f>
        <v>617.00899996179066</v>
      </c>
      <c r="R216" s="782">
        <f>(H216)/$D216*$N216</f>
        <v>1376.2272825575801</v>
      </c>
      <c r="S216" s="791"/>
    </row>
    <row r="217" spans="1:20" x14ac:dyDescent="0.25">
      <c r="A217" s="786" t="s">
        <v>214</v>
      </c>
      <c r="B217" s="49"/>
      <c r="C217" s="49"/>
      <c r="D217" s="795"/>
      <c r="E217" s="795"/>
      <c r="F217" s="795"/>
      <c r="G217" s="795"/>
      <c r="H217" s="796"/>
      <c r="I217" s="795"/>
      <c r="J217" s="795"/>
      <c r="K217" s="795"/>
      <c r="L217" s="795"/>
      <c r="M217" s="796"/>
      <c r="O217" s="745">
        <f>O215/O216</f>
        <v>0.66313543709522049</v>
      </c>
      <c r="P217" s="314">
        <f>P215/P216</f>
        <v>0.28478545475297357</v>
      </c>
      <c r="Q217" s="314">
        <f>Q215/Q216</f>
        <v>0.494105486536417</v>
      </c>
      <c r="R217" s="314">
        <f>R215/R216</f>
        <v>0.37032759278865168</v>
      </c>
      <c r="S217" s="314"/>
    </row>
    <row r="218" spans="1:20" x14ac:dyDescent="0.25">
      <c r="A218" s="786" t="s">
        <v>202</v>
      </c>
      <c r="H218" s="797"/>
      <c r="I218" s="864"/>
      <c r="J218" s="865"/>
      <c r="K218" s="865"/>
      <c r="L218" s="865"/>
      <c r="M218" s="797"/>
    </row>
    <row r="219" spans="1:20" ht="15.75" thickBot="1" x14ac:dyDescent="0.3">
      <c r="A219" s="49" t="s">
        <v>69</v>
      </c>
      <c r="B219" s="50" t="s">
        <v>68</v>
      </c>
      <c r="D219" s="771" t="s">
        <v>67</v>
      </c>
      <c r="E219" s="772" t="s">
        <v>66</v>
      </c>
      <c r="F219" s="772" t="s">
        <v>65</v>
      </c>
      <c r="G219" s="772" t="s">
        <v>64</v>
      </c>
      <c r="H219" s="773" t="s">
        <v>63</v>
      </c>
      <c r="I219" s="864" t="s">
        <v>67</v>
      </c>
      <c r="J219" s="865" t="s">
        <v>66</v>
      </c>
      <c r="K219" s="865" t="s">
        <v>65</v>
      </c>
      <c r="L219" s="865" t="s">
        <v>64</v>
      </c>
      <c r="M219" s="773" t="s">
        <v>63</v>
      </c>
      <c r="N219" s="771" t="s">
        <v>67</v>
      </c>
      <c r="O219" s="772" t="s">
        <v>66</v>
      </c>
      <c r="P219" s="772" t="s">
        <v>65</v>
      </c>
      <c r="Q219" s="772" t="s">
        <v>64</v>
      </c>
      <c r="R219" s="772" t="s">
        <v>63</v>
      </c>
    </row>
    <row r="220" spans="1:20" x14ac:dyDescent="0.25">
      <c r="A220" s="49">
        <v>1</v>
      </c>
      <c r="B220" s="50">
        <v>0</v>
      </c>
      <c r="D220" s="871">
        <v>100771.8</v>
      </c>
      <c r="E220" s="882">
        <v>120.4</v>
      </c>
      <c r="F220" s="882">
        <v>3836.6801417227098</v>
      </c>
      <c r="G220" s="883">
        <v>1607.4445249088981</v>
      </c>
      <c r="H220" s="873">
        <f>F220+G220</f>
        <v>5444.1246666316074</v>
      </c>
      <c r="I220" s="871">
        <v>19204.2</v>
      </c>
      <c r="J220" s="882">
        <v>27.2</v>
      </c>
      <c r="K220" s="882">
        <v>868.00783294129599</v>
      </c>
      <c r="L220" s="883">
        <v>363.14361360068125</v>
      </c>
      <c r="M220" s="873">
        <f>K220+L220</f>
        <v>1231.1514465419773</v>
      </c>
      <c r="N220" s="772">
        <f>N198</f>
        <v>126.32600000000001</v>
      </c>
      <c r="O220" s="777">
        <f t="shared" ref="O220:P235" si="89">$S220*(E220)/$D220*$N220</f>
        <v>0.14966225874900646</v>
      </c>
      <c r="P220" s="777">
        <f>$S220*((F220)/$D220*$N220)</f>
        <v>4.7691546188345431</v>
      </c>
      <c r="Q220" s="777">
        <f t="shared" ref="Q220:R235" si="90">$S220*(G220)/$D220*$N220</f>
        <v>1.998121083152735</v>
      </c>
      <c r="R220" s="777">
        <f t="shared" si="90"/>
        <v>6.767275701987276</v>
      </c>
      <c r="S220" s="788">
        <f>IF($A$1="urban",'Calibration Data'!R30,RuralCalibration!R30)</f>
        <v>0.99158986627352907</v>
      </c>
      <c r="T220" s="788"/>
    </row>
    <row r="221" spans="1:20" x14ac:dyDescent="0.25">
      <c r="A221" s="49">
        <v>2</v>
      </c>
      <c r="B221" s="50">
        <v>0</v>
      </c>
      <c r="D221" s="874">
        <v>95879.4</v>
      </c>
      <c r="E221" s="884">
        <v>95.4</v>
      </c>
      <c r="F221" s="884">
        <v>3052.2289251890502</v>
      </c>
      <c r="G221" s="885">
        <v>1493.2390836770771</v>
      </c>
      <c r="H221" s="875">
        <f t="shared" ref="H221:H235" si="91">F221+G221</f>
        <v>4545.4680088661271</v>
      </c>
      <c r="I221" s="874">
        <v>18432</v>
      </c>
      <c r="J221" s="884">
        <v>24.8</v>
      </c>
      <c r="K221" s="884">
        <v>794.04236627774901</v>
      </c>
      <c r="L221" s="885">
        <v>388.17955215085442</v>
      </c>
      <c r="M221" s="875">
        <f t="shared" ref="M221:M235" si="92">K221+L221</f>
        <v>1182.2219184286034</v>
      </c>
      <c r="N221" s="772">
        <f>N206</f>
        <v>130.55900000000003</v>
      </c>
      <c r="O221" s="777">
        <f t="shared" si="89"/>
        <v>0.13447756940711994</v>
      </c>
      <c r="P221" s="777">
        <f t="shared" si="89"/>
        <v>4.3024772236219038</v>
      </c>
      <c r="Q221" s="777">
        <f t="shared" si="90"/>
        <v>2.1048968817254545</v>
      </c>
      <c r="R221" s="777">
        <f t="shared" si="90"/>
        <v>6.4073741053473574</v>
      </c>
      <c r="S221" s="788">
        <f>IF($A$1="urban",'Calibration Data'!R22,RuralCalibration!R22)</f>
        <v>1.0351897635372713</v>
      </c>
      <c r="T221" s="788"/>
    </row>
    <row r="222" spans="1:20" x14ac:dyDescent="0.25">
      <c r="A222" s="49">
        <v>1</v>
      </c>
      <c r="B222" s="50">
        <v>5</v>
      </c>
      <c r="D222" s="874">
        <v>205830</v>
      </c>
      <c r="E222" s="884">
        <v>24</v>
      </c>
      <c r="F222" s="884">
        <v>797.20033363635503</v>
      </c>
      <c r="G222" s="885">
        <v>6991.0140228152941</v>
      </c>
      <c r="H222" s="875">
        <f t="shared" si="91"/>
        <v>7788.2143564516491</v>
      </c>
      <c r="I222" s="874">
        <v>39373.4</v>
      </c>
      <c r="J222" s="884">
        <v>6</v>
      </c>
      <c r="K222" s="884">
        <v>199.377129971323</v>
      </c>
      <c r="L222" s="885">
        <v>1865.5588022604261</v>
      </c>
      <c r="M222" s="875">
        <f t="shared" si="92"/>
        <v>2064.9359322317491</v>
      </c>
      <c r="N222" s="772">
        <f>N199</f>
        <v>267.42600000000004</v>
      </c>
      <c r="O222" s="777">
        <f t="shared" si="89"/>
        <v>3.1182160034980332E-2</v>
      </c>
      <c r="P222" s="777">
        <f t="shared" si="89"/>
        <v>1.0357678493078555</v>
      </c>
      <c r="Q222" s="777">
        <f t="shared" si="90"/>
        <v>9.083121586092421</v>
      </c>
      <c r="R222" s="777">
        <f t="shared" si="90"/>
        <v>10.118889435400277</v>
      </c>
      <c r="S222" s="788">
        <f>IF($A$1="urban",'Calibration Data'!R31,RuralCalibration!R31)</f>
        <v>1</v>
      </c>
      <c r="T222" s="788"/>
    </row>
    <row r="223" spans="1:20" x14ac:dyDescent="0.25">
      <c r="A223" s="49">
        <v>2</v>
      </c>
      <c r="B223" s="50">
        <v>5</v>
      </c>
      <c r="D223" s="874">
        <v>196469.6</v>
      </c>
      <c r="E223" s="884">
        <v>21.4</v>
      </c>
      <c r="F223" s="884">
        <v>716.50351445337401</v>
      </c>
      <c r="G223" s="885">
        <v>8088.6995643670716</v>
      </c>
      <c r="H223" s="875">
        <f t="shared" si="91"/>
        <v>8805.2030788204465</v>
      </c>
      <c r="I223" s="874">
        <v>37956.6</v>
      </c>
      <c r="J223" s="884">
        <v>6.4</v>
      </c>
      <c r="K223" s="884">
        <v>214.38155410422701</v>
      </c>
      <c r="L223" s="885">
        <v>1704.4213621909585</v>
      </c>
      <c r="M223" s="875">
        <f t="shared" si="92"/>
        <v>1918.8029162951855</v>
      </c>
      <c r="N223" s="772">
        <f>N207</f>
        <v>274.73000000000008</v>
      </c>
      <c r="O223" s="777">
        <f t="shared" si="89"/>
        <v>2.9924334349945236E-2</v>
      </c>
      <c r="P223" s="777">
        <f t="shared" si="89"/>
        <v>1.0019107817482984</v>
      </c>
      <c r="Q223" s="777">
        <f t="shared" si="90"/>
        <v>11.310698608428815</v>
      </c>
      <c r="R223" s="777">
        <f t="shared" si="90"/>
        <v>12.312609390177116</v>
      </c>
      <c r="S223" s="788">
        <f>IF($A$1="urban",'Calibration Data'!R23,RuralCalibration!R23)</f>
        <v>1</v>
      </c>
      <c r="T223" s="788"/>
    </row>
    <row r="224" spans="1:20" x14ac:dyDescent="0.25">
      <c r="A224" s="49">
        <v>1</v>
      </c>
      <c r="B224" s="50">
        <v>15</v>
      </c>
      <c r="D224" s="874">
        <v>333948</v>
      </c>
      <c r="E224" s="884">
        <v>286.8</v>
      </c>
      <c r="F224" s="884">
        <v>8600.8563443170297</v>
      </c>
      <c r="G224" s="885">
        <v>21333.330845787419</v>
      </c>
      <c r="H224" s="875">
        <f t="shared" si="91"/>
        <v>29934.187190104451</v>
      </c>
      <c r="I224" s="874">
        <v>59712.800000000003</v>
      </c>
      <c r="J224" s="884">
        <v>74.2</v>
      </c>
      <c r="K224" s="884">
        <v>2229.9910666235501</v>
      </c>
      <c r="L224" s="885">
        <v>5519.2927083592276</v>
      </c>
      <c r="M224" s="875">
        <f t="shared" si="92"/>
        <v>7749.2837749827777</v>
      </c>
      <c r="N224" s="772">
        <f>N200</f>
        <v>408.11100000000005</v>
      </c>
      <c r="O224" s="777">
        <f t="shared" si="89"/>
        <v>0.35159070414787202</v>
      </c>
      <c r="P224" s="777">
        <f t="shared" si="89"/>
        <v>10.543867288609194</v>
      </c>
      <c r="Q224" s="777">
        <f t="shared" si="90"/>
        <v>26.152722503102911</v>
      </c>
      <c r="R224" s="777">
        <f t="shared" si="90"/>
        <v>36.696589791712114</v>
      </c>
      <c r="S224" s="788">
        <f>IF($A$1="urban",'Calibration Data'!R32,RuralCalibration!R32)</f>
        <v>1.0031336135621984</v>
      </c>
      <c r="T224" s="788"/>
    </row>
    <row r="225" spans="1:20" x14ac:dyDescent="0.25">
      <c r="A225" s="49">
        <v>2</v>
      </c>
      <c r="B225" s="50">
        <v>15</v>
      </c>
      <c r="D225" s="874">
        <v>327420</v>
      </c>
      <c r="E225" s="884">
        <v>107.2</v>
      </c>
      <c r="F225" s="884">
        <v>3254.4148958035498</v>
      </c>
      <c r="G225" s="885">
        <v>24228.288099265948</v>
      </c>
      <c r="H225" s="875">
        <f t="shared" si="91"/>
        <v>27482.7029950695</v>
      </c>
      <c r="I225" s="874">
        <v>53626</v>
      </c>
      <c r="J225" s="884">
        <v>28.4</v>
      </c>
      <c r="K225" s="884">
        <v>864.58403687110194</v>
      </c>
      <c r="L225" s="885">
        <v>6418.6882651040378</v>
      </c>
      <c r="M225" s="875">
        <f t="shared" si="92"/>
        <v>7283.2723019751393</v>
      </c>
      <c r="N225" s="772">
        <f>N208</f>
        <v>418.07100000000008</v>
      </c>
      <c r="O225" s="777">
        <f t="shared" si="89"/>
        <v>0.13785762600174944</v>
      </c>
      <c r="P225" s="777">
        <f t="shared" si="89"/>
        <v>4.1851297720168672</v>
      </c>
      <c r="Q225" s="777">
        <f t="shared" si="90"/>
        <v>31.157222756075022</v>
      </c>
      <c r="R225" s="777">
        <f t="shared" si="90"/>
        <v>35.342352528091894</v>
      </c>
      <c r="S225" s="788">
        <f>IF($A$1="urban",'Calibration Data'!R24,RuralCalibration!R24)</f>
        <v>1.0071430751026471</v>
      </c>
      <c r="T225" s="788"/>
    </row>
    <row r="226" spans="1:20" x14ac:dyDescent="0.25">
      <c r="A226" s="49">
        <v>1</v>
      </c>
      <c r="B226" s="50">
        <v>30</v>
      </c>
      <c r="D226" s="874">
        <v>334802.40000000002</v>
      </c>
      <c r="E226" s="884">
        <v>526.6</v>
      </c>
      <c r="F226" s="884">
        <v>12659.100563543599</v>
      </c>
      <c r="G226" s="885">
        <v>29584.172478897326</v>
      </c>
      <c r="H226" s="875">
        <f t="shared" si="91"/>
        <v>42243.273042440924</v>
      </c>
      <c r="I226" s="874">
        <v>54951</v>
      </c>
      <c r="J226" s="884">
        <v>125</v>
      </c>
      <c r="K226" s="884">
        <v>3014.5356349896902</v>
      </c>
      <c r="L226" s="885">
        <v>7022.4488413637782</v>
      </c>
      <c r="M226" s="875">
        <f t="shared" si="92"/>
        <v>10036.984476353467</v>
      </c>
      <c r="N226" s="772">
        <f>N201</f>
        <v>393.50300000000004</v>
      </c>
      <c r="O226" s="777">
        <f t="shared" si="89"/>
        <v>0.63059619728273186</v>
      </c>
      <c r="P226" s="777">
        <f t="shared" si="89"/>
        <v>15.159097372560352</v>
      </c>
      <c r="Q226" s="777">
        <f t="shared" si="90"/>
        <v>35.426636279812193</v>
      </c>
      <c r="R226" s="777">
        <f t="shared" si="90"/>
        <v>50.585733652372546</v>
      </c>
      <c r="S226" s="788">
        <f>IF($A$1="urban",'Calibration Data'!R33,RuralCalibration!R33)</f>
        <v>1.0188517776722756</v>
      </c>
      <c r="T226" s="788"/>
    </row>
    <row r="227" spans="1:20" x14ac:dyDescent="0.25">
      <c r="A227" s="49">
        <v>2</v>
      </c>
      <c r="B227" s="50">
        <v>30</v>
      </c>
      <c r="D227" s="874">
        <v>327918</v>
      </c>
      <c r="E227" s="884">
        <v>290.2</v>
      </c>
      <c r="F227" s="884">
        <v>7094.6520102408704</v>
      </c>
      <c r="G227" s="885">
        <v>32436.37820924116</v>
      </c>
      <c r="H227" s="875">
        <f t="shared" si="91"/>
        <v>39531.030219482032</v>
      </c>
      <c r="I227" s="874">
        <v>51801</v>
      </c>
      <c r="J227" s="884">
        <v>70.400000000000006</v>
      </c>
      <c r="K227" s="884">
        <v>1726.3090563445901</v>
      </c>
      <c r="L227" s="885">
        <v>7868.7836868731147</v>
      </c>
      <c r="M227" s="875">
        <f t="shared" si="92"/>
        <v>9595.092743217705</v>
      </c>
      <c r="N227" s="772">
        <f>N209</f>
        <v>405.04</v>
      </c>
      <c r="O227" s="777">
        <f t="shared" si="89"/>
        <v>0.34937736880466014</v>
      </c>
      <c r="P227" s="777">
        <f t="shared" si="89"/>
        <v>8.5413881871903801</v>
      </c>
      <c r="Q227" s="777">
        <f t="shared" si="90"/>
        <v>39.050780400749453</v>
      </c>
      <c r="R227" s="777">
        <f t="shared" si="90"/>
        <v>47.592168587939838</v>
      </c>
      <c r="S227" s="788">
        <f>IF($A$1="urban",'Calibration Data'!R25,RuralCalibration!R25)</f>
        <v>0.97468594557376631</v>
      </c>
      <c r="T227" s="788" t="s">
        <v>480</v>
      </c>
    </row>
    <row r="228" spans="1:20" x14ac:dyDescent="0.25">
      <c r="A228" s="49">
        <v>1</v>
      </c>
      <c r="B228" s="50">
        <v>45</v>
      </c>
      <c r="D228" s="874">
        <v>324395.59999999998</v>
      </c>
      <c r="E228" s="884">
        <v>1853.6</v>
      </c>
      <c r="F228" s="884">
        <v>30938.743456731401</v>
      </c>
      <c r="G228" s="885">
        <v>40998.884562843654</v>
      </c>
      <c r="H228" s="875">
        <f t="shared" si="91"/>
        <v>71937.628019575059</v>
      </c>
      <c r="I228" s="874">
        <v>70272</v>
      </c>
      <c r="J228" s="884">
        <v>528.6</v>
      </c>
      <c r="K228" s="884">
        <v>8777.9115370330292</v>
      </c>
      <c r="L228" s="885">
        <v>11691.848500172182</v>
      </c>
      <c r="M228" s="875">
        <f t="shared" si="92"/>
        <v>20469.760037205211</v>
      </c>
      <c r="N228" s="772">
        <f>N202</f>
        <v>581.00000000000011</v>
      </c>
      <c r="O228" s="777">
        <f t="shared" si="89"/>
        <v>3.4142091504405179</v>
      </c>
      <c r="P228" s="777">
        <f t="shared" si="89"/>
        <v>56.987128297962919</v>
      </c>
      <c r="Q228" s="777">
        <f t="shared" si="90"/>
        <v>75.517245809406177</v>
      </c>
      <c r="R228" s="777">
        <f t="shared" si="90"/>
        <v>132.5043741073691</v>
      </c>
      <c r="S228" s="788">
        <f>IF($A$1="urban",'Calibration Data'!R34,RuralCalibration!R34)</f>
        <v>1.0284257065403006</v>
      </c>
      <c r="T228" s="788"/>
    </row>
    <row r="229" spans="1:20" x14ac:dyDescent="0.25">
      <c r="A229" s="49">
        <v>2</v>
      </c>
      <c r="B229" s="50">
        <v>45</v>
      </c>
      <c r="D229" s="874">
        <v>337487.2</v>
      </c>
      <c r="E229" s="884">
        <v>1178.8</v>
      </c>
      <c r="F229" s="884">
        <v>20867.213737401002</v>
      </c>
      <c r="G229" s="885">
        <v>46599.545747404452</v>
      </c>
      <c r="H229" s="875">
        <f t="shared" si="91"/>
        <v>67466.759484805458</v>
      </c>
      <c r="I229" s="874">
        <v>71962</v>
      </c>
      <c r="J229" s="884">
        <v>322.60000000000002</v>
      </c>
      <c r="K229" s="884">
        <v>5688.8704378250804</v>
      </c>
      <c r="L229" s="885">
        <v>12752.810873865523</v>
      </c>
      <c r="M229" s="875">
        <f t="shared" si="92"/>
        <v>18441.681311690605</v>
      </c>
      <c r="N229" s="772">
        <f>N210</f>
        <v>543.15200000000004</v>
      </c>
      <c r="O229" s="777">
        <f t="shared" si="89"/>
        <v>1.8851702619733228</v>
      </c>
      <c r="P229" s="777">
        <f t="shared" si="89"/>
        <v>33.371437723099397</v>
      </c>
      <c r="Q229" s="777">
        <f t="shared" si="90"/>
        <v>74.523310030940195</v>
      </c>
      <c r="R229" s="777">
        <f t="shared" si="90"/>
        <v>107.89474775403957</v>
      </c>
      <c r="S229" s="788">
        <f>IF($A$1="urban",'Calibration Data'!R26,RuralCalibration!R26)</f>
        <v>0.99367960442644032</v>
      </c>
      <c r="T229" s="788"/>
    </row>
    <row r="230" spans="1:20" x14ac:dyDescent="0.25">
      <c r="A230" s="49">
        <v>1</v>
      </c>
      <c r="B230" s="50">
        <v>60</v>
      </c>
      <c r="D230" s="874">
        <v>163949.4</v>
      </c>
      <c r="E230" s="884">
        <v>2214.8000000000002</v>
      </c>
      <c r="F230" s="884">
        <v>24826.920270629998</v>
      </c>
      <c r="G230" s="885">
        <v>24804.436377721828</v>
      </c>
      <c r="H230" s="875">
        <f t="shared" si="91"/>
        <v>49631.356648351823</v>
      </c>
      <c r="I230" s="874">
        <v>44455</v>
      </c>
      <c r="J230" s="884">
        <v>689.2</v>
      </c>
      <c r="K230" s="884">
        <v>7681.4936737436401</v>
      </c>
      <c r="L230" s="885">
        <v>7718.6281160944027</v>
      </c>
      <c r="M230" s="875">
        <f t="shared" si="92"/>
        <v>15400.121789838042</v>
      </c>
      <c r="N230" s="772">
        <f>N203</f>
        <v>422.47000000000008</v>
      </c>
      <c r="O230" s="777">
        <f t="shared" si="89"/>
        <v>5.6606446663322023</v>
      </c>
      <c r="P230" s="777">
        <f t="shared" si="89"/>
        <v>63.453302244625483</v>
      </c>
      <c r="Q230" s="777">
        <f t="shared" si="90"/>
        <v>63.395837313945954</v>
      </c>
      <c r="R230" s="777">
        <f t="shared" si="90"/>
        <v>126.84913955857144</v>
      </c>
      <c r="S230" s="788">
        <f>IF($A$1="urban",'Calibration Data'!R35,RuralCalibration!R35)</f>
        <v>0.99184848890611232</v>
      </c>
      <c r="T230" s="788"/>
    </row>
    <row r="231" spans="1:20" x14ac:dyDescent="0.25">
      <c r="A231" s="49">
        <v>2</v>
      </c>
      <c r="B231" s="50">
        <v>60</v>
      </c>
      <c r="D231" s="874">
        <v>176202.8</v>
      </c>
      <c r="E231" s="884">
        <v>1560.4</v>
      </c>
      <c r="F231" s="884">
        <v>19334.357265947201</v>
      </c>
      <c r="G231" s="885">
        <v>27185.959535970735</v>
      </c>
      <c r="H231" s="875">
        <f t="shared" si="91"/>
        <v>46520.316801917936</v>
      </c>
      <c r="I231" s="874">
        <v>45270.8</v>
      </c>
      <c r="J231" s="884">
        <v>461.2</v>
      </c>
      <c r="K231" s="884">
        <v>5674.2246100158</v>
      </c>
      <c r="L231" s="885">
        <v>8035.2246462379535</v>
      </c>
      <c r="M231" s="875">
        <f t="shared" si="92"/>
        <v>13709.449256253753</v>
      </c>
      <c r="N231" s="772">
        <f>N211</f>
        <v>399.14700000000005</v>
      </c>
      <c r="O231" s="777">
        <f t="shared" si="89"/>
        <v>3.5101876311088858</v>
      </c>
      <c r="P231" s="777">
        <f t="shared" si="89"/>
        <v>43.493477140712692</v>
      </c>
      <c r="Q231" s="777">
        <f t="shared" si="90"/>
        <v>61.155997758902295</v>
      </c>
      <c r="R231" s="777">
        <f t="shared" si="90"/>
        <v>104.64947489961499</v>
      </c>
      <c r="S231" s="788">
        <f>IF($A$1="urban",'Calibration Data'!R27,RuralCalibration!R27)</f>
        <v>0.99305734026445192</v>
      </c>
      <c r="T231" s="788"/>
    </row>
    <row r="232" spans="1:20" x14ac:dyDescent="0.25">
      <c r="A232" s="49">
        <v>1</v>
      </c>
      <c r="B232" s="50">
        <v>70</v>
      </c>
      <c r="D232" s="874">
        <v>78168.399999999994</v>
      </c>
      <c r="E232" s="884">
        <v>2468.6</v>
      </c>
      <c r="F232" s="884">
        <v>16770.592766561698</v>
      </c>
      <c r="G232" s="885">
        <v>14571.672209475058</v>
      </c>
      <c r="H232" s="875">
        <f t="shared" si="91"/>
        <v>31342.264976036757</v>
      </c>
      <c r="I232" s="874">
        <v>25872.400000000001</v>
      </c>
      <c r="J232" s="884">
        <v>882.4</v>
      </c>
      <c r="K232" s="884">
        <v>6012.4257002050399</v>
      </c>
      <c r="L232" s="885">
        <v>5208.6379152721347</v>
      </c>
      <c r="M232" s="875">
        <f t="shared" si="92"/>
        <v>11221.063615477175</v>
      </c>
      <c r="N232" s="772">
        <f>N204</f>
        <v>272.24</v>
      </c>
      <c r="O232" s="777">
        <f t="shared" si="89"/>
        <v>8.3191706929060825</v>
      </c>
      <c r="P232" s="777">
        <f t="shared" si="89"/>
        <v>56.516820807843644</v>
      </c>
      <c r="Q232" s="777">
        <f t="shared" si="90"/>
        <v>49.106468602324767</v>
      </c>
      <c r="R232" s="777">
        <f t="shared" si="90"/>
        <v>105.62328941016841</v>
      </c>
      <c r="S232" s="788">
        <f>IF($A$1="urban",'Calibration Data'!R36,RuralCalibration!R36)</f>
        <v>0.96762837922436828</v>
      </c>
      <c r="T232" s="788"/>
    </row>
    <row r="233" spans="1:20" x14ac:dyDescent="0.25">
      <c r="A233" s="49">
        <v>2</v>
      </c>
      <c r="B233" s="50">
        <v>70</v>
      </c>
      <c r="D233" s="874">
        <v>91991</v>
      </c>
      <c r="E233" s="884">
        <v>2156.1999999999998</v>
      </c>
      <c r="F233" s="884">
        <v>16700.1069457591</v>
      </c>
      <c r="G233" s="885">
        <v>18012.343468929539</v>
      </c>
      <c r="H233" s="875">
        <f t="shared" si="91"/>
        <v>34712.450414688639</v>
      </c>
      <c r="I233" s="874">
        <v>27046</v>
      </c>
      <c r="J233" s="884">
        <v>700.2</v>
      </c>
      <c r="K233" s="884">
        <v>5411.4287512606097</v>
      </c>
      <c r="L233" s="885">
        <v>5849.2917618701722</v>
      </c>
      <c r="M233" s="875">
        <f t="shared" si="92"/>
        <v>11260.720513130782</v>
      </c>
      <c r="N233" s="772">
        <f>N212</f>
        <v>257.71500000000003</v>
      </c>
      <c r="O233" s="777">
        <f t="shared" si="89"/>
        <v>6.067340092484466</v>
      </c>
      <c r="P233" s="777">
        <f t="shared" si="89"/>
        <v>46.992499963260585</v>
      </c>
      <c r="Q233" s="777">
        <f t="shared" si="90"/>
        <v>50.685007739837175</v>
      </c>
      <c r="R233" s="777">
        <f t="shared" si="90"/>
        <v>97.677507703097774</v>
      </c>
      <c r="S233" s="788">
        <f>IF($A$1="urban",'Calibration Data'!R28,RuralCalibration!R28)</f>
        <v>1.0044190487073745</v>
      </c>
      <c r="T233" s="788"/>
    </row>
    <row r="234" spans="1:20" x14ac:dyDescent="0.25">
      <c r="A234" s="49">
        <v>1</v>
      </c>
      <c r="B234" s="50">
        <v>80</v>
      </c>
      <c r="D234" s="874">
        <v>45490.6</v>
      </c>
      <c r="E234" s="884">
        <v>5034.8</v>
      </c>
      <c r="F234" s="884">
        <v>15720.9502067798</v>
      </c>
      <c r="G234" s="885">
        <v>12556.441007162275</v>
      </c>
      <c r="H234" s="875">
        <f t="shared" si="91"/>
        <v>28277.391213942075</v>
      </c>
      <c r="I234" s="874">
        <v>13268.2</v>
      </c>
      <c r="J234" s="884">
        <v>1465.6</v>
      </c>
      <c r="K234" s="884">
        <v>4655.3684522845797</v>
      </c>
      <c r="L234" s="885">
        <v>3655.1044609710475</v>
      </c>
      <c r="M234" s="875">
        <f t="shared" si="92"/>
        <v>8310.4729132556276</v>
      </c>
      <c r="N234" s="772">
        <f>N205</f>
        <v>161.76700000000002</v>
      </c>
      <c r="O234" s="777">
        <f t="shared" si="89"/>
        <v>17.58095586200422</v>
      </c>
      <c r="P234" s="777">
        <f t="shared" si="89"/>
        <v>54.895791629093871</v>
      </c>
      <c r="Q234" s="777">
        <f t="shared" si="90"/>
        <v>43.845681085798802</v>
      </c>
      <c r="R234" s="777">
        <f t="shared" si="90"/>
        <v>98.741472714892666</v>
      </c>
      <c r="S234" s="788">
        <f>IF($A$1="urban",'Calibration Data'!R37,RuralCalibration!R37)</f>
        <v>0.98195592193953063</v>
      </c>
      <c r="T234" s="788"/>
    </row>
    <row r="235" spans="1:20" ht="15.75" thickBot="1" x14ac:dyDescent="0.3">
      <c r="A235" s="49">
        <v>2</v>
      </c>
      <c r="B235" s="50">
        <v>80</v>
      </c>
      <c r="D235" s="876">
        <v>76048.800000000003</v>
      </c>
      <c r="E235" s="886">
        <v>7337</v>
      </c>
      <c r="F235" s="886">
        <v>24071.118580594601</v>
      </c>
      <c r="G235" s="887">
        <v>19777.270032320619</v>
      </c>
      <c r="H235" s="878">
        <f t="shared" si="91"/>
        <v>43848.388612915223</v>
      </c>
      <c r="I235" s="876">
        <v>18745.8</v>
      </c>
      <c r="J235" s="886">
        <v>1823.8</v>
      </c>
      <c r="K235" s="886">
        <v>6101.4884635562603</v>
      </c>
      <c r="L235" s="887">
        <v>4916.1489825468652</v>
      </c>
      <c r="M235" s="878">
        <f t="shared" si="92"/>
        <v>11017.637446103126</v>
      </c>
      <c r="N235" s="772">
        <f>N213</f>
        <v>130.97400000000002</v>
      </c>
      <c r="O235" s="777">
        <f t="shared" si="89"/>
        <v>12.254021674628291</v>
      </c>
      <c r="P235" s="777">
        <f t="shared" si="89"/>
        <v>40.202808889076465</v>
      </c>
      <c r="Q235" s="777">
        <f t="shared" si="90"/>
        <v>33.031360997823825</v>
      </c>
      <c r="R235" s="777">
        <f t="shared" si="90"/>
        <v>73.23416988690029</v>
      </c>
      <c r="S235" s="788">
        <f>IF($A$1="urban",'Calibration Data'!R29,RuralCalibration!R29)</f>
        <v>0.96976699528899035</v>
      </c>
      <c r="T235" s="788"/>
    </row>
    <row r="236" spans="1:20" x14ac:dyDescent="0.25">
      <c r="A236" s="10"/>
      <c r="B236" s="10"/>
      <c r="D236" s="775">
        <f>SUM(D220:D235)</f>
        <v>3216773</v>
      </c>
      <c r="E236" s="779">
        <f>SUM(E220:E235)</f>
        <v>25276.2</v>
      </c>
      <c r="F236" s="779">
        <f t="shared" ref="F236:R236" si="93">SUM(F220:F235)</f>
        <v>209241.63995931132</v>
      </c>
      <c r="G236" s="779">
        <f t="shared" si="93"/>
        <v>330269.11977078841</v>
      </c>
      <c r="H236" s="780">
        <f t="shared" si="93"/>
        <v>539510.7597300997</v>
      </c>
      <c r="I236" s="781">
        <f t="shared" ref="I236:M236" si="94">SUM(I220:I235)</f>
        <v>651949.20000000007</v>
      </c>
      <c r="J236" s="779">
        <f t="shared" si="94"/>
        <v>7236.0000000000009</v>
      </c>
      <c r="K236" s="779">
        <f t="shared" si="94"/>
        <v>59914.440304047566</v>
      </c>
      <c r="L236" s="779">
        <f t="shared" si="94"/>
        <v>90978.21208893336</v>
      </c>
      <c r="M236" s="780">
        <f t="shared" si="94"/>
        <v>150892.6523929809</v>
      </c>
      <c r="N236" s="779">
        <f t="shared" si="93"/>
        <v>5192.2310000000007</v>
      </c>
      <c r="O236" s="779">
        <f t="shared" si="93"/>
        <v>60.506368250656053</v>
      </c>
      <c r="P236" s="779">
        <f t="shared" si="93"/>
        <v>445.45205978956449</v>
      </c>
      <c r="Q236" s="779">
        <f t="shared" si="93"/>
        <v>607.54510943811817</v>
      </c>
      <c r="R236" s="779">
        <f t="shared" si="93"/>
        <v>1052.9971692276827</v>
      </c>
    </row>
    <row r="237" spans="1:20" x14ac:dyDescent="0.25">
      <c r="I237" s="775"/>
    </row>
    <row r="238" spans="1:20" x14ac:dyDescent="0.25">
      <c r="A238" s="786" t="s">
        <v>612</v>
      </c>
      <c r="I238" s="775"/>
    </row>
    <row r="239" spans="1:20" x14ac:dyDescent="0.25">
      <c r="A239" s="49" t="s">
        <v>69</v>
      </c>
      <c r="B239" s="50" t="s">
        <v>68</v>
      </c>
      <c r="D239" s="771" t="s">
        <v>67</v>
      </c>
      <c r="E239" s="772" t="s">
        <v>66</v>
      </c>
      <c r="F239" s="772" t="s">
        <v>65</v>
      </c>
      <c r="G239" s="772" t="s">
        <v>64</v>
      </c>
      <c r="H239" s="773" t="s">
        <v>63</v>
      </c>
      <c r="I239" s="775"/>
    </row>
    <row r="240" spans="1:20" x14ac:dyDescent="0.25">
      <c r="A240" s="49">
        <v>1</v>
      </c>
      <c r="B240" s="50">
        <v>0</v>
      </c>
      <c r="D240" s="771">
        <v>10319427</v>
      </c>
      <c r="E240" s="772">
        <v>17260.900000000001</v>
      </c>
      <c r="F240" s="772">
        <v>1477720</v>
      </c>
      <c r="G240" s="772">
        <v>230448</v>
      </c>
      <c r="H240" s="773">
        <v>1708170</v>
      </c>
    </row>
    <row r="241" spans="1:19" x14ac:dyDescent="0.25">
      <c r="A241" s="10">
        <v>2</v>
      </c>
      <c r="B241" s="10">
        <v>0</v>
      </c>
      <c r="C241" s="10"/>
      <c r="D241" s="10">
        <v>9881935</v>
      </c>
      <c r="E241" s="10">
        <v>13576</v>
      </c>
      <c r="F241" s="10">
        <v>1162690</v>
      </c>
      <c r="G241" s="10">
        <v>212497</v>
      </c>
      <c r="H241" s="770">
        <v>1375190</v>
      </c>
      <c r="J241" s="10"/>
      <c r="K241" s="10"/>
      <c r="L241" s="10"/>
      <c r="M241" s="770"/>
      <c r="N241" s="10"/>
      <c r="O241" s="10"/>
      <c r="P241" s="10"/>
      <c r="Q241" s="10"/>
      <c r="R241" s="10"/>
      <c r="S241" s="10"/>
    </row>
    <row r="242" spans="1:19" x14ac:dyDescent="0.25">
      <c r="A242" s="10">
        <v>1</v>
      </c>
      <c r="B242" s="10">
        <v>5</v>
      </c>
      <c r="C242" s="10"/>
      <c r="D242" s="10">
        <v>20969500</v>
      </c>
      <c r="E242" s="10">
        <v>3410.87</v>
      </c>
      <c r="F242" s="10">
        <v>257784</v>
      </c>
      <c r="G242" s="10">
        <v>993560</v>
      </c>
      <c r="H242" s="770">
        <v>1251344</v>
      </c>
      <c r="J242" s="10"/>
      <c r="K242" s="10"/>
      <c r="L242" s="10"/>
      <c r="M242" s="770"/>
      <c r="N242" s="10"/>
      <c r="O242" s="10"/>
      <c r="P242" s="10"/>
      <c r="Q242" s="10"/>
      <c r="R242" s="10"/>
      <c r="S242" s="10"/>
    </row>
    <row r="243" spans="1:19" x14ac:dyDescent="0.25">
      <c r="A243" s="10">
        <v>2</v>
      </c>
      <c r="B243" s="10">
        <v>5</v>
      </c>
      <c r="C243" s="10"/>
      <c r="D243" s="10">
        <v>20056351</v>
      </c>
      <c r="E243" s="10">
        <v>2382.7399999999998</v>
      </c>
      <c r="F243" s="10">
        <v>181224.6</v>
      </c>
      <c r="G243" s="10">
        <v>900620</v>
      </c>
      <c r="H243" s="770">
        <v>1081844</v>
      </c>
      <c r="J243" s="10"/>
      <c r="K243" s="10"/>
      <c r="L243" s="10"/>
      <c r="M243" s="770"/>
      <c r="N243" s="10"/>
      <c r="O243" s="10"/>
      <c r="P243" s="10"/>
      <c r="Q243" s="10"/>
      <c r="R243" s="10"/>
      <c r="S243" s="10"/>
    </row>
    <row r="244" spans="1:19" x14ac:dyDescent="0.25">
      <c r="A244" s="10">
        <v>1</v>
      </c>
      <c r="B244" s="10">
        <v>15</v>
      </c>
      <c r="C244" s="10"/>
      <c r="D244" s="10">
        <v>32953433</v>
      </c>
      <c r="E244" s="10">
        <v>38217.050000000003</v>
      </c>
      <c r="F244" s="10">
        <v>2414062</v>
      </c>
      <c r="G244" s="10">
        <v>2842737</v>
      </c>
      <c r="H244" s="770">
        <v>5256800</v>
      </c>
      <c r="I244" s="10"/>
      <c r="J244" s="10"/>
      <c r="K244" s="10"/>
      <c r="L244" s="10"/>
      <c r="M244" s="770"/>
      <c r="N244" s="10"/>
      <c r="O244" s="10"/>
      <c r="P244" s="10"/>
      <c r="Q244" s="10"/>
      <c r="R244" s="10"/>
      <c r="S244" s="10"/>
    </row>
    <row r="245" spans="1:19" x14ac:dyDescent="0.25">
      <c r="A245" s="10">
        <v>2</v>
      </c>
      <c r="B245" s="10">
        <v>15</v>
      </c>
      <c r="C245" s="10"/>
      <c r="D245" s="10">
        <v>31774758</v>
      </c>
      <c r="E245" s="10">
        <v>13507.15</v>
      </c>
      <c r="F245" s="10">
        <v>853481</v>
      </c>
      <c r="G245" s="10">
        <v>3052753</v>
      </c>
      <c r="H245" s="770">
        <v>3906230</v>
      </c>
      <c r="I245" s="10"/>
      <c r="J245" s="10"/>
      <c r="K245" s="10"/>
      <c r="L245" s="10"/>
      <c r="M245" s="770"/>
      <c r="N245" s="10"/>
      <c r="O245" s="10"/>
      <c r="P245" s="10"/>
      <c r="Q245" s="10"/>
      <c r="R245" s="10"/>
      <c r="S245" s="10"/>
    </row>
    <row r="246" spans="1:19" x14ac:dyDescent="0.25">
      <c r="A246" s="10">
        <v>1</v>
      </c>
      <c r="B246" s="10">
        <v>30</v>
      </c>
      <c r="C246" s="10"/>
      <c r="D246" s="10">
        <v>30432499</v>
      </c>
      <c r="E246" s="10">
        <v>59056.5</v>
      </c>
      <c r="F246" s="10">
        <v>2827164</v>
      </c>
      <c r="G246" s="10">
        <v>3317770</v>
      </c>
      <c r="H246" s="770">
        <v>6144930</v>
      </c>
      <c r="I246" s="10"/>
      <c r="J246" s="10"/>
      <c r="K246" s="10"/>
      <c r="L246" s="10"/>
      <c r="M246" s="770"/>
      <c r="N246" s="10"/>
      <c r="O246" s="10"/>
      <c r="P246" s="10"/>
      <c r="Q246" s="10"/>
      <c r="R246" s="10"/>
      <c r="S246" s="10"/>
    </row>
    <row r="247" spans="1:19" x14ac:dyDescent="0.25">
      <c r="A247" s="10">
        <v>2</v>
      </c>
      <c r="B247" s="10">
        <v>30</v>
      </c>
      <c r="C247" s="10"/>
      <c r="D247" s="10">
        <v>30600206</v>
      </c>
      <c r="E247" s="10">
        <v>33898.589999999997</v>
      </c>
      <c r="F247" s="10">
        <v>1608672</v>
      </c>
      <c r="G247" s="10">
        <v>3788930</v>
      </c>
      <c r="H247" s="770">
        <v>5397610</v>
      </c>
      <c r="I247" s="10"/>
      <c r="J247" s="10"/>
      <c r="K247" s="10"/>
      <c r="L247" s="10"/>
      <c r="M247" s="770"/>
      <c r="N247" s="10"/>
      <c r="O247" s="10"/>
      <c r="P247" s="10"/>
      <c r="Q247" s="10"/>
      <c r="R247" s="10"/>
      <c r="S247" s="10"/>
    </row>
    <row r="248" spans="1:19" x14ac:dyDescent="0.25">
      <c r="A248" s="10">
        <v>1</v>
      </c>
      <c r="B248" s="10">
        <v>45</v>
      </c>
      <c r="C248" s="10"/>
      <c r="D248" s="10">
        <v>31666007</v>
      </c>
      <c r="E248" s="10">
        <v>193402.2</v>
      </c>
      <c r="F248" s="10">
        <v>6528940</v>
      </c>
      <c r="G248" s="10">
        <v>4277770</v>
      </c>
      <c r="H248" s="770">
        <v>10806720</v>
      </c>
      <c r="I248" s="10"/>
      <c r="J248" s="10"/>
      <c r="K248" s="10"/>
      <c r="L248" s="10"/>
      <c r="M248" s="770"/>
      <c r="N248" s="10"/>
      <c r="O248" s="10"/>
      <c r="P248" s="10"/>
      <c r="Q248" s="10"/>
      <c r="R248" s="10"/>
      <c r="S248" s="10"/>
    </row>
    <row r="249" spans="1:19" x14ac:dyDescent="0.25">
      <c r="A249" s="10">
        <v>2</v>
      </c>
      <c r="B249" s="10">
        <v>45</v>
      </c>
      <c r="C249" s="10"/>
      <c r="D249" s="10">
        <v>33005514</v>
      </c>
      <c r="E249" s="10">
        <v>123702.1</v>
      </c>
      <c r="F249" s="10">
        <v>4166700</v>
      </c>
      <c r="G249" s="10">
        <v>4890110</v>
      </c>
      <c r="H249" s="770">
        <v>9056810</v>
      </c>
      <c r="I249" s="10"/>
      <c r="J249" s="10"/>
      <c r="K249" s="10"/>
      <c r="L249" s="10"/>
      <c r="M249" s="770"/>
      <c r="N249" s="10"/>
      <c r="O249" s="10"/>
      <c r="P249" s="10"/>
      <c r="Q249" s="10"/>
      <c r="R249" s="10"/>
      <c r="S249" s="10"/>
    </row>
    <row r="250" spans="1:19" x14ac:dyDescent="0.25">
      <c r="A250" s="10">
        <v>1</v>
      </c>
      <c r="B250" s="10">
        <v>60</v>
      </c>
      <c r="C250" s="10"/>
      <c r="D250" s="10">
        <v>13930047</v>
      </c>
      <c r="E250" s="10">
        <v>216858</v>
      </c>
      <c r="F250" s="10">
        <v>5022180</v>
      </c>
      <c r="G250" s="10">
        <v>2428680</v>
      </c>
      <c r="H250" s="770">
        <v>7450870</v>
      </c>
      <c r="I250" s="10"/>
      <c r="J250" s="10"/>
      <c r="K250" s="10"/>
      <c r="L250" s="10"/>
      <c r="M250" s="770"/>
      <c r="N250" s="10"/>
      <c r="O250" s="10"/>
      <c r="P250" s="10"/>
      <c r="Q250" s="10"/>
      <c r="R250" s="10"/>
      <c r="S250" s="10"/>
    </row>
    <row r="251" spans="1:19" x14ac:dyDescent="0.25">
      <c r="A251" s="10">
        <v>2</v>
      </c>
      <c r="B251" s="10">
        <v>60</v>
      </c>
      <c r="C251" s="10"/>
      <c r="D251" s="10">
        <v>15323140</v>
      </c>
      <c r="E251" s="10">
        <v>158446.9</v>
      </c>
      <c r="F251" s="10">
        <v>3653880</v>
      </c>
      <c r="G251" s="10">
        <v>2760530</v>
      </c>
      <c r="H251" s="770">
        <v>6414400</v>
      </c>
      <c r="I251" s="10"/>
      <c r="J251" s="10"/>
      <c r="K251" s="10"/>
      <c r="L251" s="10"/>
      <c r="M251" s="770"/>
      <c r="N251" s="10"/>
      <c r="O251" s="10"/>
      <c r="P251" s="10"/>
      <c r="Q251" s="10"/>
      <c r="R251" s="10"/>
      <c r="S251" s="10"/>
    </row>
    <row r="252" spans="1:19" x14ac:dyDescent="0.25">
      <c r="A252" s="10">
        <v>1</v>
      </c>
      <c r="B252" s="10">
        <v>70</v>
      </c>
      <c r="C252" s="10"/>
      <c r="D252" s="10">
        <v>7426360</v>
      </c>
      <c r="E252" s="10">
        <v>279365</v>
      </c>
      <c r="F252" s="10">
        <v>4090260</v>
      </c>
      <c r="G252" s="10">
        <v>1649038</v>
      </c>
      <c r="H252" s="770">
        <v>5739290</v>
      </c>
      <c r="I252" s="10"/>
      <c r="J252" s="10"/>
      <c r="K252" s="10"/>
      <c r="L252" s="10"/>
      <c r="M252" s="770"/>
      <c r="N252" s="10"/>
      <c r="O252" s="10"/>
      <c r="P252" s="10"/>
      <c r="Q252" s="10"/>
      <c r="R252" s="10"/>
      <c r="S252" s="10"/>
    </row>
    <row r="253" spans="1:19" x14ac:dyDescent="0.25">
      <c r="A253" s="10">
        <v>2</v>
      </c>
      <c r="B253" s="10">
        <v>70</v>
      </c>
      <c r="C253" s="10"/>
      <c r="D253" s="10">
        <v>9169601</v>
      </c>
      <c r="E253" s="10">
        <v>242288</v>
      </c>
      <c r="F253" s="10">
        <v>3513900</v>
      </c>
      <c r="G253" s="10">
        <v>2024012</v>
      </c>
      <c r="H253" s="770">
        <v>5537910</v>
      </c>
      <c r="I253" s="10"/>
      <c r="J253" s="10"/>
      <c r="K253" s="10"/>
      <c r="L253" s="10"/>
      <c r="M253" s="770"/>
      <c r="N253" s="10"/>
      <c r="O253" s="10"/>
      <c r="P253" s="10"/>
      <c r="Q253" s="10"/>
      <c r="R253" s="10"/>
      <c r="S253" s="10"/>
    </row>
    <row r="254" spans="1:19" x14ac:dyDescent="0.25">
      <c r="A254" s="10">
        <v>1</v>
      </c>
      <c r="B254" s="10">
        <v>80</v>
      </c>
      <c r="C254" s="10"/>
      <c r="D254" s="10">
        <v>4084053</v>
      </c>
      <c r="E254" s="10">
        <v>495094</v>
      </c>
      <c r="F254" s="10">
        <v>3151360</v>
      </c>
      <c r="G254" s="10">
        <v>1234730</v>
      </c>
      <c r="H254" s="770">
        <v>4386080</v>
      </c>
      <c r="I254" s="10"/>
      <c r="J254" s="10"/>
      <c r="K254" s="10"/>
      <c r="L254" s="10"/>
      <c r="M254" s="770"/>
      <c r="N254" s="10"/>
      <c r="O254" s="10"/>
      <c r="P254" s="10"/>
      <c r="Q254" s="10"/>
      <c r="R254" s="10"/>
      <c r="S254" s="10"/>
    </row>
    <row r="255" spans="1:19" x14ac:dyDescent="0.25">
      <c r="A255" s="10">
        <v>2</v>
      </c>
      <c r="B255" s="10">
        <v>80</v>
      </c>
      <c r="C255" s="10"/>
      <c r="D255" s="10">
        <v>7152707</v>
      </c>
      <c r="E255" s="10">
        <v>773500</v>
      </c>
      <c r="F255" s="10">
        <v>4235380</v>
      </c>
      <c r="G255" s="10">
        <v>2085010</v>
      </c>
      <c r="H255" s="770">
        <v>6320380</v>
      </c>
      <c r="I255" s="10"/>
      <c r="J255" s="10"/>
      <c r="K255" s="10"/>
      <c r="L255" s="10"/>
      <c r="M255" s="770"/>
      <c r="N255" s="10"/>
      <c r="O255" s="10"/>
      <c r="P255" s="10"/>
      <c r="Q255" s="10"/>
      <c r="R255" s="10"/>
      <c r="S255" s="10"/>
    </row>
    <row r="256" spans="1:19" x14ac:dyDescent="0.25">
      <c r="A256" s="10"/>
      <c r="B256" s="10"/>
      <c r="C256" s="10"/>
      <c r="D256" s="10">
        <v>308745538</v>
      </c>
      <c r="E256" s="10">
        <v>2663966</v>
      </c>
      <c r="F256" s="10">
        <v>45145397.600000001</v>
      </c>
      <c r="G256" s="10">
        <v>36689195</v>
      </c>
      <c r="H256" s="770">
        <v>81834578</v>
      </c>
      <c r="I256" s="10"/>
      <c r="J256" s="10"/>
      <c r="K256" s="10"/>
      <c r="L256" s="10"/>
      <c r="M256" s="770"/>
      <c r="N256" s="10"/>
      <c r="O256" s="10"/>
      <c r="P256" s="10"/>
      <c r="Q256" s="10"/>
      <c r="R256" s="10"/>
      <c r="S256" s="10"/>
    </row>
    <row r="257" spans="1:19" x14ac:dyDescent="0.25">
      <c r="A257" s="10"/>
      <c r="B257" s="10"/>
      <c r="C257" s="10"/>
      <c r="D257" s="10"/>
      <c r="E257" s="10"/>
      <c r="F257" s="10"/>
      <c r="G257" s="10"/>
      <c r="H257" s="770"/>
      <c r="I257" s="10"/>
      <c r="J257" s="10"/>
      <c r="K257" s="10"/>
      <c r="L257" s="10"/>
      <c r="M257" s="770"/>
      <c r="N257" s="10"/>
      <c r="O257" s="10"/>
      <c r="P257" s="10"/>
      <c r="Q257" s="10"/>
      <c r="R257" s="10"/>
      <c r="S257" s="10"/>
    </row>
    <row r="258" spans="1:19" x14ac:dyDescent="0.25">
      <c r="A258" s="10"/>
      <c r="B258" s="10"/>
      <c r="C258" s="10"/>
      <c r="D258" s="10"/>
      <c r="E258" s="10"/>
      <c r="F258" s="10"/>
      <c r="G258" s="10"/>
      <c r="H258" s="770"/>
      <c r="I258" s="10"/>
      <c r="J258" s="10"/>
      <c r="K258" s="10"/>
      <c r="L258" s="10"/>
      <c r="M258" s="770"/>
      <c r="N258" s="10"/>
      <c r="O258" s="10"/>
      <c r="P258" s="10"/>
      <c r="Q258" s="10"/>
      <c r="R258" s="10"/>
      <c r="S258" s="10"/>
    </row>
    <row r="259" spans="1:19" x14ac:dyDescent="0.25">
      <c r="A259" s="10"/>
      <c r="B259" s="10"/>
      <c r="C259" s="10"/>
      <c r="D259" s="10"/>
      <c r="E259" s="10"/>
      <c r="F259" s="10"/>
      <c r="G259" s="10"/>
      <c r="H259" s="770"/>
      <c r="I259" s="10"/>
      <c r="J259" s="10"/>
      <c r="K259" s="10"/>
      <c r="L259" s="10"/>
      <c r="M259" s="770"/>
      <c r="N259" s="10"/>
      <c r="O259" s="10"/>
      <c r="P259" s="10"/>
      <c r="Q259" s="10"/>
      <c r="R259" s="10"/>
      <c r="S259" s="10"/>
    </row>
    <row r="260" spans="1:19" x14ac:dyDescent="0.25">
      <c r="A260" s="10"/>
      <c r="B260" s="10"/>
      <c r="C260" s="10"/>
      <c r="D260" s="10"/>
      <c r="E260" s="10"/>
      <c r="F260" s="10"/>
      <c r="G260" s="10"/>
      <c r="H260" s="770"/>
      <c r="I260" s="10"/>
      <c r="J260" s="10"/>
      <c r="K260" s="10"/>
      <c r="L260" s="10"/>
      <c r="M260" s="770"/>
      <c r="N260" s="10"/>
      <c r="O260" s="10"/>
      <c r="P260" s="10"/>
      <c r="Q260" s="10"/>
      <c r="R260" s="10"/>
      <c r="S260" s="10"/>
    </row>
    <row r="261" spans="1:19" x14ac:dyDescent="0.25">
      <c r="A261" s="10"/>
      <c r="B261" s="10"/>
      <c r="C261" s="10"/>
      <c r="D261" s="10"/>
      <c r="E261" s="10"/>
      <c r="F261" s="10"/>
      <c r="G261" s="10"/>
      <c r="H261" s="770"/>
      <c r="I261" s="10"/>
      <c r="J261" s="10"/>
      <c r="K261" s="10"/>
      <c r="L261" s="10"/>
      <c r="M261" s="770"/>
      <c r="N261" s="10"/>
      <c r="O261" s="10"/>
      <c r="P261" s="10"/>
      <c r="Q261" s="10"/>
      <c r="R261" s="10"/>
      <c r="S261" s="10"/>
    </row>
    <row r="262" spans="1:19" x14ac:dyDescent="0.25">
      <c r="A262" s="10"/>
      <c r="B262" s="10"/>
      <c r="C262" s="10"/>
      <c r="D262" s="10"/>
      <c r="E262" s="10"/>
      <c r="F262" s="10"/>
      <c r="G262" s="10"/>
      <c r="H262" s="770"/>
      <c r="I262" s="10"/>
      <c r="J262" s="10"/>
      <c r="K262" s="10"/>
      <c r="L262" s="10"/>
      <c r="M262" s="770"/>
      <c r="N262" s="10"/>
      <c r="O262" s="10"/>
      <c r="P262" s="10"/>
      <c r="Q262" s="10"/>
      <c r="R262" s="10"/>
      <c r="S262" s="10"/>
    </row>
    <row r="263" spans="1:19" x14ac:dyDescent="0.25">
      <c r="A263" s="10"/>
      <c r="B263" s="10"/>
      <c r="C263" s="10"/>
      <c r="D263" s="10"/>
      <c r="E263" s="10"/>
      <c r="F263" s="10"/>
      <c r="G263" s="10"/>
      <c r="H263" s="770"/>
      <c r="I263" s="10"/>
      <c r="J263" s="10"/>
      <c r="K263" s="10"/>
      <c r="L263" s="10"/>
      <c r="M263" s="770"/>
      <c r="N263" s="10"/>
      <c r="O263" s="10"/>
      <c r="P263" s="10"/>
      <c r="Q263" s="10"/>
      <c r="R263" s="10"/>
      <c r="S263" s="10"/>
    </row>
    <row r="264" spans="1:19" x14ac:dyDescent="0.25">
      <c r="A264" s="10"/>
      <c r="B264" s="10"/>
      <c r="C264" s="10"/>
      <c r="D264" s="10"/>
      <c r="E264" s="10"/>
      <c r="F264" s="10"/>
      <c r="G264" s="10"/>
      <c r="H264" s="770"/>
      <c r="I264" s="10"/>
      <c r="J264" s="10"/>
      <c r="K264" s="10"/>
      <c r="L264" s="10"/>
      <c r="M264" s="770"/>
      <c r="N264" s="10"/>
      <c r="O264" s="10"/>
      <c r="P264" s="10"/>
      <c r="Q264" s="10"/>
      <c r="R264" s="10"/>
      <c r="S264" s="10"/>
    </row>
    <row r="265" spans="1:19" x14ac:dyDescent="0.25">
      <c r="A265" s="10"/>
      <c r="B265" s="10"/>
      <c r="C265" s="10"/>
      <c r="D265" s="10"/>
      <c r="E265" s="10"/>
      <c r="F265" s="10"/>
      <c r="G265" s="10"/>
      <c r="H265" s="770"/>
      <c r="I265" s="10"/>
      <c r="J265" s="10"/>
      <c r="K265" s="10"/>
      <c r="L265" s="10"/>
      <c r="M265" s="770"/>
      <c r="N265" s="10"/>
      <c r="O265" s="10"/>
      <c r="P265" s="10"/>
      <c r="Q265" s="10"/>
      <c r="R265" s="10"/>
      <c r="S265" s="10"/>
    </row>
    <row r="266" spans="1:19" x14ac:dyDescent="0.25">
      <c r="A266" s="10"/>
      <c r="B266" s="10"/>
      <c r="C266" s="10"/>
      <c r="D266" s="10"/>
      <c r="E266" s="10"/>
      <c r="F266" s="10"/>
      <c r="G266" s="10"/>
      <c r="H266" s="770"/>
      <c r="I266" s="10"/>
      <c r="J266" s="10"/>
      <c r="K266" s="10"/>
      <c r="L266" s="10"/>
      <c r="M266" s="770"/>
      <c r="N266" s="10"/>
      <c r="O266" s="10"/>
      <c r="P266" s="10"/>
      <c r="Q266" s="10"/>
      <c r="R266" s="10"/>
      <c r="S266" s="10"/>
    </row>
    <row r="267" spans="1:19" x14ac:dyDescent="0.25">
      <c r="A267" s="10"/>
      <c r="B267" s="10"/>
      <c r="C267" s="10"/>
      <c r="D267" s="10"/>
      <c r="E267" s="10"/>
      <c r="F267" s="10"/>
      <c r="G267" s="10"/>
      <c r="H267" s="770"/>
      <c r="I267" s="10"/>
      <c r="J267" s="10"/>
      <c r="K267" s="10"/>
      <c r="L267" s="10"/>
      <c r="M267" s="770"/>
      <c r="N267" s="10"/>
      <c r="O267" s="10"/>
      <c r="P267" s="10"/>
      <c r="Q267" s="10"/>
      <c r="R267" s="10"/>
      <c r="S267" s="10"/>
    </row>
    <row r="268" spans="1:19" x14ac:dyDescent="0.25">
      <c r="A268" s="10"/>
      <c r="B268" s="10"/>
      <c r="C268" s="10"/>
      <c r="D268" s="10"/>
      <c r="E268" s="10"/>
      <c r="F268" s="10"/>
      <c r="G268" s="10"/>
      <c r="H268" s="770"/>
      <c r="I268" s="10"/>
      <c r="J268" s="10"/>
      <c r="K268" s="10"/>
      <c r="L268" s="10"/>
      <c r="M268" s="770"/>
      <c r="N268" s="10"/>
      <c r="O268" s="10"/>
      <c r="P268" s="10"/>
      <c r="Q268" s="10"/>
      <c r="R268" s="10"/>
      <c r="S268" s="10"/>
    </row>
    <row r="269" spans="1:19" x14ac:dyDescent="0.25">
      <c r="A269" s="10"/>
      <c r="B269" s="10"/>
      <c r="C269" s="10"/>
      <c r="D269" s="10"/>
      <c r="E269" s="10"/>
      <c r="F269" s="10"/>
      <c r="G269" s="10"/>
      <c r="H269" s="770"/>
      <c r="I269" s="10"/>
      <c r="J269" s="10"/>
      <c r="K269" s="10"/>
      <c r="L269" s="10"/>
      <c r="M269" s="770"/>
      <c r="N269" s="10"/>
      <c r="O269" s="10"/>
      <c r="P269" s="10"/>
      <c r="Q269" s="10"/>
      <c r="R269" s="10"/>
      <c r="S269" s="10"/>
    </row>
    <row r="270" spans="1:19" x14ac:dyDescent="0.25">
      <c r="A270" s="10"/>
      <c r="B270" s="10"/>
      <c r="C270" s="10"/>
      <c r="D270" s="10"/>
      <c r="E270" s="10"/>
      <c r="F270" s="10"/>
      <c r="G270" s="10"/>
      <c r="H270" s="770"/>
      <c r="I270" s="10"/>
      <c r="J270" s="10"/>
      <c r="K270" s="10"/>
      <c r="L270" s="10"/>
      <c r="M270" s="770"/>
      <c r="N270" s="10"/>
      <c r="O270" s="10"/>
      <c r="P270" s="10"/>
      <c r="Q270" s="10"/>
      <c r="R270" s="10"/>
      <c r="S270" s="10"/>
    </row>
    <row r="271" spans="1:19" x14ac:dyDescent="0.25">
      <c r="A271" s="10"/>
      <c r="B271" s="10"/>
      <c r="C271" s="10"/>
      <c r="D271" s="10"/>
      <c r="E271" s="10"/>
      <c r="F271" s="10"/>
      <c r="G271" s="10"/>
      <c r="H271" s="770"/>
      <c r="I271" s="10"/>
      <c r="J271" s="10"/>
      <c r="K271" s="10"/>
      <c r="L271" s="10"/>
      <c r="M271" s="770"/>
      <c r="N271" s="10"/>
      <c r="O271" s="10"/>
      <c r="P271" s="10"/>
      <c r="Q271" s="10"/>
      <c r="R271" s="10"/>
      <c r="S271" s="10"/>
    </row>
    <row r="272" spans="1:19" x14ac:dyDescent="0.25">
      <c r="A272" s="10"/>
      <c r="B272" s="10"/>
      <c r="C272" s="10"/>
      <c r="D272" s="10"/>
      <c r="E272" s="10"/>
      <c r="F272" s="10"/>
      <c r="G272" s="10"/>
      <c r="H272" s="770"/>
      <c r="I272" s="10"/>
      <c r="J272" s="10"/>
      <c r="K272" s="10"/>
      <c r="L272" s="10"/>
      <c r="M272" s="770"/>
      <c r="N272" s="10"/>
      <c r="O272" s="10"/>
      <c r="P272" s="10"/>
      <c r="Q272" s="10"/>
      <c r="R272" s="10"/>
      <c r="S272" s="10"/>
    </row>
    <row r="273" spans="1:19" x14ac:dyDescent="0.25">
      <c r="A273" s="10"/>
      <c r="B273" s="10"/>
      <c r="C273" s="10"/>
      <c r="D273" s="10"/>
      <c r="E273" s="10"/>
      <c r="F273" s="10"/>
      <c r="G273" s="10"/>
      <c r="H273" s="770"/>
      <c r="I273" s="10"/>
      <c r="J273" s="10"/>
      <c r="K273" s="10"/>
      <c r="L273" s="10"/>
      <c r="M273" s="770"/>
      <c r="N273" s="10"/>
      <c r="O273" s="10"/>
      <c r="P273" s="10"/>
      <c r="Q273" s="10"/>
      <c r="R273" s="10"/>
      <c r="S273" s="10"/>
    </row>
    <row r="274" spans="1:19" x14ac:dyDescent="0.25">
      <c r="A274" s="10"/>
      <c r="B274" s="10"/>
      <c r="C274" s="10"/>
      <c r="D274" s="10"/>
      <c r="E274" s="10"/>
      <c r="F274" s="10"/>
      <c r="G274" s="10"/>
      <c r="H274" s="770"/>
      <c r="I274" s="10"/>
      <c r="J274" s="10"/>
      <c r="K274" s="10"/>
      <c r="L274" s="10"/>
      <c r="M274" s="770"/>
      <c r="N274" s="10"/>
      <c r="O274" s="10"/>
      <c r="P274" s="10"/>
      <c r="Q274" s="10"/>
      <c r="R274" s="10"/>
      <c r="S274" s="10"/>
    </row>
    <row r="275" spans="1:19" x14ac:dyDescent="0.25">
      <c r="A275" s="10"/>
      <c r="B275" s="10"/>
      <c r="C275" s="10"/>
      <c r="D275" s="10"/>
      <c r="E275" s="10"/>
      <c r="F275" s="10"/>
      <c r="G275" s="10"/>
      <c r="H275" s="770"/>
      <c r="I275" s="10"/>
      <c r="J275" s="10"/>
      <c r="K275" s="10"/>
      <c r="L275" s="10"/>
      <c r="M275" s="770"/>
      <c r="N275" s="10"/>
      <c r="O275" s="10"/>
      <c r="P275" s="10"/>
      <c r="Q275" s="10"/>
      <c r="R275" s="10"/>
      <c r="S275" s="10"/>
    </row>
    <row r="276" spans="1:19" x14ac:dyDescent="0.25">
      <c r="A276" s="10"/>
      <c r="B276" s="10"/>
      <c r="C276" s="10"/>
      <c r="D276" s="10"/>
      <c r="E276" s="10"/>
      <c r="F276" s="10"/>
      <c r="G276" s="10"/>
      <c r="H276" s="770"/>
      <c r="I276" s="10"/>
      <c r="J276" s="10"/>
      <c r="K276" s="10"/>
      <c r="L276" s="10"/>
      <c r="M276" s="770"/>
      <c r="N276" s="10"/>
      <c r="O276" s="10"/>
      <c r="P276" s="10"/>
      <c r="Q276" s="10"/>
      <c r="R276" s="10"/>
      <c r="S276" s="10"/>
    </row>
    <row r="277" spans="1:19" x14ac:dyDescent="0.25">
      <c r="A277" s="10"/>
      <c r="B277" s="10"/>
      <c r="C277" s="10"/>
      <c r="D277" s="10"/>
      <c r="E277" s="10"/>
      <c r="F277" s="10"/>
      <c r="G277" s="10"/>
      <c r="H277" s="770"/>
      <c r="I277" s="10"/>
      <c r="J277" s="10"/>
      <c r="K277" s="10"/>
      <c r="L277" s="10"/>
      <c r="M277" s="770"/>
      <c r="N277" s="10"/>
      <c r="O277" s="10"/>
      <c r="P277" s="10"/>
      <c r="Q277" s="10"/>
      <c r="R277" s="10"/>
      <c r="S277" s="10"/>
    </row>
    <row r="278" spans="1:19" x14ac:dyDescent="0.25">
      <c r="A278" s="10"/>
      <c r="B278" s="10"/>
      <c r="C278" s="10"/>
      <c r="D278" s="10"/>
      <c r="E278" s="10"/>
      <c r="F278" s="10"/>
      <c r="G278" s="10"/>
      <c r="H278" s="770"/>
      <c r="I278" s="10"/>
      <c r="J278" s="10"/>
      <c r="K278" s="10"/>
      <c r="L278" s="10"/>
      <c r="M278" s="770"/>
      <c r="N278" s="10"/>
      <c r="O278" s="10"/>
      <c r="P278" s="10"/>
      <c r="Q278" s="10"/>
      <c r="R278" s="10"/>
      <c r="S278" s="10"/>
    </row>
    <row r="279" spans="1:19" x14ac:dyDescent="0.25">
      <c r="A279" s="10"/>
      <c r="B279" s="10"/>
      <c r="C279" s="10"/>
      <c r="D279" s="10"/>
      <c r="E279" s="10"/>
      <c r="F279" s="10"/>
      <c r="G279" s="10"/>
      <c r="H279" s="770"/>
      <c r="I279" s="10"/>
      <c r="J279" s="10"/>
      <c r="K279" s="10"/>
      <c r="L279" s="10"/>
      <c r="M279" s="770"/>
      <c r="N279" s="10"/>
      <c r="O279" s="10"/>
      <c r="P279" s="10"/>
      <c r="Q279" s="10"/>
      <c r="R279" s="10"/>
      <c r="S279" s="10"/>
    </row>
    <row r="280" spans="1:19" x14ac:dyDescent="0.25">
      <c r="A280" s="10"/>
      <c r="B280" s="10"/>
      <c r="C280" s="10"/>
      <c r="D280" s="10"/>
      <c r="E280" s="10"/>
      <c r="F280" s="10"/>
      <c r="G280" s="10"/>
      <c r="H280" s="770"/>
      <c r="I280" s="10"/>
      <c r="J280" s="10"/>
      <c r="K280" s="10"/>
      <c r="L280" s="10"/>
      <c r="M280" s="770"/>
      <c r="N280" s="10"/>
      <c r="O280" s="10"/>
      <c r="P280" s="10"/>
      <c r="Q280" s="10"/>
      <c r="R280" s="10"/>
      <c r="S280" s="10"/>
    </row>
    <row r="281" spans="1:19" x14ac:dyDescent="0.25">
      <c r="A281" s="10"/>
      <c r="B281" s="10"/>
      <c r="C281" s="10"/>
      <c r="D281" s="10"/>
      <c r="E281" s="10"/>
      <c r="F281" s="10"/>
      <c r="G281" s="10"/>
      <c r="H281" s="770"/>
      <c r="I281" s="10"/>
      <c r="J281" s="10"/>
      <c r="K281" s="10"/>
      <c r="L281" s="10"/>
      <c r="M281" s="770"/>
      <c r="N281" s="10"/>
      <c r="O281" s="10"/>
      <c r="P281" s="10"/>
      <c r="Q281" s="10"/>
      <c r="R281" s="10"/>
      <c r="S281" s="10"/>
    </row>
    <row r="282" spans="1:19" x14ac:dyDescent="0.25">
      <c r="A282" s="10"/>
      <c r="B282" s="10"/>
      <c r="C282" s="10"/>
      <c r="D282" s="10"/>
      <c r="E282" s="10"/>
      <c r="F282" s="10"/>
      <c r="G282" s="10"/>
      <c r="H282" s="770"/>
      <c r="I282" s="10"/>
      <c r="J282" s="10"/>
      <c r="K282" s="10"/>
      <c r="L282" s="10"/>
      <c r="M282" s="770"/>
      <c r="N282" s="10"/>
      <c r="O282" s="10"/>
      <c r="P282" s="10"/>
      <c r="Q282" s="10"/>
      <c r="R282" s="10"/>
      <c r="S282" s="10"/>
    </row>
    <row r="283" spans="1:19" x14ac:dyDescent="0.25">
      <c r="A283" s="10"/>
      <c r="B283" s="10"/>
      <c r="C283" s="10"/>
      <c r="D283" s="10"/>
      <c r="E283" s="10"/>
      <c r="F283" s="10"/>
      <c r="G283" s="10"/>
      <c r="H283" s="770"/>
      <c r="I283" s="10"/>
      <c r="J283" s="10"/>
      <c r="K283" s="10"/>
      <c r="L283" s="10"/>
      <c r="M283" s="770"/>
      <c r="N283" s="10"/>
      <c r="O283" s="10"/>
      <c r="P283" s="10"/>
      <c r="Q283" s="10"/>
      <c r="R283" s="10"/>
      <c r="S283" s="10"/>
    </row>
    <row r="284" spans="1:19" x14ac:dyDescent="0.25">
      <c r="A284" s="10"/>
      <c r="B284" s="10"/>
      <c r="C284" s="10"/>
      <c r="D284" s="10"/>
      <c r="E284" s="10"/>
      <c r="F284" s="10"/>
      <c r="G284" s="10"/>
      <c r="H284" s="770"/>
      <c r="I284" s="10"/>
      <c r="J284" s="10"/>
      <c r="K284" s="10"/>
      <c r="L284" s="10"/>
      <c r="M284" s="770"/>
      <c r="N284" s="10"/>
      <c r="O284" s="10"/>
      <c r="P284" s="10"/>
      <c r="Q284" s="10"/>
      <c r="R284" s="10"/>
      <c r="S284" s="10"/>
    </row>
    <row r="285" spans="1:19" x14ac:dyDescent="0.25">
      <c r="A285" s="10"/>
      <c r="B285" s="10"/>
      <c r="C285" s="10"/>
      <c r="D285" s="10"/>
      <c r="E285" s="10"/>
      <c r="F285" s="10"/>
      <c r="G285" s="10"/>
      <c r="H285" s="770"/>
      <c r="I285" s="10"/>
      <c r="J285" s="10"/>
      <c r="K285" s="10"/>
      <c r="L285" s="10"/>
      <c r="M285" s="770"/>
      <c r="N285" s="10"/>
      <c r="O285" s="10"/>
      <c r="P285" s="10"/>
      <c r="Q285" s="10"/>
      <c r="R285" s="10"/>
      <c r="S285" s="10"/>
    </row>
    <row r="286" spans="1:19" x14ac:dyDescent="0.25">
      <c r="A286" s="10"/>
      <c r="B286" s="10"/>
      <c r="C286" s="10"/>
      <c r="D286" s="10"/>
      <c r="E286" s="10"/>
      <c r="F286" s="10"/>
      <c r="G286" s="10"/>
      <c r="H286" s="770"/>
      <c r="I286" s="10"/>
      <c r="J286" s="10"/>
      <c r="K286" s="10"/>
      <c r="L286" s="10"/>
      <c r="M286" s="770"/>
      <c r="N286" s="10"/>
      <c r="O286" s="10"/>
      <c r="P286" s="10"/>
      <c r="Q286" s="10"/>
      <c r="R286" s="10"/>
      <c r="S286" s="10"/>
    </row>
    <row r="287" spans="1:19" x14ac:dyDescent="0.25">
      <c r="A287" s="10"/>
      <c r="B287" s="10"/>
      <c r="C287" s="10"/>
      <c r="D287" s="10"/>
      <c r="E287" s="10"/>
      <c r="F287" s="10"/>
      <c r="G287" s="10"/>
      <c r="H287" s="770"/>
      <c r="I287" s="10"/>
      <c r="J287" s="10"/>
      <c r="K287" s="10"/>
      <c r="L287" s="10"/>
      <c r="M287" s="770"/>
      <c r="N287" s="10"/>
      <c r="O287" s="10"/>
      <c r="P287" s="10"/>
      <c r="Q287" s="10"/>
      <c r="R287" s="10"/>
      <c r="S287" s="10"/>
    </row>
    <row r="288" spans="1:19" x14ac:dyDescent="0.25">
      <c r="A288" s="10"/>
      <c r="B288" s="10"/>
      <c r="C288" s="10"/>
      <c r="D288" s="10"/>
      <c r="E288" s="10"/>
      <c r="F288" s="10"/>
      <c r="G288" s="10"/>
      <c r="H288" s="770"/>
      <c r="I288" s="10"/>
      <c r="J288" s="10"/>
      <c r="K288" s="10"/>
      <c r="L288" s="10"/>
      <c r="M288" s="770"/>
      <c r="N288" s="10"/>
      <c r="O288" s="10"/>
      <c r="P288" s="10"/>
      <c r="Q288" s="10"/>
      <c r="R288" s="10"/>
      <c r="S288" s="10"/>
    </row>
    <row r="289" spans="1:19" x14ac:dyDescent="0.25">
      <c r="A289" s="10"/>
      <c r="B289" s="10"/>
      <c r="C289" s="10"/>
      <c r="D289" s="10"/>
      <c r="E289" s="10"/>
      <c r="F289" s="10"/>
      <c r="G289" s="10"/>
      <c r="H289" s="770"/>
      <c r="I289" s="10"/>
      <c r="J289" s="10"/>
      <c r="K289" s="10"/>
      <c r="L289" s="10"/>
      <c r="M289" s="770"/>
      <c r="N289" s="10"/>
      <c r="O289" s="10"/>
      <c r="P289" s="10"/>
      <c r="Q289" s="10"/>
      <c r="R289" s="10"/>
      <c r="S289" s="10"/>
    </row>
    <row r="290" spans="1:19" x14ac:dyDescent="0.25">
      <c r="A290" s="10"/>
      <c r="B290" s="10"/>
      <c r="C290" s="10"/>
      <c r="D290" s="10"/>
      <c r="E290" s="10"/>
      <c r="F290" s="10"/>
      <c r="G290" s="10"/>
      <c r="H290" s="770"/>
      <c r="I290" s="10"/>
      <c r="J290" s="10"/>
      <c r="K290" s="10"/>
      <c r="L290" s="10"/>
      <c r="M290" s="770"/>
      <c r="N290" s="10"/>
      <c r="O290" s="10"/>
      <c r="P290" s="10"/>
      <c r="Q290" s="10"/>
      <c r="R290" s="10"/>
      <c r="S290" s="10"/>
    </row>
    <row r="291" spans="1:19" x14ac:dyDescent="0.25">
      <c r="A291" s="10"/>
      <c r="B291" s="10"/>
      <c r="C291" s="10"/>
      <c r="D291" s="10"/>
      <c r="E291" s="10"/>
      <c r="F291" s="10"/>
      <c r="G291" s="10"/>
      <c r="H291" s="770"/>
      <c r="I291" s="10"/>
      <c r="J291" s="10"/>
      <c r="K291" s="10"/>
      <c r="L291" s="10"/>
      <c r="M291" s="770"/>
      <c r="N291" s="10"/>
      <c r="O291" s="10"/>
      <c r="P291" s="10"/>
      <c r="Q291" s="10"/>
      <c r="R291" s="10"/>
      <c r="S291" s="10"/>
    </row>
    <row r="292" spans="1:19" x14ac:dyDescent="0.25">
      <c r="A292" s="10"/>
      <c r="B292" s="10"/>
      <c r="C292" s="10"/>
      <c r="D292" s="10"/>
      <c r="E292" s="10"/>
      <c r="F292" s="10"/>
      <c r="G292" s="10"/>
      <c r="H292" s="770"/>
      <c r="I292" s="10"/>
      <c r="J292" s="10"/>
      <c r="K292" s="10"/>
      <c r="L292" s="10"/>
      <c r="M292" s="770"/>
      <c r="N292" s="10"/>
      <c r="O292" s="10"/>
      <c r="P292" s="10"/>
      <c r="Q292" s="10"/>
      <c r="R292" s="10"/>
      <c r="S292" s="10"/>
    </row>
    <row r="293" spans="1:19" x14ac:dyDescent="0.25">
      <c r="A293" s="10"/>
      <c r="B293" s="10"/>
      <c r="C293" s="10"/>
      <c r="D293" s="10"/>
      <c r="E293" s="10"/>
      <c r="F293" s="10"/>
      <c r="G293" s="10"/>
      <c r="H293" s="770"/>
      <c r="I293" s="10"/>
      <c r="J293" s="10"/>
      <c r="K293" s="10"/>
      <c r="L293" s="10"/>
      <c r="M293" s="770"/>
      <c r="N293" s="10"/>
      <c r="O293" s="10"/>
      <c r="P293" s="10"/>
      <c r="Q293" s="10"/>
      <c r="R293" s="10"/>
      <c r="S293" s="10"/>
    </row>
    <row r="294" spans="1:19" x14ac:dyDescent="0.25">
      <c r="A294" s="10"/>
      <c r="B294" s="10"/>
      <c r="C294" s="10"/>
      <c r="D294" s="10"/>
      <c r="E294" s="10"/>
      <c r="F294" s="10"/>
      <c r="G294" s="10"/>
      <c r="H294" s="770"/>
      <c r="I294" s="10"/>
      <c r="J294" s="10"/>
      <c r="K294" s="10"/>
      <c r="L294" s="10"/>
      <c r="M294" s="770"/>
      <c r="N294" s="10"/>
      <c r="O294" s="10"/>
      <c r="P294" s="10"/>
      <c r="Q294" s="10"/>
      <c r="R294" s="10"/>
      <c r="S294" s="10"/>
    </row>
    <row r="295" spans="1:19" x14ac:dyDescent="0.25">
      <c r="A295" s="10"/>
      <c r="B295" s="10"/>
      <c r="C295" s="10"/>
      <c r="D295" s="10"/>
      <c r="E295" s="10"/>
      <c r="F295" s="10"/>
      <c r="G295" s="10"/>
      <c r="H295" s="770"/>
      <c r="I295" s="10"/>
      <c r="J295" s="10"/>
      <c r="K295" s="10"/>
      <c r="L295" s="10"/>
      <c r="M295" s="770"/>
      <c r="N295" s="10"/>
      <c r="O295" s="10"/>
      <c r="P295" s="10"/>
      <c r="Q295" s="10"/>
      <c r="R295" s="10"/>
      <c r="S295" s="10"/>
    </row>
    <row r="296" spans="1:19" x14ac:dyDescent="0.25">
      <c r="A296" s="10"/>
      <c r="B296" s="10"/>
      <c r="C296" s="10"/>
      <c r="D296" s="10"/>
      <c r="E296" s="10"/>
      <c r="F296" s="10"/>
      <c r="G296" s="10"/>
      <c r="H296" s="770"/>
      <c r="I296" s="10"/>
      <c r="J296" s="10"/>
      <c r="K296" s="10"/>
      <c r="L296" s="10"/>
      <c r="M296" s="770"/>
      <c r="N296" s="10"/>
      <c r="O296" s="10"/>
      <c r="P296" s="10"/>
      <c r="Q296" s="10"/>
      <c r="R296" s="10"/>
      <c r="S296" s="10"/>
    </row>
    <row r="297" spans="1:19" x14ac:dyDescent="0.25">
      <c r="A297" s="10"/>
      <c r="B297" s="10"/>
      <c r="C297" s="10"/>
      <c r="D297" s="10"/>
      <c r="E297" s="10"/>
      <c r="F297" s="10"/>
      <c r="G297" s="10"/>
      <c r="H297" s="770"/>
      <c r="I297" s="10"/>
      <c r="J297" s="10"/>
      <c r="K297" s="10"/>
      <c r="L297" s="10"/>
      <c r="M297" s="770"/>
      <c r="N297" s="10"/>
      <c r="O297" s="10"/>
      <c r="P297" s="10"/>
      <c r="Q297" s="10"/>
      <c r="R297" s="10"/>
      <c r="S297" s="10"/>
    </row>
    <row r="298" spans="1:19" x14ac:dyDescent="0.25">
      <c r="A298" s="10"/>
      <c r="B298" s="10"/>
      <c r="C298" s="10"/>
      <c r="D298" s="10"/>
      <c r="E298" s="10"/>
      <c r="F298" s="10"/>
      <c r="G298" s="10"/>
      <c r="H298" s="770"/>
      <c r="I298" s="10"/>
      <c r="J298" s="10"/>
      <c r="K298" s="10"/>
      <c r="L298" s="10"/>
      <c r="M298" s="770"/>
      <c r="N298" s="10"/>
      <c r="O298" s="10"/>
      <c r="P298" s="10"/>
      <c r="Q298" s="10"/>
      <c r="R298" s="10"/>
      <c r="S298" s="10"/>
    </row>
    <row r="299" spans="1:19" x14ac:dyDescent="0.25">
      <c r="A299" s="10"/>
      <c r="B299" s="10"/>
      <c r="C299" s="10"/>
      <c r="D299" s="10"/>
      <c r="E299" s="10"/>
      <c r="F299" s="10"/>
      <c r="G299" s="10"/>
      <c r="H299" s="770"/>
      <c r="I299" s="10"/>
      <c r="J299" s="10"/>
      <c r="K299" s="10"/>
      <c r="L299" s="10"/>
      <c r="M299" s="770"/>
      <c r="N299" s="10"/>
      <c r="O299" s="10"/>
      <c r="P299" s="10"/>
      <c r="Q299" s="10"/>
      <c r="R299" s="10"/>
      <c r="S299" s="10"/>
    </row>
    <row r="300" spans="1:19" x14ac:dyDescent="0.25">
      <c r="A300" s="10"/>
      <c r="B300" s="10"/>
      <c r="C300" s="10"/>
      <c r="D300" s="10"/>
      <c r="E300" s="10"/>
      <c r="F300" s="10"/>
      <c r="G300" s="10"/>
      <c r="H300" s="770"/>
      <c r="I300" s="10"/>
      <c r="J300" s="10"/>
      <c r="K300" s="10"/>
      <c r="L300" s="10"/>
      <c r="M300" s="770"/>
      <c r="N300" s="10"/>
      <c r="O300" s="10"/>
      <c r="P300" s="10"/>
      <c r="Q300" s="10"/>
      <c r="R300" s="10"/>
      <c r="S300" s="10"/>
    </row>
    <row r="301" spans="1:19" x14ac:dyDescent="0.25">
      <c r="A301" s="10"/>
      <c r="B301" s="10"/>
      <c r="C301" s="10"/>
      <c r="D301" s="10"/>
      <c r="E301" s="10"/>
      <c r="F301" s="10"/>
      <c r="G301" s="10"/>
      <c r="H301" s="770"/>
      <c r="I301" s="10"/>
      <c r="J301" s="10"/>
      <c r="K301" s="10"/>
      <c r="L301" s="10"/>
      <c r="M301" s="770"/>
      <c r="N301" s="10"/>
      <c r="O301" s="10"/>
      <c r="P301" s="10"/>
      <c r="Q301" s="10"/>
      <c r="R301" s="10"/>
      <c r="S301" s="10"/>
    </row>
    <row r="302" spans="1:19" x14ac:dyDescent="0.25">
      <c r="A302" s="10"/>
      <c r="B302" s="10"/>
      <c r="C302" s="10"/>
      <c r="D302" s="10"/>
      <c r="E302" s="10"/>
      <c r="F302" s="10"/>
      <c r="G302" s="10"/>
      <c r="H302" s="770"/>
      <c r="I302" s="10"/>
      <c r="J302" s="10"/>
      <c r="K302" s="10"/>
      <c r="L302" s="10"/>
      <c r="M302" s="770"/>
      <c r="N302" s="10"/>
      <c r="O302" s="10"/>
      <c r="P302" s="10"/>
      <c r="Q302" s="10"/>
      <c r="R302" s="10"/>
      <c r="S302" s="10"/>
    </row>
    <row r="303" spans="1:19" x14ac:dyDescent="0.25">
      <c r="A303" s="10"/>
      <c r="B303" s="10"/>
      <c r="C303" s="10"/>
      <c r="D303" s="10"/>
      <c r="E303" s="10"/>
      <c r="F303" s="10"/>
      <c r="G303" s="10"/>
      <c r="H303" s="770"/>
      <c r="I303" s="10"/>
      <c r="J303" s="10"/>
      <c r="K303" s="10"/>
      <c r="L303" s="10"/>
      <c r="M303" s="770"/>
      <c r="N303" s="10"/>
      <c r="O303" s="10"/>
      <c r="P303" s="10"/>
      <c r="Q303" s="10"/>
      <c r="R303" s="10"/>
      <c r="S303" s="10"/>
    </row>
    <row r="304" spans="1:19" x14ac:dyDescent="0.25">
      <c r="A304" s="10"/>
      <c r="B304" s="10"/>
      <c r="C304" s="10"/>
      <c r="D304" s="10"/>
      <c r="E304" s="10"/>
      <c r="F304" s="10"/>
      <c r="G304" s="10"/>
      <c r="H304" s="770"/>
      <c r="I304" s="10"/>
      <c r="J304" s="10"/>
      <c r="K304" s="10"/>
      <c r="L304" s="10"/>
      <c r="M304" s="770"/>
      <c r="N304" s="10"/>
      <c r="O304" s="10"/>
      <c r="P304" s="10"/>
      <c r="Q304" s="10"/>
      <c r="R304" s="10"/>
      <c r="S304" s="10"/>
    </row>
    <row r="305" spans="1:19" x14ac:dyDescent="0.25">
      <c r="A305" s="10"/>
      <c r="B305" s="10"/>
      <c r="C305" s="10"/>
      <c r="D305" s="10"/>
      <c r="E305" s="10"/>
      <c r="F305" s="10"/>
      <c r="G305" s="10"/>
      <c r="H305" s="770"/>
      <c r="I305" s="10"/>
      <c r="J305" s="10"/>
      <c r="K305" s="10"/>
      <c r="L305" s="10"/>
      <c r="M305" s="770"/>
      <c r="N305" s="10"/>
      <c r="O305" s="10"/>
      <c r="P305" s="10"/>
      <c r="Q305" s="10"/>
      <c r="R305" s="10"/>
      <c r="S305" s="10"/>
    </row>
    <row r="306" spans="1:19" x14ac:dyDescent="0.25">
      <c r="A306" s="10"/>
      <c r="B306" s="10"/>
      <c r="C306" s="10"/>
      <c r="D306" s="10"/>
      <c r="E306" s="10"/>
      <c r="F306" s="10"/>
      <c r="G306" s="10"/>
      <c r="H306" s="770"/>
      <c r="I306" s="10"/>
      <c r="J306" s="10"/>
      <c r="K306" s="10"/>
      <c r="L306" s="10"/>
      <c r="M306" s="770"/>
      <c r="N306" s="10"/>
      <c r="O306" s="10"/>
      <c r="P306" s="10"/>
      <c r="Q306" s="10"/>
      <c r="R306" s="10"/>
      <c r="S306" s="10"/>
    </row>
    <row r="307" spans="1:19" x14ac:dyDescent="0.25">
      <c r="A307" s="10"/>
      <c r="B307" s="10"/>
      <c r="C307" s="10"/>
      <c r="D307" s="10"/>
      <c r="E307" s="10"/>
      <c r="F307" s="10"/>
      <c r="G307" s="10"/>
      <c r="H307" s="770"/>
      <c r="I307" s="10"/>
      <c r="J307" s="10"/>
      <c r="K307" s="10"/>
      <c r="L307" s="10"/>
      <c r="M307" s="770"/>
      <c r="N307" s="10"/>
      <c r="O307" s="10"/>
      <c r="P307" s="10"/>
      <c r="Q307" s="10"/>
      <c r="R307" s="10"/>
      <c r="S307" s="10"/>
    </row>
    <row r="308" spans="1:19" x14ac:dyDescent="0.25">
      <c r="A308" s="10"/>
      <c r="B308" s="10"/>
      <c r="C308" s="10"/>
      <c r="D308" s="10"/>
      <c r="E308" s="10"/>
      <c r="F308" s="10"/>
      <c r="G308" s="10"/>
      <c r="H308" s="770"/>
      <c r="I308" s="10"/>
      <c r="J308" s="10"/>
      <c r="K308" s="10"/>
      <c r="L308" s="10"/>
      <c r="M308" s="770"/>
      <c r="N308" s="10"/>
      <c r="O308" s="10"/>
      <c r="P308" s="10"/>
      <c r="Q308" s="10"/>
      <c r="R308" s="10"/>
      <c r="S308" s="10"/>
    </row>
    <row r="309" spans="1:19" x14ac:dyDescent="0.25">
      <c r="A309" s="10"/>
      <c r="B309" s="10"/>
      <c r="C309" s="10"/>
      <c r="D309" s="10"/>
      <c r="E309" s="10"/>
      <c r="F309" s="10"/>
      <c r="G309" s="10"/>
      <c r="H309" s="770"/>
      <c r="I309" s="10"/>
      <c r="J309" s="10"/>
      <c r="K309" s="10"/>
      <c r="L309" s="10"/>
      <c r="M309" s="770"/>
      <c r="N309" s="10"/>
      <c r="O309" s="10"/>
      <c r="P309" s="10"/>
      <c r="Q309" s="10"/>
      <c r="R309" s="10"/>
      <c r="S309" s="10"/>
    </row>
    <row r="310" spans="1:19" x14ac:dyDescent="0.25">
      <c r="A310" s="10"/>
      <c r="B310" s="10"/>
      <c r="C310" s="10"/>
      <c r="D310" s="10"/>
      <c r="E310" s="10"/>
      <c r="F310" s="10"/>
      <c r="G310" s="10"/>
      <c r="H310" s="770"/>
      <c r="I310" s="10"/>
      <c r="J310" s="10"/>
      <c r="K310" s="10"/>
      <c r="L310" s="10"/>
      <c r="M310" s="770"/>
      <c r="N310" s="10"/>
      <c r="O310" s="10"/>
      <c r="P310" s="10"/>
      <c r="Q310" s="10"/>
      <c r="R310" s="10"/>
      <c r="S310" s="10"/>
    </row>
    <row r="311" spans="1:19" x14ac:dyDescent="0.25">
      <c r="A311" s="10"/>
      <c r="B311" s="10"/>
      <c r="C311" s="10"/>
      <c r="D311" s="10"/>
      <c r="E311" s="10"/>
      <c r="F311" s="10"/>
      <c r="G311" s="10"/>
      <c r="H311" s="770"/>
      <c r="I311" s="10"/>
      <c r="J311" s="10"/>
      <c r="K311" s="10"/>
      <c r="L311" s="10"/>
      <c r="M311" s="770"/>
      <c r="N311" s="10"/>
      <c r="O311" s="10"/>
      <c r="P311" s="10"/>
      <c r="Q311" s="10"/>
      <c r="R311" s="10"/>
      <c r="S311" s="10"/>
    </row>
    <row r="312" spans="1:19" x14ac:dyDescent="0.25">
      <c r="A312" s="10"/>
      <c r="B312" s="10"/>
      <c r="C312" s="10"/>
      <c r="D312" s="10"/>
      <c r="E312" s="10"/>
      <c r="F312" s="10"/>
      <c r="G312" s="10"/>
      <c r="H312" s="770"/>
      <c r="I312" s="10"/>
      <c r="J312" s="10"/>
      <c r="K312" s="10"/>
      <c r="L312" s="10"/>
      <c r="M312" s="770"/>
      <c r="N312" s="10"/>
      <c r="O312" s="10"/>
      <c r="P312" s="10"/>
      <c r="Q312" s="10"/>
      <c r="R312" s="10"/>
      <c r="S312" s="10"/>
    </row>
    <row r="313" spans="1:19" x14ac:dyDescent="0.25">
      <c r="A313" s="10"/>
      <c r="B313" s="10"/>
      <c r="C313" s="10"/>
      <c r="D313" s="10"/>
      <c r="E313" s="10"/>
      <c r="F313" s="10"/>
      <c r="G313" s="10"/>
      <c r="H313" s="770"/>
      <c r="I313" s="10"/>
      <c r="J313" s="10"/>
      <c r="K313" s="10"/>
      <c r="L313" s="10"/>
      <c r="M313" s="770"/>
      <c r="N313" s="10"/>
      <c r="O313" s="10"/>
      <c r="P313" s="10"/>
      <c r="Q313" s="10"/>
      <c r="R313" s="10"/>
      <c r="S313" s="10"/>
    </row>
    <row r="314" spans="1:19" x14ac:dyDescent="0.25">
      <c r="A314" s="10"/>
      <c r="B314" s="10"/>
      <c r="C314" s="10"/>
      <c r="D314" s="10"/>
      <c r="E314" s="10"/>
      <c r="F314" s="10"/>
      <c r="G314" s="10"/>
      <c r="H314" s="770"/>
      <c r="I314" s="10"/>
      <c r="J314" s="10"/>
      <c r="K314" s="10"/>
      <c r="L314" s="10"/>
      <c r="M314" s="770"/>
      <c r="N314" s="10"/>
      <c r="O314" s="10"/>
      <c r="P314" s="10"/>
      <c r="Q314" s="10"/>
      <c r="R314" s="10"/>
      <c r="S314" s="10"/>
    </row>
    <row r="315" spans="1:19" x14ac:dyDescent="0.25">
      <c r="A315" s="10"/>
      <c r="B315" s="10"/>
      <c r="C315" s="10"/>
      <c r="D315" s="10"/>
      <c r="E315" s="10"/>
      <c r="F315" s="10"/>
      <c r="G315" s="10"/>
      <c r="H315" s="770"/>
      <c r="I315" s="10"/>
      <c r="J315" s="10"/>
      <c r="K315" s="10"/>
      <c r="L315" s="10"/>
      <c r="M315" s="770"/>
      <c r="N315" s="10"/>
      <c r="O315" s="10"/>
      <c r="P315" s="10"/>
      <c r="Q315" s="10"/>
      <c r="R315" s="10"/>
      <c r="S315" s="10"/>
    </row>
    <row r="316" spans="1:19" x14ac:dyDescent="0.25">
      <c r="A316" s="10"/>
      <c r="B316" s="10"/>
      <c r="C316" s="10"/>
      <c r="D316" s="10"/>
      <c r="E316" s="10"/>
      <c r="F316" s="10"/>
      <c r="G316" s="10"/>
      <c r="H316" s="770"/>
      <c r="I316" s="10"/>
      <c r="J316" s="10"/>
      <c r="K316" s="10"/>
      <c r="L316" s="10"/>
      <c r="M316" s="770"/>
      <c r="N316" s="10"/>
      <c r="O316" s="10"/>
      <c r="P316" s="10"/>
      <c r="Q316" s="10"/>
      <c r="R316" s="10"/>
      <c r="S316" s="10"/>
    </row>
    <row r="317" spans="1:19" x14ac:dyDescent="0.25">
      <c r="A317" s="10"/>
      <c r="B317" s="10"/>
      <c r="C317" s="10"/>
      <c r="D317" s="10"/>
      <c r="E317" s="10"/>
      <c r="F317" s="10"/>
      <c r="G317" s="10"/>
      <c r="H317" s="770"/>
      <c r="I317" s="10"/>
      <c r="J317" s="10"/>
      <c r="K317" s="10"/>
      <c r="L317" s="10"/>
      <c r="M317" s="770"/>
      <c r="N317" s="10"/>
      <c r="O317" s="10"/>
      <c r="P317" s="10"/>
      <c r="Q317" s="10"/>
      <c r="R317" s="10"/>
      <c r="S317" s="10"/>
    </row>
    <row r="318" spans="1:19" x14ac:dyDescent="0.25">
      <c r="A318" s="10"/>
      <c r="B318" s="10"/>
      <c r="C318" s="10"/>
      <c r="D318" s="10"/>
      <c r="E318" s="10"/>
      <c r="F318" s="10"/>
      <c r="G318" s="10"/>
      <c r="H318" s="770"/>
      <c r="I318" s="10"/>
      <c r="J318" s="10"/>
      <c r="K318" s="10"/>
      <c r="L318" s="10"/>
      <c r="M318" s="770"/>
      <c r="N318" s="10"/>
      <c r="O318" s="10"/>
      <c r="P318" s="10"/>
      <c r="Q318" s="10"/>
      <c r="R318" s="10"/>
      <c r="S318" s="10"/>
    </row>
    <row r="319" spans="1:19" x14ac:dyDescent="0.25">
      <c r="A319" s="10"/>
      <c r="B319" s="10"/>
      <c r="C319" s="10"/>
      <c r="D319" s="10"/>
      <c r="E319" s="10"/>
      <c r="F319" s="10"/>
      <c r="G319" s="10"/>
      <c r="H319" s="770"/>
      <c r="I319" s="10"/>
      <c r="J319" s="10"/>
      <c r="K319" s="10"/>
      <c r="L319" s="10"/>
      <c r="M319" s="770"/>
      <c r="N319" s="10"/>
      <c r="O319" s="10"/>
      <c r="P319" s="10"/>
      <c r="Q319" s="10"/>
      <c r="R319" s="10"/>
      <c r="S319" s="10"/>
    </row>
    <row r="320" spans="1:19" x14ac:dyDescent="0.25">
      <c r="A320" s="10"/>
      <c r="B320" s="10"/>
      <c r="C320" s="10"/>
      <c r="D320" s="10"/>
      <c r="E320" s="10"/>
      <c r="F320" s="10"/>
      <c r="G320" s="10"/>
      <c r="H320" s="770"/>
      <c r="I320" s="10"/>
      <c r="J320" s="10"/>
      <c r="K320" s="10"/>
      <c r="L320" s="10"/>
      <c r="M320" s="770"/>
      <c r="N320" s="10"/>
      <c r="O320" s="10"/>
      <c r="P320" s="10"/>
      <c r="Q320" s="10"/>
      <c r="R320" s="10"/>
      <c r="S320" s="10"/>
    </row>
    <row r="321" spans="1:19" x14ac:dyDescent="0.25">
      <c r="A321" s="10"/>
      <c r="B321" s="10"/>
      <c r="C321" s="10"/>
      <c r="D321" s="10"/>
      <c r="E321" s="10"/>
      <c r="F321" s="10"/>
      <c r="G321" s="10"/>
      <c r="H321" s="770"/>
      <c r="I321" s="10"/>
      <c r="J321" s="10"/>
      <c r="K321" s="10"/>
      <c r="L321" s="10"/>
      <c r="M321" s="770"/>
      <c r="N321" s="10"/>
      <c r="O321" s="10"/>
      <c r="P321" s="10"/>
      <c r="Q321" s="10"/>
      <c r="R321" s="10"/>
      <c r="S321" s="10"/>
    </row>
    <row r="322" spans="1:19" x14ac:dyDescent="0.25">
      <c r="A322" s="10"/>
      <c r="B322" s="10"/>
      <c r="C322" s="10"/>
      <c r="D322" s="10"/>
      <c r="E322" s="10"/>
      <c r="F322" s="10"/>
      <c r="G322" s="10"/>
      <c r="H322" s="770"/>
      <c r="I322" s="10"/>
      <c r="J322" s="10"/>
      <c r="K322" s="10"/>
      <c r="L322" s="10"/>
      <c r="M322" s="770"/>
      <c r="N322" s="10"/>
      <c r="O322" s="10"/>
      <c r="P322" s="10"/>
      <c r="Q322" s="10"/>
      <c r="R322" s="10"/>
      <c r="S322" s="10"/>
    </row>
    <row r="323" spans="1:19" x14ac:dyDescent="0.25">
      <c r="A323" s="10"/>
      <c r="B323" s="10"/>
      <c r="C323" s="10"/>
      <c r="D323" s="10"/>
      <c r="E323" s="10"/>
      <c r="F323" s="10"/>
      <c r="G323" s="10"/>
      <c r="H323" s="770"/>
      <c r="I323" s="10"/>
      <c r="J323" s="10"/>
      <c r="K323" s="10"/>
      <c r="L323" s="10"/>
      <c r="M323" s="770"/>
      <c r="N323" s="10"/>
      <c r="O323" s="10"/>
      <c r="P323" s="10"/>
      <c r="Q323" s="10"/>
      <c r="R323" s="10"/>
      <c r="S323" s="10"/>
    </row>
    <row r="324" spans="1:19" x14ac:dyDescent="0.25">
      <c r="A324" s="10"/>
      <c r="B324" s="10"/>
      <c r="C324" s="10"/>
      <c r="D324" s="10"/>
      <c r="E324" s="10"/>
      <c r="F324" s="10"/>
      <c r="G324" s="10"/>
      <c r="H324" s="770"/>
      <c r="I324" s="10"/>
      <c r="J324" s="10"/>
      <c r="K324" s="10"/>
      <c r="L324" s="10"/>
      <c r="M324" s="770"/>
      <c r="N324" s="10"/>
      <c r="O324" s="10"/>
      <c r="P324" s="10"/>
      <c r="Q324" s="10"/>
      <c r="R324" s="10"/>
      <c r="S324" s="10"/>
    </row>
    <row r="325" spans="1:19" x14ac:dyDescent="0.25">
      <c r="A325" s="10"/>
      <c r="B325" s="10"/>
      <c r="C325" s="10"/>
      <c r="D325" s="10"/>
      <c r="E325" s="10"/>
      <c r="F325" s="10"/>
      <c r="G325" s="10"/>
      <c r="H325" s="770"/>
      <c r="I325" s="10"/>
      <c r="J325" s="10"/>
      <c r="K325" s="10"/>
      <c r="L325" s="10"/>
      <c r="M325" s="770"/>
      <c r="N325" s="10"/>
      <c r="O325" s="10"/>
      <c r="P325" s="10"/>
      <c r="Q325" s="10"/>
      <c r="R325" s="10"/>
      <c r="S325" s="10"/>
    </row>
    <row r="326" spans="1:19" x14ac:dyDescent="0.25">
      <c r="A326" s="10"/>
      <c r="B326" s="10"/>
      <c r="C326" s="10"/>
      <c r="D326" s="10"/>
      <c r="E326" s="10"/>
      <c r="F326" s="10"/>
      <c r="G326" s="10"/>
      <c r="H326" s="770"/>
      <c r="I326" s="10"/>
      <c r="J326" s="10"/>
      <c r="K326" s="10"/>
      <c r="L326" s="10"/>
      <c r="M326" s="770"/>
      <c r="N326" s="10"/>
      <c r="O326" s="10"/>
      <c r="P326" s="10"/>
      <c r="Q326" s="10"/>
      <c r="R326" s="10"/>
      <c r="S326" s="10"/>
    </row>
    <row r="327" spans="1:19" x14ac:dyDescent="0.25">
      <c r="A327" s="10"/>
      <c r="B327" s="10"/>
      <c r="C327" s="10"/>
      <c r="D327" s="10"/>
      <c r="E327" s="10"/>
      <c r="F327" s="10"/>
      <c r="G327" s="10"/>
      <c r="H327" s="770"/>
      <c r="I327" s="10"/>
      <c r="J327" s="10"/>
      <c r="K327" s="10"/>
      <c r="L327" s="10"/>
      <c r="M327" s="770"/>
      <c r="N327" s="10"/>
      <c r="O327" s="10"/>
      <c r="P327" s="10"/>
      <c r="Q327" s="10"/>
      <c r="R327" s="10"/>
      <c r="S327" s="10"/>
    </row>
    <row r="328" spans="1:19" x14ac:dyDescent="0.25">
      <c r="A328" s="10"/>
      <c r="B328" s="10"/>
      <c r="C328" s="10"/>
      <c r="D328" s="10"/>
      <c r="E328" s="10"/>
      <c r="F328" s="10"/>
      <c r="G328" s="10"/>
      <c r="H328" s="770"/>
      <c r="I328" s="10"/>
      <c r="J328" s="10"/>
      <c r="K328" s="10"/>
      <c r="L328" s="10"/>
      <c r="M328" s="770"/>
      <c r="N328" s="10"/>
      <c r="O328" s="10"/>
      <c r="P328" s="10"/>
      <c r="Q328" s="10"/>
      <c r="R328" s="10"/>
      <c r="S328" s="10"/>
    </row>
    <row r="329" spans="1:19" x14ac:dyDescent="0.25">
      <c r="A329" s="10"/>
      <c r="B329" s="10"/>
      <c r="C329" s="10"/>
      <c r="D329" s="10"/>
      <c r="E329" s="10"/>
      <c r="F329" s="10"/>
      <c r="G329" s="10"/>
      <c r="H329" s="770"/>
      <c r="I329" s="10"/>
      <c r="J329" s="10"/>
      <c r="K329" s="10"/>
      <c r="L329" s="10"/>
      <c r="M329" s="770"/>
      <c r="N329" s="10"/>
      <c r="O329" s="10"/>
      <c r="P329" s="10"/>
      <c r="Q329" s="10"/>
      <c r="R329" s="10"/>
      <c r="S329" s="10"/>
    </row>
    <row r="330" spans="1:19" x14ac:dyDescent="0.25">
      <c r="A330" s="10"/>
      <c r="B330" s="10"/>
      <c r="C330" s="10"/>
      <c r="D330" s="10"/>
      <c r="E330" s="10"/>
      <c r="F330" s="10"/>
      <c r="G330" s="10"/>
      <c r="H330" s="770"/>
      <c r="I330" s="10"/>
      <c r="J330" s="10"/>
      <c r="K330" s="10"/>
      <c r="L330" s="10"/>
      <c r="M330" s="770"/>
      <c r="N330" s="10"/>
      <c r="O330" s="10"/>
      <c r="P330" s="10"/>
      <c r="Q330" s="10"/>
      <c r="R330" s="10"/>
      <c r="S330" s="10"/>
    </row>
    <row r="331" spans="1:19" x14ac:dyDescent="0.25">
      <c r="A331" s="10"/>
      <c r="B331" s="10"/>
      <c r="C331" s="10"/>
      <c r="D331" s="10"/>
      <c r="E331" s="10"/>
      <c r="F331" s="10"/>
      <c r="G331" s="10"/>
      <c r="H331" s="770"/>
      <c r="I331" s="10"/>
      <c r="J331" s="10"/>
      <c r="K331" s="10"/>
      <c r="L331" s="10"/>
      <c r="M331" s="770"/>
      <c r="N331" s="10"/>
      <c r="O331" s="10"/>
      <c r="P331" s="10"/>
      <c r="Q331" s="10"/>
      <c r="R331" s="10"/>
      <c r="S331" s="10"/>
    </row>
    <row r="332" spans="1:19" x14ac:dyDescent="0.25">
      <c r="A332" s="10"/>
      <c r="B332" s="10"/>
      <c r="C332" s="10"/>
      <c r="D332" s="10"/>
      <c r="E332" s="10"/>
      <c r="F332" s="10"/>
      <c r="G332" s="10"/>
      <c r="H332" s="770"/>
      <c r="I332" s="10"/>
      <c r="J332" s="10"/>
      <c r="K332" s="10"/>
      <c r="L332" s="10"/>
      <c r="M332" s="770"/>
      <c r="N332" s="10"/>
      <c r="O332" s="10"/>
      <c r="P332" s="10"/>
      <c r="Q332" s="10"/>
      <c r="R332" s="10"/>
      <c r="S332" s="10"/>
    </row>
    <row r="333" spans="1:19" x14ac:dyDescent="0.25">
      <c r="A333" s="10"/>
      <c r="B333" s="10"/>
      <c r="C333" s="10"/>
      <c r="D333" s="10"/>
      <c r="E333" s="10"/>
      <c r="F333" s="10"/>
      <c r="G333" s="10"/>
      <c r="H333" s="770"/>
      <c r="I333" s="10"/>
      <c r="J333" s="10"/>
      <c r="K333" s="10"/>
      <c r="L333" s="10"/>
      <c r="M333" s="770"/>
      <c r="N333" s="10"/>
      <c r="O333" s="10"/>
      <c r="P333" s="10"/>
      <c r="Q333" s="10"/>
      <c r="R333" s="10"/>
      <c r="S333" s="10"/>
    </row>
    <row r="334" spans="1:19" x14ac:dyDescent="0.25">
      <c r="A334" s="10"/>
      <c r="B334" s="10"/>
      <c r="C334" s="10"/>
      <c r="D334" s="10"/>
      <c r="E334" s="10"/>
      <c r="F334" s="10"/>
      <c r="G334" s="10"/>
      <c r="H334" s="770"/>
      <c r="I334" s="10"/>
      <c r="J334" s="10"/>
      <c r="K334" s="10"/>
      <c r="L334" s="10"/>
      <c r="M334" s="770"/>
      <c r="N334" s="10"/>
      <c r="O334" s="10"/>
      <c r="P334" s="10"/>
      <c r="Q334" s="10"/>
      <c r="R334" s="10"/>
      <c r="S334" s="10"/>
    </row>
    <row r="335" spans="1:19" x14ac:dyDescent="0.25">
      <c r="A335" s="10"/>
      <c r="B335" s="10"/>
      <c r="C335" s="10"/>
      <c r="D335" s="10"/>
      <c r="E335" s="10"/>
      <c r="F335" s="10"/>
      <c r="G335" s="10"/>
      <c r="H335" s="770"/>
      <c r="I335" s="10"/>
      <c r="J335" s="10"/>
      <c r="K335" s="10"/>
      <c r="L335" s="10"/>
      <c r="M335" s="770"/>
      <c r="N335" s="10"/>
      <c r="O335" s="10"/>
      <c r="P335" s="10"/>
      <c r="Q335" s="10"/>
      <c r="R335" s="10"/>
      <c r="S335" s="10"/>
    </row>
    <row r="336" spans="1:19" x14ac:dyDescent="0.25">
      <c r="A336" s="10"/>
      <c r="B336" s="10"/>
      <c r="C336" s="10"/>
      <c r="D336" s="10"/>
      <c r="E336" s="10"/>
      <c r="F336" s="10"/>
      <c r="G336" s="10"/>
      <c r="H336" s="770"/>
      <c r="I336" s="10"/>
      <c r="J336" s="10"/>
      <c r="K336" s="10"/>
      <c r="L336" s="10"/>
      <c r="M336" s="770"/>
      <c r="N336" s="10"/>
      <c r="O336" s="10"/>
      <c r="P336" s="10"/>
      <c r="Q336" s="10"/>
      <c r="R336" s="10"/>
      <c r="S336" s="10"/>
    </row>
    <row r="337" spans="1:19" x14ac:dyDescent="0.25">
      <c r="A337" s="10"/>
      <c r="B337" s="10"/>
      <c r="C337" s="10"/>
      <c r="D337" s="10"/>
      <c r="E337" s="10"/>
      <c r="F337" s="10"/>
      <c r="G337" s="10"/>
      <c r="H337" s="770"/>
      <c r="I337" s="10"/>
      <c r="J337" s="10"/>
      <c r="K337" s="10"/>
      <c r="L337" s="10"/>
      <c r="M337" s="770"/>
      <c r="N337" s="10"/>
      <c r="O337" s="10"/>
      <c r="P337" s="10"/>
      <c r="Q337" s="10"/>
      <c r="R337" s="10"/>
      <c r="S337" s="10"/>
    </row>
    <row r="338" spans="1:19" x14ac:dyDescent="0.25">
      <c r="A338" s="10"/>
      <c r="B338" s="10"/>
      <c r="C338" s="10"/>
      <c r="D338" s="10"/>
      <c r="E338" s="10"/>
      <c r="F338" s="10"/>
      <c r="G338" s="10"/>
      <c r="H338" s="770"/>
      <c r="I338" s="10"/>
      <c r="J338" s="10"/>
      <c r="K338" s="10"/>
      <c r="L338" s="10"/>
      <c r="M338" s="770"/>
      <c r="N338" s="10"/>
      <c r="O338" s="10"/>
      <c r="P338" s="10"/>
      <c r="Q338" s="10"/>
      <c r="R338" s="10"/>
      <c r="S338" s="10"/>
    </row>
    <row r="339" spans="1:19" x14ac:dyDescent="0.25">
      <c r="A339" s="10"/>
      <c r="B339" s="10"/>
      <c r="C339" s="10"/>
      <c r="D339" s="10"/>
      <c r="E339" s="10"/>
      <c r="F339" s="10"/>
      <c r="G339" s="10"/>
      <c r="H339" s="770"/>
      <c r="I339" s="10"/>
      <c r="J339" s="10"/>
      <c r="K339" s="10"/>
      <c r="L339" s="10"/>
      <c r="M339" s="770"/>
      <c r="N339" s="10"/>
      <c r="O339" s="10"/>
      <c r="P339" s="10"/>
      <c r="Q339" s="10"/>
      <c r="R339" s="10"/>
      <c r="S339" s="10"/>
    </row>
    <row r="340" spans="1:19" x14ac:dyDescent="0.25">
      <c r="A340" s="10"/>
      <c r="B340" s="10"/>
      <c r="C340" s="10"/>
      <c r="D340" s="10"/>
      <c r="E340" s="10"/>
      <c r="F340" s="10"/>
      <c r="G340" s="10"/>
      <c r="H340" s="770"/>
      <c r="I340" s="10"/>
      <c r="J340" s="10"/>
      <c r="K340" s="10"/>
      <c r="L340" s="10"/>
      <c r="M340" s="770"/>
      <c r="N340" s="10"/>
      <c r="O340" s="10"/>
      <c r="P340" s="10"/>
      <c r="Q340" s="10"/>
      <c r="R340" s="10"/>
      <c r="S340" s="10"/>
    </row>
    <row r="341" spans="1:19" x14ac:dyDescent="0.25">
      <c r="A341" s="10"/>
      <c r="B341" s="10"/>
      <c r="C341" s="10"/>
      <c r="D341" s="10"/>
      <c r="E341" s="10"/>
      <c r="F341" s="10"/>
      <c r="G341" s="10"/>
      <c r="H341" s="770"/>
      <c r="I341" s="10"/>
      <c r="J341" s="10"/>
      <c r="K341" s="10"/>
      <c r="L341" s="10"/>
      <c r="M341" s="770"/>
      <c r="N341" s="10"/>
      <c r="O341" s="10"/>
      <c r="P341" s="10"/>
      <c r="Q341" s="10"/>
      <c r="R341" s="10"/>
      <c r="S341" s="10"/>
    </row>
    <row r="342" spans="1:19" x14ac:dyDescent="0.25">
      <c r="A342" s="10"/>
      <c r="B342" s="10"/>
      <c r="C342" s="10"/>
      <c r="D342" s="10"/>
      <c r="E342" s="10"/>
      <c r="F342" s="10"/>
      <c r="G342" s="10"/>
      <c r="H342" s="770"/>
      <c r="I342" s="10"/>
      <c r="J342" s="10"/>
      <c r="K342" s="10"/>
      <c r="L342" s="10"/>
      <c r="M342" s="770"/>
      <c r="N342" s="10"/>
      <c r="O342" s="10"/>
      <c r="P342" s="10"/>
      <c r="Q342" s="10"/>
      <c r="R342" s="10"/>
      <c r="S342" s="10"/>
    </row>
    <row r="343" spans="1:19" x14ac:dyDescent="0.25">
      <c r="A343" s="10"/>
      <c r="B343" s="10"/>
      <c r="C343" s="10"/>
      <c r="D343" s="10"/>
      <c r="E343" s="10"/>
      <c r="F343" s="10"/>
      <c r="G343" s="10"/>
      <c r="H343" s="770"/>
      <c r="I343" s="10"/>
      <c r="J343" s="10"/>
      <c r="K343" s="10"/>
      <c r="L343" s="10"/>
      <c r="M343" s="770"/>
      <c r="N343" s="10"/>
      <c r="O343" s="10"/>
      <c r="P343" s="10"/>
      <c r="Q343" s="10"/>
      <c r="R343" s="10"/>
      <c r="S343" s="10"/>
    </row>
    <row r="344" spans="1:19" x14ac:dyDescent="0.25">
      <c r="A344" s="10"/>
      <c r="B344" s="10"/>
      <c r="C344" s="10"/>
      <c r="D344" s="10"/>
      <c r="E344" s="10"/>
      <c r="F344" s="10"/>
      <c r="G344" s="10"/>
      <c r="H344" s="770"/>
      <c r="I344" s="10"/>
      <c r="J344" s="10"/>
      <c r="K344" s="10"/>
      <c r="L344" s="10"/>
      <c r="M344" s="770"/>
      <c r="N344" s="10"/>
      <c r="O344" s="10"/>
      <c r="P344" s="10"/>
      <c r="Q344" s="10"/>
      <c r="R344" s="10"/>
      <c r="S344" s="10"/>
    </row>
    <row r="345" spans="1:19" x14ac:dyDescent="0.25">
      <c r="A345" s="10"/>
      <c r="B345" s="10"/>
      <c r="C345" s="10"/>
      <c r="D345" s="10"/>
      <c r="E345" s="10"/>
      <c r="F345" s="10"/>
      <c r="G345" s="10"/>
      <c r="H345" s="770"/>
      <c r="I345" s="10"/>
      <c r="J345" s="10"/>
      <c r="K345" s="10"/>
      <c r="L345" s="10"/>
      <c r="M345" s="770"/>
      <c r="N345" s="10"/>
      <c r="O345" s="10"/>
      <c r="P345" s="10"/>
      <c r="Q345" s="10"/>
      <c r="R345" s="10"/>
      <c r="S345" s="10"/>
    </row>
    <row r="346" spans="1:19" x14ac:dyDescent="0.25">
      <c r="A346" s="10"/>
      <c r="B346" s="10"/>
      <c r="C346" s="10"/>
      <c r="D346" s="10"/>
      <c r="E346" s="10"/>
      <c r="F346" s="10"/>
      <c r="G346" s="10"/>
      <c r="H346" s="770"/>
      <c r="I346" s="10"/>
      <c r="J346" s="10"/>
      <c r="K346" s="10"/>
      <c r="L346" s="10"/>
      <c r="M346" s="770"/>
      <c r="N346" s="10"/>
      <c r="O346" s="10"/>
      <c r="P346" s="10"/>
      <c r="Q346" s="10"/>
      <c r="R346" s="10"/>
      <c r="S346" s="10"/>
    </row>
    <row r="347" spans="1:19" x14ac:dyDescent="0.25">
      <c r="A347" s="10"/>
      <c r="B347" s="10"/>
      <c r="C347" s="10"/>
      <c r="D347" s="10"/>
      <c r="E347" s="10"/>
      <c r="F347" s="10"/>
      <c r="G347" s="10"/>
      <c r="H347" s="770"/>
      <c r="I347" s="10"/>
      <c r="J347" s="10"/>
      <c r="K347" s="10"/>
      <c r="L347" s="10"/>
      <c r="M347" s="770"/>
      <c r="N347" s="10"/>
      <c r="O347" s="10"/>
      <c r="P347" s="10"/>
      <c r="Q347" s="10"/>
      <c r="R347" s="10"/>
      <c r="S347" s="10"/>
    </row>
    <row r="348" spans="1:19" x14ac:dyDescent="0.25">
      <c r="A348" s="10"/>
      <c r="B348" s="10"/>
      <c r="C348" s="10"/>
      <c r="D348" s="10"/>
      <c r="E348" s="10"/>
      <c r="F348" s="10"/>
      <c r="G348" s="10"/>
      <c r="H348" s="770"/>
      <c r="I348" s="10"/>
      <c r="J348" s="10"/>
      <c r="K348" s="10"/>
      <c r="L348" s="10"/>
      <c r="M348" s="770"/>
      <c r="N348" s="10"/>
      <c r="O348" s="10"/>
      <c r="P348" s="10"/>
      <c r="Q348" s="10"/>
      <c r="R348" s="10"/>
      <c r="S348" s="10"/>
    </row>
    <row r="349" spans="1:19" x14ac:dyDescent="0.25">
      <c r="A349" s="10"/>
      <c r="B349" s="10"/>
      <c r="C349" s="10"/>
      <c r="D349" s="10"/>
      <c r="E349" s="10"/>
      <c r="F349" s="10"/>
      <c r="G349" s="10"/>
      <c r="H349" s="770"/>
      <c r="I349" s="10"/>
      <c r="J349" s="10"/>
      <c r="K349" s="10"/>
      <c r="L349" s="10"/>
      <c r="M349" s="770"/>
      <c r="N349" s="10"/>
      <c r="O349" s="10"/>
      <c r="P349" s="10"/>
      <c r="Q349" s="10"/>
      <c r="R349" s="10"/>
      <c r="S349" s="10"/>
    </row>
    <row r="350" spans="1:19" x14ac:dyDescent="0.25">
      <c r="A350" s="10"/>
      <c r="B350" s="10"/>
      <c r="C350" s="10"/>
      <c r="D350" s="10"/>
      <c r="E350" s="10"/>
      <c r="F350" s="10"/>
      <c r="G350" s="10"/>
      <c r="H350" s="770"/>
      <c r="I350" s="10"/>
      <c r="J350" s="10"/>
      <c r="K350" s="10"/>
      <c r="L350" s="10"/>
      <c r="M350" s="770"/>
      <c r="N350" s="10"/>
      <c r="O350" s="10"/>
      <c r="P350" s="10"/>
      <c r="Q350" s="10"/>
      <c r="R350" s="10"/>
      <c r="S350" s="10"/>
    </row>
    <row r="351" spans="1:19" x14ac:dyDescent="0.25">
      <c r="A351" s="10"/>
      <c r="B351" s="10"/>
      <c r="C351" s="10"/>
      <c r="D351" s="10"/>
      <c r="E351" s="10"/>
      <c r="F351" s="10"/>
      <c r="G351" s="10"/>
      <c r="H351" s="770"/>
      <c r="I351" s="10"/>
      <c r="J351" s="10"/>
      <c r="K351" s="10"/>
      <c r="L351" s="10"/>
      <c r="M351" s="770"/>
      <c r="N351" s="10"/>
      <c r="O351" s="10"/>
      <c r="P351" s="10"/>
      <c r="Q351" s="10"/>
      <c r="R351" s="10"/>
      <c r="S351" s="10"/>
    </row>
    <row r="352" spans="1:19" x14ac:dyDescent="0.25">
      <c r="A352" s="10"/>
      <c r="B352" s="10"/>
      <c r="C352" s="10"/>
      <c r="D352" s="10"/>
      <c r="E352" s="10"/>
      <c r="F352" s="10"/>
      <c r="G352" s="10"/>
      <c r="H352" s="770"/>
      <c r="I352" s="10"/>
      <c r="J352" s="10"/>
      <c r="K352" s="10"/>
      <c r="L352" s="10"/>
      <c r="M352" s="770"/>
      <c r="N352" s="10"/>
      <c r="O352" s="10"/>
      <c r="P352" s="10"/>
      <c r="Q352" s="10"/>
      <c r="R352" s="10"/>
      <c r="S352" s="10"/>
    </row>
    <row r="353" spans="1:19" x14ac:dyDescent="0.25">
      <c r="A353" s="10"/>
      <c r="B353" s="10"/>
      <c r="C353" s="10"/>
      <c r="D353" s="10"/>
      <c r="E353" s="10"/>
      <c r="F353" s="10"/>
      <c r="G353" s="10"/>
      <c r="H353" s="770"/>
      <c r="I353" s="10"/>
      <c r="J353" s="10"/>
      <c r="K353" s="10"/>
      <c r="L353" s="10"/>
      <c r="M353" s="770"/>
      <c r="N353" s="10"/>
      <c r="O353" s="10"/>
      <c r="P353" s="10"/>
      <c r="Q353" s="10"/>
      <c r="R353" s="10"/>
      <c r="S353" s="10"/>
    </row>
    <row r="354" spans="1:19" x14ac:dyDescent="0.25">
      <c r="A354" s="10"/>
      <c r="B354" s="10"/>
      <c r="C354" s="10"/>
      <c r="D354" s="10"/>
      <c r="E354" s="10"/>
      <c r="F354" s="10"/>
      <c r="G354" s="10"/>
      <c r="H354" s="770"/>
      <c r="I354" s="10"/>
      <c r="J354" s="10"/>
      <c r="K354" s="10"/>
      <c r="L354" s="10"/>
      <c r="M354" s="770"/>
      <c r="N354" s="10"/>
      <c r="O354" s="10"/>
      <c r="P354" s="10"/>
      <c r="Q354" s="10"/>
      <c r="R354" s="10"/>
      <c r="S354" s="10"/>
    </row>
    <row r="355" spans="1:19" x14ac:dyDescent="0.25">
      <c r="A355" s="10"/>
      <c r="B355" s="10"/>
      <c r="C355" s="10"/>
      <c r="D355" s="10"/>
      <c r="E355" s="10"/>
      <c r="F355" s="10"/>
      <c r="G355" s="10"/>
      <c r="H355" s="770"/>
      <c r="I355" s="10"/>
      <c r="J355" s="10"/>
      <c r="K355" s="10"/>
      <c r="L355" s="10"/>
      <c r="M355" s="770"/>
      <c r="N355" s="10"/>
      <c r="O355" s="10"/>
      <c r="P355" s="10"/>
      <c r="Q355" s="10"/>
      <c r="R355" s="10"/>
      <c r="S355" s="10"/>
    </row>
    <row r="356" spans="1:19" x14ac:dyDescent="0.25">
      <c r="A356" s="10"/>
      <c r="B356" s="10"/>
      <c r="C356" s="10"/>
      <c r="D356" s="10"/>
      <c r="E356" s="10"/>
      <c r="F356" s="10"/>
      <c r="G356" s="10"/>
      <c r="H356" s="770"/>
      <c r="I356" s="10"/>
      <c r="J356" s="10"/>
      <c r="K356" s="10"/>
      <c r="L356" s="10"/>
      <c r="M356" s="770"/>
      <c r="N356" s="10"/>
      <c r="O356" s="10"/>
      <c r="P356" s="10"/>
      <c r="Q356" s="10"/>
      <c r="R356" s="10"/>
      <c r="S356" s="10"/>
    </row>
    <row r="357" spans="1:19" x14ac:dyDescent="0.25">
      <c r="A357" s="10"/>
      <c r="B357" s="10"/>
      <c r="C357" s="10"/>
      <c r="D357" s="10"/>
      <c r="E357" s="10"/>
      <c r="F357" s="10"/>
      <c r="G357" s="10"/>
      <c r="H357" s="770"/>
      <c r="I357" s="10"/>
      <c r="J357" s="10"/>
      <c r="K357" s="10"/>
      <c r="L357" s="10"/>
      <c r="M357" s="770"/>
      <c r="N357" s="10"/>
      <c r="O357" s="10"/>
      <c r="P357" s="10"/>
      <c r="Q357" s="10"/>
      <c r="R357" s="10"/>
      <c r="S357" s="10"/>
    </row>
    <row r="358" spans="1:19" x14ac:dyDescent="0.25">
      <c r="A358" s="10"/>
      <c r="B358" s="10"/>
      <c r="C358" s="10"/>
      <c r="D358" s="10"/>
      <c r="E358" s="10"/>
      <c r="F358" s="10"/>
      <c r="G358" s="10"/>
      <c r="H358" s="770"/>
      <c r="I358" s="10"/>
      <c r="J358" s="10"/>
      <c r="K358" s="10"/>
      <c r="L358" s="10"/>
      <c r="M358" s="770"/>
      <c r="N358" s="10"/>
      <c r="O358" s="10"/>
      <c r="P358" s="10"/>
      <c r="Q358" s="10"/>
      <c r="R358" s="10"/>
      <c r="S358" s="10"/>
    </row>
    <row r="359" spans="1:19" x14ac:dyDescent="0.25">
      <c r="A359" s="10"/>
      <c r="B359" s="10"/>
      <c r="C359" s="10"/>
      <c r="D359" s="10"/>
      <c r="E359" s="10"/>
      <c r="F359" s="10"/>
      <c r="G359" s="10"/>
      <c r="H359" s="770"/>
      <c r="I359" s="10"/>
      <c r="J359" s="10"/>
      <c r="K359" s="10"/>
      <c r="L359" s="10"/>
      <c r="M359" s="770"/>
      <c r="N359" s="10"/>
      <c r="O359" s="10"/>
      <c r="P359" s="10"/>
      <c r="Q359" s="10"/>
      <c r="R359" s="10"/>
      <c r="S359" s="10"/>
    </row>
    <row r="360" spans="1:19" x14ac:dyDescent="0.25">
      <c r="A360" s="10"/>
      <c r="B360" s="10"/>
      <c r="C360" s="10"/>
      <c r="D360" s="10"/>
      <c r="E360" s="10"/>
      <c r="F360" s="10"/>
      <c r="G360" s="10"/>
      <c r="H360" s="770"/>
      <c r="I360" s="10"/>
      <c r="J360" s="10"/>
      <c r="K360" s="10"/>
      <c r="L360" s="10"/>
      <c r="M360" s="770"/>
      <c r="N360" s="10"/>
      <c r="O360" s="10"/>
      <c r="P360" s="10"/>
      <c r="Q360" s="10"/>
      <c r="R360" s="10"/>
      <c r="S360" s="10"/>
    </row>
    <row r="361" spans="1:19" x14ac:dyDescent="0.25">
      <c r="A361" s="10"/>
      <c r="B361" s="10"/>
      <c r="C361" s="10"/>
      <c r="D361" s="10"/>
      <c r="E361" s="10"/>
      <c r="F361" s="10"/>
      <c r="G361" s="10"/>
      <c r="H361" s="770"/>
      <c r="I361" s="10"/>
      <c r="J361" s="10"/>
      <c r="K361" s="10"/>
      <c r="L361" s="10"/>
      <c r="M361" s="770"/>
      <c r="N361" s="10"/>
      <c r="O361" s="10"/>
      <c r="P361" s="10"/>
      <c r="Q361" s="10"/>
      <c r="R361" s="10"/>
      <c r="S361" s="10"/>
    </row>
    <row r="362" spans="1:19" x14ac:dyDescent="0.25">
      <c r="A362" s="10"/>
      <c r="B362" s="10"/>
      <c r="C362" s="10"/>
      <c r="D362" s="10"/>
      <c r="E362" s="10"/>
      <c r="F362" s="10"/>
      <c r="G362" s="10"/>
      <c r="H362" s="770"/>
      <c r="I362" s="10"/>
      <c r="J362" s="10"/>
      <c r="K362" s="10"/>
      <c r="L362" s="10"/>
      <c r="M362" s="770"/>
      <c r="N362" s="10"/>
      <c r="O362" s="10"/>
      <c r="P362" s="10"/>
      <c r="Q362" s="10"/>
      <c r="R362" s="10"/>
      <c r="S362" s="10"/>
    </row>
    <row r="363" spans="1:19" x14ac:dyDescent="0.25">
      <c r="A363" s="10"/>
      <c r="B363" s="10"/>
      <c r="C363" s="10"/>
      <c r="D363" s="10"/>
      <c r="E363" s="10"/>
      <c r="F363" s="10"/>
      <c r="G363" s="10"/>
      <c r="H363" s="770"/>
      <c r="I363" s="10"/>
      <c r="J363" s="10"/>
      <c r="K363" s="10"/>
      <c r="L363" s="10"/>
      <c r="M363" s="770"/>
      <c r="N363" s="10"/>
      <c r="O363" s="10"/>
      <c r="P363" s="10"/>
      <c r="Q363" s="10"/>
      <c r="R363" s="10"/>
      <c r="S363" s="10"/>
    </row>
    <row r="364" spans="1:19" x14ac:dyDescent="0.25">
      <c r="A364" s="10"/>
      <c r="B364" s="10"/>
      <c r="C364" s="10"/>
      <c r="D364" s="10"/>
      <c r="E364" s="10"/>
      <c r="F364" s="10"/>
      <c r="G364" s="10"/>
      <c r="H364" s="770"/>
      <c r="I364" s="10"/>
      <c r="J364" s="10"/>
      <c r="K364" s="10"/>
      <c r="L364" s="10"/>
      <c r="M364" s="770"/>
      <c r="N364" s="10"/>
      <c r="O364" s="10"/>
      <c r="P364" s="10"/>
      <c r="Q364" s="10"/>
      <c r="R364" s="10"/>
      <c r="S364" s="10"/>
    </row>
    <row r="365" spans="1:19" x14ac:dyDescent="0.25">
      <c r="A365" s="10"/>
      <c r="B365" s="10"/>
      <c r="C365" s="10"/>
      <c r="D365" s="10"/>
      <c r="E365" s="10"/>
      <c r="F365" s="10"/>
      <c r="G365" s="10"/>
      <c r="H365" s="770"/>
      <c r="I365" s="10"/>
      <c r="J365" s="10"/>
      <c r="K365" s="10"/>
      <c r="L365" s="10"/>
      <c r="M365" s="770"/>
      <c r="N365" s="10"/>
      <c r="O365" s="10"/>
      <c r="P365" s="10"/>
      <c r="Q365" s="10"/>
      <c r="R365" s="10"/>
      <c r="S365" s="10"/>
    </row>
    <row r="366" spans="1:19" x14ac:dyDescent="0.25">
      <c r="A366" s="10"/>
      <c r="B366" s="10"/>
      <c r="C366" s="10"/>
      <c r="D366" s="10"/>
      <c r="E366" s="10"/>
      <c r="F366" s="10"/>
      <c r="G366" s="10"/>
      <c r="H366" s="770"/>
      <c r="I366" s="10"/>
      <c r="J366" s="10"/>
      <c r="K366" s="10"/>
      <c r="L366" s="10"/>
      <c r="M366" s="770"/>
      <c r="N366" s="10"/>
      <c r="O366" s="10"/>
      <c r="P366" s="10"/>
      <c r="Q366" s="10"/>
      <c r="R366" s="10"/>
      <c r="S366" s="10"/>
    </row>
    <row r="367" spans="1:19" x14ac:dyDescent="0.25">
      <c r="A367" s="10"/>
      <c r="B367" s="10"/>
      <c r="C367" s="10"/>
      <c r="D367" s="10"/>
      <c r="E367" s="10"/>
      <c r="F367" s="10"/>
      <c r="G367" s="10"/>
      <c r="H367" s="770"/>
      <c r="I367" s="10"/>
      <c r="J367" s="10"/>
      <c r="K367" s="10"/>
      <c r="L367" s="10"/>
      <c r="M367" s="770"/>
      <c r="N367" s="10"/>
      <c r="O367" s="10"/>
      <c r="P367" s="10"/>
      <c r="Q367" s="10"/>
      <c r="R367" s="10"/>
      <c r="S367" s="10"/>
    </row>
    <row r="368" spans="1:19" x14ac:dyDescent="0.25">
      <c r="A368" s="10"/>
      <c r="B368" s="10"/>
      <c r="C368" s="10"/>
      <c r="D368" s="10"/>
      <c r="E368" s="10"/>
      <c r="F368" s="10"/>
      <c r="G368" s="10"/>
      <c r="H368" s="770"/>
      <c r="I368" s="10"/>
      <c r="J368" s="10"/>
      <c r="K368" s="10"/>
      <c r="L368" s="10"/>
      <c r="M368" s="770"/>
      <c r="N368" s="10"/>
      <c r="O368" s="10"/>
      <c r="P368" s="10"/>
      <c r="Q368" s="10"/>
      <c r="R368" s="10"/>
      <c r="S368" s="10"/>
    </row>
    <row r="369" spans="1:19" x14ac:dyDescent="0.25">
      <c r="A369" s="10"/>
      <c r="B369" s="10"/>
      <c r="C369" s="10"/>
      <c r="D369" s="10"/>
      <c r="E369" s="10"/>
      <c r="F369" s="10"/>
      <c r="G369" s="10"/>
      <c r="H369" s="770"/>
      <c r="I369" s="10"/>
      <c r="J369" s="10"/>
      <c r="K369" s="10"/>
      <c r="L369" s="10"/>
      <c r="M369" s="770"/>
      <c r="N369" s="10"/>
      <c r="O369" s="10"/>
      <c r="P369" s="10"/>
      <c r="Q369" s="10"/>
      <c r="R369" s="10"/>
      <c r="S369" s="10"/>
    </row>
    <row r="370" spans="1:19" x14ac:dyDescent="0.25">
      <c r="A370" s="10"/>
      <c r="B370" s="10"/>
      <c r="C370" s="10"/>
      <c r="D370" s="10"/>
      <c r="E370" s="10"/>
      <c r="F370" s="10"/>
      <c r="G370" s="10"/>
      <c r="H370" s="770"/>
      <c r="I370" s="10"/>
      <c r="J370" s="10"/>
      <c r="K370" s="10"/>
      <c r="L370" s="10"/>
      <c r="M370" s="770"/>
      <c r="N370" s="10"/>
      <c r="O370" s="10"/>
      <c r="P370" s="10"/>
      <c r="Q370" s="10"/>
      <c r="R370" s="10"/>
      <c r="S370" s="10"/>
    </row>
    <row r="371" spans="1:19" x14ac:dyDescent="0.25">
      <c r="A371" s="10"/>
      <c r="B371" s="10"/>
      <c r="C371" s="10"/>
      <c r="D371" s="10"/>
      <c r="E371" s="10"/>
      <c r="F371" s="10"/>
      <c r="G371" s="10"/>
      <c r="H371" s="770"/>
      <c r="I371" s="10"/>
      <c r="J371" s="10"/>
      <c r="K371" s="10"/>
      <c r="L371" s="10"/>
      <c r="M371" s="770"/>
      <c r="N371" s="10"/>
      <c r="O371" s="10"/>
      <c r="P371" s="10"/>
      <c r="Q371" s="10"/>
      <c r="R371" s="10"/>
      <c r="S371" s="10"/>
    </row>
    <row r="372" spans="1:19" x14ac:dyDescent="0.25">
      <c r="A372" s="10"/>
      <c r="B372" s="10"/>
      <c r="C372" s="10"/>
      <c r="D372" s="10"/>
      <c r="E372" s="10"/>
      <c r="F372" s="10"/>
      <c r="G372" s="10"/>
      <c r="H372" s="770"/>
      <c r="I372" s="10"/>
      <c r="J372" s="10"/>
      <c r="K372" s="10"/>
      <c r="L372" s="10"/>
      <c r="M372" s="770"/>
      <c r="N372" s="10"/>
      <c r="O372" s="10"/>
      <c r="P372" s="10"/>
      <c r="Q372" s="10"/>
      <c r="R372" s="10"/>
      <c r="S372" s="10"/>
    </row>
    <row r="373" spans="1:19" x14ac:dyDescent="0.25">
      <c r="A373" s="10"/>
      <c r="B373" s="10"/>
      <c r="C373" s="10"/>
      <c r="D373" s="10"/>
      <c r="E373" s="10"/>
      <c r="F373" s="10"/>
      <c r="G373" s="10"/>
      <c r="H373" s="770"/>
      <c r="I373" s="10"/>
      <c r="J373" s="10"/>
      <c r="K373" s="10"/>
      <c r="L373" s="10"/>
      <c r="M373" s="770"/>
      <c r="N373" s="10"/>
      <c r="O373" s="10"/>
      <c r="P373" s="10"/>
      <c r="Q373" s="10"/>
      <c r="R373" s="10"/>
      <c r="S373" s="10"/>
    </row>
    <row r="374" spans="1:19" x14ac:dyDescent="0.25">
      <c r="A374" s="10"/>
      <c r="B374" s="10"/>
      <c r="C374" s="10"/>
      <c r="D374" s="10"/>
      <c r="E374" s="10"/>
      <c r="F374" s="10"/>
      <c r="G374" s="10"/>
      <c r="H374" s="770"/>
      <c r="I374" s="10"/>
      <c r="J374" s="10"/>
      <c r="K374" s="10"/>
      <c r="L374" s="10"/>
      <c r="M374" s="770"/>
      <c r="N374" s="10"/>
      <c r="O374" s="10"/>
      <c r="P374" s="10"/>
      <c r="Q374" s="10"/>
      <c r="R374" s="10"/>
      <c r="S374" s="10"/>
    </row>
    <row r="375" spans="1:19" x14ac:dyDescent="0.25">
      <c r="A375" s="10"/>
      <c r="B375" s="10"/>
      <c r="C375" s="10"/>
      <c r="D375" s="10"/>
      <c r="E375" s="10"/>
      <c r="F375" s="10"/>
      <c r="G375" s="10"/>
      <c r="H375" s="770"/>
      <c r="I375" s="10"/>
      <c r="J375" s="10"/>
      <c r="K375" s="10"/>
      <c r="L375" s="10"/>
      <c r="M375" s="770"/>
      <c r="N375" s="10"/>
      <c r="O375" s="10"/>
      <c r="P375" s="10"/>
      <c r="Q375" s="10"/>
      <c r="R375" s="10"/>
      <c r="S375" s="10"/>
    </row>
    <row r="376" spans="1:19" x14ac:dyDescent="0.25">
      <c r="A376" s="10"/>
      <c r="B376" s="10"/>
      <c r="C376" s="10"/>
      <c r="D376" s="10"/>
      <c r="E376" s="10"/>
      <c r="F376" s="10"/>
      <c r="G376" s="10"/>
      <c r="H376" s="770"/>
      <c r="I376" s="10"/>
      <c r="J376" s="10"/>
      <c r="K376" s="10"/>
      <c r="L376" s="10"/>
      <c r="M376" s="770"/>
      <c r="N376" s="10"/>
      <c r="O376" s="10"/>
      <c r="P376" s="10"/>
      <c r="Q376" s="10"/>
      <c r="R376" s="10"/>
      <c r="S376" s="10"/>
    </row>
    <row r="377" spans="1:19" x14ac:dyDescent="0.25">
      <c r="A377" s="10"/>
      <c r="B377" s="10"/>
      <c r="C377" s="10"/>
      <c r="D377" s="10"/>
      <c r="E377" s="10"/>
      <c r="F377" s="10"/>
      <c r="G377" s="10"/>
      <c r="H377" s="770"/>
      <c r="I377" s="10"/>
      <c r="J377" s="10"/>
      <c r="K377" s="10"/>
      <c r="L377" s="10"/>
      <c r="M377" s="770"/>
      <c r="N377" s="10"/>
      <c r="O377" s="10"/>
      <c r="P377" s="10"/>
      <c r="Q377" s="10"/>
      <c r="R377" s="10"/>
      <c r="S377" s="10"/>
    </row>
    <row r="378" spans="1:19" x14ac:dyDescent="0.25">
      <c r="A378" s="10"/>
      <c r="B378" s="10"/>
      <c r="C378" s="10"/>
      <c r="D378" s="10"/>
      <c r="E378" s="10"/>
      <c r="F378" s="10"/>
      <c r="G378" s="10"/>
      <c r="H378" s="770"/>
      <c r="I378" s="10"/>
      <c r="J378" s="10"/>
      <c r="K378" s="10"/>
      <c r="L378" s="10"/>
      <c r="M378" s="770"/>
      <c r="N378" s="10"/>
      <c r="O378" s="10"/>
      <c r="P378" s="10"/>
      <c r="Q378" s="10"/>
      <c r="R378" s="10"/>
      <c r="S378" s="10"/>
    </row>
    <row r="379" spans="1:19" x14ac:dyDescent="0.25">
      <c r="A379" s="10"/>
      <c r="B379" s="10"/>
      <c r="C379" s="10"/>
      <c r="D379" s="10"/>
      <c r="E379" s="10"/>
      <c r="F379" s="10"/>
      <c r="G379" s="10"/>
      <c r="H379" s="770"/>
      <c r="I379" s="10"/>
      <c r="J379" s="10"/>
      <c r="K379" s="10"/>
      <c r="L379" s="10"/>
      <c r="M379" s="770"/>
      <c r="N379" s="10"/>
      <c r="O379" s="10"/>
      <c r="P379" s="10"/>
      <c r="Q379" s="10"/>
      <c r="R379" s="10"/>
      <c r="S379" s="10"/>
    </row>
    <row r="380" spans="1:19" x14ac:dyDescent="0.25">
      <c r="A380" s="10"/>
      <c r="B380" s="10"/>
      <c r="C380" s="10"/>
      <c r="D380" s="10"/>
      <c r="E380" s="10"/>
      <c r="F380" s="10"/>
      <c r="G380" s="10"/>
      <c r="H380" s="770"/>
      <c r="I380" s="10"/>
      <c r="J380" s="10"/>
      <c r="K380" s="10"/>
      <c r="L380" s="10"/>
      <c r="M380" s="770"/>
      <c r="N380" s="10"/>
      <c r="O380" s="10"/>
      <c r="P380" s="10"/>
      <c r="Q380" s="10"/>
      <c r="R380" s="10"/>
      <c r="S380" s="10"/>
    </row>
    <row r="381" spans="1:19" x14ac:dyDescent="0.25">
      <c r="A381" s="10"/>
      <c r="B381" s="10"/>
      <c r="C381" s="10"/>
      <c r="D381" s="10"/>
      <c r="E381" s="10"/>
      <c r="F381" s="10"/>
      <c r="G381" s="10"/>
      <c r="H381" s="770"/>
      <c r="I381" s="10"/>
      <c r="J381" s="10"/>
      <c r="K381" s="10"/>
      <c r="L381" s="10"/>
      <c r="M381" s="770"/>
      <c r="N381" s="10"/>
      <c r="O381" s="10"/>
      <c r="P381" s="10"/>
      <c r="Q381" s="10"/>
      <c r="R381" s="10"/>
      <c r="S381" s="10"/>
    </row>
    <row r="382" spans="1:19" x14ac:dyDescent="0.25">
      <c r="A382" s="10"/>
      <c r="B382" s="10"/>
      <c r="C382" s="10"/>
      <c r="D382" s="10"/>
      <c r="E382" s="10"/>
      <c r="F382" s="10"/>
      <c r="G382" s="10"/>
      <c r="H382" s="770"/>
      <c r="I382" s="10"/>
      <c r="J382" s="10"/>
      <c r="K382" s="10"/>
      <c r="L382" s="10"/>
      <c r="M382" s="770"/>
      <c r="N382" s="10"/>
      <c r="O382" s="10"/>
      <c r="P382" s="10"/>
      <c r="Q382" s="10"/>
      <c r="R382" s="10"/>
      <c r="S382" s="10"/>
    </row>
    <row r="383" spans="1:19" x14ac:dyDescent="0.25">
      <c r="A383" s="10"/>
      <c r="B383" s="10"/>
      <c r="C383" s="10"/>
      <c r="D383" s="10"/>
      <c r="E383" s="10"/>
      <c r="F383" s="10"/>
      <c r="G383" s="10"/>
      <c r="H383" s="770"/>
      <c r="I383" s="10"/>
      <c r="J383" s="10"/>
      <c r="K383" s="10"/>
      <c r="L383" s="10"/>
      <c r="M383" s="770"/>
      <c r="N383" s="10"/>
      <c r="O383" s="10"/>
      <c r="P383" s="10"/>
      <c r="Q383" s="10"/>
      <c r="R383" s="10"/>
      <c r="S383" s="10"/>
    </row>
    <row r="384" spans="1:19" x14ac:dyDescent="0.25">
      <c r="A384" s="10"/>
      <c r="B384" s="10"/>
      <c r="C384" s="10"/>
      <c r="D384" s="10"/>
      <c r="E384" s="10"/>
      <c r="F384" s="10"/>
      <c r="G384" s="10"/>
      <c r="H384" s="770"/>
      <c r="I384" s="10"/>
      <c r="J384" s="10"/>
      <c r="K384" s="10"/>
      <c r="L384" s="10"/>
      <c r="M384" s="770"/>
      <c r="N384" s="10"/>
      <c r="O384" s="10"/>
      <c r="P384" s="10"/>
      <c r="Q384" s="10"/>
      <c r="R384" s="10"/>
      <c r="S384" s="10"/>
    </row>
    <row r="385" spans="1:19" x14ac:dyDescent="0.25">
      <c r="A385" s="10"/>
      <c r="B385" s="10"/>
      <c r="C385" s="10"/>
      <c r="D385" s="10"/>
      <c r="E385" s="10"/>
      <c r="F385" s="10"/>
      <c r="G385" s="10"/>
      <c r="H385" s="770"/>
      <c r="I385" s="10"/>
      <c r="J385" s="10"/>
      <c r="K385" s="10"/>
      <c r="L385" s="10"/>
      <c r="M385" s="770"/>
      <c r="N385" s="10"/>
      <c r="O385" s="10"/>
      <c r="P385" s="10"/>
      <c r="Q385" s="10"/>
      <c r="R385" s="10"/>
      <c r="S385" s="10"/>
    </row>
    <row r="386" spans="1:19" x14ac:dyDescent="0.25">
      <c r="A386" s="10"/>
      <c r="B386" s="10"/>
      <c r="C386" s="10"/>
      <c r="D386" s="10"/>
      <c r="E386" s="10"/>
      <c r="F386" s="10"/>
      <c r="G386" s="10"/>
      <c r="H386" s="770"/>
      <c r="I386" s="10"/>
      <c r="J386" s="10"/>
      <c r="K386" s="10"/>
      <c r="L386" s="10"/>
      <c r="M386" s="770"/>
      <c r="N386" s="10"/>
      <c r="O386" s="10"/>
      <c r="P386" s="10"/>
      <c r="Q386" s="10"/>
      <c r="R386" s="10"/>
      <c r="S386" s="10"/>
    </row>
    <row r="387" spans="1:19" x14ac:dyDescent="0.25">
      <c r="A387" s="10"/>
      <c r="B387" s="10"/>
      <c r="C387" s="10"/>
      <c r="D387" s="10"/>
      <c r="E387" s="10"/>
      <c r="F387" s="10"/>
      <c r="G387" s="10"/>
      <c r="H387" s="770"/>
      <c r="I387" s="10"/>
      <c r="J387" s="10"/>
      <c r="K387" s="10"/>
      <c r="L387" s="10"/>
      <c r="M387" s="770"/>
      <c r="N387" s="10"/>
      <c r="O387" s="10"/>
      <c r="P387" s="10"/>
      <c r="Q387" s="10"/>
      <c r="R387" s="10"/>
      <c r="S387" s="10"/>
    </row>
    <row r="388" spans="1:19" x14ac:dyDescent="0.25">
      <c r="A388" s="10"/>
      <c r="B388" s="10"/>
      <c r="C388" s="10"/>
      <c r="D388" s="10"/>
      <c r="E388" s="10"/>
      <c r="F388" s="10"/>
      <c r="G388" s="10"/>
      <c r="H388" s="770"/>
      <c r="I388" s="10"/>
      <c r="J388" s="10"/>
      <c r="K388" s="10"/>
      <c r="L388" s="10"/>
      <c r="M388" s="770"/>
      <c r="N388" s="10"/>
      <c r="O388" s="10"/>
      <c r="P388" s="10"/>
      <c r="Q388" s="10"/>
      <c r="R388" s="10"/>
      <c r="S388" s="10"/>
    </row>
    <row r="389" spans="1:19" x14ac:dyDescent="0.25">
      <c r="A389" s="10"/>
      <c r="B389" s="10"/>
      <c r="C389" s="10"/>
      <c r="D389" s="10"/>
      <c r="E389" s="10"/>
      <c r="F389" s="10"/>
      <c r="G389" s="10"/>
      <c r="H389" s="770"/>
      <c r="I389" s="10"/>
      <c r="J389" s="10"/>
      <c r="K389" s="10"/>
      <c r="L389" s="10"/>
      <c r="M389" s="770"/>
      <c r="N389" s="10"/>
      <c r="O389" s="10"/>
      <c r="P389" s="10"/>
      <c r="Q389" s="10"/>
      <c r="R389" s="10"/>
      <c r="S389" s="10"/>
    </row>
    <row r="390" spans="1:19" x14ac:dyDescent="0.25">
      <c r="A390" s="10"/>
      <c r="B390" s="10"/>
      <c r="C390" s="10"/>
      <c r="D390" s="10"/>
      <c r="E390" s="10"/>
      <c r="F390" s="10"/>
      <c r="G390" s="10"/>
      <c r="H390" s="770"/>
      <c r="I390" s="10"/>
      <c r="J390" s="10"/>
      <c r="K390" s="10"/>
      <c r="L390" s="10"/>
      <c r="M390" s="770"/>
      <c r="N390" s="10"/>
      <c r="O390" s="10"/>
      <c r="P390" s="10"/>
      <c r="Q390" s="10"/>
      <c r="R390" s="10"/>
      <c r="S390" s="10"/>
    </row>
    <row r="391" spans="1:19" x14ac:dyDescent="0.25">
      <c r="A391" s="10"/>
      <c r="B391" s="10"/>
      <c r="C391" s="10"/>
      <c r="D391" s="10"/>
      <c r="E391" s="10"/>
      <c r="F391" s="10"/>
      <c r="G391" s="10"/>
      <c r="H391" s="770"/>
      <c r="I391" s="10"/>
      <c r="J391" s="10"/>
      <c r="K391" s="10"/>
      <c r="L391" s="10"/>
      <c r="M391" s="770"/>
      <c r="N391" s="10"/>
      <c r="O391" s="10"/>
      <c r="P391" s="10"/>
      <c r="Q391" s="10"/>
      <c r="R391" s="10"/>
      <c r="S391" s="10"/>
    </row>
    <row r="392" spans="1:19" x14ac:dyDescent="0.25">
      <c r="A392" s="10"/>
      <c r="B392" s="10"/>
      <c r="C392" s="10"/>
      <c r="D392" s="10"/>
      <c r="E392" s="10"/>
      <c r="F392" s="10"/>
      <c r="G392" s="10"/>
      <c r="H392" s="770"/>
      <c r="I392" s="10"/>
      <c r="J392" s="10"/>
      <c r="K392" s="10"/>
      <c r="L392" s="10"/>
      <c r="M392" s="770"/>
      <c r="N392" s="10"/>
      <c r="O392" s="10"/>
      <c r="P392" s="10"/>
      <c r="Q392" s="10"/>
      <c r="R392" s="10"/>
      <c r="S392" s="10"/>
    </row>
    <row r="393" spans="1:19" x14ac:dyDescent="0.25">
      <c r="A393" s="10"/>
      <c r="B393" s="10"/>
      <c r="C393" s="10"/>
      <c r="D393" s="10"/>
      <c r="E393" s="10"/>
      <c r="F393" s="10"/>
      <c r="G393" s="10"/>
      <c r="H393" s="770"/>
      <c r="I393" s="10"/>
      <c r="J393" s="10"/>
      <c r="K393" s="10"/>
      <c r="L393" s="10"/>
      <c r="M393" s="770"/>
      <c r="N393" s="10"/>
      <c r="O393" s="10"/>
      <c r="P393" s="10"/>
      <c r="Q393" s="10"/>
      <c r="R393" s="10"/>
      <c r="S393" s="10"/>
    </row>
    <row r="394" spans="1:19" x14ac:dyDescent="0.25">
      <c r="A394" s="10"/>
      <c r="B394" s="10"/>
      <c r="C394" s="10"/>
      <c r="D394" s="10"/>
      <c r="E394" s="10"/>
      <c r="F394" s="10"/>
      <c r="G394" s="10"/>
      <c r="H394" s="770"/>
      <c r="I394" s="10"/>
      <c r="J394" s="10"/>
      <c r="K394" s="10"/>
      <c r="L394" s="10"/>
      <c r="M394" s="770"/>
      <c r="N394" s="10"/>
      <c r="O394" s="10"/>
      <c r="P394" s="10"/>
      <c r="Q394" s="10"/>
      <c r="R394" s="10"/>
      <c r="S394" s="10"/>
    </row>
    <row r="395" spans="1:19" x14ac:dyDescent="0.25">
      <c r="A395" s="10"/>
      <c r="B395" s="10"/>
      <c r="C395" s="10"/>
      <c r="D395" s="10"/>
      <c r="E395" s="10"/>
      <c r="F395" s="10"/>
      <c r="G395" s="10"/>
      <c r="H395" s="770"/>
      <c r="I395" s="10"/>
      <c r="J395" s="10"/>
      <c r="K395" s="10"/>
      <c r="L395" s="10"/>
      <c r="M395" s="770"/>
      <c r="N395" s="10"/>
      <c r="O395" s="10"/>
      <c r="P395" s="10"/>
      <c r="Q395" s="10"/>
      <c r="R395" s="10"/>
      <c r="S395" s="10"/>
    </row>
    <row r="396" spans="1:19" x14ac:dyDescent="0.25">
      <c r="A396" s="10"/>
      <c r="B396" s="10"/>
      <c r="C396" s="10"/>
      <c r="D396" s="10"/>
      <c r="E396" s="10"/>
      <c r="F396" s="10"/>
      <c r="G396" s="10"/>
      <c r="H396" s="770"/>
      <c r="I396" s="10"/>
      <c r="J396" s="10"/>
      <c r="K396" s="10"/>
      <c r="L396" s="10"/>
      <c r="M396" s="770"/>
      <c r="N396" s="10"/>
      <c r="O396" s="10"/>
      <c r="P396" s="10"/>
      <c r="Q396" s="10"/>
      <c r="R396" s="10"/>
      <c r="S396" s="10"/>
    </row>
    <row r="397" spans="1:19" x14ac:dyDescent="0.25">
      <c r="A397" s="10"/>
      <c r="B397" s="10"/>
      <c r="C397" s="10"/>
      <c r="D397" s="10"/>
      <c r="E397" s="10"/>
      <c r="F397" s="10"/>
      <c r="G397" s="10"/>
      <c r="H397" s="770"/>
      <c r="I397" s="10"/>
      <c r="J397" s="10"/>
      <c r="K397" s="10"/>
      <c r="L397" s="10"/>
      <c r="M397" s="770"/>
      <c r="N397" s="10"/>
      <c r="O397" s="10"/>
      <c r="P397" s="10"/>
      <c r="Q397" s="10"/>
      <c r="R397" s="10"/>
      <c r="S397" s="10"/>
    </row>
    <row r="398" spans="1:19" x14ac:dyDescent="0.25">
      <c r="A398" s="10"/>
      <c r="B398" s="10"/>
      <c r="C398" s="10"/>
      <c r="D398" s="10"/>
      <c r="E398" s="10"/>
      <c r="F398" s="10"/>
      <c r="G398" s="10"/>
      <c r="H398" s="770"/>
      <c r="I398" s="10"/>
      <c r="J398" s="10"/>
      <c r="K398" s="10"/>
      <c r="L398" s="10"/>
      <c r="M398" s="770"/>
      <c r="N398" s="10"/>
      <c r="O398" s="10"/>
      <c r="P398" s="10"/>
      <c r="Q398" s="10"/>
      <c r="R398" s="10"/>
      <c r="S398" s="10"/>
    </row>
    <row r="399" spans="1:19" x14ac:dyDescent="0.25">
      <c r="A399" s="10"/>
      <c r="B399" s="10"/>
      <c r="C399" s="10"/>
      <c r="D399" s="10"/>
      <c r="E399" s="10"/>
      <c r="F399" s="10"/>
      <c r="G399" s="10"/>
      <c r="H399" s="770"/>
      <c r="I399" s="10"/>
      <c r="J399" s="10"/>
      <c r="K399" s="10"/>
      <c r="L399" s="10"/>
      <c r="M399" s="770"/>
      <c r="N399" s="10"/>
      <c r="O399" s="10"/>
      <c r="P399" s="10"/>
      <c r="Q399" s="10"/>
      <c r="R399" s="10"/>
      <c r="S399" s="10"/>
    </row>
    <row r="400" spans="1:19" x14ac:dyDescent="0.25">
      <c r="A400" s="10"/>
      <c r="B400" s="10"/>
      <c r="C400" s="10"/>
      <c r="D400" s="10"/>
      <c r="E400" s="10"/>
      <c r="F400" s="10"/>
      <c r="G400" s="10"/>
      <c r="H400" s="770"/>
      <c r="I400" s="10"/>
      <c r="J400" s="10"/>
      <c r="K400" s="10"/>
      <c r="L400" s="10"/>
      <c r="M400" s="770"/>
      <c r="N400" s="10"/>
      <c r="O400" s="10"/>
      <c r="P400" s="10"/>
      <c r="Q400" s="10"/>
      <c r="R400" s="10"/>
      <c r="S400" s="10"/>
    </row>
    <row r="401" spans="1:19" x14ac:dyDescent="0.25">
      <c r="A401" s="10"/>
      <c r="B401" s="10"/>
      <c r="C401" s="10"/>
      <c r="D401" s="10"/>
      <c r="E401" s="10"/>
      <c r="F401" s="10"/>
      <c r="G401" s="10"/>
      <c r="H401" s="770"/>
      <c r="I401" s="10"/>
      <c r="J401" s="10"/>
      <c r="K401" s="10"/>
      <c r="L401" s="10"/>
      <c r="M401" s="770"/>
      <c r="N401" s="10"/>
      <c r="O401" s="10"/>
      <c r="P401" s="10"/>
      <c r="Q401" s="10"/>
      <c r="R401" s="10"/>
      <c r="S401" s="10"/>
    </row>
    <row r="402" spans="1:19" x14ac:dyDescent="0.25">
      <c r="A402" s="10"/>
      <c r="B402" s="10"/>
      <c r="C402" s="10"/>
      <c r="D402" s="10"/>
      <c r="E402" s="10"/>
      <c r="F402" s="10"/>
      <c r="G402" s="10"/>
      <c r="H402" s="770"/>
      <c r="I402" s="10"/>
      <c r="J402" s="10"/>
      <c r="K402" s="10"/>
      <c r="L402" s="10"/>
      <c r="M402" s="770"/>
      <c r="N402" s="10"/>
      <c r="O402" s="10"/>
      <c r="P402" s="10"/>
      <c r="Q402" s="10"/>
      <c r="R402" s="10"/>
      <c r="S402" s="10"/>
    </row>
    <row r="403" spans="1:19" x14ac:dyDescent="0.25">
      <c r="A403" s="10"/>
      <c r="B403" s="10"/>
      <c r="C403" s="10"/>
      <c r="D403" s="10"/>
      <c r="E403" s="10"/>
      <c r="F403" s="10"/>
      <c r="G403" s="10"/>
      <c r="H403" s="770"/>
      <c r="I403" s="10"/>
      <c r="J403" s="10"/>
      <c r="K403" s="10"/>
      <c r="L403" s="10"/>
      <c r="M403" s="770"/>
      <c r="N403" s="10"/>
      <c r="O403" s="10"/>
      <c r="P403" s="10"/>
      <c r="Q403" s="10"/>
      <c r="R403" s="10"/>
      <c r="S403" s="10"/>
    </row>
    <row r="404" spans="1:19" x14ac:dyDescent="0.25">
      <c r="A404" s="10"/>
      <c r="B404" s="10"/>
      <c r="C404" s="10"/>
      <c r="D404" s="10"/>
      <c r="E404" s="10"/>
      <c r="F404" s="10"/>
      <c r="G404" s="10"/>
      <c r="H404" s="770"/>
      <c r="I404" s="10"/>
      <c r="J404" s="10"/>
      <c r="K404" s="10"/>
      <c r="L404" s="10"/>
      <c r="M404" s="770"/>
      <c r="N404" s="10"/>
      <c r="O404" s="10"/>
      <c r="P404" s="10"/>
      <c r="Q404" s="10"/>
      <c r="R404" s="10"/>
      <c r="S404" s="10"/>
    </row>
    <row r="405" spans="1:19" x14ac:dyDescent="0.25">
      <c r="A405" s="10"/>
      <c r="B405" s="10"/>
      <c r="C405" s="10"/>
      <c r="D405" s="10"/>
      <c r="E405" s="10"/>
      <c r="F405" s="10"/>
      <c r="G405" s="10"/>
      <c r="H405" s="770"/>
      <c r="I405" s="10"/>
      <c r="J405" s="10"/>
      <c r="K405" s="10"/>
      <c r="L405" s="10"/>
      <c r="M405" s="770"/>
      <c r="N405" s="10"/>
      <c r="O405" s="10"/>
      <c r="P405" s="10"/>
      <c r="Q405" s="10"/>
      <c r="R405" s="10"/>
      <c r="S405" s="10"/>
    </row>
    <row r="406" spans="1:19" x14ac:dyDescent="0.25">
      <c r="A406" s="10"/>
      <c r="B406" s="10"/>
      <c r="C406" s="10"/>
      <c r="D406" s="10"/>
      <c r="E406" s="10"/>
      <c r="F406" s="10"/>
      <c r="G406" s="10"/>
      <c r="H406" s="770"/>
      <c r="I406" s="10"/>
      <c r="J406" s="10"/>
      <c r="K406" s="10"/>
      <c r="L406" s="10"/>
      <c r="M406" s="770"/>
      <c r="N406" s="10"/>
      <c r="O406" s="10"/>
      <c r="P406" s="10"/>
      <c r="Q406" s="10"/>
      <c r="R406" s="10"/>
      <c r="S406" s="10"/>
    </row>
    <row r="407" spans="1:19" x14ac:dyDescent="0.25">
      <c r="A407" s="10"/>
      <c r="B407" s="10"/>
      <c r="C407" s="10"/>
      <c r="D407" s="10"/>
      <c r="E407" s="10"/>
      <c r="F407" s="10"/>
      <c r="G407" s="10"/>
      <c r="H407" s="770"/>
      <c r="I407" s="10"/>
      <c r="J407" s="10"/>
      <c r="K407" s="10"/>
      <c r="L407" s="10"/>
      <c r="M407" s="770"/>
      <c r="N407" s="10"/>
      <c r="O407" s="10"/>
      <c r="P407" s="10"/>
      <c r="Q407" s="10"/>
      <c r="R407" s="10"/>
      <c r="S407" s="10"/>
    </row>
    <row r="408" spans="1:19" x14ac:dyDescent="0.25">
      <c r="A408" s="10"/>
      <c r="B408" s="10"/>
      <c r="C408" s="10"/>
      <c r="D408" s="10"/>
      <c r="E408" s="10"/>
      <c r="F408" s="10"/>
      <c r="G408" s="10"/>
      <c r="H408" s="770"/>
      <c r="I408" s="10"/>
      <c r="J408" s="10"/>
      <c r="K408" s="10"/>
      <c r="L408" s="10"/>
      <c r="M408" s="770"/>
      <c r="N408" s="10"/>
      <c r="O408" s="10"/>
      <c r="P408" s="10"/>
      <c r="Q408" s="10"/>
      <c r="R408" s="10"/>
      <c r="S408" s="10"/>
    </row>
    <row r="409" spans="1:19" x14ac:dyDescent="0.25">
      <c r="A409" s="10"/>
      <c r="B409" s="10"/>
      <c r="C409" s="10"/>
      <c r="D409" s="10"/>
      <c r="E409" s="10"/>
      <c r="F409" s="10"/>
      <c r="G409" s="10"/>
      <c r="H409" s="770"/>
      <c r="I409" s="10"/>
      <c r="J409" s="10"/>
      <c r="K409" s="10"/>
      <c r="L409" s="10"/>
      <c r="M409" s="770"/>
      <c r="N409" s="10"/>
      <c r="O409" s="10"/>
      <c r="P409" s="10"/>
      <c r="Q409" s="10"/>
      <c r="R409" s="10"/>
      <c r="S409" s="10"/>
    </row>
    <row r="410" spans="1:19" x14ac:dyDescent="0.25">
      <c r="A410" s="10"/>
      <c r="B410" s="10"/>
      <c r="C410" s="10"/>
      <c r="D410" s="10"/>
      <c r="E410" s="10"/>
      <c r="F410" s="10"/>
      <c r="G410" s="10"/>
      <c r="H410" s="770"/>
      <c r="I410" s="10"/>
      <c r="J410" s="10"/>
      <c r="K410" s="10"/>
      <c r="L410" s="10"/>
      <c r="M410" s="770"/>
      <c r="N410" s="10"/>
      <c r="O410" s="10"/>
      <c r="P410" s="10"/>
      <c r="Q410" s="10"/>
      <c r="R410" s="10"/>
      <c r="S410" s="10"/>
    </row>
    <row r="411" spans="1:19" x14ac:dyDescent="0.25">
      <c r="A411" s="10"/>
      <c r="B411" s="10"/>
      <c r="C411" s="10"/>
      <c r="D411" s="10"/>
      <c r="E411" s="10"/>
      <c r="F411" s="10"/>
      <c r="G411" s="10"/>
      <c r="H411" s="770"/>
      <c r="I411" s="10"/>
      <c r="J411" s="10"/>
      <c r="K411" s="10"/>
      <c r="L411" s="10"/>
      <c r="M411" s="770"/>
      <c r="N411" s="10"/>
      <c r="O411" s="10"/>
      <c r="P411" s="10"/>
      <c r="Q411" s="10"/>
      <c r="R411" s="10"/>
      <c r="S411" s="10"/>
    </row>
    <row r="412" spans="1:19" x14ac:dyDescent="0.25">
      <c r="A412" s="10"/>
      <c r="B412" s="10"/>
      <c r="C412" s="10"/>
      <c r="D412" s="10"/>
      <c r="E412" s="10"/>
      <c r="F412" s="10"/>
      <c r="G412" s="10"/>
      <c r="H412" s="770"/>
      <c r="I412" s="10"/>
      <c r="J412" s="10"/>
      <c r="K412" s="10"/>
      <c r="L412" s="10"/>
      <c r="M412" s="770"/>
      <c r="N412" s="10"/>
      <c r="O412" s="10"/>
      <c r="P412" s="10"/>
      <c r="Q412" s="10"/>
      <c r="R412" s="10"/>
      <c r="S412" s="10"/>
    </row>
    <row r="413" spans="1:19" x14ac:dyDescent="0.25">
      <c r="A413" s="10"/>
      <c r="B413" s="10"/>
      <c r="C413" s="10"/>
      <c r="D413" s="10"/>
      <c r="E413" s="10"/>
      <c r="F413" s="10"/>
      <c r="G413" s="10"/>
      <c r="H413" s="770"/>
      <c r="I413" s="10"/>
      <c r="J413" s="10"/>
      <c r="K413" s="10"/>
      <c r="L413" s="10"/>
      <c r="M413" s="770"/>
      <c r="N413" s="10"/>
      <c r="O413" s="10"/>
      <c r="P413" s="10"/>
      <c r="Q413" s="10"/>
      <c r="R413" s="10"/>
      <c r="S413" s="10"/>
    </row>
    <row r="414" spans="1:19" x14ac:dyDescent="0.25">
      <c r="A414" s="10"/>
      <c r="B414" s="10"/>
      <c r="C414" s="10"/>
      <c r="D414" s="10"/>
      <c r="E414" s="10"/>
      <c r="F414" s="10"/>
      <c r="G414" s="10"/>
      <c r="H414" s="770"/>
      <c r="I414" s="10"/>
      <c r="J414" s="10"/>
      <c r="K414" s="10"/>
      <c r="L414" s="10"/>
      <c r="M414" s="770"/>
      <c r="N414" s="10"/>
      <c r="O414" s="10"/>
      <c r="P414" s="10"/>
      <c r="Q414" s="10"/>
      <c r="R414" s="10"/>
      <c r="S414" s="10"/>
    </row>
    <row r="415" spans="1:19" x14ac:dyDescent="0.25">
      <c r="A415" s="10"/>
      <c r="B415" s="10"/>
      <c r="C415" s="10"/>
      <c r="D415" s="10"/>
      <c r="E415" s="10"/>
      <c r="F415" s="10"/>
      <c r="G415" s="10"/>
      <c r="H415" s="770"/>
      <c r="I415" s="10"/>
      <c r="J415" s="10"/>
      <c r="K415" s="10"/>
      <c r="L415" s="10"/>
      <c r="M415" s="770"/>
      <c r="N415" s="10"/>
      <c r="O415" s="10"/>
      <c r="P415" s="10"/>
      <c r="Q415" s="10"/>
      <c r="R415" s="10"/>
      <c r="S415" s="10"/>
    </row>
    <row r="416" spans="1:19" x14ac:dyDescent="0.25">
      <c r="A416" s="10"/>
      <c r="B416" s="10"/>
      <c r="C416" s="10"/>
      <c r="D416" s="10"/>
      <c r="E416" s="10"/>
      <c r="F416" s="10"/>
      <c r="G416" s="10"/>
      <c r="H416" s="770"/>
      <c r="I416" s="10"/>
      <c r="J416" s="10"/>
      <c r="K416" s="10"/>
      <c r="L416" s="10"/>
      <c r="M416" s="770"/>
      <c r="N416" s="10"/>
      <c r="O416" s="10"/>
      <c r="P416" s="10"/>
      <c r="Q416" s="10"/>
      <c r="R416" s="10"/>
      <c r="S416" s="10"/>
    </row>
    <row r="417" spans="1:19" x14ac:dyDescent="0.25">
      <c r="A417" s="10"/>
      <c r="B417" s="10"/>
      <c r="C417" s="10"/>
      <c r="D417" s="10"/>
      <c r="E417" s="10"/>
      <c r="F417" s="10"/>
      <c r="G417" s="10"/>
      <c r="H417" s="770"/>
      <c r="I417" s="10"/>
      <c r="J417" s="10"/>
      <c r="K417" s="10"/>
      <c r="L417" s="10"/>
      <c r="M417" s="770"/>
      <c r="N417" s="10"/>
      <c r="O417" s="10"/>
      <c r="P417" s="10"/>
      <c r="Q417" s="10"/>
      <c r="R417" s="10"/>
      <c r="S417" s="10"/>
    </row>
    <row r="418" spans="1:19" x14ac:dyDescent="0.25">
      <c r="A418" s="10"/>
      <c r="B418" s="10"/>
      <c r="C418" s="10"/>
      <c r="D418" s="10"/>
      <c r="E418" s="10"/>
      <c r="F418" s="10"/>
      <c r="G418" s="10"/>
      <c r="H418" s="770"/>
      <c r="I418" s="10"/>
      <c r="J418" s="10"/>
      <c r="K418" s="10"/>
      <c r="L418" s="10"/>
      <c r="M418" s="770"/>
      <c r="N418" s="10"/>
      <c r="O418" s="10"/>
      <c r="P418" s="10"/>
      <c r="Q418" s="10"/>
      <c r="R418" s="10"/>
      <c r="S418" s="10"/>
    </row>
    <row r="419" spans="1:19" x14ac:dyDescent="0.25">
      <c r="A419" s="10"/>
      <c r="B419" s="10"/>
      <c r="C419" s="10"/>
      <c r="D419" s="10"/>
      <c r="E419" s="10"/>
      <c r="F419" s="10"/>
      <c r="G419" s="10"/>
      <c r="H419" s="770"/>
      <c r="I419" s="10"/>
      <c r="J419" s="10"/>
      <c r="K419" s="10"/>
      <c r="L419" s="10"/>
      <c r="M419" s="770"/>
      <c r="N419" s="10"/>
      <c r="O419" s="10"/>
      <c r="P419" s="10"/>
      <c r="Q419" s="10"/>
      <c r="R419" s="10"/>
      <c r="S419" s="10"/>
    </row>
    <row r="420" spans="1:19" x14ac:dyDescent="0.25">
      <c r="A420" s="10"/>
      <c r="B420" s="10"/>
      <c r="C420" s="10"/>
      <c r="D420" s="10"/>
      <c r="E420" s="10"/>
      <c r="F420" s="10"/>
      <c r="G420" s="10"/>
      <c r="H420" s="770"/>
      <c r="I420" s="10"/>
      <c r="J420" s="10"/>
      <c r="K420" s="10"/>
      <c r="L420" s="10"/>
      <c r="M420" s="770"/>
      <c r="N420" s="10"/>
      <c r="O420" s="10"/>
      <c r="P420" s="10"/>
      <c r="Q420" s="10"/>
      <c r="R420" s="10"/>
      <c r="S420" s="10"/>
    </row>
    <row r="421" spans="1:19" x14ac:dyDescent="0.25">
      <c r="A421" s="10"/>
      <c r="B421" s="10"/>
      <c r="C421" s="10"/>
      <c r="D421" s="10"/>
      <c r="E421" s="10"/>
      <c r="F421" s="10"/>
      <c r="G421" s="10"/>
      <c r="H421" s="770"/>
      <c r="I421" s="10"/>
      <c r="J421" s="10"/>
      <c r="K421" s="10"/>
      <c r="L421" s="10"/>
      <c r="M421" s="770"/>
      <c r="N421" s="10"/>
      <c r="O421" s="10"/>
      <c r="P421" s="10"/>
      <c r="Q421" s="10"/>
      <c r="R421" s="10"/>
      <c r="S421" s="10"/>
    </row>
    <row r="422" spans="1:19" x14ac:dyDescent="0.25">
      <c r="A422" s="10"/>
      <c r="B422" s="10"/>
      <c r="C422" s="10"/>
      <c r="D422" s="10"/>
      <c r="E422" s="10"/>
      <c r="F422" s="10"/>
      <c r="G422" s="10"/>
      <c r="H422" s="770"/>
      <c r="I422" s="10"/>
      <c r="J422" s="10"/>
      <c r="K422" s="10"/>
      <c r="L422" s="10"/>
      <c r="M422" s="770"/>
      <c r="N422" s="10"/>
      <c r="O422" s="10"/>
      <c r="P422" s="10"/>
      <c r="Q422" s="10"/>
      <c r="R422" s="10"/>
      <c r="S422" s="10"/>
    </row>
    <row r="423" spans="1:19" x14ac:dyDescent="0.25">
      <c r="A423" s="10"/>
      <c r="B423" s="10"/>
      <c r="C423" s="10"/>
      <c r="D423" s="10"/>
      <c r="E423" s="10"/>
      <c r="F423" s="10"/>
      <c r="G423" s="10"/>
      <c r="H423" s="770"/>
      <c r="I423" s="10"/>
      <c r="J423" s="10"/>
      <c r="K423" s="10"/>
      <c r="L423" s="10"/>
      <c r="M423" s="770"/>
      <c r="N423" s="10"/>
      <c r="O423" s="10"/>
      <c r="P423" s="10"/>
      <c r="Q423" s="10"/>
      <c r="R423" s="10"/>
      <c r="S423" s="10"/>
    </row>
    <row r="424" spans="1:19" x14ac:dyDescent="0.25">
      <c r="A424" s="10"/>
      <c r="B424" s="10"/>
      <c r="C424" s="10"/>
      <c r="D424" s="10"/>
      <c r="E424" s="10"/>
      <c r="F424" s="10"/>
      <c r="G424" s="10"/>
      <c r="H424" s="770"/>
      <c r="I424" s="10"/>
      <c r="J424" s="10"/>
      <c r="K424" s="10"/>
      <c r="L424" s="10"/>
      <c r="M424" s="770"/>
      <c r="N424" s="10"/>
      <c r="O424" s="10"/>
      <c r="P424" s="10"/>
      <c r="Q424" s="10"/>
      <c r="R424" s="10"/>
      <c r="S424" s="10"/>
    </row>
    <row r="425" spans="1:19" x14ac:dyDescent="0.25">
      <c r="A425" s="10"/>
      <c r="B425" s="10"/>
      <c r="C425" s="10"/>
      <c r="D425" s="10"/>
      <c r="E425" s="10"/>
      <c r="F425" s="10"/>
      <c r="G425" s="10"/>
      <c r="H425" s="770"/>
      <c r="I425" s="10"/>
      <c r="J425" s="10"/>
      <c r="K425" s="10"/>
      <c r="L425" s="10"/>
      <c r="M425" s="770"/>
      <c r="N425" s="10"/>
      <c r="O425" s="10"/>
      <c r="P425" s="10"/>
      <c r="Q425" s="10"/>
      <c r="R425" s="10"/>
      <c r="S425" s="10"/>
    </row>
    <row r="426" spans="1:19" x14ac:dyDescent="0.25">
      <c r="A426" s="10"/>
      <c r="B426" s="10"/>
      <c r="C426" s="10"/>
      <c r="D426" s="10"/>
      <c r="E426" s="10"/>
      <c r="F426" s="10"/>
      <c r="G426" s="10"/>
      <c r="H426" s="770"/>
      <c r="I426" s="10"/>
      <c r="J426" s="10"/>
      <c r="K426" s="10"/>
      <c r="L426" s="10"/>
      <c r="M426" s="770"/>
      <c r="N426" s="10"/>
      <c r="O426" s="10"/>
      <c r="P426" s="10"/>
      <c r="Q426" s="10"/>
      <c r="R426" s="10"/>
      <c r="S426" s="10"/>
    </row>
    <row r="427" spans="1:19" x14ac:dyDescent="0.25">
      <c r="A427" s="10"/>
      <c r="B427" s="10"/>
      <c r="C427" s="10"/>
      <c r="D427" s="10"/>
      <c r="E427" s="10"/>
      <c r="F427" s="10"/>
      <c r="G427" s="10"/>
      <c r="H427" s="770"/>
      <c r="I427" s="10"/>
      <c r="J427" s="10"/>
      <c r="K427" s="10"/>
      <c r="L427" s="10"/>
      <c r="M427" s="770"/>
      <c r="N427" s="10"/>
      <c r="O427" s="10"/>
      <c r="P427" s="10"/>
      <c r="Q427" s="10"/>
      <c r="R427" s="10"/>
      <c r="S427" s="10"/>
    </row>
    <row r="428" spans="1:19" x14ac:dyDescent="0.25">
      <c r="A428" s="10"/>
      <c r="B428" s="10"/>
      <c r="C428" s="10"/>
      <c r="D428" s="10"/>
      <c r="E428" s="10"/>
      <c r="F428" s="10"/>
      <c r="G428" s="10"/>
      <c r="H428" s="770"/>
      <c r="I428" s="10"/>
      <c r="J428" s="10"/>
      <c r="K428" s="10"/>
      <c r="L428" s="10"/>
      <c r="M428" s="770"/>
      <c r="N428" s="10"/>
      <c r="O428" s="10"/>
      <c r="P428" s="10"/>
      <c r="Q428" s="10"/>
      <c r="R428" s="10"/>
      <c r="S428" s="10"/>
    </row>
    <row r="429" spans="1:19" x14ac:dyDescent="0.25">
      <c r="A429" s="10"/>
      <c r="B429" s="10"/>
      <c r="C429" s="10"/>
      <c r="D429" s="10"/>
      <c r="E429" s="10"/>
      <c r="F429" s="10"/>
      <c r="G429" s="10"/>
      <c r="H429" s="770"/>
      <c r="I429" s="10"/>
      <c r="J429" s="10"/>
      <c r="K429" s="10"/>
      <c r="L429" s="10"/>
      <c r="M429" s="770"/>
      <c r="N429" s="10"/>
      <c r="O429" s="10"/>
      <c r="P429" s="10"/>
      <c r="Q429" s="10"/>
      <c r="R429" s="10"/>
      <c r="S429" s="10"/>
    </row>
    <row r="430" spans="1:19" x14ac:dyDescent="0.25">
      <c r="A430" s="10"/>
      <c r="B430" s="10"/>
      <c r="C430" s="10"/>
      <c r="D430" s="10"/>
      <c r="E430" s="10"/>
      <c r="F430" s="10"/>
      <c r="G430" s="10"/>
      <c r="H430" s="770"/>
      <c r="I430" s="10"/>
      <c r="J430" s="10"/>
      <c r="K430" s="10"/>
      <c r="L430" s="10"/>
      <c r="M430" s="770"/>
      <c r="N430" s="10"/>
      <c r="O430" s="10"/>
      <c r="P430" s="10"/>
      <c r="Q430" s="10"/>
      <c r="R430" s="10"/>
      <c r="S430" s="10"/>
    </row>
    <row r="431" spans="1:19" x14ac:dyDescent="0.25">
      <c r="A431" s="10"/>
      <c r="B431" s="10"/>
      <c r="C431" s="10"/>
      <c r="D431" s="10"/>
      <c r="E431" s="10"/>
      <c r="F431" s="10"/>
      <c r="G431" s="10"/>
      <c r="H431" s="770"/>
      <c r="I431" s="10"/>
      <c r="J431" s="10"/>
      <c r="K431" s="10"/>
      <c r="L431" s="10"/>
      <c r="M431" s="770"/>
      <c r="N431" s="10"/>
      <c r="O431" s="10"/>
      <c r="P431" s="10"/>
      <c r="Q431" s="10"/>
      <c r="R431" s="10"/>
      <c r="S431" s="10"/>
    </row>
    <row r="432" spans="1:19" x14ac:dyDescent="0.25">
      <c r="A432" s="10"/>
      <c r="B432" s="10"/>
      <c r="C432" s="10"/>
      <c r="D432" s="10"/>
      <c r="E432" s="10"/>
      <c r="F432" s="10"/>
      <c r="G432" s="10"/>
      <c r="H432" s="770"/>
      <c r="I432" s="10"/>
      <c r="J432" s="10"/>
      <c r="K432" s="10"/>
      <c r="L432" s="10"/>
      <c r="M432" s="770"/>
      <c r="N432" s="10"/>
      <c r="O432" s="10"/>
      <c r="P432" s="10"/>
      <c r="Q432" s="10"/>
      <c r="R432" s="10"/>
      <c r="S432" s="10"/>
    </row>
    <row r="433" spans="1:19" x14ac:dyDescent="0.25">
      <c r="A433" s="10"/>
      <c r="B433" s="10"/>
      <c r="C433" s="10"/>
      <c r="D433" s="10"/>
      <c r="E433" s="10"/>
      <c r="F433" s="10"/>
      <c r="G433" s="10"/>
      <c r="H433" s="770"/>
      <c r="I433" s="10"/>
      <c r="J433" s="10"/>
      <c r="K433" s="10"/>
      <c r="L433" s="10"/>
      <c r="M433" s="770"/>
      <c r="N433" s="10"/>
      <c r="O433" s="10"/>
      <c r="P433" s="10"/>
      <c r="Q433" s="10"/>
      <c r="R433" s="10"/>
      <c r="S433" s="10"/>
    </row>
    <row r="434" spans="1:19" x14ac:dyDescent="0.25">
      <c r="A434" s="10"/>
      <c r="B434" s="10"/>
      <c r="C434" s="10"/>
      <c r="D434" s="10"/>
      <c r="E434" s="10"/>
      <c r="F434" s="10"/>
      <c r="G434" s="10"/>
      <c r="H434" s="770"/>
      <c r="I434" s="10"/>
      <c r="J434" s="10"/>
      <c r="K434" s="10"/>
      <c r="L434" s="10"/>
      <c r="M434" s="770"/>
      <c r="N434" s="10"/>
      <c r="O434" s="10"/>
      <c r="P434" s="10"/>
      <c r="Q434" s="10"/>
      <c r="R434" s="10"/>
      <c r="S434" s="10"/>
    </row>
    <row r="435" spans="1:19" x14ac:dyDescent="0.25">
      <c r="A435" s="10"/>
      <c r="B435" s="10"/>
      <c r="C435" s="10"/>
      <c r="D435" s="10"/>
      <c r="E435" s="10"/>
      <c r="F435" s="10"/>
      <c r="G435" s="10"/>
      <c r="H435" s="770"/>
      <c r="I435" s="10"/>
      <c r="J435" s="10"/>
      <c r="K435" s="10"/>
      <c r="L435" s="10"/>
      <c r="M435" s="770"/>
      <c r="N435" s="10"/>
      <c r="O435" s="10"/>
      <c r="P435" s="10"/>
      <c r="Q435" s="10"/>
      <c r="R435" s="10"/>
      <c r="S435" s="10"/>
    </row>
    <row r="436" spans="1:19" x14ac:dyDescent="0.25">
      <c r="A436" s="10"/>
      <c r="B436" s="10"/>
      <c r="C436" s="10"/>
      <c r="D436" s="10"/>
      <c r="E436" s="10"/>
      <c r="F436" s="10"/>
      <c r="G436" s="10"/>
      <c r="H436" s="770"/>
      <c r="I436" s="10"/>
      <c r="J436" s="10"/>
      <c r="K436" s="10"/>
      <c r="L436" s="10"/>
      <c r="M436" s="770"/>
      <c r="N436" s="10"/>
      <c r="O436" s="10"/>
      <c r="P436" s="10"/>
      <c r="Q436" s="10"/>
      <c r="R436" s="10"/>
      <c r="S436" s="10"/>
    </row>
    <row r="437" spans="1:19" x14ac:dyDescent="0.25">
      <c r="A437" s="10"/>
      <c r="B437" s="10"/>
      <c r="C437" s="10"/>
      <c r="D437" s="10"/>
      <c r="E437" s="10"/>
      <c r="F437" s="10"/>
      <c r="G437" s="10"/>
      <c r="H437" s="770"/>
      <c r="I437" s="10"/>
      <c r="J437" s="10"/>
      <c r="K437" s="10"/>
      <c r="L437" s="10"/>
      <c r="M437" s="770"/>
      <c r="N437" s="10"/>
      <c r="O437" s="10"/>
      <c r="P437" s="10"/>
      <c r="Q437" s="10"/>
      <c r="R437" s="10"/>
      <c r="S437" s="10"/>
    </row>
    <row r="438" spans="1:19" x14ac:dyDescent="0.25">
      <c r="A438" s="10"/>
      <c r="B438" s="10"/>
      <c r="C438" s="10"/>
      <c r="D438" s="10"/>
      <c r="E438" s="10"/>
      <c r="F438" s="10"/>
      <c r="G438" s="10"/>
      <c r="H438" s="770"/>
      <c r="I438" s="10"/>
      <c r="J438" s="10"/>
      <c r="K438" s="10"/>
      <c r="L438" s="10"/>
      <c r="M438" s="770"/>
      <c r="N438" s="10"/>
      <c r="O438" s="10"/>
      <c r="P438" s="10"/>
      <c r="Q438" s="10"/>
      <c r="R438" s="10"/>
      <c r="S438" s="10"/>
    </row>
    <row r="439" spans="1:19" x14ac:dyDescent="0.25">
      <c r="A439" s="10"/>
      <c r="B439" s="10"/>
      <c r="C439" s="10"/>
      <c r="D439" s="10"/>
      <c r="E439" s="10"/>
      <c r="F439" s="10"/>
      <c r="G439" s="10"/>
      <c r="H439" s="770"/>
      <c r="I439" s="10"/>
      <c r="J439" s="10"/>
      <c r="K439" s="10"/>
      <c r="L439" s="10"/>
      <c r="M439" s="770"/>
      <c r="N439" s="10"/>
      <c r="O439" s="10"/>
      <c r="P439" s="10"/>
      <c r="Q439" s="10"/>
      <c r="R439" s="10"/>
      <c r="S439" s="10"/>
    </row>
    <row r="440" spans="1:19" x14ac:dyDescent="0.25">
      <c r="A440" s="10"/>
      <c r="B440" s="10"/>
      <c r="C440" s="10"/>
      <c r="D440" s="10"/>
      <c r="E440" s="10"/>
      <c r="F440" s="10"/>
      <c r="G440" s="10"/>
      <c r="H440" s="770"/>
      <c r="I440" s="10"/>
      <c r="J440" s="10"/>
      <c r="K440" s="10"/>
      <c r="L440" s="10"/>
      <c r="M440" s="770"/>
      <c r="N440" s="10"/>
      <c r="O440" s="10"/>
      <c r="P440" s="10"/>
      <c r="Q440" s="10"/>
      <c r="R440" s="10"/>
      <c r="S440" s="10"/>
    </row>
    <row r="441" spans="1:19" x14ac:dyDescent="0.25">
      <c r="A441" s="10"/>
      <c r="B441" s="10"/>
      <c r="C441" s="10"/>
      <c r="D441" s="10"/>
      <c r="E441" s="10"/>
      <c r="F441" s="10"/>
      <c r="G441" s="10"/>
      <c r="H441" s="770"/>
      <c r="I441" s="10"/>
      <c r="J441" s="10"/>
      <c r="K441" s="10"/>
      <c r="L441" s="10"/>
      <c r="M441" s="770"/>
      <c r="N441" s="10"/>
      <c r="O441" s="10"/>
      <c r="P441" s="10"/>
      <c r="Q441" s="10"/>
      <c r="R441" s="10"/>
      <c r="S441" s="10"/>
    </row>
    <row r="442" spans="1:19" x14ac:dyDescent="0.25">
      <c r="A442" s="10"/>
      <c r="B442" s="10"/>
      <c r="C442" s="10"/>
      <c r="D442" s="10"/>
      <c r="E442" s="10"/>
      <c r="F442" s="10"/>
      <c r="G442" s="10"/>
      <c r="H442" s="770"/>
      <c r="I442" s="10"/>
      <c r="J442" s="10"/>
      <c r="K442" s="10"/>
      <c r="L442" s="10"/>
      <c r="M442" s="770"/>
      <c r="N442" s="10"/>
      <c r="O442" s="10"/>
      <c r="P442" s="10"/>
      <c r="Q442" s="10"/>
      <c r="R442" s="10"/>
      <c r="S442" s="10"/>
    </row>
    <row r="443" spans="1:19" x14ac:dyDescent="0.25">
      <c r="A443" s="10"/>
      <c r="B443" s="10"/>
      <c r="C443" s="10"/>
      <c r="D443" s="10"/>
      <c r="E443" s="10"/>
      <c r="F443" s="10"/>
      <c r="G443" s="10"/>
      <c r="H443" s="770"/>
      <c r="I443" s="10"/>
      <c r="J443" s="10"/>
      <c r="K443" s="10"/>
      <c r="L443" s="10"/>
      <c r="M443" s="770"/>
      <c r="N443" s="10"/>
      <c r="O443" s="10"/>
      <c r="P443" s="10"/>
      <c r="Q443" s="10"/>
      <c r="R443" s="10"/>
      <c r="S443" s="10"/>
    </row>
    <row r="444" spans="1:19" x14ac:dyDescent="0.25">
      <c r="A444" s="10"/>
      <c r="B444" s="10"/>
      <c r="C444" s="10"/>
      <c r="D444" s="10"/>
      <c r="E444" s="10"/>
      <c r="F444" s="10"/>
      <c r="G444" s="10"/>
      <c r="H444" s="770"/>
      <c r="I444" s="10"/>
      <c r="J444" s="10"/>
      <c r="K444" s="10"/>
      <c r="L444" s="10"/>
      <c r="M444" s="770"/>
      <c r="N444" s="10"/>
      <c r="O444" s="10"/>
      <c r="P444" s="10"/>
      <c r="Q444" s="10"/>
      <c r="R444" s="10"/>
      <c r="S444" s="10"/>
    </row>
    <row r="445" spans="1:19" x14ac:dyDescent="0.25">
      <c r="A445" s="10"/>
      <c r="B445" s="10"/>
      <c r="C445" s="10"/>
      <c r="D445" s="10"/>
      <c r="E445" s="10"/>
      <c r="F445" s="10"/>
      <c r="G445" s="10"/>
      <c r="H445" s="770"/>
      <c r="I445" s="10"/>
      <c r="J445" s="10"/>
      <c r="K445" s="10"/>
      <c r="L445" s="10"/>
      <c r="M445" s="770"/>
      <c r="N445" s="10"/>
      <c r="O445" s="10"/>
      <c r="P445" s="10"/>
      <c r="Q445" s="10"/>
      <c r="R445" s="10"/>
      <c r="S445" s="10"/>
    </row>
    <row r="446" spans="1:19" x14ac:dyDescent="0.25">
      <c r="A446" s="10"/>
      <c r="B446" s="10"/>
      <c r="C446" s="10"/>
      <c r="D446" s="10"/>
      <c r="E446" s="10"/>
      <c r="F446" s="10"/>
      <c r="G446" s="10"/>
      <c r="H446" s="770"/>
      <c r="I446" s="10"/>
      <c r="J446" s="10"/>
      <c r="K446" s="10"/>
      <c r="L446" s="10"/>
      <c r="M446" s="770"/>
      <c r="N446" s="10"/>
      <c r="O446" s="10"/>
      <c r="P446" s="10"/>
      <c r="Q446" s="10"/>
      <c r="R446" s="10"/>
      <c r="S446" s="10"/>
    </row>
    <row r="447" spans="1:19" x14ac:dyDescent="0.25">
      <c r="A447" s="10"/>
      <c r="B447" s="10"/>
      <c r="C447" s="10"/>
      <c r="D447" s="10"/>
      <c r="E447" s="10"/>
      <c r="F447" s="10"/>
      <c r="G447" s="10"/>
      <c r="H447" s="770"/>
      <c r="I447" s="10"/>
      <c r="J447" s="10"/>
      <c r="K447" s="10"/>
      <c r="L447" s="10"/>
      <c r="M447" s="770"/>
      <c r="N447" s="10"/>
      <c r="O447" s="10"/>
      <c r="P447" s="10"/>
      <c r="Q447" s="10"/>
      <c r="R447" s="10"/>
      <c r="S447" s="10"/>
    </row>
    <row r="448" spans="1:19" x14ac:dyDescent="0.25">
      <c r="A448" s="10"/>
      <c r="B448" s="10"/>
      <c r="C448" s="10"/>
      <c r="D448" s="10"/>
      <c r="E448" s="10"/>
      <c r="F448" s="10"/>
      <c r="G448" s="10"/>
      <c r="H448" s="770"/>
      <c r="I448" s="10"/>
      <c r="J448" s="10"/>
      <c r="K448" s="10"/>
      <c r="L448" s="10"/>
      <c r="M448" s="770"/>
      <c r="N448" s="10"/>
      <c r="O448" s="10"/>
      <c r="P448" s="10"/>
      <c r="Q448" s="10"/>
      <c r="R448" s="10"/>
      <c r="S448" s="10"/>
    </row>
    <row r="449" spans="1:19" x14ac:dyDescent="0.25">
      <c r="A449" s="10"/>
      <c r="B449" s="10"/>
      <c r="C449" s="10"/>
      <c r="D449" s="10"/>
      <c r="E449" s="10"/>
      <c r="F449" s="10"/>
      <c r="G449" s="10"/>
      <c r="H449" s="770"/>
      <c r="I449" s="10"/>
      <c r="J449" s="10"/>
      <c r="K449" s="10"/>
      <c r="L449" s="10"/>
      <c r="M449" s="770"/>
      <c r="N449" s="10"/>
      <c r="O449" s="10"/>
      <c r="P449" s="10"/>
      <c r="Q449" s="10"/>
      <c r="R449" s="10"/>
      <c r="S449" s="10"/>
    </row>
    <row r="450" spans="1:19" x14ac:dyDescent="0.25">
      <c r="A450" s="10"/>
      <c r="B450" s="10"/>
      <c r="C450" s="10"/>
      <c r="D450" s="10"/>
      <c r="E450" s="10"/>
      <c r="F450" s="10"/>
      <c r="G450" s="10"/>
      <c r="H450" s="770"/>
      <c r="I450" s="10"/>
      <c r="J450" s="10"/>
      <c r="K450" s="10"/>
      <c r="L450" s="10"/>
      <c r="M450" s="770"/>
      <c r="N450" s="10"/>
      <c r="O450" s="10"/>
      <c r="P450" s="10"/>
      <c r="Q450" s="10"/>
      <c r="R450" s="10"/>
      <c r="S450" s="10"/>
    </row>
    <row r="451" spans="1:19" x14ac:dyDescent="0.25">
      <c r="A451" s="10"/>
      <c r="B451" s="10"/>
      <c r="C451" s="10"/>
      <c r="D451" s="10"/>
      <c r="E451" s="10"/>
      <c r="F451" s="10"/>
      <c r="G451" s="10"/>
      <c r="H451" s="770"/>
      <c r="I451" s="10"/>
      <c r="J451" s="10"/>
      <c r="K451" s="10"/>
      <c r="L451" s="10"/>
      <c r="M451" s="770"/>
      <c r="N451" s="10"/>
      <c r="O451" s="10"/>
      <c r="P451" s="10"/>
      <c r="Q451" s="10"/>
      <c r="R451" s="10"/>
      <c r="S451" s="10"/>
    </row>
    <row r="452" spans="1:19" x14ac:dyDescent="0.25">
      <c r="A452" s="10"/>
      <c r="B452" s="10"/>
      <c r="C452" s="10"/>
      <c r="D452" s="10"/>
      <c r="E452" s="10"/>
      <c r="F452" s="10"/>
      <c r="G452" s="10"/>
      <c r="H452" s="770"/>
      <c r="I452" s="10"/>
      <c r="J452" s="10"/>
      <c r="K452" s="10"/>
      <c r="L452" s="10"/>
      <c r="M452" s="770"/>
      <c r="N452" s="10"/>
      <c r="O452" s="10"/>
      <c r="P452" s="10"/>
      <c r="Q452" s="10"/>
      <c r="R452" s="10"/>
      <c r="S452" s="10"/>
    </row>
    <row r="453" spans="1:19" x14ac:dyDescent="0.25">
      <c r="A453" s="10"/>
      <c r="B453" s="10"/>
      <c r="C453" s="10"/>
      <c r="D453" s="10"/>
      <c r="E453" s="10"/>
      <c r="F453" s="10"/>
      <c r="G453" s="10"/>
      <c r="H453" s="770"/>
      <c r="I453" s="10"/>
      <c r="J453" s="10"/>
      <c r="K453" s="10"/>
      <c r="L453" s="10"/>
      <c r="M453" s="770"/>
      <c r="N453" s="10"/>
      <c r="O453" s="10"/>
      <c r="P453" s="10"/>
      <c r="Q453" s="10"/>
      <c r="R453" s="10"/>
      <c r="S453" s="10"/>
    </row>
    <row r="454" spans="1:19" x14ac:dyDescent="0.25">
      <c r="A454" s="10"/>
      <c r="B454" s="10"/>
      <c r="C454" s="10"/>
      <c r="D454" s="10"/>
      <c r="E454" s="10"/>
      <c r="F454" s="10"/>
      <c r="G454" s="10"/>
      <c r="H454" s="770"/>
      <c r="I454" s="10"/>
      <c r="J454" s="10"/>
      <c r="K454" s="10"/>
      <c r="L454" s="10"/>
      <c r="M454" s="770"/>
      <c r="N454" s="10"/>
      <c r="O454" s="10"/>
      <c r="P454" s="10"/>
      <c r="Q454" s="10"/>
      <c r="R454" s="10"/>
      <c r="S454" s="10"/>
    </row>
    <row r="455" spans="1:19" x14ac:dyDescent="0.25">
      <c r="A455" s="10"/>
      <c r="B455" s="10"/>
      <c r="C455" s="10"/>
      <c r="D455" s="10"/>
      <c r="E455" s="10"/>
      <c r="F455" s="10"/>
      <c r="G455" s="10"/>
      <c r="H455" s="770"/>
      <c r="I455" s="10"/>
      <c r="J455" s="10"/>
      <c r="K455" s="10"/>
      <c r="L455" s="10"/>
      <c r="M455" s="770"/>
      <c r="N455" s="10"/>
      <c r="O455" s="10"/>
      <c r="P455" s="10"/>
      <c r="Q455" s="10"/>
      <c r="R455" s="10"/>
      <c r="S455" s="10"/>
    </row>
    <row r="456" spans="1:19" x14ac:dyDescent="0.25">
      <c r="A456" s="10"/>
      <c r="B456" s="10"/>
      <c r="C456" s="10"/>
      <c r="D456" s="10"/>
      <c r="E456" s="10"/>
      <c r="F456" s="10"/>
      <c r="G456" s="10"/>
      <c r="H456" s="770"/>
      <c r="I456" s="10"/>
      <c r="J456" s="10"/>
      <c r="K456" s="10"/>
      <c r="L456" s="10"/>
      <c r="M456" s="770"/>
      <c r="N456" s="10"/>
      <c r="O456" s="10"/>
      <c r="P456" s="10"/>
      <c r="Q456" s="10"/>
      <c r="R456" s="10"/>
      <c r="S456" s="10"/>
    </row>
    <row r="457" spans="1:19" x14ac:dyDescent="0.25">
      <c r="A457" s="10"/>
      <c r="B457" s="10"/>
      <c r="C457" s="10"/>
      <c r="D457" s="10"/>
      <c r="E457" s="10"/>
      <c r="F457" s="10"/>
      <c r="G457" s="10"/>
      <c r="H457" s="770"/>
      <c r="I457" s="10"/>
      <c r="J457" s="10"/>
      <c r="K457" s="10"/>
      <c r="L457" s="10"/>
      <c r="M457" s="770"/>
      <c r="N457" s="10"/>
      <c r="O457" s="10"/>
      <c r="P457" s="10"/>
      <c r="Q457" s="10"/>
      <c r="R457" s="10"/>
      <c r="S457" s="10"/>
    </row>
    <row r="458" spans="1:19" x14ac:dyDescent="0.25">
      <c r="A458" s="10"/>
      <c r="B458" s="10"/>
      <c r="C458" s="10"/>
      <c r="D458" s="10"/>
      <c r="E458" s="10"/>
      <c r="F458" s="10"/>
      <c r="G458" s="10"/>
      <c r="H458" s="770"/>
      <c r="I458" s="10"/>
      <c r="J458" s="10"/>
      <c r="K458" s="10"/>
      <c r="L458" s="10"/>
      <c r="M458" s="770"/>
      <c r="N458" s="10"/>
      <c r="O458" s="10"/>
      <c r="P458" s="10"/>
      <c r="Q458" s="10"/>
      <c r="R458" s="10"/>
      <c r="S458" s="10"/>
    </row>
    <row r="459" spans="1:19" x14ac:dyDescent="0.25">
      <c r="A459" s="10"/>
      <c r="B459" s="10"/>
      <c r="C459" s="10"/>
      <c r="D459" s="10"/>
      <c r="E459" s="10"/>
      <c r="F459" s="10"/>
      <c r="G459" s="10"/>
      <c r="H459" s="770"/>
      <c r="I459" s="10"/>
      <c r="J459" s="10"/>
      <c r="K459" s="10"/>
      <c r="L459" s="10"/>
      <c r="M459" s="770"/>
      <c r="N459" s="10"/>
      <c r="O459" s="10"/>
      <c r="P459" s="10"/>
      <c r="Q459" s="10"/>
      <c r="R459" s="10"/>
      <c r="S459" s="10"/>
    </row>
    <row r="460" spans="1:19" x14ac:dyDescent="0.25">
      <c r="A460" s="10"/>
      <c r="B460" s="10"/>
      <c r="C460" s="10"/>
      <c r="D460" s="10"/>
      <c r="E460" s="10"/>
      <c r="F460" s="10"/>
      <c r="G460" s="10"/>
      <c r="H460" s="770"/>
      <c r="I460" s="10"/>
      <c r="J460" s="10"/>
      <c r="K460" s="10"/>
      <c r="L460" s="10"/>
      <c r="M460" s="770"/>
      <c r="N460" s="10"/>
      <c r="O460" s="10"/>
      <c r="P460" s="10"/>
      <c r="Q460" s="10"/>
      <c r="R460" s="10"/>
      <c r="S460" s="10"/>
    </row>
    <row r="461" spans="1:19" x14ac:dyDescent="0.25">
      <c r="A461" s="10"/>
      <c r="B461" s="10"/>
      <c r="C461" s="10"/>
      <c r="D461" s="10"/>
      <c r="E461" s="10"/>
      <c r="F461" s="10"/>
      <c r="G461" s="10"/>
      <c r="H461" s="770"/>
      <c r="I461" s="10"/>
      <c r="J461" s="10"/>
      <c r="K461" s="10"/>
      <c r="L461" s="10"/>
      <c r="M461" s="770"/>
      <c r="N461" s="10"/>
      <c r="O461" s="10"/>
      <c r="P461" s="10"/>
      <c r="Q461" s="10"/>
      <c r="R461" s="10"/>
      <c r="S461" s="10"/>
    </row>
    <row r="462" spans="1:19" x14ac:dyDescent="0.25">
      <c r="A462" s="10"/>
      <c r="B462" s="10"/>
      <c r="C462" s="10"/>
      <c r="D462" s="10"/>
      <c r="E462" s="10"/>
      <c r="F462" s="10"/>
      <c r="G462" s="10"/>
      <c r="H462" s="770"/>
      <c r="I462" s="10"/>
      <c r="J462" s="10"/>
      <c r="K462" s="10"/>
      <c r="L462" s="10"/>
      <c r="M462" s="770"/>
      <c r="N462" s="10"/>
      <c r="O462" s="10"/>
      <c r="P462" s="10"/>
      <c r="Q462" s="10"/>
      <c r="R462" s="10"/>
      <c r="S462" s="10"/>
    </row>
    <row r="463" spans="1:19" x14ac:dyDescent="0.25">
      <c r="A463" s="10"/>
      <c r="B463" s="10"/>
      <c r="C463" s="10"/>
      <c r="D463" s="10"/>
      <c r="E463" s="10"/>
      <c r="F463" s="10"/>
      <c r="G463" s="10"/>
      <c r="H463" s="770"/>
      <c r="I463" s="10"/>
      <c r="J463" s="10"/>
      <c r="K463" s="10"/>
      <c r="L463" s="10"/>
      <c r="M463" s="770"/>
      <c r="N463" s="10"/>
      <c r="O463" s="10"/>
      <c r="P463" s="10"/>
      <c r="Q463" s="10"/>
      <c r="R463" s="10"/>
      <c r="S463" s="10"/>
    </row>
    <row r="464" spans="1:19" x14ac:dyDescent="0.25">
      <c r="A464" s="10"/>
      <c r="B464" s="10"/>
      <c r="C464" s="10"/>
      <c r="D464" s="10"/>
      <c r="E464" s="10"/>
      <c r="F464" s="10"/>
      <c r="G464" s="10"/>
      <c r="H464" s="770"/>
      <c r="I464" s="10"/>
      <c r="J464" s="10"/>
      <c r="K464" s="10"/>
      <c r="L464" s="10"/>
      <c r="M464" s="770"/>
      <c r="N464" s="10"/>
      <c r="O464" s="10"/>
      <c r="P464" s="10"/>
      <c r="Q464" s="10"/>
      <c r="R464" s="10"/>
      <c r="S464" s="10"/>
    </row>
    <row r="465" spans="1:19" x14ac:dyDescent="0.25">
      <c r="A465" s="10"/>
      <c r="B465" s="10"/>
      <c r="C465" s="10"/>
      <c r="D465" s="10"/>
      <c r="E465" s="10"/>
      <c r="F465" s="10"/>
      <c r="G465" s="10"/>
      <c r="H465" s="770"/>
      <c r="I465" s="10"/>
      <c r="J465" s="10"/>
      <c r="K465" s="10"/>
      <c r="L465" s="10"/>
      <c r="M465" s="770"/>
      <c r="N465" s="10"/>
      <c r="O465" s="10"/>
      <c r="P465" s="10"/>
      <c r="Q465" s="10"/>
      <c r="R465" s="10"/>
      <c r="S465" s="10"/>
    </row>
    <row r="466" spans="1:19" x14ac:dyDescent="0.25">
      <c r="A466" s="10"/>
      <c r="B466" s="10"/>
      <c r="C466" s="10"/>
      <c r="D466" s="10"/>
      <c r="E466" s="10"/>
      <c r="F466" s="10"/>
      <c r="G466" s="10"/>
      <c r="H466" s="770"/>
      <c r="I466" s="10"/>
      <c r="J466" s="10"/>
      <c r="K466" s="10"/>
      <c r="L466" s="10"/>
      <c r="M466" s="770"/>
      <c r="N466" s="10"/>
      <c r="O466" s="10"/>
      <c r="P466" s="10"/>
      <c r="Q466" s="10"/>
      <c r="R466" s="10"/>
      <c r="S466" s="10"/>
    </row>
    <row r="467" spans="1:19" x14ac:dyDescent="0.25">
      <c r="A467" s="10"/>
      <c r="B467" s="10"/>
      <c r="C467" s="10"/>
      <c r="D467" s="10"/>
      <c r="E467" s="10"/>
      <c r="F467" s="10"/>
      <c r="G467" s="10"/>
      <c r="H467" s="770"/>
      <c r="I467" s="10"/>
      <c r="J467" s="10"/>
      <c r="K467" s="10"/>
      <c r="L467" s="10"/>
      <c r="M467" s="770"/>
      <c r="N467" s="10"/>
      <c r="O467" s="10"/>
      <c r="P467" s="10"/>
      <c r="Q467" s="10"/>
      <c r="R467" s="10"/>
      <c r="S467" s="10"/>
    </row>
    <row r="468" spans="1:19" x14ac:dyDescent="0.25">
      <c r="A468" s="10"/>
      <c r="B468" s="10"/>
      <c r="C468" s="10"/>
      <c r="D468" s="10"/>
      <c r="E468" s="10"/>
      <c r="F468" s="10"/>
      <c r="G468" s="10"/>
      <c r="H468" s="770"/>
      <c r="I468" s="10"/>
      <c r="J468" s="10"/>
      <c r="K468" s="10"/>
      <c r="L468" s="10"/>
      <c r="M468" s="770"/>
      <c r="N468" s="10"/>
      <c r="O468" s="10"/>
      <c r="P468" s="10"/>
      <c r="Q468" s="10"/>
      <c r="R468" s="10"/>
      <c r="S468" s="10"/>
    </row>
    <row r="469" spans="1:19" x14ac:dyDescent="0.25">
      <c r="A469" s="10"/>
      <c r="B469" s="10"/>
      <c r="C469" s="10"/>
      <c r="D469" s="10"/>
      <c r="E469" s="10"/>
      <c r="F469" s="10"/>
      <c r="G469" s="10"/>
      <c r="H469" s="770"/>
      <c r="I469" s="10"/>
      <c r="J469" s="10"/>
      <c r="K469" s="10"/>
      <c r="L469" s="10"/>
      <c r="M469" s="770"/>
      <c r="N469" s="10"/>
      <c r="O469" s="10"/>
      <c r="P469" s="10"/>
      <c r="Q469" s="10"/>
      <c r="R469" s="10"/>
      <c r="S469" s="10"/>
    </row>
    <row r="470" spans="1:19" x14ac:dyDescent="0.25">
      <c r="A470" s="10"/>
      <c r="B470" s="10"/>
      <c r="C470" s="10"/>
      <c r="D470" s="10"/>
      <c r="E470" s="10"/>
      <c r="F470" s="10"/>
      <c r="G470" s="10"/>
      <c r="H470" s="770"/>
      <c r="I470" s="10"/>
      <c r="J470" s="10"/>
      <c r="K470" s="10"/>
      <c r="L470" s="10"/>
      <c r="M470" s="770"/>
      <c r="N470" s="10"/>
      <c r="O470" s="10"/>
      <c r="P470" s="10"/>
      <c r="Q470" s="10"/>
      <c r="R470" s="10"/>
      <c r="S470" s="10"/>
    </row>
    <row r="471" spans="1:19" x14ac:dyDescent="0.25">
      <c r="A471" s="10"/>
      <c r="B471" s="10"/>
      <c r="C471" s="10"/>
      <c r="D471" s="10"/>
      <c r="E471" s="10"/>
      <c r="F471" s="10"/>
      <c r="G471" s="10"/>
      <c r="H471" s="770"/>
      <c r="I471" s="10"/>
      <c r="J471" s="10"/>
      <c r="K471" s="10"/>
      <c r="L471" s="10"/>
      <c r="M471" s="770"/>
      <c r="N471" s="10"/>
      <c r="O471" s="10"/>
      <c r="P471" s="10"/>
      <c r="Q471" s="10"/>
      <c r="R471" s="10"/>
      <c r="S471" s="10"/>
    </row>
    <row r="472" spans="1:19" x14ac:dyDescent="0.25">
      <c r="A472" s="10"/>
      <c r="B472" s="10"/>
      <c r="C472" s="10"/>
      <c r="D472" s="10"/>
      <c r="E472" s="10"/>
      <c r="F472" s="10"/>
      <c r="G472" s="10"/>
      <c r="H472" s="770"/>
      <c r="I472" s="10"/>
      <c r="J472" s="10"/>
      <c r="K472" s="10"/>
      <c r="L472" s="10"/>
      <c r="M472" s="770"/>
      <c r="N472" s="10"/>
      <c r="O472" s="10"/>
      <c r="P472" s="10"/>
      <c r="Q472" s="10"/>
      <c r="R472" s="10"/>
      <c r="S472" s="10"/>
    </row>
    <row r="473" spans="1:19" x14ac:dyDescent="0.25">
      <c r="A473" s="10"/>
      <c r="B473" s="10"/>
      <c r="C473" s="10"/>
      <c r="D473" s="10"/>
      <c r="E473" s="10"/>
      <c r="F473" s="10"/>
      <c r="G473" s="10"/>
      <c r="H473" s="770"/>
      <c r="I473" s="10"/>
      <c r="J473" s="10"/>
      <c r="K473" s="10"/>
      <c r="L473" s="10"/>
      <c r="M473" s="770"/>
      <c r="N473" s="10"/>
      <c r="O473" s="10"/>
      <c r="P473" s="10"/>
      <c r="Q473" s="10"/>
      <c r="R473" s="10"/>
      <c r="S473" s="10"/>
    </row>
    <row r="474" spans="1:19" x14ac:dyDescent="0.25">
      <c r="A474" s="10"/>
      <c r="B474" s="10"/>
      <c r="C474" s="10"/>
      <c r="D474" s="10"/>
      <c r="E474" s="10"/>
      <c r="F474" s="10"/>
      <c r="G474" s="10"/>
      <c r="H474" s="770"/>
      <c r="I474" s="10"/>
      <c r="J474" s="10"/>
      <c r="K474" s="10"/>
      <c r="L474" s="10"/>
      <c r="M474" s="770"/>
      <c r="N474" s="10"/>
      <c r="O474" s="10"/>
      <c r="P474" s="10"/>
      <c r="Q474" s="10"/>
      <c r="R474" s="10"/>
      <c r="S474" s="10"/>
    </row>
    <row r="475" spans="1:19" x14ac:dyDescent="0.25">
      <c r="A475" s="10"/>
      <c r="B475" s="10"/>
      <c r="C475" s="10"/>
      <c r="D475" s="10"/>
      <c r="E475" s="10"/>
      <c r="F475" s="10"/>
      <c r="G475" s="10"/>
      <c r="H475" s="770"/>
      <c r="I475" s="10"/>
      <c r="J475" s="10"/>
      <c r="K475" s="10"/>
      <c r="L475" s="10"/>
      <c r="M475" s="770"/>
      <c r="N475" s="10"/>
      <c r="O475" s="10"/>
      <c r="P475" s="10"/>
      <c r="Q475" s="10"/>
      <c r="R475" s="10"/>
      <c r="S475" s="10"/>
    </row>
    <row r="476" spans="1:19" x14ac:dyDescent="0.25">
      <c r="A476" s="10"/>
      <c r="B476" s="10"/>
      <c r="C476" s="10"/>
      <c r="D476" s="10"/>
      <c r="E476" s="10"/>
      <c r="F476" s="10"/>
      <c r="G476" s="10"/>
      <c r="H476" s="770"/>
      <c r="I476" s="10"/>
      <c r="J476" s="10"/>
      <c r="K476" s="10"/>
      <c r="L476" s="10"/>
      <c r="M476" s="770"/>
      <c r="N476" s="10"/>
      <c r="O476" s="10"/>
      <c r="P476" s="10"/>
      <c r="Q476" s="10"/>
      <c r="R476" s="10"/>
      <c r="S476" s="10"/>
    </row>
    <row r="477" spans="1:19" x14ac:dyDescent="0.25">
      <c r="A477" s="10"/>
      <c r="B477" s="10"/>
      <c r="C477" s="10"/>
      <c r="D477" s="10"/>
      <c r="E477" s="10"/>
      <c r="F477" s="10"/>
      <c r="G477" s="10"/>
      <c r="H477" s="770"/>
      <c r="I477" s="10"/>
      <c r="J477" s="10"/>
      <c r="K477" s="10"/>
      <c r="L477" s="10"/>
      <c r="M477" s="770"/>
      <c r="N477" s="10"/>
      <c r="O477" s="10"/>
      <c r="P477" s="10"/>
      <c r="Q477" s="10"/>
      <c r="R477" s="10"/>
      <c r="S477" s="10"/>
    </row>
    <row r="478" spans="1:19" x14ac:dyDescent="0.25">
      <c r="A478" s="10"/>
      <c r="B478" s="10"/>
      <c r="C478" s="10"/>
      <c r="D478" s="10"/>
      <c r="E478" s="10"/>
      <c r="F478" s="10"/>
      <c r="G478" s="10"/>
      <c r="H478" s="770"/>
      <c r="I478" s="10"/>
      <c r="J478" s="10"/>
      <c r="K478" s="10"/>
      <c r="L478" s="10"/>
      <c r="M478" s="770"/>
      <c r="N478" s="10"/>
      <c r="O478" s="10"/>
      <c r="P478" s="10"/>
      <c r="Q478" s="10"/>
      <c r="R478" s="10"/>
      <c r="S478" s="10"/>
    </row>
    <row r="479" spans="1:19" x14ac:dyDescent="0.25">
      <c r="A479" s="10"/>
      <c r="B479" s="10"/>
      <c r="C479" s="10"/>
      <c r="D479" s="10"/>
      <c r="E479" s="10"/>
      <c r="F479" s="10"/>
      <c r="G479" s="10"/>
      <c r="H479" s="770"/>
      <c r="I479" s="10"/>
      <c r="J479" s="10"/>
      <c r="K479" s="10"/>
      <c r="L479" s="10"/>
      <c r="M479" s="770"/>
      <c r="N479" s="10"/>
      <c r="O479" s="10"/>
      <c r="P479" s="10"/>
      <c r="Q479" s="10"/>
      <c r="R479" s="10"/>
      <c r="S479" s="10"/>
    </row>
    <row r="480" spans="1:19" x14ac:dyDescent="0.25">
      <c r="A480" s="10"/>
      <c r="B480" s="10"/>
      <c r="C480" s="10"/>
      <c r="D480" s="10"/>
      <c r="E480" s="10"/>
      <c r="F480" s="10"/>
      <c r="G480" s="10"/>
      <c r="H480" s="770"/>
      <c r="I480" s="10"/>
      <c r="J480" s="10"/>
      <c r="K480" s="10"/>
      <c r="L480" s="10"/>
      <c r="M480" s="770"/>
      <c r="N480" s="10"/>
      <c r="O480" s="10"/>
      <c r="P480" s="10"/>
      <c r="Q480" s="10"/>
      <c r="R480" s="10"/>
      <c r="S480" s="10"/>
    </row>
    <row r="481" spans="1:19" x14ac:dyDescent="0.25">
      <c r="A481" s="10"/>
      <c r="B481" s="10"/>
      <c r="C481" s="10"/>
      <c r="D481" s="10"/>
      <c r="E481" s="10"/>
      <c r="F481" s="10"/>
      <c r="G481" s="10"/>
      <c r="H481" s="770"/>
      <c r="I481" s="10"/>
      <c r="J481" s="10"/>
      <c r="K481" s="10"/>
      <c r="L481" s="10"/>
      <c r="M481" s="770"/>
      <c r="N481" s="10"/>
      <c r="O481" s="10"/>
      <c r="P481" s="10"/>
      <c r="Q481" s="10"/>
      <c r="R481" s="10"/>
      <c r="S481" s="10"/>
    </row>
    <row r="482" spans="1:19" x14ac:dyDescent="0.25">
      <c r="A482" s="10"/>
      <c r="B482" s="10"/>
      <c r="C482" s="10"/>
      <c r="D482" s="10"/>
      <c r="E482" s="10"/>
      <c r="F482" s="10"/>
      <c r="G482" s="10"/>
      <c r="H482" s="770"/>
      <c r="I482" s="10"/>
      <c r="J482" s="10"/>
      <c r="K482" s="10"/>
      <c r="L482" s="10"/>
      <c r="M482" s="770"/>
      <c r="N482" s="10"/>
      <c r="O482" s="10"/>
      <c r="P482" s="10"/>
      <c r="Q482" s="10"/>
      <c r="R482" s="10"/>
      <c r="S482" s="10"/>
    </row>
    <row r="483" spans="1:19" x14ac:dyDescent="0.25">
      <c r="A483" s="10"/>
      <c r="B483" s="10"/>
      <c r="C483" s="10"/>
      <c r="D483" s="10"/>
      <c r="E483" s="10"/>
      <c r="F483" s="10"/>
      <c r="G483" s="10"/>
      <c r="H483" s="770"/>
      <c r="I483" s="10"/>
      <c r="J483" s="10"/>
      <c r="K483" s="10"/>
      <c r="L483" s="10"/>
      <c r="M483" s="770"/>
      <c r="N483" s="10"/>
      <c r="O483" s="10"/>
      <c r="P483" s="10"/>
      <c r="Q483" s="10"/>
      <c r="R483" s="10"/>
      <c r="S483" s="10"/>
    </row>
    <row r="484" spans="1:19" x14ac:dyDescent="0.25">
      <c r="A484" s="10"/>
      <c r="B484" s="10"/>
      <c r="C484" s="10"/>
      <c r="D484" s="10"/>
      <c r="E484" s="10"/>
      <c r="F484" s="10"/>
      <c r="G484" s="10"/>
      <c r="H484" s="770"/>
      <c r="I484" s="10"/>
      <c r="J484" s="10"/>
      <c r="K484" s="10"/>
      <c r="L484" s="10"/>
      <c r="M484" s="770"/>
      <c r="N484" s="10"/>
      <c r="O484" s="10"/>
      <c r="P484" s="10"/>
      <c r="Q484" s="10"/>
      <c r="R484" s="10"/>
      <c r="S484" s="10"/>
    </row>
    <row r="485" spans="1:19" x14ac:dyDescent="0.25">
      <c r="A485" s="10"/>
      <c r="B485" s="10"/>
      <c r="C485" s="10"/>
      <c r="D485" s="10"/>
      <c r="E485" s="10"/>
      <c r="F485" s="10"/>
      <c r="G485" s="10"/>
      <c r="H485" s="770"/>
      <c r="I485" s="10"/>
      <c r="J485" s="10"/>
      <c r="K485" s="10"/>
      <c r="L485" s="10"/>
      <c r="M485" s="770"/>
      <c r="N485" s="10"/>
      <c r="O485" s="10"/>
      <c r="P485" s="10"/>
      <c r="Q485" s="10"/>
      <c r="R485" s="10"/>
      <c r="S485" s="10"/>
    </row>
    <row r="486" spans="1:19" x14ac:dyDescent="0.25">
      <c r="A486" s="10"/>
      <c r="B486" s="10"/>
      <c r="C486" s="10"/>
      <c r="D486" s="10"/>
      <c r="E486" s="10"/>
      <c r="F486" s="10"/>
      <c r="G486" s="10"/>
      <c r="H486" s="770"/>
      <c r="I486" s="10"/>
      <c r="J486" s="10"/>
      <c r="K486" s="10"/>
      <c r="L486" s="10"/>
      <c r="M486" s="770"/>
      <c r="N486" s="10"/>
      <c r="O486" s="10"/>
      <c r="P486" s="10"/>
      <c r="Q486" s="10"/>
      <c r="R486" s="10"/>
      <c r="S486" s="10"/>
    </row>
    <row r="487" spans="1:19" x14ac:dyDescent="0.25">
      <c r="A487" s="10"/>
      <c r="B487" s="10"/>
      <c r="C487" s="10"/>
      <c r="D487" s="10"/>
      <c r="E487" s="10"/>
      <c r="F487" s="10"/>
      <c r="G487" s="10"/>
      <c r="H487" s="770"/>
      <c r="I487" s="10"/>
      <c r="J487" s="10"/>
      <c r="K487" s="10"/>
      <c r="L487" s="10"/>
      <c r="M487" s="770"/>
      <c r="N487" s="10"/>
      <c r="O487" s="10"/>
      <c r="P487" s="10"/>
      <c r="Q487" s="10"/>
      <c r="R487" s="10"/>
      <c r="S487" s="10"/>
    </row>
    <row r="488" spans="1:19" x14ac:dyDescent="0.25">
      <c r="A488" s="10"/>
      <c r="B488" s="10"/>
      <c r="C488" s="10"/>
      <c r="D488" s="10"/>
      <c r="E488" s="10"/>
      <c r="F488" s="10"/>
      <c r="G488" s="10"/>
      <c r="H488" s="770"/>
      <c r="I488" s="10"/>
      <c r="J488" s="10"/>
      <c r="K488" s="10"/>
      <c r="L488" s="10"/>
      <c r="M488" s="770"/>
      <c r="N488" s="10"/>
      <c r="O488" s="10"/>
      <c r="P488" s="10"/>
      <c r="Q488" s="10"/>
      <c r="R488" s="10"/>
      <c r="S488" s="10"/>
    </row>
    <row r="489" spans="1:19" x14ac:dyDescent="0.25">
      <c r="A489" s="10"/>
      <c r="B489" s="10"/>
      <c r="C489" s="10"/>
      <c r="D489" s="10"/>
      <c r="E489" s="10"/>
      <c r="F489" s="10"/>
      <c r="G489" s="10"/>
      <c r="H489" s="770"/>
      <c r="I489" s="10"/>
      <c r="J489" s="10"/>
      <c r="K489" s="10"/>
      <c r="L489" s="10"/>
      <c r="M489" s="770"/>
      <c r="N489" s="10"/>
      <c r="O489" s="10"/>
      <c r="P489" s="10"/>
      <c r="Q489" s="10"/>
      <c r="R489" s="10"/>
      <c r="S489" s="10"/>
    </row>
    <row r="490" spans="1:19" x14ac:dyDescent="0.25">
      <c r="A490" s="10"/>
      <c r="B490" s="10"/>
      <c r="C490" s="10"/>
      <c r="D490" s="10"/>
      <c r="E490" s="10"/>
      <c r="F490" s="10"/>
      <c r="G490" s="10"/>
      <c r="H490" s="770"/>
      <c r="I490" s="10"/>
      <c r="J490" s="10"/>
      <c r="K490" s="10"/>
      <c r="L490" s="10"/>
      <c r="M490" s="770"/>
      <c r="N490" s="10"/>
      <c r="O490" s="10"/>
      <c r="P490" s="10"/>
      <c r="Q490" s="10"/>
      <c r="R490" s="10"/>
      <c r="S490" s="10"/>
    </row>
    <row r="491" spans="1:19" x14ac:dyDescent="0.25">
      <c r="A491" s="10"/>
      <c r="B491" s="10"/>
      <c r="C491" s="10"/>
      <c r="D491" s="10"/>
      <c r="E491" s="10"/>
      <c r="F491" s="10"/>
      <c r="G491" s="10"/>
      <c r="H491" s="770"/>
      <c r="I491" s="10"/>
      <c r="J491" s="10"/>
      <c r="K491" s="10"/>
      <c r="L491" s="10"/>
      <c r="M491" s="770"/>
      <c r="N491" s="10"/>
      <c r="O491" s="10"/>
      <c r="P491" s="10"/>
      <c r="Q491" s="10"/>
      <c r="R491" s="10"/>
      <c r="S491" s="10"/>
    </row>
    <row r="492" spans="1:19" x14ac:dyDescent="0.25">
      <c r="A492" s="10"/>
      <c r="B492" s="10"/>
      <c r="C492" s="10"/>
      <c r="D492" s="10"/>
      <c r="E492" s="10"/>
      <c r="F492" s="10"/>
      <c r="G492" s="10"/>
      <c r="H492" s="770"/>
      <c r="I492" s="10"/>
      <c r="J492" s="10"/>
      <c r="K492" s="10"/>
      <c r="L492" s="10"/>
      <c r="M492" s="770"/>
      <c r="N492" s="10"/>
      <c r="O492" s="10"/>
      <c r="P492" s="10"/>
      <c r="Q492" s="10"/>
      <c r="R492" s="10"/>
      <c r="S492" s="10"/>
    </row>
    <row r="493" spans="1:19" x14ac:dyDescent="0.25">
      <c r="A493" s="10"/>
      <c r="B493" s="10"/>
      <c r="C493" s="10"/>
      <c r="D493" s="10"/>
      <c r="E493" s="10"/>
      <c r="F493" s="10"/>
      <c r="G493" s="10"/>
      <c r="H493" s="770"/>
      <c r="I493" s="10"/>
      <c r="J493" s="10"/>
      <c r="K493" s="10"/>
      <c r="L493" s="10"/>
      <c r="M493" s="770"/>
      <c r="N493" s="10"/>
      <c r="O493" s="10"/>
      <c r="P493" s="10"/>
      <c r="Q493" s="10"/>
      <c r="R493" s="10"/>
      <c r="S493" s="10"/>
    </row>
    <row r="494" spans="1:19" x14ac:dyDescent="0.25">
      <c r="A494" s="10"/>
      <c r="B494" s="10"/>
      <c r="C494" s="10"/>
      <c r="D494" s="10"/>
      <c r="E494" s="10"/>
      <c r="F494" s="10"/>
      <c r="G494" s="10"/>
      <c r="H494" s="770"/>
      <c r="I494" s="10"/>
      <c r="J494" s="10"/>
      <c r="K494" s="10"/>
      <c r="L494" s="10"/>
      <c r="M494" s="770"/>
      <c r="N494" s="10"/>
      <c r="O494" s="10"/>
      <c r="P494" s="10"/>
      <c r="Q494" s="10"/>
      <c r="R494" s="10"/>
      <c r="S494" s="10"/>
    </row>
    <row r="495" spans="1:19" x14ac:dyDescent="0.25">
      <c r="A495" s="10"/>
      <c r="B495" s="10"/>
      <c r="C495" s="10"/>
      <c r="D495" s="10"/>
      <c r="E495" s="10"/>
      <c r="F495" s="10"/>
      <c r="G495" s="10"/>
      <c r="H495" s="770"/>
      <c r="I495" s="10"/>
      <c r="J495" s="10"/>
      <c r="K495" s="10"/>
      <c r="L495" s="10"/>
      <c r="M495" s="770"/>
      <c r="N495" s="10"/>
      <c r="O495" s="10"/>
      <c r="P495" s="10"/>
      <c r="Q495" s="10"/>
      <c r="R495" s="10"/>
      <c r="S495" s="10"/>
    </row>
    <row r="496" spans="1:19" x14ac:dyDescent="0.25">
      <c r="A496" s="10"/>
      <c r="B496" s="10"/>
      <c r="C496" s="10"/>
      <c r="D496" s="10"/>
      <c r="E496" s="10"/>
      <c r="F496" s="10"/>
      <c r="G496" s="10"/>
      <c r="H496" s="770"/>
      <c r="I496" s="10"/>
      <c r="J496" s="10"/>
      <c r="K496" s="10"/>
      <c r="L496" s="10"/>
      <c r="M496" s="770"/>
      <c r="N496" s="10"/>
      <c r="O496" s="10"/>
      <c r="P496" s="10"/>
      <c r="Q496" s="10"/>
      <c r="R496" s="10"/>
      <c r="S496" s="10"/>
    </row>
    <row r="497" spans="1:19" x14ac:dyDescent="0.25">
      <c r="A497" s="10"/>
      <c r="B497" s="10"/>
      <c r="C497" s="10"/>
      <c r="D497" s="10"/>
      <c r="E497" s="10"/>
      <c r="F497" s="10"/>
      <c r="G497" s="10"/>
      <c r="H497" s="770"/>
      <c r="I497" s="10"/>
      <c r="J497" s="10"/>
      <c r="K497" s="10"/>
      <c r="L497" s="10"/>
      <c r="M497" s="770"/>
      <c r="N497" s="10"/>
      <c r="O497" s="10"/>
      <c r="P497" s="10"/>
      <c r="Q497" s="10"/>
      <c r="R497" s="10"/>
      <c r="S497" s="10"/>
    </row>
    <row r="498" spans="1:19" x14ac:dyDescent="0.25">
      <c r="A498" s="10"/>
      <c r="B498" s="10"/>
      <c r="C498" s="10"/>
      <c r="D498" s="10"/>
      <c r="E498" s="10"/>
      <c r="F498" s="10"/>
      <c r="G498" s="10"/>
      <c r="H498" s="770"/>
      <c r="I498" s="10"/>
      <c r="J498" s="10"/>
      <c r="K498" s="10"/>
      <c r="L498" s="10"/>
      <c r="M498" s="770"/>
      <c r="N498" s="10"/>
      <c r="O498" s="10"/>
      <c r="P498" s="10"/>
      <c r="Q498" s="10"/>
      <c r="R498" s="10"/>
      <c r="S498" s="10"/>
    </row>
    <row r="499" spans="1:19" x14ac:dyDescent="0.25">
      <c r="A499" s="10"/>
      <c r="B499" s="10"/>
      <c r="C499" s="10"/>
      <c r="D499" s="10"/>
      <c r="E499" s="10"/>
      <c r="F499" s="10"/>
      <c r="G499" s="10"/>
      <c r="H499" s="770"/>
      <c r="I499" s="10"/>
      <c r="J499" s="10"/>
      <c r="K499" s="10"/>
      <c r="L499" s="10"/>
      <c r="M499" s="770"/>
      <c r="N499" s="10"/>
      <c r="O499" s="10"/>
      <c r="P499" s="10"/>
      <c r="Q499" s="10"/>
      <c r="R499" s="10"/>
      <c r="S499" s="10"/>
    </row>
    <row r="500" spans="1:19" x14ac:dyDescent="0.25">
      <c r="A500" s="10"/>
      <c r="B500" s="10"/>
      <c r="C500" s="10"/>
      <c r="D500" s="10"/>
      <c r="E500" s="10"/>
      <c r="F500" s="10"/>
      <c r="G500" s="10"/>
      <c r="H500" s="770"/>
      <c r="I500" s="10"/>
      <c r="J500" s="10"/>
      <c r="K500" s="10"/>
      <c r="L500" s="10"/>
      <c r="M500" s="770"/>
      <c r="N500" s="10"/>
      <c r="O500" s="10"/>
      <c r="P500" s="10"/>
      <c r="Q500" s="10"/>
      <c r="R500" s="10"/>
      <c r="S500" s="10"/>
    </row>
    <row r="501" spans="1:19" x14ac:dyDescent="0.25">
      <c r="A501" s="10"/>
      <c r="B501" s="10"/>
      <c r="C501" s="10"/>
      <c r="D501" s="10"/>
      <c r="E501" s="10"/>
      <c r="F501" s="10"/>
      <c r="G501" s="10"/>
      <c r="H501" s="770"/>
      <c r="I501" s="10"/>
      <c r="J501" s="10"/>
      <c r="K501" s="10"/>
      <c r="L501" s="10"/>
      <c r="M501" s="770"/>
      <c r="N501" s="10"/>
      <c r="O501" s="10"/>
      <c r="P501" s="10"/>
      <c r="Q501" s="10"/>
      <c r="R501" s="10"/>
      <c r="S501" s="10"/>
    </row>
    <row r="502" spans="1:19" x14ac:dyDescent="0.25">
      <c r="A502" s="10"/>
      <c r="B502" s="10"/>
      <c r="C502" s="10"/>
      <c r="D502" s="10"/>
      <c r="E502" s="10"/>
      <c r="F502" s="10"/>
      <c r="G502" s="10"/>
      <c r="H502" s="770"/>
      <c r="I502" s="10"/>
      <c r="J502" s="10"/>
      <c r="K502" s="10"/>
      <c r="L502" s="10"/>
      <c r="M502" s="770"/>
      <c r="N502" s="10"/>
      <c r="O502" s="10"/>
      <c r="P502" s="10"/>
      <c r="Q502" s="10"/>
      <c r="R502" s="10"/>
      <c r="S502" s="10"/>
    </row>
    <row r="503" spans="1:19" x14ac:dyDescent="0.25">
      <c r="A503" s="10"/>
      <c r="B503" s="10"/>
      <c r="C503" s="10"/>
      <c r="D503" s="10"/>
      <c r="E503" s="10"/>
      <c r="F503" s="10"/>
      <c r="G503" s="10"/>
      <c r="H503" s="770"/>
      <c r="I503" s="10"/>
      <c r="J503" s="10"/>
      <c r="K503" s="10"/>
      <c r="L503" s="10"/>
      <c r="M503" s="770"/>
      <c r="N503" s="10"/>
      <c r="O503" s="10"/>
      <c r="P503" s="10"/>
      <c r="Q503" s="10"/>
      <c r="R503" s="10"/>
      <c r="S503" s="10"/>
    </row>
    <row r="504" spans="1:19" x14ac:dyDescent="0.25">
      <c r="A504" s="10"/>
      <c r="B504" s="10"/>
      <c r="C504" s="10"/>
      <c r="D504" s="10"/>
      <c r="E504" s="10"/>
      <c r="F504" s="10"/>
      <c r="G504" s="10"/>
      <c r="H504" s="770"/>
      <c r="I504" s="10"/>
      <c r="J504" s="10"/>
      <c r="K504" s="10"/>
      <c r="L504" s="10"/>
      <c r="M504" s="770"/>
      <c r="N504" s="10"/>
      <c r="O504" s="10"/>
      <c r="P504" s="10"/>
      <c r="Q504" s="10"/>
      <c r="R504" s="10"/>
      <c r="S504" s="10"/>
    </row>
    <row r="505" spans="1:19" x14ac:dyDescent="0.25">
      <c r="A505" s="10"/>
      <c r="B505" s="10"/>
      <c r="C505" s="10"/>
      <c r="D505" s="10"/>
      <c r="E505" s="10"/>
      <c r="F505" s="10"/>
      <c r="G505" s="10"/>
      <c r="H505" s="770"/>
      <c r="I505" s="10"/>
      <c r="J505" s="10"/>
      <c r="K505" s="10"/>
      <c r="L505" s="10"/>
      <c r="M505" s="770"/>
      <c r="N505" s="10"/>
      <c r="O505" s="10"/>
      <c r="P505" s="10"/>
      <c r="Q505" s="10"/>
      <c r="R505" s="10"/>
      <c r="S505" s="10"/>
    </row>
    <row r="506" spans="1:19" x14ac:dyDescent="0.25">
      <c r="A506" s="10"/>
      <c r="B506" s="10"/>
      <c r="C506" s="10"/>
      <c r="D506" s="10"/>
      <c r="E506" s="10"/>
      <c r="F506" s="10"/>
      <c r="G506" s="10"/>
      <c r="H506" s="770"/>
      <c r="I506" s="10"/>
      <c r="J506" s="10"/>
      <c r="K506" s="10"/>
      <c r="L506" s="10"/>
      <c r="M506" s="770"/>
      <c r="N506" s="10"/>
      <c r="O506" s="10"/>
      <c r="P506" s="10"/>
      <c r="Q506" s="10"/>
      <c r="R506" s="10"/>
      <c r="S506" s="10"/>
    </row>
    <row r="507" spans="1:19" x14ac:dyDescent="0.25">
      <c r="A507" s="10"/>
      <c r="B507" s="10"/>
      <c r="C507" s="10"/>
      <c r="D507" s="10"/>
      <c r="E507" s="10"/>
      <c r="F507" s="10"/>
      <c r="G507" s="10"/>
      <c r="H507" s="770"/>
      <c r="I507" s="10"/>
      <c r="J507" s="10"/>
      <c r="K507" s="10"/>
      <c r="L507" s="10"/>
      <c r="M507" s="770"/>
      <c r="N507" s="10"/>
      <c r="O507" s="10"/>
      <c r="P507" s="10"/>
      <c r="Q507" s="10"/>
      <c r="R507" s="10"/>
      <c r="S507" s="10"/>
    </row>
    <row r="508" spans="1:19" x14ac:dyDescent="0.25">
      <c r="A508" s="10"/>
      <c r="B508" s="10"/>
      <c r="C508" s="10"/>
      <c r="D508" s="10"/>
      <c r="E508" s="10"/>
      <c r="F508" s="10"/>
      <c r="G508" s="10"/>
      <c r="H508" s="770"/>
      <c r="I508" s="10"/>
      <c r="J508" s="10"/>
      <c r="K508" s="10"/>
      <c r="L508" s="10"/>
      <c r="M508" s="770"/>
      <c r="N508" s="10"/>
      <c r="O508" s="10"/>
      <c r="P508" s="10"/>
      <c r="Q508" s="10"/>
      <c r="R508" s="10"/>
      <c r="S508" s="10"/>
    </row>
    <row r="509" spans="1:19" x14ac:dyDescent="0.25">
      <c r="A509" s="10"/>
      <c r="B509" s="10"/>
      <c r="C509" s="10"/>
      <c r="D509" s="10"/>
      <c r="E509" s="10"/>
      <c r="F509" s="10"/>
      <c r="G509" s="10"/>
      <c r="H509" s="770"/>
      <c r="I509" s="10"/>
      <c r="J509" s="10"/>
      <c r="K509" s="10"/>
      <c r="L509" s="10"/>
      <c r="M509" s="770"/>
      <c r="N509" s="10"/>
      <c r="O509" s="10"/>
      <c r="P509" s="10"/>
      <c r="Q509" s="10"/>
      <c r="R509" s="10"/>
      <c r="S509" s="10"/>
    </row>
    <row r="510" spans="1:19" x14ac:dyDescent="0.25">
      <c r="A510" s="10"/>
      <c r="B510" s="10"/>
      <c r="C510" s="10"/>
      <c r="D510" s="10"/>
      <c r="E510" s="10"/>
      <c r="F510" s="10"/>
      <c r="G510" s="10"/>
      <c r="H510" s="770"/>
      <c r="I510" s="10"/>
      <c r="J510" s="10"/>
      <c r="K510" s="10"/>
      <c r="L510" s="10"/>
      <c r="M510" s="770"/>
      <c r="N510" s="10"/>
      <c r="O510" s="10"/>
      <c r="P510" s="10"/>
      <c r="Q510" s="10"/>
      <c r="R510" s="10"/>
      <c r="S510" s="10"/>
    </row>
    <row r="511" spans="1:19" x14ac:dyDescent="0.25">
      <c r="A511" s="10"/>
      <c r="B511" s="10"/>
      <c r="C511" s="10"/>
      <c r="D511" s="10"/>
      <c r="E511" s="10"/>
      <c r="F511" s="10"/>
      <c r="G511" s="10"/>
      <c r="H511" s="770"/>
      <c r="I511" s="10"/>
      <c r="J511" s="10"/>
      <c r="K511" s="10"/>
      <c r="L511" s="10"/>
      <c r="M511" s="770"/>
      <c r="N511" s="10"/>
      <c r="O511" s="10"/>
      <c r="P511" s="10"/>
      <c r="Q511" s="10"/>
      <c r="R511" s="10"/>
      <c r="S511" s="10"/>
    </row>
    <row r="512" spans="1:19" x14ac:dyDescent="0.25">
      <c r="A512" s="10"/>
      <c r="B512" s="10"/>
      <c r="C512" s="10"/>
      <c r="D512" s="10"/>
      <c r="E512" s="10"/>
      <c r="F512" s="10"/>
      <c r="G512" s="10"/>
      <c r="H512" s="770"/>
      <c r="I512" s="10"/>
      <c r="J512" s="10"/>
      <c r="K512" s="10"/>
      <c r="L512" s="10"/>
      <c r="M512" s="770"/>
      <c r="N512" s="10"/>
      <c r="O512" s="10"/>
      <c r="P512" s="10"/>
      <c r="Q512" s="10"/>
      <c r="R512" s="10"/>
      <c r="S512" s="10"/>
    </row>
    <row r="513" spans="1:19" x14ac:dyDescent="0.25">
      <c r="A513" s="10"/>
      <c r="B513" s="10"/>
      <c r="C513" s="10"/>
      <c r="D513" s="10"/>
      <c r="E513" s="10"/>
      <c r="F513" s="10"/>
      <c r="G513" s="10"/>
      <c r="H513" s="770"/>
      <c r="I513" s="10"/>
      <c r="J513" s="10"/>
      <c r="K513" s="10"/>
      <c r="L513" s="10"/>
      <c r="M513" s="770"/>
      <c r="N513" s="10"/>
      <c r="O513" s="10"/>
      <c r="P513" s="10"/>
      <c r="Q513" s="10"/>
      <c r="R513" s="10"/>
      <c r="S513" s="10"/>
    </row>
    <row r="514" spans="1:19" x14ac:dyDescent="0.25">
      <c r="A514" s="10"/>
      <c r="B514" s="10"/>
      <c r="C514" s="10"/>
      <c r="D514" s="10"/>
      <c r="E514" s="10"/>
      <c r="F514" s="10"/>
      <c r="G514" s="10"/>
      <c r="H514" s="770"/>
      <c r="I514" s="10"/>
      <c r="J514" s="10"/>
      <c r="K514" s="10"/>
      <c r="L514" s="10"/>
      <c r="M514" s="770"/>
      <c r="N514" s="10"/>
      <c r="O514" s="10"/>
      <c r="P514" s="10"/>
      <c r="Q514" s="10"/>
      <c r="R514" s="10"/>
      <c r="S514" s="10"/>
    </row>
    <row r="515" spans="1:19" x14ac:dyDescent="0.25">
      <c r="A515" s="10"/>
      <c r="B515" s="10"/>
      <c r="C515" s="10"/>
      <c r="D515" s="10"/>
      <c r="E515" s="10"/>
      <c r="F515" s="10"/>
      <c r="G515" s="10"/>
      <c r="H515" s="770"/>
      <c r="I515" s="10"/>
      <c r="J515" s="10"/>
      <c r="K515" s="10"/>
      <c r="L515" s="10"/>
      <c r="M515" s="770"/>
      <c r="N515" s="10"/>
      <c r="O515" s="10"/>
      <c r="P515" s="10"/>
      <c r="Q515" s="10"/>
      <c r="R515" s="10"/>
      <c r="S515" s="10"/>
    </row>
    <row r="516" spans="1:19" x14ac:dyDescent="0.25">
      <c r="A516" s="10"/>
      <c r="B516" s="10"/>
      <c r="C516" s="10"/>
      <c r="D516" s="10"/>
      <c r="E516" s="10"/>
      <c r="F516" s="10"/>
      <c r="G516" s="10"/>
      <c r="H516" s="770"/>
      <c r="I516" s="10"/>
      <c r="J516" s="10"/>
      <c r="K516" s="10"/>
      <c r="L516" s="10"/>
      <c r="M516" s="770"/>
      <c r="N516" s="10"/>
      <c r="O516" s="10"/>
      <c r="P516" s="10"/>
      <c r="Q516" s="10"/>
      <c r="R516" s="10"/>
      <c r="S516" s="10"/>
    </row>
    <row r="517" spans="1:19" x14ac:dyDescent="0.25">
      <c r="A517" s="10"/>
      <c r="B517" s="10"/>
      <c r="C517" s="10"/>
      <c r="D517" s="10"/>
      <c r="E517" s="10"/>
      <c r="F517" s="10"/>
      <c r="G517" s="10"/>
      <c r="H517" s="770"/>
      <c r="I517" s="10"/>
      <c r="J517" s="10"/>
      <c r="K517" s="10"/>
      <c r="L517" s="10"/>
      <c r="M517" s="770"/>
      <c r="N517" s="10"/>
      <c r="O517" s="10"/>
      <c r="P517" s="10"/>
      <c r="Q517" s="10"/>
      <c r="R517" s="10"/>
      <c r="S517" s="10"/>
    </row>
    <row r="518" spans="1:19" x14ac:dyDescent="0.25">
      <c r="A518" s="10"/>
      <c r="B518" s="10"/>
      <c r="C518" s="10"/>
      <c r="D518" s="10"/>
      <c r="E518" s="10"/>
      <c r="F518" s="10"/>
      <c r="G518" s="10"/>
      <c r="H518" s="770"/>
      <c r="I518" s="10"/>
      <c r="J518" s="10"/>
      <c r="K518" s="10"/>
      <c r="L518" s="10"/>
      <c r="M518" s="770"/>
      <c r="N518" s="10"/>
      <c r="O518" s="10"/>
      <c r="P518" s="10"/>
      <c r="Q518" s="10"/>
      <c r="R518" s="10"/>
      <c r="S518" s="10"/>
    </row>
    <row r="519" spans="1:19" x14ac:dyDescent="0.25">
      <c r="A519" s="10"/>
      <c r="B519" s="10"/>
      <c r="C519" s="10"/>
      <c r="D519" s="10"/>
      <c r="E519" s="10"/>
      <c r="F519" s="10"/>
      <c r="G519" s="10"/>
      <c r="H519" s="770"/>
      <c r="I519" s="10"/>
      <c r="J519" s="10"/>
      <c r="K519" s="10"/>
      <c r="L519" s="10"/>
      <c r="M519" s="770"/>
      <c r="N519" s="10"/>
      <c r="O519" s="10"/>
      <c r="P519" s="10"/>
      <c r="Q519" s="10"/>
      <c r="R519" s="10"/>
      <c r="S519" s="10"/>
    </row>
    <row r="520" spans="1:19" x14ac:dyDescent="0.25">
      <c r="A520" s="10"/>
      <c r="B520" s="10"/>
      <c r="C520" s="10"/>
      <c r="D520" s="10"/>
      <c r="E520" s="10"/>
      <c r="F520" s="10"/>
      <c r="G520" s="10"/>
      <c r="H520" s="770"/>
      <c r="I520" s="10"/>
      <c r="J520" s="10"/>
      <c r="K520" s="10"/>
      <c r="L520" s="10"/>
      <c r="M520" s="770"/>
      <c r="N520" s="10"/>
      <c r="O520" s="10"/>
      <c r="P520" s="10"/>
      <c r="Q520" s="10"/>
      <c r="R520" s="10"/>
      <c r="S520" s="10"/>
    </row>
    <row r="521" spans="1:19" x14ac:dyDescent="0.25">
      <c r="A521" s="10"/>
      <c r="B521" s="10"/>
      <c r="C521" s="10"/>
      <c r="D521" s="10"/>
      <c r="E521" s="10"/>
      <c r="F521" s="10"/>
      <c r="G521" s="10"/>
      <c r="H521" s="770"/>
      <c r="I521" s="10"/>
      <c r="J521" s="10"/>
      <c r="K521" s="10"/>
      <c r="L521" s="10"/>
      <c r="M521" s="770"/>
      <c r="N521" s="10"/>
      <c r="O521" s="10"/>
      <c r="P521" s="10"/>
      <c r="Q521" s="10"/>
      <c r="R521" s="10"/>
      <c r="S521" s="10"/>
    </row>
    <row r="522" spans="1:19" x14ac:dyDescent="0.25">
      <c r="A522" s="10"/>
      <c r="B522" s="10"/>
      <c r="C522" s="10"/>
      <c r="D522" s="10"/>
      <c r="E522" s="10"/>
      <c r="F522" s="10"/>
      <c r="G522" s="10"/>
      <c r="H522" s="770"/>
      <c r="I522" s="10"/>
      <c r="J522" s="10"/>
      <c r="K522" s="10"/>
      <c r="L522" s="10"/>
      <c r="M522" s="770"/>
      <c r="N522" s="10"/>
      <c r="O522" s="10"/>
      <c r="P522" s="10"/>
      <c r="Q522" s="10"/>
      <c r="R522" s="10"/>
      <c r="S522" s="10"/>
    </row>
    <row r="523" spans="1:19" x14ac:dyDescent="0.25">
      <c r="A523" s="10"/>
      <c r="B523" s="10"/>
      <c r="C523" s="10"/>
      <c r="D523" s="10"/>
      <c r="E523" s="10"/>
      <c r="F523" s="10"/>
      <c r="G523" s="10"/>
      <c r="H523" s="770"/>
      <c r="I523" s="10"/>
      <c r="J523" s="10"/>
      <c r="K523" s="10"/>
      <c r="L523" s="10"/>
      <c r="M523" s="770"/>
      <c r="N523" s="10"/>
      <c r="O523" s="10"/>
      <c r="P523" s="10"/>
      <c r="Q523" s="10"/>
      <c r="R523" s="10"/>
      <c r="S523" s="10"/>
    </row>
    <row r="524" spans="1:19" x14ac:dyDescent="0.25">
      <c r="A524" s="10"/>
      <c r="B524" s="10"/>
      <c r="C524" s="10"/>
      <c r="D524" s="10"/>
      <c r="E524" s="10"/>
      <c r="F524" s="10"/>
      <c r="G524" s="10"/>
      <c r="H524" s="770"/>
      <c r="I524" s="10"/>
      <c r="J524" s="10"/>
      <c r="K524" s="10"/>
      <c r="L524" s="10"/>
      <c r="M524" s="770"/>
      <c r="N524" s="10"/>
      <c r="O524" s="10"/>
      <c r="P524" s="10"/>
      <c r="Q524" s="10"/>
      <c r="R524" s="10"/>
      <c r="S524" s="10"/>
    </row>
    <row r="525" spans="1:19" x14ac:dyDescent="0.25">
      <c r="A525" s="10"/>
      <c r="B525" s="10"/>
      <c r="C525" s="10"/>
      <c r="D525" s="10"/>
      <c r="E525" s="10"/>
      <c r="F525" s="10"/>
      <c r="G525" s="10"/>
      <c r="H525" s="770"/>
      <c r="I525" s="10"/>
      <c r="J525" s="10"/>
      <c r="K525" s="10"/>
      <c r="L525" s="10"/>
      <c r="M525" s="770"/>
      <c r="N525" s="10"/>
      <c r="O525" s="10"/>
      <c r="P525" s="10"/>
      <c r="Q525" s="10"/>
      <c r="R525" s="10"/>
      <c r="S525" s="10"/>
    </row>
    <row r="526" spans="1:19" x14ac:dyDescent="0.25">
      <c r="A526" s="10"/>
      <c r="B526" s="10"/>
      <c r="C526" s="10"/>
      <c r="D526" s="10"/>
      <c r="E526" s="10"/>
      <c r="F526" s="10"/>
      <c r="G526" s="10"/>
      <c r="H526" s="770"/>
      <c r="I526" s="10"/>
      <c r="J526" s="10"/>
      <c r="K526" s="10"/>
      <c r="L526" s="10"/>
      <c r="M526" s="770"/>
      <c r="N526" s="10"/>
      <c r="O526" s="10"/>
      <c r="P526" s="10"/>
      <c r="Q526" s="10"/>
      <c r="R526" s="10"/>
      <c r="S526" s="10"/>
    </row>
    <row r="527" spans="1:19" x14ac:dyDescent="0.25">
      <c r="A527" s="10"/>
      <c r="B527" s="10"/>
      <c r="C527" s="10"/>
      <c r="D527" s="10"/>
      <c r="E527" s="10"/>
      <c r="F527" s="10"/>
      <c r="G527" s="10"/>
      <c r="H527" s="770"/>
      <c r="I527" s="10"/>
      <c r="J527" s="10"/>
      <c r="K527" s="10"/>
      <c r="L527" s="10"/>
      <c r="M527" s="770"/>
      <c r="N527" s="10"/>
      <c r="O527" s="10"/>
      <c r="P527" s="10"/>
      <c r="Q527" s="10"/>
      <c r="R527" s="10"/>
      <c r="S527" s="10"/>
    </row>
    <row r="528" spans="1:19" x14ac:dyDescent="0.25">
      <c r="A528" s="10"/>
      <c r="B528" s="10"/>
      <c r="C528" s="10"/>
      <c r="D528" s="10"/>
      <c r="E528" s="10"/>
      <c r="F528" s="10"/>
      <c r="G528" s="10"/>
      <c r="H528" s="770"/>
      <c r="I528" s="10"/>
      <c r="J528" s="10"/>
      <c r="K528" s="10"/>
      <c r="L528" s="10"/>
      <c r="M528" s="770"/>
      <c r="N528" s="10"/>
      <c r="O528" s="10"/>
      <c r="P528" s="10"/>
      <c r="Q528" s="10"/>
      <c r="R528" s="10"/>
      <c r="S528" s="10"/>
    </row>
    <row r="529" spans="1:19" x14ac:dyDescent="0.25">
      <c r="A529" s="10"/>
      <c r="B529" s="10"/>
      <c r="C529" s="10"/>
      <c r="D529" s="10"/>
      <c r="E529" s="10"/>
      <c r="F529" s="10"/>
      <c r="G529" s="10"/>
      <c r="H529" s="770"/>
      <c r="I529" s="10"/>
      <c r="J529" s="10"/>
      <c r="K529" s="10"/>
      <c r="L529" s="10"/>
      <c r="M529" s="770"/>
      <c r="N529" s="10"/>
      <c r="O529" s="10"/>
      <c r="P529" s="10"/>
      <c r="Q529" s="10"/>
      <c r="R529" s="10"/>
      <c r="S529" s="10"/>
    </row>
    <row r="530" spans="1:19" x14ac:dyDescent="0.25">
      <c r="A530" s="10"/>
      <c r="B530" s="10"/>
      <c r="C530" s="10"/>
      <c r="D530" s="10"/>
      <c r="E530" s="10"/>
      <c r="F530" s="10"/>
      <c r="G530" s="10"/>
      <c r="H530" s="770"/>
      <c r="I530" s="10"/>
      <c r="J530" s="10"/>
      <c r="K530" s="10"/>
      <c r="L530" s="10"/>
      <c r="M530" s="770"/>
      <c r="N530" s="10"/>
      <c r="O530" s="10"/>
      <c r="P530" s="10"/>
      <c r="Q530" s="10"/>
      <c r="R530" s="10"/>
      <c r="S530" s="10"/>
    </row>
    <row r="531" spans="1:19" x14ac:dyDescent="0.25">
      <c r="A531" s="10"/>
      <c r="B531" s="10"/>
      <c r="C531" s="10"/>
      <c r="D531" s="10"/>
      <c r="E531" s="10"/>
      <c r="F531" s="10"/>
      <c r="G531" s="10"/>
      <c r="H531" s="770"/>
      <c r="I531" s="10"/>
      <c r="J531" s="10"/>
      <c r="K531" s="10"/>
      <c r="L531" s="10"/>
      <c r="M531" s="770"/>
      <c r="N531" s="10"/>
      <c r="O531" s="10"/>
      <c r="P531" s="10"/>
      <c r="Q531" s="10"/>
      <c r="R531" s="10"/>
      <c r="S531" s="10"/>
    </row>
    <row r="532" spans="1:19" x14ac:dyDescent="0.25">
      <c r="A532" s="10"/>
      <c r="B532" s="10"/>
      <c r="C532" s="10"/>
      <c r="D532" s="10"/>
      <c r="E532" s="10"/>
      <c r="F532" s="10"/>
      <c r="G532" s="10"/>
      <c r="H532" s="770"/>
      <c r="I532" s="10"/>
      <c r="J532" s="10"/>
      <c r="K532" s="10"/>
      <c r="L532" s="10"/>
      <c r="M532" s="770"/>
      <c r="N532" s="10"/>
      <c r="O532" s="10"/>
      <c r="P532" s="10"/>
      <c r="Q532" s="10"/>
      <c r="R532" s="10"/>
      <c r="S532" s="10"/>
    </row>
    <row r="533" spans="1:19" x14ac:dyDescent="0.25">
      <c r="A533" s="10"/>
      <c r="B533" s="10"/>
      <c r="C533" s="10"/>
      <c r="D533" s="10"/>
      <c r="E533" s="10"/>
      <c r="F533" s="10"/>
      <c r="G533" s="10"/>
      <c r="H533" s="770"/>
      <c r="I533" s="10"/>
      <c r="J533" s="10"/>
      <c r="K533" s="10"/>
      <c r="L533" s="10"/>
      <c r="M533" s="770"/>
      <c r="N533" s="10"/>
      <c r="O533" s="10"/>
      <c r="P533" s="10"/>
      <c r="Q533" s="10"/>
      <c r="R533" s="10"/>
      <c r="S533" s="10"/>
    </row>
    <row r="534" spans="1:19" x14ac:dyDescent="0.25">
      <c r="A534" s="10"/>
      <c r="B534" s="10"/>
      <c r="C534" s="10"/>
      <c r="D534" s="10"/>
      <c r="E534" s="10"/>
      <c r="F534" s="10"/>
      <c r="G534" s="10"/>
      <c r="H534" s="770"/>
      <c r="I534" s="10"/>
      <c r="J534" s="10"/>
      <c r="K534" s="10"/>
      <c r="L534" s="10"/>
      <c r="M534" s="770"/>
      <c r="N534" s="10"/>
      <c r="O534" s="10"/>
      <c r="P534" s="10"/>
      <c r="Q534" s="10"/>
      <c r="R534" s="10"/>
      <c r="S534" s="10"/>
    </row>
    <row r="535" spans="1:19" x14ac:dyDescent="0.25">
      <c r="A535" s="10"/>
      <c r="B535" s="10"/>
      <c r="C535" s="10"/>
      <c r="D535" s="10"/>
      <c r="E535" s="10"/>
      <c r="F535" s="10"/>
      <c r="G535" s="10"/>
      <c r="H535" s="770"/>
      <c r="I535" s="10"/>
      <c r="J535" s="10"/>
      <c r="K535" s="10"/>
      <c r="L535" s="10"/>
      <c r="M535" s="770"/>
      <c r="N535" s="10"/>
      <c r="O535" s="10"/>
      <c r="P535" s="10"/>
      <c r="Q535" s="10"/>
      <c r="R535" s="10"/>
      <c r="S535" s="10"/>
    </row>
    <row r="536" spans="1:19" x14ac:dyDescent="0.25">
      <c r="A536" s="10"/>
      <c r="B536" s="10"/>
      <c r="C536" s="10"/>
      <c r="D536" s="10"/>
      <c r="E536" s="10"/>
      <c r="F536" s="10"/>
      <c r="G536" s="10"/>
      <c r="H536" s="770"/>
      <c r="I536" s="10"/>
      <c r="J536" s="10"/>
      <c r="K536" s="10"/>
      <c r="L536" s="10"/>
      <c r="M536" s="770"/>
      <c r="N536" s="10"/>
      <c r="O536" s="10"/>
      <c r="P536" s="10"/>
      <c r="Q536" s="10"/>
      <c r="R536" s="10"/>
      <c r="S536" s="10"/>
    </row>
    <row r="537" spans="1:19" x14ac:dyDescent="0.25">
      <c r="A537" s="10"/>
      <c r="B537" s="10"/>
      <c r="C537" s="10"/>
      <c r="D537" s="10"/>
      <c r="E537" s="10"/>
      <c r="F537" s="10"/>
      <c r="G537" s="10"/>
      <c r="H537" s="770"/>
      <c r="I537" s="10"/>
      <c r="J537" s="10"/>
      <c r="K537" s="10"/>
      <c r="L537" s="10"/>
      <c r="M537" s="770"/>
      <c r="N537" s="10"/>
      <c r="O537" s="10"/>
      <c r="P537" s="10"/>
      <c r="Q537" s="10"/>
      <c r="R537" s="10"/>
      <c r="S537" s="10"/>
    </row>
    <row r="538" spans="1:19" x14ac:dyDescent="0.25">
      <c r="A538" s="10"/>
      <c r="B538" s="10"/>
      <c r="C538" s="10"/>
      <c r="D538" s="10"/>
      <c r="E538" s="10"/>
      <c r="F538" s="10"/>
      <c r="G538" s="10"/>
      <c r="H538" s="770"/>
      <c r="I538" s="10"/>
      <c r="J538" s="10"/>
      <c r="K538" s="10"/>
      <c r="L538" s="10"/>
      <c r="M538" s="770"/>
      <c r="N538" s="10"/>
      <c r="O538" s="10"/>
      <c r="P538" s="10"/>
      <c r="Q538" s="10"/>
      <c r="R538" s="10"/>
      <c r="S538" s="10"/>
    </row>
    <row r="539" spans="1:19" x14ac:dyDescent="0.25">
      <c r="A539" s="10"/>
      <c r="B539" s="10"/>
      <c r="C539" s="10"/>
      <c r="D539" s="10"/>
      <c r="E539" s="10"/>
      <c r="F539" s="10"/>
      <c r="G539" s="10"/>
      <c r="H539" s="770"/>
      <c r="I539" s="10"/>
      <c r="J539" s="10"/>
      <c r="K539" s="10"/>
      <c r="L539" s="10"/>
      <c r="M539" s="770"/>
      <c r="N539" s="10"/>
      <c r="O539" s="10"/>
      <c r="P539" s="10"/>
      <c r="Q539" s="10"/>
      <c r="R539" s="10"/>
      <c r="S539" s="10"/>
    </row>
    <row r="540" spans="1:19" x14ac:dyDescent="0.25">
      <c r="A540" s="10"/>
      <c r="B540" s="10"/>
      <c r="C540" s="10"/>
      <c r="D540" s="10"/>
      <c r="E540" s="10"/>
      <c r="F540" s="10"/>
      <c r="G540" s="10"/>
      <c r="H540" s="770"/>
      <c r="I540" s="10"/>
      <c r="J540" s="10"/>
      <c r="K540" s="10"/>
      <c r="L540" s="10"/>
      <c r="M540" s="770"/>
      <c r="N540" s="10"/>
      <c r="O540" s="10"/>
      <c r="P540" s="10"/>
      <c r="Q540" s="10"/>
      <c r="R540" s="10"/>
      <c r="S540" s="10"/>
    </row>
    <row r="541" spans="1:19" x14ac:dyDescent="0.25">
      <c r="A541" s="10"/>
      <c r="B541" s="10"/>
      <c r="C541" s="10"/>
      <c r="D541" s="10"/>
      <c r="E541" s="10"/>
      <c r="F541" s="10"/>
      <c r="G541" s="10"/>
      <c r="H541" s="770"/>
      <c r="I541" s="10"/>
      <c r="J541" s="10"/>
      <c r="K541" s="10"/>
      <c r="L541" s="10"/>
      <c r="M541" s="770"/>
      <c r="N541" s="10"/>
      <c r="O541" s="10"/>
      <c r="P541" s="10"/>
      <c r="Q541" s="10"/>
      <c r="R541" s="10"/>
      <c r="S541" s="10"/>
    </row>
    <row r="542" spans="1:19" x14ac:dyDescent="0.25">
      <c r="A542" s="10"/>
      <c r="B542" s="10"/>
      <c r="C542" s="10"/>
      <c r="D542" s="10"/>
      <c r="E542" s="10"/>
      <c r="F542" s="10"/>
      <c r="G542" s="10"/>
      <c r="H542" s="770"/>
      <c r="I542" s="10"/>
      <c r="J542" s="10"/>
      <c r="K542" s="10"/>
      <c r="L542" s="10"/>
      <c r="M542" s="770"/>
      <c r="N542" s="10"/>
      <c r="O542" s="10"/>
      <c r="P542" s="10"/>
      <c r="Q542" s="10"/>
      <c r="R542" s="10"/>
      <c r="S542" s="10"/>
    </row>
    <row r="543" spans="1:19" x14ac:dyDescent="0.25">
      <c r="A543" s="10"/>
      <c r="B543" s="10"/>
      <c r="C543" s="10"/>
      <c r="D543" s="10"/>
      <c r="E543" s="10"/>
      <c r="F543" s="10"/>
      <c r="G543" s="10"/>
      <c r="H543" s="770"/>
      <c r="I543" s="10"/>
      <c r="J543" s="10"/>
      <c r="K543" s="10"/>
      <c r="L543" s="10"/>
      <c r="M543" s="770"/>
      <c r="N543" s="10"/>
      <c r="O543" s="10"/>
      <c r="P543" s="10"/>
      <c r="Q543" s="10"/>
      <c r="R543" s="10"/>
      <c r="S543" s="10"/>
    </row>
    <row r="544" spans="1:19" x14ac:dyDescent="0.25">
      <c r="A544" s="10"/>
      <c r="B544" s="10"/>
      <c r="C544" s="10"/>
      <c r="D544" s="10"/>
      <c r="E544" s="10"/>
      <c r="F544" s="10"/>
      <c r="G544" s="10"/>
      <c r="H544" s="770"/>
      <c r="I544" s="10"/>
      <c r="J544" s="10"/>
      <c r="K544" s="10"/>
      <c r="L544" s="10"/>
      <c r="M544" s="770"/>
      <c r="N544" s="10"/>
      <c r="O544" s="10"/>
      <c r="P544" s="10"/>
      <c r="Q544" s="10"/>
      <c r="R544" s="10"/>
      <c r="S544" s="10"/>
    </row>
    <row r="545" spans="1:19" x14ac:dyDescent="0.25">
      <c r="A545" s="10"/>
      <c r="B545" s="10"/>
      <c r="C545" s="10"/>
      <c r="D545" s="10"/>
      <c r="E545" s="10"/>
      <c r="F545" s="10"/>
      <c r="G545" s="10"/>
      <c r="H545" s="770"/>
      <c r="I545" s="10"/>
      <c r="J545" s="10"/>
      <c r="K545" s="10"/>
      <c r="L545" s="10"/>
      <c r="M545" s="770"/>
      <c r="N545" s="10"/>
      <c r="O545" s="10"/>
      <c r="P545" s="10"/>
      <c r="Q545" s="10"/>
      <c r="R545" s="10"/>
      <c r="S545" s="10"/>
    </row>
    <row r="546" spans="1:19" x14ac:dyDescent="0.25">
      <c r="A546" s="10"/>
      <c r="B546" s="10"/>
      <c r="C546" s="10"/>
      <c r="D546" s="10"/>
      <c r="E546" s="10"/>
      <c r="F546" s="10"/>
      <c r="G546" s="10"/>
      <c r="H546" s="770"/>
      <c r="I546" s="10"/>
      <c r="J546" s="10"/>
      <c r="K546" s="10"/>
      <c r="L546" s="10"/>
      <c r="M546" s="770"/>
      <c r="N546" s="10"/>
      <c r="O546" s="10"/>
      <c r="P546" s="10"/>
      <c r="Q546" s="10"/>
      <c r="R546" s="10"/>
      <c r="S546" s="10"/>
    </row>
    <row r="547" spans="1:19" x14ac:dyDescent="0.25">
      <c r="A547" s="10"/>
      <c r="B547" s="10"/>
      <c r="C547" s="10"/>
      <c r="D547" s="10"/>
      <c r="E547" s="10"/>
      <c r="F547" s="10"/>
      <c r="G547" s="10"/>
      <c r="H547" s="770"/>
      <c r="I547" s="10"/>
      <c r="J547" s="10"/>
      <c r="K547" s="10"/>
      <c r="L547" s="10"/>
      <c r="M547" s="770"/>
      <c r="N547" s="10"/>
      <c r="O547" s="10"/>
      <c r="P547" s="10"/>
      <c r="Q547" s="10"/>
      <c r="R547" s="10"/>
      <c r="S547" s="10"/>
    </row>
    <row r="548" spans="1:19" x14ac:dyDescent="0.25">
      <c r="A548" s="10"/>
      <c r="B548" s="10"/>
      <c r="C548" s="10"/>
      <c r="D548" s="10"/>
      <c r="E548" s="10"/>
      <c r="F548" s="10"/>
      <c r="G548" s="10"/>
      <c r="H548" s="770"/>
      <c r="I548" s="10"/>
      <c r="J548" s="10"/>
      <c r="K548" s="10"/>
      <c r="L548" s="10"/>
      <c r="M548" s="770"/>
      <c r="N548" s="10"/>
      <c r="O548" s="10"/>
      <c r="P548" s="10"/>
      <c r="Q548" s="10"/>
      <c r="R548" s="10"/>
      <c r="S548" s="10"/>
    </row>
    <row r="549" spans="1:19" x14ac:dyDescent="0.25">
      <c r="A549" s="10"/>
      <c r="B549" s="10"/>
      <c r="C549" s="10"/>
      <c r="D549" s="10"/>
      <c r="E549" s="10"/>
      <c r="F549" s="10"/>
      <c r="G549" s="10"/>
      <c r="H549" s="770"/>
      <c r="I549" s="10"/>
      <c r="J549" s="10"/>
      <c r="K549" s="10"/>
      <c r="L549" s="10"/>
      <c r="M549" s="770"/>
      <c r="N549" s="10"/>
      <c r="O549" s="10"/>
      <c r="P549" s="10"/>
      <c r="Q549" s="10"/>
      <c r="R549" s="10"/>
      <c r="S549" s="10"/>
    </row>
    <row r="550" spans="1:19" x14ac:dyDescent="0.25">
      <c r="A550" s="10"/>
      <c r="B550" s="10"/>
      <c r="C550" s="10"/>
      <c r="D550" s="10"/>
      <c r="E550" s="10"/>
      <c r="F550" s="10"/>
      <c r="G550" s="10"/>
      <c r="H550" s="770"/>
      <c r="I550" s="10"/>
      <c r="J550" s="10"/>
      <c r="K550" s="10"/>
      <c r="L550" s="10"/>
      <c r="M550" s="770"/>
      <c r="N550" s="10"/>
      <c r="O550" s="10"/>
      <c r="P550" s="10"/>
      <c r="Q550" s="10"/>
      <c r="R550" s="10"/>
      <c r="S550" s="10"/>
    </row>
    <row r="551" spans="1:19" x14ac:dyDescent="0.25">
      <c r="A551" s="10"/>
      <c r="B551" s="10"/>
      <c r="C551" s="10"/>
      <c r="D551" s="10"/>
      <c r="E551" s="10"/>
      <c r="F551" s="10"/>
      <c r="G551" s="10"/>
      <c r="H551" s="770"/>
      <c r="I551" s="10"/>
      <c r="J551" s="10"/>
      <c r="K551" s="10"/>
      <c r="L551" s="10"/>
      <c r="M551" s="770"/>
      <c r="N551" s="10"/>
      <c r="O551" s="10"/>
      <c r="P551" s="10"/>
      <c r="Q551" s="10"/>
      <c r="R551" s="10"/>
      <c r="S551" s="10"/>
    </row>
    <row r="552" spans="1:19" x14ac:dyDescent="0.25">
      <c r="A552" s="10"/>
      <c r="B552" s="10"/>
      <c r="C552" s="10"/>
      <c r="D552" s="10"/>
      <c r="E552" s="10"/>
      <c r="F552" s="10"/>
      <c r="G552" s="10"/>
      <c r="H552" s="770"/>
      <c r="I552" s="10"/>
      <c r="J552" s="10"/>
      <c r="K552" s="10"/>
      <c r="L552" s="10"/>
      <c r="M552" s="770"/>
      <c r="N552" s="10"/>
      <c r="O552" s="10"/>
      <c r="P552" s="10"/>
      <c r="Q552" s="10"/>
      <c r="R552" s="10"/>
      <c r="S552" s="10"/>
    </row>
    <row r="553" spans="1:19" x14ac:dyDescent="0.25">
      <c r="A553" s="10"/>
      <c r="B553" s="10"/>
      <c r="C553" s="10"/>
      <c r="D553" s="10"/>
      <c r="E553" s="10"/>
      <c r="F553" s="10"/>
      <c r="G553" s="10"/>
      <c r="H553" s="770"/>
      <c r="I553" s="10"/>
      <c r="J553" s="10"/>
      <c r="K553" s="10"/>
      <c r="L553" s="10"/>
      <c r="M553" s="770"/>
      <c r="N553" s="10"/>
      <c r="O553" s="10"/>
      <c r="P553" s="10"/>
      <c r="Q553" s="10"/>
      <c r="R553" s="10"/>
      <c r="S553" s="10"/>
    </row>
    <row r="554" spans="1:19" x14ac:dyDescent="0.25">
      <c r="A554" s="10"/>
      <c r="B554" s="10"/>
      <c r="C554" s="10"/>
      <c r="D554" s="10"/>
      <c r="E554" s="10"/>
      <c r="F554" s="10"/>
      <c r="G554" s="10"/>
      <c r="H554" s="770"/>
      <c r="I554" s="10"/>
      <c r="J554" s="10"/>
      <c r="K554" s="10"/>
      <c r="L554" s="10"/>
      <c r="M554" s="770"/>
      <c r="N554" s="10"/>
      <c r="O554" s="10"/>
      <c r="P554" s="10"/>
      <c r="Q554" s="10"/>
      <c r="R554" s="10"/>
      <c r="S554" s="10"/>
    </row>
    <row r="555" spans="1:19" x14ac:dyDescent="0.25">
      <c r="A555" s="10"/>
      <c r="B555" s="10"/>
      <c r="C555" s="10"/>
      <c r="D555" s="10"/>
      <c r="E555" s="10"/>
      <c r="F555" s="10"/>
      <c r="G555" s="10"/>
      <c r="H555" s="770"/>
      <c r="I555" s="10"/>
      <c r="J555" s="10"/>
      <c r="K555" s="10"/>
      <c r="L555" s="10"/>
      <c r="M555" s="770"/>
      <c r="N555" s="10"/>
      <c r="O555" s="10"/>
      <c r="P555" s="10"/>
      <c r="Q555" s="10"/>
      <c r="R555" s="10"/>
      <c r="S555" s="10"/>
    </row>
    <row r="556" spans="1:19" x14ac:dyDescent="0.25">
      <c r="A556" s="10"/>
      <c r="B556" s="10"/>
      <c r="C556" s="10"/>
      <c r="D556" s="10"/>
      <c r="E556" s="10"/>
      <c r="F556" s="10"/>
      <c r="G556" s="10"/>
      <c r="H556" s="770"/>
      <c r="I556" s="10"/>
      <c r="J556" s="10"/>
      <c r="K556" s="10"/>
      <c r="L556" s="10"/>
      <c r="M556" s="770"/>
      <c r="N556" s="10"/>
      <c r="O556" s="10"/>
      <c r="P556" s="10"/>
      <c r="Q556" s="10"/>
      <c r="R556" s="10"/>
      <c r="S556" s="10"/>
    </row>
    <row r="557" spans="1:19" x14ac:dyDescent="0.25">
      <c r="A557" s="10"/>
      <c r="B557" s="10"/>
      <c r="C557" s="10"/>
      <c r="D557" s="10"/>
      <c r="E557" s="10"/>
      <c r="F557" s="10"/>
      <c r="G557" s="10"/>
      <c r="H557" s="770"/>
      <c r="I557" s="10"/>
      <c r="J557" s="10"/>
      <c r="K557" s="10"/>
      <c r="L557" s="10"/>
      <c r="M557" s="770"/>
      <c r="N557" s="10"/>
      <c r="O557" s="10"/>
      <c r="P557" s="10"/>
      <c r="Q557" s="10"/>
      <c r="R557" s="10"/>
      <c r="S557" s="10"/>
    </row>
    <row r="558" spans="1:19" x14ac:dyDescent="0.25">
      <c r="A558" s="10"/>
      <c r="B558" s="10"/>
      <c r="C558" s="10"/>
      <c r="D558" s="10"/>
      <c r="E558" s="10"/>
      <c r="F558" s="10"/>
      <c r="G558" s="10"/>
      <c r="H558" s="770"/>
      <c r="I558" s="10"/>
      <c r="J558" s="10"/>
      <c r="K558" s="10"/>
      <c r="L558" s="10"/>
      <c r="M558" s="770"/>
      <c r="N558" s="10"/>
      <c r="O558" s="10"/>
      <c r="P558" s="10"/>
      <c r="Q558" s="10"/>
      <c r="R558" s="10"/>
      <c r="S558" s="10"/>
    </row>
    <row r="559" spans="1:19" x14ac:dyDescent="0.25">
      <c r="A559" s="10"/>
      <c r="B559" s="10"/>
      <c r="C559" s="10"/>
      <c r="D559" s="10"/>
      <c r="E559" s="10"/>
      <c r="F559" s="10"/>
      <c r="G559" s="10"/>
      <c r="H559" s="770"/>
      <c r="I559" s="10"/>
      <c r="J559" s="10"/>
      <c r="K559" s="10"/>
      <c r="L559" s="10"/>
      <c r="M559" s="770"/>
      <c r="N559" s="10"/>
      <c r="O559" s="10"/>
      <c r="P559" s="10"/>
      <c r="Q559" s="10"/>
      <c r="R559" s="10"/>
      <c r="S559" s="10"/>
    </row>
    <row r="560" spans="1:19" x14ac:dyDescent="0.25">
      <c r="A560" s="10"/>
      <c r="B560" s="10"/>
      <c r="C560" s="10"/>
      <c r="D560" s="10"/>
      <c r="E560" s="10"/>
      <c r="F560" s="10"/>
      <c r="G560" s="10"/>
      <c r="H560" s="770"/>
      <c r="I560" s="10"/>
      <c r="J560" s="10"/>
      <c r="K560" s="10"/>
      <c r="L560" s="10"/>
      <c r="M560" s="770"/>
      <c r="N560" s="10"/>
      <c r="O560" s="10"/>
      <c r="P560" s="10"/>
      <c r="Q560" s="10"/>
      <c r="R560" s="10"/>
      <c r="S560" s="10"/>
    </row>
    <row r="561" spans="1:19" x14ac:dyDescent="0.25">
      <c r="A561" s="10"/>
      <c r="B561" s="10"/>
      <c r="C561" s="10"/>
      <c r="D561" s="10"/>
      <c r="E561" s="10"/>
      <c r="F561" s="10"/>
      <c r="G561" s="10"/>
      <c r="H561" s="770"/>
      <c r="I561" s="10"/>
      <c r="J561" s="10"/>
      <c r="K561" s="10"/>
      <c r="L561" s="10"/>
      <c r="M561" s="770"/>
      <c r="N561" s="10"/>
      <c r="O561" s="10"/>
      <c r="P561" s="10"/>
      <c r="Q561" s="10"/>
      <c r="R561" s="10"/>
      <c r="S561" s="10"/>
    </row>
    <row r="562" spans="1:19" x14ac:dyDescent="0.25">
      <c r="A562" s="10"/>
      <c r="B562" s="10"/>
      <c r="C562" s="10"/>
      <c r="D562" s="10"/>
      <c r="E562" s="10"/>
      <c r="F562" s="10"/>
      <c r="G562" s="10"/>
      <c r="H562" s="770"/>
      <c r="I562" s="10"/>
      <c r="J562" s="10"/>
      <c r="K562" s="10"/>
      <c r="L562" s="10"/>
      <c r="M562" s="770"/>
      <c r="N562" s="10"/>
      <c r="O562" s="10"/>
      <c r="P562" s="10"/>
      <c r="Q562" s="10"/>
      <c r="R562" s="10"/>
      <c r="S562" s="10"/>
    </row>
    <row r="563" spans="1:19" x14ac:dyDescent="0.25">
      <c r="A563" s="10"/>
      <c r="B563" s="10"/>
      <c r="C563" s="10"/>
      <c r="D563" s="10"/>
      <c r="E563" s="10"/>
      <c r="F563" s="10"/>
      <c r="G563" s="10"/>
      <c r="H563" s="770"/>
      <c r="I563" s="10"/>
      <c r="J563" s="10"/>
      <c r="K563" s="10"/>
      <c r="L563" s="10"/>
      <c r="M563" s="770"/>
      <c r="N563" s="10"/>
      <c r="O563" s="10"/>
      <c r="P563" s="10"/>
      <c r="Q563" s="10"/>
      <c r="R563" s="10"/>
      <c r="S563" s="10"/>
    </row>
    <row r="564" spans="1:19" x14ac:dyDescent="0.25">
      <c r="A564" s="10"/>
      <c r="B564" s="10"/>
      <c r="C564" s="10"/>
      <c r="D564" s="10"/>
      <c r="E564" s="10"/>
      <c r="F564" s="10"/>
      <c r="G564" s="10"/>
      <c r="H564" s="770"/>
      <c r="I564" s="10"/>
      <c r="J564" s="10"/>
      <c r="K564" s="10"/>
      <c r="L564" s="10"/>
      <c r="M564" s="770"/>
      <c r="N564" s="10"/>
      <c r="O564" s="10"/>
      <c r="P564" s="10"/>
      <c r="Q564" s="10"/>
      <c r="R564" s="10"/>
      <c r="S564" s="10"/>
    </row>
    <row r="565" spans="1:19" x14ac:dyDescent="0.25">
      <c r="A565" s="10"/>
      <c r="B565" s="10"/>
      <c r="C565" s="10"/>
      <c r="D565" s="10"/>
      <c r="E565" s="10"/>
      <c r="F565" s="10"/>
      <c r="G565" s="10"/>
      <c r="H565" s="770"/>
      <c r="I565" s="10"/>
      <c r="J565" s="10"/>
      <c r="K565" s="10"/>
      <c r="L565" s="10"/>
      <c r="M565" s="770"/>
      <c r="N565" s="10"/>
      <c r="O565" s="10"/>
      <c r="P565" s="10"/>
      <c r="Q565" s="10"/>
      <c r="R565" s="10"/>
      <c r="S565" s="10"/>
    </row>
    <row r="566" spans="1:19" x14ac:dyDescent="0.25">
      <c r="A566" s="10"/>
      <c r="B566" s="10"/>
      <c r="C566" s="10"/>
      <c r="D566" s="10"/>
      <c r="E566" s="10"/>
      <c r="F566" s="10"/>
      <c r="G566" s="10"/>
      <c r="H566" s="770"/>
      <c r="I566" s="10"/>
      <c r="J566" s="10"/>
      <c r="K566" s="10"/>
      <c r="L566" s="10"/>
      <c r="M566" s="770"/>
      <c r="N566" s="10"/>
      <c r="O566" s="10"/>
      <c r="P566" s="10"/>
      <c r="Q566" s="10"/>
      <c r="R566" s="10"/>
      <c r="S566" s="10"/>
    </row>
    <row r="567" spans="1:19" x14ac:dyDescent="0.25">
      <c r="A567" s="10"/>
      <c r="B567" s="10"/>
      <c r="C567" s="10"/>
      <c r="D567" s="10"/>
      <c r="E567" s="10"/>
      <c r="F567" s="10"/>
      <c r="G567" s="10"/>
      <c r="H567" s="770"/>
      <c r="I567" s="10"/>
      <c r="J567" s="10"/>
      <c r="K567" s="10"/>
      <c r="L567" s="10"/>
      <c r="M567" s="770"/>
      <c r="N567" s="10"/>
      <c r="O567" s="10"/>
      <c r="P567" s="10"/>
      <c r="Q567" s="10"/>
      <c r="R567" s="10"/>
      <c r="S567" s="10"/>
    </row>
    <row r="568" spans="1:19" x14ac:dyDescent="0.25">
      <c r="A568" s="10"/>
      <c r="B568" s="10"/>
      <c r="C568" s="10"/>
      <c r="D568" s="10"/>
      <c r="E568" s="10"/>
      <c r="F568" s="10"/>
      <c r="G568" s="10"/>
      <c r="H568" s="770"/>
      <c r="I568" s="10"/>
      <c r="J568" s="10"/>
      <c r="K568" s="10"/>
      <c r="L568" s="10"/>
      <c r="M568" s="770"/>
      <c r="N568" s="10"/>
      <c r="O568" s="10"/>
      <c r="P568" s="10"/>
      <c r="Q568" s="10"/>
      <c r="R568" s="10"/>
      <c r="S568" s="10"/>
    </row>
    <row r="569" spans="1:19" x14ac:dyDescent="0.25">
      <c r="A569" s="10"/>
      <c r="B569" s="10"/>
      <c r="C569" s="10"/>
      <c r="D569" s="10"/>
      <c r="E569" s="10"/>
      <c r="F569" s="10"/>
      <c r="G569" s="10"/>
      <c r="H569" s="770"/>
      <c r="I569" s="10"/>
      <c r="J569" s="10"/>
      <c r="K569" s="10"/>
      <c r="L569" s="10"/>
      <c r="M569" s="770"/>
      <c r="N569" s="10"/>
      <c r="O569" s="10"/>
      <c r="P569" s="10"/>
      <c r="Q569" s="10"/>
      <c r="R569" s="10"/>
      <c r="S569" s="10"/>
    </row>
    <row r="570" spans="1:19" x14ac:dyDescent="0.25">
      <c r="A570" s="10"/>
      <c r="B570" s="10"/>
      <c r="C570" s="10"/>
      <c r="D570" s="10"/>
      <c r="E570" s="10"/>
      <c r="F570" s="10"/>
      <c r="G570" s="10"/>
      <c r="H570" s="770"/>
      <c r="I570" s="10"/>
      <c r="J570" s="10"/>
      <c r="K570" s="10"/>
      <c r="L570" s="10"/>
      <c r="M570" s="770"/>
      <c r="N570" s="10"/>
      <c r="O570" s="10"/>
      <c r="P570" s="10"/>
      <c r="Q570" s="10"/>
      <c r="R570" s="10"/>
      <c r="S570" s="10"/>
    </row>
    <row r="571" spans="1:19" x14ac:dyDescent="0.25">
      <c r="A571" s="10"/>
      <c r="B571" s="10"/>
      <c r="C571" s="10"/>
      <c r="D571" s="10"/>
      <c r="E571" s="10"/>
      <c r="F571" s="10"/>
      <c r="G571" s="10"/>
      <c r="H571" s="770"/>
      <c r="I571" s="10"/>
      <c r="J571" s="10"/>
      <c r="K571" s="10"/>
      <c r="L571" s="10"/>
      <c r="M571" s="770"/>
      <c r="N571" s="10"/>
      <c r="O571" s="10"/>
      <c r="P571" s="10"/>
      <c r="Q571" s="10"/>
      <c r="R571" s="10"/>
      <c r="S571" s="10"/>
    </row>
    <row r="572" spans="1:19" x14ac:dyDescent="0.25">
      <c r="A572" s="10"/>
      <c r="B572" s="10"/>
      <c r="C572" s="10"/>
      <c r="D572" s="10"/>
      <c r="E572" s="10"/>
      <c r="F572" s="10"/>
      <c r="G572" s="10"/>
      <c r="H572" s="770"/>
      <c r="I572" s="10"/>
      <c r="J572" s="10"/>
      <c r="K572" s="10"/>
      <c r="L572" s="10"/>
      <c r="M572" s="770"/>
      <c r="N572" s="10"/>
      <c r="O572" s="10"/>
      <c r="P572" s="10"/>
      <c r="Q572" s="10"/>
      <c r="R572" s="10"/>
      <c r="S572" s="10"/>
    </row>
    <row r="573" spans="1:19" x14ac:dyDescent="0.25">
      <c r="A573" s="10"/>
      <c r="B573" s="10"/>
      <c r="C573" s="10"/>
      <c r="D573" s="10"/>
      <c r="E573" s="10"/>
      <c r="F573" s="10"/>
      <c r="G573" s="10"/>
      <c r="H573" s="770"/>
      <c r="I573" s="10"/>
      <c r="J573" s="10"/>
      <c r="K573" s="10"/>
      <c r="L573" s="10"/>
      <c r="M573" s="770"/>
      <c r="N573" s="10"/>
      <c r="O573" s="10"/>
      <c r="P573" s="10"/>
      <c r="Q573" s="10"/>
      <c r="R573" s="10"/>
      <c r="S573" s="10"/>
    </row>
    <row r="574" spans="1:19" x14ac:dyDescent="0.25">
      <c r="A574" s="10"/>
      <c r="B574" s="10"/>
      <c r="C574" s="10"/>
      <c r="D574" s="10"/>
      <c r="E574" s="10"/>
      <c r="F574" s="10"/>
      <c r="G574" s="10"/>
      <c r="H574" s="770"/>
      <c r="I574" s="10"/>
      <c r="J574" s="10"/>
      <c r="K574" s="10"/>
      <c r="L574" s="10"/>
      <c r="M574" s="770"/>
      <c r="N574" s="10"/>
      <c r="O574" s="10"/>
      <c r="P574" s="10"/>
      <c r="Q574" s="10"/>
      <c r="R574" s="10"/>
      <c r="S574" s="10"/>
    </row>
    <row r="575" spans="1:19" x14ac:dyDescent="0.25">
      <c r="A575" s="10"/>
      <c r="B575" s="10"/>
      <c r="C575" s="10"/>
      <c r="D575" s="10"/>
      <c r="E575" s="10"/>
      <c r="F575" s="10"/>
      <c r="G575" s="10"/>
      <c r="H575" s="770"/>
      <c r="I575" s="10"/>
      <c r="J575" s="10"/>
      <c r="K575" s="10"/>
      <c r="L575" s="10"/>
      <c r="M575" s="770"/>
      <c r="N575" s="10"/>
      <c r="O575" s="10"/>
      <c r="P575" s="10"/>
      <c r="Q575" s="10"/>
      <c r="R575" s="10"/>
      <c r="S575" s="10"/>
    </row>
    <row r="576" spans="1:19" x14ac:dyDescent="0.25">
      <c r="A576" s="10"/>
      <c r="B576" s="10"/>
      <c r="C576" s="10"/>
      <c r="D576" s="10"/>
      <c r="E576" s="10"/>
      <c r="F576" s="10"/>
      <c r="G576" s="10"/>
      <c r="H576" s="770"/>
      <c r="I576" s="10"/>
      <c r="J576" s="10"/>
      <c r="K576" s="10"/>
      <c r="L576" s="10"/>
      <c r="M576" s="770"/>
      <c r="N576" s="10"/>
      <c r="O576" s="10"/>
      <c r="P576" s="10"/>
      <c r="Q576" s="10"/>
      <c r="R576" s="10"/>
      <c r="S576" s="10"/>
    </row>
    <row r="577" spans="1:19" x14ac:dyDescent="0.25">
      <c r="A577" s="10"/>
      <c r="B577" s="10"/>
      <c r="C577" s="10"/>
      <c r="D577" s="10"/>
      <c r="E577" s="10"/>
      <c r="F577" s="10"/>
      <c r="G577" s="10"/>
      <c r="H577" s="770"/>
      <c r="I577" s="10"/>
      <c r="J577" s="10"/>
      <c r="K577" s="10"/>
      <c r="L577" s="10"/>
      <c r="M577" s="770"/>
      <c r="N577" s="10"/>
      <c r="O577" s="10"/>
      <c r="P577" s="10"/>
      <c r="Q577" s="10"/>
      <c r="R577" s="10"/>
      <c r="S577" s="10"/>
    </row>
    <row r="578" spans="1:19" x14ac:dyDescent="0.25">
      <c r="A578" s="10"/>
      <c r="B578" s="10"/>
      <c r="C578" s="10"/>
      <c r="D578" s="10"/>
      <c r="E578" s="10"/>
      <c r="F578" s="10"/>
      <c r="G578" s="10"/>
      <c r="H578" s="770"/>
      <c r="I578" s="10"/>
      <c r="J578" s="10"/>
      <c r="K578" s="10"/>
      <c r="L578" s="10"/>
      <c r="M578" s="770"/>
      <c r="N578" s="10"/>
      <c r="O578" s="10"/>
      <c r="P578" s="10"/>
      <c r="Q578" s="10"/>
      <c r="R578" s="10"/>
      <c r="S578" s="10"/>
    </row>
    <row r="579" spans="1:19" x14ac:dyDescent="0.25">
      <c r="A579" s="10"/>
      <c r="B579" s="10"/>
      <c r="C579" s="10"/>
      <c r="D579" s="10"/>
      <c r="E579" s="10"/>
      <c r="F579" s="10"/>
      <c r="G579" s="10"/>
      <c r="H579" s="770"/>
      <c r="I579" s="10"/>
      <c r="J579" s="10"/>
      <c r="K579" s="10"/>
      <c r="L579" s="10"/>
      <c r="M579" s="770"/>
      <c r="N579" s="10"/>
      <c r="O579" s="10"/>
      <c r="P579" s="10"/>
      <c r="Q579" s="10"/>
      <c r="R579" s="10"/>
      <c r="S579" s="10"/>
    </row>
    <row r="580" spans="1:19" x14ac:dyDescent="0.25">
      <c r="A580" s="10"/>
      <c r="B580" s="10"/>
      <c r="C580" s="10"/>
      <c r="D580" s="10"/>
      <c r="E580" s="10"/>
      <c r="F580" s="10"/>
      <c r="G580" s="10"/>
      <c r="H580" s="770"/>
      <c r="I580" s="10"/>
      <c r="J580" s="10"/>
      <c r="K580" s="10"/>
      <c r="L580" s="10"/>
      <c r="M580" s="770"/>
      <c r="N580" s="10"/>
      <c r="O580" s="10"/>
      <c r="P580" s="10"/>
      <c r="Q580" s="10"/>
      <c r="R580" s="10"/>
      <c r="S580" s="10"/>
    </row>
    <row r="581" spans="1:19" x14ac:dyDescent="0.25">
      <c r="A581" s="10"/>
      <c r="B581" s="10"/>
      <c r="C581" s="10"/>
      <c r="D581" s="10"/>
      <c r="E581" s="10"/>
      <c r="F581" s="10"/>
      <c r="G581" s="10"/>
      <c r="H581" s="770"/>
      <c r="I581" s="10"/>
      <c r="J581" s="10"/>
      <c r="K581" s="10"/>
      <c r="L581" s="10"/>
      <c r="M581" s="770"/>
      <c r="N581" s="10"/>
      <c r="O581" s="10"/>
      <c r="P581" s="10"/>
      <c r="Q581" s="10"/>
      <c r="R581" s="10"/>
      <c r="S581" s="10"/>
    </row>
    <row r="582" spans="1:19" x14ac:dyDescent="0.25">
      <c r="A582" s="10"/>
      <c r="B582" s="10"/>
      <c r="C582" s="10"/>
      <c r="D582" s="10"/>
      <c r="E582" s="10"/>
      <c r="F582" s="10"/>
      <c r="G582" s="10"/>
      <c r="H582" s="770"/>
      <c r="I582" s="10"/>
      <c r="J582" s="10"/>
      <c r="K582" s="10"/>
      <c r="L582" s="10"/>
      <c r="M582" s="770"/>
      <c r="N582" s="10"/>
      <c r="O582" s="10"/>
      <c r="P582" s="10"/>
      <c r="Q582" s="10"/>
      <c r="R582" s="10"/>
      <c r="S582" s="10"/>
    </row>
    <row r="583" spans="1:19" x14ac:dyDescent="0.25">
      <c r="A583" s="10"/>
      <c r="B583" s="10"/>
      <c r="C583" s="10"/>
      <c r="D583" s="10"/>
      <c r="E583" s="10"/>
      <c r="F583" s="10"/>
      <c r="G583" s="10"/>
      <c r="H583" s="770"/>
      <c r="I583" s="10"/>
      <c r="J583" s="10"/>
      <c r="K583" s="10"/>
      <c r="L583" s="10"/>
      <c r="M583" s="770"/>
      <c r="N583" s="10"/>
      <c r="O583" s="10"/>
      <c r="P583" s="10"/>
      <c r="Q583" s="10"/>
      <c r="R583" s="10"/>
      <c r="S583" s="10"/>
    </row>
    <row r="584" spans="1:19" x14ac:dyDescent="0.25">
      <c r="A584" s="10"/>
      <c r="B584" s="10"/>
      <c r="C584" s="10"/>
      <c r="D584" s="10"/>
      <c r="E584" s="10"/>
      <c r="F584" s="10"/>
      <c r="G584" s="10"/>
      <c r="H584" s="770"/>
      <c r="I584" s="10"/>
      <c r="J584" s="10"/>
      <c r="K584" s="10"/>
      <c r="L584" s="10"/>
      <c r="M584" s="770"/>
      <c r="N584" s="10"/>
      <c r="O584" s="10"/>
      <c r="P584" s="10"/>
      <c r="Q584" s="10"/>
      <c r="R584" s="10"/>
      <c r="S584" s="10"/>
    </row>
    <row r="585" spans="1:19" x14ac:dyDescent="0.25">
      <c r="A585" s="10"/>
      <c r="B585" s="10"/>
      <c r="C585" s="10"/>
      <c r="D585" s="10"/>
      <c r="E585" s="10"/>
      <c r="F585" s="10"/>
      <c r="G585" s="10"/>
      <c r="H585" s="770"/>
      <c r="I585" s="10"/>
      <c r="J585" s="10"/>
      <c r="K585" s="10"/>
      <c r="L585" s="10"/>
      <c r="M585" s="770"/>
      <c r="N585" s="10"/>
      <c r="O585" s="10"/>
      <c r="P585" s="10"/>
      <c r="Q585" s="10"/>
      <c r="R585" s="10"/>
      <c r="S585" s="10"/>
    </row>
    <row r="586" spans="1:19" x14ac:dyDescent="0.25">
      <c r="A586" s="10"/>
      <c r="B586" s="10"/>
      <c r="C586" s="10"/>
      <c r="D586" s="10"/>
      <c r="E586" s="10"/>
      <c r="F586" s="10"/>
      <c r="G586" s="10"/>
      <c r="H586" s="770"/>
      <c r="I586" s="10"/>
      <c r="J586" s="10"/>
      <c r="K586" s="10"/>
      <c r="L586" s="10"/>
      <c r="M586" s="770"/>
      <c r="N586" s="10"/>
      <c r="O586" s="10"/>
      <c r="P586" s="10"/>
      <c r="Q586" s="10"/>
      <c r="R586" s="10"/>
      <c r="S586" s="10"/>
    </row>
    <row r="587" spans="1:19" x14ac:dyDescent="0.25">
      <c r="A587" s="10"/>
      <c r="B587" s="10"/>
      <c r="C587" s="10"/>
      <c r="D587" s="10"/>
      <c r="E587" s="10"/>
      <c r="F587" s="10"/>
      <c r="G587" s="10"/>
      <c r="H587" s="770"/>
      <c r="I587" s="10"/>
      <c r="J587" s="10"/>
      <c r="K587" s="10"/>
      <c r="L587" s="10"/>
      <c r="M587" s="770"/>
      <c r="N587" s="10"/>
      <c r="O587" s="10"/>
      <c r="P587" s="10"/>
      <c r="Q587" s="10"/>
      <c r="R587" s="10"/>
      <c r="S587" s="10"/>
    </row>
    <row r="588" spans="1:19" x14ac:dyDescent="0.25">
      <c r="A588" s="10"/>
      <c r="B588" s="10"/>
      <c r="C588" s="10"/>
      <c r="D588" s="10"/>
      <c r="E588" s="10"/>
      <c r="F588" s="10"/>
      <c r="G588" s="10"/>
      <c r="H588" s="770"/>
      <c r="I588" s="10"/>
      <c r="J588" s="10"/>
      <c r="K588" s="10"/>
      <c r="L588" s="10"/>
      <c r="M588" s="770"/>
      <c r="N588" s="10"/>
      <c r="O588" s="10"/>
      <c r="P588" s="10"/>
      <c r="Q588" s="10"/>
      <c r="R588" s="10"/>
      <c r="S588" s="10"/>
    </row>
    <row r="589" spans="1:19" x14ac:dyDescent="0.25">
      <c r="A589" s="10"/>
      <c r="B589" s="10"/>
      <c r="C589" s="10"/>
      <c r="D589" s="10"/>
      <c r="E589" s="10"/>
      <c r="F589" s="10"/>
      <c r="G589" s="10"/>
      <c r="H589" s="770"/>
      <c r="I589" s="10"/>
      <c r="J589" s="10"/>
      <c r="K589" s="10"/>
      <c r="L589" s="10"/>
      <c r="M589" s="770"/>
      <c r="N589" s="10"/>
      <c r="O589" s="10"/>
      <c r="P589" s="10"/>
      <c r="Q589" s="10"/>
      <c r="R589" s="10"/>
      <c r="S589" s="10"/>
    </row>
    <row r="590" spans="1:19" x14ac:dyDescent="0.25">
      <c r="A590" s="10"/>
      <c r="B590" s="10"/>
      <c r="C590" s="10"/>
      <c r="D590" s="10"/>
      <c r="E590" s="10"/>
      <c r="F590" s="10"/>
      <c r="G590" s="10"/>
      <c r="H590" s="770"/>
      <c r="I590" s="10"/>
      <c r="J590" s="10"/>
      <c r="K590" s="10"/>
      <c r="L590" s="10"/>
      <c r="M590" s="770"/>
      <c r="N590" s="10"/>
      <c r="O590" s="10"/>
      <c r="P590" s="10"/>
      <c r="Q590" s="10"/>
      <c r="R590" s="10"/>
      <c r="S590" s="10"/>
    </row>
    <row r="591" spans="1:19" x14ac:dyDescent="0.25">
      <c r="A591" s="10"/>
      <c r="B591" s="10"/>
      <c r="C591" s="10"/>
      <c r="D591" s="10"/>
      <c r="E591" s="10"/>
      <c r="F591" s="10"/>
      <c r="G591" s="10"/>
      <c r="H591" s="770"/>
      <c r="I591" s="10"/>
      <c r="J591" s="10"/>
      <c r="K591" s="10"/>
      <c r="L591" s="10"/>
      <c r="M591" s="770"/>
      <c r="N591" s="10"/>
      <c r="O591" s="10"/>
      <c r="P591" s="10"/>
      <c r="Q591" s="10"/>
      <c r="R591" s="10"/>
      <c r="S591" s="10"/>
    </row>
    <row r="592" spans="1:19" x14ac:dyDescent="0.25">
      <c r="A592" s="10"/>
      <c r="B592" s="10"/>
      <c r="C592" s="10"/>
      <c r="D592" s="10"/>
      <c r="E592" s="10"/>
      <c r="F592" s="10"/>
      <c r="G592" s="10"/>
      <c r="H592" s="770"/>
      <c r="I592" s="10"/>
      <c r="J592" s="10"/>
      <c r="K592" s="10"/>
      <c r="L592" s="10"/>
      <c r="M592" s="770"/>
      <c r="N592" s="10"/>
      <c r="O592" s="10"/>
      <c r="P592" s="10"/>
      <c r="Q592" s="10"/>
      <c r="R592" s="10"/>
      <c r="S592" s="10"/>
    </row>
    <row r="593" spans="1:19" x14ac:dyDescent="0.25">
      <c r="A593" s="10"/>
      <c r="B593" s="10"/>
      <c r="C593" s="10"/>
      <c r="D593" s="10"/>
      <c r="E593" s="10"/>
      <c r="F593" s="10"/>
      <c r="G593" s="10"/>
      <c r="H593" s="770"/>
      <c r="I593" s="10"/>
      <c r="J593" s="10"/>
      <c r="K593" s="10"/>
      <c r="L593" s="10"/>
      <c r="M593" s="770"/>
      <c r="N593" s="10"/>
      <c r="O593" s="10"/>
      <c r="P593" s="10"/>
      <c r="Q593" s="10"/>
      <c r="R593" s="10"/>
      <c r="S593" s="10"/>
    </row>
    <row r="594" spans="1:19" x14ac:dyDescent="0.25">
      <c r="A594" s="10"/>
      <c r="B594" s="10"/>
      <c r="C594" s="10"/>
      <c r="D594" s="10"/>
      <c r="E594" s="10"/>
      <c r="F594" s="10"/>
      <c r="G594" s="10"/>
      <c r="H594" s="770"/>
      <c r="I594" s="10"/>
      <c r="J594" s="10"/>
      <c r="K594" s="10"/>
      <c r="L594" s="10"/>
      <c r="M594" s="770"/>
      <c r="N594" s="10"/>
      <c r="O594" s="10"/>
      <c r="P594" s="10"/>
      <c r="Q594" s="10"/>
      <c r="R594" s="10"/>
      <c r="S594" s="10"/>
    </row>
    <row r="595" spans="1:19" x14ac:dyDescent="0.25">
      <c r="A595" s="10"/>
      <c r="B595" s="10"/>
      <c r="C595" s="10"/>
      <c r="D595" s="10"/>
      <c r="E595" s="10"/>
      <c r="F595" s="10"/>
      <c r="G595" s="10"/>
      <c r="H595" s="770"/>
      <c r="I595" s="10"/>
      <c r="J595" s="10"/>
      <c r="K595" s="10"/>
      <c r="L595" s="10"/>
      <c r="M595" s="770"/>
      <c r="N595" s="10"/>
      <c r="O595" s="10"/>
      <c r="P595" s="10"/>
      <c r="Q595" s="10"/>
      <c r="R595" s="10"/>
      <c r="S595" s="10"/>
    </row>
    <row r="596" spans="1:19" x14ac:dyDescent="0.25">
      <c r="A596" s="10"/>
      <c r="B596" s="10"/>
      <c r="C596" s="10"/>
      <c r="D596" s="10"/>
      <c r="E596" s="10"/>
      <c r="F596" s="10"/>
      <c r="G596" s="10"/>
      <c r="H596" s="770"/>
      <c r="I596" s="10"/>
      <c r="J596" s="10"/>
      <c r="K596" s="10"/>
      <c r="L596" s="10"/>
      <c r="M596" s="770"/>
      <c r="N596" s="10"/>
      <c r="O596" s="10"/>
      <c r="P596" s="10"/>
      <c r="Q596" s="10"/>
      <c r="R596" s="10"/>
      <c r="S596" s="10"/>
    </row>
    <row r="597" spans="1:19" x14ac:dyDescent="0.25">
      <c r="A597" s="10"/>
      <c r="B597" s="10"/>
      <c r="C597" s="10"/>
      <c r="D597" s="10"/>
      <c r="E597" s="10"/>
      <c r="F597" s="10"/>
      <c r="G597" s="10"/>
      <c r="H597" s="770"/>
      <c r="I597" s="10"/>
      <c r="J597" s="10"/>
      <c r="K597" s="10"/>
      <c r="L597" s="10"/>
      <c r="M597" s="770"/>
      <c r="N597" s="10"/>
      <c r="O597" s="10"/>
      <c r="P597" s="10"/>
      <c r="Q597" s="10"/>
      <c r="R597" s="10"/>
      <c r="S597" s="10"/>
    </row>
    <row r="598" spans="1:19" x14ac:dyDescent="0.25">
      <c r="A598" s="10"/>
      <c r="B598" s="10"/>
      <c r="C598" s="10"/>
      <c r="D598" s="10"/>
      <c r="E598" s="10"/>
      <c r="F598" s="10"/>
      <c r="G598" s="10"/>
      <c r="H598" s="770"/>
      <c r="I598" s="10"/>
      <c r="J598" s="10"/>
      <c r="K598" s="10"/>
      <c r="L598" s="10"/>
      <c r="M598" s="770"/>
      <c r="N598" s="10"/>
      <c r="O598" s="10"/>
      <c r="P598" s="10"/>
      <c r="Q598" s="10"/>
      <c r="R598" s="10"/>
      <c r="S598" s="10"/>
    </row>
    <row r="599" spans="1:19" x14ac:dyDescent="0.25">
      <c r="A599" s="10"/>
      <c r="B599" s="10"/>
      <c r="C599" s="10"/>
      <c r="D599" s="10"/>
      <c r="E599" s="10"/>
      <c r="F599" s="10"/>
      <c r="G599" s="10"/>
      <c r="H599" s="770"/>
      <c r="I599" s="10"/>
      <c r="J599" s="10"/>
      <c r="K599" s="10"/>
      <c r="L599" s="10"/>
      <c r="M599" s="770"/>
      <c r="N599" s="10"/>
      <c r="O599" s="10"/>
      <c r="P599" s="10"/>
      <c r="Q599" s="10"/>
      <c r="R599" s="10"/>
      <c r="S599" s="10"/>
    </row>
    <row r="600" spans="1:19" x14ac:dyDescent="0.25">
      <c r="A600" s="10"/>
      <c r="B600" s="10"/>
      <c r="C600" s="10"/>
      <c r="D600" s="10"/>
      <c r="E600" s="10"/>
      <c r="F600" s="10"/>
      <c r="G600" s="10"/>
      <c r="H600" s="770"/>
      <c r="I600" s="10"/>
      <c r="J600" s="10"/>
      <c r="K600" s="10"/>
      <c r="L600" s="10"/>
      <c r="M600" s="770"/>
      <c r="N600" s="10"/>
      <c r="O600" s="10"/>
      <c r="P600" s="10"/>
      <c r="Q600" s="10"/>
      <c r="R600" s="10"/>
      <c r="S600" s="10"/>
    </row>
    <row r="601" spans="1:19" x14ac:dyDescent="0.25">
      <c r="A601" s="10"/>
      <c r="B601" s="10"/>
      <c r="C601" s="10"/>
      <c r="D601" s="10"/>
      <c r="E601" s="10"/>
      <c r="F601" s="10"/>
      <c r="G601" s="10"/>
      <c r="H601" s="770"/>
      <c r="I601" s="10"/>
      <c r="J601" s="10"/>
      <c r="K601" s="10"/>
      <c r="L601" s="10"/>
      <c r="M601" s="770"/>
      <c r="N601" s="10"/>
      <c r="O601" s="10"/>
      <c r="P601" s="10"/>
      <c r="Q601" s="10"/>
      <c r="R601" s="10"/>
      <c r="S601" s="10"/>
    </row>
    <row r="602" spans="1:19" x14ac:dyDescent="0.25">
      <c r="A602" s="10"/>
      <c r="B602" s="10"/>
      <c r="C602" s="10"/>
      <c r="D602" s="10"/>
      <c r="E602" s="10"/>
      <c r="F602" s="10"/>
      <c r="G602" s="10"/>
      <c r="H602" s="770"/>
      <c r="I602" s="10"/>
      <c r="J602" s="10"/>
      <c r="K602" s="10"/>
      <c r="L602" s="10"/>
      <c r="M602" s="770"/>
      <c r="N602" s="10"/>
      <c r="O602" s="10"/>
      <c r="P602" s="10"/>
      <c r="Q602" s="10"/>
      <c r="R602" s="10"/>
      <c r="S602" s="10"/>
    </row>
    <row r="603" spans="1:19" x14ac:dyDescent="0.25">
      <c r="A603" s="10"/>
      <c r="B603" s="10"/>
      <c r="C603" s="10"/>
      <c r="D603" s="10"/>
      <c r="E603" s="10"/>
      <c r="F603" s="10"/>
      <c r="G603" s="10"/>
      <c r="H603" s="770"/>
      <c r="I603" s="10"/>
      <c r="J603" s="10"/>
      <c r="K603" s="10"/>
      <c r="L603" s="10"/>
      <c r="M603" s="770"/>
      <c r="N603" s="10"/>
      <c r="O603" s="10"/>
      <c r="P603" s="10"/>
      <c r="Q603" s="10"/>
      <c r="R603" s="10"/>
      <c r="S603" s="10"/>
    </row>
    <row r="604" spans="1:19" x14ac:dyDescent="0.25">
      <c r="A604" s="10"/>
      <c r="B604" s="10"/>
      <c r="C604" s="10"/>
      <c r="D604" s="10"/>
      <c r="E604" s="10"/>
      <c r="F604" s="10"/>
      <c r="G604" s="10"/>
      <c r="H604" s="770"/>
      <c r="I604" s="10"/>
      <c r="J604" s="10"/>
      <c r="K604" s="10"/>
      <c r="L604" s="10"/>
      <c r="M604" s="770"/>
      <c r="N604" s="10"/>
      <c r="O604" s="10"/>
      <c r="P604" s="10"/>
      <c r="Q604" s="10"/>
      <c r="R604" s="10"/>
      <c r="S604" s="10"/>
    </row>
    <row r="605" spans="1:19" x14ac:dyDescent="0.25">
      <c r="A605" s="10"/>
      <c r="B605" s="10"/>
      <c r="C605" s="10"/>
      <c r="D605" s="10"/>
      <c r="E605" s="10"/>
      <c r="F605" s="10"/>
      <c r="G605" s="10"/>
      <c r="H605" s="770"/>
      <c r="I605" s="10"/>
      <c r="J605" s="10"/>
      <c r="K605" s="10"/>
      <c r="L605" s="10"/>
      <c r="M605" s="770"/>
      <c r="N605" s="10"/>
      <c r="O605" s="10"/>
      <c r="P605" s="10"/>
      <c r="Q605" s="10"/>
      <c r="R605" s="10"/>
      <c r="S605" s="10"/>
    </row>
    <row r="606" spans="1:19" x14ac:dyDescent="0.25">
      <c r="A606" s="10"/>
      <c r="B606" s="10"/>
      <c r="C606" s="10"/>
      <c r="D606" s="10"/>
      <c r="E606" s="10"/>
      <c r="F606" s="10"/>
      <c r="G606" s="10"/>
      <c r="H606" s="770"/>
      <c r="I606" s="10"/>
      <c r="J606" s="10"/>
      <c r="K606" s="10"/>
      <c r="L606" s="10"/>
      <c r="M606" s="770"/>
      <c r="N606" s="10"/>
      <c r="O606" s="10"/>
      <c r="P606" s="10"/>
      <c r="Q606" s="10"/>
      <c r="R606" s="10"/>
      <c r="S606" s="10"/>
    </row>
    <row r="607" spans="1:19" x14ac:dyDescent="0.25">
      <c r="A607" s="10"/>
      <c r="B607" s="10"/>
      <c r="C607" s="10"/>
      <c r="D607" s="10"/>
      <c r="E607" s="10"/>
      <c r="F607" s="10"/>
      <c r="G607" s="10"/>
      <c r="H607" s="770"/>
      <c r="I607" s="10"/>
      <c r="J607" s="10"/>
      <c r="K607" s="10"/>
      <c r="L607" s="10"/>
      <c r="M607" s="770"/>
      <c r="N607" s="10"/>
      <c r="O607" s="10"/>
      <c r="P607" s="10"/>
      <c r="Q607" s="10"/>
      <c r="R607" s="10"/>
      <c r="S607" s="10"/>
    </row>
    <row r="608" spans="1:19" x14ac:dyDescent="0.25">
      <c r="A608" s="10"/>
      <c r="B608" s="10"/>
      <c r="C608" s="10"/>
      <c r="D608" s="10"/>
      <c r="E608" s="10"/>
      <c r="F608" s="10"/>
      <c r="G608" s="10"/>
      <c r="H608" s="770"/>
      <c r="I608" s="10"/>
      <c r="J608" s="10"/>
      <c r="K608" s="10"/>
      <c r="L608" s="10"/>
      <c r="M608" s="770"/>
      <c r="N608" s="10"/>
      <c r="O608" s="10"/>
      <c r="P608" s="10"/>
      <c r="Q608" s="10"/>
      <c r="R608" s="10"/>
      <c r="S608" s="10"/>
    </row>
    <row r="609" spans="1:19" x14ac:dyDescent="0.25">
      <c r="A609" s="10"/>
      <c r="B609" s="10"/>
      <c r="C609" s="10"/>
      <c r="D609" s="10"/>
      <c r="E609" s="10"/>
      <c r="F609" s="10"/>
      <c r="G609" s="10"/>
      <c r="H609" s="770"/>
      <c r="I609" s="10"/>
      <c r="J609" s="10"/>
      <c r="K609" s="10"/>
      <c r="L609" s="10"/>
      <c r="M609" s="770"/>
      <c r="N609" s="10"/>
      <c r="O609" s="10"/>
      <c r="P609" s="10"/>
      <c r="Q609" s="10"/>
      <c r="R609" s="10"/>
      <c r="S609" s="10"/>
    </row>
    <row r="610" spans="1:19" x14ac:dyDescent="0.25">
      <c r="A610" s="10"/>
      <c r="B610" s="10"/>
      <c r="C610" s="10"/>
      <c r="D610" s="10"/>
      <c r="E610" s="10"/>
      <c r="F610" s="10"/>
      <c r="G610" s="10"/>
      <c r="H610" s="770"/>
      <c r="I610" s="10"/>
      <c r="J610" s="10"/>
      <c r="K610" s="10"/>
      <c r="L610" s="10"/>
      <c r="M610" s="770"/>
      <c r="N610" s="10"/>
      <c r="O610" s="10"/>
      <c r="P610" s="10"/>
      <c r="Q610" s="10"/>
      <c r="R610" s="10"/>
      <c r="S610" s="10"/>
    </row>
    <row r="611" spans="1:19" x14ac:dyDescent="0.25">
      <c r="A611" s="10"/>
      <c r="B611" s="10"/>
      <c r="C611" s="10"/>
      <c r="D611" s="10"/>
      <c r="E611" s="10"/>
      <c r="F611" s="10"/>
      <c r="G611" s="10"/>
      <c r="H611" s="770"/>
      <c r="I611" s="10"/>
      <c r="J611" s="10"/>
      <c r="K611" s="10"/>
      <c r="L611" s="10"/>
      <c r="M611" s="770"/>
      <c r="N611" s="10"/>
      <c r="O611" s="10"/>
      <c r="P611" s="10"/>
      <c r="Q611" s="10"/>
      <c r="R611" s="10"/>
      <c r="S611" s="10"/>
    </row>
    <row r="612" spans="1:19" x14ac:dyDescent="0.25">
      <c r="A612" s="10"/>
      <c r="B612" s="10"/>
      <c r="C612" s="10"/>
      <c r="D612" s="10"/>
      <c r="E612" s="10"/>
      <c r="F612" s="10"/>
      <c r="G612" s="10"/>
      <c r="H612" s="770"/>
      <c r="I612" s="10"/>
      <c r="J612" s="10"/>
      <c r="K612" s="10"/>
      <c r="L612" s="10"/>
      <c r="M612" s="770"/>
      <c r="N612" s="10"/>
      <c r="O612" s="10"/>
      <c r="P612" s="10"/>
      <c r="Q612" s="10"/>
      <c r="R612" s="10"/>
      <c r="S612" s="10"/>
    </row>
    <row r="613" spans="1:19" x14ac:dyDescent="0.25">
      <c r="A613" s="10"/>
      <c r="B613" s="10"/>
      <c r="C613" s="10"/>
      <c r="D613" s="10"/>
      <c r="E613" s="10"/>
      <c r="F613" s="10"/>
      <c r="G613" s="10"/>
      <c r="H613" s="770"/>
      <c r="I613" s="10"/>
      <c r="J613" s="10"/>
      <c r="K613" s="10"/>
      <c r="L613" s="10"/>
      <c r="M613" s="770"/>
      <c r="N613" s="10"/>
      <c r="O613" s="10"/>
      <c r="P613" s="10"/>
      <c r="Q613" s="10"/>
      <c r="R613" s="10"/>
      <c r="S613" s="10"/>
    </row>
    <row r="614" spans="1:19" x14ac:dyDescent="0.25">
      <c r="A614" s="10"/>
      <c r="B614" s="10"/>
      <c r="C614" s="10"/>
      <c r="D614" s="10"/>
      <c r="E614" s="10"/>
      <c r="F614" s="10"/>
      <c r="G614" s="10"/>
      <c r="H614" s="770"/>
      <c r="I614" s="10"/>
      <c r="J614" s="10"/>
      <c r="K614" s="10"/>
      <c r="L614" s="10"/>
      <c r="M614" s="770"/>
      <c r="N614" s="10"/>
      <c r="O614" s="10"/>
      <c r="P614" s="10"/>
      <c r="Q614" s="10"/>
      <c r="R614" s="10"/>
      <c r="S614" s="10"/>
    </row>
    <row r="615" spans="1:19" x14ac:dyDescent="0.25">
      <c r="A615" s="10"/>
      <c r="B615" s="10"/>
      <c r="C615" s="10"/>
      <c r="D615" s="10"/>
      <c r="E615" s="10"/>
      <c r="F615" s="10"/>
      <c r="G615" s="10"/>
      <c r="H615" s="770"/>
      <c r="I615" s="10"/>
      <c r="J615" s="10"/>
      <c r="K615" s="10"/>
      <c r="L615" s="10"/>
      <c r="M615" s="770"/>
      <c r="N615" s="10"/>
      <c r="O615" s="10"/>
      <c r="P615" s="10"/>
      <c r="Q615" s="10"/>
      <c r="R615" s="10"/>
      <c r="S615" s="10"/>
    </row>
    <row r="616" spans="1:19" x14ac:dyDescent="0.25">
      <c r="A616" s="10"/>
      <c r="B616" s="10"/>
      <c r="C616" s="10"/>
      <c r="D616" s="10"/>
      <c r="E616" s="10"/>
      <c r="F616" s="10"/>
      <c r="G616" s="10"/>
      <c r="H616" s="770"/>
      <c r="I616" s="10"/>
      <c r="J616" s="10"/>
      <c r="K616" s="10"/>
      <c r="L616" s="10"/>
      <c r="M616" s="770"/>
      <c r="N616" s="10"/>
      <c r="O616" s="10"/>
      <c r="P616" s="10"/>
      <c r="Q616" s="10"/>
      <c r="R616" s="10"/>
      <c r="S616" s="10"/>
    </row>
    <row r="617" spans="1:19" x14ac:dyDescent="0.25">
      <c r="A617" s="10"/>
      <c r="B617" s="10"/>
      <c r="C617" s="10"/>
      <c r="D617" s="10"/>
      <c r="E617" s="10"/>
      <c r="F617" s="10"/>
      <c r="G617" s="10"/>
      <c r="H617" s="770"/>
      <c r="I617" s="10"/>
      <c r="J617" s="10"/>
      <c r="K617" s="10"/>
      <c r="L617" s="10"/>
      <c r="M617" s="770"/>
      <c r="N617" s="10"/>
      <c r="O617" s="10"/>
      <c r="P617" s="10"/>
      <c r="Q617" s="10"/>
      <c r="R617" s="10"/>
      <c r="S617" s="10"/>
    </row>
    <row r="618" spans="1:19" x14ac:dyDescent="0.25">
      <c r="A618" s="10"/>
      <c r="B618" s="10"/>
      <c r="C618" s="10"/>
      <c r="D618" s="10"/>
      <c r="E618" s="10"/>
      <c r="F618" s="10"/>
      <c r="G618" s="10"/>
      <c r="H618" s="770"/>
      <c r="I618" s="10"/>
      <c r="J618" s="10"/>
      <c r="K618" s="10"/>
      <c r="L618" s="10"/>
      <c r="M618" s="770"/>
      <c r="N618" s="10"/>
      <c r="O618" s="10"/>
      <c r="P618" s="10"/>
      <c r="Q618" s="10"/>
      <c r="R618" s="10"/>
      <c r="S618" s="10"/>
    </row>
    <row r="619" spans="1:19" x14ac:dyDescent="0.25">
      <c r="A619" s="10"/>
      <c r="B619" s="10"/>
      <c r="C619" s="10"/>
      <c r="D619" s="10"/>
      <c r="E619" s="10"/>
      <c r="F619" s="10"/>
      <c r="G619" s="10"/>
      <c r="H619" s="770"/>
      <c r="I619" s="10"/>
      <c r="J619" s="10"/>
      <c r="K619" s="10"/>
      <c r="L619" s="10"/>
      <c r="M619" s="770"/>
      <c r="N619" s="10"/>
      <c r="O619" s="10"/>
      <c r="P619" s="10"/>
      <c r="Q619" s="10"/>
      <c r="R619" s="10"/>
      <c r="S619" s="10"/>
    </row>
    <row r="620" spans="1:19" x14ac:dyDescent="0.25">
      <c r="A620" s="10"/>
      <c r="B620" s="10"/>
      <c r="C620" s="10"/>
      <c r="D620" s="10"/>
      <c r="E620" s="10"/>
      <c r="F620" s="10"/>
      <c r="G620" s="10"/>
      <c r="H620" s="770"/>
      <c r="I620" s="10"/>
      <c r="J620" s="10"/>
      <c r="K620" s="10"/>
      <c r="L620" s="10"/>
      <c r="M620" s="770"/>
      <c r="N620" s="10"/>
      <c r="O620" s="10"/>
      <c r="P620" s="10"/>
      <c r="Q620" s="10"/>
      <c r="R620" s="10"/>
      <c r="S620" s="10"/>
    </row>
    <row r="621" spans="1:19" x14ac:dyDescent="0.25">
      <c r="A621" s="10"/>
      <c r="B621" s="10"/>
      <c r="C621" s="10"/>
      <c r="D621" s="10"/>
      <c r="E621" s="10"/>
      <c r="F621" s="10"/>
      <c r="G621" s="10"/>
      <c r="H621" s="770"/>
      <c r="I621" s="10"/>
      <c r="J621" s="10"/>
      <c r="K621" s="10"/>
      <c r="L621" s="10"/>
      <c r="M621" s="770"/>
      <c r="N621" s="10"/>
      <c r="O621" s="10"/>
      <c r="P621" s="10"/>
      <c r="Q621" s="10"/>
      <c r="R621" s="10"/>
      <c r="S621" s="10"/>
    </row>
    <row r="622" spans="1:19" x14ac:dyDescent="0.25">
      <c r="A622" s="10"/>
      <c r="B622" s="10"/>
      <c r="C622" s="10"/>
      <c r="D622" s="10"/>
      <c r="E622" s="10"/>
      <c r="F622" s="10"/>
      <c r="G622" s="10"/>
      <c r="H622" s="770"/>
      <c r="I622" s="10"/>
      <c r="J622" s="10"/>
      <c r="K622" s="10"/>
      <c r="L622" s="10"/>
      <c r="M622" s="770"/>
      <c r="N622" s="10"/>
      <c r="O622" s="10"/>
      <c r="P622" s="10"/>
      <c r="Q622" s="10"/>
      <c r="R622" s="10"/>
      <c r="S622" s="10"/>
    </row>
    <row r="623" spans="1:19" x14ac:dyDescent="0.25">
      <c r="A623" s="10"/>
      <c r="B623" s="10"/>
      <c r="C623" s="10"/>
      <c r="D623" s="10"/>
      <c r="E623" s="10"/>
      <c r="F623" s="10"/>
      <c r="G623" s="10"/>
      <c r="H623" s="770"/>
      <c r="I623" s="10"/>
      <c r="J623" s="10"/>
      <c r="K623" s="10"/>
      <c r="L623" s="10"/>
      <c r="M623" s="770"/>
      <c r="N623" s="10"/>
      <c r="O623" s="10"/>
      <c r="P623" s="10"/>
      <c r="Q623" s="10"/>
      <c r="R623" s="10"/>
      <c r="S623" s="10"/>
    </row>
    <row r="624" spans="1:19" x14ac:dyDescent="0.25">
      <c r="A624" s="10"/>
      <c r="B624" s="10"/>
      <c r="C624" s="10"/>
      <c r="D624" s="10"/>
      <c r="E624" s="10"/>
      <c r="F624" s="10"/>
      <c r="G624" s="10"/>
      <c r="H624" s="770"/>
      <c r="I624" s="10"/>
      <c r="J624" s="10"/>
      <c r="K624" s="10"/>
      <c r="L624" s="10"/>
      <c r="M624" s="770"/>
      <c r="N624" s="10"/>
      <c r="O624" s="10"/>
      <c r="P624" s="10"/>
      <c r="Q624" s="10"/>
      <c r="R624" s="10"/>
      <c r="S624" s="10"/>
    </row>
    <row r="625" spans="1:19" x14ac:dyDescent="0.25">
      <c r="A625" s="10"/>
      <c r="B625" s="10"/>
      <c r="C625" s="10"/>
      <c r="D625" s="10"/>
      <c r="E625" s="10"/>
      <c r="F625" s="10"/>
      <c r="G625" s="10"/>
      <c r="H625" s="770"/>
      <c r="I625" s="10"/>
      <c r="J625" s="10"/>
      <c r="K625" s="10"/>
      <c r="L625" s="10"/>
      <c r="M625" s="770"/>
      <c r="N625" s="10"/>
      <c r="O625" s="10"/>
      <c r="P625" s="10"/>
      <c r="Q625" s="10"/>
      <c r="R625" s="10"/>
      <c r="S625" s="10"/>
    </row>
    <row r="626" spans="1:19" x14ac:dyDescent="0.25">
      <c r="A626" s="10"/>
      <c r="B626" s="10"/>
      <c r="C626" s="10"/>
      <c r="D626" s="10"/>
      <c r="E626" s="10"/>
      <c r="F626" s="10"/>
      <c r="G626" s="10"/>
      <c r="H626" s="770"/>
      <c r="I626" s="10"/>
      <c r="J626" s="10"/>
      <c r="K626" s="10"/>
      <c r="L626" s="10"/>
      <c r="M626" s="770"/>
      <c r="N626" s="10"/>
      <c r="O626" s="10"/>
      <c r="P626" s="10"/>
      <c r="Q626" s="10"/>
      <c r="R626" s="10"/>
      <c r="S626" s="10"/>
    </row>
    <row r="627" spans="1:19" x14ac:dyDescent="0.25">
      <c r="A627" s="10"/>
      <c r="B627" s="10"/>
      <c r="C627" s="10"/>
      <c r="D627" s="10"/>
      <c r="E627" s="10"/>
      <c r="F627" s="10"/>
      <c r="G627" s="10"/>
      <c r="H627" s="770"/>
      <c r="I627" s="10"/>
      <c r="J627" s="10"/>
      <c r="K627" s="10"/>
      <c r="L627" s="10"/>
      <c r="M627" s="770"/>
      <c r="N627" s="10"/>
      <c r="O627" s="10"/>
      <c r="P627" s="10"/>
      <c r="Q627" s="10"/>
      <c r="R627" s="10"/>
      <c r="S627" s="10"/>
    </row>
    <row r="628" spans="1:19" x14ac:dyDescent="0.25">
      <c r="A628" s="10"/>
      <c r="B628" s="10"/>
      <c r="C628" s="10"/>
      <c r="D628" s="10"/>
      <c r="E628" s="10"/>
      <c r="F628" s="10"/>
      <c r="G628" s="10"/>
      <c r="H628" s="770"/>
      <c r="I628" s="10"/>
      <c r="J628" s="10"/>
      <c r="K628" s="10"/>
      <c r="L628" s="10"/>
      <c r="M628" s="770"/>
      <c r="N628" s="10"/>
      <c r="O628" s="10"/>
      <c r="P628" s="10"/>
      <c r="Q628" s="10"/>
      <c r="R628" s="10"/>
      <c r="S628" s="10"/>
    </row>
    <row r="629" spans="1:19" x14ac:dyDescent="0.25">
      <c r="A629" s="10"/>
      <c r="B629" s="10"/>
      <c r="C629" s="10"/>
      <c r="D629" s="10"/>
      <c r="E629" s="10"/>
      <c r="F629" s="10"/>
      <c r="G629" s="10"/>
      <c r="H629" s="770"/>
      <c r="I629" s="10"/>
      <c r="J629" s="10"/>
      <c r="K629" s="10"/>
      <c r="L629" s="10"/>
      <c r="M629" s="770"/>
      <c r="N629" s="10"/>
      <c r="O629" s="10"/>
      <c r="P629" s="10"/>
      <c r="Q629" s="10"/>
      <c r="R629" s="10"/>
      <c r="S629" s="10"/>
    </row>
    <row r="630" spans="1:19" x14ac:dyDescent="0.25">
      <c r="A630" s="10"/>
      <c r="B630" s="10"/>
      <c r="C630" s="10"/>
      <c r="D630" s="10"/>
      <c r="E630" s="10"/>
      <c r="F630" s="10"/>
      <c r="G630" s="10"/>
      <c r="H630" s="770"/>
      <c r="I630" s="10"/>
      <c r="J630" s="10"/>
      <c r="K630" s="10"/>
      <c r="L630" s="10"/>
      <c r="M630" s="770"/>
      <c r="N630" s="10"/>
      <c r="O630" s="10"/>
      <c r="P630" s="10"/>
      <c r="Q630" s="10"/>
      <c r="R630" s="10"/>
      <c r="S630" s="10"/>
    </row>
    <row r="631" spans="1:19" x14ac:dyDescent="0.25">
      <c r="A631" s="10"/>
      <c r="B631" s="10"/>
      <c r="C631" s="10"/>
      <c r="D631" s="10"/>
      <c r="E631" s="10"/>
      <c r="F631" s="10"/>
      <c r="G631" s="10"/>
      <c r="H631" s="770"/>
      <c r="I631" s="10"/>
      <c r="J631" s="10"/>
      <c r="K631" s="10"/>
      <c r="L631" s="10"/>
      <c r="M631" s="770"/>
      <c r="N631" s="10"/>
      <c r="O631" s="10"/>
      <c r="P631" s="10"/>
      <c r="Q631" s="10"/>
      <c r="R631" s="10"/>
      <c r="S631" s="10"/>
    </row>
    <row r="632" spans="1:19" x14ac:dyDescent="0.25">
      <c r="A632" s="10"/>
      <c r="B632" s="10"/>
      <c r="C632" s="10"/>
      <c r="D632" s="10"/>
      <c r="E632" s="10"/>
      <c r="F632" s="10"/>
      <c r="G632" s="10"/>
      <c r="H632" s="770"/>
      <c r="I632" s="10"/>
      <c r="J632" s="10"/>
      <c r="K632" s="10"/>
      <c r="L632" s="10"/>
      <c r="M632" s="770"/>
      <c r="N632" s="10"/>
      <c r="O632" s="10"/>
      <c r="P632" s="10"/>
      <c r="Q632" s="10"/>
      <c r="R632" s="10"/>
      <c r="S632" s="10"/>
    </row>
    <row r="633" spans="1:19" x14ac:dyDescent="0.25">
      <c r="A633" s="10"/>
      <c r="B633" s="10"/>
      <c r="C633" s="10"/>
      <c r="D633" s="10"/>
      <c r="E633" s="10"/>
      <c r="F633" s="10"/>
      <c r="G633" s="10"/>
      <c r="H633" s="770"/>
      <c r="I633" s="10"/>
      <c r="J633" s="10"/>
      <c r="K633" s="10"/>
      <c r="L633" s="10"/>
      <c r="M633" s="770"/>
      <c r="N633" s="10"/>
      <c r="O633" s="10"/>
      <c r="P633" s="10"/>
      <c r="Q633" s="10"/>
      <c r="R633" s="10"/>
      <c r="S633" s="10"/>
    </row>
    <row r="634" spans="1:19" x14ac:dyDescent="0.25">
      <c r="A634" s="10"/>
      <c r="B634" s="10"/>
      <c r="C634" s="10"/>
      <c r="D634" s="10"/>
      <c r="E634" s="10"/>
      <c r="F634" s="10"/>
      <c r="G634" s="10"/>
      <c r="H634" s="770"/>
      <c r="I634" s="10"/>
      <c r="J634" s="10"/>
      <c r="K634" s="10"/>
      <c r="L634" s="10"/>
      <c r="M634" s="770"/>
      <c r="N634" s="10"/>
      <c r="O634" s="10"/>
      <c r="P634" s="10"/>
      <c r="Q634" s="10"/>
      <c r="R634" s="10"/>
      <c r="S634" s="10"/>
    </row>
    <row r="635" spans="1:19" x14ac:dyDescent="0.25">
      <c r="A635" s="10"/>
      <c r="B635" s="10"/>
      <c r="C635" s="10"/>
      <c r="D635" s="10"/>
      <c r="E635" s="10"/>
      <c r="F635" s="10"/>
      <c r="G635" s="10"/>
      <c r="H635" s="770"/>
      <c r="I635" s="10"/>
      <c r="J635" s="10"/>
      <c r="K635" s="10"/>
      <c r="L635" s="10"/>
      <c r="M635" s="770"/>
      <c r="N635" s="10"/>
      <c r="O635" s="10"/>
      <c r="P635" s="10"/>
      <c r="Q635" s="10"/>
      <c r="R635" s="10"/>
      <c r="S635" s="10"/>
    </row>
    <row r="636" spans="1:19" x14ac:dyDescent="0.25">
      <c r="A636" s="10"/>
      <c r="B636" s="10"/>
      <c r="C636" s="10"/>
      <c r="D636" s="10"/>
      <c r="E636" s="10"/>
      <c r="F636" s="10"/>
      <c r="G636" s="10"/>
      <c r="H636" s="770"/>
      <c r="I636" s="10"/>
      <c r="J636" s="10"/>
      <c r="K636" s="10"/>
      <c r="L636" s="10"/>
      <c r="M636" s="770"/>
      <c r="N636" s="10"/>
      <c r="O636" s="10"/>
      <c r="P636" s="10"/>
      <c r="Q636" s="10"/>
      <c r="R636" s="10"/>
      <c r="S636" s="10"/>
    </row>
    <row r="637" spans="1:19" x14ac:dyDescent="0.25">
      <c r="A637" s="10"/>
      <c r="B637" s="10"/>
      <c r="C637" s="10"/>
      <c r="D637" s="10"/>
      <c r="E637" s="10"/>
      <c r="F637" s="10"/>
      <c r="G637" s="10"/>
      <c r="H637" s="770"/>
      <c r="I637" s="10"/>
      <c r="J637" s="10"/>
      <c r="K637" s="10"/>
      <c r="L637" s="10"/>
      <c r="M637" s="770"/>
      <c r="N637" s="10"/>
      <c r="O637" s="10"/>
      <c r="P637" s="10"/>
      <c r="Q637" s="10"/>
      <c r="R637" s="10"/>
      <c r="S637" s="10"/>
    </row>
    <row r="638" spans="1:19" x14ac:dyDescent="0.25">
      <c r="A638" s="10"/>
      <c r="B638" s="10"/>
      <c r="C638" s="10"/>
      <c r="D638" s="10"/>
      <c r="E638" s="10"/>
      <c r="F638" s="10"/>
      <c r="G638" s="10"/>
      <c r="H638" s="770"/>
      <c r="I638" s="10"/>
      <c r="J638" s="10"/>
      <c r="K638" s="10"/>
      <c r="L638" s="10"/>
      <c r="M638" s="770"/>
      <c r="N638" s="10"/>
      <c r="O638" s="10"/>
      <c r="P638" s="10"/>
      <c r="Q638" s="10"/>
      <c r="R638" s="10"/>
      <c r="S638" s="10"/>
    </row>
    <row r="639" spans="1:19" x14ac:dyDescent="0.25">
      <c r="A639" s="10"/>
      <c r="B639" s="10"/>
      <c r="C639" s="10"/>
      <c r="D639" s="10"/>
      <c r="E639" s="10"/>
      <c r="F639" s="10"/>
      <c r="G639" s="10"/>
      <c r="H639" s="770"/>
      <c r="I639" s="10"/>
      <c r="J639" s="10"/>
      <c r="K639" s="10"/>
      <c r="L639" s="10"/>
      <c r="M639" s="770"/>
      <c r="N639" s="10"/>
      <c r="O639" s="10"/>
      <c r="P639" s="10"/>
      <c r="Q639" s="10"/>
      <c r="R639" s="10"/>
      <c r="S639" s="10"/>
    </row>
    <row r="640" spans="1:19" x14ac:dyDescent="0.25">
      <c r="A640" s="10"/>
      <c r="B640" s="10"/>
      <c r="C640" s="10"/>
      <c r="D640" s="10"/>
      <c r="E640" s="10"/>
      <c r="F640" s="10"/>
      <c r="G640" s="10"/>
      <c r="H640" s="770"/>
      <c r="I640" s="10"/>
      <c r="J640" s="10"/>
      <c r="K640" s="10"/>
      <c r="L640" s="10"/>
      <c r="M640" s="770"/>
      <c r="N640" s="10"/>
      <c r="O640" s="10"/>
      <c r="P640" s="10"/>
      <c r="Q640" s="10"/>
      <c r="R640" s="10"/>
      <c r="S640" s="10"/>
    </row>
    <row r="641" spans="1:19" x14ac:dyDescent="0.25">
      <c r="A641" s="10"/>
      <c r="B641" s="10"/>
      <c r="C641" s="10"/>
      <c r="D641" s="10"/>
      <c r="E641" s="10"/>
      <c r="F641" s="10"/>
      <c r="G641" s="10"/>
      <c r="H641" s="770"/>
      <c r="I641" s="10"/>
      <c r="J641" s="10"/>
      <c r="K641" s="10"/>
      <c r="L641" s="10"/>
      <c r="M641" s="770"/>
      <c r="N641" s="10"/>
      <c r="O641" s="10"/>
      <c r="P641" s="10"/>
      <c r="Q641" s="10"/>
      <c r="R641" s="10"/>
      <c r="S641" s="10"/>
    </row>
    <row r="642" spans="1:19" x14ac:dyDescent="0.25">
      <c r="A642" s="10"/>
      <c r="B642" s="10"/>
      <c r="C642" s="10"/>
      <c r="D642" s="10"/>
      <c r="E642" s="10"/>
      <c r="F642" s="10"/>
      <c r="G642" s="10"/>
      <c r="H642" s="770"/>
      <c r="I642" s="10"/>
      <c r="J642" s="10"/>
      <c r="K642" s="10"/>
      <c r="L642" s="10"/>
      <c r="M642" s="770"/>
      <c r="N642" s="10"/>
      <c r="O642" s="10"/>
      <c r="P642" s="10"/>
      <c r="Q642" s="10"/>
      <c r="R642" s="10"/>
      <c r="S642" s="10"/>
    </row>
    <row r="643" spans="1:19" x14ac:dyDescent="0.25">
      <c r="A643" s="10"/>
      <c r="B643" s="10"/>
      <c r="C643" s="10"/>
      <c r="D643" s="10"/>
      <c r="E643" s="10"/>
      <c r="F643" s="10"/>
      <c r="G643" s="10"/>
      <c r="H643" s="770"/>
      <c r="I643" s="10"/>
      <c r="J643" s="10"/>
      <c r="K643" s="10"/>
      <c r="L643" s="10"/>
      <c r="M643" s="770"/>
      <c r="N643" s="10"/>
      <c r="O643" s="10"/>
      <c r="P643" s="10"/>
      <c r="Q643" s="10"/>
      <c r="R643" s="10"/>
      <c r="S643" s="10"/>
    </row>
    <row r="644" spans="1:19" x14ac:dyDescent="0.25">
      <c r="A644" s="10"/>
      <c r="B644" s="10"/>
      <c r="C644" s="10"/>
      <c r="D644" s="10"/>
      <c r="E644" s="10"/>
      <c r="F644" s="10"/>
      <c r="G644" s="10"/>
      <c r="H644" s="770"/>
      <c r="I644" s="10"/>
      <c r="J644" s="10"/>
      <c r="K644" s="10"/>
      <c r="L644" s="10"/>
      <c r="M644" s="770"/>
      <c r="N644" s="10"/>
      <c r="O644" s="10"/>
      <c r="P644" s="10"/>
      <c r="Q644" s="10"/>
      <c r="R644" s="10"/>
      <c r="S644" s="10"/>
    </row>
    <row r="645" spans="1:19" x14ac:dyDescent="0.25">
      <c r="A645" s="10"/>
      <c r="B645" s="10"/>
      <c r="C645" s="10"/>
      <c r="D645" s="10"/>
      <c r="E645" s="10"/>
      <c r="F645" s="10"/>
      <c r="G645" s="10"/>
      <c r="H645" s="770"/>
      <c r="I645" s="10"/>
      <c r="J645" s="10"/>
      <c r="K645" s="10"/>
      <c r="L645" s="10"/>
      <c r="M645" s="770"/>
      <c r="N645" s="10"/>
      <c r="O645" s="10"/>
      <c r="P645" s="10"/>
      <c r="Q645" s="10"/>
      <c r="R645" s="10"/>
      <c r="S645" s="10"/>
    </row>
    <row r="646" spans="1:19" x14ac:dyDescent="0.25">
      <c r="A646" s="10"/>
      <c r="B646" s="10"/>
      <c r="C646" s="10"/>
      <c r="D646" s="10"/>
      <c r="E646" s="10"/>
      <c r="F646" s="10"/>
      <c r="G646" s="10"/>
      <c r="H646" s="770"/>
      <c r="I646" s="10"/>
      <c r="J646" s="10"/>
      <c r="K646" s="10"/>
      <c r="L646" s="10"/>
      <c r="M646" s="770"/>
      <c r="N646" s="10"/>
      <c r="O646" s="10"/>
      <c r="P646" s="10"/>
      <c r="Q646" s="10"/>
      <c r="R646" s="10"/>
      <c r="S646" s="10"/>
    </row>
    <row r="647" spans="1:19" x14ac:dyDescent="0.25">
      <c r="A647" s="10"/>
      <c r="B647" s="10"/>
      <c r="C647" s="10"/>
      <c r="D647" s="10"/>
      <c r="E647" s="10"/>
      <c r="F647" s="10"/>
      <c r="G647" s="10"/>
      <c r="H647" s="770"/>
      <c r="I647" s="10"/>
      <c r="J647" s="10"/>
      <c r="K647" s="10"/>
      <c r="L647" s="10"/>
      <c r="M647" s="770"/>
      <c r="N647" s="10"/>
      <c r="O647" s="10"/>
      <c r="P647" s="10"/>
      <c r="Q647" s="10"/>
      <c r="R647" s="10"/>
      <c r="S647" s="10"/>
    </row>
    <row r="648" spans="1:19" x14ac:dyDescent="0.25">
      <c r="A648" s="10"/>
      <c r="B648" s="10"/>
      <c r="C648" s="10"/>
      <c r="D648" s="10"/>
      <c r="E648" s="10"/>
      <c r="F648" s="10"/>
      <c r="G648" s="10"/>
      <c r="H648" s="770"/>
      <c r="I648" s="10"/>
      <c r="J648" s="10"/>
      <c r="K648" s="10"/>
      <c r="L648" s="10"/>
      <c r="M648" s="770"/>
      <c r="N648" s="10"/>
      <c r="O648" s="10"/>
      <c r="P648" s="10"/>
      <c r="Q648" s="10"/>
      <c r="R648" s="10"/>
      <c r="S648" s="10"/>
    </row>
    <row r="649" spans="1:19" x14ac:dyDescent="0.25">
      <c r="A649" s="10"/>
      <c r="B649" s="10"/>
      <c r="C649" s="10"/>
      <c r="D649" s="10"/>
      <c r="E649" s="10"/>
      <c r="F649" s="10"/>
      <c r="G649" s="10"/>
      <c r="H649" s="770"/>
      <c r="I649" s="10"/>
      <c r="J649" s="10"/>
      <c r="K649" s="10"/>
      <c r="L649" s="10"/>
      <c r="M649" s="770"/>
      <c r="N649" s="10"/>
      <c r="O649" s="10"/>
      <c r="P649" s="10"/>
      <c r="Q649" s="10"/>
      <c r="R649" s="10"/>
      <c r="S649" s="10"/>
    </row>
    <row r="650" spans="1:19" x14ac:dyDescent="0.25">
      <c r="A650" s="10"/>
      <c r="B650" s="10"/>
      <c r="C650" s="10"/>
      <c r="D650" s="10"/>
      <c r="E650" s="10"/>
      <c r="F650" s="10"/>
      <c r="G650" s="10"/>
      <c r="H650" s="770"/>
      <c r="I650" s="10"/>
      <c r="J650" s="10"/>
      <c r="K650" s="10"/>
      <c r="L650" s="10"/>
      <c r="M650" s="770"/>
      <c r="N650" s="10"/>
      <c r="O650" s="10"/>
      <c r="P650" s="10"/>
      <c r="Q650" s="10"/>
      <c r="R650" s="10"/>
      <c r="S650" s="10"/>
    </row>
    <row r="651" spans="1:19" x14ac:dyDescent="0.25">
      <c r="A651" s="10"/>
      <c r="B651" s="10"/>
      <c r="C651" s="10"/>
      <c r="D651" s="10"/>
      <c r="E651" s="10"/>
      <c r="F651" s="10"/>
      <c r="G651" s="10"/>
      <c r="H651" s="770"/>
      <c r="I651" s="10"/>
      <c r="J651" s="10"/>
      <c r="K651" s="10"/>
      <c r="L651" s="10"/>
      <c r="M651" s="770"/>
      <c r="N651" s="10"/>
      <c r="O651" s="10"/>
      <c r="P651" s="10"/>
      <c r="Q651" s="10"/>
      <c r="R651" s="10"/>
      <c r="S651" s="10"/>
    </row>
    <row r="652" spans="1:19" x14ac:dyDescent="0.25">
      <c r="A652" s="10"/>
      <c r="B652" s="10"/>
      <c r="C652" s="10"/>
      <c r="D652" s="10"/>
      <c r="E652" s="10"/>
      <c r="F652" s="10"/>
      <c r="G652" s="10"/>
      <c r="H652" s="770"/>
      <c r="I652" s="10"/>
      <c r="J652" s="10"/>
      <c r="K652" s="10"/>
      <c r="L652" s="10"/>
      <c r="M652" s="770"/>
      <c r="N652" s="10"/>
      <c r="O652" s="10"/>
      <c r="P652" s="10"/>
      <c r="Q652" s="10"/>
      <c r="R652" s="10"/>
      <c r="S652" s="10"/>
    </row>
    <row r="653" spans="1:19" x14ac:dyDescent="0.25">
      <c r="A653" s="10"/>
      <c r="B653" s="10"/>
      <c r="C653" s="10"/>
      <c r="D653" s="10"/>
      <c r="E653" s="10"/>
      <c r="F653" s="10"/>
      <c r="G653" s="10"/>
      <c r="H653" s="770"/>
      <c r="I653" s="10"/>
      <c r="J653" s="10"/>
      <c r="K653" s="10"/>
      <c r="L653" s="10"/>
      <c r="M653" s="770"/>
      <c r="N653" s="10"/>
      <c r="O653" s="10"/>
      <c r="P653" s="10"/>
      <c r="Q653" s="10"/>
      <c r="R653" s="10"/>
      <c r="S653" s="10"/>
    </row>
    <row r="654" spans="1:19" x14ac:dyDescent="0.25">
      <c r="A654" s="10"/>
      <c r="B654" s="10"/>
      <c r="C654" s="10"/>
      <c r="D654" s="10"/>
      <c r="E654" s="10"/>
      <c r="F654" s="10"/>
      <c r="G654" s="10"/>
      <c r="H654" s="770"/>
      <c r="I654" s="10"/>
      <c r="J654" s="10"/>
      <c r="K654" s="10"/>
      <c r="L654" s="10"/>
      <c r="M654" s="770"/>
      <c r="N654" s="10"/>
      <c r="O654" s="10"/>
      <c r="P654" s="10"/>
      <c r="Q654" s="10"/>
      <c r="R654" s="10"/>
      <c r="S654" s="10"/>
    </row>
    <row r="655" spans="1:19" x14ac:dyDescent="0.25">
      <c r="A655" s="10"/>
      <c r="B655" s="10"/>
      <c r="C655" s="10"/>
      <c r="D655" s="10"/>
      <c r="E655" s="10"/>
      <c r="F655" s="10"/>
      <c r="G655" s="10"/>
      <c r="H655" s="770"/>
      <c r="I655" s="10"/>
      <c r="J655" s="10"/>
      <c r="K655" s="10"/>
      <c r="L655" s="10"/>
      <c r="M655" s="770"/>
      <c r="N655" s="10"/>
      <c r="O655" s="10"/>
      <c r="P655" s="10"/>
      <c r="Q655" s="10"/>
      <c r="R655" s="10"/>
      <c r="S655" s="10"/>
    </row>
    <row r="656" spans="1:19" x14ac:dyDescent="0.25">
      <c r="A656" s="10"/>
      <c r="B656" s="10"/>
      <c r="C656" s="10"/>
      <c r="D656" s="10"/>
      <c r="E656" s="10"/>
      <c r="F656" s="10"/>
      <c r="G656" s="10"/>
      <c r="H656" s="770"/>
      <c r="I656" s="10"/>
      <c r="J656" s="10"/>
      <c r="K656" s="10"/>
      <c r="L656" s="10"/>
      <c r="M656" s="770"/>
      <c r="N656" s="10"/>
      <c r="O656" s="10"/>
      <c r="P656" s="10"/>
      <c r="Q656" s="10"/>
      <c r="R656" s="10"/>
      <c r="S656" s="10"/>
    </row>
    <row r="657" spans="1:19" x14ac:dyDescent="0.25">
      <c r="A657" s="10"/>
      <c r="B657" s="10"/>
      <c r="C657" s="10"/>
      <c r="D657" s="10"/>
      <c r="E657" s="10"/>
      <c r="F657" s="10"/>
      <c r="G657" s="10"/>
      <c r="H657" s="770"/>
      <c r="I657" s="10"/>
      <c r="J657" s="10"/>
      <c r="K657" s="10"/>
      <c r="L657" s="10"/>
      <c r="M657" s="770"/>
      <c r="N657" s="10"/>
      <c r="O657" s="10"/>
      <c r="P657" s="10"/>
      <c r="Q657" s="10"/>
      <c r="R657" s="10"/>
      <c r="S657" s="10"/>
    </row>
    <row r="658" spans="1:19" x14ac:dyDescent="0.25">
      <c r="A658" s="10"/>
      <c r="B658" s="10"/>
      <c r="C658" s="10"/>
      <c r="D658" s="10"/>
      <c r="E658" s="10"/>
      <c r="F658" s="10"/>
      <c r="G658" s="10"/>
      <c r="H658" s="770"/>
      <c r="I658" s="10"/>
      <c r="J658" s="10"/>
      <c r="K658" s="10"/>
      <c r="L658" s="10"/>
      <c r="M658" s="770"/>
      <c r="N658" s="10"/>
      <c r="O658" s="10"/>
      <c r="P658" s="10"/>
      <c r="Q658" s="10"/>
      <c r="R658" s="10"/>
      <c r="S658" s="10"/>
    </row>
    <row r="659" spans="1:19" x14ac:dyDescent="0.25">
      <c r="A659" s="10"/>
      <c r="B659" s="10"/>
      <c r="C659" s="10"/>
      <c r="D659" s="10"/>
      <c r="E659" s="10"/>
      <c r="F659" s="10"/>
      <c r="G659" s="10"/>
      <c r="H659" s="770"/>
      <c r="I659" s="10"/>
      <c r="J659" s="10"/>
      <c r="K659" s="10"/>
      <c r="L659" s="10"/>
      <c r="M659" s="770"/>
      <c r="N659" s="10"/>
      <c r="O659" s="10"/>
      <c r="P659" s="10"/>
      <c r="Q659" s="10"/>
      <c r="R659" s="10"/>
      <c r="S659" s="10"/>
    </row>
    <row r="660" spans="1:19" x14ac:dyDescent="0.25">
      <c r="A660" s="10"/>
      <c r="B660" s="10"/>
      <c r="C660" s="10"/>
      <c r="D660" s="10"/>
      <c r="E660" s="10"/>
      <c r="F660" s="10"/>
      <c r="G660" s="10"/>
      <c r="H660" s="770"/>
      <c r="I660" s="10"/>
      <c r="J660" s="10"/>
      <c r="K660" s="10"/>
      <c r="L660" s="10"/>
      <c r="M660" s="770"/>
      <c r="N660" s="10"/>
      <c r="O660" s="10"/>
      <c r="P660" s="10"/>
      <c r="Q660" s="10"/>
      <c r="R660" s="10"/>
      <c r="S660" s="10"/>
    </row>
    <row r="661" spans="1:19" x14ac:dyDescent="0.25">
      <c r="A661" s="10"/>
      <c r="B661" s="10"/>
      <c r="C661" s="10"/>
      <c r="D661" s="10"/>
      <c r="E661" s="10"/>
      <c r="F661" s="10"/>
      <c r="G661" s="10"/>
      <c r="H661" s="770"/>
      <c r="I661" s="10"/>
      <c r="J661" s="10"/>
      <c r="K661" s="10"/>
      <c r="L661" s="10"/>
      <c r="M661" s="770"/>
      <c r="N661" s="10"/>
      <c r="O661" s="10"/>
      <c r="P661" s="10"/>
      <c r="Q661" s="10"/>
      <c r="R661" s="10"/>
      <c r="S661" s="10"/>
    </row>
    <row r="662" spans="1:19" x14ac:dyDescent="0.25">
      <c r="A662" s="10"/>
      <c r="B662" s="10"/>
      <c r="C662" s="10"/>
      <c r="D662" s="10"/>
      <c r="E662" s="10"/>
      <c r="F662" s="10"/>
      <c r="G662" s="10"/>
      <c r="H662" s="770"/>
      <c r="I662" s="10"/>
      <c r="J662" s="10"/>
      <c r="K662" s="10"/>
      <c r="L662" s="10"/>
      <c r="M662" s="770"/>
      <c r="N662" s="10"/>
      <c r="O662" s="10"/>
      <c r="P662" s="10"/>
      <c r="Q662" s="10"/>
      <c r="R662" s="10"/>
      <c r="S662" s="10"/>
    </row>
    <row r="663" spans="1:19" x14ac:dyDescent="0.25">
      <c r="A663" s="10"/>
      <c r="B663" s="10"/>
      <c r="C663" s="10"/>
      <c r="D663" s="10"/>
      <c r="E663" s="10"/>
      <c r="F663" s="10"/>
      <c r="G663" s="10"/>
      <c r="H663" s="770"/>
      <c r="I663" s="10"/>
      <c r="J663" s="10"/>
      <c r="K663" s="10"/>
      <c r="L663" s="10"/>
      <c r="M663" s="770"/>
      <c r="N663" s="10"/>
      <c r="O663" s="10"/>
      <c r="P663" s="10"/>
      <c r="Q663" s="10"/>
      <c r="R663" s="10"/>
      <c r="S663" s="10"/>
    </row>
    <row r="664" spans="1:19" x14ac:dyDescent="0.25">
      <c r="A664" s="10"/>
      <c r="B664" s="10"/>
      <c r="C664" s="10"/>
      <c r="D664" s="10"/>
      <c r="E664" s="10"/>
      <c r="F664" s="10"/>
      <c r="G664" s="10"/>
      <c r="H664" s="770"/>
      <c r="I664" s="10"/>
      <c r="J664" s="10"/>
      <c r="K664" s="10"/>
      <c r="L664" s="10"/>
      <c r="M664" s="770"/>
      <c r="N664" s="10"/>
      <c r="O664" s="10"/>
      <c r="P664" s="10"/>
      <c r="Q664" s="10"/>
      <c r="R664" s="10"/>
      <c r="S664" s="10"/>
    </row>
    <row r="665" spans="1:19" x14ac:dyDescent="0.25">
      <c r="A665" s="10"/>
      <c r="B665" s="10"/>
      <c r="C665" s="10"/>
      <c r="D665" s="10"/>
      <c r="E665" s="10"/>
      <c r="F665" s="10"/>
      <c r="G665" s="10"/>
      <c r="H665" s="770"/>
      <c r="I665" s="10"/>
      <c r="J665" s="10"/>
      <c r="K665" s="10"/>
      <c r="L665" s="10"/>
      <c r="M665" s="770"/>
      <c r="N665" s="10"/>
      <c r="O665" s="10"/>
      <c r="P665" s="10"/>
      <c r="Q665" s="10"/>
      <c r="R665" s="10"/>
      <c r="S665" s="10"/>
    </row>
    <row r="666" spans="1:19" x14ac:dyDescent="0.25">
      <c r="A666" s="10"/>
      <c r="B666" s="10"/>
      <c r="C666" s="10"/>
      <c r="D666" s="10"/>
      <c r="E666" s="10"/>
      <c r="F666" s="10"/>
      <c r="G666" s="10"/>
      <c r="H666" s="770"/>
      <c r="I666" s="10"/>
      <c r="J666" s="10"/>
      <c r="K666" s="10"/>
      <c r="L666" s="10"/>
      <c r="M666" s="770"/>
      <c r="N666" s="10"/>
      <c r="O666" s="10"/>
      <c r="P666" s="10"/>
      <c r="Q666" s="10"/>
      <c r="R666" s="10"/>
      <c r="S666" s="10"/>
    </row>
    <row r="667" spans="1:19" x14ac:dyDescent="0.25">
      <c r="A667" s="10"/>
      <c r="B667" s="10"/>
      <c r="C667" s="10"/>
      <c r="D667" s="10"/>
      <c r="E667" s="10"/>
      <c r="F667" s="10"/>
      <c r="G667" s="10"/>
      <c r="H667" s="770"/>
      <c r="I667" s="10"/>
      <c r="J667" s="10"/>
      <c r="K667" s="10"/>
      <c r="L667" s="10"/>
      <c r="M667" s="770"/>
      <c r="N667" s="10"/>
      <c r="O667" s="10"/>
      <c r="P667" s="10"/>
      <c r="Q667" s="10"/>
      <c r="R667" s="10"/>
      <c r="S667" s="10"/>
    </row>
    <row r="668" spans="1:19" x14ac:dyDescent="0.25">
      <c r="A668" s="10"/>
      <c r="B668" s="10"/>
      <c r="C668" s="10"/>
      <c r="D668" s="10"/>
      <c r="E668" s="10"/>
      <c r="F668" s="10"/>
      <c r="G668" s="10"/>
      <c r="H668" s="770"/>
      <c r="I668" s="10"/>
      <c r="J668" s="10"/>
      <c r="K668" s="10"/>
      <c r="L668" s="10"/>
      <c r="M668" s="770"/>
      <c r="N668" s="10"/>
      <c r="O668" s="10"/>
      <c r="P668" s="10"/>
      <c r="Q668" s="10"/>
      <c r="R668" s="10"/>
      <c r="S668" s="10"/>
    </row>
    <row r="669" spans="1:19" x14ac:dyDescent="0.25">
      <c r="A669" s="10"/>
      <c r="B669" s="10"/>
      <c r="C669" s="10"/>
      <c r="D669" s="10"/>
      <c r="E669" s="10"/>
      <c r="F669" s="10"/>
      <c r="G669" s="10"/>
      <c r="H669" s="770"/>
      <c r="I669" s="10"/>
      <c r="J669" s="10"/>
      <c r="K669" s="10"/>
      <c r="L669" s="10"/>
      <c r="M669" s="770"/>
      <c r="N669" s="10"/>
      <c r="O669" s="10"/>
      <c r="P669" s="10"/>
      <c r="Q669" s="10"/>
      <c r="R669" s="10"/>
      <c r="S669" s="10"/>
    </row>
    <row r="670" spans="1:19" x14ac:dyDescent="0.25">
      <c r="A670" s="10"/>
      <c r="B670" s="10"/>
      <c r="C670" s="10"/>
      <c r="D670" s="10"/>
      <c r="E670" s="10"/>
      <c r="F670" s="10"/>
      <c r="G670" s="10"/>
      <c r="H670" s="770"/>
      <c r="I670" s="10"/>
      <c r="J670" s="10"/>
      <c r="K670" s="10"/>
      <c r="L670" s="10"/>
      <c r="M670" s="770"/>
      <c r="N670" s="10"/>
      <c r="O670" s="10"/>
      <c r="P670" s="10"/>
      <c r="Q670" s="10"/>
      <c r="R670" s="10"/>
      <c r="S670" s="10"/>
    </row>
    <row r="671" spans="1:19" x14ac:dyDescent="0.25">
      <c r="A671" s="10"/>
      <c r="B671" s="10"/>
      <c r="C671" s="10"/>
      <c r="D671" s="10"/>
      <c r="E671" s="10"/>
      <c r="F671" s="10"/>
      <c r="G671" s="10"/>
      <c r="H671" s="770"/>
      <c r="I671" s="10"/>
      <c r="J671" s="10"/>
      <c r="K671" s="10"/>
      <c r="L671" s="10"/>
      <c r="M671" s="770"/>
      <c r="N671" s="10"/>
      <c r="O671" s="10"/>
      <c r="P671" s="10"/>
      <c r="Q671" s="10"/>
      <c r="R671" s="10"/>
      <c r="S671" s="10"/>
    </row>
    <row r="672" spans="1:19" x14ac:dyDescent="0.25">
      <c r="A672" s="10"/>
      <c r="B672" s="10"/>
      <c r="C672" s="10"/>
      <c r="D672" s="10"/>
      <c r="E672" s="10"/>
      <c r="F672" s="10"/>
      <c r="G672" s="10"/>
      <c r="H672" s="770"/>
      <c r="I672" s="10"/>
      <c r="J672" s="10"/>
      <c r="K672" s="10"/>
      <c r="L672" s="10"/>
      <c r="M672" s="770"/>
      <c r="N672" s="10"/>
      <c r="O672" s="10"/>
      <c r="P672" s="10"/>
      <c r="Q672" s="10"/>
      <c r="R672" s="10"/>
      <c r="S672" s="10"/>
    </row>
    <row r="673" spans="1:19" x14ac:dyDescent="0.25">
      <c r="A673" s="10"/>
      <c r="B673" s="10"/>
      <c r="C673" s="10"/>
      <c r="D673" s="10"/>
      <c r="E673" s="10"/>
      <c r="F673" s="10"/>
      <c r="G673" s="10"/>
      <c r="H673" s="770"/>
      <c r="I673" s="10"/>
      <c r="J673" s="10"/>
      <c r="K673" s="10"/>
      <c r="L673" s="10"/>
      <c r="M673" s="770"/>
      <c r="N673" s="10"/>
      <c r="O673" s="10"/>
      <c r="P673" s="10"/>
      <c r="Q673" s="10"/>
      <c r="R673" s="10"/>
      <c r="S673" s="10"/>
    </row>
    <row r="674" spans="1:19" x14ac:dyDescent="0.25">
      <c r="A674" s="10"/>
      <c r="B674" s="10"/>
      <c r="C674" s="10"/>
      <c r="D674" s="10"/>
      <c r="E674" s="10"/>
      <c r="F674" s="10"/>
      <c r="G674" s="10"/>
      <c r="H674" s="770"/>
      <c r="I674" s="10"/>
      <c r="J674" s="10"/>
      <c r="K674" s="10"/>
      <c r="L674" s="10"/>
      <c r="M674" s="770"/>
      <c r="N674" s="10"/>
      <c r="O674" s="10"/>
      <c r="P674" s="10"/>
      <c r="Q674" s="10"/>
      <c r="R674" s="10"/>
      <c r="S674" s="10"/>
    </row>
    <row r="675" spans="1:19" x14ac:dyDescent="0.25">
      <c r="A675" s="10"/>
      <c r="B675" s="10"/>
      <c r="C675" s="10"/>
      <c r="D675" s="10"/>
      <c r="E675" s="10"/>
      <c r="F675" s="10"/>
      <c r="G675" s="10"/>
      <c r="H675" s="770"/>
      <c r="I675" s="10"/>
      <c r="J675" s="10"/>
      <c r="K675" s="10"/>
      <c r="L675" s="10"/>
      <c r="M675" s="770"/>
      <c r="N675" s="10"/>
      <c r="O675" s="10"/>
      <c r="P675" s="10"/>
      <c r="Q675" s="10"/>
      <c r="R675" s="10"/>
      <c r="S675" s="10"/>
    </row>
    <row r="676" spans="1:19" x14ac:dyDescent="0.25">
      <c r="A676" s="10"/>
      <c r="B676" s="10"/>
      <c r="C676" s="10"/>
      <c r="D676" s="10"/>
      <c r="E676" s="10"/>
      <c r="F676" s="10"/>
      <c r="G676" s="10"/>
      <c r="H676" s="770"/>
      <c r="I676" s="10"/>
      <c r="J676" s="10"/>
      <c r="K676" s="10"/>
      <c r="L676" s="10"/>
      <c r="M676" s="770"/>
      <c r="N676" s="10"/>
      <c r="O676" s="10"/>
      <c r="P676" s="10"/>
      <c r="Q676" s="10"/>
      <c r="R676" s="10"/>
      <c r="S676" s="10"/>
    </row>
    <row r="677" spans="1:19" x14ac:dyDescent="0.25">
      <c r="A677" s="10"/>
      <c r="B677" s="10"/>
      <c r="C677" s="10"/>
      <c r="D677" s="10"/>
      <c r="E677" s="10"/>
      <c r="F677" s="10"/>
      <c r="G677" s="10"/>
      <c r="H677" s="770"/>
      <c r="I677" s="10"/>
      <c r="J677" s="10"/>
      <c r="K677" s="10"/>
      <c r="L677" s="10"/>
      <c r="M677" s="770"/>
      <c r="N677" s="10"/>
      <c r="O677" s="10"/>
      <c r="P677" s="10"/>
      <c r="Q677" s="10"/>
      <c r="R677" s="10"/>
      <c r="S677" s="10"/>
    </row>
    <row r="678" spans="1:19" x14ac:dyDescent="0.25">
      <c r="A678" s="10"/>
      <c r="B678" s="10"/>
      <c r="C678" s="10"/>
      <c r="D678" s="10"/>
      <c r="E678" s="10"/>
      <c r="F678" s="10"/>
      <c r="G678" s="10"/>
      <c r="H678" s="770"/>
      <c r="I678" s="10"/>
      <c r="J678" s="10"/>
      <c r="K678" s="10"/>
      <c r="L678" s="10"/>
      <c r="M678" s="770"/>
      <c r="N678" s="10"/>
      <c r="O678" s="10"/>
      <c r="P678" s="10"/>
      <c r="Q678" s="10"/>
      <c r="R678" s="10"/>
      <c r="S678" s="10"/>
    </row>
    <row r="679" spans="1:19" x14ac:dyDescent="0.25">
      <c r="A679" s="10"/>
      <c r="B679" s="10"/>
      <c r="C679" s="10"/>
      <c r="D679" s="10"/>
      <c r="E679" s="10"/>
      <c r="F679" s="10"/>
      <c r="G679" s="10"/>
      <c r="H679" s="770"/>
      <c r="I679" s="10"/>
      <c r="J679" s="10"/>
      <c r="K679" s="10"/>
      <c r="L679" s="10"/>
      <c r="M679" s="770"/>
      <c r="N679" s="10"/>
      <c r="O679" s="10"/>
      <c r="P679" s="10"/>
      <c r="Q679" s="10"/>
      <c r="R679" s="10"/>
      <c r="S679" s="10"/>
    </row>
    <row r="680" spans="1:19" x14ac:dyDescent="0.25">
      <c r="A680" s="10"/>
      <c r="B680" s="10"/>
      <c r="C680" s="10"/>
      <c r="D680" s="10"/>
      <c r="E680" s="10"/>
      <c r="F680" s="10"/>
      <c r="G680" s="10"/>
      <c r="H680" s="770"/>
      <c r="I680" s="10"/>
      <c r="J680" s="10"/>
      <c r="K680" s="10"/>
      <c r="L680" s="10"/>
      <c r="M680" s="770"/>
      <c r="N680" s="10"/>
      <c r="O680" s="10"/>
      <c r="P680" s="10"/>
      <c r="Q680" s="10"/>
      <c r="R680" s="10"/>
      <c r="S680" s="10"/>
    </row>
    <row r="681" spans="1:19" x14ac:dyDescent="0.25">
      <c r="A681" s="10"/>
      <c r="B681" s="10"/>
      <c r="C681" s="10"/>
      <c r="D681" s="10"/>
      <c r="E681" s="10"/>
      <c r="F681" s="10"/>
      <c r="G681" s="10"/>
      <c r="H681" s="770"/>
      <c r="I681" s="10"/>
      <c r="J681" s="10"/>
      <c r="K681" s="10"/>
      <c r="L681" s="10"/>
      <c r="M681" s="770"/>
      <c r="N681" s="10"/>
      <c r="O681" s="10"/>
      <c r="P681" s="10"/>
      <c r="Q681" s="10"/>
      <c r="R681" s="10"/>
      <c r="S681" s="10"/>
    </row>
    <row r="682" spans="1:19" x14ac:dyDescent="0.25">
      <c r="A682" s="10"/>
      <c r="B682" s="10"/>
      <c r="C682" s="10"/>
      <c r="D682" s="10"/>
      <c r="E682" s="10"/>
      <c r="F682" s="10"/>
      <c r="G682" s="10"/>
      <c r="H682" s="770"/>
      <c r="I682" s="10"/>
      <c r="J682" s="10"/>
      <c r="K682" s="10"/>
      <c r="L682" s="10"/>
      <c r="M682" s="770"/>
      <c r="N682" s="10"/>
      <c r="O682" s="10"/>
      <c r="P682" s="10"/>
      <c r="Q682" s="10"/>
      <c r="R682" s="10"/>
      <c r="S682" s="10"/>
    </row>
    <row r="683" spans="1:19" x14ac:dyDescent="0.25">
      <c r="A683" s="10"/>
      <c r="B683" s="10"/>
      <c r="C683" s="10"/>
      <c r="D683" s="10"/>
      <c r="E683" s="10"/>
      <c r="F683" s="10"/>
      <c r="G683" s="10"/>
      <c r="H683" s="770"/>
      <c r="I683" s="10"/>
      <c r="J683" s="10"/>
      <c r="K683" s="10"/>
      <c r="L683" s="10"/>
      <c r="M683" s="770"/>
      <c r="N683" s="10"/>
      <c r="O683" s="10"/>
      <c r="P683" s="10"/>
      <c r="Q683" s="10"/>
      <c r="R683" s="10"/>
      <c r="S683" s="10"/>
    </row>
    <row r="684" spans="1:19" x14ac:dyDescent="0.25">
      <c r="A684" s="10"/>
      <c r="B684" s="10"/>
      <c r="C684" s="10"/>
      <c r="D684" s="10"/>
      <c r="E684" s="10"/>
      <c r="F684" s="10"/>
      <c r="G684" s="10"/>
      <c r="H684" s="770"/>
      <c r="I684" s="10"/>
      <c r="J684" s="10"/>
      <c r="K684" s="10"/>
      <c r="L684" s="10"/>
      <c r="M684" s="770"/>
      <c r="N684" s="10"/>
      <c r="O684" s="10"/>
      <c r="P684" s="10"/>
      <c r="Q684" s="10"/>
      <c r="R684" s="10"/>
      <c r="S684" s="10"/>
    </row>
    <row r="685" spans="1:19" x14ac:dyDescent="0.25">
      <c r="A685" s="10"/>
      <c r="B685" s="10"/>
      <c r="C685" s="10"/>
      <c r="D685" s="10"/>
      <c r="E685" s="10"/>
      <c r="F685" s="10"/>
      <c r="G685" s="10"/>
      <c r="H685" s="770"/>
      <c r="I685" s="10"/>
      <c r="J685" s="10"/>
      <c r="K685" s="10"/>
      <c r="L685" s="10"/>
      <c r="M685" s="770"/>
      <c r="N685" s="10"/>
      <c r="O685" s="10"/>
      <c r="P685" s="10"/>
      <c r="Q685" s="10"/>
      <c r="R685" s="10"/>
      <c r="S685" s="10"/>
    </row>
    <row r="686" spans="1:19" x14ac:dyDescent="0.25">
      <c r="A686" s="10"/>
      <c r="B686" s="10"/>
      <c r="C686" s="10"/>
      <c r="D686" s="10"/>
      <c r="E686" s="10"/>
      <c r="F686" s="10"/>
      <c r="G686" s="10"/>
      <c r="H686" s="770"/>
      <c r="I686" s="10"/>
      <c r="J686" s="10"/>
      <c r="K686" s="10"/>
      <c r="L686" s="10"/>
      <c r="M686" s="770"/>
      <c r="N686" s="10"/>
      <c r="O686" s="10"/>
      <c r="P686" s="10"/>
      <c r="Q686" s="10"/>
      <c r="R686" s="10"/>
      <c r="S686" s="10"/>
    </row>
    <row r="687" spans="1:19" x14ac:dyDescent="0.25">
      <c r="A687" s="10"/>
      <c r="B687" s="10"/>
      <c r="C687" s="10"/>
      <c r="D687" s="10"/>
      <c r="E687" s="10"/>
      <c r="F687" s="10"/>
      <c r="G687" s="10"/>
      <c r="H687" s="770"/>
      <c r="I687" s="10"/>
      <c r="J687" s="10"/>
      <c r="K687" s="10"/>
      <c r="L687" s="10"/>
      <c r="M687" s="770"/>
      <c r="N687" s="10"/>
      <c r="O687" s="10"/>
      <c r="P687" s="10"/>
      <c r="Q687" s="10"/>
      <c r="R687" s="10"/>
      <c r="S687" s="10"/>
    </row>
    <row r="688" spans="1:19" x14ac:dyDescent="0.25">
      <c r="A688" s="10"/>
      <c r="B688" s="10"/>
      <c r="C688" s="10"/>
      <c r="D688" s="10"/>
      <c r="E688" s="10"/>
      <c r="F688" s="10"/>
      <c r="G688" s="10"/>
      <c r="H688" s="770"/>
      <c r="I688" s="10"/>
      <c r="J688" s="10"/>
      <c r="K688" s="10"/>
      <c r="L688" s="10"/>
      <c r="M688" s="770"/>
      <c r="N688" s="10"/>
      <c r="O688" s="10"/>
      <c r="P688" s="10"/>
      <c r="Q688" s="10"/>
      <c r="R688" s="10"/>
      <c r="S688" s="10"/>
    </row>
    <row r="689" spans="1:19" x14ac:dyDescent="0.25">
      <c r="A689" s="10"/>
      <c r="B689" s="10"/>
      <c r="C689" s="10"/>
      <c r="D689" s="10"/>
      <c r="E689" s="10"/>
      <c r="F689" s="10"/>
      <c r="G689" s="10"/>
      <c r="H689" s="770"/>
      <c r="I689" s="10"/>
      <c r="J689" s="10"/>
      <c r="K689" s="10"/>
      <c r="L689" s="10"/>
      <c r="M689" s="770"/>
      <c r="N689" s="10"/>
      <c r="O689" s="10"/>
      <c r="P689" s="10"/>
      <c r="Q689" s="10"/>
      <c r="R689" s="10"/>
      <c r="S689" s="10"/>
    </row>
    <row r="690" spans="1:19" x14ac:dyDescent="0.25">
      <c r="A690" s="10"/>
      <c r="B690" s="10"/>
      <c r="C690" s="10"/>
      <c r="D690" s="10"/>
      <c r="E690" s="10"/>
      <c r="F690" s="10"/>
      <c r="G690" s="10"/>
      <c r="H690" s="770"/>
      <c r="I690" s="10"/>
      <c r="J690" s="10"/>
      <c r="K690" s="10"/>
      <c r="L690" s="10"/>
      <c r="M690" s="770"/>
      <c r="N690" s="10"/>
      <c r="O690" s="10"/>
      <c r="P690" s="10"/>
      <c r="Q690" s="10"/>
      <c r="R690" s="10"/>
      <c r="S690" s="10"/>
    </row>
    <row r="691" spans="1:19" x14ac:dyDescent="0.25">
      <c r="A691" s="10"/>
      <c r="B691" s="10"/>
      <c r="C691" s="10"/>
      <c r="D691" s="10"/>
      <c r="E691" s="10"/>
      <c r="F691" s="10"/>
      <c r="G691" s="10"/>
      <c r="H691" s="770"/>
      <c r="I691" s="10"/>
      <c r="J691" s="10"/>
      <c r="K691" s="10"/>
      <c r="L691" s="10"/>
      <c r="M691" s="770"/>
      <c r="N691" s="10"/>
      <c r="O691" s="10"/>
      <c r="P691" s="10"/>
      <c r="Q691" s="10"/>
      <c r="R691" s="10"/>
      <c r="S691" s="10"/>
    </row>
    <row r="692" spans="1:19" x14ac:dyDescent="0.25">
      <c r="A692" s="10"/>
      <c r="B692" s="10"/>
      <c r="C692" s="10"/>
      <c r="D692" s="10"/>
      <c r="E692" s="10"/>
      <c r="F692" s="10"/>
      <c r="G692" s="10"/>
      <c r="H692" s="770"/>
      <c r="I692" s="10"/>
      <c r="J692" s="10"/>
      <c r="K692" s="10"/>
      <c r="L692" s="10"/>
      <c r="M692" s="770"/>
      <c r="N692" s="10"/>
      <c r="O692" s="10"/>
      <c r="P692" s="10"/>
      <c r="Q692" s="10"/>
      <c r="R692" s="10"/>
      <c r="S692" s="10"/>
    </row>
    <row r="693" spans="1:19" x14ac:dyDescent="0.25">
      <c r="A693" s="10"/>
      <c r="B693" s="10"/>
      <c r="C693" s="10"/>
      <c r="D693" s="10"/>
      <c r="E693" s="10"/>
      <c r="F693" s="10"/>
      <c r="G693" s="10"/>
      <c r="H693" s="770"/>
      <c r="I693" s="10"/>
      <c r="J693" s="10"/>
      <c r="K693" s="10"/>
      <c r="L693" s="10"/>
      <c r="M693" s="770"/>
      <c r="N693" s="10"/>
      <c r="O693" s="10"/>
      <c r="P693" s="10"/>
      <c r="Q693" s="10"/>
      <c r="R693" s="10"/>
      <c r="S693" s="10"/>
    </row>
    <row r="694" spans="1:19" x14ac:dyDescent="0.25">
      <c r="A694" s="10"/>
      <c r="B694" s="10"/>
      <c r="C694" s="10"/>
      <c r="D694" s="10"/>
      <c r="E694" s="10"/>
      <c r="F694" s="10"/>
      <c r="G694" s="10"/>
      <c r="H694" s="770"/>
      <c r="I694" s="10"/>
      <c r="J694" s="10"/>
      <c r="K694" s="10"/>
      <c r="L694" s="10"/>
      <c r="M694" s="770"/>
      <c r="N694" s="10"/>
      <c r="O694" s="10"/>
      <c r="P694" s="10"/>
      <c r="Q694" s="10"/>
      <c r="R694" s="10"/>
      <c r="S694" s="10"/>
    </row>
    <row r="695" spans="1:19" x14ac:dyDescent="0.25">
      <c r="A695" s="10"/>
      <c r="B695" s="10"/>
      <c r="C695" s="10"/>
      <c r="D695" s="10"/>
      <c r="E695" s="10"/>
      <c r="F695" s="10"/>
      <c r="G695" s="10"/>
      <c r="H695" s="770"/>
      <c r="I695" s="10"/>
      <c r="J695" s="10"/>
      <c r="K695" s="10"/>
      <c r="L695" s="10"/>
      <c r="M695" s="770"/>
      <c r="N695" s="10"/>
      <c r="O695" s="10"/>
      <c r="P695" s="10"/>
      <c r="Q695" s="10"/>
      <c r="R695" s="10"/>
      <c r="S695" s="10"/>
    </row>
    <row r="696" spans="1:19" x14ac:dyDescent="0.25">
      <c r="A696" s="10"/>
      <c r="B696" s="10"/>
      <c r="C696" s="10"/>
      <c r="D696" s="10"/>
      <c r="E696" s="10"/>
      <c r="F696" s="10"/>
      <c r="G696" s="10"/>
      <c r="H696" s="770"/>
      <c r="I696" s="10"/>
      <c r="J696" s="10"/>
      <c r="K696" s="10"/>
      <c r="L696" s="10"/>
      <c r="M696" s="770"/>
      <c r="N696" s="10"/>
      <c r="O696" s="10"/>
      <c r="P696" s="10"/>
      <c r="Q696" s="10"/>
      <c r="R696" s="10"/>
      <c r="S696" s="10"/>
    </row>
    <row r="697" spans="1:19" x14ac:dyDescent="0.25">
      <c r="A697" s="10"/>
      <c r="B697" s="10"/>
      <c r="C697" s="10"/>
      <c r="D697" s="10"/>
      <c r="E697" s="10"/>
      <c r="F697" s="10"/>
      <c r="G697" s="10"/>
      <c r="H697" s="770"/>
      <c r="I697" s="10"/>
      <c r="J697" s="10"/>
      <c r="K697" s="10"/>
      <c r="L697" s="10"/>
      <c r="M697" s="770"/>
      <c r="N697" s="10"/>
      <c r="O697" s="10"/>
      <c r="P697" s="10"/>
      <c r="Q697" s="10"/>
      <c r="R697" s="10"/>
      <c r="S697" s="10"/>
    </row>
    <row r="698" spans="1:19" x14ac:dyDescent="0.25">
      <c r="A698" s="10"/>
      <c r="B698" s="10"/>
      <c r="C698" s="10"/>
      <c r="D698" s="10"/>
      <c r="E698" s="10"/>
      <c r="F698" s="10"/>
      <c r="G698" s="10"/>
      <c r="H698" s="770"/>
      <c r="I698" s="10"/>
      <c r="J698" s="10"/>
      <c r="K698" s="10"/>
      <c r="L698" s="10"/>
      <c r="M698" s="770"/>
      <c r="N698" s="10"/>
      <c r="O698" s="10"/>
      <c r="P698" s="10"/>
      <c r="Q698" s="10"/>
      <c r="R698" s="10"/>
      <c r="S698" s="10"/>
    </row>
    <row r="699" spans="1:19" x14ac:dyDescent="0.25">
      <c r="A699" s="10"/>
      <c r="B699" s="10"/>
      <c r="C699" s="10"/>
      <c r="D699" s="10"/>
      <c r="E699" s="10"/>
      <c r="F699" s="10"/>
      <c r="G699" s="10"/>
      <c r="H699" s="770"/>
      <c r="I699" s="10"/>
      <c r="J699" s="10"/>
      <c r="K699" s="10"/>
      <c r="L699" s="10"/>
      <c r="M699" s="770"/>
      <c r="N699" s="10"/>
      <c r="O699" s="10"/>
      <c r="P699" s="10"/>
      <c r="Q699" s="10"/>
      <c r="R699" s="10"/>
      <c r="S699" s="10"/>
    </row>
    <row r="700" spans="1:19" x14ac:dyDescent="0.25">
      <c r="A700" s="10"/>
      <c r="B700" s="10"/>
      <c r="C700" s="10"/>
      <c r="D700" s="10"/>
      <c r="E700" s="10"/>
      <c r="F700" s="10"/>
      <c r="G700" s="10"/>
      <c r="H700" s="770"/>
      <c r="I700" s="10"/>
      <c r="J700" s="10"/>
      <c r="K700" s="10"/>
      <c r="L700" s="10"/>
      <c r="M700" s="770"/>
      <c r="N700" s="10"/>
      <c r="O700" s="10"/>
      <c r="P700" s="10"/>
      <c r="Q700" s="10"/>
      <c r="R700" s="10"/>
      <c r="S700" s="10"/>
    </row>
    <row r="701" spans="1:19" x14ac:dyDescent="0.25">
      <c r="A701" s="10"/>
      <c r="B701" s="10"/>
      <c r="C701" s="10"/>
      <c r="D701" s="10"/>
      <c r="E701" s="10"/>
      <c r="F701" s="10"/>
      <c r="G701" s="10"/>
      <c r="H701" s="770"/>
      <c r="I701" s="10"/>
      <c r="J701" s="10"/>
      <c r="K701" s="10"/>
      <c r="L701" s="10"/>
      <c r="M701" s="770"/>
      <c r="N701" s="10"/>
      <c r="O701" s="10"/>
      <c r="P701" s="10"/>
      <c r="Q701" s="10"/>
      <c r="R701" s="10"/>
      <c r="S701" s="10"/>
    </row>
    <row r="702" spans="1:19" x14ac:dyDescent="0.25">
      <c r="A702" s="10"/>
      <c r="B702" s="10"/>
      <c r="C702" s="10"/>
      <c r="D702" s="10"/>
      <c r="E702" s="10"/>
      <c r="F702" s="10"/>
      <c r="G702" s="10"/>
      <c r="H702" s="770"/>
      <c r="I702" s="10"/>
      <c r="J702" s="10"/>
      <c r="K702" s="10"/>
      <c r="L702" s="10"/>
      <c r="M702" s="770"/>
      <c r="N702" s="10"/>
      <c r="O702" s="10"/>
      <c r="P702" s="10"/>
      <c r="Q702" s="10"/>
      <c r="R702" s="10"/>
      <c r="S702" s="10"/>
    </row>
    <row r="703" spans="1:19" x14ac:dyDescent="0.25">
      <c r="A703" s="10"/>
      <c r="B703" s="10"/>
      <c r="C703" s="10"/>
      <c r="D703" s="10"/>
      <c r="E703" s="10"/>
      <c r="F703" s="10"/>
      <c r="G703" s="10"/>
      <c r="H703" s="770"/>
      <c r="I703" s="10"/>
      <c r="J703" s="10"/>
      <c r="K703" s="10"/>
      <c r="L703" s="10"/>
      <c r="M703" s="770"/>
      <c r="N703" s="10"/>
      <c r="O703" s="10"/>
      <c r="P703" s="10"/>
      <c r="Q703" s="10"/>
      <c r="R703" s="10"/>
      <c r="S703" s="10"/>
    </row>
    <row r="704" spans="1:19" x14ac:dyDescent="0.25">
      <c r="A704" s="10"/>
      <c r="B704" s="10"/>
      <c r="C704" s="10"/>
      <c r="D704" s="10"/>
      <c r="E704" s="10"/>
      <c r="F704" s="10"/>
      <c r="G704" s="10"/>
      <c r="H704" s="770"/>
      <c r="I704" s="10"/>
      <c r="J704" s="10"/>
      <c r="K704" s="10"/>
      <c r="L704" s="10"/>
      <c r="M704" s="770"/>
      <c r="N704" s="10"/>
      <c r="O704" s="10"/>
      <c r="P704" s="10"/>
      <c r="Q704" s="10"/>
      <c r="R704" s="10"/>
      <c r="S704" s="10"/>
    </row>
    <row r="705" spans="1:19" x14ac:dyDescent="0.25">
      <c r="A705" s="10"/>
      <c r="B705" s="10"/>
      <c r="C705" s="10"/>
      <c r="D705" s="10"/>
      <c r="E705" s="10"/>
      <c r="F705" s="10"/>
      <c r="G705" s="10"/>
      <c r="H705" s="770"/>
      <c r="I705" s="10"/>
      <c r="J705" s="10"/>
      <c r="K705" s="10"/>
      <c r="L705" s="10"/>
      <c r="M705" s="770"/>
      <c r="N705" s="10"/>
      <c r="O705" s="10"/>
      <c r="P705" s="10"/>
      <c r="Q705" s="10"/>
      <c r="R705" s="10"/>
      <c r="S705" s="10"/>
    </row>
    <row r="706" spans="1:19" x14ac:dyDescent="0.25">
      <c r="A706" s="10"/>
      <c r="B706" s="10"/>
      <c r="C706" s="10"/>
      <c r="D706" s="10"/>
      <c r="E706" s="10"/>
      <c r="F706" s="10"/>
      <c r="G706" s="10"/>
      <c r="H706" s="770"/>
      <c r="I706" s="10"/>
      <c r="J706" s="10"/>
      <c r="K706" s="10"/>
      <c r="L706" s="10"/>
      <c r="M706" s="770"/>
      <c r="N706" s="10"/>
      <c r="O706" s="10"/>
      <c r="P706" s="10"/>
      <c r="Q706" s="10"/>
      <c r="R706" s="10"/>
      <c r="S706" s="10"/>
    </row>
    <row r="707" spans="1:19" x14ac:dyDescent="0.25">
      <c r="A707" s="10"/>
      <c r="B707" s="10"/>
      <c r="C707" s="10"/>
      <c r="D707" s="10"/>
      <c r="E707" s="10"/>
      <c r="F707" s="10"/>
      <c r="G707" s="10"/>
      <c r="H707" s="770"/>
      <c r="I707" s="10"/>
      <c r="J707" s="10"/>
      <c r="K707" s="10"/>
      <c r="L707" s="10"/>
      <c r="M707" s="770"/>
      <c r="N707" s="10"/>
      <c r="O707" s="10"/>
      <c r="P707" s="10"/>
      <c r="Q707" s="10"/>
      <c r="R707" s="10"/>
      <c r="S707" s="10"/>
    </row>
    <row r="708" spans="1:19" x14ac:dyDescent="0.25">
      <c r="A708" s="10"/>
      <c r="B708" s="10"/>
      <c r="C708" s="10"/>
      <c r="D708" s="10"/>
      <c r="E708" s="10"/>
      <c r="F708" s="10"/>
      <c r="G708" s="10"/>
      <c r="H708" s="770"/>
      <c r="I708" s="10"/>
      <c r="J708" s="10"/>
      <c r="K708" s="10"/>
      <c r="L708" s="10"/>
      <c r="M708" s="770"/>
      <c r="N708" s="10"/>
      <c r="O708" s="10"/>
      <c r="P708" s="10"/>
      <c r="Q708" s="10"/>
      <c r="R708" s="10"/>
      <c r="S708" s="10"/>
    </row>
    <row r="709" spans="1:19" x14ac:dyDescent="0.25">
      <c r="A709" s="10"/>
      <c r="B709" s="10"/>
      <c r="C709" s="10"/>
      <c r="D709" s="10"/>
      <c r="E709" s="10"/>
      <c r="F709" s="10"/>
      <c r="G709" s="10"/>
      <c r="H709" s="770"/>
      <c r="I709" s="10"/>
      <c r="J709" s="10"/>
      <c r="K709" s="10"/>
      <c r="L709" s="10"/>
      <c r="M709" s="770"/>
      <c r="N709" s="10"/>
      <c r="O709" s="10"/>
      <c r="P709" s="10"/>
      <c r="Q709" s="10"/>
      <c r="R709" s="10"/>
      <c r="S709" s="10"/>
    </row>
    <row r="710" spans="1:19" x14ac:dyDescent="0.25">
      <c r="A710" s="10"/>
      <c r="B710" s="10"/>
      <c r="C710" s="10"/>
      <c r="D710" s="10"/>
      <c r="E710" s="10"/>
      <c r="F710" s="10"/>
      <c r="G710" s="10"/>
      <c r="H710" s="770"/>
      <c r="I710" s="10"/>
      <c r="J710" s="10"/>
      <c r="K710" s="10"/>
      <c r="L710" s="10"/>
      <c r="M710" s="770"/>
      <c r="N710" s="10"/>
      <c r="O710" s="10"/>
      <c r="P710" s="10"/>
      <c r="Q710" s="10"/>
      <c r="R710" s="10"/>
      <c r="S710" s="10"/>
    </row>
    <row r="711" spans="1:19" x14ac:dyDescent="0.25">
      <c r="A711" s="10"/>
      <c r="B711" s="10"/>
      <c r="C711" s="10"/>
      <c r="D711" s="10"/>
      <c r="E711" s="10"/>
      <c r="F711" s="10"/>
      <c r="G711" s="10"/>
      <c r="H711" s="770"/>
      <c r="I711" s="10"/>
      <c r="J711" s="10"/>
      <c r="K711" s="10"/>
      <c r="L711" s="10"/>
      <c r="M711" s="770"/>
      <c r="N711" s="10"/>
      <c r="O711" s="10"/>
      <c r="P711" s="10"/>
      <c r="Q711" s="10"/>
      <c r="R711" s="10"/>
      <c r="S711" s="10"/>
    </row>
    <row r="712" spans="1:19" x14ac:dyDescent="0.25">
      <c r="A712" s="10"/>
      <c r="B712" s="10"/>
      <c r="C712" s="10"/>
      <c r="D712" s="10"/>
      <c r="E712" s="10"/>
      <c r="F712" s="10"/>
      <c r="G712" s="10"/>
      <c r="H712" s="770"/>
      <c r="I712" s="10"/>
      <c r="J712" s="10"/>
      <c r="K712" s="10"/>
      <c r="L712" s="10"/>
      <c r="M712" s="770"/>
      <c r="N712" s="10"/>
      <c r="O712" s="10"/>
      <c r="P712" s="10"/>
      <c r="Q712" s="10"/>
      <c r="R712" s="10"/>
      <c r="S712" s="10"/>
    </row>
    <row r="713" spans="1:19" x14ac:dyDescent="0.25">
      <c r="A713" s="10"/>
      <c r="B713" s="10"/>
      <c r="C713" s="10"/>
      <c r="D713" s="10"/>
      <c r="E713" s="10"/>
      <c r="F713" s="10"/>
      <c r="G713" s="10"/>
      <c r="H713" s="770"/>
      <c r="I713" s="10"/>
      <c r="J713" s="10"/>
      <c r="K713" s="10"/>
      <c r="L713" s="10"/>
      <c r="M713" s="770"/>
      <c r="N713" s="10"/>
      <c r="O713" s="10"/>
      <c r="P713" s="10"/>
      <c r="Q713" s="10"/>
      <c r="R713" s="10"/>
      <c r="S713" s="10"/>
    </row>
    <row r="714" spans="1:19" x14ac:dyDescent="0.25">
      <c r="A714" s="10"/>
      <c r="B714" s="10"/>
      <c r="C714" s="10"/>
      <c r="D714" s="10"/>
      <c r="E714" s="10"/>
      <c r="F714" s="10"/>
      <c r="G714" s="10"/>
      <c r="H714" s="770"/>
      <c r="I714" s="10"/>
      <c r="J714" s="10"/>
      <c r="K714" s="10"/>
      <c r="L714" s="10"/>
      <c r="M714" s="770"/>
      <c r="N714" s="10"/>
      <c r="O714" s="10"/>
      <c r="P714" s="10"/>
      <c r="Q714" s="10"/>
      <c r="R714" s="10"/>
      <c r="S714" s="10"/>
    </row>
    <row r="715" spans="1:19" x14ac:dyDescent="0.25">
      <c r="A715" s="10"/>
      <c r="B715" s="10"/>
      <c r="C715" s="10"/>
      <c r="D715" s="10"/>
      <c r="E715" s="10"/>
      <c r="F715" s="10"/>
      <c r="G715" s="10"/>
      <c r="H715" s="770"/>
      <c r="I715" s="10"/>
      <c r="J715" s="10"/>
      <c r="K715" s="10"/>
      <c r="L715" s="10"/>
      <c r="M715" s="770"/>
      <c r="N715" s="10"/>
      <c r="O715" s="10"/>
      <c r="P715" s="10"/>
      <c r="Q715" s="10"/>
      <c r="R715" s="10"/>
      <c r="S715" s="10"/>
    </row>
    <row r="716" spans="1:19" x14ac:dyDescent="0.25">
      <c r="A716" s="10"/>
      <c r="B716" s="10"/>
      <c r="C716" s="10"/>
      <c r="D716" s="10"/>
      <c r="E716" s="10"/>
      <c r="F716" s="10"/>
      <c r="G716" s="10"/>
      <c r="H716" s="770"/>
      <c r="I716" s="10"/>
      <c r="J716" s="10"/>
      <c r="K716" s="10"/>
      <c r="L716" s="10"/>
      <c r="M716" s="770"/>
      <c r="N716" s="10"/>
      <c r="O716" s="10"/>
      <c r="P716" s="10"/>
      <c r="Q716" s="10"/>
      <c r="R716" s="10"/>
      <c r="S716" s="10"/>
    </row>
    <row r="717" spans="1:19" x14ac:dyDescent="0.25">
      <c r="A717" s="10"/>
      <c r="B717" s="10"/>
      <c r="C717" s="10"/>
      <c r="D717" s="10"/>
      <c r="E717" s="10"/>
      <c r="F717" s="10"/>
      <c r="G717" s="10"/>
      <c r="H717" s="770"/>
      <c r="I717" s="10"/>
      <c r="J717" s="10"/>
      <c r="K717" s="10"/>
      <c r="L717" s="10"/>
      <c r="M717" s="770"/>
      <c r="N717" s="10"/>
      <c r="O717" s="10"/>
      <c r="P717" s="10"/>
      <c r="Q717" s="10"/>
      <c r="R717" s="10"/>
      <c r="S717" s="10"/>
    </row>
    <row r="718" spans="1:19" x14ac:dyDescent="0.25">
      <c r="A718" s="10"/>
      <c r="B718" s="10"/>
      <c r="C718" s="10"/>
      <c r="D718" s="10"/>
      <c r="E718" s="10"/>
      <c r="F718" s="10"/>
      <c r="G718" s="10"/>
      <c r="H718" s="770"/>
      <c r="I718" s="10"/>
      <c r="J718" s="10"/>
      <c r="K718" s="10"/>
      <c r="L718" s="10"/>
      <c r="M718" s="770"/>
      <c r="N718" s="10"/>
      <c r="O718" s="10"/>
      <c r="P718" s="10"/>
      <c r="Q718" s="10"/>
      <c r="R718" s="10"/>
      <c r="S718" s="10"/>
    </row>
    <row r="719" spans="1:19" x14ac:dyDescent="0.25">
      <c r="A719" s="10"/>
      <c r="B719" s="10"/>
      <c r="C719" s="10"/>
      <c r="D719" s="10"/>
      <c r="E719" s="10"/>
      <c r="F719" s="10"/>
      <c r="G719" s="10"/>
      <c r="H719" s="770"/>
      <c r="I719" s="10"/>
      <c r="J719" s="10"/>
      <c r="K719" s="10"/>
      <c r="L719" s="10"/>
      <c r="M719" s="770"/>
      <c r="N719" s="10"/>
      <c r="O719" s="10"/>
      <c r="P719" s="10"/>
      <c r="Q719" s="10"/>
      <c r="R719" s="10"/>
      <c r="S719" s="10"/>
    </row>
    <row r="720" spans="1:19" x14ac:dyDescent="0.25">
      <c r="A720" s="10"/>
      <c r="B720" s="10"/>
      <c r="C720" s="10"/>
      <c r="D720" s="10"/>
      <c r="E720" s="10"/>
      <c r="F720" s="10"/>
      <c r="G720" s="10"/>
      <c r="H720" s="770"/>
      <c r="I720" s="10"/>
      <c r="J720" s="10"/>
      <c r="K720" s="10"/>
      <c r="L720" s="10"/>
      <c r="M720" s="770"/>
      <c r="N720" s="10"/>
      <c r="O720" s="10"/>
      <c r="P720" s="10"/>
      <c r="Q720" s="10"/>
      <c r="R720" s="10"/>
      <c r="S720" s="10"/>
    </row>
    <row r="721" spans="1:19" x14ac:dyDescent="0.25">
      <c r="A721" s="10"/>
      <c r="B721" s="10"/>
      <c r="C721" s="10"/>
      <c r="D721" s="10"/>
      <c r="E721" s="10"/>
      <c r="F721" s="10"/>
      <c r="G721" s="10"/>
      <c r="H721" s="770"/>
      <c r="I721" s="10"/>
      <c r="J721" s="10"/>
      <c r="K721" s="10"/>
      <c r="L721" s="10"/>
      <c r="M721" s="770"/>
      <c r="N721" s="10"/>
      <c r="O721" s="10"/>
      <c r="P721" s="10"/>
      <c r="Q721" s="10"/>
      <c r="R721" s="10"/>
      <c r="S721" s="10"/>
    </row>
    <row r="722" spans="1:19" x14ac:dyDescent="0.25">
      <c r="A722" s="10"/>
      <c r="B722" s="10"/>
      <c r="C722" s="10"/>
      <c r="D722" s="10"/>
      <c r="E722" s="10"/>
      <c r="F722" s="10"/>
      <c r="G722" s="10"/>
      <c r="H722" s="770"/>
      <c r="I722" s="10"/>
      <c r="J722" s="10"/>
      <c r="K722" s="10"/>
      <c r="L722" s="10"/>
      <c r="M722" s="770"/>
      <c r="N722" s="10"/>
      <c r="O722" s="10"/>
      <c r="P722" s="10"/>
      <c r="Q722" s="10"/>
      <c r="R722" s="10"/>
      <c r="S722" s="10"/>
    </row>
    <row r="723" spans="1:19" x14ac:dyDescent="0.25">
      <c r="A723" s="10"/>
      <c r="B723" s="10"/>
      <c r="C723" s="10"/>
      <c r="D723" s="10"/>
      <c r="E723" s="10"/>
      <c r="F723" s="10"/>
      <c r="G723" s="10"/>
      <c r="H723" s="770"/>
      <c r="I723" s="10"/>
      <c r="J723" s="10"/>
      <c r="K723" s="10"/>
      <c r="L723" s="10"/>
      <c r="M723" s="770"/>
      <c r="N723" s="10"/>
      <c r="O723" s="10"/>
      <c r="P723" s="10"/>
      <c r="Q723" s="10"/>
      <c r="R723" s="10"/>
      <c r="S723" s="10"/>
    </row>
    <row r="724" spans="1:19" x14ac:dyDescent="0.25">
      <c r="A724" s="10"/>
      <c r="B724" s="10"/>
      <c r="C724" s="10"/>
      <c r="D724" s="10"/>
      <c r="E724" s="10"/>
      <c r="F724" s="10"/>
      <c r="G724" s="10"/>
      <c r="H724" s="770"/>
      <c r="I724" s="10"/>
      <c r="J724" s="10"/>
      <c r="K724" s="10"/>
      <c r="L724" s="10"/>
      <c r="M724" s="770"/>
      <c r="N724" s="10"/>
      <c r="O724" s="10"/>
      <c r="P724" s="10"/>
      <c r="Q724" s="10"/>
      <c r="R724" s="10"/>
      <c r="S724" s="10"/>
    </row>
    <row r="725" spans="1:19" x14ac:dyDescent="0.25">
      <c r="A725" s="10"/>
      <c r="B725" s="10"/>
      <c r="C725" s="10"/>
      <c r="D725" s="10"/>
      <c r="E725" s="10"/>
      <c r="F725" s="10"/>
      <c r="G725" s="10"/>
      <c r="H725" s="770"/>
      <c r="I725" s="10"/>
      <c r="J725" s="10"/>
      <c r="K725" s="10"/>
      <c r="L725" s="10"/>
      <c r="M725" s="770"/>
      <c r="N725" s="10"/>
      <c r="O725" s="10"/>
      <c r="P725" s="10"/>
      <c r="Q725" s="10"/>
      <c r="R725" s="10"/>
      <c r="S725" s="10"/>
    </row>
    <row r="726" spans="1:19" x14ac:dyDescent="0.25">
      <c r="A726" s="10"/>
      <c r="B726" s="10"/>
      <c r="C726" s="10"/>
      <c r="D726" s="10"/>
      <c r="E726" s="10"/>
      <c r="F726" s="10"/>
      <c r="G726" s="10"/>
      <c r="H726" s="770"/>
      <c r="I726" s="10"/>
      <c r="J726" s="10"/>
      <c r="K726" s="10"/>
      <c r="L726" s="10"/>
      <c r="M726" s="770"/>
      <c r="N726" s="10"/>
      <c r="O726" s="10"/>
      <c r="P726" s="10"/>
      <c r="Q726" s="10"/>
      <c r="R726" s="10"/>
      <c r="S726" s="10"/>
    </row>
    <row r="727" spans="1:19" x14ac:dyDescent="0.25">
      <c r="A727" s="10"/>
      <c r="B727" s="10"/>
      <c r="C727" s="10"/>
      <c r="D727" s="10"/>
      <c r="E727" s="10"/>
      <c r="F727" s="10"/>
      <c r="G727" s="10"/>
      <c r="H727" s="770"/>
      <c r="I727" s="10"/>
      <c r="J727" s="10"/>
      <c r="K727" s="10"/>
      <c r="L727" s="10"/>
      <c r="M727" s="770"/>
      <c r="N727" s="10"/>
      <c r="O727" s="10"/>
      <c r="P727" s="10"/>
      <c r="Q727" s="10"/>
      <c r="R727" s="10"/>
      <c r="S727" s="10"/>
    </row>
    <row r="728" spans="1:19" x14ac:dyDescent="0.25">
      <c r="A728" s="10"/>
      <c r="B728" s="10"/>
      <c r="C728" s="10"/>
      <c r="D728" s="10"/>
      <c r="E728" s="10"/>
      <c r="F728" s="10"/>
      <c r="G728" s="10"/>
      <c r="H728" s="770"/>
      <c r="I728" s="10"/>
      <c r="J728" s="10"/>
      <c r="K728" s="10"/>
      <c r="L728" s="10"/>
      <c r="M728" s="770"/>
      <c r="N728" s="10"/>
      <c r="O728" s="10"/>
      <c r="P728" s="10"/>
      <c r="Q728" s="10"/>
      <c r="R728" s="10"/>
      <c r="S728" s="10"/>
    </row>
    <row r="729" spans="1:19" x14ac:dyDescent="0.25">
      <c r="A729" s="10"/>
      <c r="B729" s="10"/>
      <c r="C729" s="10"/>
      <c r="D729" s="10"/>
      <c r="E729" s="10"/>
      <c r="F729" s="10"/>
      <c r="G729" s="10"/>
      <c r="H729" s="770"/>
      <c r="I729" s="10"/>
      <c r="J729" s="10"/>
      <c r="K729" s="10"/>
      <c r="L729" s="10"/>
      <c r="M729" s="770"/>
      <c r="N729" s="10"/>
      <c r="O729" s="10"/>
      <c r="P729" s="10"/>
      <c r="Q729" s="10"/>
      <c r="R729" s="10"/>
      <c r="S729" s="10"/>
    </row>
    <row r="730" spans="1:19" x14ac:dyDescent="0.25">
      <c r="A730" s="10"/>
      <c r="B730" s="10"/>
      <c r="C730" s="10"/>
      <c r="D730" s="10"/>
      <c r="E730" s="10"/>
      <c r="F730" s="10"/>
      <c r="G730" s="10"/>
      <c r="H730" s="770"/>
      <c r="I730" s="10"/>
      <c r="J730" s="10"/>
      <c r="K730" s="10"/>
      <c r="L730" s="10"/>
      <c r="M730" s="770"/>
      <c r="N730" s="10"/>
      <c r="O730" s="10"/>
      <c r="P730" s="10"/>
      <c r="Q730" s="10"/>
      <c r="R730" s="10"/>
      <c r="S730" s="10"/>
    </row>
    <row r="731" spans="1:19" x14ac:dyDescent="0.25">
      <c r="A731" s="10"/>
      <c r="B731" s="10"/>
      <c r="C731" s="10"/>
      <c r="D731" s="10"/>
      <c r="E731" s="10"/>
      <c r="F731" s="10"/>
      <c r="G731" s="10"/>
      <c r="H731" s="770"/>
      <c r="I731" s="10"/>
      <c r="J731" s="10"/>
      <c r="K731" s="10"/>
      <c r="L731" s="10"/>
      <c r="M731" s="770"/>
      <c r="N731" s="10"/>
      <c r="O731" s="10"/>
      <c r="P731" s="10"/>
      <c r="Q731" s="10"/>
      <c r="R731" s="10"/>
      <c r="S731" s="10"/>
    </row>
    <row r="732" spans="1:19" x14ac:dyDescent="0.25">
      <c r="A732" s="10"/>
      <c r="B732" s="10"/>
      <c r="C732" s="10"/>
      <c r="D732" s="10"/>
      <c r="E732" s="10"/>
      <c r="F732" s="10"/>
      <c r="G732" s="10"/>
      <c r="H732" s="770"/>
      <c r="I732" s="10"/>
      <c r="J732" s="10"/>
      <c r="K732" s="10"/>
      <c r="L732" s="10"/>
      <c r="M732" s="770"/>
      <c r="N732" s="10"/>
      <c r="O732" s="10"/>
      <c r="P732" s="10"/>
      <c r="Q732" s="10"/>
      <c r="R732" s="10"/>
      <c r="S732" s="10"/>
    </row>
    <row r="733" spans="1:19" x14ac:dyDescent="0.25">
      <c r="A733" s="10"/>
      <c r="B733" s="10"/>
      <c r="C733" s="10"/>
      <c r="D733" s="10"/>
      <c r="E733" s="10"/>
      <c r="F733" s="10"/>
      <c r="G733" s="10"/>
      <c r="H733" s="770"/>
      <c r="I733" s="10"/>
      <c r="J733" s="10"/>
      <c r="K733" s="10"/>
      <c r="L733" s="10"/>
      <c r="M733" s="770"/>
      <c r="N733" s="10"/>
      <c r="O733" s="10"/>
      <c r="P733" s="10"/>
      <c r="Q733" s="10"/>
      <c r="R733" s="10"/>
      <c r="S733" s="10"/>
    </row>
    <row r="734" spans="1:19" x14ac:dyDescent="0.25">
      <c r="A734" s="10"/>
      <c r="B734" s="10"/>
      <c r="C734" s="10"/>
      <c r="D734" s="10"/>
      <c r="E734" s="10"/>
      <c r="F734" s="10"/>
      <c r="G734" s="10"/>
      <c r="H734" s="770"/>
      <c r="I734" s="10"/>
      <c r="J734" s="10"/>
      <c r="K734" s="10"/>
      <c r="L734" s="10"/>
      <c r="M734" s="770"/>
      <c r="N734" s="10"/>
      <c r="O734" s="10"/>
      <c r="P734" s="10"/>
      <c r="Q734" s="10"/>
      <c r="R734" s="10"/>
      <c r="S734" s="10"/>
    </row>
    <row r="735" spans="1:19" x14ac:dyDescent="0.25">
      <c r="A735" s="10"/>
      <c r="B735" s="10"/>
      <c r="C735" s="10"/>
      <c r="D735" s="10"/>
      <c r="E735" s="10"/>
      <c r="F735" s="10"/>
      <c r="G735" s="10"/>
      <c r="H735" s="770"/>
      <c r="I735" s="10"/>
      <c r="J735" s="10"/>
      <c r="K735" s="10"/>
      <c r="L735" s="10"/>
      <c r="M735" s="770"/>
      <c r="N735" s="10"/>
      <c r="O735" s="10"/>
      <c r="P735" s="10"/>
      <c r="Q735" s="10"/>
      <c r="R735" s="10"/>
      <c r="S735" s="10"/>
    </row>
    <row r="736" spans="1:19" x14ac:dyDescent="0.25">
      <c r="A736" s="10"/>
      <c r="B736" s="10"/>
      <c r="C736" s="10"/>
      <c r="D736" s="10"/>
      <c r="E736" s="10"/>
      <c r="F736" s="10"/>
      <c r="G736" s="10"/>
      <c r="H736" s="770"/>
      <c r="I736" s="10"/>
      <c r="J736" s="10"/>
      <c r="K736" s="10"/>
      <c r="L736" s="10"/>
      <c r="M736" s="770"/>
      <c r="N736" s="10"/>
      <c r="O736" s="10"/>
      <c r="P736" s="10"/>
      <c r="Q736" s="10"/>
      <c r="R736" s="10"/>
      <c r="S736" s="10"/>
    </row>
    <row r="737" spans="1:19" x14ac:dyDescent="0.25">
      <c r="A737" s="10"/>
      <c r="B737" s="10"/>
      <c r="C737" s="10"/>
      <c r="D737" s="10"/>
      <c r="E737" s="10"/>
      <c r="F737" s="10"/>
      <c r="G737" s="10"/>
      <c r="H737" s="770"/>
      <c r="I737" s="10"/>
      <c r="J737" s="10"/>
      <c r="K737" s="10"/>
      <c r="L737" s="10"/>
      <c r="M737" s="770"/>
      <c r="N737" s="10"/>
      <c r="O737" s="10"/>
      <c r="P737" s="10"/>
      <c r="Q737" s="10"/>
      <c r="R737" s="10"/>
      <c r="S737" s="10"/>
    </row>
    <row r="738" spans="1:19" x14ac:dyDescent="0.25">
      <c r="A738" s="10"/>
      <c r="B738" s="10"/>
      <c r="C738" s="10"/>
      <c r="D738" s="10"/>
      <c r="E738" s="10"/>
      <c r="F738" s="10"/>
      <c r="G738" s="10"/>
      <c r="H738" s="770"/>
      <c r="I738" s="10"/>
      <c r="J738" s="10"/>
      <c r="K738" s="10"/>
      <c r="L738" s="10"/>
      <c r="M738" s="770"/>
      <c r="N738" s="10"/>
      <c r="O738" s="10"/>
      <c r="P738" s="10"/>
      <c r="Q738" s="10"/>
      <c r="R738" s="10"/>
      <c r="S738" s="10"/>
    </row>
    <row r="739" spans="1:19" x14ac:dyDescent="0.25">
      <c r="A739" s="10"/>
      <c r="B739" s="10"/>
      <c r="C739" s="10"/>
      <c r="D739" s="10"/>
      <c r="E739" s="10"/>
      <c r="F739" s="10"/>
      <c r="G739" s="10"/>
      <c r="H739" s="770"/>
      <c r="I739" s="10"/>
      <c r="J739" s="10"/>
      <c r="K739" s="10"/>
      <c r="L739" s="10"/>
      <c r="M739" s="770"/>
      <c r="N739" s="10"/>
      <c r="O739" s="10"/>
      <c r="P739" s="10"/>
      <c r="Q739" s="10"/>
      <c r="R739" s="10"/>
      <c r="S739" s="10"/>
    </row>
    <row r="740" spans="1:19" x14ac:dyDescent="0.25">
      <c r="A740" s="10"/>
      <c r="B740" s="10"/>
      <c r="C740" s="10"/>
      <c r="D740" s="10"/>
      <c r="E740" s="10"/>
      <c r="F740" s="10"/>
      <c r="G740" s="10"/>
      <c r="H740" s="770"/>
      <c r="I740" s="10"/>
      <c r="J740" s="10"/>
      <c r="K740" s="10"/>
      <c r="L740" s="10"/>
      <c r="M740" s="770"/>
      <c r="N740" s="10"/>
      <c r="O740" s="10"/>
      <c r="P740" s="10"/>
      <c r="Q740" s="10"/>
      <c r="R740" s="10"/>
      <c r="S740" s="10"/>
    </row>
    <row r="741" spans="1:19" x14ac:dyDescent="0.25">
      <c r="A741" s="10"/>
      <c r="B741" s="10"/>
      <c r="C741" s="10"/>
      <c r="D741" s="10"/>
      <c r="E741" s="10"/>
      <c r="F741" s="10"/>
      <c r="G741" s="10"/>
      <c r="H741" s="770"/>
      <c r="I741" s="10"/>
      <c r="J741" s="10"/>
      <c r="K741" s="10"/>
      <c r="L741" s="10"/>
      <c r="M741" s="770"/>
      <c r="N741" s="10"/>
      <c r="O741" s="10"/>
      <c r="P741" s="10"/>
      <c r="Q741" s="10"/>
      <c r="R741" s="10"/>
      <c r="S741" s="10"/>
    </row>
    <row r="742" spans="1:19" x14ac:dyDescent="0.25">
      <c r="A742" s="10"/>
      <c r="B742" s="10"/>
      <c r="C742" s="10"/>
      <c r="D742" s="10"/>
      <c r="E742" s="10"/>
      <c r="F742" s="10"/>
      <c r="G742" s="10"/>
      <c r="H742" s="770"/>
      <c r="I742" s="10"/>
      <c r="J742" s="10"/>
      <c r="K742" s="10"/>
      <c r="L742" s="10"/>
      <c r="M742" s="770"/>
      <c r="N742" s="10"/>
      <c r="O742" s="10"/>
      <c r="P742" s="10"/>
      <c r="Q742" s="10"/>
      <c r="R742" s="10"/>
      <c r="S742" s="10"/>
    </row>
    <row r="743" spans="1:19" x14ac:dyDescent="0.25">
      <c r="A743" s="10"/>
      <c r="B743" s="10"/>
      <c r="C743" s="10"/>
      <c r="D743" s="10"/>
      <c r="E743" s="10"/>
      <c r="F743" s="10"/>
      <c r="G743" s="10"/>
      <c r="H743" s="770"/>
      <c r="I743" s="10"/>
      <c r="J743" s="10"/>
      <c r="K743" s="10"/>
      <c r="L743" s="10"/>
      <c r="M743" s="770"/>
      <c r="N743" s="10"/>
      <c r="O743" s="10"/>
      <c r="P743" s="10"/>
      <c r="Q743" s="10"/>
      <c r="R743" s="10"/>
      <c r="S743" s="10"/>
    </row>
    <row r="744" spans="1:19" x14ac:dyDescent="0.25">
      <c r="A744" s="10"/>
      <c r="B744" s="10"/>
      <c r="C744" s="10"/>
      <c r="D744" s="10"/>
      <c r="E744" s="10"/>
      <c r="F744" s="10"/>
      <c r="G744" s="10"/>
      <c r="H744" s="770"/>
      <c r="I744" s="10"/>
      <c r="J744" s="10"/>
      <c r="K744" s="10"/>
      <c r="L744" s="10"/>
      <c r="M744" s="770"/>
      <c r="N744" s="10"/>
      <c r="O744" s="10"/>
      <c r="P744" s="10"/>
      <c r="Q744" s="10"/>
      <c r="R744" s="10"/>
      <c r="S744" s="10"/>
    </row>
    <row r="745" spans="1:19" x14ac:dyDescent="0.25">
      <c r="A745" s="10"/>
      <c r="B745" s="10"/>
      <c r="C745" s="10"/>
      <c r="D745" s="10"/>
      <c r="E745" s="10"/>
      <c r="F745" s="10"/>
      <c r="G745" s="10"/>
      <c r="H745" s="770"/>
      <c r="I745" s="10"/>
      <c r="J745" s="10"/>
      <c r="K745" s="10"/>
      <c r="L745" s="10"/>
      <c r="M745" s="770"/>
      <c r="N745" s="10"/>
      <c r="O745" s="10"/>
      <c r="P745" s="10"/>
      <c r="Q745" s="10"/>
      <c r="R745" s="10"/>
      <c r="S745" s="10"/>
    </row>
    <row r="746" spans="1:19" x14ac:dyDescent="0.25">
      <c r="A746" s="10"/>
      <c r="B746" s="10"/>
      <c r="C746" s="10"/>
      <c r="D746" s="10"/>
      <c r="E746" s="10"/>
      <c r="F746" s="10"/>
      <c r="G746" s="10"/>
      <c r="H746" s="770"/>
      <c r="I746" s="10"/>
      <c r="J746" s="10"/>
      <c r="K746" s="10"/>
      <c r="L746" s="10"/>
      <c r="M746" s="770"/>
      <c r="N746" s="10"/>
      <c r="O746" s="10"/>
      <c r="P746" s="10"/>
      <c r="Q746" s="10"/>
      <c r="R746" s="10"/>
      <c r="S746" s="10"/>
    </row>
    <row r="747" spans="1:19" x14ac:dyDescent="0.25">
      <c r="A747" s="10"/>
      <c r="B747" s="10"/>
      <c r="C747" s="10"/>
      <c r="D747" s="10"/>
      <c r="E747" s="10"/>
      <c r="F747" s="10"/>
      <c r="G747" s="10"/>
      <c r="H747" s="770"/>
      <c r="I747" s="10"/>
      <c r="J747" s="10"/>
      <c r="K747" s="10"/>
      <c r="L747" s="10"/>
      <c r="M747" s="770"/>
      <c r="N747" s="10"/>
      <c r="O747" s="10"/>
      <c r="P747" s="10"/>
      <c r="Q747" s="10"/>
      <c r="R747" s="10"/>
      <c r="S747" s="10"/>
    </row>
    <row r="748" spans="1:19" x14ac:dyDescent="0.25">
      <c r="A748" s="10"/>
      <c r="B748" s="10"/>
      <c r="C748" s="10"/>
      <c r="D748" s="10"/>
      <c r="E748" s="10"/>
      <c r="F748" s="10"/>
      <c r="G748" s="10"/>
      <c r="H748" s="770"/>
      <c r="I748" s="10"/>
      <c r="J748" s="10"/>
      <c r="K748" s="10"/>
      <c r="L748" s="10"/>
      <c r="M748" s="770"/>
      <c r="N748" s="10"/>
      <c r="O748" s="10"/>
      <c r="P748" s="10"/>
      <c r="Q748" s="10"/>
      <c r="R748" s="10"/>
      <c r="S748" s="10"/>
    </row>
    <row r="749" spans="1:19" x14ac:dyDescent="0.25">
      <c r="A749" s="10"/>
      <c r="B749" s="10"/>
      <c r="C749" s="10"/>
      <c r="D749" s="10"/>
      <c r="E749" s="10"/>
      <c r="F749" s="10"/>
      <c r="G749" s="10"/>
      <c r="H749" s="770"/>
      <c r="I749" s="10"/>
      <c r="J749" s="10"/>
      <c r="K749" s="10"/>
      <c r="L749" s="10"/>
      <c r="M749" s="770"/>
      <c r="N749" s="10"/>
      <c r="O749" s="10"/>
      <c r="P749" s="10"/>
      <c r="Q749" s="10"/>
      <c r="R749" s="10"/>
      <c r="S749" s="10"/>
    </row>
    <row r="750" spans="1:19" x14ac:dyDescent="0.25">
      <c r="A750" s="10"/>
      <c r="B750" s="10"/>
      <c r="C750" s="10"/>
      <c r="D750" s="10"/>
      <c r="E750" s="10"/>
      <c r="F750" s="10"/>
      <c r="G750" s="10"/>
      <c r="H750" s="770"/>
      <c r="I750" s="10"/>
      <c r="J750" s="10"/>
      <c r="K750" s="10"/>
      <c r="L750" s="10"/>
      <c r="M750" s="770"/>
      <c r="N750" s="10"/>
      <c r="O750" s="10"/>
      <c r="P750" s="10"/>
      <c r="Q750" s="10"/>
      <c r="R750" s="10"/>
      <c r="S750" s="10"/>
    </row>
    <row r="751" spans="1:19" x14ac:dyDescent="0.25">
      <c r="A751" s="10"/>
      <c r="B751" s="10"/>
      <c r="C751" s="10"/>
      <c r="D751" s="10"/>
      <c r="E751" s="10"/>
      <c r="F751" s="10"/>
      <c r="G751" s="10"/>
      <c r="H751" s="770"/>
      <c r="I751" s="10"/>
      <c r="J751" s="10"/>
      <c r="K751" s="10"/>
      <c r="L751" s="10"/>
      <c r="M751" s="770"/>
      <c r="N751" s="10"/>
      <c r="O751" s="10"/>
      <c r="P751" s="10"/>
      <c r="Q751" s="10"/>
      <c r="R751" s="10"/>
      <c r="S751" s="10"/>
    </row>
    <row r="752" spans="1:19" x14ac:dyDescent="0.25">
      <c r="A752" s="10"/>
      <c r="B752" s="10"/>
      <c r="C752" s="10"/>
      <c r="D752" s="10"/>
      <c r="E752" s="10"/>
      <c r="F752" s="10"/>
      <c r="G752" s="10"/>
      <c r="H752" s="770"/>
      <c r="I752" s="10"/>
      <c r="J752" s="10"/>
      <c r="K752" s="10"/>
      <c r="L752" s="10"/>
      <c r="M752" s="770"/>
      <c r="N752" s="10"/>
      <c r="O752" s="10"/>
      <c r="P752" s="10"/>
      <c r="Q752" s="10"/>
      <c r="R752" s="10"/>
      <c r="S752" s="10"/>
    </row>
    <row r="753" spans="1:19" x14ac:dyDescent="0.25">
      <c r="A753" s="10"/>
      <c r="B753" s="10"/>
      <c r="C753" s="10"/>
      <c r="D753" s="10"/>
      <c r="E753" s="10"/>
      <c r="F753" s="10"/>
      <c r="G753" s="10"/>
      <c r="H753" s="770"/>
      <c r="I753" s="10"/>
      <c r="J753" s="10"/>
      <c r="K753" s="10"/>
      <c r="L753" s="10"/>
      <c r="M753" s="770"/>
      <c r="N753" s="10"/>
      <c r="O753" s="10"/>
      <c r="P753" s="10"/>
      <c r="Q753" s="10"/>
      <c r="R753" s="10"/>
      <c r="S753" s="10"/>
    </row>
    <row r="754" spans="1:19" x14ac:dyDescent="0.25">
      <c r="A754" s="10"/>
      <c r="B754" s="10"/>
      <c r="C754" s="10"/>
      <c r="D754" s="10"/>
      <c r="E754" s="10"/>
      <c r="F754" s="10"/>
      <c r="G754" s="10"/>
      <c r="H754" s="770"/>
      <c r="I754" s="10"/>
      <c r="J754" s="10"/>
      <c r="K754" s="10"/>
      <c r="L754" s="10"/>
      <c r="M754" s="770"/>
      <c r="N754" s="10"/>
      <c r="O754" s="10"/>
      <c r="P754" s="10"/>
      <c r="Q754" s="10"/>
      <c r="R754" s="10"/>
      <c r="S754" s="10"/>
    </row>
    <row r="755" spans="1:19" x14ac:dyDescent="0.25">
      <c r="A755" s="10"/>
      <c r="B755" s="10"/>
      <c r="C755" s="10"/>
      <c r="D755" s="10"/>
      <c r="E755" s="10"/>
      <c r="F755" s="10"/>
      <c r="G755" s="10"/>
      <c r="H755" s="770"/>
      <c r="I755" s="10"/>
      <c r="J755" s="10"/>
      <c r="K755" s="10"/>
      <c r="L755" s="10"/>
      <c r="M755" s="770"/>
      <c r="N755" s="10"/>
      <c r="O755" s="10"/>
      <c r="P755" s="10"/>
      <c r="Q755" s="10"/>
      <c r="R755" s="10"/>
      <c r="S755" s="10"/>
    </row>
    <row r="756" spans="1:19" x14ac:dyDescent="0.25">
      <c r="A756" s="10"/>
      <c r="B756" s="10"/>
      <c r="C756" s="10"/>
      <c r="D756" s="10"/>
      <c r="E756" s="10"/>
      <c r="F756" s="10"/>
      <c r="G756" s="10"/>
      <c r="H756" s="770"/>
      <c r="I756" s="10"/>
      <c r="J756" s="10"/>
      <c r="K756" s="10"/>
      <c r="L756" s="10"/>
      <c r="M756" s="770"/>
      <c r="N756" s="10"/>
      <c r="O756" s="10"/>
      <c r="P756" s="10"/>
      <c r="Q756" s="10"/>
      <c r="R756" s="10"/>
      <c r="S756" s="10"/>
    </row>
    <row r="757" spans="1:19" x14ac:dyDescent="0.25">
      <c r="A757" s="10"/>
      <c r="B757" s="10"/>
      <c r="C757" s="10"/>
      <c r="D757" s="10"/>
      <c r="E757" s="10"/>
      <c r="F757" s="10"/>
      <c r="G757" s="10"/>
      <c r="H757" s="770"/>
      <c r="I757" s="10"/>
      <c r="J757" s="10"/>
      <c r="K757" s="10"/>
      <c r="L757" s="10"/>
      <c r="M757" s="770"/>
      <c r="N757" s="10"/>
      <c r="O757" s="10"/>
      <c r="P757" s="10"/>
      <c r="Q757" s="10"/>
      <c r="R757" s="10"/>
      <c r="S757" s="10"/>
    </row>
    <row r="758" spans="1:19" x14ac:dyDescent="0.25">
      <c r="A758" s="10"/>
      <c r="B758" s="10"/>
      <c r="C758" s="10"/>
      <c r="D758" s="10"/>
      <c r="E758" s="10"/>
      <c r="F758" s="10"/>
      <c r="G758" s="10"/>
      <c r="H758" s="770"/>
      <c r="I758" s="10"/>
      <c r="J758" s="10"/>
      <c r="K758" s="10"/>
      <c r="L758" s="10"/>
      <c r="M758" s="770"/>
      <c r="N758" s="10"/>
      <c r="O758" s="10"/>
      <c r="P758" s="10"/>
      <c r="Q758" s="10"/>
      <c r="R758" s="10"/>
      <c r="S758" s="10"/>
    </row>
    <row r="759" spans="1:19" x14ac:dyDescent="0.25">
      <c r="A759" s="10"/>
      <c r="B759" s="10"/>
      <c r="C759" s="10"/>
      <c r="D759" s="10"/>
      <c r="E759" s="10"/>
      <c r="F759" s="10"/>
      <c r="G759" s="10"/>
      <c r="H759" s="770"/>
      <c r="I759" s="10"/>
      <c r="J759" s="10"/>
      <c r="K759" s="10"/>
      <c r="L759" s="10"/>
      <c r="M759" s="770"/>
      <c r="N759" s="10"/>
      <c r="O759" s="10"/>
      <c r="P759" s="10"/>
      <c r="Q759" s="10"/>
      <c r="R759" s="10"/>
      <c r="S759" s="10"/>
    </row>
    <row r="760" spans="1:19" x14ac:dyDescent="0.25">
      <c r="A760" s="10"/>
      <c r="B760" s="10"/>
      <c r="C760" s="10"/>
      <c r="D760" s="10"/>
      <c r="E760" s="10"/>
      <c r="F760" s="10"/>
      <c r="G760" s="10"/>
      <c r="H760" s="770"/>
      <c r="I760" s="10"/>
      <c r="J760" s="10"/>
      <c r="K760" s="10"/>
      <c r="L760" s="10"/>
      <c r="M760" s="770"/>
      <c r="N760" s="10"/>
      <c r="O760" s="10"/>
      <c r="P760" s="10"/>
      <c r="Q760" s="10"/>
      <c r="R760" s="10"/>
      <c r="S760" s="10"/>
    </row>
    <row r="761" spans="1:19" x14ac:dyDescent="0.25">
      <c r="A761" s="10"/>
      <c r="B761" s="10"/>
      <c r="C761" s="10"/>
      <c r="D761" s="10"/>
      <c r="E761" s="10"/>
      <c r="F761" s="10"/>
      <c r="G761" s="10"/>
      <c r="H761" s="770"/>
      <c r="I761" s="10"/>
      <c r="J761" s="10"/>
      <c r="K761" s="10"/>
      <c r="L761" s="10"/>
      <c r="M761" s="770"/>
      <c r="N761" s="10"/>
      <c r="O761" s="10"/>
      <c r="P761" s="10"/>
      <c r="Q761" s="10"/>
      <c r="R761" s="10"/>
      <c r="S761" s="10"/>
    </row>
    <row r="762" spans="1:19" x14ac:dyDescent="0.25">
      <c r="A762" s="10"/>
      <c r="B762" s="10"/>
      <c r="C762" s="10"/>
      <c r="D762" s="10"/>
      <c r="E762" s="10"/>
      <c r="F762" s="10"/>
      <c r="G762" s="10"/>
      <c r="H762" s="770"/>
      <c r="I762" s="10"/>
      <c r="J762" s="10"/>
      <c r="K762" s="10"/>
      <c r="L762" s="10"/>
      <c r="M762" s="770"/>
      <c r="N762" s="10"/>
      <c r="O762" s="10"/>
      <c r="P762" s="10"/>
      <c r="Q762" s="10"/>
      <c r="R762" s="10"/>
      <c r="S762" s="10"/>
    </row>
    <row r="763" spans="1:19" x14ac:dyDescent="0.25">
      <c r="A763" s="10"/>
      <c r="B763" s="10"/>
      <c r="C763" s="10"/>
      <c r="D763" s="10"/>
      <c r="E763" s="10"/>
      <c r="F763" s="10"/>
      <c r="G763" s="10"/>
      <c r="H763" s="770"/>
      <c r="I763" s="10"/>
      <c r="J763" s="10"/>
      <c r="K763" s="10"/>
      <c r="L763" s="10"/>
      <c r="M763" s="770"/>
      <c r="N763" s="10"/>
      <c r="O763" s="10"/>
      <c r="P763" s="10"/>
      <c r="Q763" s="10"/>
      <c r="R763" s="10"/>
      <c r="S763" s="10"/>
    </row>
    <row r="764" spans="1:19" x14ac:dyDescent="0.25">
      <c r="A764" s="10"/>
      <c r="B764" s="10"/>
      <c r="C764" s="10"/>
      <c r="D764" s="10"/>
      <c r="E764" s="10"/>
      <c r="F764" s="10"/>
      <c r="G764" s="10"/>
      <c r="H764" s="770"/>
      <c r="I764" s="10"/>
      <c r="J764" s="10"/>
      <c r="K764" s="10"/>
      <c r="L764" s="10"/>
      <c r="M764" s="770"/>
      <c r="N764" s="10"/>
      <c r="O764" s="10"/>
      <c r="P764" s="10"/>
      <c r="Q764" s="10"/>
      <c r="R764" s="10"/>
      <c r="S764" s="10"/>
    </row>
    <row r="765" spans="1:19" x14ac:dyDescent="0.25">
      <c r="A765" s="10"/>
      <c r="B765" s="10"/>
      <c r="C765" s="10"/>
      <c r="D765" s="10"/>
      <c r="E765" s="10"/>
      <c r="F765" s="10"/>
      <c r="G765" s="10"/>
      <c r="H765" s="770"/>
      <c r="I765" s="10"/>
      <c r="J765" s="10"/>
      <c r="K765" s="10"/>
      <c r="L765" s="10"/>
      <c r="M765" s="770"/>
      <c r="N765" s="10"/>
      <c r="O765" s="10"/>
      <c r="P765" s="10"/>
      <c r="Q765" s="10"/>
      <c r="R765" s="10"/>
      <c r="S765" s="10"/>
    </row>
    <row r="766" spans="1:19" x14ac:dyDescent="0.25">
      <c r="A766" s="10"/>
      <c r="B766" s="10"/>
      <c r="C766" s="10"/>
      <c r="D766" s="10"/>
      <c r="E766" s="10"/>
      <c r="F766" s="10"/>
      <c r="G766" s="10"/>
      <c r="H766" s="770"/>
      <c r="I766" s="10"/>
      <c r="J766" s="10"/>
      <c r="K766" s="10"/>
      <c r="L766" s="10"/>
      <c r="M766" s="770"/>
      <c r="N766" s="10"/>
      <c r="O766" s="10"/>
      <c r="P766" s="10"/>
      <c r="Q766" s="10"/>
      <c r="R766" s="10"/>
      <c r="S766" s="10"/>
    </row>
    <row r="767" spans="1:19" x14ac:dyDescent="0.25">
      <c r="A767" s="10"/>
      <c r="B767" s="10"/>
      <c r="C767" s="10"/>
      <c r="D767" s="10"/>
      <c r="E767" s="10"/>
      <c r="F767" s="10"/>
      <c r="G767" s="10"/>
      <c r="H767" s="770"/>
      <c r="I767" s="10"/>
      <c r="J767" s="10"/>
      <c r="K767" s="10"/>
      <c r="L767" s="10"/>
      <c r="M767" s="770"/>
      <c r="N767" s="10"/>
      <c r="O767" s="10"/>
      <c r="P767" s="10"/>
      <c r="Q767" s="10"/>
      <c r="R767" s="10"/>
      <c r="S767" s="10"/>
    </row>
    <row r="768" spans="1:19" x14ac:dyDescent="0.25">
      <c r="A768" s="10"/>
      <c r="B768" s="10"/>
      <c r="C768" s="10"/>
      <c r="D768" s="10"/>
      <c r="E768" s="10"/>
      <c r="F768" s="10"/>
      <c r="G768" s="10"/>
      <c r="H768" s="770"/>
      <c r="I768" s="10"/>
      <c r="J768" s="10"/>
      <c r="K768" s="10"/>
      <c r="L768" s="10"/>
      <c r="M768" s="770"/>
      <c r="N768" s="10"/>
      <c r="O768" s="10"/>
      <c r="P768" s="10"/>
      <c r="Q768" s="10"/>
      <c r="R768" s="10"/>
      <c r="S768" s="10"/>
    </row>
    <row r="769" spans="1:19" x14ac:dyDescent="0.25">
      <c r="A769" s="10"/>
      <c r="B769" s="10"/>
      <c r="C769" s="10"/>
      <c r="D769" s="10"/>
      <c r="E769" s="10"/>
      <c r="F769" s="10"/>
      <c r="G769" s="10"/>
      <c r="H769" s="770"/>
      <c r="I769" s="10"/>
      <c r="J769" s="10"/>
      <c r="K769" s="10"/>
      <c r="L769" s="10"/>
      <c r="M769" s="770"/>
      <c r="N769" s="10"/>
      <c r="O769" s="10"/>
      <c r="P769" s="10"/>
      <c r="Q769" s="10"/>
      <c r="R769" s="10"/>
      <c r="S769" s="10"/>
    </row>
    <row r="770" spans="1:19" x14ac:dyDescent="0.25">
      <c r="A770" s="10"/>
      <c r="B770" s="10"/>
      <c r="C770" s="10"/>
      <c r="D770" s="10"/>
      <c r="E770" s="10"/>
      <c r="F770" s="10"/>
      <c r="G770" s="10"/>
      <c r="H770" s="770"/>
      <c r="I770" s="10"/>
      <c r="J770" s="10"/>
      <c r="K770" s="10"/>
      <c r="L770" s="10"/>
      <c r="M770" s="770"/>
      <c r="N770" s="10"/>
      <c r="O770" s="10"/>
      <c r="P770" s="10"/>
      <c r="Q770" s="10"/>
      <c r="R770" s="10"/>
      <c r="S770" s="10"/>
    </row>
    <row r="771" spans="1:19" x14ac:dyDescent="0.25">
      <c r="A771" s="10"/>
      <c r="B771" s="10"/>
      <c r="C771" s="10"/>
      <c r="D771" s="10"/>
      <c r="E771" s="10"/>
      <c r="F771" s="10"/>
      <c r="G771" s="10"/>
      <c r="H771" s="770"/>
      <c r="I771" s="10"/>
      <c r="J771" s="10"/>
      <c r="K771" s="10"/>
      <c r="L771" s="10"/>
      <c r="M771" s="770"/>
      <c r="N771" s="10"/>
      <c r="O771" s="10"/>
      <c r="P771" s="10"/>
      <c r="Q771" s="10"/>
      <c r="R771" s="10"/>
      <c r="S771" s="10"/>
    </row>
    <row r="772" spans="1:19" x14ac:dyDescent="0.25">
      <c r="A772" s="10"/>
      <c r="B772" s="10"/>
      <c r="C772" s="10"/>
      <c r="D772" s="10"/>
      <c r="E772" s="10"/>
      <c r="F772" s="10"/>
      <c r="G772" s="10"/>
      <c r="H772" s="770"/>
      <c r="I772" s="10"/>
      <c r="J772" s="10"/>
      <c r="K772" s="10"/>
      <c r="L772" s="10"/>
      <c r="M772" s="770"/>
      <c r="N772" s="10"/>
      <c r="O772" s="10"/>
      <c r="P772" s="10"/>
      <c r="Q772" s="10"/>
      <c r="R772" s="10"/>
      <c r="S772" s="10"/>
    </row>
    <row r="773" spans="1:19" x14ac:dyDescent="0.25">
      <c r="A773" s="10"/>
      <c r="B773" s="10"/>
      <c r="C773" s="10"/>
      <c r="D773" s="10"/>
      <c r="E773" s="10"/>
      <c r="F773" s="10"/>
      <c r="G773" s="10"/>
      <c r="H773" s="770"/>
      <c r="I773" s="10"/>
      <c r="J773" s="10"/>
      <c r="K773" s="10"/>
      <c r="L773" s="10"/>
      <c r="M773" s="770"/>
      <c r="N773" s="10"/>
      <c r="O773" s="10"/>
      <c r="P773" s="10"/>
      <c r="Q773" s="10"/>
      <c r="R773" s="10"/>
      <c r="S773" s="10"/>
    </row>
    <row r="774" spans="1:19" x14ac:dyDescent="0.25">
      <c r="A774" s="10"/>
      <c r="B774" s="10"/>
      <c r="C774" s="10"/>
      <c r="D774" s="10"/>
      <c r="E774" s="10"/>
      <c r="F774" s="10"/>
      <c r="G774" s="10"/>
      <c r="H774" s="770"/>
      <c r="I774" s="10"/>
      <c r="J774" s="10"/>
      <c r="K774" s="10"/>
      <c r="L774" s="10"/>
      <c r="M774" s="770"/>
      <c r="N774" s="10"/>
      <c r="O774" s="10"/>
      <c r="P774" s="10"/>
      <c r="Q774" s="10"/>
      <c r="R774" s="10"/>
      <c r="S774" s="10"/>
    </row>
    <row r="775" spans="1:19" x14ac:dyDescent="0.25">
      <c r="A775" s="10"/>
      <c r="B775" s="10"/>
      <c r="C775" s="10"/>
      <c r="D775" s="10"/>
      <c r="E775" s="10"/>
      <c r="F775" s="10"/>
      <c r="G775" s="10"/>
      <c r="H775" s="770"/>
      <c r="I775" s="10"/>
      <c r="J775" s="10"/>
      <c r="K775" s="10"/>
      <c r="L775" s="10"/>
      <c r="M775" s="770"/>
      <c r="N775" s="10"/>
      <c r="O775" s="10"/>
      <c r="P775" s="10"/>
      <c r="Q775" s="10"/>
      <c r="R775" s="10"/>
      <c r="S775" s="10"/>
    </row>
    <row r="776" spans="1:19" x14ac:dyDescent="0.25">
      <c r="A776" s="10"/>
      <c r="B776" s="10"/>
      <c r="C776" s="10"/>
      <c r="D776" s="10"/>
      <c r="E776" s="10"/>
      <c r="F776" s="10"/>
      <c r="G776" s="10"/>
      <c r="H776" s="770"/>
      <c r="I776" s="10"/>
      <c r="J776" s="10"/>
      <c r="K776" s="10"/>
      <c r="L776" s="10"/>
      <c r="M776" s="770"/>
      <c r="N776" s="10"/>
      <c r="O776" s="10"/>
      <c r="P776" s="10"/>
      <c r="Q776" s="10"/>
      <c r="R776" s="10"/>
      <c r="S776" s="10"/>
    </row>
    <row r="777" spans="1:19" x14ac:dyDescent="0.25">
      <c r="A777" s="10"/>
      <c r="B777" s="10"/>
      <c r="C777" s="10"/>
      <c r="D777" s="10"/>
      <c r="E777" s="10"/>
      <c r="F777" s="10"/>
      <c r="G777" s="10"/>
      <c r="H777" s="770"/>
      <c r="I777" s="10"/>
      <c r="J777" s="10"/>
      <c r="K777" s="10"/>
      <c r="L777" s="10"/>
      <c r="M777" s="770"/>
      <c r="N777" s="10"/>
      <c r="O777" s="10"/>
      <c r="P777" s="10"/>
      <c r="Q777" s="10"/>
      <c r="R777" s="10"/>
      <c r="S777" s="10"/>
    </row>
    <row r="778" spans="1:19" x14ac:dyDescent="0.25">
      <c r="A778" s="10"/>
      <c r="B778" s="10"/>
      <c r="C778" s="10"/>
      <c r="D778" s="10"/>
      <c r="E778" s="10"/>
      <c r="F778" s="10"/>
      <c r="G778" s="10"/>
      <c r="H778" s="770"/>
      <c r="I778" s="10"/>
      <c r="J778" s="10"/>
      <c r="K778" s="10"/>
      <c r="L778" s="10"/>
      <c r="M778" s="770"/>
      <c r="N778" s="10"/>
      <c r="O778" s="10"/>
      <c r="P778" s="10"/>
      <c r="Q778" s="10"/>
      <c r="R778" s="10"/>
      <c r="S778" s="10"/>
    </row>
    <row r="779" spans="1:19" x14ac:dyDescent="0.25">
      <c r="A779" s="10"/>
      <c r="B779" s="10"/>
      <c r="C779" s="10"/>
      <c r="D779" s="10"/>
      <c r="E779" s="10"/>
      <c r="F779" s="10"/>
      <c r="G779" s="10"/>
      <c r="H779" s="770"/>
      <c r="I779" s="10"/>
      <c r="J779" s="10"/>
      <c r="K779" s="10"/>
      <c r="L779" s="10"/>
      <c r="M779" s="770"/>
      <c r="N779" s="10"/>
      <c r="O779" s="10"/>
      <c r="P779" s="10"/>
      <c r="Q779" s="10"/>
      <c r="R779" s="10"/>
      <c r="S779" s="10"/>
    </row>
    <row r="780" spans="1:19" x14ac:dyDescent="0.25">
      <c r="A780" s="10"/>
      <c r="B780" s="10"/>
      <c r="C780" s="10"/>
      <c r="D780" s="10"/>
      <c r="E780" s="10"/>
      <c r="F780" s="10"/>
      <c r="G780" s="10"/>
      <c r="H780" s="770"/>
      <c r="I780" s="10"/>
      <c r="J780" s="10"/>
      <c r="K780" s="10"/>
      <c r="L780" s="10"/>
      <c r="M780" s="770"/>
      <c r="N780" s="10"/>
      <c r="O780" s="10"/>
      <c r="P780" s="10"/>
      <c r="Q780" s="10"/>
      <c r="R780" s="10"/>
      <c r="S780" s="10"/>
    </row>
    <row r="781" spans="1:19" x14ac:dyDescent="0.25">
      <c r="A781" s="10"/>
      <c r="B781" s="10"/>
      <c r="C781" s="10"/>
      <c r="D781" s="10"/>
      <c r="E781" s="10"/>
      <c r="F781" s="10"/>
      <c r="G781" s="10"/>
      <c r="H781" s="770"/>
      <c r="I781" s="10"/>
      <c r="J781" s="10"/>
      <c r="K781" s="10"/>
      <c r="L781" s="10"/>
      <c r="M781" s="770"/>
      <c r="N781" s="10"/>
      <c r="O781" s="10"/>
      <c r="P781" s="10"/>
      <c r="Q781" s="10"/>
      <c r="R781" s="10"/>
      <c r="S781" s="10"/>
    </row>
    <row r="782" spans="1:19" x14ac:dyDescent="0.25">
      <c r="A782" s="10"/>
      <c r="B782" s="10"/>
      <c r="C782" s="10"/>
      <c r="D782" s="10"/>
      <c r="E782" s="10"/>
      <c r="F782" s="10"/>
      <c r="G782" s="10"/>
      <c r="H782" s="770"/>
      <c r="I782" s="10"/>
      <c r="J782" s="10"/>
      <c r="K782" s="10"/>
      <c r="L782" s="10"/>
      <c r="M782" s="770"/>
      <c r="N782" s="10"/>
      <c r="O782" s="10"/>
      <c r="P782" s="10"/>
      <c r="Q782" s="10"/>
      <c r="R782" s="10"/>
      <c r="S782" s="10"/>
    </row>
    <row r="783" spans="1:19" x14ac:dyDescent="0.25">
      <c r="A783" s="10"/>
      <c r="B783" s="10"/>
      <c r="C783" s="10"/>
      <c r="D783" s="10"/>
      <c r="E783" s="10"/>
      <c r="F783" s="10"/>
      <c r="G783" s="10"/>
      <c r="H783" s="770"/>
      <c r="I783" s="10"/>
      <c r="J783" s="10"/>
      <c r="K783" s="10"/>
      <c r="L783" s="10"/>
      <c r="M783" s="770"/>
      <c r="N783" s="10"/>
      <c r="O783" s="10"/>
      <c r="P783" s="10"/>
      <c r="Q783" s="10"/>
      <c r="R783" s="10"/>
      <c r="S783" s="10"/>
    </row>
    <row r="784" spans="1:19" x14ac:dyDescent="0.25">
      <c r="A784" s="10"/>
      <c r="B784" s="10"/>
      <c r="C784" s="10"/>
      <c r="D784" s="10"/>
      <c r="E784" s="10"/>
      <c r="F784" s="10"/>
      <c r="G784" s="10"/>
      <c r="H784" s="770"/>
      <c r="I784" s="10"/>
      <c r="J784" s="10"/>
      <c r="K784" s="10"/>
      <c r="L784" s="10"/>
      <c r="M784" s="770"/>
      <c r="N784" s="10"/>
      <c r="O784" s="10"/>
      <c r="P784" s="10"/>
      <c r="Q784" s="10"/>
      <c r="R784" s="10"/>
      <c r="S784" s="10"/>
    </row>
    <row r="785" spans="1:19" x14ac:dyDescent="0.25">
      <c r="A785" s="10"/>
      <c r="B785" s="10"/>
      <c r="C785" s="10"/>
      <c r="D785" s="10"/>
      <c r="E785" s="10"/>
      <c r="F785" s="10"/>
      <c r="G785" s="10"/>
      <c r="H785" s="770"/>
      <c r="I785" s="10"/>
      <c r="J785" s="10"/>
      <c r="K785" s="10"/>
      <c r="L785" s="10"/>
      <c r="M785" s="770"/>
      <c r="N785" s="10"/>
      <c r="O785" s="10"/>
      <c r="P785" s="10"/>
      <c r="Q785" s="10"/>
      <c r="R785" s="10"/>
      <c r="S785" s="10"/>
    </row>
    <row r="786" spans="1:19" x14ac:dyDescent="0.25">
      <c r="A786" s="10"/>
      <c r="B786" s="10"/>
      <c r="C786" s="10"/>
      <c r="D786" s="10"/>
      <c r="E786" s="10"/>
      <c r="F786" s="10"/>
      <c r="G786" s="10"/>
      <c r="H786" s="770"/>
      <c r="I786" s="10"/>
      <c r="J786" s="10"/>
      <c r="K786" s="10"/>
      <c r="L786" s="10"/>
      <c r="M786" s="770"/>
      <c r="N786" s="10"/>
      <c r="O786" s="10"/>
      <c r="P786" s="10"/>
      <c r="Q786" s="10"/>
      <c r="R786" s="10"/>
      <c r="S786" s="10"/>
    </row>
    <row r="787" spans="1:19" x14ac:dyDescent="0.25">
      <c r="A787" s="10"/>
      <c r="B787" s="10"/>
      <c r="C787" s="10"/>
      <c r="D787" s="10"/>
      <c r="E787" s="10"/>
      <c r="F787" s="10"/>
      <c r="G787" s="10"/>
      <c r="H787" s="770"/>
      <c r="I787" s="10"/>
      <c r="J787" s="10"/>
      <c r="K787" s="10"/>
      <c r="L787" s="10"/>
      <c r="M787" s="770"/>
      <c r="N787" s="10"/>
      <c r="O787" s="10"/>
      <c r="P787" s="10"/>
      <c r="Q787" s="10"/>
      <c r="R787" s="10"/>
      <c r="S787" s="10"/>
    </row>
    <row r="788" spans="1:19" x14ac:dyDescent="0.25">
      <c r="A788" s="10"/>
      <c r="B788" s="10"/>
      <c r="C788" s="10"/>
      <c r="D788" s="10"/>
      <c r="E788" s="10"/>
      <c r="F788" s="10"/>
      <c r="G788" s="10"/>
      <c r="H788" s="770"/>
      <c r="I788" s="10"/>
      <c r="J788" s="10"/>
      <c r="K788" s="10"/>
      <c r="L788" s="10"/>
      <c r="M788" s="770"/>
      <c r="N788" s="10"/>
      <c r="O788" s="10"/>
      <c r="P788" s="10"/>
      <c r="Q788" s="10"/>
      <c r="R788" s="10"/>
      <c r="S788" s="10"/>
    </row>
    <row r="789" spans="1:19" x14ac:dyDescent="0.25">
      <c r="A789" s="10"/>
      <c r="B789" s="10"/>
      <c r="C789" s="10"/>
      <c r="D789" s="10"/>
      <c r="E789" s="10"/>
      <c r="F789" s="10"/>
      <c r="G789" s="10"/>
      <c r="H789" s="770"/>
      <c r="I789" s="10"/>
      <c r="J789" s="10"/>
      <c r="K789" s="10"/>
      <c r="L789" s="10"/>
      <c r="M789" s="770"/>
      <c r="N789" s="10"/>
      <c r="O789" s="10"/>
      <c r="P789" s="10"/>
      <c r="Q789" s="10"/>
      <c r="R789" s="10"/>
      <c r="S789" s="10"/>
    </row>
    <row r="790" spans="1:19" x14ac:dyDescent="0.25">
      <c r="A790" s="10"/>
      <c r="B790" s="10"/>
      <c r="C790" s="10"/>
      <c r="D790" s="10"/>
      <c r="E790" s="10"/>
      <c r="F790" s="10"/>
      <c r="G790" s="10"/>
      <c r="H790" s="770"/>
      <c r="I790" s="10"/>
      <c r="J790" s="10"/>
      <c r="K790" s="10"/>
      <c r="L790" s="10"/>
      <c r="M790" s="770"/>
      <c r="N790" s="10"/>
      <c r="O790" s="10"/>
      <c r="P790" s="10"/>
      <c r="Q790" s="10"/>
      <c r="R790" s="10"/>
      <c r="S790" s="10"/>
    </row>
    <row r="791" spans="1:19" x14ac:dyDescent="0.25">
      <c r="A791" s="10"/>
      <c r="B791" s="10"/>
      <c r="C791" s="10"/>
      <c r="D791" s="10"/>
      <c r="E791" s="10"/>
      <c r="F791" s="10"/>
      <c r="G791" s="10"/>
      <c r="H791" s="770"/>
      <c r="I791" s="10"/>
      <c r="J791" s="10"/>
      <c r="K791" s="10"/>
      <c r="L791" s="10"/>
      <c r="M791" s="770"/>
      <c r="N791" s="10"/>
      <c r="O791" s="10"/>
      <c r="P791" s="10"/>
      <c r="Q791" s="10"/>
      <c r="R791" s="10"/>
      <c r="S791" s="10"/>
    </row>
    <row r="792" spans="1:19" x14ac:dyDescent="0.25">
      <c r="A792" s="10"/>
      <c r="B792" s="10"/>
      <c r="C792" s="10"/>
      <c r="D792" s="10"/>
      <c r="E792" s="10"/>
      <c r="F792" s="10"/>
      <c r="G792" s="10"/>
      <c r="H792" s="770"/>
      <c r="I792" s="10"/>
      <c r="J792" s="10"/>
      <c r="K792" s="10"/>
      <c r="L792" s="10"/>
      <c r="M792" s="770"/>
      <c r="N792" s="10"/>
      <c r="O792" s="10"/>
      <c r="P792" s="10"/>
      <c r="Q792" s="10"/>
      <c r="R792" s="10"/>
      <c r="S792" s="10"/>
    </row>
    <row r="793" spans="1:19" x14ac:dyDescent="0.25">
      <c r="A793" s="10"/>
      <c r="B793" s="10"/>
      <c r="C793" s="10"/>
      <c r="D793" s="10"/>
      <c r="E793" s="10"/>
      <c r="F793" s="10"/>
      <c r="G793" s="10"/>
      <c r="H793" s="770"/>
      <c r="I793" s="10"/>
      <c r="J793" s="10"/>
      <c r="K793" s="10"/>
      <c r="L793" s="10"/>
      <c r="M793" s="770"/>
      <c r="N793" s="10"/>
      <c r="O793" s="10"/>
      <c r="P793" s="10"/>
      <c r="Q793" s="10"/>
      <c r="R793" s="10"/>
      <c r="S793" s="10"/>
    </row>
    <row r="794" spans="1:19" x14ac:dyDescent="0.25">
      <c r="A794" s="10"/>
      <c r="B794" s="10"/>
      <c r="C794" s="10"/>
      <c r="D794" s="10"/>
      <c r="E794" s="10"/>
      <c r="F794" s="10"/>
      <c r="G794" s="10"/>
      <c r="H794" s="770"/>
      <c r="I794" s="10"/>
      <c r="J794" s="10"/>
      <c r="K794" s="10"/>
      <c r="L794" s="10"/>
      <c r="M794" s="770"/>
      <c r="N794" s="10"/>
      <c r="O794" s="10"/>
      <c r="P794" s="10"/>
      <c r="Q794" s="10"/>
      <c r="R794" s="10"/>
      <c r="S794" s="10"/>
    </row>
    <row r="795" spans="1:19" x14ac:dyDescent="0.25">
      <c r="A795" s="10"/>
      <c r="B795" s="10"/>
      <c r="C795" s="10"/>
      <c r="D795" s="10"/>
      <c r="E795" s="10"/>
      <c r="F795" s="10"/>
      <c r="G795" s="10"/>
      <c r="H795" s="770"/>
      <c r="I795" s="10"/>
      <c r="J795" s="10"/>
      <c r="K795" s="10"/>
      <c r="L795" s="10"/>
      <c r="M795" s="770"/>
      <c r="N795" s="10"/>
      <c r="O795" s="10"/>
      <c r="P795" s="10"/>
      <c r="Q795" s="10"/>
      <c r="R795" s="10"/>
      <c r="S795" s="10"/>
    </row>
    <row r="796" spans="1:19" x14ac:dyDescent="0.25">
      <c r="A796" s="10"/>
      <c r="B796" s="10"/>
      <c r="C796" s="10"/>
      <c r="D796" s="10"/>
      <c r="E796" s="10"/>
      <c r="F796" s="10"/>
      <c r="G796" s="10"/>
      <c r="H796" s="770"/>
      <c r="I796" s="10"/>
      <c r="J796" s="10"/>
      <c r="K796" s="10"/>
      <c r="L796" s="10"/>
      <c r="M796" s="770"/>
      <c r="N796" s="10"/>
      <c r="O796" s="10"/>
      <c r="P796" s="10"/>
      <c r="Q796" s="10"/>
      <c r="R796" s="10"/>
      <c r="S796" s="10"/>
    </row>
    <row r="797" spans="1:19" x14ac:dyDescent="0.25">
      <c r="A797" s="10"/>
      <c r="B797" s="10"/>
      <c r="C797" s="10"/>
      <c r="D797" s="10"/>
      <c r="E797" s="10"/>
      <c r="F797" s="10"/>
      <c r="G797" s="10"/>
      <c r="H797" s="770"/>
      <c r="I797" s="10"/>
      <c r="J797" s="10"/>
      <c r="K797" s="10"/>
      <c r="L797" s="10"/>
      <c r="M797" s="770"/>
      <c r="N797" s="10"/>
      <c r="O797" s="10"/>
      <c r="P797" s="10"/>
      <c r="Q797" s="10"/>
      <c r="R797" s="10"/>
      <c r="S797" s="10"/>
    </row>
    <row r="798" spans="1:19" x14ac:dyDescent="0.25">
      <c r="A798" s="10"/>
      <c r="B798" s="10"/>
      <c r="C798" s="10"/>
      <c r="D798" s="10"/>
      <c r="E798" s="10"/>
      <c r="F798" s="10"/>
      <c r="G798" s="10"/>
      <c r="H798" s="770"/>
      <c r="I798" s="10"/>
      <c r="J798" s="10"/>
      <c r="K798" s="10"/>
      <c r="L798" s="10"/>
      <c r="M798" s="770"/>
      <c r="N798" s="10"/>
      <c r="O798" s="10"/>
      <c r="P798" s="10"/>
      <c r="Q798" s="10"/>
      <c r="R798" s="10"/>
      <c r="S798" s="10"/>
    </row>
    <row r="799" spans="1:19" x14ac:dyDescent="0.25">
      <c r="A799" s="10"/>
      <c r="B799" s="10"/>
      <c r="C799" s="10"/>
      <c r="D799" s="10"/>
      <c r="E799" s="10"/>
      <c r="F799" s="10"/>
      <c r="G799" s="10"/>
      <c r="H799" s="770"/>
      <c r="I799" s="10"/>
      <c r="J799" s="10"/>
      <c r="K799" s="10"/>
      <c r="L799" s="10"/>
      <c r="M799" s="770"/>
      <c r="N799" s="10"/>
      <c r="O799" s="10"/>
      <c r="P799" s="10"/>
      <c r="Q799" s="10"/>
      <c r="R799" s="10"/>
      <c r="S799" s="10"/>
    </row>
    <row r="800" spans="1:19" x14ac:dyDescent="0.25">
      <c r="A800" s="10"/>
      <c r="B800" s="10"/>
      <c r="C800" s="10"/>
      <c r="D800" s="10"/>
      <c r="E800" s="10"/>
      <c r="F800" s="10"/>
      <c r="G800" s="10"/>
      <c r="H800" s="770"/>
      <c r="I800" s="10"/>
      <c r="J800" s="10"/>
      <c r="K800" s="10"/>
      <c r="L800" s="10"/>
      <c r="M800" s="770"/>
      <c r="N800" s="10"/>
      <c r="O800" s="10"/>
      <c r="P800" s="10"/>
      <c r="Q800" s="10"/>
      <c r="R800" s="10"/>
      <c r="S800" s="10"/>
    </row>
    <row r="801" spans="1:19" x14ac:dyDescent="0.25">
      <c r="A801" s="10"/>
      <c r="B801" s="10"/>
      <c r="C801" s="10"/>
      <c r="D801" s="10"/>
      <c r="E801" s="10"/>
      <c r="F801" s="10"/>
      <c r="G801" s="10"/>
      <c r="H801" s="770"/>
      <c r="I801" s="10"/>
      <c r="J801" s="10"/>
      <c r="K801" s="10"/>
      <c r="L801" s="10"/>
      <c r="M801" s="770"/>
      <c r="N801" s="10"/>
      <c r="O801" s="10"/>
      <c r="P801" s="10"/>
      <c r="Q801" s="10"/>
      <c r="R801" s="10"/>
      <c r="S801" s="10"/>
    </row>
    <row r="802" spans="1:19" x14ac:dyDescent="0.25">
      <c r="A802" s="10"/>
      <c r="B802" s="10"/>
      <c r="C802" s="10"/>
      <c r="D802" s="10"/>
      <c r="E802" s="10"/>
      <c r="F802" s="10"/>
      <c r="G802" s="10"/>
      <c r="H802" s="770"/>
      <c r="I802" s="10"/>
      <c r="J802" s="10"/>
      <c r="K802" s="10"/>
      <c r="L802" s="10"/>
      <c r="M802" s="770"/>
      <c r="N802" s="10"/>
      <c r="O802" s="10"/>
      <c r="P802" s="10"/>
      <c r="Q802" s="10"/>
      <c r="R802" s="10"/>
      <c r="S802" s="10"/>
    </row>
    <row r="803" spans="1:19" x14ac:dyDescent="0.25">
      <c r="A803" s="10"/>
      <c r="B803" s="10"/>
      <c r="C803" s="10"/>
      <c r="D803" s="10"/>
      <c r="E803" s="10"/>
      <c r="F803" s="10"/>
      <c r="G803" s="10"/>
      <c r="H803" s="770"/>
      <c r="I803" s="10"/>
      <c r="J803" s="10"/>
      <c r="K803" s="10"/>
      <c r="L803" s="10"/>
      <c r="M803" s="770"/>
      <c r="N803" s="10"/>
      <c r="O803" s="10"/>
      <c r="P803" s="10"/>
      <c r="Q803" s="10"/>
      <c r="R803" s="10"/>
      <c r="S803" s="10"/>
    </row>
    <row r="804" spans="1:19" x14ac:dyDescent="0.25">
      <c r="A804" s="10"/>
      <c r="B804" s="10"/>
      <c r="C804" s="10"/>
      <c r="D804" s="10"/>
      <c r="E804" s="10"/>
      <c r="F804" s="10"/>
      <c r="G804" s="10"/>
      <c r="H804" s="770"/>
      <c r="I804" s="10"/>
      <c r="J804" s="10"/>
      <c r="K804" s="10"/>
      <c r="L804" s="10"/>
      <c r="M804" s="770"/>
      <c r="N804" s="10"/>
      <c r="O804" s="10"/>
      <c r="P804" s="10"/>
      <c r="Q804" s="10"/>
      <c r="R804" s="10"/>
      <c r="S804" s="10"/>
    </row>
    <row r="805" spans="1:19" x14ac:dyDescent="0.25">
      <c r="A805" s="10"/>
      <c r="B805" s="10"/>
      <c r="C805" s="10"/>
      <c r="D805" s="10"/>
      <c r="E805" s="10"/>
      <c r="F805" s="10"/>
      <c r="G805" s="10"/>
      <c r="H805" s="770"/>
      <c r="I805" s="10"/>
      <c r="J805" s="10"/>
      <c r="K805" s="10"/>
      <c r="L805" s="10"/>
      <c r="M805" s="770"/>
      <c r="N805" s="10"/>
      <c r="O805" s="10"/>
      <c r="P805" s="10"/>
      <c r="Q805" s="10"/>
      <c r="R805" s="10"/>
      <c r="S805" s="10"/>
    </row>
    <row r="806" spans="1:19" x14ac:dyDescent="0.25">
      <c r="A806" s="10"/>
      <c r="B806" s="10"/>
      <c r="C806" s="10"/>
      <c r="D806" s="10"/>
      <c r="E806" s="10"/>
      <c r="F806" s="10"/>
      <c r="G806" s="10"/>
      <c r="H806" s="770"/>
      <c r="I806" s="10"/>
      <c r="J806" s="10"/>
      <c r="K806" s="10"/>
      <c r="L806" s="10"/>
      <c r="M806" s="770"/>
      <c r="N806" s="10"/>
      <c r="O806" s="10"/>
      <c r="P806" s="10"/>
      <c r="Q806" s="10"/>
      <c r="R806" s="10"/>
      <c r="S806" s="10"/>
    </row>
    <row r="807" spans="1:19" x14ac:dyDescent="0.25">
      <c r="A807" s="10"/>
      <c r="B807" s="10"/>
      <c r="C807" s="10"/>
      <c r="D807" s="10"/>
      <c r="E807" s="10"/>
      <c r="F807" s="10"/>
      <c r="G807" s="10"/>
      <c r="H807" s="770"/>
      <c r="I807" s="10"/>
      <c r="J807" s="10"/>
      <c r="K807" s="10"/>
      <c r="L807" s="10"/>
      <c r="M807" s="770"/>
      <c r="N807" s="10"/>
      <c r="O807" s="10"/>
      <c r="P807" s="10"/>
      <c r="Q807" s="10"/>
      <c r="R807" s="10"/>
      <c r="S807" s="10"/>
    </row>
    <row r="808" spans="1:19" x14ac:dyDescent="0.25">
      <c r="A808" s="10"/>
      <c r="B808" s="10"/>
      <c r="C808" s="10"/>
      <c r="D808" s="10"/>
      <c r="E808" s="10"/>
      <c r="F808" s="10"/>
      <c r="G808" s="10"/>
      <c r="H808" s="770"/>
      <c r="I808" s="10"/>
      <c r="J808" s="10"/>
      <c r="K808" s="10"/>
      <c r="L808" s="10"/>
      <c r="M808" s="770"/>
      <c r="N808" s="10"/>
      <c r="O808" s="10"/>
      <c r="P808" s="10"/>
      <c r="Q808" s="10"/>
      <c r="R808" s="10"/>
      <c r="S808" s="10"/>
    </row>
    <row r="809" spans="1:19" x14ac:dyDescent="0.25">
      <c r="A809" s="10"/>
      <c r="B809" s="10"/>
      <c r="C809" s="10"/>
      <c r="D809" s="10"/>
      <c r="E809" s="10"/>
      <c r="F809" s="10"/>
      <c r="G809" s="10"/>
      <c r="H809" s="770"/>
      <c r="I809" s="10"/>
      <c r="J809" s="10"/>
      <c r="K809" s="10"/>
      <c r="L809" s="10"/>
      <c r="M809" s="770"/>
      <c r="N809" s="10"/>
      <c r="O809" s="10"/>
      <c r="P809" s="10"/>
      <c r="Q809" s="10"/>
      <c r="R809" s="10"/>
      <c r="S809" s="10"/>
    </row>
    <row r="810" spans="1:19" x14ac:dyDescent="0.25">
      <c r="A810" s="10"/>
      <c r="B810" s="10"/>
      <c r="C810" s="10"/>
      <c r="D810" s="10"/>
      <c r="E810" s="10"/>
      <c r="F810" s="10"/>
      <c r="G810" s="10"/>
      <c r="H810" s="770"/>
      <c r="I810" s="10"/>
      <c r="J810" s="10"/>
      <c r="K810" s="10"/>
      <c r="L810" s="10"/>
      <c r="M810" s="770"/>
      <c r="N810" s="10"/>
      <c r="O810" s="10"/>
      <c r="P810" s="10"/>
      <c r="Q810" s="10"/>
      <c r="R810" s="10"/>
      <c r="S810" s="10"/>
    </row>
    <row r="811" spans="1:19" x14ac:dyDescent="0.25">
      <c r="A811" s="10"/>
      <c r="B811" s="10"/>
      <c r="C811" s="10"/>
      <c r="D811" s="10"/>
      <c r="E811" s="10"/>
      <c r="F811" s="10"/>
      <c r="G811" s="10"/>
      <c r="H811" s="770"/>
      <c r="I811" s="10"/>
      <c r="J811" s="10"/>
      <c r="K811" s="10"/>
      <c r="L811" s="10"/>
      <c r="M811" s="770"/>
      <c r="N811" s="10"/>
      <c r="O811" s="10"/>
      <c r="P811" s="10"/>
      <c r="Q811" s="10"/>
      <c r="R811" s="10"/>
      <c r="S811" s="10"/>
    </row>
    <row r="812" spans="1:19" x14ac:dyDescent="0.25">
      <c r="A812" s="10"/>
      <c r="B812" s="10"/>
      <c r="C812" s="10"/>
      <c r="D812" s="10"/>
      <c r="E812" s="10"/>
      <c r="F812" s="10"/>
      <c r="G812" s="10"/>
      <c r="H812" s="770"/>
      <c r="I812" s="10"/>
      <c r="J812" s="10"/>
      <c r="K812" s="10"/>
      <c r="L812" s="10"/>
      <c r="M812" s="770"/>
      <c r="N812" s="10"/>
      <c r="O812" s="10"/>
      <c r="P812" s="10"/>
      <c r="Q812" s="10"/>
      <c r="R812" s="10"/>
      <c r="S812" s="10"/>
    </row>
    <row r="813" spans="1:19" x14ac:dyDescent="0.25">
      <c r="A813" s="10"/>
      <c r="B813" s="10"/>
      <c r="C813" s="10"/>
      <c r="D813" s="10"/>
      <c r="E813" s="10"/>
      <c r="F813" s="10"/>
      <c r="G813" s="10"/>
      <c r="H813" s="770"/>
      <c r="I813" s="10"/>
      <c r="J813" s="10"/>
      <c r="K813" s="10"/>
      <c r="L813" s="10"/>
      <c r="M813" s="770"/>
      <c r="N813" s="10"/>
      <c r="O813" s="10"/>
      <c r="P813" s="10"/>
      <c r="Q813" s="10"/>
      <c r="R813" s="10"/>
      <c r="S813" s="10"/>
    </row>
    <row r="814" spans="1:19" x14ac:dyDescent="0.25">
      <c r="A814" s="10"/>
      <c r="B814" s="10"/>
      <c r="C814" s="10"/>
      <c r="D814" s="10"/>
      <c r="E814" s="10"/>
      <c r="F814" s="10"/>
      <c r="G814" s="10"/>
      <c r="H814" s="770"/>
      <c r="I814" s="10"/>
      <c r="J814" s="10"/>
      <c r="K814" s="10"/>
      <c r="L814" s="10"/>
      <c r="M814" s="770"/>
      <c r="N814" s="10"/>
      <c r="O814" s="10"/>
      <c r="P814" s="10"/>
      <c r="Q814" s="10"/>
      <c r="R814" s="10"/>
      <c r="S814" s="10"/>
    </row>
    <row r="815" spans="1:19" x14ac:dyDescent="0.25">
      <c r="A815" s="10"/>
      <c r="B815" s="10"/>
      <c r="C815" s="10"/>
      <c r="D815" s="10"/>
      <c r="E815" s="10"/>
      <c r="F815" s="10"/>
      <c r="G815" s="10"/>
      <c r="H815" s="770"/>
      <c r="I815" s="10"/>
      <c r="J815" s="10"/>
      <c r="K815" s="10"/>
      <c r="L815" s="10"/>
      <c r="M815" s="770"/>
      <c r="N815" s="10"/>
      <c r="O815" s="10"/>
      <c r="P815" s="10"/>
      <c r="Q815" s="10"/>
      <c r="R815" s="10"/>
      <c r="S815" s="10"/>
    </row>
    <row r="816" spans="1:19" x14ac:dyDescent="0.25">
      <c r="A816" s="10"/>
      <c r="B816" s="10"/>
      <c r="C816" s="10"/>
      <c r="D816" s="10"/>
      <c r="E816" s="10"/>
      <c r="F816" s="10"/>
      <c r="G816" s="10"/>
      <c r="H816" s="770"/>
      <c r="I816" s="10"/>
      <c r="J816" s="10"/>
      <c r="K816" s="10"/>
      <c r="L816" s="10"/>
      <c r="M816" s="770"/>
      <c r="N816" s="10"/>
      <c r="O816" s="10"/>
      <c r="P816" s="10"/>
      <c r="Q816" s="10"/>
      <c r="R816" s="10"/>
      <c r="S816" s="10"/>
    </row>
    <row r="817" spans="1:19" x14ac:dyDescent="0.25">
      <c r="A817" s="10"/>
      <c r="B817" s="10"/>
      <c r="C817" s="10"/>
      <c r="D817" s="10"/>
      <c r="E817" s="10"/>
      <c r="F817" s="10"/>
      <c r="G817" s="10"/>
      <c r="H817" s="770"/>
      <c r="I817" s="10"/>
      <c r="J817" s="10"/>
      <c r="K817" s="10"/>
      <c r="L817" s="10"/>
      <c r="M817" s="770"/>
      <c r="N817" s="10"/>
      <c r="O817" s="10"/>
      <c r="P817" s="10"/>
      <c r="Q817" s="10"/>
      <c r="R817" s="10"/>
      <c r="S817" s="10"/>
    </row>
    <row r="818" spans="1:19" x14ac:dyDescent="0.25">
      <c r="A818" s="10"/>
      <c r="B818" s="10"/>
      <c r="C818" s="10"/>
      <c r="D818" s="10"/>
      <c r="E818" s="10"/>
      <c r="F818" s="10"/>
      <c r="G818" s="10"/>
      <c r="H818" s="770"/>
      <c r="I818" s="10"/>
      <c r="J818" s="10"/>
      <c r="K818" s="10"/>
      <c r="L818" s="10"/>
      <c r="M818" s="770"/>
      <c r="N818" s="10"/>
      <c r="O818" s="10"/>
      <c r="P818" s="10"/>
      <c r="Q818" s="10"/>
      <c r="R818" s="10"/>
      <c r="S818" s="10"/>
    </row>
    <row r="819" spans="1:19" x14ac:dyDescent="0.25">
      <c r="A819" s="10"/>
      <c r="B819" s="10"/>
      <c r="C819" s="10"/>
      <c r="D819" s="10"/>
      <c r="E819" s="10"/>
      <c r="F819" s="10"/>
      <c r="G819" s="10"/>
      <c r="H819" s="770"/>
      <c r="I819" s="10"/>
      <c r="J819" s="10"/>
      <c r="K819" s="10"/>
      <c r="L819" s="10"/>
      <c r="M819" s="770"/>
      <c r="N819" s="10"/>
      <c r="O819" s="10"/>
      <c r="P819" s="10"/>
      <c r="Q819" s="10"/>
      <c r="R819" s="10"/>
      <c r="S819" s="10"/>
    </row>
    <row r="820" spans="1:19" x14ac:dyDescent="0.25">
      <c r="A820" s="10"/>
      <c r="B820" s="10"/>
      <c r="C820" s="10"/>
      <c r="D820" s="10"/>
      <c r="E820" s="10"/>
      <c r="F820" s="10"/>
      <c r="G820" s="10"/>
      <c r="H820" s="770"/>
      <c r="I820" s="10"/>
      <c r="J820" s="10"/>
      <c r="K820" s="10"/>
      <c r="L820" s="10"/>
      <c r="M820" s="770"/>
      <c r="N820" s="10"/>
      <c r="O820" s="10"/>
      <c r="P820" s="10"/>
      <c r="Q820" s="10"/>
      <c r="R820" s="10"/>
      <c r="S820" s="10"/>
    </row>
    <row r="821" spans="1:19" x14ac:dyDescent="0.25">
      <c r="A821" s="10"/>
      <c r="B821" s="10"/>
      <c r="C821" s="10"/>
      <c r="D821" s="10"/>
      <c r="E821" s="10"/>
      <c r="F821" s="10"/>
      <c r="G821" s="10"/>
      <c r="H821" s="770"/>
      <c r="I821" s="10"/>
      <c r="J821" s="10"/>
      <c r="K821" s="10"/>
      <c r="L821" s="10"/>
      <c r="M821" s="770"/>
      <c r="N821" s="10"/>
      <c r="O821" s="10"/>
      <c r="P821" s="10"/>
      <c r="Q821" s="10"/>
      <c r="R821" s="10"/>
      <c r="S821" s="10"/>
    </row>
    <row r="822" spans="1:19" x14ac:dyDescent="0.25">
      <c r="A822" s="10"/>
      <c r="B822" s="10"/>
      <c r="C822" s="10"/>
      <c r="D822" s="10"/>
      <c r="E822" s="10"/>
      <c r="F822" s="10"/>
      <c r="G822" s="10"/>
      <c r="H822" s="770"/>
      <c r="I822" s="10"/>
      <c r="J822" s="10"/>
      <c r="K822" s="10"/>
      <c r="L822" s="10"/>
      <c r="M822" s="770"/>
      <c r="N822" s="10"/>
      <c r="O822" s="10"/>
      <c r="P822" s="10"/>
      <c r="Q822" s="10"/>
      <c r="R822" s="10"/>
      <c r="S822" s="10"/>
    </row>
    <row r="823" spans="1:19" x14ac:dyDescent="0.25">
      <c r="A823" s="10"/>
      <c r="B823" s="10"/>
      <c r="C823" s="10"/>
      <c r="D823" s="10"/>
      <c r="E823" s="10"/>
      <c r="F823" s="10"/>
      <c r="G823" s="10"/>
      <c r="H823" s="770"/>
      <c r="I823" s="10"/>
      <c r="J823" s="10"/>
      <c r="K823" s="10"/>
      <c r="L823" s="10"/>
      <c r="M823" s="770"/>
      <c r="N823" s="10"/>
      <c r="O823" s="10"/>
      <c r="P823" s="10"/>
      <c r="Q823" s="10"/>
      <c r="R823" s="10"/>
      <c r="S823" s="10"/>
    </row>
    <row r="824" spans="1:19" x14ac:dyDescent="0.25">
      <c r="A824" s="10"/>
      <c r="B824" s="10"/>
      <c r="C824" s="10"/>
      <c r="D824" s="10"/>
      <c r="E824" s="10"/>
      <c r="F824" s="10"/>
      <c r="G824" s="10"/>
      <c r="H824" s="770"/>
      <c r="I824" s="10"/>
      <c r="J824" s="10"/>
      <c r="K824" s="10"/>
      <c r="L824" s="10"/>
      <c r="M824" s="770"/>
      <c r="N824" s="10"/>
      <c r="O824" s="10"/>
      <c r="P824" s="10"/>
      <c r="Q824" s="10"/>
      <c r="R824" s="10"/>
      <c r="S824" s="10"/>
    </row>
    <row r="825" spans="1:19" x14ac:dyDescent="0.25">
      <c r="A825" s="10"/>
      <c r="B825" s="10"/>
      <c r="C825" s="10"/>
      <c r="D825" s="10"/>
      <c r="E825" s="10"/>
      <c r="F825" s="10"/>
      <c r="G825" s="10"/>
      <c r="H825" s="770"/>
      <c r="I825" s="10"/>
      <c r="J825" s="10"/>
      <c r="K825" s="10"/>
      <c r="L825" s="10"/>
      <c r="M825" s="770"/>
      <c r="N825" s="10"/>
      <c r="O825" s="10"/>
      <c r="P825" s="10"/>
      <c r="Q825" s="10"/>
      <c r="R825" s="10"/>
      <c r="S825" s="10"/>
    </row>
    <row r="826" spans="1:19" x14ac:dyDescent="0.25">
      <c r="A826" s="10"/>
      <c r="B826" s="10"/>
      <c r="C826" s="10"/>
      <c r="D826" s="10"/>
      <c r="E826" s="10"/>
      <c r="F826" s="10"/>
      <c r="G826" s="10"/>
      <c r="H826" s="770"/>
      <c r="I826" s="10"/>
      <c r="J826" s="10"/>
      <c r="K826" s="10"/>
      <c r="L826" s="10"/>
      <c r="M826" s="770"/>
      <c r="N826" s="10"/>
      <c r="O826" s="10"/>
      <c r="P826" s="10"/>
      <c r="Q826" s="10"/>
      <c r="R826" s="10"/>
      <c r="S826" s="10"/>
    </row>
    <row r="827" spans="1:19" x14ac:dyDescent="0.25">
      <c r="A827" s="10"/>
      <c r="B827" s="10"/>
      <c r="C827" s="10"/>
      <c r="D827" s="10"/>
      <c r="E827" s="10"/>
      <c r="F827" s="10"/>
      <c r="G827" s="10"/>
      <c r="H827" s="770"/>
      <c r="I827" s="10"/>
      <c r="J827" s="10"/>
      <c r="K827" s="10"/>
      <c r="L827" s="10"/>
      <c r="M827" s="770"/>
      <c r="N827" s="10"/>
      <c r="O827" s="10"/>
      <c r="P827" s="10"/>
      <c r="Q827" s="10"/>
      <c r="R827" s="10"/>
      <c r="S827" s="10"/>
    </row>
    <row r="828" spans="1:19" x14ac:dyDescent="0.25">
      <c r="A828" s="10"/>
      <c r="B828" s="10"/>
      <c r="C828" s="10"/>
      <c r="D828" s="10"/>
      <c r="E828" s="10"/>
      <c r="F828" s="10"/>
      <c r="G828" s="10"/>
      <c r="H828" s="770"/>
      <c r="I828" s="10"/>
      <c r="J828" s="10"/>
      <c r="K828" s="10"/>
      <c r="L828" s="10"/>
      <c r="M828" s="770"/>
      <c r="N828" s="10"/>
      <c r="O828" s="10"/>
      <c r="P828" s="10"/>
      <c r="Q828" s="10"/>
      <c r="R828" s="10"/>
      <c r="S828" s="10"/>
    </row>
    <row r="829" spans="1:19" x14ac:dyDescent="0.25">
      <c r="A829" s="10"/>
      <c r="B829" s="10"/>
      <c r="C829" s="10"/>
      <c r="D829" s="10"/>
      <c r="E829" s="10"/>
      <c r="F829" s="10"/>
      <c r="G829" s="10"/>
      <c r="H829" s="770"/>
      <c r="I829" s="10"/>
      <c r="J829" s="10"/>
      <c r="K829" s="10"/>
      <c r="L829" s="10"/>
      <c r="M829" s="770"/>
      <c r="N829" s="10"/>
      <c r="O829" s="10"/>
      <c r="P829" s="10"/>
      <c r="Q829" s="10"/>
      <c r="R829" s="10"/>
      <c r="S829" s="10"/>
    </row>
    <row r="830" spans="1:19" x14ac:dyDescent="0.25">
      <c r="A830" s="10"/>
      <c r="B830" s="10"/>
      <c r="C830" s="10"/>
      <c r="D830" s="10"/>
      <c r="E830" s="10"/>
      <c r="F830" s="10"/>
      <c r="G830" s="10"/>
      <c r="H830" s="770"/>
      <c r="I830" s="10"/>
      <c r="J830" s="10"/>
      <c r="K830" s="10"/>
      <c r="L830" s="10"/>
      <c r="M830" s="770"/>
      <c r="N830" s="10"/>
      <c r="O830" s="10"/>
      <c r="P830" s="10"/>
      <c r="Q830" s="10"/>
      <c r="R830" s="10"/>
      <c r="S830" s="10"/>
    </row>
    <row r="831" spans="1:19" x14ac:dyDescent="0.25">
      <c r="A831" s="10"/>
      <c r="B831" s="10"/>
      <c r="C831" s="10"/>
      <c r="D831" s="10"/>
      <c r="E831" s="10"/>
      <c r="F831" s="10"/>
      <c r="G831" s="10"/>
      <c r="H831" s="770"/>
      <c r="I831" s="10"/>
      <c r="J831" s="10"/>
      <c r="K831" s="10"/>
      <c r="L831" s="10"/>
      <c r="M831" s="770"/>
      <c r="N831" s="10"/>
      <c r="O831" s="10"/>
      <c r="P831" s="10"/>
      <c r="Q831" s="10"/>
      <c r="R831" s="10"/>
      <c r="S831" s="10"/>
    </row>
    <row r="832" spans="1:19" x14ac:dyDescent="0.25">
      <c r="A832" s="10"/>
      <c r="B832" s="10"/>
      <c r="C832" s="10"/>
      <c r="D832" s="10"/>
      <c r="E832" s="10"/>
      <c r="F832" s="10"/>
      <c r="G832" s="10"/>
      <c r="H832" s="770"/>
      <c r="I832" s="10"/>
      <c r="J832" s="10"/>
      <c r="K832" s="10"/>
      <c r="L832" s="10"/>
      <c r="M832" s="770"/>
      <c r="N832" s="10"/>
      <c r="O832" s="10"/>
      <c r="P832" s="10"/>
      <c r="Q832" s="10"/>
      <c r="R832" s="10"/>
      <c r="S832" s="10"/>
    </row>
    <row r="833" spans="1:19" x14ac:dyDescent="0.25">
      <c r="A833" s="10"/>
      <c r="B833" s="10"/>
      <c r="C833" s="10"/>
      <c r="D833" s="10"/>
      <c r="E833" s="10"/>
      <c r="F833" s="10"/>
      <c r="G833" s="10"/>
      <c r="H833" s="770"/>
      <c r="I833" s="10"/>
      <c r="J833" s="10"/>
      <c r="K833" s="10"/>
      <c r="L833" s="10"/>
      <c r="M833" s="770"/>
      <c r="N833" s="10"/>
      <c r="O833" s="10"/>
      <c r="P833" s="10"/>
      <c r="Q833" s="10"/>
      <c r="R833" s="10"/>
      <c r="S833" s="10"/>
    </row>
    <row r="834" spans="1:19" x14ac:dyDescent="0.25">
      <c r="A834" s="10"/>
      <c r="B834" s="10"/>
      <c r="C834" s="10"/>
      <c r="D834" s="10"/>
      <c r="E834" s="10"/>
      <c r="F834" s="10"/>
      <c r="G834" s="10"/>
      <c r="H834" s="770"/>
      <c r="I834" s="10"/>
      <c r="J834" s="10"/>
      <c r="K834" s="10"/>
      <c r="L834" s="10"/>
      <c r="M834" s="770"/>
      <c r="N834" s="10"/>
      <c r="O834" s="10"/>
      <c r="P834" s="10"/>
      <c r="Q834" s="10"/>
      <c r="R834" s="10"/>
      <c r="S834" s="10"/>
    </row>
    <row r="835" spans="1:19" x14ac:dyDescent="0.25">
      <c r="A835" s="10"/>
      <c r="B835" s="10"/>
      <c r="C835" s="10"/>
      <c r="D835" s="10"/>
      <c r="E835" s="10"/>
      <c r="F835" s="10"/>
      <c r="G835" s="10"/>
      <c r="H835" s="770"/>
      <c r="I835" s="10"/>
      <c r="J835" s="10"/>
      <c r="K835" s="10"/>
      <c r="L835" s="10"/>
      <c r="M835" s="770"/>
      <c r="N835" s="10"/>
      <c r="O835" s="10"/>
      <c r="P835" s="10"/>
      <c r="Q835" s="10"/>
      <c r="R835" s="10"/>
      <c r="S835" s="10"/>
    </row>
    <row r="836" spans="1:19" x14ac:dyDescent="0.25">
      <c r="A836" s="10"/>
      <c r="B836" s="10"/>
      <c r="C836" s="10"/>
      <c r="D836" s="10"/>
      <c r="E836" s="10"/>
      <c r="F836" s="10"/>
      <c r="G836" s="10"/>
      <c r="H836" s="770"/>
      <c r="I836" s="10"/>
      <c r="J836" s="10"/>
      <c r="K836" s="10"/>
      <c r="L836" s="10"/>
      <c r="M836" s="770"/>
      <c r="N836" s="10"/>
      <c r="O836" s="10"/>
      <c r="P836" s="10"/>
      <c r="Q836" s="10"/>
      <c r="R836" s="10"/>
      <c r="S836" s="10"/>
    </row>
    <row r="837" spans="1:19" x14ac:dyDescent="0.25">
      <c r="A837" s="10"/>
      <c r="B837" s="10"/>
      <c r="C837" s="10"/>
      <c r="D837" s="10"/>
      <c r="E837" s="10"/>
      <c r="F837" s="10"/>
      <c r="G837" s="10"/>
      <c r="H837" s="770"/>
      <c r="I837" s="10"/>
      <c r="J837" s="10"/>
      <c r="K837" s="10"/>
      <c r="L837" s="10"/>
      <c r="M837" s="770"/>
      <c r="N837" s="10"/>
      <c r="O837" s="10"/>
      <c r="P837" s="10"/>
      <c r="Q837" s="10"/>
      <c r="R837" s="10"/>
      <c r="S837" s="10"/>
    </row>
    <row r="838" spans="1:19" x14ac:dyDescent="0.25">
      <c r="A838" s="10"/>
      <c r="B838" s="10"/>
      <c r="C838" s="10"/>
      <c r="D838" s="10"/>
      <c r="E838" s="10"/>
      <c r="F838" s="10"/>
      <c r="G838" s="10"/>
      <c r="H838" s="770"/>
      <c r="I838" s="10"/>
      <c r="J838" s="10"/>
      <c r="K838" s="10"/>
      <c r="L838" s="10"/>
      <c r="M838" s="770"/>
      <c r="N838" s="10"/>
      <c r="O838" s="10"/>
      <c r="P838" s="10"/>
      <c r="Q838" s="10"/>
      <c r="R838" s="10"/>
      <c r="S838" s="10"/>
    </row>
    <row r="839" spans="1:19" x14ac:dyDescent="0.25">
      <c r="A839" s="10"/>
      <c r="B839" s="10"/>
      <c r="C839" s="10"/>
      <c r="D839" s="10"/>
      <c r="E839" s="10"/>
      <c r="F839" s="10"/>
      <c r="G839" s="10"/>
      <c r="H839" s="770"/>
      <c r="I839" s="10"/>
      <c r="J839" s="10"/>
      <c r="K839" s="10"/>
      <c r="L839" s="10"/>
      <c r="M839" s="770"/>
      <c r="N839" s="10"/>
      <c r="O839" s="10"/>
      <c r="P839" s="10"/>
      <c r="Q839" s="10"/>
      <c r="R839" s="10"/>
      <c r="S839" s="10"/>
    </row>
    <row r="840" spans="1:19" x14ac:dyDescent="0.25">
      <c r="A840" s="10"/>
      <c r="B840" s="10"/>
      <c r="C840" s="10"/>
      <c r="D840" s="10"/>
      <c r="E840" s="10"/>
      <c r="F840" s="10"/>
      <c r="G840" s="10"/>
      <c r="H840" s="770"/>
      <c r="I840" s="10"/>
      <c r="J840" s="10"/>
      <c r="K840" s="10"/>
      <c r="L840" s="10"/>
      <c r="M840" s="770"/>
      <c r="N840" s="10"/>
      <c r="O840" s="10"/>
      <c r="P840" s="10"/>
      <c r="Q840" s="10"/>
      <c r="R840" s="10"/>
      <c r="S840" s="10"/>
    </row>
    <row r="841" spans="1:19" x14ac:dyDescent="0.25">
      <c r="A841" s="10"/>
      <c r="B841" s="10"/>
      <c r="C841" s="10"/>
      <c r="D841" s="10"/>
      <c r="E841" s="10"/>
      <c r="F841" s="10"/>
      <c r="G841" s="10"/>
      <c r="H841" s="770"/>
      <c r="I841" s="10"/>
      <c r="J841" s="10"/>
      <c r="K841" s="10"/>
      <c r="L841" s="10"/>
      <c r="M841" s="770"/>
      <c r="N841" s="10"/>
      <c r="O841" s="10"/>
      <c r="P841" s="10"/>
      <c r="Q841" s="10"/>
      <c r="R841" s="10"/>
      <c r="S841" s="10"/>
    </row>
    <row r="842" spans="1:19" x14ac:dyDescent="0.25">
      <c r="A842" s="10"/>
      <c r="B842" s="10"/>
      <c r="C842" s="10"/>
      <c r="D842" s="10"/>
      <c r="E842" s="10"/>
      <c r="F842" s="10"/>
      <c r="G842" s="10"/>
      <c r="H842" s="770"/>
      <c r="I842" s="10"/>
      <c r="J842" s="10"/>
      <c r="K842" s="10"/>
      <c r="L842" s="10"/>
      <c r="M842" s="770"/>
      <c r="N842" s="10"/>
      <c r="O842" s="10"/>
      <c r="P842" s="10"/>
      <c r="Q842" s="10"/>
      <c r="R842" s="10"/>
      <c r="S842" s="10"/>
    </row>
    <row r="843" spans="1:19" x14ac:dyDescent="0.25">
      <c r="A843" s="10"/>
      <c r="B843" s="10"/>
      <c r="C843" s="10"/>
      <c r="D843" s="10"/>
      <c r="E843" s="10"/>
      <c r="F843" s="10"/>
      <c r="G843" s="10"/>
      <c r="H843" s="770"/>
      <c r="I843" s="10"/>
      <c r="J843" s="10"/>
      <c r="K843" s="10"/>
      <c r="L843" s="10"/>
      <c r="M843" s="770"/>
      <c r="N843" s="10"/>
      <c r="O843" s="10"/>
      <c r="P843" s="10"/>
      <c r="Q843" s="10"/>
      <c r="R843" s="10"/>
      <c r="S843" s="10"/>
    </row>
    <row r="844" spans="1:19" x14ac:dyDescent="0.25">
      <c r="A844" s="10"/>
      <c r="B844" s="10"/>
      <c r="C844" s="10"/>
      <c r="D844" s="10"/>
      <c r="E844" s="10"/>
      <c r="F844" s="10"/>
      <c r="G844" s="10"/>
      <c r="H844" s="770"/>
      <c r="I844" s="10"/>
      <c r="J844" s="10"/>
      <c r="K844" s="10"/>
      <c r="L844" s="10"/>
      <c r="M844" s="770"/>
      <c r="N844" s="10"/>
      <c r="O844" s="10"/>
      <c r="P844" s="10"/>
      <c r="Q844" s="10"/>
      <c r="R844" s="10"/>
      <c r="S844" s="10"/>
    </row>
    <row r="845" spans="1:19" x14ac:dyDescent="0.25">
      <c r="A845" s="10"/>
      <c r="B845" s="10"/>
      <c r="C845" s="10"/>
      <c r="D845" s="10"/>
      <c r="E845" s="10"/>
      <c r="F845" s="10"/>
      <c r="G845" s="10"/>
      <c r="H845" s="770"/>
      <c r="I845" s="10"/>
      <c r="J845" s="10"/>
      <c r="K845" s="10"/>
      <c r="L845" s="10"/>
      <c r="M845" s="770"/>
      <c r="N845" s="10"/>
      <c r="O845" s="10"/>
      <c r="P845" s="10"/>
      <c r="Q845" s="10"/>
      <c r="R845" s="10"/>
      <c r="S845" s="10"/>
    </row>
    <row r="846" spans="1:19" x14ac:dyDescent="0.25">
      <c r="A846" s="10"/>
      <c r="B846" s="10"/>
      <c r="C846" s="10"/>
      <c r="D846" s="10"/>
      <c r="E846" s="10"/>
      <c r="F846" s="10"/>
      <c r="G846" s="10"/>
      <c r="H846" s="770"/>
      <c r="I846" s="10"/>
      <c r="J846" s="10"/>
      <c r="K846" s="10"/>
      <c r="L846" s="10"/>
      <c r="M846" s="770"/>
      <c r="N846" s="10"/>
      <c r="O846" s="10"/>
      <c r="P846" s="10"/>
      <c r="Q846" s="10"/>
      <c r="R846" s="10"/>
      <c r="S846" s="10"/>
    </row>
    <row r="847" spans="1:19" x14ac:dyDescent="0.25">
      <c r="A847" s="10"/>
      <c r="B847" s="10"/>
      <c r="C847" s="10"/>
      <c r="D847" s="10"/>
      <c r="E847" s="10"/>
      <c r="F847" s="10"/>
      <c r="G847" s="10"/>
      <c r="H847" s="770"/>
      <c r="I847" s="10"/>
      <c r="J847" s="10"/>
      <c r="K847" s="10"/>
      <c r="L847" s="10"/>
      <c r="M847" s="770"/>
      <c r="N847" s="10"/>
      <c r="O847" s="10"/>
      <c r="P847" s="10"/>
      <c r="Q847" s="10"/>
      <c r="R847" s="10"/>
      <c r="S847" s="10"/>
    </row>
    <row r="848" spans="1:19" x14ac:dyDescent="0.25">
      <c r="A848" s="10"/>
      <c r="B848" s="10"/>
      <c r="C848" s="10"/>
      <c r="D848" s="10"/>
      <c r="E848" s="10"/>
      <c r="F848" s="10"/>
      <c r="G848" s="10"/>
      <c r="H848" s="770"/>
      <c r="I848" s="10"/>
      <c r="J848" s="10"/>
      <c r="K848" s="10"/>
      <c r="L848" s="10"/>
      <c r="M848" s="770"/>
      <c r="N848" s="10"/>
      <c r="O848" s="10"/>
      <c r="P848" s="10"/>
      <c r="Q848" s="10"/>
      <c r="R848" s="10"/>
      <c r="S848" s="10"/>
    </row>
    <row r="849" spans="1:19" x14ac:dyDescent="0.25">
      <c r="A849" s="10"/>
      <c r="B849" s="10"/>
      <c r="C849" s="10"/>
      <c r="D849" s="10"/>
      <c r="E849" s="10"/>
      <c r="F849" s="10"/>
      <c r="G849" s="10"/>
      <c r="H849" s="770"/>
      <c r="I849" s="10"/>
      <c r="J849" s="10"/>
      <c r="K849" s="10"/>
      <c r="L849" s="10"/>
      <c r="M849" s="770"/>
      <c r="N849" s="10"/>
      <c r="O849" s="10"/>
      <c r="P849" s="10"/>
      <c r="Q849" s="10"/>
      <c r="R849" s="10"/>
      <c r="S849" s="10"/>
    </row>
    <row r="850" spans="1:19" x14ac:dyDescent="0.25">
      <c r="A850" s="10"/>
      <c r="B850" s="10"/>
      <c r="C850" s="10"/>
      <c r="D850" s="10"/>
      <c r="E850" s="10"/>
      <c r="F850" s="10"/>
      <c r="G850" s="10"/>
      <c r="H850" s="770"/>
      <c r="I850" s="10"/>
      <c r="J850" s="10"/>
      <c r="K850" s="10"/>
      <c r="L850" s="10"/>
      <c r="M850" s="770"/>
      <c r="N850" s="10"/>
      <c r="O850" s="10"/>
      <c r="P850" s="10"/>
      <c r="Q850" s="10"/>
      <c r="R850" s="10"/>
      <c r="S850" s="10"/>
    </row>
    <row r="851" spans="1:19" x14ac:dyDescent="0.25">
      <c r="A851" s="10"/>
      <c r="B851" s="10"/>
      <c r="C851" s="10"/>
      <c r="D851" s="10"/>
      <c r="E851" s="10"/>
      <c r="F851" s="10"/>
      <c r="G851" s="10"/>
      <c r="H851" s="770"/>
      <c r="I851" s="10"/>
      <c r="J851" s="10"/>
      <c r="K851" s="10"/>
      <c r="L851" s="10"/>
      <c r="M851" s="770"/>
      <c r="N851" s="10"/>
      <c r="O851" s="10"/>
      <c r="P851" s="10"/>
      <c r="Q851" s="10"/>
      <c r="R851" s="10"/>
      <c r="S851" s="10"/>
    </row>
    <row r="852" spans="1:19" x14ac:dyDescent="0.25">
      <c r="A852" s="10"/>
      <c r="B852" s="10"/>
      <c r="C852" s="10"/>
      <c r="D852" s="10"/>
      <c r="E852" s="10"/>
      <c r="F852" s="10"/>
      <c r="G852" s="10"/>
      <c r="H852" s="770"/>
      <c r="I852" s="10"/>
      <c r="J852" s="10"/>
      <c r="K852" s="10"/>
      <c r="L852" s="10"/>
      <c r="M852" s="770"/>
      <c r="N852" s="10"/>
      <c r="O852" s="10"/>
      <c r="P852" s="10"/>
      <c r="Q852" s="10"/>
      <c r="R852" s="10"/>
      <c r="S852" s="10"/>
    </row>
    <row r="853" spans="1:19" x14ac:dyDescent="0.25">
      <c r="A853" s="10"/>
      <c r="B853" s="10"/>
      <c r="C853" s="10"/>
      <c r="D853" s="10"/>
      <c r="E853" s="10"/>
      <c r="F853" s="10"/>
      <c r="G853" s="10"/>
      <c r="H853" s="770"/>
      <c r="I853" s="10"/>
      <c r="J853" s="10"/>
      <c r="K853" s="10"/>
      <c r="L853" s="10"/>
      <c r="M853" s="770"/>
      <c r="N853" s="10"/>
      <c r="O853" s="10"/>
      <c r="P853" s="10"/>
      <c r="Q853" s="10"/>
      <c r="R853" s="10"/>
      <c r="S853" s="10"/>
    </row>
    <row r="854" spans="1:19" x14ac:dyDescent="0.25">
      <c r="A854" s="10"/>
      <c r="B854" s="10"/>
      <c r="C854" s="10"/>
      <c r="D854" s="10"/>
      <c r="E854" s="10"/>
      <c r="F854" s="10"/>
      <c r="G854" s="10"/>
      <c r="H854" s="770"/>
      <c r="I854" s="10"/>
      <c r="J854" s="10"/>
      <c r="K854" s="10"/>
      <c r="L854" s="10"/>
      <c r="M854" s="770"/>
      <c r="N854" s="10"/>
      <c r="O854" s="10"/>
      <c r="P854" s="10"/>
      <c r="Q854" s="10"/>
      <c r="R854" s="10"/>
      <c r="S854" s="10"/>
    </row>
    <row r="855" spans="1:19" x14ac:dyDescent="0.25">
      <c r="A855" s="10"/>
      <c r="B855" s="10"/>
      <c r="C855" s="10"/>
      <c r="D855" s="10"/>
      <c r="E855" s="10"/>
      <c r="F855" s="10"/>
      <c r="G855" s="10"/>
      <c r="H855" s="770"/>
      <c r="I855" s="10"/>
      <c r="J855" s="10"/>
      <c r="K855" s="10"/>
      <c r="L855" s="10"/>
      <c r="M855" s="770"/>
      <c r="N855" s="10"/>
      <c r="O855" s="10"/>
      <c r="P855" s="10"/>
      <c r="Q855" s="10"/>
      <c r="R855" s="10"/>
      <c r="S855" s="10"/>
    </row>
    <row r="856" spans="1:19" x14ac:dyDescent="0.25">
      <c r="A856" s="10"/>
      <c r="B856" s="10"/>
      <c r="C856" s="10"/>
      <c r="D856" s="10"/>
      <c r="E856" s="10"/>
      <c r="F856" s="10"/>
      <c r="G856" s="10"/>
      <c r="H856" s="770"/>
      <c r="I856" s="10"/>
      <c r="J856" s="10"/>
      <c r="K856" s="10"/>
      <c r="L856" s="10"/>
      <c r="M856" s="770"/>
      <c r="N856" s="10"/>
      <c r="O856" s="10"/>
      <c r="P856" s="10"/>
      <c r="Q856" s="10"/>
      <c r="R856" s="10"/>
      <c r="S856" s="10"/>
    </row>
    <row r="857" spans="1:19" x14ac:dyDescent="0.25">
      <c r="A857" s="10"/>
      <c r="B857" s="10"/>
      <c r="C857" s="10"/>
      <c r="D857" s="10"/>
      <c r="E857" s="10"/>
      <c r="F857" s="10"/>
      <c r="G857" s="10"/>
      <c r="H857" s="770"/>
      <c r="I857" s="10"/>
      <c r="J857" s="10"/>
      <c r="K857" s="10"/>
      <c r="L857" s="10"/>
      <c r="M857" s="770"/>
      <c r="N857" s="10"/>
      <c r="O857" s="10"/>
      <c r="P857" s="10"/>
      <c r="Q857" s="10"/>
      <c r="R857" s="10"/>
      <c r="S857" s="10"/>
    </row>
    <row r="858" spans="1:19" x14ac:dyDescent="0.25">
      <c r="A858" s="10"/>
      <c r="B858" s="10"/>
      <c r="C858" s="10"/>
      <c r="D858" s="10"/>
      <c r="E858" s="10"/>
      <c r="F858" s="10"/>
      <c r="G858" s="10"/>
      <c r="H858" s="770"/>
      <c r="I858" s="10"/>
      <c r="J858" s="10"/>
      <c r="K858" s="10"/>
      <c r="L858" s="10"/>
      <c r="M858" s="770"/>
      <c r="N858" s="10"/>
      <c r="O858" s="10"/>
      <c r="P858" s="10"/>
      <c r="Q858" s="10"/>
      <c r="R858" s="10"/>
      <c r="S858" s="10"/>
    </row>
    <row r="859" spans="1:19" x14ac:dyDescent="0.25">
      <c r="A859" s="10"/>
      <c r="B859" s="10"/>
      <c r="C859" s="10"/>
      <c r="D859" s="10"/>
      <c r="E859" s="10"/>
      <c r="F859" s="10"/>
      <c r="G859" s="10"/>
      <c r="H859" s="770"/>
      <c r="I859" s="10"/>
      <c r="J859" s="10"/>
      <c r="K859" s="10"/>
      <c r="L859" s="10"/>
      <c r="M859" s="770"/>
      <c r="N859" s="10"/>
      <c r="O859" s="10"/>
      <c r="P859" s="10"/>
      <c r="Q859" s="10"/>
      <c r="R859" s="10"/>
      <c r="S859" s="10"/>
    </row>
    <row r="860" spans="1:19" x14ac:dyDescent="0.25">
      <c r="A860" s="10"/>
      <c r="B860" s="10"/>
      <c r="C860" s="10"/>
      <c r="D860" s="10"/>
      <c r="E860" s="10"/>
      <c r="F860" s="10"/>
      <c r="G860" s="10"/>
      <c r="H860" s="770"/>
      <c r="I860" s="10"/>
      <c r="J860" s="10"/>
      <c r="K860" s="10"/>
      <c r="L860" s="10"/>
      <c r="M860" s="770"/>
      <c r="N860" s="10"/>
      <c r="O860" s="10"/>
      <c r="P860" s="10"/>
      <c r="Q860" s="10"/>
      <c r="R860" s="10"/>
      <c r="S860" s="10"/>
    </row>
    <row r="861" spans="1:19" x14ac:dyDescent="0.25">
      <c r="A861" s="10"/>
      <c r="B861" s="10"/>
      <c r="C861" s="10"/>
      <c r="D861" s="10"/>
      <c r="E861" s="10"/>
      <c r="F861" s="10"/>
      <c r="G861" s="10"/>
      <c r="H861" s="770"/>
      <c r="I861" s="10"/>
      <c r="J861" s="10"/>
      <c r="K861" s="10"/>
      <c r="L861" s="10"/>
      <c r="M861" s="770"/>
      <c r="N861" s="10"/>
      <c r="O861" s="10"/>
      <c r="P861" s="10"/>
      <c r="Q861" s="10"/>
      <c r="R861" s="10"/>
      <c r="S861" s="10"/>
    </row>
    <row r="862" spans="1:19" x14ac:dyDescent="0.25">
      <c r="A862" s="10"/>
      <c r="B862" s="10"/>
      <c r="C862" s="10"/>
      <c r="D862" s="10"/>
      <c r="E862" s="10"/>
      <c r="F862" s="10"/>
      <c r="G862" s="10"/>
      <c r="H862" s="770"/>
      <c r="I862" s="10"/>
      <c r="J862" s="10"/>
      <c r="K862" s="10"/>
      <c r="L862" s="10"/>
      <c r="M862" s="770"/>
      <c r="N862" s="10"/>
      <c r="O862" s="10"/>
      <c r="P862" s="10"/>
      <c r="Q862" s="10"/>
      <c r="R862" s="10"/>
      <c r="S862" s="10"/>
    </row>
    <row r="863" spans="1:19" x14ac:dyDescent="0.25">
      <c r="A863" s="10"/>
      <c r="B863" s="10"/>
      <c r="C863" s="10"/>
      <c r="D863" s="10"/>
      <c r="E863" s="10"/>
      <c r="F863" s="10"/>
      <c r="G863" s="10"/>
      <c r="H863" s="770"/>
      <c r="I863" s="10"/>
      <c r="J863" s="10"/>
      <c r="K863" s="10"/>
      <c r="L863" s="10"/>
      <c r="M863" s="770"/>
      <c r="N863" s="10"/>
      <c r="O863" s="10"/>
      <c r="P863" s="10"/>
      <c r="Q863" s="10"/>
      <c r="R863" s="10"/>
      <c r="S863" s="10"/>
    </row>
    <row r="864" spans="1:19" x14ac:dyDescent="0.25">
      <c r="A864" s="10"/>
      <c r="B864" s="10"/>
      <c r="C864" s="10"/>
      <c r="D864" s="10"/>
      <c r="E864" s="10"/>
      <c r="F864" s="10"/>
      <c r="G864" s="10"/>
      <c r="H864" s="770"/>
      <c r="I864" s="10"/>
      <c r="J864" s="10"/>
      <c r="K864" s="10"/>
      <c r="L864" s="10"/>
      <c r="M864" s="770"/>
      <c r="N864" s="10"/>
      <c r="O864" s="10"/>
      <c r="P864" s="10"/>
      <c r="Q864" s="10"/>
      <c r="R864" s="10"/>
      <c r="S864" s="10"/>
    </row>
    <row r="865" spans="1:19" x14ac:dyDescent="0.25">
      <c r="A865" s="10"/>
      <c r="B865" s="10"/>
      <c r="C865" s="10"/>
      <c r="D865" s="10"/>
      <c r="E865" s="10"/>
      <c r="F865" s="10"/>
      <c r="G865" s="10"/>
      <c r="H865" s="770"/>
      <c r="I865" s="10"/>
      <c r="J865" s="10"/>
      <c r="K865" s="10"/>
      <c r="L865" s="10"/>
      <c r="M865" s="770"/>
      <c r="N865" s="10"/>
      <c r="O865" s="10"/>
      <c r="P865" s="10"/>
      <c r="Q865" s="10"/>
      <c r="R865" s="10"/>
      <c r="S865" s="10"/>
    </row>
    <row r="866" spans="1:19" x14ac:dyDescent="0.25">
      <c r="A866" s="10"/>
      <c r="B866" s="10"/>
      <c r="C866" s="10"/>
      <c r="D866" s="10"/>
      <c r="E866" s="10"/>
      <c r="F866" s="10"/>
      <c r="G866" s="10"/>
      <c r="H866" s="770"/>
      <c r="I866" s="10"/>
      <c r="J866" s="10"/>
      <c r="K866" s="10"/>
      <c r="L866" s="10"/>
      <c r="M866" s="770"/>
      <c r="N866" s="10"/>
      <c r="O866" s="10"/>
      <c r="P866" s="10"/>
      <c r="Q866" s="10"/>
      <c r="R866" s="10"/>
      <c r="S866" s="10"/>
    </row>
    <row r="867" spans="1:19" x14ac:dyDescent="0.25">
      <c r="A867" s="10"/>
      <c r="B867" s="10"/>
      <c r="C867" s="10"/>
      <c r="D867" s="10"/>
      <c r="E867" s="10"/>
      <c r="F867" s="10"/>
      <c r="G867" s="10"/>
      <c r="H867" s="770"/>
      <c r="I867" s="10"/>
      <c r="J867" s="10"/>
      <c r="K867" s="10"/>
      <c r="L867" s="10"/>
      <c r="M867" s="770"/>
      <c r="N867" s="10"/>
      <c r="O867" s="10"/>
      <c r="P867" s="10"/>
      <c r="Q867" s="10"/>
      <c r="R867" s="10"/>
      <c r="S867" s="10"/>
    </row>
    <row r="868" spans="1:19" x14ac:dyDescent="0.25">
      <c r="A868" s="10"/>
      <c r="B868" s="10"/>
      <c r="C868" s="10"/>
      <c r="D868" s="10"/>
      <c r="E868" s="10"/>
      <c r="F868" s="10"/>
      <c r="G868" s="10"/>
      <c r="H868" s="770"/>
      <c r="I868" s="10"/>
      <c r="J868" s="10"/>
      <c r="K868" s="10"/>
      <c r="L868" s="10"/>
      <c r="M868" s="770"/>
      <c r="N868" s="10"/>
      <c r="O868" s="10"/>
      <c r="P868" s="10"/>
      <c r="Q868" s="10"/>
      <c r="R868" s="10"/>
      <c r="S868" s="10"/>
    </row>
    <row r="869" spans="1:19" x14ac:dyDescent="0.25">
      <c r="A869" s="10"/>
      <c r="B869" s="10"/>
      <c r="C869" s="10"/>
      <c r="D869" s="10"/>
      <c r="E869" s="10"/>
      <c r="F869" s="10"/>
      <c r="G869" s="10"/>
      <c r="H869" s="770"/>
      <c r="I869" s="10"/>
      <c r="J869" s="10"/>
      <c r="K869" s="10"/>
      <c r="L869" s="10"/>
      <c r="M869" s="770"/>
      <c r="N869" s="10"/>
      <c r="O869" s="10"/>
      <c r="P869" s="10"/>
      <c r="Q869" s="10"/>
      <c r="R869" s="10"/>
      <c r="S869" s="10"/>
    </row>
    <row r="870" spans="1:19" x14ac:dyDescent="0.25">
      <c r="A870" s="10"/>
      <c r="B870" s="10"/>
      <c r="C870" s="10"/>
      <c r="D870" s="10"/>
      <c r="E870" s="10"/>
      <c r="F870" s="10"/>
      <c r="G870" s="10"/>
      <c r="H870" s="770"/>
      <c r="I870" s="10"/>
      <c r="J870" s="10"/>
      <c r="K870" s="10"/>
      <c r="L870" s="10"/>
      <c r="M870" s="770"/>
      <c r="N870" s="10"/>
      <c r="O870" s="10"/>
      <c r="P870" s="10"/>
      <c r="Q870" s="10"/>
      <c r="R870" s="10"/>
      <c r="S870" s="10"/>
    </row>
    <row r="871" spans="1:19" x14ac:dyDescent="0.25">
      <c r="A871" s="10"/>
      <c r="B871" s="10"/>
      <c r="C871" s="10"/>
      <c r="D871" s="10"/>
      <c r="E871" s="10"/>
      <c r="F871" s="10"/>
      <c r="G871" s="10"/>
      <c r="H871" s="770"/>
      <c r="I871" s="10"/>
      <c r="J871" s="10"/>
      <c r="K871" s="10"/>
      <c r="L871" s="10"/>
      <c r="M871" s="770"/>
      <c r="N871" s="10"/>
      <c r="O871" s="10"/>
      <c r="P871" s="10"/>
      <c r="Q871" s="10"/>
      <c r="R871" s="10"/>
      <c r="S871" s="10"/>
    </row>
    <row r="872" spans="1:19" x14ac:dyDescent="0.25">
      <c r="A872" s="10"/>
      <c r="B872" s="10"/>
      <c r="C872" s="10"/>
      <c r="D872" s="10"/>
      <c r="E872" s="10"/>
      <c r="F872" s="10"/>
      <c r="G872" s="10"/>
      <c r="H872" s="770"/>
      <c r="I872" s="10"/>
      <c r="J872" s="10"/>
      <c r="K872" s="10"/>
      <c r="L872" s="10"/>
      <c r="M872" s="770"/>
      <c r="N872" s="10"/>
      <c r="O872" s="10"/>
      <c r="P872" s="10"/>
      <c r="Q872" s="10"/>
      <c r="R872" s="10"/>
      <c r="S872" s="10"/>
    </row>
    <row r="873" spans="1:19" x14ac:dyDescent="0.25">
      <c r="A873" s="10"/>
      <c r="B873" s="10"/>
      <c r="C873" s="10"/>
      <c r="D873" s="10"/>
      <c r="E873" s="10"/>
      <c r="F873" s="10"/>
      <c r="G873" s="10"/>
      <c r="H873" s="770"/>
      <c r="I873" s="10"/>
      <c r="J873" s="10"/>
      <c r="K873" s="10"/>
      <c r="L873" s="10"/>
      <c r="M873" s="770"/>
      <c r="N873" s="10"/>
      <c r="O873" s="10"/>
      <c r="P873" s="10"/>
      <c r="Q873" s="10"/>
      <c r="R873" s="10"/>
      <c r="S873" s="10"/>
    </row>
    <row r="874" spans="1:19" x14ac:dyDescent="0.25">
      <c r="A874" s="10"/>
      <c r="B874" s="10"/>
      <c r="C874" s="10"/>
      <c r="D874" s="10"/>
      <c r="E874" s="10"/>
      <c r="F874" s="10"/>
      <c r="G874" s="10"/>
      <c r="H874" s="770"/>
      <c r="I874" s="10"/>
      <c r="J874" s="10"/>
      <c r="K874" s="10"/>
      <c r="L874" s="10"/>
      <c r="M874" s="770"/>
      <c r="N874" s="10"/>
      <c r="O874" s="10"/>
      <c r="P874" s="10"/>
      <c r="Q874" s="10"/>
      <c r="R874" s="10"/>
      <c r="S874" s="10"/>
    </row>
    <row r="875" spans="1:19" x14ac:dyDescent="0.25">
      <c r="A875" s="10"/>
      <c r="B875" s="10"/>
      <c r="C875" s="10"/>
      <c r="D875" s="10"/>
      <c r="E875" s="10"/>
      <c r="F875" s="10"/>
      <c r="G875" s="10"/>
      <c r="H875" s="770"/>
      <c r="I875" s="10"/>
      <c r="J875" s="10"/>
      <c r="K875" s="10"/>
      <c r="L875" s="10"/>
      <c r="M875" s="770"/>
      <c r="N875" s="10"/>
      <c r="O875" s="10"/>
      <c r="P875" s="10"/>
      <c r="Q875" s="10"/>
      <c r="R875" s="10"/>
      <c r="S875" s="10"/>
    </row>
    <row r="876" spans="1:19" x14ac:dyDescent="0.25">
      <c r="A876" s="10"/>
      <c r="B876" s="10"/>
      <c r="C876" s="10"/>
      <c r="D876" s="10"/>
      <c r="E876" s="10"/>
      <c r="F876" s="10"/>
      <c r="G876" s="10"/>
      <c r="H876" s="770"/>
      <c r="I876" s="10"/>
      <c r="J876" s="10"/>
      <c r="K876" s="10"/>
      <c r="L876" s="10"/>
      <c r="M876" s="770"/>
      <c r="N876" s="10"/>
      <c r="O876" s="10"/>
      <c r="P876" s="10"/>
      <c r="Q876" s="10"/>
      <c r="R876" s="10"/>
      <c r="S876" s="10"/>
    </row>
    <row r="877" spans="1:19" x14ac:dyDescent="0.25">
      <c r="A877" s="10"/>
      <c r="B877" s="10"/>
      <c r="C877" s="10"/>
      <c r="D877" s="10"/>
      <c r="E877" s="10"/>
      <c r="F877" s="10"/>
      <c r="G877" s="10"/>
      <c r="H877" s="770"/>
      <c r="I877" s="10"/>
      <c r="J877" s="10"/>
      <c r="K877" s="10"/>
      <c r="L877" s="10"/>
      <c r="M877" s="770"/>
      <c r="N877" s="10"/>
      <c r="O877" s="10"/>
      <c r="P877" s="10"/>
      <c r="Q877" s="10"/>
      <c r="R877" s="10"/>
      <c r="S877" s="10"/>
    </row>
    <row r="878" spans="1:19" x14ac:dyDescent="0.25">
      <c r="A878" s="10"/>
      <c r="B878" s="10"/>
      <c r="C878" s="10"/>
      <c r="D878" s="10"/>
      <c r="E878" s="10"/>
      <c r="F878" s="10"/>
      <c r="G878" s="10"/>
      <c r="H878" s="770"/>
      <c r="I878" s="10"/>
      <c r="J878" s="10"/>
      <c r="K878" s="10"/>
      <c r="L878" s="10"/>
      <c r="M878" s="770"/>
      <c r="N878" s="10"/>
      <c r="O878" s="10"/>
      <c r="P878" s="10"/>
      <c r="Q878" s="10"/>
      <c r="R878" s="10"/>
      <c r="S878" s="10"/>
    </row>
    <row r="879" spans="1:19" x14ac:dyDescent="0.25">
      <c r="A879" s="10"/>
      <c r="B879" s="10"/>
      <c r="C879" s="10"/>
      <c r="D879" s="10"/>
      <c r="E879" s="10"/>
      <c r="F879" s="10"/>
      <c r="G879" s="10"/>
      <c r="H879" s="770"/>
      <c r="I879" s="10"/>
      <c r="J879" s="10"/>
      <c r="K879" s="10"/>
      <c r="L879" s="10"/>
      <c r="M879" s="770"/>
      <c r="N879" s="10"/>
      <c r="O879" s="10"/>
      <c r="P879" s="10"/>
      <c r="Q879" s="10"/>
      <c r="R879" s="10"/>
      <c r="S879" s="10"/>
    </row>
    <row r="880" spans="1:19" x14ac:dyDescent="0.25">
      <c r="A880" s="10"/>
      <c r="B880" s="10"/>
      <c r="C880" s="10"/>
      <c r="D880" s="10"/>
      <c r="E880" s="10"/>
      <c r="F880" s="10"/>
      <c r="G880" s="10"/>
      <c r="H880" s="770"/>
      <c r="I880" s="10"/>
      <c r="J880" s="10"/>
      <c r="K880" s="10"/>
      <c r="L880" s="10"/>
      <c r="M880" s="770"/>
      <c r="N880" s="10"/>
      <c r="O880" s="10"/>
      <c r="P880" s="10"/>
      <c r="Q880" s="10"/>
      <c r="R880" s="10"/>
      <c r="S880" s="10"/>
    </row>
    <row r="881" spans="1:19" x14ac:dyDescent="0.25">
      <c r="A881" s="10"/>
      <c r="B881" s="10"/>
      <c r="C881" s="10"/>
      <c r="D881" s="10"/>
      <c r="E881" s="10"/>
      <c r="F881" s="10"/>
      <c r="G881" s="10"/>
      <c r="H881" s="770"/>
      <c r="I881" s="10"/>
      <c r="J881" s="10"/>
      <c r="K881" s="10"/>
      <c r="L881" s="10"/>
      <c r="M881" s="770"/>
      <c r="N881" s="10"/>
      <c r="O881" s="10"/>
      <c r="P881" s="10"/>
      <c r="Q881" s="10"/>
      <c r="R881" s="10"/>
      <c r="S881" s="10"/>
    </row>
    <row r="882" spans="1:19" x14ac:dyDescent="0.25">
      <c r="A882" s="10"/>
      <c r="B882" s="10"/>
      <c r="C882" s="10"/>
      <c r="D882" s="10"/>
      <c r="E882" s="10"/>
      <c r="F882" s="10"/>
      <c r="G882" s="10"/>
      <c r="H882" s="770"/>
      <c r="I882" s="10"/>
      <c r="J882" s="10"/>
      <c r="K882" s="10"/>
      <c r="L882" s="10"/>
      <c r="M882" s="770"/>
      <c r="N882" s="10"/>
      <c r="O882" s="10"/>
      <c r="P882" s="10"/>
      <c r="Q882" s="10"/>
      <c r="R882" s="10"/>
      <c r="S882" s="10"/>
    </row>
    <row r="883" spans="1:19" x14ac:dyDescent="0.25">
      <c r="A883" s="10"/>
      <c r="B883" s="10"/>
      <c r="C883" s="10"/>
      <c r="D883" s="10"/>
      <c r="E883" s="10"/>
      <c r="F883" s="10"/>
      <c r="G883" s="10"/>
      <c r="H883" s="770"/>
      <c r="I883" s="10"/>
      <c r="J883" s="10"/>
      <c r="K883" s="10"/>
      <c r="L883" s="10"/>
      <c r="M883" s="770"/>
      <c r="N883" s="10"/>
      <c r="O883" s="10"/>
      <c r="P883" s="10"/>
      <c r="Q883" s="10"/>
      <c r="R883" s="10"/>
      <c r="S883" s="10"/>
    </row>
    <row r="884" spans="1:19" x14ac:dyDescent="0.25">
      <c r="A884" s="10"/>
      <c r="B884" s="10"/>
      <c r="C884" s="10"/>
      <c r="D884" s="10"/>
      <c r="E884" s="10"/>
      <c r="F884" s="10"/>
      <c r="G884" s="10"/>
      <c r="H884" s="770"/>
      <c r="I884" s="10"/>
      <c r="J884" s="10"/>
      <c r="K884" s="10"/>
      <c r="L884" s="10"/>
      <c r="M884" s="770"/>
      <c r="N884" s="10"/>
      <c r="O884" s="10"/>
      <c r="P884" s="10"/>
      <c r="Q884" s="10"/>
      <c r="R884" s="10"/>
      <c r="S884" s="10"/>
    </row>
    <row r="885" spans="1:19" x14ac:dyDescent="0.25">
      <c r="A885" s="10"/>
      <c r="B885" s="10"/>
      <c r="C885" s="10"/>
      <c r="D885" s="10"/>
      <c r="E885" s="10"/>
      <c r="F885" s="10"/>
      <c r="G885" s="10"/>
      <c r="H885" s="770"/>
      <c r="I885" s="10"/>
      <c r="J885" s="10"/>
      <c r="K885" s="10"/>
      <c r="L885" s="10"/>
      <c r="M885" s="770"/>
      <c r="N885" s="10"/>
      <c r="O885" s="10"/>
      <c r="P885" s="10"/>
      <c r="Q885" s="10"/>
      <c r="R885" s="10"/>
      <c r="S885" s="10"/>
    </row>
    <row r="886" spans="1:19" x14ac:dyDescent="0.25">
      <c r="A886" s="10"/>
      <c r="B886" s="10"/>
      <c r="C886" s="10"/>
      <c r="D886" s="10"/>
      <c r="E886" s="10"/>
      <c r="F886" s="10"/>
      <c r="G886" s="10"/>
      <c r="H886" s="770"/>
      <c r="I886" s="10"/>
      <c r="J886" s="10"/>
      <c r="K886" s="10"/>
      <c r="L886" s="10"/>
      <c r="M886" s="770"/>
      <c r="N886" s="10"/>
      <c r="O886" s="10"/>
      <c r="P886" s="10"/>
      <c r="Q886" s="10"/>
      <c r="R886" s="10"/>
      <c r="S886" s="10"/>
    </row>
    <row r="887" spans="1:19" x14ac:dyDescent="0.25">
      <c r="A887" s="10"/>
      <c r="B887" s="10"/>
      <c r="C887" s="10"/>
      <c r="D887" s="10"/>
      <c r="E887" s="10"/>
      <c r="F887" s="10"/>
      <c r="G887" s="10"/>
      <c r="H887" s="770"/>
      <c r="I887" s="10"/>
      <c r="J887" s="10"/>
      <c r="K887" s="10"/>
      <c r="L887" s="10"/>
      <c r="M887" s="770"/>
      <c r="N887" s="10"/>
      <c r="O887" s="10"/>
      <c r="P887" s="10"/>
      <c r="Q887" s="10"/>
      <c r="R887" s="10"/>
      <c r="S887" s="10"/>
    </row>
    <row r="888" spans="1:19" x14ac:dyDescent="0.25">
      <c r="A888" s="10"/>
      <c r="B888" s="10"/>
      <c r="C888" s="10"/>
      <c r="D888" s="10"/>
      <c r="E888" s="10"/>
      <c r="F888" s="10"/>
      <c r="G888" s="10"/>
      <c r="H888" s="770"/>
      <c r="I888" s="10"/>
      <c r="J888" s="10"/>
      <c r="K888" s="10"/>
      <c r="L888" s="10"/>
      <c r="M888" s="770"/>
      <c r="N888" s="10"/>
      <c r="O888" s="10"/>
      <c r="P888" s="10"/>
      <c r="Q888" s="10"/>
      <c r="R888" s="10"/>
      <c r="S888" s="10"/>
    </row>
    <row r="889" spans="1:19" x14ac:dyDescent="0.25">
      <c r="A889" s="10"/>
      <c r="B889" s="10"/>
      <c r="C889" s="10"/>
      <c r="D889" s="10"/>
      <c r="E889" s="10"/>
      <c r="F889" s="10"/>
      <c r="G889" s="10"/>
      <c r="H889" s="770"/>
      <c r="I889" s="10"/>
      <c r="J889" s="10"/>
      <c r="K889" s="10"/>
      <c r="L889" s="10"/>
      <c r="M889" s="770"/>
      <c r="N889" s="10"/>
      <c r="O889" s="10"/>
      <c r="P889" s="10"/>
      <c r="Q889" s="10"/>
      <c r="R889" s="10"/>
      <c r="S889" s="10"/>
    </row>
    <row r="890" spans="1:19" x14ac:dyDescent="0.25">
      <c r="A890" s="10"/>
      <c r="B890" s="10"/>
      <c r="C890" s="10"/>
      <c r="D890" s="10"/>
      <c r="E890" s="10"/>
      <c r="F890" s="10"/>
      <c r="G890" s="10"/>
      <c r="H890" s="770"/>
      <c r="I890" s="10"/>
      <c r="J890" s="10"/>
      <c r="K890" s="10"/>
      <c r="L890" s="10"/>
      <c r="M890" s="770"/>
      <c r="N890" s="10"/>
      <c r="O890" s="10"/>
      <c r="P890" s="10"/>
      <c r="Q890" s="10"/>
      <c r="R890" s="10"/>
      <c r="S890" s="10"/>
    </row>
    <row r="891" spans="1:19" x14ac:dyDescent="0.25">
      <c r="A891" s="10"/>
      <c r="B891" s="10"/>
      <c r="C891" s="10"/>
      <c r="D891" s="10"/>
      <c r="E891" s="10"/>
      <c r="F891" s="10"/>
      <c r="G891" s="10"/>
      <c r="H891" s="770"/>
      <c r="I891" s="10"/>
      <c r="J891" s="10"/>
      <c r="K891" s="10"/>
      <c r="L891" s="10"/>
      <c r="M891" s="770"/>
      <c r="N891" s="10"/>
      <c r="O891" s="10"/>
      <c r="P891" s="10"/>
      <c r="Q891" s="10"/>
      <c r="R891" s="10"/>
      <c r="S891" s="10"/>
    </row>
    <row r="892" spans="1:19" x14ac:dyDescent="0.25">
      <c r="A892" s="10"/>
      <c r="B892" s="10"/>
      <c r="C892" s="10"/>
      <c r="D892" s="10"/>
      <c r="E892" s="10"/>
      <c r="F892" s="10"/>
      <c r="G892" s="10"/>
      <c r="H892" s="770"/>
      <c r="I892" s="10"/>
      <c r="J892" s="10"/>
      <c r="K892" s="10"/>
      <c r="L892" s="10"/>
      <c r="M892" s="770"/>
      <c r="N892" s="10"/>
      <c r="O892" s="10"/>
      <c r="P892" s="10"/>
      <c r="Q892" s="10"/>
      <c r="R892" s="10"/>
      <c r="S892" s="10"/>
    </row>
    <row r="893" spans="1:19" x14ac:dyDescent="0.25">
      <c r="A893" s="10"/>
      <c r="B893" s="10"/>
      <c r="C893" s="10"/>
      <c r="D893" s="10"/>
      <c r="E893" s="10"/>
      <c r="F893" s="10"/>
      <c r="G893" s="10"/>
      <c r="H893" s="770"/>
      <c r="I893" s="10"/>
      <c r="J893" s="10"/>
      <c r="K893" s="10"/>
      <c r="L893" s="10"/>
      <c r="M893" s="770"/>
      <c r="N893" s="10"/>
      <c r="O893" s="10"/>
      <c r="P893" s="10"/>
      <c r="Q893" s="10"/>
      <c r="R893" s="10"/>
      <c r="S893" s="10"/>
    </row>
    <row r="894" spans="1:19" x14ac:dyDescent="0.25">
      <c r="A894" s="10"/>
      <c r="B894" s="10"/>
      <c r="C894" s="10"/>
      <c r="D894" s="10"/>
      <c r="E894" s="10"/>
      <c r="F894" s="10"/>
      <c r="G894" s="10"/>
      <c r="H894" s="770"/>
      <c r="I894" s="10"/>
      <c r="J894" s="10"/>
      <c r="K894" s="10"/>
      <c r="L894" s="10"/>
      <c r="M894" s="770"/>
      <c r="N894" s="10"/>
      <c r="O894" s="10"/>
      <c r="P894" s="10"/>
      <c r="Q894" s="10"/>
      <c r="R894" s="10"/>
      <c r="S894" s="10"/>
    </row>
    <row r="895" spans="1:19" x14ac:dyDescent="0.25">
      <c r="A895" s="10"/>
      <c r="B895" s="10"/>
      <c r="C895" s="10"/>
      <c r="D895" s="10"/>
      <c r="E895" s="10"/>
      <c r="F895" s="10"/>
      <c r="G895" s="10"/>
      <c r="H895" s="770"/>
      <c r="I895" s="10"/>
      <c r="J895" s="10"/>
      <c r="K895" s="10"/>
      <c r="L895" s="10"/>
      <c r="M895" s="770"/>
      <c r="N895" s="10"/>
      <c r="O895" s="10"/>
      <c r="P895" s="10"/>
      <c r="Q895" s="10"/>
      <c r="R895" s="10"/>
      <c r="S895" s="10"/>
    </row>
    <row r="896" spans="1:19" x14ac:dyDescent="0.25">
      <c r="A896" s="10"/>
      <c r="B896" s="10"/>
      <c r="C896" s="10"/>
      <c r="D896" s="10"/>
      <c r="E896" s="10"/>
      <c r="F896" s="10"/>
      <c r="G896" s="10"/>
      <c r="H896" s="770"/>
      <c r="I896" s="10"/>
      <c r="J896" s="10"/>
      <c r="K896" s="10"/>
      <c r="L896" s="10"/>
      <c r="M896" s="770"/>
      <c r="N896" s="10"/>
      <c r="O896" s="10"/>
      <c r="P896" s="10"/>
      <c r="Q896" s="10"/>
      <c r="R896" s="10"/>
      <c r="S896" s="10"/>
    </row>
    <row r="897" spans="1:19" x14ac:dyDescent="0.25">
      <c r="A897" s="10"/>
      <c r="B897" s="10"/>
      <c r="C897" s="10"/>
      <c r="D897" s="10"/>
      <c r="E897" s="10"/>
      <c r="F897" s="10"/>
      <c r="G897" s="10"/>
      <c r="H897" s="770"/>
      <c r="I897" s="10"/>
      <c r="J897" s="10"/>
      <c r="K897" s="10"/>
      <c r="L897" s="10"/>
      <c r="M897" s="770"/>
      <c r="N897" s="10"/>
      <c r="O897" s="10"/>
      <c r="P897" s="10"/>
      <c r="Q897" s="10"/>
      <c r="R897" s="10"/>
      <c r="S897" s="10"/>
    </row>
    <row r="898" spans="1:19" x14ac:dyDescent="0.25">
      <c r="A898" s="10"/>
      <c r="B898" s="10"/>
      <c r="C898" s="10"/>
      <c r="D898" s="10"/>
      <c r="E898" s="10"/>
      <c r="F898" s="10"/>
      <c r="G898" s="10"/>
      <c r="H898" s="770"/>
      <c r="I898" s="10"/>
      <c r="J898" s="10"/>
      <c r="K898" s="10"/>
      <c r="L898" s="10"/>
      <c r="M898" s="770"/>
      <c r="N898" s="10"/>
      <c r="O898" s="10"/>
      <c r="P898" s="10"/>
      <c r="Q898" s="10"/>
      <c r="R898" s="10"/>
      <c r="S898" s="10"/>
    </row>
    <row r="899" spans="1:19" x14ac:dyDescent="0.25">
      <c r="A899" s="10"/>
      <c r="B899" s="10"/>
      <c r="C899" s="10"/>
      <c r="D899" s="10"/>
      <c r="E899" s="10"/>
      <c r="F899" s="10"/>
      <c r="G899" s="10"/>
      <c r="H899" s="770"/>
      <c r="I899" s="10"/>
      <c r="J899" s="10"/>
      <c r="K899" s="10"/>
      <c r="L899" s="10"/>
      <c r="M899" s="770"/>
      <c r="N899" s="10"/>
      <c r="O899" s="10"/>
      <c r="P899" s="10"/>
      <c r="Q899" s="10"/>
      <c r="R899" s="10"/>
      <c r="S899" s="10"/>
    </row>
    <row r="900" spans="1:19" x14ac:dyDescent="0.25">
      <c r="A900" s="10"/>
      <c r="B900" s="10"/>
      <c r="C900" s="10"/>
      <c r="D900" s="10"/>
      <c r="E900" s="10"/>
      <c r="F900" s="10"/>
      <c r="G900" s="10"/>
      <c r="H900" s="770"/>
      <c r="I900" s="10"/>
      <c r="J900" s="10"/>
      <c r="K900" s="10"/>
      <c r="L900" s="10"/>
      <c r="M900" s="770"/>
      <c r="N900" s="10"/>
      <c r="O900" s="10"/>
      <c r="P900" s="10"/>
      <c r="Q900" s="10"/>
      <c r="R900" s="10"/>
      <c r="S900" s="10"/>
    </row>
    <row r="901" spans="1:19" x14ac:dyDescent="0.25">
      <c r="A901" s="10"/>
      <c r="B901" s="10"/>
      <c r="C901" s="10"/>
      <c r="D901" s="10"/>
      <c r="E901" s="10"/>
      <c r="F901" s="10"/>
      <c r="G901" s="10"/>
      <c r="H901" s="770"/>
      <c r="I901" s="10"/>
      <c r="J901" s="10"/>
      <c r="K901" s="10"/>
      <c r="L901" s="10"/>
      <c r="M901" s="770"/>
      <c r="N901" s="10"/>
      <c r="O901" s="10"/>
      <c r="P901" s="10"/>
      <c r="Q901" s="10"/>
      <c r="R901" s="10"/>
      <c r="S901" s="10"/>
    </row>
    <row r="902" spans="1:19" x14ac:dyDescent="0.25">
      <c r="A902" s="10"/>
      <c r="B902" s="10"/>
      <c r="C902" s="10"/>
      <c r="D902" s="10"/>
      <c r="E902" s="10"/>
      <c r="F902" s="10"/>
      <c r="G902" s="10"/>
      <c r="H902" s="770"/>
      <c r="I902" s="10"/>
      <c r="J902" s="10"/>
      <c r="K902" s="10"/>
      <c r="L902" s="10"/>
      <c r="M902" s="770"/>
      <c r="N902" s="10"/>
      <c r="O902" s="10"/>
      <c r="P902" s="10"/>
      <c r="Q902" s="10"/>
      <c r="R902" s="10"/>
      <c r="S902" s="10"/>
    </row>
    <row r="903" spans="1:19" x14ac:dyDescent="0.25">
      <c r="A903" s="10"/>
      <c r="B903" s="10"/>
      <c r="C903" s="10"/>
      <c r="D903" s="10"/>
      <c r="E903" s="10"/>
      <c r="F903" s="10"/>
      <c r="G903" s="10"/>
      <c r="H903" s="770"/>
      <c r="I903" s="10"/>
      <c r="J903" s="10"/>
      <c r="K903" s="10"/>
      <c r="L903" s="10"/>
      <c r="M903" s="770"/>
      <c r="N903" s="10"/>
      <c r="O903" s="10"/>
      <c r="P903" s="10"/>
      <c r="Q903" s="10"/>
      <c r="R903" s="10"/>
      <c r="S903" s="10"/>
    </row>
    <row r="904" spans="1:19" x14ac:dyDescent="0.25">
      <c r="A904" s="10"/>
      <c r="B904" s="10"/>
      <c r="C904" s="10"/>
      <c r="D904" s="10"/>
      <c r="E904" s="10"/>
      <c r="F904" s="10"/>
      <c r="G904" s="10"/>
      <c r="H904" s="770"/>
      <c r="I904" s="10"/>
      <c r="J904" s="10"/>
      <c r="K904" s="10"/>
      <c r="L904" s="10"/>
      <c r="M904" s="770"/>
      <c r="N904" s="10"/>
      <c r="O904" s="10"/>
      <c r="P904" s="10"/>
      <c r="Q904" s="10"/>
      <c r="R904" s="10"/>
      <c r="S904" s="10"/>
    </row>
    <row r="905" spans="1:19" x14ac:dyDescent="0.25">
      <c r="A905" s="10"/>
      <c r="B905" s="10"/>
      <c r="C905" s="10"/>
      <c r="D905" s="10"/>
      <c r="E905" s="10"/>
      <c r="F905" s="10"/>
      <c r="G905" s="10"/>
      <c r="H905" s="770"/>
      <c r="I905" s="10"/>
      <c r="J905" s="10"/>
      <c r="K905" s="10"/>
      <c r="L905" s="10"/>
      <c r="M905" s="770"/>
      <c r="N905" s="10"/>
      <c r="O905" s="10"/>
      <c r="P905" s="10"/>
      <c r="Q905" s="10"/>
      <c r="R905" s="10"/>
      <c r="S905" s="10"/>
    </row>
    <row r="906" spans="1:19" x14ac:dyDescent="0.25">
      <c r="A906" s="10"/>
      <c r="B906" s="10"/>
      <c r="C906" s="10"/>
      <c r="D906" s="10"/>
      <c r="E906" s="10"/>
      <c r="F906" s="10"/>
      <c r="G906" s="10"/>
      <c r="H906" s="770"/>
      <c r="I906" s="10"/>
      <c r="J906" s="10"/>
      <c r="K906" s="10"/>
      <c r="L906" s="10"/>
      <c r="M906" s="770"/>
      <c r="N906" s="10"/>
      <c r="O906" s="10"/>
      <c r="P906" s="10"/>
      <c r="Q906" s="10"/>
      <c r="R906" s="10"/>
      <c r="S906" s="10"/>
    </row>
    <row r="907" spans="1:19" x14ac:dyDescent="0.25">
      <c r="A907" s="10"/>
      <c r="B907" s="10"/>
      <c r="C907" s="10"/>
      <c r="D907" s="10"/>
      <c r="E907" s="10"/>
      <c r="F907" s="10"/>
      <c r="G907" s="10"/>
      <c r="H907" s="770"/>
      <c r="I907" s="10"/>
      <c r="J907" s="10"/>
      <c r="K907" s="10"/>
      <c r="L907" s="10"/>
      <c r="M907" s="770"/>
      <c r="N907" s="10"/>
      <c r="O907" s="10"/>
      <c r="P907" s="10"/>
      <c r="Q907" s="10"/>
      <c r="R907" s="10"/>
      <c r="S907" s="10"/>
    </row>
    <row r="908" spans="1:19" x14ac:dyDescent="0.25">
      <c r="A908" s="10"/>
      <c r="B908" s="10"/>
      <c r="C908" s="10"/>
      <c r="D908" s="10"/>
      <c r="E908" s="10"/>
      <c r="F908" s="10"/>
      <c r="G908" s="10"/>
      <c r="H908" s="770"/>
      <c r="I908" s="10"/>
      <c r="J908" s="10"/>
      <c r="K908" s="10"/>
      <c r="L908" s="10"/>
      <c r="M908" s="770"/>
      <c r="N908" s="10"/>
      <c r="O908" s="10"/>
      <c r="P908" s="10"/>
      <c r="Q908" s="10"/>
      <c r="R908" s="10"/>
      <c r="S908" s="10"/>
    </row>
    <row r="909" spans="1:19" x14ac:dyDescent="0.25">
      <c r="A909" s="10"/>
      <c r="B909" s="10"/>
      <c r="C909" s="10"/>
      <c r="D909" s="10"/>
      <c r="E909" s="10"/>
      <c r="F909" s="10"/>
      <c r="G909" s="10"/>
      <c r="H909" s="770"/>
      <c r="I909" s="10"/>
      <c r="J909" s="10"/>
      <c r="K909" s="10"/>
      <c r="L909" s="10"/>
      <c r="M909" s="770"/>
      <c r="N909" s="10"/>
      <c r="O909" s="10"/>
      <c r="P909" s="10"/>
      <c r="Q909" s="10"/>
      <c r="R909" s="10"/>
      <c r="S909" s="10"/>
    </row>
    <row r="910" spans="1:19" x14ac:dyDescent="0.25">
      <c r="A910" s="10"/>
      <c r="B910" s="10"/>
      <c r="C910" s="10"/>
      <c r="D910" s="10"/>
      <c r="E910" s="10"/>
      <c r="F910" s="10"/>
      <c r="G910" s="10"/>
      <c r="H910" s="770"/>
      <c r="I910" s="10"/>
      <c r="J910" s="10"/>
      <c r="K910" s="10"/>
      <c r="L910" s="10"/>
      <c r="M910" s="770"/>
      <c r="N910" s="10"/>
      <c r="O910" s="10"/>
      <c r="P910" s="10"/>
      <c r="Q910" s="10"/>
      <c r="R910" s="10"/>
      <c r="S910" s="10"/>
    </row>
    <row r="911" spans="1:19" x14ac:dyDescent="0.25">
      <c r="A911" s="10"/>
      <c r="B911" s="10"/>
      <c r="C911" s="10"/>
      <c r="D911" s="10"/>
      <c r="E911" s="10"/>
      <c r="F911" s="10"/>
      <c r="G911" s="10"/>
      <c r="H911" s="770"/>
      <c r="I911" s="10"/>
      <c r="J911" s="10"/>
      <c r="K911" s="10"/>
      <c r="L911" s="10"/>
      <c r="M911" s="770"/>
      <c r="N911" s="10"/>
      <c r="O911" s="10"/>
      <c r="P911" s="10"/>
      <c r="Q911" s="10"/>
      <c r="R911" s="10"/>
      <c r="S911" s="10"/>
    </row>
    <row r="912" spans="1:19" x14ac:dyDescent="0.25">
      <c r="A912" s="10"/>
      <c r="B912" s="10"/>
      <c r="C912" s="10"/>
      <c r="D912" s="10"/>
      <c r="E912" s="10"/>
      <c r="F912" s="10"/>
      <c r="G912" s="10"/>
      <c r="H912" s="770"/>
      <c r="I912" s="10"/>
      <c r="J912" s="10"/>
      <c r="K912" s="10"/>
      <c r="L912" s="10"/>
      <c r="M912" s="770"/>
      <c r="N912" s="10"/>
      <c r="O912" s="10"/>
      <c r="P912" s="10"/>
      <c r="Q912" s="10"/>
      <c r="R912" s="10"/>
      <c r="S912" s="10"/>
    </row>
    <row r="913" spans="1:19" x14ac:dyDescent="0.25">
      <c r="A913" s="10"/>
      <c r="B913" s="10"/>
      <c r="C913" s="10"/>
      <c r="D913" s="10"/>
      <c r="E913" s="10"/>
      <c r="F913" s="10"/>
      <c r="G913" s="10"/>
      <c r="H913" s="770"/>
      <c r="I913" s="10"/>
      <c r="J913" s="10"/>
      <c r="K913" s="10"/>
      <c r="L913" s="10"/>
      <c r="M913" s="770"/>
      <c r="N913" s="10"/>
      <c r="O913" s="10"/>
      <c r="P913" s="10"/>
      <c r="Q913" s="10"/>
      <c r="R913" s="10"/>
      <c r="S913" s="10"/>
    </row>
    <row r="914" spans="1:19" x14ac:dyDescent="0.25">
      <c r="A914" s="10"/>
      <c r="B914" s="10"/>
      <c r="C914" s="10"/>
      <c r="D914" s="10"/>
      <c r="E914" s="10"/>
      <c r="F914" s="10"/>
      <c r="G914" s="10"/>
      <c r="H914" s="770"/>
      <c r="I914" s="10"/>
      <c r="J914" s="10"/>
      <c r="K914" s="10"/>
      <c r="L914" s="10"/>
      <c r="M914" s="770"/>
      <c r="N914" s="10"/>
      <c r="O914" s="10"/>
      <c r="P914" s="10"/>
      <c r="Q914" s="10"/>
      <c r="R914" s="10"/>
      <c r="S914" s="10"/>
    </row>
    <row r="915" spans="1:19" x14ac:dyDescent="0.25">
      <c r="A915" s="10"/>
      <c r="B915" s="10"/>
      <c r="C915" s="10"/>
      <c r="D915" s="10"/>
      <c r="E915" s="10"/>
      <c r="F915" s="10"/>
      <c r="G915" s="10"/>
      <c r="H915" s="770"/>
      <c r="I915" s="10"/>
      <c r="J915" s="10"/>
      <c r="K915" s="10"/>
      <c r="L915" s="10"/>
      <c r="M915" s="770"/>
      <c r="N915" s="10"/>
      <c r="O915" s="10"/>
      <c r="P915" s="10"/>
      <c r="Q915" s="10"/>
      <c r="R915" s="10"/>
      <c r="S915" s="10"/>
    </row>
    <row r="916" spans="1:19" x14ac:dyDescent="0.25">
      <c r="A916" s="10"/>
      <c r="B916" s="10"/>
      <c r="C916" s="10"/>
      <c r="D916" s="10"/>
      <c r="E916" s="10"/>
      <c r="F916" s="10"/>
      <c r="G916" s="10"/>
      <c r="H916" s="770"/>
      <c r="I916" s="10"/>
      <c r="J916" s="10"/>
      <c r="K916" s="10"/>
      <c r="L916" s="10"/>
      <c r="M916" s="770"/>
      <c r="N916" s="10"/>
      <c r="O916" s="10"/>
      <c r="P916" s="10"/>
      <c r="Q916" s="10"/>
      <c r="R916" s="10"/>
      <c r="S916" s="10"/>
    </row>
    <row r="917" spans="1:19" x14ac:dyDescent="0.25">
      <c r="A917" s="10"/>
      <c r="B917" s="10"/>
      <c r="C917" s="10"/>
      <c r="D917" s="10"/>
      <c r="E917" s="10"/>
      <c r="F917" s="10"/>
      <c r="G917" s="10"/>
      <c r="H917" s="770"/>
      <c r="I917" s="10"/>
      <c r="J917" s="10"/>
      <c r="K917" s="10"/>
      <c r="L917" s="10"/>
      <c r="M917" s="770"/>
      <c r="N917" s="10"/>
      <c r="O917" s="10"/>
      <c r="P917" s="10"/>
      <c r="Q917" s="10"/>
      <c r="R917" s="10"/>
      <c r="S917" s="10"/>
    </row>
    <row r="918" spans="1:19" x14ac:dyDescent="0.25">
      <c r="A918" s="10"/>
      <c r="B918" s="10"/>
      <c r="C918" s="10"/>
      <c r="D918" s="10"/>
      <c r="E918" s="10"/>
      <c r="F918" s="10"/>
      <c r="G918" s="10"/>
      <c r="H918" s="770"/>
      <c r="I918" s="10"/>
      <c r="J918" s="10"/>
      <c r="K918" s="10"/>
      <c r="L918" s="10"/>
      <c r="M918" s="770"/>
      <c r="N918" s="10"/>
      <c r="O918" s="10"/>
      <c r="P918" s="10"/>
      <c r="Q918" s="10"/>
      <c r="R918" s="10"/>
      <c r="S918" s="10"/>
    </row>
    <row r="919" spans="1:19" x14ac:dyDescent="0.25">
      <c r="A919" s="10"/>
      <c r="B919" s="10"/>
      <c r="C919" s="10"/>
      <c r="D919" s="10"/>
      <c r="E919" s="10"/>
      <c r="F919" s="10"/>
      <c r="G919" s="10"/>
      <c r="H919" s="770"/>
      <c r="I919" s="10"/>
      <c r="J919" s="10"/>
      <c r="K919" s="10"/>
      <c r="L919" s="10"/>
      <c r="M919" s="770"/>
      <c r="N919" s="10"/>
      <c r="O919" s="10"/>
      <c r="P919" s="10"/>
      <c r="Q919" s="10"/>
      <c r="R919" s="10"/>
      <c r="S919" s="10"/>
    </row>
    <row r="920" spans="1:19" x14ac:dyDescent="0.25">
      <c r="A920" s="10"/>
      <c r="B920" s="10"/>
      <c r="C920" s="10"/>
      <c r="D920" s="10"/>
      <c r="E920" s="10"/>
      <c r="F920" s="10"/>
      <c r="G920" s="10"/>
      <c r="H920" s="770"/>
      <c r="I920" s="10"/>
      <c r="J920" s="10"/>
      <c r="K920" s="10"/>
      <c r="L920" s="10"/>
      <c r="M920" s="770"/>
      <c r="N920" s="10"/>
      <c r="O920" s="10"/>
      <c r="P920" s="10"/>
      <c r="Q920" s="10"/>
      <c r="R920" s="10"/>
      <c r="S920" s="10"/>
    </row>
    <row r="921" spans="1:19" x14ac:dyDescent="0.25">
      <c r="A921" s="10"/>
      <c r="B921" s="10"/>
      <c r="C921" s="10"/>
      <c r="D921" s="10"/>
      <c r="E921" s="10"/>
      <c r="F921" s="10"/>
      <c r="G921" s="10"/>
      <c r="H921" s="770"/>
      <c r="I921" s="10"/>
      <c r="J921" s="10"/>
      <c r="K921" s="10"/>
      <c r="L921" s="10"/>
      <c r="M921" s="770"/>
      <c r="N921" s="10"/>
      <c r="O921" s="10"/>
      <c r="P921" s="10"/>
      <c r="Q921" s="10"/>
      <c r="R921" s="10"/>
      <c r="S921" s="10"/>
    </row>
    <row r="922" spans="1:19" x14ac:dyDescent="0.25">
      <c r="A922" s="10"/>
      <c r="B922" s="10"/>
      <c r="C922" s="10"/>
      <c r="D922" s="10"/>
      <c r="E922" s="10"/>
      <c r="F922" s="10"/>
      <c r="G922" s="10"/>
      <c r="H922" s="770"/>
      <c r="I922" s="10"/>
      <c r="J922" s="10"/>
      <c r="K922" s="10"/>
      <c r="L922" s="10"/>
      <c r="M922" s="770"/>
      <c r="N922" s="10"/>
      <c r="O922" s="10"/>
      <c r="P922" s="10"/>
      <c r="Q922" s="10"/>
      <c r="R922" s="10"/>
      <c r="S922" s="10"/>
    </row>
    <row r="923" spans="1:19" x14ac:dyDescent="0.25">
      <c r="A923" s="10"/>
      <c r="B923" s="10"/>
      <c r="C923" s="10"/>
      <c r="D923" s="10"/>
      <c r="E923" s="10"/>
      <c r="F923" s="10"/>
      <c r="G923" s="10"/>
      <c r="H923" s="770"/>
      <c r="I923" s="10"/>
      <c r="J923" s="10"/>
      <c r="K923" s="10"/>
      <c r="L923" s="10"/>
      <c r="M923" s="770"/>
      <c r="N923" s="10"/>
      <c r="O923" s="10"/>
      <c r="P923" s="10"/>
      <c r="Q923" s="10"/>
      <c r="R923" s="10"/>
      <c r="S923" s="10"/>
    </row>
    <row r="924" spans="1:19" x14ac:dyDescent="0.25">
      <c r="A924" s="10"/>
      <c r="B924" s="10"/>
      <c r="C924" s="10"/>
      <c r="D924" s="10"/>
      <c r="E924" s="10"/>
      <c r="F924" s="10"/>
      <c r="G924" s="10"/>
      <c r="H924" s="770"/>
      <c r="I924" s="10"/>
      <c r="J924" s="10"/>
      <c r="K924" s="10"/>
      <c r="L924" s="10"/>
      <c r="M924" s="770"/>
      <c r="N924" s="10"/>
      <c r="O924" s="10"/>
      <c r="P924" s="10"/>
      <c r="Q924" s="10"/>
      <c r="R924" s="10"/>
      <c r="S924" s="10"/>
    </row>
    <row r="925" spans="1:19" x14ac:dyDescent="0.25">
      <c r="A925" s="10"/>
      <c r="B925" s="10"/>
      <c r="C925" s="10"/>
      <c r="D925" s="10"/>
      <c r="E925" s="10"/>
      <c r="F925" s="10"/>
      <c r="G925" s="10"/>
      <c r="H925" s="770"/>
      <c r="I925" s="10"/>
      <c r="J925" s="10"/>
      <c r="K925" s="10"/>
      <c r="L925" s="10"/>
      <c r="M925" s="770"/>
      <c r="N925" s="10"/>
      <c r="O925" s="10"/>
      <c r="P925" s="10"/>
      <c r="Q925" s="10"/>
      <c r="R925" s="10"/>
      <c r="S925" s="10"/>
    </row>
    <row r="926" spans="1:19" x14ac:dyDescent="0.25">
      <c r="A926" s="10"/>
      <c r="B926" s="10"/>
      <c r="C926" s="10"/>
      <c r="D926" s="10"/>
      <c r="E926" s="10"/>
      <c r="F926" s="10"/>
      <c r="G926" s="10"/>
      <c r="H926" s="770"/>
      <c r="I926" s="10"/>
      <c r="J926" s="10"/>
      <c r="K926" s="10"/>
      <c r="L926" s="10"/>
      <c r="M926" s="770"/>
      <c r="N926" s="10"/>
      <c r="O926" s="10"/>
      <c r="P926" s="10"/>
      <c r="Q926" s="10"/>
      <c r="R926" s="10"/>
      <c r="S926" s="10"/>
    </row>
    <row r="927" spans="1:19" x14ac:dyDescent="0.25">
      <c r="A927" s="10"/>
      <c r="B927" s="10"/>
      <c r="C927" s="10"/>
      <c r="D927" s="10"/>
      <c r="E927" s="10"/>
      <c r="F927" s="10"/>
      <c r="G927" s="10"/>
      <c r="H927" s="770"/>
      <c r="I927" s="10"/>
      <c r="J927" s="10"/>
      <c r="K927" s="10"/>
      <c r="L927" s="10"/>
      <c r="M927" s="770"/>
      <c r="N927" s="10"/>
      <c r="O927" s="10"/>
      <c r="P927" s="10"/>
      <c r="Q927" s="10"/>
      <c r="R927" s="10"/>
      <c r="S927" s="10"/>
    </row>
    <row r="928" spans="1:19" x14ac:dyDescent="0.25">
      <c r="A928" s="10"/>
      <c r="B928" s="10"/>
      <c r="C928" s="10"/>
      <c r="D928" s="10"/>
      <c r="E928" s="10"/>
      <c r="F928" s="10"/>
      <c r="G928" s="10"/>
      <c r="H928" s="770"/>
      <c r="I928" s="10"/>
      <c r="J928" s="10"/>
      <c r="K928" s="10"/>
      <c r="L928" s="10"/>
      <c r="M928" s="770"/>
      <c r="N928" s="10"/>
      <c r="O928" s="10"/>
      <c r="P928" s="10"/>
      <c r="Q928" s="10"/>
      <c r="R928" s="10"/>
      <c r="S928" s="10"/>
    </row>
    <row r="929" spans="1:19" x14ac:dyDescent="0.25">
      <c r="A929" s="10"/>
      <c r="B929" s="10"/>
      <c r="C929" s="10"/>
      <c r="D929" s="10"/>
      <c r="E929" s="10"/>
      <c r="F929" s="10"/>
      <c r="G929" s="10"/>
      <c r="H929" s="770"/>
      <c r="I929" s="10"/>
      <c r="J929" s="10"/>
      <c r="K929" s="10"/>
      <c r="L929" s="10"/>
      <c r="M929" s="770"/>
      <c r="N929" s="10"/>
      <c r="O929" s="10"/>
      <c r="P929" s="10"/>
      <c r="Q929" s="10"/>
      <c r="R929" s="10"/>
      <c r="S929" s="10"/>
    </row>
    <row r="930" spans="1:19" x14ac:dyDescent="0.25">
      <c r="A930" s="10"/>
      <c r="B930" s="10"/>
      <c r="C930" s="10"/>
      <c r="D930" s="10"/>
      <c r="E930" s="10"/>
      <c r="F930" s="10"/>
      <c r="G930" s="10"/>
      <c r="H930" s="770"/>
      <c r="I930" s="10"/>
      <c r="J930" s="10"/>
      <c r="K930" s="10"/>
      <c r="L930" s="10"/>
      <c r="M930" s="770"/>
      <c r="N930" s="10"/>
      <c r="O930" s="10"/>
      <c r="P930" s="10"/>
      <c r="Q930" s="10"/>
      <c r="R930" s="10"/>
      <c r="S930" s="10"/>
    </row>
    <row r="931" spans="1:19" x14ac:dyDescent="0.25">
      <c r="A931" s="10"/>
      <c r="B931" s="10"/>
      <c r="C931" s="10"/>
      <c r="D931" s="10"/>
      <c r="E931" s="10"/>
      <c r="F931" s="10"/>
      <c r="G931" s="10"/>
      <c r="H931" s="770"/>
      <c r="I931" s="10"/>
      <c r="J931" s="10"/>
      <c r="K931" s="10"/>
      <c r="L931" s="10"/>
      <c r="M931" s="770"/>
      <c r="N931" s="10"/>
      <c r="O931" s="10"/>
      <c r="P931" s="10"/>
      <c r="Q931" s="10"/>
      <c r="R931" s="10"/>
      <c r="S931" s="10"/>
    </row>
    <row r="932" spans="1:19" x14ac:dyDescent="0.25">
      <c r="A932" s="10"/>
      <c r="B932" s="10"/>
      <c r="C932" s="10"/>
      <c r="D932" s="10"/>
      <c r="E932" s="10"/>
      <c r="F932" s="10"/>
      <c r="G932" s="10"/>
      <c r="H932" s="770"/>
      <c r="I932" s="10"/>
      <c r="J932" s="10"/>
      <c r="K932" s="10"/>
      <c r="L932" s="10"/>
      <c r="M932" s="770"/>
      <c r="N932" s="10"/>
      <c r="O932" s="10"/>
      <c r="P932" s="10"/>
      <c r="Q932" s="10"/>
      <c r="R932" s="10"/>
      <c r="S932" s="10"/>
    </row>
    <row r="933" spans="1:19" x14ac:dyDescent="0.25">
      <c r="A933" s="10"/>
      <c r="B933" s="10"/>
      <c r="C933" s="10"/>
      <c r="D933" s="10"/>
      <c r="E933" s="10"/>
      <c r="F933" s="10"/>
      <c r="G933" s="10"/>
      <c r="H933" s="770"/>
      <c r="I933" s="10"/>
      <c r="J933" s="10"/>
      <c r="K933" s="10"/>
      <c r="L933" s="10"/>
      <c r="M933" s="770"/>
      <c r="N933" s="10"/>
      <c r="O933" s="10"/>
      <c r="P933" s="10"/>
      <c r="Q933" s="10"/>
      <c r="R933" s="10"/>
      <c r="S933" s="10"/>
    </row>
    <row r="934" spans="1:19" x14ac:dyDescent="0.25">
      <c r="A934" s="10"/>
      <c r="B934" s="10"/>
      <c r="C934" s="10"/>
      <c r="D934" s="10"/>
      <c r="E934" s="10"/>
      <c r="F934" s="10"/>
      <c r="G934" s="10"/>
      <c r="H934" s="770"/>
      <c r="I934" s="10"/>
      <c r="J934" s="10"/>
      <c r="K934" s="10"/>
      <c r="L934" s="10"/>
      <c r="M934" s="770"/>
      <c r="N934" s="10"/>
      <c r="O934" s="10"/>
      <c r="P934" s="10"/>
      <c r="Q934" s="10"/>
      <c r="R934" s="10"/>
      <c r="S934" s="10"/>
    </row>
    <row r="935" spans="1:19" x14ac:dyDescent="0.25">
      <c r="A935" s="10"/>
      <c r="B935" s="10"/>
      <c r="C935" s="10"/>
      <c r="D935" s="10"/>
      <c r="E935" s="10"/>
      <c r="F935" s="10"/>
      <c r="G935" s="10"/>
      <c r="H935" s="770"/>
      <c r="I935" s="10"/>
      <c r="J935" s="10"/>
      <c r="K935" s="10"/>
      <c r="L935" s="10"/>
      <c r="M935" s="770"/>
      <c r="N935" s="10"/>
      <c r="O935" s="10"/>
      <c r="P935" s="10"/>
      <c r="Q935" s="10"/>
      <c r="R935" s="10"/>
      <c r="S935" s="10"/>
    </row>
    <row r="936" spans="1:19" x14ac:dyDescent="0.25">
      <c r="A936" s="10"/>
      <c r="B936" s="10"/>
      <c r="C936" s="10"/>
      <c r="D936" s="10"/>
      <c r="E936" s="10"/>
      <c r="F936" s="10"/>
      <c r="G936" s="10"/>
      <c r="H936" s="770"/>
      <c r="I936" s="10"/>
      <c r="J936" s="10"/>
      <c r="K936" s="10"/>
      <c r="L936" s="10"/>
      <c r="M936" s="770"/>
      <c r="N936" s="10"/>
      <c r="O936" s="10"/>
      <c r="P936" s="10"/>
      <c r="Q936" s="10"/>
      <c r="R936" s="10"/>
      <c r="S936" s="10"/>
    </row>
    <row r="937" spans="1:19" x14ac:dyDescent="0.25">
      <c r="A937" s="10"/>
      <c r="B937" s="10"/>
      <c r="C937" s="10"/>
      <c r="D937" s="10"/>
      <c r="E937" s="10"/>
      <c r="F937" s="10"/>
      <c r="G937" s="10"/>
      <c r="H937" s="770"/>
      <c r="I937" s="10"/>
      <c r="J937" s="10"/>
      <c r="K937" s="10"/>
      <c r="L937" s="10"/>
      <c r="M937" s="770"/>
      <c r="N937" s="10"/>
      <c r="O937" s="10"/>
      <c r="P937" s="10"/>
      <c r="Q937" s="10"/>
      <c r="R937" s="10"/>
      <c r="S937" s="10"/>
    </row>
    <row r="938" spans="1:19" x14ac:dyDescent="0.25">
      <c r="A938" s="10"/>
      <c r="B938" s="10"/>
      <c r="C938" s="10"/>
      <c r="D938" s="10"/>
      <c r="E938" s="10"/>
      <c r="F938" s="10"/>
      <c r="G938" s="10"/>
      <c r="H938" s="770"/>
      <c r="I938" s="10"/>
      <c r="J938" s="10"/>
      <c r="K938" s="10"/>
      <c r="L938" s="10"/>
      <c r="M938" s="770"/>
      <c r="N938" s="10"/>
      <c r="O938" s="10"/>
      <c r="P938" s="10"/>
      <c r="Q938" s="10"/>
      <c r="R938" s="10"/>
      <c r="S938" s="10"/>
    </row>
    <row r="939" spans="1:19" x14ac:dyDescent="0.25">
      <c r="A939" s="10"/>
      <c r="B939" s="10"/>
      <c r="C939" s="10"/>
      <c r="D939" s="10"/>
      <c r="E939" s="10"/>
      <c r="F939" s="10"/>
      <c r="G939" s="10"/>
      <c r="H939" s="770"/>
      <c r="I939" s="10"/>
      <c r="J939" s="10"/>
      <c r="K939" s="10"/>
      <c r="L939" s="10"/>
      <c r="M939" s="770"/>
      <c r="N939" s="10"/>
      <c r="O939" s="10"/>
      <c r="P939" s="10"/>
      <c r="Q939" s="10"/>
      <c r="R939" s="10"/>
      <c r="S939" s="10"/>
    </row>
    <row r="940" spans="1:19" x14ac:dyDescent="0.25">
      <c r="A940" s="10"/>
      <c r="B940" s="10"/>
      <c r="C940" s="10"/>
      <c r="D940" s="10"/>
      <c r="E940" s="10"/>
      <c r="F940" s="10"/>
      <c r="G940" s="10"/>
      <c r="H940" s="770"/>
      <c r="I940" s="10"/>
      <c r="J940" s="10"/>
      <c r="K940" s="10"/>
      <c r="L940" s="10"/>
      <c r="M940" s="770"/>
      <c r="N940" s="10"/>
      <c r="O940" s="10"/>
      <c r="P940" s="10"/>
      <c r="Q940" s="10"/>
      <c r="R940" s="10"/>
      <c r="S940" s="10"/>
    </row>
    <row r="941" spans="1:19" x14ac:dyDescent="0.25">
      <c r="A941" s="10"/>
      <c r="B941" s="10"/>
      <c r="C941" s="10"/>
      <c r="D941" s="10"/>
      <c r="E941" s="10"/>
      <c r="F941" s="10"/>
      <c r="G941" s="10"/>
      <c r="H941" s="770"/>
      <c r="I941" s="10"/>
      <c r="J941" s="10"/>
      <c r="K941" s="10"/>
      <c r="L941" s="10"/>
      <c r="M941" s="770"/>
      <c r="N941" s="10"/>
      <c r="O941" s="10"/>
      <c r="P941" s="10"/>
      <c r="Q941" s="10"/>
      <c r="R941" s="10"/>
      <c r="S941" s="10"/>
    </row>
    <row r="942" spans="1:19" x14ac:dyDescent="0.25">
      <c r="A942" s="10"/>
      <c r="B942" s="10"/>
      <c r="C942" s="10"/>
      <c r="D942" s="10"/>
      <c r="E942" s="10"/>
      <c r="F942" s="10"/>
      <c r="G942" s="10"/>
      <c r="H942" s="770"/>
      <c r="I942" s="10"/>
      <c r="J942" s="10"/>
      <c r="K942" s="10"/>
      <c r="L942" s="10"/>
      <c r="M942" s="770"/>
      <c r="N942" s="10"/>
      <c r="O942" s="10"/>
      <c r="P942" s="10"/>
      <c r="Q942" s="10"/>
      <c r="R942" s="10"/>
      <c r="S942" s="10"/>
    </row>
    <row r="943" spans="1:19" x14ac:dyDescent="0.25">
      <c r="A943" s="10"/>
      <c r="B943" s="10"/>
      <c r="C943" s="10"/>
      <c r="D943" s="10"/>
      <c r="E943" s="10"/>
      <c r="F943" s="10"/>
      <c r="G943" s="10"/>
      <c r="H943" s="770"/>
      <c r="I943" s="10"/>
      <c r="J943" s="10"/>
      <c r="K943" s="10"/>
      <c r="L943" s="10"/>
      <c r="M943" s="770"/>
      <c r="N943" s="10"/>
      <c r="O943" s="10"/>
      <c r="P943" s="10"/>
      <c r="Q943" s="10"/>
      <c r="R943" s="10"/>
      <c r="S943" s="10"/>
    </row>
    <row r="944" spans="1:19" x14ac:dyDescent="0.25">
      <c r="A944" s="10"/>
      <c r="B944" s="10"/>
      <c r="C944" s="10"/>
      <c r="D944" s="10"/>
      <c r="E944" s="10"/>
      <c r="F944" s="10"/>
      <c r="G944" s="10"/>
      <c r="H944" s="770"/>
      <c r="I944" s="10"/>
      <c r="J944" s="10"/>
      <c r="K944" s="10"/>
      <c r="L944" s="10"/>
      <c r="M944" s="770"/>
      <c r="N944" s="10"/>
      <c r="O944" s="10"/>
      <c r="P944" s="10"/>
      <c r="Q944" s="10"/>
      <c r="R944" s="10"/>
      <c r="S944" s="10"/>
    </row>
    <row r="945" spans="1:19" x14ac:dyDescent="0.25">
      <c r="A945" s="10"/>
      <c r="B945" s="10"/>
      <c r="C945" s="10"/>
      <c r="D945" s="10"/>
      <c r="E945" s="10"/>
      <c r="F945" s="10"/>
      <c r="G945" s="10"/>
      <c r="H945" s="770"/>
      <c r="I945" s="10"/>
      <c r="J945" s="10"/>
      <c r="K945" s="10"/>
      <c r="L945" s="10"/>
      <c r="M945" s="770"/>
      <c r="N945" s="10"/>
      <c r="O945" s="10"/>
      <c r="P945" s="10"/>
      <c r="Q945" s="10"/>
      <c r="R945" s="10"/>
      <c r="S945" s="10"/>
    </row>
    <row r="946" spans="1:19" x14ac:dyDescent="0.25">
      <c r="A946" s="10"/>
      <c r="B946" s="10"/>
      <c r="C946" s="10"/>
      <c r="D946" s="10"/>
      <c r="E946" s="10"/>
      <c r="F946" s="10"/>
      <c r="G946" s="10"/>
      <c r="H946" s="770"/>
      <c r="I946" s="10"/>
      <c r="J946" s="10"/>
      <c r="K946" s="10"/>
      <c r="L946" s="10"/>
      <c r="M946" s="770"/>
      <c r="N946" s="10"/>
      <c r="O946" s="10"/>
      <c r="P946" s="10"/>
      <c r="Q946" s="10"/>
      <c r="R946" s="10"/>
      <c r="S946" s="10"/>
    </row>
    <row r="947" spans="1:19" x14ac:dyDescent="0.25">
      <c r="A947" s="10"/>
      <c r="B947" s="10"/>
      <c r="C947" s="10"/>
      <c r="D947" s="10"/>
      <c r="E947" s="10"/>
      <c r="F947" s="10"/>
      <c r="G947" s="10"/>
      <c r="H947" s="770"/>
      <c r="I947" s="10"/>
      <c r="J947" s="10"/>
      <c r="K947" s="10"/>
      <c r="L947" s="10"/>
      <c r="M947" s="770"/>
      <c r="N947" s="10"/>
      <c r="O947" s="10"/>
      <c r="P947" s="10"/>
      <c r="Q947" s="10"/>
      <c r="R947" s="10"/>
      <c r="S947" s="10"/>
    </row>
    <row r="948" spans="1:19" x14ac:dyDescent="0.25">
      <c r="A948" s="10"/>
      <c r="B948" s="10"/>
      <c r="C948" s="10"/>
      <c r="D948" s="10"/>
      <c r="E948" s="10"/>
      <c r="F948" s="10"/>
      <c r="G948" s="10"/>
      <c r="H948" s="770"/>
      <c r="I948" s="10"/>
      <c r="J948" s="10"/>
      <c r="K948" s="10"/>
      <c r="L948" s="10"/>
      <c r="M948" s="770"/>
      <c r="N948" s="10"/>
      <c r="O948" s="10"/>
      <c r="P948" s="10"/>
      <c r="Q948" s="10"/>
      <c r="R948" s="10"/>
      <c r="S948" s="10"/>
    </row>
    <row r="949" spans="1:19" x14ac:dyDescent="0.25">
      <c r="A949" s="10"/>
      <c r="B949" s="10"/>
      <c r="C949" s="10"/>
      <c r="D949" s="10"/>
      <c r="E949" s="10"/>
      <c r="F949" s="10"/>
      <c r="G949" s="10"/>
      <c r="H949" s="770"/>
      <c r="I949" s="10"/>
      <c r="J949" s="10"/>
      <c r="K949" s="10"/>
      <c r="L949" s="10"/>
      <c r="M949" s="770"/>
      <c r="N949" s="10"/>
      <c r="O949" s="10"/>
      <c r="P949" s="10"/>
      <c r="Q949" s="10"/>
      <c r="R949" s="10"/>
      <c r="S949" s="10"/>
    </row>
    <row r="950" spans="1:19" x14ac:dyDescent="0.25">
      <c r="A950" s="10"/>
      <c r="B950" s="10"/>
      <c r="C950" s="10"/>
      <c r="D950" s="10"/>
      <c r="E950" s="10"/>
      <c r="F950" s="10"/>
      <c r="G950" s="10"/>
      <c r="H950" s="770"/>
      <c r="I950" s="10"/>
      <c r="J950" s="10"/>
      <c r="K950" s="10"/>
      <c r="L950" s="10"/>
      <c r="M950" s="770"/>
      <c r="N950" s="10"/>
      <c r="O950" s="10"/>
      <c r="P950" s="10"/>
      <c r="Q950" s="10"/>
      <c r="R950" s="10"/>
      <c r="S950" s="10"/>
    </row>
    <row r="951" spans="1:19" x14ac:dyDescent="0.25">
      <c r="A951" s="10"/>
      <c r="B951" s="10"/>
      <c r="C951" s="10"/>
      <c r="D951" s="10"/>
      <c r="E951" s="10"/>
      <c r="F951" s="10"/>
      <c r="G951" s="10"/>
      <c r="H951" s="770"/>
      <c r="I951" s="10"/>
      <c r="J951" s="10"/>
      <c r="K951" s="10"/>
      <c r="L951" s="10"/>
      <c r="M951" s="770"/>
      <c r="N951" s="10"/>
      <c r="O951" s="10"/>
      <c r="P951" s="10"/>
      <c r="Q951" s="10"/>
      <c r="R951" s="10"/>
      <c r="S951" s="10"/>
    </row>
    <row r="952" spans="1:19" x14ac:dyDescent="0.25">
      <c r="A952" s="10"/>
      <c r="B952" s="10"/>
      <c r="C952" s="10"/>
      <c r="D952" s="10"/>
      <c r="E952" s="10"/>
      <c r="F952" s="10"/>
      <c r="G952" s="10"/>
      <c r="H952" s="770"/>
      <c r="I952" s="10"/>
      <c r="J952" s="10"/>
      <c r="K952" s="10"/>
      <c r="L952" s="10"/>
      <c r="M952" s="770"/>
      <c r="N952" s="10"/>
      <c r="O952" s="10"/>
      <c r="P952" s="10"/>
      <c r="Q952" s="10"/>
      <c r="R952" s="10"/>
      <c r="S952" s="10"/>
    </row>
    <row r="953" spans="1:19" x14ac:dyDescent="0.25">
      <c r="A953" s="10"/>
      <c r="B953" s="10"/>
      <c r="C953" s="10"/>
      <c r="D953" s="10"/>
      <c r="E953" s="10"/>
      <c r="F953" s="10"/>
      <c r="G953" s="10"/>
      <c r="H953" s="770"/>
      <c r="I953" s="10"/>
      <c r="J953" s="10"/>
      <c r="K953" s="10"/>
      <c r="L953" s="10"/>
      <c r="M953" s="770"/>
      <c r="N953" s="10"/>
      <c r="O953" s="10"/>
      <c r="P953" s="10"/>
      <c r="Q953" s="10"/>
      <c r="R953" s="10"/>
      <c r="S953" s="10"/>
    </row>
    <row r="954" spans="1:19" x14ac:dyDescent="0.25">
      <c r="A954" s="10"/>
      <c r="B954" s="10"/>
      <c r="C954" s="10"/>
      <c r="D954" s="10"/>
      <c r="E954" s="10"/>
      <c r="F954" s="10"/>
      <c r="G954" s="10"/>
      <c r="H954" s="770"/>
      <c r="I954" s="10"/>
      <c r="J954" s="10"/>
      <c r="K954" s="10"/>
      <c r="L954" s="10"/>
      <c r="M954" s="770"/>
      <c r="N954" s="10"/>
      <c r="O954" s="10"/>
      <c r="P954" s="10"/>
      <c r="Q954" s="10"/>
      <c r="R954" s="10"/>
      <c r="S954" s="10"/>
    </row>
    <row r="955" spans="1:19" x14ac:dyDescent="0.25">
      <c r="A955" s="10"/>
      <c r="B955" s="10"/>
      <c r="C955" s="10"/>
      <c r="D955" s="10"/>
      <c r="E955" s="10"/>
      <c r="F955" s="10"/>
      <c r="G955" s="10"/>
      <c r="H955" s="770"/>
      <c r="I955" s="10"/>
      <c r="J955" s="10"/>
      <c r="K955" s="10"/>
      <c r="L955" s="10"/>
      <c r="M955" s="770"/>
      <c r="N955" s="10"/>
      <c r="O955" s="10"/>
      <c r="P955" s="10"/>
      <c r="Q955" s="10"/>
      <c r="R955" s="10"/>
      <c r="S955" s="10"/>
    </row>
    <row r="956" spans="1:19" x14ac:dyDescent="0.25">
      <c r="A956" s="10"/>
      <c r="B956" s="10"/>
      <c r="C956" s="10"/>
      <c r="D956" s="10"/>
      <c r="E956" s="10"/>
      <c r="F956" s="10"/>
      <c r="G956" s="10"/>
      <c r="H956" s="770"/>
      <c r="I956" s="10"/>
      <c r="J956" s="10"/>
      <c r="K956" s="10"/>
      <c r="L956" s="10"/>
      <c r="M956" s="770"/>
      <c r="N956" s="10"/>
      <c r="O956" s="10"/>
      <c r="P956" s="10"/>
      <c r="Q956" s="10"/>
      <c r="R956" s="10"/>
      <c r="S956" s="10"/>
    </row>
    <row r="957" spans="1:19" x14ac:dyDescent="0.25">
      <c r="A957" s="10"/>
      <c r="B957" s="10"/>
      <c r="C957" s="10"/>
      <c r="D957" s="10"/>
      <c r="E957" s="10"/>
      <c r="F957" s="10"/>
      <c r="G957" s="10"/>
      <c r="H957" s="770"/>
      <c r="I957" s="10"/>
      <c r="J957" s="10"/>
      <c r="K957" s="10"/>
      <c r="L957" s="10"/>
      <c r="M957" s="770"/>
      <c r="N957" s="10"/>
      <c r="O957" s="10"/>
      <c r="P957" s="10"/>
      <c r="Q957" s="10"/>
      <c r="R957" s="10"/>
      <c r="S957" s="10"/>
    </row>
    <row r="958" spans="1:19" x14ac:dyDescent="0.25">
      <c r="A958" s="10"/>
      <c r="B958" s="10"/>
      <c r="C958" s="10"/>
      <c r="D958" s="10"/>
      <c r="E958" s="10"/>
      <c r="F958" s="10"/>
      <c r="G958" s="10"/>
      <c r="H958" s="770"/>
      <c r="I958" s="10"/>
      <c r="J958" s="10"/>
      <c r="K958" s="10"/>
      <c r="L958" s="10"/>
      <c r="M958" s="770"/>
      <c r="N958" s="10"/>
      <c r="O958" s="10"/>
      <c r="P958" s="10"/>
      <c r="Q958" s="10"/>
      <c r="R958" s="10"/>
      <c r="S958" s="10"/>
    </row>
    <row r="959" spans="1:19" x14ac:dyDescent="0.25">
      <c r="A959" s="10"/>
      <c r="B959" s="10"/>
      <c r="C959" s="10"/>
      <c r="D959" s="10"/>
      <c r="E959" s="10"/>
      <c r="F959" s="10"/>
      <c r="G959" s="10"/>
      <c r="H959" s="770"/>
      <c r="I959" s="10"/>
      <c r="J959" s="10"/>
      <c r="K959" s="10"/>
      <c r="L959" s="10"/>
      <c r="M959" s="770"/>
      <c r="N959" s="10"/>
      <c r="O959" s="10"/>
      <c r="P959" s="10"/>
      <c r="Q959" s="10"/>
      <c r="R959" s="10"/>
      <c r="S959" s="10"/>
    </row>
    <row r="960" spans="1:19" x14ac:dyDescent="0.25">
      <c r="A960" s="10"/>
      <c r="B960" s="10"/>
      <c r="C960" s="10"/>
      <c r="D960" s="10"/>
      <c r="E960" s="10"/>
      <c r="F960" s="10"/>
      <c r="G960" s="10"/>
      <c r="H960" s="770"/>
      <c r="I960" s="10"/>
      <c r="J960" s="10"/>
      <c r="K960" s="10"/>
      <c r="L960" s="10"/>
      <c r="M960" s="770"/>
      <c r="N960" s="10"/>
      <c r="O960" s="10"/>
      <c r="P960" s="10"/>
      <c r="Q960" s="10"/>
      <c r="R960" s="10"/>
      <c r="S960" s="10"/>
    </row>
    <row r="961" spans="1:19" x14ac:dyDescent="0.25">
      <c r="A961" s="10"/>
      <c r="B961" s="10"/>
      <c r="C961" s="10"/>
      <c r="D961" s="10"/>
      <c r="E961" s="10"/>
      <c r="F961" s="10"/>
      <c r="G961" s="10"/>
      <c r="H961" s="770"/>
      <c r="I961" s="10"/>
      <c r="J961" s="10"/>
      <c r="K961" s="10"/>
      <c r="L961" s="10"/>
      <c r="M961" s="770"/>
      <c r="N961" s="10"/>
      <c r="O961" s="10"/>
      <c r="P961" s="10"/>
      <c r="Q961" s="10"/>
      <c r="R961" s="10"/>
      <c r="S961" s="10"/>
    </row>
    <row r="962" spans="1:19" x14ac:dyDescent="0.25">
      <c r="A962" s="10"/>
      <c r="B962" s="10"/>
      <c r="C962" s="10"/>
      <c r="D962" s="10"/>
      <c r="E962" s="10"/>
      <c r="F962" s="10"/>
      <c r="G962" s="10"/>
      <c r="H962" s="770"/>
      <c r="I962" s="10"/>
      <c r="J962" s="10"/>
      <c r="K962" s="10"/>
      <c r="L962" s="10"/>
      <c r="M962" s="770"/>
      <c r="N962" s="10"/>
      <c r="O962" s="10"/>
      <c r="P962" s="10"/>
      <c r="Q962" s="10"/>
      <c r="R962" s="10"/>
      <c r="S962" s="10"/>
    </row>
    <row r="963" spans="1:19" x14ac:dyDescent="0.25">
      <c r="A963" s="10"/>
      <c r="B963" s="10"/>
      <c r="C963" s="10"/>
      <c r="D963" s="10"/>
      <c r="E963" s="10"/>
      <c r="F963" s="10"/>
      <c r="G963" s="10"/>
      <c r="H963" s="770"/>
      <c r="I963" s="10"/>
      <c r="J963" s="10"/>
      <c r="K963" s="10"/>
      <c r="L963" s="10"/>
      <c r="M963" s="770"/>
      <c r="N963" s="10"/>
      <c r="O963" s="10"/>
      <c r="P963" s="10"/>
      <c r="Q963" s="10"/>
      <c r="R963" s="10"/>
      <c r="S963" s="10"/>
    </row>
    <row r="964" spans="1:19" x14ac:dyDescent="0.25">
      <c r="A964" s="10"/>
      <c r="B964" s="10"/>
      <c r="C964" s="10"/>
      <c r="D964" s="10"/>
      <c r="E964" s="10"/>
      <c r="F964" s="10"/>
      <c r="G964" s="10"/>
      <c r="H964" s="770"/>
      <c r="I964" s="10"/>
      <c r="J964" s="10"/>
      <c r="K964" s="10"/>
      <c r="L964" s="10"/>
      <c r="M964" s="770"/>
      <c r="N964" s="10"/>
      <c r="O964" s="10"/>
      <c r="P964" s="10"/>
      <c r="Q964" s="10"/>
      <c r="R964" s="10"/>
      <c r="S964" s="10"/>
    </row>
    <row r="965" spans="1:19" x14ac:dyDescent="0.25">
      <c r="A965" s="10"/>
      <c r="B965" s="10"/>
      <c r="C965" s="10"/>
      <c r="D965" s="10"/>
      <c r="E965" s="10"/>
      <c r="F965" s="10"/>
      <c r="G965" s="10"/>
      <c r="H965" s="770"/>
      <c r="I965" s="10"/>
      <c r="J965" s="10"/>
      <c r="K965" s="10"/>
      <c r="L965" s="10"/>
      <c r="M965" s="770"/>
      <c r="N965" s="10"/>
      <c r="O965" s="10"/>
      <c r="P965" s="10"/>
      <c r="Q965" s="10"/>
      <c r="R965" s="10"/>
      <c r="S965" s="10"/>
    </row>
    <row r="966" spans="1:19" x14ac:dyDescent="0.25">
      <c r="A966" s="10"/>
      <c r="B966" s="10"/>
      <c r="C966" s="10"/>
      <c r="D966" s="10"/>
      <c r="E966" s="10"/>
      <c r="F966" s="10"/>
      <c r="G966" s="10"/>
      <c r="H966" s="770"/>
      <c r="I966" s="10"/>
      <c r="J966" s="10"/>
      <c r="K966" s="10"/>
      <c r="L966" s="10"/>
      <c r="M966" s="770"/>
      <c r="N966" s="10"/>
      <c r="O966" s="10"/>
      <c r="P966" s="10"/>
      <c r="Q966" s="10"/>
      <c r="R966" s="10"/>
      <c r="S966" s="10"/>
    </row>
    <row r="967" spans="1:19" x14ac:dyDescent="0.25">
      <c r="A967" s="10"/>
      <c r="B967" s="10"/>
      <c r="C967" s="10"/>
      <c r="D967" s="10"/>
      <c r="E967" s="10"/>
      <c r="F967" s="10"/>
      <c r="G967" s="10"/>
      <c r="H967" s="770"/>
      <c r="I967" s="10"/>
      <c r="J967" s="10"/>
      <c r="K967" s="10"/>
      <c r="L967" s="10"/>
      <c r="M967" s="770"/>
      <c r="N967" s="10"/>
      <c r="O967" s="10"/>
      <c r="P967" s="10"/>
      <c r="Q967" s="10"/>
      <c r="R967" s="10"/>
      <c r="S967" s="10"/>
    </row>
    <row r="968" spans="1:19" x14ac:dyDescent="0.25">
      <c r="A968" s="10"/>
      <c r="B968" s="10"/>
      <c r="C968" s="10"/>
      <c r="D968" s="10"/>
      <c r="E968" s="10"/>
      <c r="F968" s="10"/>
      <c r="G968" s="10"/>
      <c r="H968" s="770"/>
      <c r="I968" s="10"/>
      <c r="J968" s="10"/>
      <c r="K968" s="10"/>
      <c r="L968" s="10"/>
      <c r="M968" s="770"/>
      <c r="N968" s="10"/>
      <c r="O968" s="10"/>
      <c r="P968" s="10"/>
      <c r="Q968" s="10"/>
      <c r="R968" s="10"/>
      <c r="S968" s="10"/>
    </row>
    <row r="969" spans="1:19" x14ac:dyDescent="0.25">
      <c r="A969" s="10"/>
      <c r="B969" s="10"/>
      <c r="C969" s="10"/>
      <c r="D969" s="10"/>
      <c r="E969" s="10"/>
      <c r="F969" s="10"/>
      <c r="G969" s="10"/>
      <c r="H969" s="770"/>
      <c r="I969" s="10"/>
      <c r="J969" s="10"/>
      <c r="K969" s="10"/>
      <c r="L969" s="10"/>
      <c r="M969" s="770"/>
      <c r="N969" s="10"/>
      <c r="O969" s="10"/>
      <c r="P969" s="10"/>
      <c r="Q969" s="10"/>
      <c r="R969" s="10"/>
      <c r="S969" s="10"/>
    </row>
    <row r="970" spans="1:19" x14ac:dyDescent="0.25">
      <c r="A970" s="10"/>
      <c r="B970" s="10"/>
      <c r="C970" s="10"/>
      <c r="D970" s="10"/>
      <c r="E970" s="10"/>
      <c r="F970" s="10"/>
      <c r="G970" s="10"/>
      <c r="H970" s="770"/>
      <c r="I970" s="10"/>
      <c r="J970" s="10"/>
      <c r="K970" s="10"/>
      <c r="L970" s="10"/>
      <c r="M970" s="770"/>
      <c r="N970" s="10"/>
      <c r="O970" s="10"/>
      <c r="P970" s="10"/>
      <c r="Q970" s="10"/>
      <c r="R970" s="10"/>
      <c r="S970" s="10"/>
    </row>
    <row r="971" spans="1:19" x14ac:dyDescent="0.25">
      <c r="A971" s="10"/>
      <c r="B971" s="10"/>
      <c r="C971" s="10"/>
      <c r="D971" s="10"/>
      <c r="E971" s="10"/>
      <c r="F971" s="10"/>
      <c r="G971" s="10"/>
      <c r="H971" s="770"/>
      <c r="I971" s="10"/>
      <c r="J971" s="10"/>
      <c r="K971" s="10"/>
      <c r="L971" s="10"/>
      <c r="M971" s="770"/>
      <c r="N971" s="10"/>
      <c r="O971" s="10"/>
      <c r="P971" s="10"/>
      <c r="Q971" s="10"/>
      <c r="R971" s="10"/>
      <c r="S971" s="10"/>
    </row>
    <row r="972" spans="1:19" x14ac:dyDescent="0.25">
      <c r="A972" s="10"/>
      <c r="B972" s="10"/>
      <c r="C972" s="10"/>
      <c r="D972" s="10"/>
      <c r="E972" s="10"/>
      <c r="F972" s="10"/>
      <c r="G972" s="10"/>
      <c r="H972" s="770"/>
      <c r="I972" s="10"/>
      <c r="J972" s="10"/>
      <c r="K972" s="10"/>
      <c r="L972" s="10"/>
      <c r="M972" s="770"/>
      <c r="N972" s="10"/>
      <c r="O972" s="10"/>
      <c r="P972" s="10"/>
      <c r="Q972" s="10"/>
      <c r="R972" s="10"/>
      <c r="S972" s="10"/>
    </row>
    <row r="973" spans="1:19" x14ac:dyDescent="0.25">
      <c r="A973" s="10"/>
      <c r="B973" s="10"/>
      <c r="C973" s="10"/>
      <c r="D973" s="10"/>
      <c r="E973" s="10"/>
      <c r="F973" s="10"/>
      <c r="G973" s="10"/>
      <c r="H973" s="770"/>
      <c r="I973" s="10"/>
      <c r="J973" s="10"/>
      <c r="K973" s="10"/>
      <c r="L973" s="10"/>
      <c r="M973" s="770"/>
      <c r="N973" s="10"/>
      <c r="O973" s="10"/>
      <c r="P973" s="10"/>
      <c r="Q973" s="10"/>
      <c r="R973" s="10"/>
      <c r="S973" s="10"/>
    </row>
    <row r="974" spans="1:19" x14ac:dyDescent="0.25">
      <c r="A974" s="10"/>
      <c r="B974" s="10"/>
      <c r="C974" s="10"/>
      <c r="D974" s="10"/>
      <c r="E974" s="10"/>
      <c r="F974" s="10"/>
      <c r="G974" s="10"/>
      <c r="H974" s="770"/>
      <c r="I974" s="10"/>
      <c r="J974" s="10"/>
      <c r="K974" s="10"/>
      <c r="L974" s="10"/>
      <c r="M974" s="770"/>
      <c r="N974" s="10"/>
      <c r="O974" s="10"/>
      <c r="P974" s="10"/>
      <c r="Q974" s="10"/>
      <c r="R974" s="10"/>
      <c r="S974" s="10"/>
    </row>
    <row r="975" spans="1:19" x14ac:dyDescent="0.25">
      <c r="A975" s="10"/>
      <c r="B975" s="10"/>
      <c r="C975" s="10"/>
      <c r="D975" s="10"/>
      <c r="E975" s="10"/>
      <c r="F975" s="10"/>
      <c r="G975" s="10"/>
      <c r="H975" s="770"/>
      <c r="I975" s="10"/>
      <c r="J975" s="10"/>
      <c r="K975" s="10"/>
      <c r="L975" s="10"/>
      <c r="M975" s="770"/>
      <c r="N975" s="10"/>
      <c r="O975" s="10"/>
      <c r="P975" s="10"/>
      <c r="Q975" s="10"/>
      <c r="R975" s="10"/>
      <c r="S975" s="10"/>
    </row>
    <row r="976" spans="1:19" x14ac:dyDescent="0.25">
      <c r="A976" s="10"/>
      <c r="B976" s="10"/>
      <c r="C976" s="10"/>
      <c r="D976" s="10"/>
      <c r="E976" s="10"/>
      <c r="F976" s="10"/>
      <c r="G976" s="10"/>
      <c r="H976" s="770"/>
      <c r="I976" s="10"/>
      <c r="J976" s="10"/>
      <c r="K976" s="10"/>
      <c r="L976" s="10"/>
      <c r="M976" s="770"/>
      <c r="N976" s="10"/>
      <c r="O976" s="10"/>
      <c r="P976" s="10"/>
      <c r="Q976" s="10"/>
      <c r="R976" s="10"/>
      <c r="S976" s="10"/>
    </row>
    <row r="977" spans="1:19" x14ac:dyDescent="0.25">
      <c r="A977" s="10"/>
      <c r="B977" s="10"/>
      <c r="C977" s="10"/>
      <c r="D977" s="10"/>
      <c r="E977" s="10"/>
      <c r="F977" s="10"/>
      <c r="G977" s="10"/>
      <c r="H977" s="770"/>
      <c r="I977" s="10"/>
      <c r="J977" s="10"/>
      <c r="K977" s="10"/>
      <c r="L977" s="10"/>
      <c r="M977" s="770"/>
      <c r="N977" s="10"/>
      <c r="O977" s="10"/>
      <c r="P977" s="10"/>
      <c r="Q977" s="10"/>
      <c r="R977" s="10"/>
      <c r="S977" s="10"/>
    </row>
    <row r="978" spans="1:19" x14ac:dyDescent="0.25">
      <c r="A978" s="10"/>
      <c r="B978" s="10"/>
      <c r="C978" s="10"/>
      <c r="D978" s="10"/>
      <c r="E978" s="10"/>
      <c r="F978" s="10"/>
      <c r="G978" s="10"/>
      <c r="H978" s="770"/>
      <c r="I978" s="10"/>
      <c r="J978" s="10"/>
      <c r="K978" s="10"/>
      <c r="L978" s="10"/>
      <c r="M978" s="770"/>
      <c r="N978" s="10"/>
      <c r="O978" s="10"/>
      <c r="P978" s="10"/>
      <c r="Q978" s="10"/>
      <c r="R978" s="10"/>
      <c r="S978" s="10"/>
    </row>
    <row r="979" spans="1:19" x14ac:dyDescent="0.25">
      <c r="A979" s="10"/>
      <c r="B979" s="10"/>
      <c r="C979" s="10"/>
      <c r="D979" s="10"/>
      <c r="E979" s="10"/>
      <c r="F979" s="10"/>
      <c r="G979" s="10"/>
      <c r="H979" s="770"/>
      <c r="I979" s="10"/>
      <c r="J979" s="10"/>
      <c r="K979" s="10"/>
      <c r="L979" s="10"/>
      <c r="M979" s="770"/>
      <c r="N979" s="10"/>
      <c r="O979" s="10"/>
      <c r="P979" s="10"/>
      <c r="Q979" s="10"/>
      <c r="R979" s="10"/>
      <c r="S979" s="10"/>
    </row>
    <row r="980" spans="1:19" x14ac:dyDescent="0.25">
      <c r="A980" s="10"/>
      <c r="B980" s="10"/>
      <c r="C980" s="10"/>
      <c r="D980" s="10"/>
      <c r="E980" s="10"/>
      <c r="F980" s="10"/>
      <c r="G980" s="10"/>
      <c r="H980" s="770"/>
      <c r="I980" s="10"/>
      <c r="J980" s="10"/>
      <c r="K980" s="10"/>
      <c r="L980" s="10"/>
      <c r="M980" s="770"/>
      <c r="N980" s="10"/>
      <c r="O980" s="10"/>
      <c r="P980" s="10"/>
      <c r="Q980" s="10"/>
      <c r="R980" s="10"/>
      <c r="S980" s="10"/>
    </row>
    <row r="981" spans="1:19" x14ac:dyDescent="0.25">
      <c r="A981" s="10"/>
      <c r="B981" s="10"/>
      <c r="C981" s="10"/>
      <c r="D981" s="10"/>
      <c r="E981" s="10"/>
      <c r="F981" s="10"/>
      <c r="G981" s="10"/>
      <c r="H981" s="770"/>
      <c r="I981" s="10"/>
      <c r="J981" s="10"/>
      <c r="K981" s="10"/>
      <c r="L981" s="10"/>
      <c r="M981" s="770"/>
      <c r="N981" s="10"/>
      <c r="O981" s="10"/>
      <c r="P981" s="10"/>
      <c r="Q981" s="10"/>
      <c r="R981" s="10"/>
      <c r="S981" s="10"/>
    </row>
    <row r="982" spans="1:19" x14ac:dyDescent="0.25">
      <c r="A982" s="10"/>
      <c r="B982" s="10"/>
      <c r="C982" s="10"/>
      <c r="D982" s="10"/>
      <c r="E982" s="10"/>
      <c r="F982" s="10"/>
      <c r="G982" s="10"/>
      <c r="H982" s="770"/>
      <c r="I982" s="10"/>
      <c r="J982" s="10"/>
      <c r="K982" s="10"/>
      <c r="L982" s="10"/>
      <c r="M982" s="770"/>
      <c r="N982" s="10"/>
      <c r="O982" s="10"/>
      <c r="P982" s="10"/>
      <c r="Q982" s="10"/>
      <c r="R982" s="10"/>
      <c r="S982" s="10"/>
    </row>
    <row r="983" spans="1:19" x14ac:dyDescent="0.25">
      <c r="A983" s="10"/>
      <c r="B983" s="10"/>
      <c r="C983" s="10"/>
      <c r="D983" s="10"/>
      <c r="E983" s="10"/>
      <c r="F983" s="10"/>
      <c r="G983" s="10"/>
      <c r="H983" s="770"/>
      <c r="I983" s="10"/>
      <c r="J983" s="10"/>
      <c r="K983" s="10"/>
      <c r="L983" s="10"/>
      <c r="M983" s="770"/>
      <c r="N983" s="10"/>
      <c r="O983" s="10"/>
      <c r="P983" s="10"/>
      <c r="Q983" s="10"/>
      <c r="R983" s="10"/>
      <c r="S983" s="10"/>
    </row>
    <row r="984" spans="1:19" x14ac:dyDescent="0.25">
      <c r="A984" s="10"/>
      <c r="B984" s="10"/>
      <c r="C984" s="10"/>
      <c r="D984" s="10"/>
      <c r="E984" s="10"/>
      <c r="F984" s="10"/>
      <c r="G984" s="10"/>
      <c r="H984" s="770"/>
      <c r="I984" s="10"/>
      <c r="J984" s="10"/>
      <c r="K984" s="10"/>
      <c r="L984" s="10"/>
      <c r="M984" s="770"/>
      <c r="N984" s="10"/>
      <c r="O984" s="10"/>
      <c r="P984" s="10"/>
      <c r="Q984" s="10"/>
      <c r="R984" s="10"/>
      <c r="S984" s="10"/>
    </row>
    <row r="985" spans="1:19" x14ac:dyDescent="0.25">
      <c r="A985" s="10"/>
      <c r="B985" s="10"/>
      <c r="C985" s="10"/>
      <c r="D985" s="10"/>
      <c r="E985" s="10"/>
      <c r="F985" s="10"/>
      <c r="G985" s="10"/>
      <c r="H985" s="770"/>
      <c r="I985" s="10"/>
      <c r="J985" s="10"/>
      <c r="K985" s="10"/>
      <c r="L985" s="10"/>
      <c r="M985" s="770"/>
      <c r="N985" s="10"/>
      <c r="O985" s="10"/>
      <c r="P985" s="10"/>
      <c r="Q985" s="10"/>
      <c r="R985" s="10"/>
      <c r="S985" s="10"/>
    </row>
    <row r="986" spans="1:19" x14ac:dyDescent="0.25">
      <c r="A986" s="10"/>
      <c r="B986" s="10"/>
      <c r="C986" s="10"/>
      <c r="D986" s="10"/>
      <c r="E986" s="10"/>
      <c r="F986" s="10"/>
      <c r="G986" s="10"/>
      <c r="H986" s="770"/>
      <c r="I986" s="10"/>
      <c r="J986" s="10"/>
      <c r="K986" s="10"/>
      <c r="L986" s="10"/>
      <c r="M986" s="770"/>
      <c r="N986" s="10"/>
      <c r="O986" s="10"/>
      <c r="P986" s="10"/>
      <c r="Q986" s="10"/>
      <c r="R986" s="10"/>
      <c r="S986" s="10"/>
    </row>
    <row r="987" spans="1:19" x14ac:dyDescent="0.25">
      <c r="A987" s="10"/>
      <c r="B987" s="10"/>
      <c r="C987" s="10"/>
      <c r="D987" s="10"/>
      <c r="E987" s="10"/>
      <c r="F987" s="10"/>
      <c r="G987" s="10"/>
      <c r="H987" s="770"/>
      <c r="I987" s="10"/>
      <c r="J987" s="10"/>
      <c r="K987" s="10"/>
      <c r="L987" s="10"/>
      <c r="M987" s="770"/>
      <c r="N987" s="10"/>
      <c r="O987" s="10"/>
      <c r="P987" s="10"/>
      <c r="Q987" s="10"/>
      <c r="R987" s="10"/>
      <c r="S987" s="10"/>
    </row>
    <row r="988" spans="1:19" x14ac:dyDescent="0.25">
      <c r="A988" s="10"/>
      <c r="B988" s="10"/>
      <c r="C988" s="10"/>
      <c r="D988" s="10"/>
      <c r="E988" s="10"/>
      <c r="F988" s="10"/>
      <c r="G988" s="10"/>
      <c r="H988" s="770"/>
      <c r="I988" s="10"/>
      <c r="J988" s="10"/>
      <c r="K988" s="10"/>
      <c r="L988" s="10"/>
      <c r="M988" s="770"/>
      <c r="N988" s="10"/>
      <c r="O988" s="10"/>
      <c r="P988" s="10"/>
      <c r="Q988" s="10"/>
      <c r="R988" s="10"/>
      <c r="S988" s="10"/>
    </row>
    <row r="989" spans="1:19" x14ac:dyDescent="0.25">
      <c r="A989" s="10"/>
      <c r="B989" s="10"/>
      <c r="C989" s="10"/>
      <c r="D989" s="10"/>
      <c r="E989" s="10"/>
      <c r="F989" s="10"/>
      <c r="G989" s="10"/>
      <c r="H989" s="770"/>
      <c r="I989" s="10"/>
      <c r="J989" s="10"/>
      <c r="K989" s="10"/>
      <c r="L989" s="10"/>
      <c r="M989" s="770"/>
      <c r="N989" s="10"/>
      <c r="O989" s="10"/>
      <c r="P989" s="10"/>
      <c r="Q989" s="10"/>
      <c r="R989" s="10"/>
      <c r="S989" s="10"/>
    </row>
    <row r="990" spans="1:19" x14ac:dyDescent="0.25">
      <c r="A990" s="10"/>
      <c r="B990" s="10"/>
      <c r="C990" s="10"/>
      <c r="D990" s="10"/>
      <c r="E990" s="10"/>
      <c r="F990" s="10"/>
      <c r="G990" s="10"/>
      <c r="H990" s="770"/>
      <c r="I990" s="10"/>
      <c r="J990" s="10"/>
      <c r="K990" s="10"/>
      <c r="L990" s="10"/>
      <c r="M990" s="770"/>
      <c r="N990" s="10"/>
      <c r="O990" s="10"/>
      <c r="P990" s="10"/>
      <c r="Q990" s="10"/>
      <c r="R990" s="10"/>
      <c r="S990" s="10"/>
    </row>
    <row r="991" spans="1:19" x14ac:dyDescent="0.25">
      <c r="A991" s="10"/>
      <c r="B991" s="10"/>
      <c r="C991" s="10"/>
      <c r="D991" s="10"/>
      <c r="E991" s="10"/>
      <c r="F991" s="10"/>
      <c r="G991" s="10"/>
      <c r="H991" s="770"/>
      <c r="I991" s="10"/>
      <c r="J991" s="10"/>
      <c r="K991" s="10"/>
      <c r="L991" s="10"/>
      <c r="M991" s="770"/>
      <c r="N991" s="10"/>
      <c r="O991" s="10"/>
      <c r="P991" s="10"/>
      <c r="Q991" s="10"/>
      <c r="R991" s="10"/>
      <c r="S991" s="10"/>
    </row>
    <row r="992" spans="1:19" x14ac:dyDescent="0.25">
      <c r="A992" s="10"/>
      <c r="B992" s="10"/>
      <c r="C992" s="10"/>
      <c r="D992" s="10"/>
      <c r="E992" s="10"/>
      <c r="F992" s="10"/>
      <c r="G992" s="10"/>
      <c r="H992" s="770"/>
      <c r="I992" s="10"/>
      <c r="J992" s="10"/>
      <c r="K992" s="10"/>
      <c r="L992" s="10"/>
      <c r="M992" s="770"/>
      <c r="N992" s="10"/>
      <c r="O992" s="10"/>
      <c r="P992" s="10"/>
      <c r="Q992" s="10"/>
      <c r="R992" s="10"/>
      <c r="S992" s="10"/>
    </row>
    <row r="993" spans="1:19" x14ac:dyDescent="0.25">
      <c r="A993" s="10"/>
      <c r="B993" s="10"/>
      <c r="C993" s="10"/>
      <c r="D993" s="10"/>
      <c r="E993" s="10"/>
      <c r="F993" s="10"/>
      <c r="G993" s="10"/>
      <c r="H993" s="770"/>
      <c r="I993" s="10"/>
      <c r="J993" s="10"/>
      <c r="K993" s="10"/>
      <c r="L993" s="10"/>
      <c r="M993" s="770"/>
      <c r="N993" s="10"/>
      <c r="O993" s="10"/>
      <c r="P993" s="10"/>
      <c r="Q993" s="10"/>
      <c r="R993" s="10"/>
      <c r="S993" s="10"/>
    </row>
    <row r="994" spans="1:19" x14ac:dyDescent="0.25">
      <c r="A994" s="10"/>
      <c r="B994" s="10"/>
      <c r="C994" s="10"/>
      <c r="D994" s="10"/>
      <c r="E994" s="10"/>
      <c r="F994" s="10"/>
      <c r="G994" s="10"/>
      <c r="H994" s="770"/>
      <c r="I994" s="10"/>
      <c r="J994" s="10"/>
      <c r="K994" s="10"/>
      <c r="L994" s="10"/>
      <c r="M994" s="770"/>
      <c r="N994" s="10"/>
      <c r="O994" s="10"/>
      <c r="P994" s="10"/>
      <c r="Q994" s="10"/>
      <c r="R994" s="10"/>
      <c r="S994" s="10"/>
    </row>
    <row r="995" spans="1:19" x14ac:dyDescent="0.25">
      <c r="A995" s="10"/>
      <c r="B995" s="10"/>
      <c r="C995" s="10"/>
      <c r="D995" s="10"/>
      <c r="E995" s="10"/>
      <c r="F995" s="10"/>
      <c r="G995" s="10"/>
      <c r="H995" s="770"/>
      <c r="I995" s="10"/>
      <c r="J995" s="10"/>
      <c r="K995" s="10"/>
      <c r="L995" s="10"/>
      <c r="M995" s="770"/>
      <c r="N995" s="10"/>
      <c r="O995" s="10"/>
      <c r="P995" s="10"/>
      <c r="Q995" s="10"/>
      <c r="R995" s="10"/>
      <c r="S995" s="10"/>
    </row>
    <row r="996" spans="1:19" x14ac:dyDescent="0.25">
      <c r="A996" s="10"/>
      <c r="B996" s="10"/>
      <c r="C996" s="10"/>
      <c r="D996" s="10"/>
      <c r="E996" s="10"/>
      <c r="F996" s="10"/>
      <c r="G996" s="10"/>
      <c r="H996" s="770"/>
      <c r="I996" s="10"/>
      <c r="J996" s="10"/>
      <c r="K996" s="10"/>
      <c r="L996" s="10"/>
      <c r="M996" s="770"/>
      <c r="N996" s="10"/>
      <c r="O996" s="10"/>
      <c r="P996" s="10"/>
      <c r="Q996" s="10"/>
      <c r="R996" s="10"/>
      <c r="S996" s="10"/>
    </row>
    <row r="997" spans="1:19" x14ac:dyDescent="0.25">
      <c r="A997" s="10"/>
      <c r="B997" s="10"/>
      <c r="C997" s="10"/>
      <c r="D997" s="10"/>
      <c r="E997" s="10"/>
      <c r="F997" s="10"/>
      <c r="G997" s="10"/>
      <c r="H997" s="770"/>
      <c r="I997" s="10"/>
      <c r="J997" s="10"/>
      <c r="K997" s="10"/>
      <c r="L997" s="10"/>
      <c r="M997" s="770"/>
      <c r="N997" s="10"/>
      <c r="O997" s="10"/>
      <c r="P997" s="10"/>
      <c r="Q997" s="10"/>
      <c r="R997" s="10"/>
      <c r="S997" s="10"/>
    </row>
    <row r="998" spans="1:19" x14ac:dyDescent="0.25">
      <c r="A998" s="10"/>
      <c r="B998" s="10"/>
      <c r="C998" s="10"/>
      <c r="D998" s="10"/>
      <c r="E998" s="10"/>
      <c r="F998" s="10"/>
      <c r="G998" s="10"/>
      <c r="H998" s="770"/>
      <c r="I998" s="10"/>
      <c r="J998" s="10"/>
      <c r="K998" s="10"/>
      <c r="L998" s="10"/>
      <c r="M998" s="770"/>
      <c r="N998" s="10"/>
      <c r="O998" s="10"/>
      <c r="P998" s="10"/>
      <c r="Q998" s="10"/>
      <c r="R998" s="10"/>
      <c r="S998" s="10"/>
    </row>
    <row r="999" spans="1:19" x14ac:dyDescent="0.25">
      <c r="A999" s="10"/>
      <c r="B999" s="10"/>
      <c r="C999" s="10"/>
      <c r="D999" s="10"/>
      <c r="E999" s="10"/>
      <c r="F999" s="10"/>
      <c r="G999" s="10"/>
      <c r="H999" s="770"/>
      <c r="I999" s="10"/>
      <c r="J999" s="10"/>
      <c r="K999" s="10"/>
      <c r="L999" s="10"/>
      <c r="M999" s="770"/>
      <c r="N999" s="10"/>
      <c r="O999" s="10"/>
      <c r="P999" s="10"/>
      <c r="Q999" s="10"/>
      <c r="R999" s="10"/>
      <c r="S999" s="10"/>
    </row>
    <row r="1000" spans="1:19" x14ac:dyDescent="0.25">
      <c r="A1000" s="10"/>
      <c r="B1000" s="10"/>
      <c r="C1000" s="10"/>
      <c r="D1000" s="10"/>
      <c r="E1000" s="10"/>
      <c r="F1000" s="10"/>
      <c r="G1000" s="10"/>
      <c r="H1000" s="770"/>
      <c r="I1000" s="10"/>
      <c r="J1000" s="10"/>
      <c r="K1000" s="10"/>
      <c r="L1000" s="10"/>
      <c r="M1000" s="770"/>
      <c r="N1000" s="10"/>
      <c r="O1000" s="10"/>
      <c r="P1000" s="10"/>
      <c r="Q1000" s="10"/>
      <c r="R1000" s="10"/>
      <c r="S1000" s="10"/>
    </row>
    <row r="1001" spans="1:19" x14ac:dyDescent="0.25">
      <c r="A1001" s="10"/>
      <c r="B1001" s="10"/>
      <c r="C1001" s="10"/>
      <c r="D1001" s="10"/>
      <c r="E1001" s="10"/>
      <c r="F1001" s="10"/>
      <c r="G1001" s="10"/>
      <c r="H1001" s="770"/>
      <c r="I1001" s="10"/>
      <c r="J1001" s="10"/>
      <c r="K1001" s="10"/>
      <c r="L1001" s="10"/>
      <c r="M1001" s="770"/>
      <c r="N1001" s="10"/>
      <c r="O1001" s="10"/>
      <c r="P1001" s="10"/>
      <c r="Q1001" s="10"/>
      <c r="R1001" s="10"/>
      <c r="S1001" s="10"/>
    </row>
    <row r="1002" spans="1:19" x14ac:dyDescent="0.25">
      <c r="A1002" s="10"/>
      <c r="B1002" s="10"/>
      <c r="C1002" s="10"/>
      <c r="D1002" s="10"/>
      <c r="E1002" s="10"/>
      <c r="F1002" s="10"/>
      <c r="G1002" s="10"/>
      <c r="H1002" s="770"/>
      <c r="I1002" s="10"/>
      <c r="J1002" s="10"/>
      <c r="K1002" s="10"/>
      <c r="L1002" s="10"/>
      <c r="M1002" s="770"/>
      <c r="N1002" s="10"/>
      <c r="O1002" s="10"/>
      <c r="P1002" s="10"/>
      <c r="Q1002" s="10"/>
      <c r="R1002" s="10"/>
      <c r="S1002" s="10"/>
    </row>
    <row r="1003" spans="1:19" x14ac:dyDescent="0.25">
      <c r="A1003" s="10"/>
      <c r="B1003" s="10"/>
      <c r="C1003" s="10"/>
      <c r="D1003" s="10"/>
      <c r="E1003" s="10"/>
      <c r="F1003" s="10"/>
      <c r="G1003" s="10"/>
      <c r="H1003" s="770"/>
      <c r="I1003" s="10"/>
      <c r="J1003" s="10"/>
      <c r="K1003" s="10"/>
      <c r="L1003" s="10"/>
      <c r="M1003" s="770"/>
      <c r="N1003" s="10"/>
      <c r="O1003" s="10"/>
      <c r="P1003" s="10"/>
      <c r="Q1003" s="10"/>
      <c r="R1003" s="10"/>
      <c r="S1003" s="10"/>
    </row>
    <row r="1004" spans="1:19" x14ac:dyDescent="0.25">
      <c r="A1004" s="10"/>
      <c r="B1004" s="10"/>
      <c r="C1004" s="10"/>
      <c r="D1004" s="10"/>
      <c r="E1004" s="10"/>
      <c r="F1004" s="10"/>
      <c r="G1004" s="10"/>
      <c r="H1004" s="770"/>
      <c r="I1004" s="10"/>
      <c r="J1004" s="10"/>
      <c r="K1004" s="10"/>
      <c r="L1004" s="10"/>
      <c r="M1004" s="770"/>
      <c r="N1004" s="10"/>
      <c r="O1004" s="10"/>
      <c r="P1004" s="10"/>
      <c r="Q1004" s="10"/>
      <c r="R1004" s="10"/>
      <c r="S1004" s="10"/>
    </row>
    <row r="1005" spans="1:19" x14ac:dyDescent="0.25">
      <c r="A1005" s="10"/>
      <c r="B1005" s="10"/>
      <c r="C1005" s="10"/>
      <c r="D1005" s="10"/>
      <c r="E1005" s="10"/>
      <c r="F1005" s="10"/>
      <c r="G1005" s="10"/>
      <c r="H1005" s="770"/>
      <c r="I1005" s="10"/>
      <c r="J1005" s="10"/>
      <c r="K1005" s="10"/>
      <c r="L1005" s="10"/>
      <c r="M1005" s="770"/>
      <c r="N1005" s="10"/>
      <c r="O1005" s="10"/>
      <c r="P1005" s="10"/>
      <c r="Q1005" s="10"/>
      <c r="R1005" s="10"/>
      <c r="S1005" s="10"/>
    </row>
    <row r="1006" spans="1:19" x14ac:dyDescent="0.25">
      <c r="A1006" s="10"/>
      <c r="B1006" s="10"/>
      <c r="C1006" s="10"/>
      <c r="D1006" s="10"/>
      <c r="E1006" s="10"/>
      <c r="F1006" s="10"/>
      <c r="G1006" s="10"/>
      <c r="H1006" s="770"/>
      <c r="I1006" s="10"/>
      <c r="J1006" s="10"/>
      <c r="K1006" s="10"/>
      <c r="L1006" s="10"/>
      <c r="M1006" s="770"/>
      <c r="N1006" s="10"/>
      <c r="O1006" s="10"/>
      <c r="P1006" s="10"/>
      <c r="Q1006" s="10"/>
      <c r="R1006" s="10"/>
      <c r="S1006" s="10"/>
    </row>
    <row r="1007" spans="1:19" x14ac:dyDescent="0.25">
      <c r="A1007" s="10"/>
      <c r="B1007" s="10"/>
      <c r="C1007" s="10"/>
      <c r="D1007" s="10"/>
      <c r="E1007" s="10"/>
      <c r="F1007" s="10"/>
      <c r="G1007" s="10"/>
      <c r="H1007" s="770"/>
      <c r="I1007" s="10"/>
      <c r="J1007" s="10"/>
      <c r="K1007" s="10"/>
      <c r="L1007" s="10"/>
      <c r="M1007" s="770"/>
      <c r="N1007" s="10"/>
      <c r="O1007" s="10"/>
      <c r="P1007" s="10"/>
      <c r="Q1007" s="10"/>
      <c r="R1007" s="10"/>
      <c r="S1007" s="10"/>
    </row>
    <row r="1008" spans="1:19" x14ac:dyDescent="0.25">
      <c r="A1008" s="10"/>
      <c r="B1008" s="10"/>
      <c r="C1008" s="10"/>
      <c r="D1008" s="10"/>
      <c r="E1008" s="10"/>
      <c r="F1008" s="10"/>
      <c r="G1008" s="10"/>
      <c r="H1008" s="770"/>
      <c r="I1008" s="10"/>
      <c r="J1008" s="10"/>
      <c r="K1008" s="10"/>
      <c r="L1008" s="10"/>
      <c r="M1008" s="770"/>
      <c r="N1008" s="10"/>
      <c r="O1008" s="10"/>
      <c r="P1008" s="10"/>
      <c r="Q1008" s="10"/>
      <c r="R1008" s="10"/>
      <c r="S1008" s="10"/>
    </row>
    <row r="1009" spans="1:19" x14ac:dyDescent="0.25">
      <c r="A1009" s="10"/>
      <c r="B1009" s="10"/>
      <c r="C1009" s="10"/>
      <c r="D1009" s="10"/>
      <c r="E1009" s="10"/>
      <c r="F1009" s="10"/>
      <c r="G1009" s="10"/>
      <c r="H1009" s="770"/>
      <c r="I1009" s="10"/>
      <c r="J1009" s="10"/>
      <c r="K1009" s="10"/>
      <c r="L1009" s="10"/>
      <c r="M1009" s="770"/>
      <c r="N1009" s="10"/>
      <c r="O1009" s="10"/>
      <c r="P1009" s="10"/>
      <c r="Q1009" s="10"/>
      <c r="R1009" s="10"/>
      <c r="S1009" s="10"/>
    </row>
    <row r="1010" spans="1:19" x14ac:dyDescent="0.25">
      <c r="A1010" s="10"/>
      <c r="B1010" s="10"/>
      <c r="C1010" s="10"/>
      <c r="D1010" s="10"/>
      <c r="E1010" s="10"/>
      <c r="F1010" s="10"/>
      <c r="G1010" s="10"/>
      <c r="H1010" s="770"/>
      <c r="I1010" s="10"/>
      <c r="J1010" s="10"/>
      <c r="K1010" s="10"/>
      <c r="L1010" s="10"/>
      <c r="M1010" s="770"/>
      <c r="N1010" s="10"/>
      <c r="O1010" s="10"/>
      <c r="P1010" s="10"/>
      <c r="Q1010" s="10"/>
      <c r="R1010" s="10"/>
      <c r="S1010" s="10"/>
    </row>
    <row r="1011" spans="1:19" x14ac:dyDescent="0.25">
      <c r="A1011" s="10"/>
      <c r="B1011" s="10"/>
      <c r="C1011" s="10"/>
      <c r="D1011" s="10"/>
      <c r="E1011" s="10"/>
      <c r="F1011" s="10"/>
      <c r="G1011" s="10"/>
      <c r="H1011" s="770"/>
      <c r="I1011" s="10"/>
      <c r="J1011" s="10"/>
      <c r="K1011" s="10"/>
      <c r="L1011" s="10"/>
      <c r="M1011" s="770"/>
      <c r="N1011" s="10"/>
      <c r="O1011" s="10"/>
      <c r="P1011" s="10"/>
      <c r="Q1011" s="10"/>
      <c r="R1011" s="10"/>
      <c r="S1011" s="10"/>
    </row>
    <row r="1012" spans="1:19" x14ac:dyDescent="0.25">
      <c r="A1012" s="10"/>
      <c r="B1012" s="10"/>
      <c r="C1012" s="10"/>
      <c r="D1012" s="10"/>
      <c r="E1012" s="10"/>
      <c r="F1012" s="10"/>
      <c r="G1012" s="10"/>
      <c r="H1012" s="770"/>
      <c r="I1012" s="10"/>
      <c r="J1012" s="10"/>
      <c r="K1012" s="10"/>
      <c r="L1012" s="10"/>
      <c r="M1012" s="770"/>
      <c r="N1012" s="10"/>
      <c r="O1012" s="10"/>
      <c r="P1012" s="10"/>
      <c r="Q1012" s="10"/>
      <c r="R1012" s="10"/>
      <c r="S1012" s="10"/>
    </row>
    <row r="1013" spans="1:19" x14ac:dyDescent="0.25">
      <c r="A1013" s="10"/>
      <c r="B1013" s="10"/>
      <c r="C1013" s="10"/>
      <c r="D1013" s="10"/>
      <c r="E1013" s="10"/>
      <c r="F1013" s="10"/>
      <c r="G1013" s="10"/>
      <c r="H1013" s="770"/>
      <c r="I1013" s="10"/>
      <c r="J1013" s="10"/>
      <c r="K1013" s="10"/>
      <c r="L1013" s="10"/>
      <c r="M1013" s="770"/>
      <c r="N1013" s="10"/>
      <c r="O1013" s="10"/>
      <c r="P1013" s="10"/>
      <c r="Q1013" s="10"/>
      <c r="R1013" s="10"/>
      <c r="S1013" s="10"/>
    </row>
    <row r="1014" spans="1:19" x14ac:dyDescent="0.25">
      <c r="A1014" s="10"/>
      <c r="B1014" s="10"/>
      <c r="C1014" s="10"/>
      <c r="D1014" s="10"/>
      <c r="E1014" s="10"/>
      <c r="F1014" s="10"/>
      <c r="G1014" s="10"/>
      <c r="H1014" s="770"/>
      <c r="I1014" s="10"/>
      <c r="J1014" s="10"/>
      <c r="K1014" s="10"/>
      <c r="L1014" s="10"/>
      <c r="M1014" s="770"/>
      <c r="N1014" s="10"/>
      <c r="O1014" s="10"/>
      <c r="P1014" s="10"/>
      <c r="Q1014" s="10"/>
      <c r="R1014" s="10"/>
      <c r="S1014" s="10"/>
    </row>
    <row r="1015" spans="1:19" x14ac:dyDescent="0.25">
      <c r="A1015" s="10"/>
      <c r="B1015" s="10"/>
      <c r="C1015" s="10"/>
      <c r="D1015" s="10"/>
      <c r="E1015" s="10"/>
      <c r="F1015" s="10"/>
      <c r="G1015" s="10"/>
      <c r="H1015" s="770"/>
      <c r="I1015" s="10"/>
      <c r="J1015" s="10"/>
      <c r="K1015" s="10"/>
      <c r="L1015" s="10"/>
      <c r="M1015" s="770"/>
      <c r="N1015" s="10"/>
      <c r="O1015" s="10"/>
      <c r="P1015" s="10"/>
      <c r="Q1015" s="10"/>
      <c r="R1015" s="10"/>
      <c r="S1015" s="10"/>
    </row>
    <row r="1016" spans="1:19" x14ac:dyDescent="0.25">
      <c r="A1016" s="10"/>
      <c r="B1016" s="10"/>
      <c r="C1016" s="10"/>
      <c r="D1016" s="10"/>
      <c r="E1016" s="10"/>
      <c r="F1016" s="10"/>
      <c r="G1016" s="10"/>
      <c r="H1016" s="770"/>
      <c r="I1016" s="10"/>
      <c r="J1016" s="10"/>
      <c r="K1016" s="10"/>
      <c r="L1016" s="10"/>
      <c r="M1016" s="770"/>
      <c r="N1016" s="10"/>
      <c r="O1016" s="10"/>
      <c r="P1016" s="10"/>
      <c r="Q1016" s="10"/>
      <c r="R1016" s="10"/>
      <c r="S1016" s="10"/>
    </row>
    <row r="1017" spans="1:19" x14ac:dyDescent="0.25">
      <c r="A1017" s="10"/>
      <c r="B1017" s="10"/>
      <c r="C1017" s="10"/>
      <c r="D1017" s="10"/>
      <c r="E1017" s="10"/>
      <c r="F1017" s="10"/>
      <c r="G1017" s="10"/>
      <c r="H1017" s="770"/>
      <c r="I1017" s="10"/>
      <c r="J1017" s="10"/>
      <c r="K1017" s="10"/>
      <c r="L1017" s="10"/>
      <c r="M1017" s="770"/>
      <c r="N1017" s="10"/>
      <c r="O1017" s="10"/>
      <c r="P1017" s="10"/>
      <c r="Q1017" s="10"/>
      <c r="R1017" s="10"/>
      <c r="S1017" s="10"/>
    </row>
    <row r="1018" spans="1:19" x14ac:dyDescent="0.25">
      <c r="A1018" s="10"/>
      <c r="B1018" s="10"/>
      <c r="C1018" s="10"/>
      <c r="D1018" s="10"/>
      <c r="E1018" s="10"/>
      <c r="F1018" s="10"/>
      <c r="G1018" s="10"/>
      <c r="H1018" s="770"/>
      <c r="I1018" s="10"/>
      <c r="J1018" s="10"/>
      <c r="K1018" s="10"/>
      <c r="L1018" s="10"/>
      <c r="M1018" s="770"/>
      <c r="N1018" s="10"/>
      <c r="O1018" s="10"/>
      <c r="P1018" s="10"/>
      <c r="Q1018" s="10"/>
      <c r="R1018" s="10"/>
      <c r="S1018" s="10"/>
    </row>
    <row r="1019" spans="1:19" x14ac:dyDescent="0.25">
      <c r="A1019" s="10"/>
      <c r="B1019" s="10"/>
      <c r="C1019" s="10"/>
      <c r="D1019" s="10"/>
      <c r="E1019" s="10"/>
      <c r="F1019" s="10"/>
      <c r="G1019" s="10"/>
      <c r="H1019" s="770"/>
      <c r="I1019" s="10"/>
      <c r="J1019" s="10"/>
      <c r="K1019" s="10"/>
      <c r="L1019" s="10"/>
      <c r="M1019" s="770"/>
      <c r="N1019" s="10"/>
      <c r="O1019" s="10"/>
      <c r="P1019" s="10"/>
      <c r="Q1019" s="10"/>
      <c r="R1019" s="10"/>
      <c r="S1019" s="10"/>
    </row>
    <row r="1020" spans="1:19" x14ac:dyDescent="0.25">
      <c r="A1020" s="10"/>
      <c r="B1020" s="10"/>
      <c r="C1020" s="10"/>
      <c r="D1020" s="10"/>
      <c r="E1020" s="10"/>
      <c r="F1020" s="10"/>
      <c r="G1020" s="10"/>
      <c r="H1020" s="770"/>
      <c r="I1020" s="10"/>
      <c r="J1020" s="10"/>
      <c r="K1020" s="10"/>
      <c r="L1020" s="10"/>
      <c r="M1020" s="770"/>
      <c r="N1020" s="10"/>
      <c r="O1020" s="10"/>
      <c r="P1020" s="10"/>
      <c r="Q1020" s="10"/>
      <c r="R1020" s="10"/>
      <c r="S1020" s="10"/>
    </row>
    <row r="1021" spans="1:19" x14ac:dyDescent="0.25">
      <c r="A1021" s="10"/>
      <c r="B1021" s="10"/>
      <c r="C1021" s="10"/>
      <c r="D1021" s="10"/>
      <c r="E1021" s="10"/>
      <c r="F1021" s="10"/>
      <c r="G1021" s="10"/>
      <c r="H1021" s="770"/>
      <c r="I1021" s="10"/>
      <c r="J1021" s="10"/>
      <c r="K1021" s="10"/>
      <c r="L1021" s="10"/>
      <c r="M1021" s="770"/>
      <c r="N1021" s="10"/>
      <c r="O1021" s="10"/>
      <c r="P1021" s="10"/>
      <c r="Q1021" s="10"/>
      <c r="R1021" s="10"/>
      <c r="S1021" s="10"/>
    </row>
    <row r="1022" spans="1:19" x14ac:dyDescent="0.25">
      <c r="A1022" s="10"/>
      <c r="B1022" s="10"/>
      <c r="C1022" s="10"/>
      <c r="D1022" s="10"/>
      <c r="E1022" s="10"/>
      <c r="F1022" s="10"/>
      <c r="G1022" s="10"/>
      <c r="H1022" s="770"/>
      <c r="I1022" s="10"/>
      <c r="J1022" s="10"/>
      <c r="K1022" s="10"/>
      <c r="L1022" s="10"/>
      <c r="M1022" s="770"/>
      <c r="N1022" s="10"/>
      <c r="O1022" s="10"/>
      <c r="P1022" s="10"/>
      <c r="Q1022" s="10"/>
      <c r="R1022" s="10"/>
      <c r="S1022" s="10"/>
    </row>
    <row r="1023" spans="1:19" x14ac:dyDescent="0.25">
      <c r="A1023" s="10"/>
      <c r="B1023" s="10"/>
      <c r="C1023" s="10"/>
      <c r="D1023" s="10"/>
      <c r="E1023" s="10"/>
      <c r="F1023" s="10"/>
      <c r="G1023" s="10"/>
      <c r="H1023" s="770"/>
      <c r="I1023" s="10"/>
      <c r="J1023" s="10"/>
      <c r="K1023" s="10"/>
      <c r="L1023" s="10"/>
      <c r="M1023" s="770"/>
      <c r="N1023" s="10"/>
      <c r="O1023" s="10"/>
      <c r="P1023" s="10"/>
      <c r="Q1023" s="10"/>
      <c r="R1023" s="10"/>
      <c r="S1023" s="10"/>
    </row>
    <row r="1024" spans="1:19" x14ac:dyDescent="0.25">
      <c r="A1024" s="10"/>
      <c r="B1024" s="10"/>
      <c r="C1024" s="10"/>
      <c r="D1024" s="10"/>
      <c r="E1024" s="10"/>
      <c r="F1024" s="10"/>
      <c r="G1024" s="10"/>
      <c r="H1024" s="770"/>
      <c r="I1024" s="10"/>
      <c r="J1024" s="10"/>
      <c r="K1024" s="10"/>
      <c r="L1024" s="10"/>
      <c r="M1024" s="770"/>
      <c r="N1024" s="10"/>
      <c r="O1024" s="10"/>
      <c r="P1024" s="10"/>
      <c r="Q1024" s="10"/>
      <c r="R1024" s="10"/>
      <c r="S1024" s="10"/>
    </row>
    <row r="1025" spans="1:19" x14ac:dyDescent="0.25">
      <c r="A1025" s="10"/>
      <c r="B1025" s="10"/>
      <c r="C1025" s="10"/>
      <c r="D1025" s="10"/>
      <c r="E1025" s="10"/>
      <c r="F1025" s="10"/>
      <c r="G1025" s="10"/>
      <c r="H1025" s="770"/>
      <c r="I1025" s="10"/>
      <c r="J1025" s="10"/>
      <c r="K1025" s="10"/>
      <c r="L1025" s="10"/>
      <c r="M1025" s="770"/>
      <c r="N1025" s="10"/>
      <c r="O1025" s="10"/>
      <c r="P1025" s="10"/>
      <c r="Q1025" s="10"/>
      <c r="R1025" s="10"/>
      <c r="S1025" s="10"/>
    </row>
    <row r="1026" spans="1:19" x14ac:dyDescent="0.25">
      <c r="A1026" s="10"/>
      <c r="B1026" s="10"/>
      <c r="C1026" s="10"/>
      <c r="D1026" s="10"/>
      <c r="E1026" s="10"/>
      <c r="F1026" s="10"/>
      <c r="G1026" s="10"/>
      <c r="H1026" s="770"/>
      <c r="I1026" s="10"/>
      <c r="J1026" s="10"/>
      <c r="K1026" s="10"/>
      <c r="L1026" s="10"/>
      <c r="M1026" s="770"/>
      <c r="N1026" s="10"/>
      <c r="O1026" s="10"/>
      <c r="P1026" s="10"/>
      <c r="Q1026" s="10"/>
      <c r="R1026" s="10"/>
      <c r="S1026" s="10"/>
    </row>
    <row r="1027" spans="1:19" x14ac:dyDescent="0.25">
      <c r="A1027" s="10"/>
      <c r="B1027" s="10"/>
      <c r="C1027" s="10"/>
      <c r="D1027" s="10"/>
      <c r="E1027" s="10"/>
      <c r="F1027" s="10"/>
      <c r="G1027" s="10"/>
      <c r="H1027" s="770"/>
      <c r="I1027" s="10"/>
      <c r="J1027" s="10"/>
      <c r="K1027" s="10"/>
      <c r="L1027" s="10"/>
      <c r="M1027" s="770"/>
      <c r="N1027" s="10"/>
      <c r="O1027" s="10"/>
      <c r="P1027" s="10"/>
      <c r="Q1027" s="10"/>
      <c r="R1027" s="10"/>
      <c r="S1027" s="10"/>
    </row>
    <row r="1028" spans="1:19" x14ac:dyDescent="0.25">
      <c r="A1028" s="10"/>
      <c r="B1028" s="10"/>
      <c r="C1028" s="10"/>
      <c r="D1028" s="10"/>
      <c r="E1028" s="10"/>
      <c r="F1028" s="10"/>
      <c r="G1028" s="10"/>
      <c r="H1028" s="770"/>
      <c r="I1028" s="10"/>
      <c r="J1028" s="10"/>
      <c r="K1028" s="10"/>
      <c r="L1028" s="10"/>
      <c r="M1028" s="770"/>
      <c r="N1028" s="10"/>
      <c r="O1028" s="10"/>
      <c r="P1028" s="10"/>
      <c r="Q1028" s="10"/>
      <c r="R1028" s="10"/>
      <c r="S1028" s="10"/>
    </row>
    <row r="1029" spans="1:19" x14ac:dyDescent="0.25">
      <c r="A1029" s="10"/>
      <c r="B1029" s="10"/>
      <c r="C1029" s="10"/>
      <c r="D1029" s="10"/>
      <c r="E1029" s="10"/>
      <c r="F1029" s="10"/>
      <c r="G1029" s="10"/>
      <c r="H1029" s="770"/>
      <c r="I1029" s="10"/>
      <c r="J1029" s="10"/>
      <c r="K1029" s="10"/>
      <c r="L1029" s="10"/>
      <c r="M1029" s="770"/>
      <c r="N1029" s="10"/>
      <c r="O1029" s="10"/>
      <c r="P1029" s="10"/>
      <c r="Q1029" s="10"/>
      <c r="R1029" s="10"/>
      <c r="S1029" s="10"/>
    </row>
    <row r="1030" spans="1:19" x14ac:dyDescent="0.25">
      <c r="A1030" s="10"/>
      <c r="B1030" s="10"/>
      <c r="C1030" s="10"/>
      <c r="D1030" s="10"/>
      <c r="E1030" s="10"/>
      <c r="F1030" s="10"/>
      <c r="G1030" s="10"/>
      <c r="H1030" s="770"/>
      <c r="I1030" s="10"/>
      <c r="J1030" s="10"/>
      <c r="K1030" s="10"/>
      <c r="L1030" s="10"/>
      <c r="M1030" s="770"/>
      <c r="N1030" s="10"/>
      <c r="O1030" s="10"/>
      <c r="P1030" s="10"/>
      <c r="Q1030" s="10"/>
      <c r="R1030" s="10"/>
      <c r="S1030" s="10"/>
    </row>
    <row r="1031" spans="1:19" x14ac:dyDescent="0.25">
      <c r="A1031" s="10"/>
      <c r="B1031" s="10"/>
      <c r="C1031" s="10"/>
      <c r="D1031" s="10"/>
      <c r="E1031" s="10"/>
      <c r="F1031" s="10"/>
      <c r="G1031" s="10"/>
      <c r="H1031" s="770"/>
      <c r="I1031" s="10"/>
      <c r="J1031" s="10"/>
      <c r="K1031" s="10"/>
      <c r="L1031" s="10"/>
      <c r="M1031" s="770"/>
      <c r="N1031" s="10"/>
      <c r="O1031" s="10"/>
      <c r="P1031" s="10"/>
      <c r="Q1031" s="10"/>
      <c r="R1031" s="10"/>
      <c r="S1031" s="10"/>
    </row>
    <row r="1032" spans="1:19" x14ac:dyDescent="0.25">
      <c r="A1032" s="10"/>
      <c r="B1032" s="10"/>
      <c r="C1032" s="10"/>
      <c r="D1032" s="10"/>
      <c r="E1032" s="10"/>
      <c r="F1032" s="10"/>
      <c r="G1032" s="10"/>
      <c r="H1032" s="770"/>
      <c r="I1032" s="10"/>
      <c r="J1032" s="10"/>
      <c r="K1032" s="10"/>
      <c r="L1032" s="10"/>
      <c r="M1032" s="770"/>
      <c r="N1032" s="10"/>
      <c r="O1032" s="10"/>
      <c r="P1032" s="10"/>
      <c r="Q1032" s="10"/>
      <c r="R1032" s="10"/>
      <c r="S1032" s="10"/>
    </row>
    <row r="1033" spans="1:19" x14ac:dyDescent="0.25">
      <c r="A1033" s="10"/>
      <c r="B1033" s="10"/>
      <c r="C1033" s="10"/>
      <c r="D1033" s="10"/>
      <c r="E1033" s="10"/>
      <c r="F1033" s="10"/>
      <c r="G1033" s="10"/>
      <c r="H1033" s="770"/>
      <c r="I1033" s="10"/>
      <c r="J1033" s="10"/>
      <c r="K1033" s="10"/>
      <c r="L1033" s="10"/>
      <c r="M1033" s="770"/>
      <c r="N1033" s="10"/>
      <c r="O1033" s="10"/>
      <c r="P1033" s="10"/>
      <c r="Q1033" s="10"/>
      <c r="R1033" s="10"/>
      <c r="S1033" s="10"/>
    </row>
    <row r="1034" spans="1:19" x14ac:dyDescent="0.25">
      <c r="A1034" s="10"/>
      <c r="B1034" s="10"/>
      <c r="C1034" s="10"/>
      <c r="D1034" s="10"/>
      <c r="E1034" s="10"/>
      <c r="F1034" s="10"/>
      <c r="G1034" s="10"/>
      <c r="H1034" s="770"/>
      <c r="I1034" s="10"/>
      <c r="J1034" s="10"/>
      <c r="K1034" s="10"/>
      <c r="L1034" s="10"/>
      <c r="M1034" s="770"/>
      <c r="N1034" s="10"/>
      <c r="O1034" s="10"/>
      <c r="P1034" s="10"/>
      <c r="Q1034" s="10"/>
      <c r="R1034" s="10"/>
      <c r="S1034" s="10"/>
    </row>
    <row r="1035" spans="1:19" x14ac:dyDescent="0.25">
      <c r="A1035" s="10"/>
      <c r="B1035" s="10"/>
      <c r="C1035" s="10"/>
      <c r="D1035" s="10"/>
      <c r="E1035" s="10"/>
      <c r="F1035" s="10"/>
      <c r="G1035" s="10"/>
      <c r="H1035" s="770"/>
      <c r="I1035" s="10"/>
      <c r="J1035" s="10"/>
      <c r="K1035" s="10"/>
      <c r="L1035" s="10"/>
      <c r="M1035" s="770"/>
      <c r="N1035" s="10"/>
      <c r="O1035" s="10"/>
      <c r="P1035" s="10"/>
      <c r="Q1035" s="10"/>
      <c r="R1035" s="10"/>
      <c r="S1035" s="10"/>
    </row>
    <row r="1036" spans="1:19" x14ac:dyDescent="0.25">
      <c r="A1036" s="10"/>
      <c r="B1036" s="10"/>
      <c r="C1036" s="10"/>
      <c r="D1036" s="10"/>
      <c r="E1036" s="10"/>
      <c r="F1036" s="10"/>
      <c r="G1036" s="10"/>
      <c r="H1036" s="770"/>
      <c r="I1036" s="10"/>
      <c r="J1036" s="10"/>
      <c r="K1036" s="10"/>
      <c r="L1036" s="10"/>
      <c r="M1036" s="770"/>
      <c r="N1036" s="10"/>
      <c r="O1036" s="10"/>
      <c r="P1036" s="10"/>
      <c r="Q1036" s="10"/>
      <c r="R1036" s="10"/>
      <c r="S1036" s="10"/>
    </row>
    <row r="1037" spans="1:19" x14ac:dyDescent="0.25">
      <c r="A1037" s="10"/>
      <c r="B1037" s="10"/>
      <c r="C1037" s="10"/>
      <c r="D1037" s="10"/>
      <c r="E1037" s="10"/>
      <c r="F1037" s="10"/>
      <c r="G1037" s="10"/>
      <c r="H1037" s="770"/>
      <c r="I1037" s="10"/>
      <c r="J1037" s="10"/>
      <c r="K1037" s="10"/>
      <c r="L1037" s="10"/>
      <c r="M1037" s="770"/>
      <c r="N1037" s="10"/>
      <c r="O1037" s="10"/>
      <c r="P1037" s="10"/>
      <c r="Q1037" s="10"/>
      <c r="R1037" s="10"/>
      <c r="S1037" s="10"/>
    </row>
    <row r="1038" spans="1:19" x14ac:dyDescent="0.25">
      <c r="A1038" s="10"/>
      <c r="B1038" s="10"/>
      <c r="C1038" s="10"/>
      <c r="D1038" s="10"/>
      <c r="E1038" s="10"/>
      <c r="F1038" s="10"/>
      <c r="G1038" s="10"/>
      <c r="H1038" s="770"/>
      <c r="I1038" s="10"/>
      <c r="J1038" s="10"/>
      <c r="K1038" s="10"/>
      <c r="L1038" s="10"/>
      <c r="M1038" s="770"/>
      <c r="N1038" s="10"/>
      <c r="O1038" s="10"/>
      <c r="P1038" s="10"/>
      <c r="Q1038" s="10"/>
      <c r="R1038" s="10"/>
      <c r="S1038" s="10"/>
    </row>
    <row r="1039" spans="1:19" x14ac:dyDescent="0.25">
      <c r="A1039" s="10"/>
      <c r="B1039" s="10"/>
      <c r="C1039" s="10"/>
      <c r="D1039" s="10"/>
      <c r="E1039" s="10"/>
      <c r="F1039" s="10"/>
      <c r="G1039" s="10"/>
      <c r="H1039" s="770"/>
      <c r="I1039" s="10"/>
      <c r="J1039" s="10"/>
      <c r="K1039" s="10"/>
      <c r="L1039" s="10"/>
      <c r="M1039" s="770"/>
      <c r="N1039" s="10"/>
      <c r="O1039" s="10"/>
      <c r="P1039" s="10"/>
      <c r="Q1039" s="10"/>
      <c r="R1039" s="10"/>
      <c r="S1039" s="10"/>
    </row>
    <row r="1040" spans="1:19" x14ac:dyDescent="0.25">
      <c r="A1040" s="10"/>
      <c r="B1040" s="10"/>
      <c r="C1040" s="10"/>
      <c r="D1040" s="10"/>
      <c r="E1040" s="10"/>
      <c r="F1040" s="10"/>
      <c r="G1040" s="10"/>
      <c r="H1040" s="770"/>
      <c r="I1040" s="10"/>
      <c r="J1040" s="10"/>
      <c r="K1040" s="10"/>
      <c r="L1040" s="10"/>
      <c r="M1040" s="770"/>
      <c r="N1040" s="10"/>
      <c r="O1040" s="10"/>
      <c r="P1040" s="10"/>
      <c r="Q1040" s="10"/>
      <c r="R1040" s="10"/>
      <c r="S1040" s="10"/>
    </row>
    <row r="1041" spans="1:19" x14ac:dyDescent="0.25">
      <c r="A1041" s="10"/>
      <c r="B1041" s="10"/>
      <c r="C1041" s="10"/>
      <c r="D1041" s="10"/>
      <c r="E1041" s="10"/>
      <c r="F1041" s="10"/>
      <c r="G1041" s="10"/>
      <c r="H1041" s="770"/>
      <c r="I1041" s="10"/>
      <c r="J1041" s="10"/>
      <c r="K1041" s="10"/>
      <c r="L1041" s="10"/>
      <c r="M1041" s="770"/>
      <c r="N1041" s="10"/>
      <c r="O1041" s="10"/>
      <c r="P1041" s="10"/>
      <c r="Q1041" s="10"/>
      <c r="R1041" s="10"/>
      <c r="S1041" s="10"/>
    </row>
    <row r="1042" spans="1:19" x14ac:dyDescent="0.25">
      <c r="A1042" s="10"/>
      <c r="B1042" s="10"/>
      <c r="C1042" s="10"/>
      <c r="D1042" s="10"/>
      <c r="E1042" s="10"/>
      <c r="F1042" s="10"/>
      <c r="G1042" s="10"/>
      <c r="H1042" s="770"/>
      <c r="I1042" s="10"/>
      <c r="J1042" s="10"/>
      <c r="K1042" s="10"/>
      <c r="L1042" s="10"/>
      <c r="M1042" s="770"/>
      <c r="N1042" s="10"/>
      <c r="O1042" s="10"/>
      <c r="P1042" s="10"/>
      <c r="Q1042" s="10"/>
      <c r="R1042" s="10"/>
      <c r="S1042" s="10"/>
    </row>
    <row r="1043" spans="1:19" x14ac:dyDescent="0.25">
      <c r="A1043" s="10"/>
      <c r="B1043" s="10"/>
      <c r="C1043" s="10"/>
      <c r="D1043" s="10"/>
      <c r="E1043" s="10"/>
      <c r="F1043" s="10"/>
      <c r="G1043" s="10"/>
      <c r="H1043" s="770"/>
      <c r="I1043" s="10"/>
      <c r="J1043" s="10"/>
      <c r="K1043" s="10"/>
      <c r="L1043" s="10"/>
      <c r="M1043" s="770"/>
      <c r="N1043" s="10"/>
      <c r="O1043" s="10"/>
      <c r="P1043" s="10"/>
      <c r="Q1043" s="10"/>
      <c r="R1043" s="10"/>
      <c r="S1043" s="10"/>
    </row>
    <row r="1044" spans="1:19" x14ac:dyDescent="0.25">
      <c r="A1044" s="10"/>
      <c r="B1044" s="10"/>
      <c r="C1044" s="10"/>
      <c r="D1044" s="10"/>
      <c r="E1044" s="10"/>
      <c r="F1044" s="10"/>
      <c r="G1044" s="10"/>
      <c r="H1044" s="770"/>
      <c r="I1044" s="10"/>
      <c r="J1044" s="10"/>
      <c r="K1044" s="10"/>
      <c r="L1044" s="10"/>
      <c r="M1044" s="770"/>
      <c r="N1044" s="10"/>
      <c r="O1044" s="10"/>
      <c r="P1044" s="10"/>
      <c r="Q1044" s="10"/>
      <c r="R1044" s="10"/>
      <c r="S1044" s="10"/>
    </row>
    <row r="1045" spans="1:19" x14ac:dyDescent="0.25">
      <c r="A1045" s="10"/>
      <c r="B1045" s="10"/>
      <c r="C1045" s="10"/>
      <c r="D1045" s="10"/>
      <c r="E1045" s="10"/>
      <c r="F1045" s="10"/>
      <c r="G1045" s="10"/>
      <c r="H1045" s="770"/>
      <c r="I1045" s="10"/>
      <c r="J1045" s="10"/>
      <c r="K1045" s="10"/>
      <c r="L1045" s="10"/>
      <c r="M1045" s="770"/>
      <c r="N1045" s="10"/>
      <c r="O1045" s="10"/>
      <c r="P1045" s="10"/>
      <c r="Q1045" s="10"/>
      <c r="R1045" s="10"/>
      <c r="S1045" s="10"/>
    </row>
    <row r="1046" spans="1:19" x14ac:dyDescent="0.25">
      <c r="A1046" s="10"/>
      <c r="B1046" s="10"/>
      <c r="C1046" s="10"/>
      <c r="D1046" s="10"/>
      <c r="E1046" s="10"/>
      <c r="F1046" s="10"/>
      <c r="G1046" s="10"/>
      <c r="H1046" s="770"/>
      <c r="I1046" s="10"/>
      <c r="J1046" s="10"/>
      <c r="K1046" s="10"/>
      <c r="L1046" s="10"/>
      <c r="M1046" s="770"/>
      <c r="N1046" s="10"/>
      <c r="O1046" s="10"/>
      <c r="P1046" s="10"/>
      <c r="Q1046" s="10"/>
      <c r="R1046" s="10"/>
      <c r="S1046" s="10"/>
    </row>
    <row r="1047" spans="1:19" x14ac:dyDescent="0.25">
      <c r="A1047" s="10"/>
      <c r="B1047" s="10"/>
      <c r="C1047" s="10"/>
      <c r="D1047" s="10"/>
      <c r="E1047" s="10"/>
      <c r="F1047" s="10"/>
      <c r="G1047" s="10"/>
      <c r="H1047" s="770"/>
      <c r="I1047" s="10"/>
      <c r="J1047" s="10"/>
      <c r="K1047" s="10"/>
      <c r="L1047" s="10"/>
      <c r="M1047" s="770"/>
      <c r="N1047" s="10"/>
      <c r="O1047" s="10"/>
      <c r="P1047" s="10"/>
      <c r="Q1047" s="10"/>
      <c r="R1047" s="10"/>
      <c r="S1047" s="10"/>
    </row>
    <row r="1048" spans="1:19" x14ac:dyDescent="0.25">
      <c r="A1048" s="10"/>
      <c r="B1048" s="10"/>
      <c r="C1048" s="10"/>
      <c r="D1048" s="10"/>
      <c r="E1048" s="10"/>
      <c r="F1048" s="10"/>
      <c r="G1048" s="10"/>
      <c r="H1048" s="770"/>
      <c r="I1048" s="10"/>
      <c r="J1048" s="10"/>
      <c r="K1048" s="10"/>
      <c r="L1048" s="10"/>
      <c r="M1048" s="770"/>
      <c r="N1048" s="10"/>
      <c r="O1048" s="10"/>
      <c r="P1048" s="10"/>
      <c r="Q1048" s="10"/>
      <c r="R1048" s="10"/>
      <c r="S1048" s="10"/>
    </row>
    <row r="1049" spans="1:19" x14ac:dyDescent="0.25">
      <c r="A1049" s="10"/>
      <c r="B1049" s="10"/>
      <c r="C1049" s="10"/>
      <c r="D1049" s="10"/>
      <c r="E1049" s="10"/>
      <c r="F1049" s="10"/>
      <c r="G1049" s="10"/>
      <c r="H1049" s="770"/>
      <c r="I1049" s="10"/>
      <c r="J1049" s="10"/>
      <c r="K1049" s="10"/>
      <c r="L1049" s="10"/>
      <c r="M1049" s="770"/>
      <c r="N1049" s="10"/>
      <c r="O1049" s="10"/>
      <c r="P1049" s="10"/>
      <c r="Q1049" s="10"/>
      <c r="R1049" s="10"/>
      <c r="S1049" s="10"/>
    </row>
    <row r="1050" spans="1:19" x14ac:dyDescent="0.25">
      <c r="A1050" s="10"/>
      <c r="B1050" s="10"/>
      <c r="C1050" s="10"/>
      <c r="D1050" s="10"/>
      <c r="E1050" s="10"/>
      <c r="F1050" s="10"/>
      <c r="G1050" s="10"/>
      <c r="H1050" s="770"/>
      <c r="I1050" s="10"/>
      <c r="J1050" s="10"/>
      <c r="K1050" s="10"/>
      <c r="L1050" s="10"/>
      <c r="M1050" s="770"/>
      <c r="N1050" s="10"/>
      <c r="O1050" s="10"/>
      <c r="P1050" s="10"/>
      <c r="Q1050" s="10"/>
      <c r="R1050" s="10"/>
      <c r="S1050" s="10"/>
    </row>
    <row r="1051" spans="1:19" x14ac:dyDescent="0.25">
      <c r="A1051" s="10"/>
      <c r="B1051" s="10"/>
      <c r="C1051" s="10"/>
      <c r="D1051" s="10"/>
      <c r="E1051" s="10"/>
      <c r="F1051" s="10"/>
      <c r="G1051" s="10"/>
      <c r="H1051" s="770"/>
      <c r="I1051" s="10"/>
      <c r="J1051" s="10"/>
      <c r="K1051" s="10"/>
      <c r="L1051" s="10"/>
      <c r="M1051" s="770"/>
      <c r="N1051" s="10"/>
      <c r="O1051" s="10"/>
      <c r="P1051" s="10"/>
      <c r="Q1051" s="10"/>
      <c r="R1051" s="10"/>
      <c r="S1051" s="10"/>
    </row>
    <row r="1052" spans="1:19" x14ac:dyDescent="0.25">
      <c r="A1052" s="10"/>
      <c r="B1052" s="10"/>
      <c r="C1052" s="10"/>
      <c r="D1052" s="10"/>
      <c r="E1052" s="10"/>
      <c r="F1052" s="10"/>
      <c r="G1052" s="10"/>
      <c r="H1052" s="770"/>
      <c r="I1052" s="10"/>
      <c r="J1052" s="10"/>
      <c r="K1052" s="10"/>
      <c r="L1052" s="10"/>
      <c r="M1052" s="770"/>
      <c r="N1052" s="10"/>
      <c r="O1052" s="10"/>
      <c r="P1052" s="10"/>
      <c r="Q1052" s="10"/>
      <c r="R1052" s="10"/>
      <c r="S1052" s="10"/>
    </row>
    <row r="1053" spans="1:19" x14ac:dyDescent="0.25">
      <c r="A1053" s="10"/>
      <c r="B1053" s="10"/>
      <c r="C1053" s="10"/>
      <c r="D1053" s="10"/>
      <c r="E1053" s="10"/>
      <c r="F1053" s="10"/>
      <c r="G1053" s="10"/>
      <c r="H1053" s="770"/>
      <c r="I1053" s="10"/>
      <c r="J1053" s="10"/>
      <c r="K1053" s="10"/>
      <c r="L1053" s="10"/>
      <c r="M1053" s="770"/>
      <c r="N1053" s="10"/>
      <c r="O1053" s="10"/>
      <c r="P1053" s="10"/>
      <c r="Q1053" s="10"/>
      <c r="R1053" s="10"/>
      <c r="S1053" s="10"/>
    </row>
    <row r="1054" spans="1:19" x14ac:dyDescent="0.25">
      <c r="A1054" s="10"/>
      <c r="B1054" s="10"/>
      <c r="C1054" s="10"/>
      <c r="D1054" s="10"/>
      <c r="E1054" s="10"/>
      <c r="F1054" s="10"/>
      <c r="G1054" s="10"/>
      <c r="H1054" s="770"/>
      <c r="I1054" s="10"/>
      <c r="J1054" s="10"/>
      <c r="K1054" s="10"/>
      <c r="L1054" s="10"/>
      <c r="M1054" s="770"/>
      <c r="N1054" s="10"/>
      <c r="O1054" s="10"/>
      <c r="P1054" s="10"/>
      <c r="Q1054" s="10"/>
      <c r="R1054" s="10"/>
      <c r="S1054" s="10"/>
    </row>
    <row r="1055" spans="1:19" x14ac:dyDescent="0.25">
      <c r="A1055" s="10"/>
      <c r="B1055" s="10"/>
      <c r="C1055" s="10"/>
      <c r="D1055" s="10"/>
      <c r="E1055" s="10"/>
      <c r="F1055" s="10"/>
      <c r="G1055" s="10"/>
      <c r="H1055" s="770"/>
      <c r="I1055" s="10"/>
      <c r="J1055" s="10"/>
      <c r="K1055" s="10"/>
      <c r="L1055" s="10"/>
      <c r="M1055" s="770"/>
      <c r="N1055" s="10"/>
      <c r="O1055" s="10"/>
      <c r="P1055" s="10"/>
      <c r="Q1055" s="10"/>
      <c r="R1055" s="10"/>
      <c r="S1055" s="10"/>
    </row>
    <row r="1056" spans="1:19" x14ac:dyDescent="0.25">
      <c r="A1056" s="10"/>
      <c r="B1056" s="10"/>
      <c r="C1056" s="10"/>
      <c r="D1056" s="10"/>
      <c r="E1056" s="10"/>
      <c r="F1056" s="10"/>
      <c r="G1056" s="10"/>
      <c r="H1056" s="770"/>
      <c r="I1056" s="10"/>
      <c r="J1056" s="10"/>
      <c r="K1056" s="10"/>
      <c r="L1056" s="10"/>
      <c r="M1056" s="770"/>
      <c r="N1056" s="10"/>
      <c r="O1056" s="10"/>
      <c r="P1056" s="10"/>
      <c r="Q1056" s="10"/>
      <c r="R1056" s="10"/>
      <c r="S1056" s="10"/>
    </row>
    <row r="1057" spans="1:19" x14ac:dyDescent="0.25">
      <c r="A1057" s="10"/>
      <c r="B1057" s="10"/>
      <c r="C1057" s="10"/>
      <c r="D1057" s="10"/>
      <c r="E1057" s="10"/>
      <c r="F1057" s="10"/>
      <c r="G1057" s="10"/>
      <c r="H1057" s="770"/>
      <c r="I1057" s="10"/>
      <c r="J1057" s="10"/>
      <c r="K1057" s="10"/>
      <c r="L1057" s="10"/>
      <c r="M1057" s="770"/>
      <c r="N1057" s="10"/>
      <c r="O1057" s="10"/>
      <c r="P1057" s="10"/>
      <c r="Q1057" s="10"/>
      <c r="R1057" s="10"/>
      <c r="S1057" s="10"/>
    </row>
    <row r="1058" spans="1:19" x14ac:dyDescent="0.25">
      <c r="A1058" s="10"/>
      <c r="B1058" s="10"/>
      <c r="C1058" s="10"/>
      <c r="D1058" s="10"/>
      <c r="E1058" s="10"/>
      <c r="F1058" s="10"/>
      <c r="G1058" s="10"/>
      <c r="H1058" s="770"/>
      <c r="I1058" s="10"/>
      <c r="J1058" s="10"/>
      <c r="K1058" s="10"/>
      <c r="L1058" s="10"/>
      <c r="M1058" s="770"/>
      <c r="N1058" s="10"/>
      <c r="O1058" s="10"/>
      <c r="P1058" s="10"/>
      <c r="Q1058" s="10"/>
      <c r="R1058" s="10"/>
      <c r="S1058" s="10"/>
    </row>
    <row r="1059" spans="1:19" x14ac:dyDescent="0.25">
      <c r="A1059" s="10"/>
      <c r="B1059" s="10"/>
      <c r="C1059" s="10"/>
      <c r="D1059" s="10"/>
      <c r="E1059" s="10"/>
      <c r="F1059" s="10"/>
      <c r="G1059" s="10"/>
      <c r="H1059" s="770"/>
      <c r="I1059" s="10"/>
      <c r="J1059" s="10"/>
      <c r="K1059" s="10"/>
      <c r="L1059" s="10"/>
      <c r="M1059" s="770"/>
      <c r="N1059" s="10"/>
      <c r="O1059" s="10"/>
      <c r="P1059" s="10"/>
      <c r="Q1059" s="10"/>
      <c r="R1059" s="10"/>
      <c r="S1059" s="10"/>
    </row>
    <row r="1060" spans="1:19" x14ac:dyDescent="0.25">
      <c r="A1060" s="10"/>
      <c r="B1060" s="10"/>
      <c r="C1060" s="10"/>
      <c r="D1060" s="10"/>
      <c r="E1060" s="10"/>
      <c r="F1060" s="10"/>
      <c r="G1060" s="10"/>
      <c r="H1060" s="770"/>
      <c r="I1060" s="10"/>
      <c r="J1060" s="10"/>
      <c r="K1060" s="10"/>
      <c r="L1060" s="10"/>
      <c r="M1060" s="770"/>
      <c r="N1060" s="10"/>
      <c r="O1060" s="10"/>
      <c r="P1060" s="10"/>
      <c r="Q1060" s="10"/>
      <c r="R1060" s="10"/>
      <c r="S1060" s="10"/>
    </row>
    <row r="1061" spans="1:19" x14ac:dyDescent="0.25">
      <c r="A1061" s="10"/>
      <c r="B1061" s="10"/>
      <c r="C1061" s="10"/>
      <c r="D1061" s="10"/>
      <c r="E1061" s="10"/>
      <c r="F1061" s="10"/>
      <c r="G1061" s="10"/>
      <c r="H1061" s="770"/>
      <c r="I1061" s="10"/>
      <c r="J1061" s="10"/>
      <c r="K1061" s="10"/>
      <c r="L1061" s="10"/>
      <c r="M1061" s="770"/>
      <c r="N1061" s="10"/>
      <c r="O1061" s="10"/>
      <c r="P1061" s="10"/>
      <c r="Q1061" s="10"/>
      <c r="R1061" s="10"/>
      <c r="S1061" s="10"/>
    </row>
    <row r="1062" spans="1:19" x14ac:dyDescent="0.25">
      <c r="A1062" s="10"/>
      <c r="B1062" s="10"/>
      <c r="C1062" s="10"/>
      <c r="D1062" s="10"/>
      <c r="E1062" s="10"/>
      <c r="F1062" s="10"/>
      <c r="G1062" s="10"/>
      <c r="H1062" s="770"/>
      <c r="I1062" s="10"/>
      <c r="J1062" s="10"/>
      <c r="K1062" s="10"/>
      <c r="L1062" s="10"/>
      <c r="M1062" s="770"/>
      <c r="N1062" s="10"/>
      <c r="O1062" s="10"/>
      <c r="P1062" s="10"/>
      <c r="Q1062" s="10"/>
      <c r="R1062" s="10"/>
      <c r="S1062" s="10"/>
    </row>
    <row r="1063" spans="1:19" x14ac:dyDescent="0.25">
      <c r="A1063" s="10"/>
      <c r="B1063" s="10"/>
      <c r="C1063" s="10"/>
      <c r="D1063" s="10"/>
      <c r="E1063" s="10"/>
      <c r="F1063" s="10"/>
      <c r="G1063" s="10"/>
      <c r="H1063" s="770"/>
      <c r="I1063" s="10"/>
      <c r="J1063" s="10"/>
      <c r="K1063" s="10"/>
      <c r="L1063" s="10"/>
      <c r="M1063" s="770"/>
      <c r="N1063" s="10"/>
      <c r="O1063" s="10"/>
      <c r="P1063" s="10"/>
      <c r="Q1063" s="10"/>
      <c r="R1063" s="10"/>
      <c r="S1063" s="10"/>
    </row>
    <row r="1064" spans="1:19" x14ac:dyDescent="0.25">
      <c r="A1064" s="10"/>
      <c r="B1064" s="10"/>
      <c r="C1064" s="10"/>
      <c r="D1064" s="10"/>
      <c r="E1064" s="10"/>
      <c r="F1064" s="10"/>
      <c r="G1064" s="10"/>
      <c r="H1064" s="770"/>
      <c r="I1064" s="10"/>
      <c r="J1064" s="10"/>
      <c r="K1064" s="10"/>
      <c r="L1064" s="10"/>
      <c r="M1064" s="770"/>
      <c r="N1064" s="10"/>
      <c r="O1064" s="10"/>
      <c r="P1064" s="10"/>
      <c r="Q1064" s="10"/>
      <c r="R1064" s="10"/>
      <c r="S1064" s="10"/>
    </row>
    <row r="1065" spans="1:19" x14ac:dyDescent="0.25">
      <c r="A1065" s="10"/>
      <c r="B1065" s="10"/>
      <c r="C1065" s="10"/>
      <c r="D1065" s="10"/>
      <c r="E1065" s="10"/>
      <c r="F1065" s="10"/>
      <c r="G1065" s="10"/>
      <c r="H1065" s="770"/>
      <c r="I1065" s="10"/>
      <c r="J1065" s="10"/>
      <c r="K1065" s="10"/>
      <c r="L1065" s="10"/>
      <c r="M1065" s="770"/>
      <c r="N1065" s="10"/>
      <c r="O1065" s="10"/>
      <c r="P1065" s="10"/>
      <c r="Q1065" s="10"/>
      <c r="R1065" s="10"/>
      <c r="S1065" s="10"/>
    </row>
    <row r="1066" spans="1:19" x14ac:dyDescent="0.25">
      <c r="A1066" s="10"/>
      <c r="B1066" s="10"/>
      <c r="C1066" s="10"/>
      <c r="D1066" s="10"/>
      <c r="E1066" s="10"/>
      <c r="F1066" s="10"/>
      <c r="G1066" s="10"/>
      <c r="H1066" s="770"/>
      <c r="I1066" s="10"/>
      <c r="J1066" s="10"/>
      <c r="K1066" s="10"/>
      <c r="L1066" s="10"/>
      <c r="M1066" s="770"/>
      <c r="N1066" s="10"/>
      <c r="O1066" s="10"/>
      <c r="P1066" s="10"/>
      <c r="Q1066" s="10"/>
      <c r="R1066" s="10"/>
      <c r="S1066" s="10"/>
    </row>
    <row r="1067" spans="1:19" x14ac:dyDescent="0.25">
      <c r="A1067" s="10"/>
      <c r="B1067" s="10"/>
      <c r="C1067" s="10"/>
      <c r="D1067" s="10"/>
      <c r="E1067" s="10"/>
      <c r="F1067" s="10"/>
      <c r="G1067" s="10"/>
      <c r="H1067" s="770"/>
      <c r="I1067" s="10"/>
      <c r="J1067" s="10"/>
      <c r="K1067" s="10"/>
      <c r="L1067" s="10"/>
      <c r="M1067" s="770"/>
      <c r="N1067" s="10"/>
      <c r="O1067" s="10"/>
      <c r="P1067" s="10"/>
      <c r="Q1067" s="10"/>
      <c r="R1067" s="10"/>
      <c r="S1067" s="10"/>
    </row>
    <row r="1068" spans="1:19" x14ac:dyDescent="0.25">
      <c r="A1068" s="10"/>
      <c r="B1068" s="10"/>
      <c r="C1068" s="10"/>
      <c r="D1068" s="10"/>
      <c r="E1068" s="10"/>
      <c r="F1068" s="10"/>
      <c r="G1068" s="10"/>
      <c r="H1068" s="770"/>
      <c r="I1068" s="10"/>
      <c r="J1068" s="10"/>
      <c r="K1068" s="10"/>
      <c r="L1068" s="10"/>
      <c r="M1068" s="770"/>
      <c r="N1068" s="10"/>
      <c r="O1068" s="10"/>
      <c r="P1068" s="10"/>
      <c r="Q1068" s="10"/>
      <c r="R1068" s="10"/>
      <c r="S1068" s="10"/>
    </row>
    <row r="1069" spans="1:19" x14ac:dyDescent="0.25">
      <c r="A1069" s="10"/>
      <c r="B1069" s="10"/>
      <c r="C1069" s="10"/>
      <c r="D1069" s="10"/>
      <c r="E1069" s="10"/>
      <c r="F1069" s="10"/>
      <c r="G1069" s="10"/>
      <c r="H1069" s="770"/>
      <c r="I1069" s="10"/>
      <c r="J1069" s="10"/>
      <c r="K1069" s="10"/>
      <c r="L1069" s="10"/>
      <c r="M1069" s="770"/>
      <c r="N1069" s="10"/>
      <c r="O1069" s="10"/>
      <c r="P1069" s="10"/>
      <c r="Q1069" s="10"/>
      <c r="R1069" s="10"/>
      <c r="S1069" s="10"/>
    </row>
    <row r="1070" spans="1:19" x14ac:dyDescent="0.25">
      <c r="A1070" s="10"/>
      <c r="B1070" s="10"/>
      <c r="C1070" s="10"/>
      <c r="D1070" s="10"/>
      <c r="E1070" s="10"/>
      <c r="F1070" s="10"/>
      <c r="G1070" s="10"/>
      <c r="H1070" s="770"/>
      <c r="I1070" s="10"/>
      <c r="J1070" s="10"/>
      <c r="K1070" s="10"/>
      <c r="L1070" s="10"/>
      <c r="M1070" s="770"/>
      <c r="N1070" s="10"/>
      <c r="O1070" s="10"/>
      <c r="P1070" s="10"/>
      <c r="Q1070" s="10"/>
      <c r="R1070" s="10"/>
      <c r="S1070" s="10"/>
    </row>
    <row r="1071" spans="1:19" x14ac:dyDescent="0.25">
      <c r="A1071" s="10"/>
      <c r="B1071" s="10"/>
      <c r="C1071" s="10"/>
      <c r="D1071" s="10"/>
      <c r="E1071" s="10"/>
      <c r="F1071" s="10"/>
      <c r="G1071" s="10"/>
      <c r="H1071" s="770"/>
      <c r="I1071" s="10"/>
      <c r="J1071" s="10"/>
      <c r="K1071" s="10"/>
      <c r="L1071" s="10"/>
      <c r="M1071" s="770"/>
      <c r="N1071" s="10"/>
      <c r="O1071" s="10"/>
      <c r="P1071" s="10"/>
      <c r="Q1071" s="10"/>
      <c r="R1071" s="10"/>
      <c r="S1071" s="10"/>
    </row>
    <row r="1072" spans="1:19" x14ac:dyDescent="0.25">
      <c r="A1072" s="10"/>
      <c r="B1072" s="10"/>
      <c r="C1072" s="10"/>
      <c r="D1072" s="10"/>
      <c r="E1072" s="10"/>
      <c r="F1072" s="10"/>
      <c r="G1072" s="10"/>
      <c r="H1072" s="770"/>
      <c r="I1072" s="10"/>
      <c r="J1072" s="10"/>
      <c r="K1072" s="10"/>
      <c r="L1072" s="10"/>
      <c r="M1072" s="770"/>
      <c r="N1072" s="10"/>
      <c r="O1072" s="10"/>
      <c r="P1072" s="10"/>
      <c r="Q1072" s="10"/>
      <c r="R1072" s="10"/>
      <c r="S1072" s="10"/>
    </row>
    <row r="1073" spans="1:19" x14ac:dyDescent="0.25">
      <c r="A1073" s="10"/>
      <c r="B1073" s="10"/>
      <c r="C1073" s="10"/>
      <c r="D1073" s="10"/>
      <c r="E1073" s="10"/>
      <c r="F1073" s="10"/>
      <c r="G1073" s="10"/>
      <c r="H1073" s="770"/>
      <c r="I1073" s="10"/>
      <c r="J1073" s="10"/>
      <c r="K1073" s="10"/>
      <c r="L1073" s="10"/>
      <c r="M1073" s="770"/>
      <c r="N1073" s="10"/>
      <c r="O1073" s="10"/>
      <c r="P1073" s="10"/>
      <c r="Q1073" s="10"/>
      <c r="R1073" s="10"/>
      <c r="S1073" s="10"/>
    </row>
    <row r="1074" spans="1:19" x14ac:dyDescent="0.25">
      <c r="A1074" s="10"/>
      <c r="B1074" s="10"/>
      <c r="C1074" s="10"/>
      <c r="D1074" s="10"/>
      <c r="E1074" s="10"/>
      <c r="F1074" s="10"/>
      <c r="G1074" s="10"/>
      <c r="H1074" s="770"/>
      <c r="I1074" s="10"/>
      <c r="J1074" s="10"/>
      <c r="K1074" s="10"/>
      <c r="L1074" s="10"/>
      <c r="M1074" s="770"/>
      <c r="N1074" s="10"/>
      <c r="O1074" s="10"/>
      <c r="P1074" s="10"/>
      <c r="Q1074" s="10"/>
      <c r="R1074" s="10"/>
      <c r="S1074" s="10"/>
    </row>
    <row r="1075" spans="1:19" x14ac:dyDescent="0.25">
      <c r="A1075" s="10"/>
      <c r="B1075" s="10"/>
      <c r="C1075" s="10"/>
      <c r="D1075" s="10"/>
      <c r="E1075" s="10"/>
      <c r="F1075" s="10"/>
      <c r="G1075" s="10"/>
      <c r="H1075" s="770"/>
      <c r="I1075" s="10"/>
      <c r="J1075" s="10"/>
      <c r="K1075" s="10"/>
      <c r="L1075" s="10"/>
      <c r="M1075" s="770"/>
      <c r="N1075" s="10"/>
      <c r="O1075" s="10"/>
      <c r="P1075" s="10"/>
      <c r="Q1075" s="10"/>
      <c r="R1075" s="10"/>
      <c r="S1075" s="10"/>
    </row>
    <row r="1076" spans="1:19" x14ac:dyDescent="0.25">
      <c r="A1076" s="10"/>
      <c r="B1076" s="10"/>
      <c r="C1076" s="10"/>
      <c r="D1076" s="10"/>
      <c r="E1076" s="10"/>
      <c r="F1076" s="10"/>
      <c r="G1076" s="10"/>
      <c r="H1076" s="770"/>
      <c r="I1076" s="10"/>
      <c r="J1076" s="10"/>
      <c r="K1076" s="10"/>
      <c r="L1076" s="10"/>
      <c r="M1076" s="770"/>
      <c r="N1076" s="10"/>
      <c r="O1076" s="10"/>
      <c r="P1076" s="10"/>
      <c r="Q1076" s="10"/>
      <c r="R1076" s="10"/>
      <c r="S1076" s="10"/>
    </row>
    <row r="1077" spans="1:19" x14ac:dyDescent="0.25">
      <c r="A1077" s="10"/>
      <c r="B1077" s="10"/>
      <c r="C1077" s="10"/>
      <c r="D1077" s="10"/>
      <c r="E1077" s="10"/>
      <c r="F1077" s="10"/>
      <c r="G1077" s="10"/>
      <c r="H1077" s="770"/>
      <c r="I1077" s="10"/>
      <c r="J1077" s="10"/>
      <c r="K1077" s="10"/>
      <c r="L1077" s="10"/>
      <c r="M1077" s="770"/>
      <c r="N1077" s="10"/>
      <c r="O1077" s="10"/>
      <c r="P1077" s="10"/>
      <c r="Q1077" s="10"/>
      <c r="R1077" s="10"/>
      <c r="S1077" s="10"/>
    </row>
    <row r="1078" spans="1:19" x14ac:dyDescent="0.25">
      <c r="A1078" s="10"/>
      <c r="B1078" s="10"/>
      <c r="C1078" s="10"/>
      <c r="D1078" s="10"/>
      <c r="E1078" s="10"/>
      <c r="F1078" s="10"/>
      <c r="G1078" s="10"/>
      <c r="H1078" s="770"/>
      <c r="I1078" s="10"/>
      <c r="J1078" s="10"/>
      <c r="K1078" s="10"/>
      <c r="L1078" s="10"/>
      <c r="M1078" s="770"/>
      <c r="N1078" s="10"/>
      <c r="O1078" s="10"/>
      <c r="P1078" s="10"/>
      <c r="Q1078" s="10"/>
      <c r="R1078" s="10"/>
      <c r="S1078" s="10"/>
    </row>
    <row r="1079" spans="1:19" x14ac:dyDescent="0.25">
      <c r="A1079" s="10"/>
      <c r="B1079" s="10"/>
      <c r="C1079" s="10"/>
      <c r="D1079" s="10"/>
      <c r="E1079" s="10"/>
      <c r="F1079" s="10"/>
      <c r="G1079" s="10"/>
      <c r="H1079" s="770"/>
      <c r="I1079" s="10"/>
      <c r="J1079" s="10"/>
      <c r="K1079" s="10"/>
      <c r="L1079" s="10"/>
      <c r="M1079" s="770"/>
      <c r="N1079" s="10"/>
      <c r="O1079" s="10"/>
      <c r="P1079" s="10"/>
      <c r="Q1079" s="10"/>
      <c r="R1079" s="10"/>
      <c r="S1079" s="10"/>
    </row>
    <row r="1080" spans="1:19" x14ac:dyDescent="0.25">
      <c r="A1080" s="10"/>
      <c r="B1080" s="10"/>
      <c r="C1080" s="10"/>
      <c r="D1080" s="10"/>
      <c r="E1080" s="10"/>
      <c r="F1080" s="10"/>
      <c r="G1080" s="10"/>
      <c r="H1080" s="770"/>
      <c r="I1080" s="10"/>
      <c r="J1080" s="10"/>
      <c r="K1080" s="10"/>
      <c r="L1080" s="10"/>
      <c r="M1080" s="770"/>
      <c r="N1080" s="10"/>
      <c r="O1080" s="10"/>
      <c r="P1080" s="10"/>
      <c r="Q1080" s="10"/>
      <c r="R1080" s="10"/>
      <c r="S1080" s="10"/>
    </row>
    <row r="1081" spans="1:19" x14ac:dyDescent="0.25">
      <c r="A1081" s="10"/>
      <c r="B1081" s="10"/>
      <c r="C1081" s="10"/>
      <c r="D1081" s="10"/>
      <c r="E1081" s="10"/>
      <c r="F1081" s="10"/>
      <c r="G1081" s="10"/>
      <c r="H1081" s="770"/>
      <c r="I1081" s="10"/>
      <c r="J1081" s="10"/>
      <c r="K1081" s="10"/>
      <c r="L1081" s="10"/>
      <c r="M1081" s="770"/>
      <c r="N1081" s="10"/>
      <c r="O1081" s="10"/>
      <c r="P1081" s="10"/>
      <c r="Q1081" s="10"/>
      <c r="R1081" s="10"/>
      <c r="S1081" s="10"/>
    </row>
    <row r="1082" spans="1:19" x14ac:dyDescent="0.25">
      <c r="A1082" s="10"/>
      <c r="B1082" s="10"/>
      <c r="C1082" s="10"/>
      <c r="D1082" s="10"/>
      <c r="E1082" s="10"/>
      <c r="F1082" s="10"/>
      <c r="G1082" s="10"/>
      <c r="H1082" s="770"/>
      <c r="I1082" s="10"/>
      <c r="J1082" s="10"/>
      <c r="K1082" s="10"/>
      <c r="L1082" s="10"/>
      <c r="M1082" s="770"/>
      <c r="N1082" s="10"/>
      <c r="O1082" s="10"/>
      <c r="P1082" s="10"/>
      <c r="Q1082" s="10"/>
      <c r="R1082" s="10"/>
      <c r="S1082" s="10"/>
    </row>
    <row r="1083" spans="1:19" x14ac:dyDescent="0.25">
      <c r="A1083" s="10"/>
      <c r="B1083" s="10"/>
      <c r="C1083" s="10"/>
      <c r="D1083" s="10"/>
      <c r="E1083" s="10"/>
      <c r="F1083" s="10"/>
      <c r="G1083" s="10"/>
      <c r="H1083" s="770"/>
      <c r="I1083" s="10"/>
      <c r="J1083" s="10"/>
      <c r="K1083" s="10"/>
      <c r="L1083" s="10"/>
      <c r="M1083" s="770"/>
      <c r="N1083" s="10"/>
      <c r="O1083" s="10"/>
      <c r="P1083" s="10"/>
      <c r="Q1083" s="10"/>
      <c r="R1083" s="10"/>
      <c r="S1083" s="10"/>
    </row>
    <row r="1084" spans="1:19" x14ac:dyDescent="0.25">
      <c r="A1084" s="10"/>
      <c r="B1084" s="10"/>
      <c r="C1084" s="10"/>
      <c r="D1084" s="10"/>
      <c r="E1084" s="10"/>
      <c r="F1084" s="10"/>
      <c r="G1084" s="10"/>
      <c r="H1084" s="770"/>
      <c r="I1084" s="10"/>
      <c r="J1084" s="10"/>
      <c r="K1084" s="10"/>
      <c r="L1084" s="10"/>
      <c r="M1084" s="770"/>
      <c r="N1084" s="10"/>
      <c r="O1084" s="10"/>
      <c r="P1084" s="10"/>
      <c r="Q1084" s="10"/>
      <c r="R1084" s="10"/>
      <c r="S1084" s="10"/>
    </row>
    <row r="1085" spans="1:19" x14ac:dyDescent="0.25">
      <c r="A1085" s="10"/>
      <c r="B1085" s="10"/>
      <c r="C1085" s="10"/>
      <c r="D1085" s="10"/>
      <c r="E1085" s="10"/>
      <c r="F1085" s="10"/>
      <c r="G1085" s="10"/>
      <c r="H1085" s="770"/>
      <c r="I1085" s="10"/>
      <c r="J1085" s="10"/>
      <c r="K1085" s="10"/>
      <c r="L1085" s="10"/>
      <c r="M1085" s="770"/>
      <c r="N1085" s="10"/>
      <c r="O1085" s="10"/>
      <c r="P1085" s="10"/>
      <c r="Q1085" s="10"/>
      <c r="R1085" s="10"/>
      <c r="S1085" s="10"/>
    </row>
    <row r="1086" spans="1:19" x14ac:dyDescent="0.25">
      <c r="A1086" s="10"/>
      <c r="B1086" s="10"/>
      <c r="C1086" s="10"/>
      <c r="D1086" s="10"/>
      <c r="E1086" s="10"/>
      <c r="F1086" s="10"/>
      <c r="G1086" s="10"/>
      <c r="H1086" s="770"/>
      <c r="I1086" s="10"/>
      <c r="J1086" s="10"/>
      <c r="K1086" s="10"/>
      <c r="L1086" s="10"/>
      <c r="M1086" s="770"/>
      <c r="N1086" s="10"/>
      <c r="O1086" s="10"/>
      <c r="P1086" s="10"/>
      <c r="Q1086" s="10"/>
      <c r="R1086" s="10"/>
      <c r="S1086" s="10"/>
    </row>
    <row r="1087" spans="1:19" x14ac:dyDescent="0.25">
      <c r="A1087" s="10"/>
      <c r="B1087" s="10"/>
      <c r="C1087" s="10"/>
      <c r="D1087" s="10"/>
      <c r="E1087" s="10"/>
      <c r="F1087" s="10"/>
      <c r="G1087" s="10"/>
      <c r="H1087" s="770"/>
      <c r="I1087" s="10"/>
      <c r="J1087" s="10"/>
      <c r="K1087" s="10"/>
      <c r="L1087" s="10"/>
      <c r="M1087" s="770"/>
      <c r="N1087" s="10"/>
      <c r="O1087" s="10"/>
      <c r="P1087" s="10"/>
      <c r="Q1087" s="10"/>
      <c r="R1087" s="10"/>
      <c r="S1087" s="10"/>
    </row>
    <row r="1088" spans="1:19" x14ac:dyDescent="0.25">
      <c r="A1088" s="10"/>
      <c r="B1088" s="10"/>
      <c r="C1088" s="10"/>
      <c r="D1088" s="10"/>
      <c r="E1088" s="10"/>
      <c r="F1088" s="10"/>
      <c r="G1088" s="10"/>
      <c r="H1088" s="770"/>
      <c r="I1088" s="10"/>
      <c r="J1088" s="10"/>
      <c r="K1088" s="10"/>
      <c r="L1088" s="10"/>
      <c r="M1088" s="770"/>
      <c r="N1088" s="10"/>
      <c r="O1088" s="10"/>
      <c r="P1088" s="10"/>
      <c r="Q1088" s="10"/>
      <c r="R1088" s="10"/>
      <c r="S1088" s="10"/>
    </row>
    <row r="1089" spans="1:19" x14ac:dyDescent="0.25">
      <c r="A1089" s="10"/>
      <c r="B1089" s="10"/>
      <c r="C1089" s="10"/>
      <c r="D1089" s="10"/>
      <c r="E1089" s="10"/>
      <c r="F1089" s="10"/>
      <c r="G1089" s="10"/>
      <c r="H1089" s="770"/>
      <c r="I1089" s="10"/>
      <c r="J1089" s="10"/>
      <c r="K1089" s="10"/>
      <c r="L1089" s="10"/>
      <c r="M1089" s="770"/>
      <c r="N1089" s="10"/>
      <c r="O1089" s="10"/>
      <c r="P1089" s="10"/>
      <c r="Q1089" s="10"/>
      <c r="R1089" s="10"/>
      <c r="S1089" s="10"/>
    </row>
    <row r="1090" spans="1:19" x14ac:dyDescent="0.25">
      <c r="A1090" s="10"/>
      <c r="B1090" s="10"/>
      <c r="C1090" s="10"/>
      <c r="D1090" s="10"/>
      <c r="E1090" s="10"/>
      <c r="F1090" s="10"/>
      <c r="G1090" s="10"/>
      <c r="H1090" s="770"/>
      <c r="I1090" s="10"/>
      <c r="J1090" s="10"/>
      <c r="K1090" s="10"/>
      <c r="L1090" s="10"/>
      <c r="M1090" s="770"/>
      <c r="N1090" s="10"/>
      <c r="O1090" s="10"/>
      <c r="P1090" s="10"/>
      <c r="Q1090" s="10"/>
      <c r="R1090" s="10"/>
      <c r="S1090" s="10"/>
    </row>
    <row r="1091" spans="1:19" x14ac:dyDescent="0.25">
      <c r="A1091" s="10"/>
      <c r="B1091" s="10"/>
      <c r="C1091" s="10"/>
      <c r="D1091" s="10"/>
      <c r="E1091" s="10"/>
      <c r="F1091" s="10"/>
      <c r="G1091" s="10"/>
      <c r="H1091" s="770"/>
      <c r="I1091" s="10"/>
      <c r="J1091" s="10"/>
      <c r="K1091" s="10"/>
      <c r="L1091" s="10"/>
      <c r="M1091" s="770"/>
      <c r="N1091" s="10"/>
      <c r="O1091" s="10"/>
      <c r="P1091" s="10"/>
      <c r="Q1091" s="10"/>
      <c r="R1091" s="10"/>
      <c r="S1091" s="10"/>
    </row>
    <row r="1092" spans="1:19" x14ac:dyDescent="0.25">
      <c r="A1092" s="10"/>
      <c r="B1092" s="10"/>
      <c r="C1092" s="10"/>
      <c r="D1092" s="10"/>
      <c r="E1092" s="10"/>
      <c r="F1092" s="10"/>
      <c r="G1092" s="10"/>
      <c r="H1092" s="770"/>
      <c r="I1092" s="10"/>
      <c r="J1092" s="10"/>
      <c r="K1092" s="10"/>
      <c r="L1092" s="10"/>
      <c r="M1092" s="770"/>
      <c r="N1092" s="10"/>
      <c r="O1092" s="10"/>
      <c r="P1092" s="10"/>
      <c r="Q1092" s="10"/>
      <c r="R1092" s="10"/>
      <c r="S1092" s="10"/>
    </row>
    <row r="1093" spans="1:19" x14ac:dyDescent="0.25">
      <c r="A1093" s="10"/>
      <c r="B1093" s="10"/>
      <c r="C1093" s="10"/>
      <c r="D1093" s="10"/>
      <c r="E1093" s="10"/>
      <c r="F1093" s="10"/>
      <c r="G1093" s="10"/>
      <c r="H1093" s="770"/>
      <c r="I1093" s="10"/>
      <c r="J1093" s="10"/>
      <c r="K1093" s="10"/>
      <c r="L1093" s="10"/>
      <c r="M1093" s="770"/>
      <c r="N1093" s="10"/>
      <c r="O1093" s="10"/>
      <c r="P1093" s="10"/>
      <c r="Q1093" s="10"/>
      <c r="R1093" s="10"/>
      <c r="S1093" s="10"/>
    </row>
    <row r="1094" spans="1:19" x14ac:dyDescent="0.25">
      <c r="A1094" s="10"/>
      <c r="B1094" s="10"/>
      <c r="C1094" s="10"/>
      <c r="D1094" s="10"/>
      <c r="E1094" s="10"/>
      <c r="F1094" s="10"/>
      <c r="G1094" s="10"/>
      <c r="H1094" s="770"/>
      <c r="I1094" s="10"/>
      <c r="J1094" s="10"/>
      <c r="K1094" s="10"/>
      <c r="L1094" s="10"/>
      <c r="M1094" s="770"/>
      <c r="N1094" s="10"/>
      <c r="O1094" s="10"/>
      <c r="P1094" s="10"/>
      <c r="Q1094" s="10"/>
      <c r="R1094" s="10"/>
      <c r="S1094" s="10"/>
    </row>
    <row r="1095" spans="1:19" x14ac:dyDescent="0.25">
      <c r="A1095" s="10"/>
      <c r="B1095" s="10"/>
      <c r="C1095" s="10"/>
      <c r="D1095" s="10"/>
      <c r="E1095" s="10"/>
      <c r="F1095" s="10"/>
      <c r="G1095" s="10"/>
      <c r="H1095" s="770"/>
      <c r="I1095" s="10"/>
      <c r="J1095" s="10"/>
      <c r="K1095" s="10"/>
      <c r="L1095" s="10"/>
      <c r="M1095" s="770"/>
      <c r="N1095" s="10"/>
      <c r="O1095" s="10"/>
      <c r="P1095" s="10"/>
      <c r="Q1095" s="10"/>
      <c r="R1095" s="10"/>
      <c r="S1095" s="10"/>
    </row>
    <row r="1096" spans="1:19" x14ac:dyDescent="0.25">
      <c r="A1096" s="10"/>
      <c r="B1096" s="10"/>
      <c r="C1096" s="10"/>
      <c r="D1096" s="10"/>
      <c r="E1096" s="10"/>
      <c r="F1096" s="10"/>
      <c r="G1096" s="10"/>
      <c r="H1096" s="770"/>
      <c r="I1096" s="10"/>
      <c r="J1096" s="10"/>
      <c r="K1096" s="10"/>
      <c r="L1096" s="10"/>
      <c r="M1096" s="770"/>
      <c r="N1096" s="10"/>
      <c r="O1096" s="10"/>
      <c r="P1096" s="10"/>
      <c r="Q1096" s="10"/>
      <c r="R1096" s="10"/>
      <c r="S1096" s="10"/>
    </row>
    <row r="1097" spans="1:19" x14ac:dyDescent="0.25">
      <c r="A1097" s="10"/>
      <c r="B1097" s="10"/>
      <c r="C1097" s="10"/>
      <c r="D1097" s="10"/>
      <c r="E1097" s="10"/>
      <c r="F1097" s="10"/>
      <c r="G1097" s="10"/>
      <c r="H1097" s="770"/>
      <c r="I1097" s="10"/>
      <c r="J1097" s="10"/>
      <c r="K1097" s="10"/>
      <c r="L1097" s="10"/>
      <c r="M1097" s="770"/>
      <c r="N1097" s="10"/>
      <c r="O1097" s="10"/>
      <c r="P1097" s="10"/>
      <c r="Q1097" s="10"/>
      <c r="R1097" s="10"/>
      <c r="S1097" s="10"/>
    </row>
    <row r="1098" spans="1:19" x14ac:dyDescent="0.25">
      <c r="A1098" s="10"/>
      <c r="B1098" s="10"/>
      <c r="C1098" s="10"/>
      <c r="D1098" s="10"/>
      <c r="E1098" s="10"/>
      <c r="F1098" s="10"/>
      <c r="G1098" s="10"/>
      <c r="H1098" s="770"/>
      <c r="I1098" s="10"/>
      <c r="J1098" s="10"/>
      <c r="K1098" s="10"/>
      <c r="L1098" s="10"/>
      <c r="M1098" s="770"/>
      <c r="N1098" s="10"/>
      <c r="O1098" s="10"/>
      <c r="P1098" s="10"/>
      <c r="Q1098" s="10"/>
      <c r="R1098" s="10"/>
      <c r="S1098" s="10"/>
    </row>
    <row r="1099" spans="1:19" x14ac:dyDescent="0.25">
      <c r="A1099" s="10"/>
      <c r="B1099" s="10"/>
      <c r="C1099" s="10"/>
      <c r="D1099" s="10"/>
      <c r="E1099" s="10"/>
      <c r="F1099" s="10"/>
      <c r="G1099" s="10"/>
      <c r="H1099" s="770"/>
      <c r="I1099" s="10"/>
      <c r="J1099" s="10"/>
      <c r="K1099" s="10"/>
      <c r="L1099" s="10"/>
      <c r="M1099" s="770"/>
      <c r="N1099" s="10"/>
      <c r="O1099" s="10"/>
      <c r="P1099" s="10"/>
      <c r="Q1099" s="10"/>
      <c r="R1099" s="10"/>
      <c r="S1099" s="10"/>
    </row>
    <row r="1100" spans="1:19" x14ac:dyDescent="0.25">
      <c r="A1100" s="10"/>
      <c r="B1100" s="10"/>
      <c r="C1100" s="10"/>
      <c r="D1100" s="10"/>
      <c r="E1100" s="10"/>
      <c r="F1100" s="10"/>
      <c r="G1100" s="10"/>
      <c r="H1100" s="770"/>
      <c r="I1100" s="10"/>
      <c r="J1100" s="10"/>
      <c r="K1100" s="10"/>
      <c r="L1100" s="10"/>
      <c r="M1100" s="770"/>
      <c r="N1100" s="10"/>
      <c r="O1100" s="10"/>
      <c r="P1100" s="10"/>
      <c r="Q1100" s="10"/>
      <c r="R1100" s="10"/>
      <c r="S1100" s="10"/>
    </row>
    <row r="1101" spans="1:19" x14ac:dyDescent="0.25">
      <c r="A1101" s="10"/>
      <c r="B1101" s="10"/>
      <c r="C1101" s="10"/>
      <c r="D1101" s="10"/>
      <c r="E1101" s="10"/>
      <c r="F1101" s="10"/>
      <c r="G1101" s="10"/>
      <c r="H1101" s="770"/>
      <c r="I1101" s="10"/>
      <c r="J1101" s="10"/>
      <c r="K1101" s="10"/>
      <c r="L1101" s="10"/>
      <c r="M1101" s="770"/>
      <c r="N1101" s="10"/>
      <c r="O1101" s="10"/>
      <c r="P1101" s="10"/>
      <c r="Q1101" s="10"/>
      <c r="R1101" s="10"/>
      <c r="S1101" s="10"/>
    </row>
    <row r="1102" spans="1:19" x14ac:dyDescent="0.25">
      <c r="A1102" s="10"/>
      <c r="B1102" s="10"/>
      <c r="C1102" s="10"/>
      <c r="D1102" s="10"/>
      <c r="E1102" s="10"/>
      <c r="F1102" s="10"/>
      <c r="G1102" s="10"/>
      <c r="H1102" s="770"/>
      <c r="I1102" s="10"/>
      <c r="J1102" s="10"/>
      <c r="K1102" s="10"/>
      <c r="L1102" s="10"/>
      <c r="M1102" s="770"/>
      <c r="N1102" s="10"/>
      <c r="O1102" s="10"/>
      <c r="P1102" s="10"/>
      <c r="Q1102" s="10"/>
      <c r="R1102" s="10"/>
      <c r="S1102" s="10"/>
    </row>
    <row r="1103" spans="1:19" x14ac:dyDescent="0.25">
      <c r="A1103" s="10"/>
      <c r="B1103" s="10"/>
      <c r="C1103" s="10"/>
      <c r="D1103" s="10"/>
      <c r="E1103" s="10"/>
      <c r="F1103" s="10"/>
      <c r="G1103" s="10"/>
      <c r="H1103" s="770"/>
      <c r="I1103" s="10"/>
      <c r="J1103" s="10"/>
      <c r="K1103" s="10"/>
      <c r="L1103" s="10"/>
      <c r="M1103" s="770"/>
      <c r="N1103" s="10"/>
      <c r="O1103" s="10"/>
      <c r="P1103" s="10"/>
      <c r="Q1103" s="10"/>
      <c r="R1103" s="10"/>
      <c r="S1103" s="10"/>
    </row>
    <row r="1104" spans="1:19" x14ac:dyDescent="0.25">
      <c r="A1104" s="10"/>
      <c r="B1104" s="10"/>
      <c r="C1104" s="10"/>
      <c r="D1104" s="10"/>
      <c r="E1104" s="10"/>
      <c r="F1104" s="10"/>
      <c r="G1104" s="10"/>
      <c r="H1104" s="770"/>
      <c r="I1104" s="10"/>
      <c r="J1104" s="10"/>
      <c r="K1104" s="10"/>
      <c r="L1104" s="10"/>
      <c r="M1104" s="770"/>
      <c r="N1104" s="10"/>
      <c r="O1104" s="10"/>
      <c r="P1104" s="10"/>
      <c r="Q1104" s="10"/>
      <c r="R1104" s="10"/>
      <c r="S1104" s="10"/>
    </row>
    <row r="1105" spans="1:19" x14ac:dyDescent="0.25">
      <c r="A1105" s="10"/>
      <c r="B1105" s="10"/>
      <c r="C1105" s="10"/>
      <c r="D1105" s="10"/>
      <c r="E1105" s="10"/>
      <c r="F1105" s="10"/>
      <c r="G1105" s="10"/>
      <c r="H1105" s="770"/>
      <c r="I1105" s="10"/>
      <c r="J1105" s="10"/>
      <c r="K1105" s="10"/>
      <c r="L1105" s="10"/>
      <c r="M1105" s="770"/>
      <c r="N1105" s="10"/>
      <c r="O1105" s="10"/>
      <c r="P1105" s="10"/>
      <c r="Q1105" s="10"/>
      <c r="R1105" s="10"/>
      <c r="S1105" s="10"/>
    </row>
    <row r="1106" spans="1:19" x14ac:dyDescent="0.25">
      <c r="A1106" s="10"/>
      <c r="B1106" s="10"/>
      <c r="C1106" s="10"/>
      <c r="D1106" s="10"/>
      <c r="E1106" s="10"/>
      <c r="F1106" s="10"/>
      <c r="G1106" s="10"/>
      <c r="H1106" s="770"/>
      <c r="I1106" s="10"/>
      <c r="J1106" s="10"/>
      <c r="K1106" s="10"/>
      <c r="L1106" s="10"/>
      <c r="M1106" s="770"/>
      <c r="N1106" s="10"/>
      <c r="O1106" s="10"/>
      <c r="P1106" s="10"/>
      <c r="Q1106" s="10"/>
      <c r="R1106" s="10"/>
      <c r="S1106" s="10"/>
    </row>
    <row r="1107" spans="1:19" x14ac:dyDescent="0.25">
      <c r="A1107" s="10"/>
      <c r="B1107" s="10"/>
      <c r="C1107" s="10"/>
      <c r="D1107" s="10"/>
      <c r="E1107" s="10"/>
      <c r="F1107" s="10"/>
      <c r="G1107" s="10"/>
      <c r="H1107" s="770"/>
      <c r="I1107" s="10"/>
      <c r="J1107" s="10"/>
      <c r="K1107" s="10"/>
      <c r="L1107" s="10"/>
      <c r="M1107" s="770"/>
      <c r="N1107" s="10"/>
      <c r="O1107" s="10"/>
      <c r="P1107" s="10"/>
      <c r="Q1107" s="10"/>
      <c r="R1107" s="10"/>
      <c r="S1107" s="10"/>
    </row>
    <row r="1108" spans="1:19" x14ac:dyDescent="0.25">
      <c r="A1108" s="10"/>
      <c r="B1108" s="10"/>
      <c r="C1108" s="10"/>
      <c r="D1108" s="10"/>
      <c r="E1108" s="10"/>
      <c r="F1108" s="10"/>
      <c r="G1108" s="10"/>
      <c r="H1108" s="770"/>
      <c r="I1108" s="10"/>
      <c r="J1108" s="10"/>
      <c r="K1108" s="10"/>
      <c r="L1108" s="10"/>
      <c r="M1108" s="770"/>
      <c r="N1108" s="10"/>
      <c r="O1108" s="10"/>
      <c r="P1108" s="10"/>
      <c r="Q1108" s="10"/>
      <c r="R1108" s="10"/>
      <c r="S1108" s="10"/>
    </row>
    <row r="1109" spans="1:19" x14ac:dyDescent="0.25">
      <c r="A1109" s="10"/>
      <c r="B1109" s="10"/>
      <c r="C1109" s="10"/>
      <c r="D1109" s="10"/>
      <c r="E1109" s="10"/>
      <c r="F1109" s="10"/>
      <c r="G1109" s="10"/>
      <c r="H1109" s="770"/>
      <c r="I1109" s="10"/>
      <c r="J1109" s="10"/>
      <c r="K1109" s="10"/>
      <c r="L1109" s="10"/>
      <c r="M1109" s="770"/>
      <c r="N1109" s="10"/>
      <c r="O1109" s="10"/>
      <c r="P1109" s="10"/>
      <c r="Q1109" s="10"/>
      <c r="R1109" s="10"/>
      <c r="S1109" s="10"/>
    </row>
    <row r="1110" spans="1:19" x14ac:dyDescent="0.25">
      <c r="A1110" s="10"/>
      <c r="B1110" s="10"/>
      <c r="C1110" s="10"/>
      <c r="D1110" s="10"/>
      <c r="E1110" s="10"/>
      <c r="F1110" s="10"/>
      <c r="G1110" s="10"/>
      <c r="H1110" s="770"/>
      <c r="I1110" s="10"/>
      <c r="J1110" s="10"/>
      <c r="K1110" s="10"/>
      <c r="L1110" s="10"/>
      <c r="M1110" s="770"/>
      <c r="N1110" s="10"/>
      <c r="O1110" s="10"/>
      <c r="P1110" s="10"/>
      <c r="Q1110" s="10"/>
      <c r="R1110" s="10"/>
      <c r="S1110" s="10"/>
    </row>
    <row r="1111" spans="1:19" x14ac:dyDescent="0.25">
      <c r="A1111" s="10"/>
      <c r="B1111" s="10"/>
      <c r="C1111" s="10"/>
      <c r="D1111" s="10"/>
      <c r="E1111" s="10"/>
      <c r="F1111" s="10"/>
      <c r="G1111" s="10"/>
      <c r="H1111" s="770"/>
      <c r="I1111" s="10"/>
      <c r="J1111" s="10"/>
      <c r="K1111" s="10"/>
      <c r="L1111" s="10"/>
      <c r="M1111" s="770"/>
      <c r="N1111" s="10"/>
      <c r="O1111" s="10"/>
      <c r="P1111" s="10"/>
      <c r="Q1111" s="10"/>
      <c r="R1111" s="10"/>
      <c r="S1111" s="10"/>
    </row>
    <row r="1112" spans="1:19" x14ac:dyDescent="0.25">
      <c r="A1112" s="10"/>
      <c r="B1112" s="10"/>
      <c r="C1112" s="10"/>
      <c r="D1112" s="10"/>
      <c r="E1112" s="10"/>
      <c r="F1112" s="10"/>
      <c r="G1112" s="10"/>
      <c r="H1112" s="770"/>
      <c r="I1112" s="10"/>
      <c r="J1112" s="10"/>
      <c r="K1112" s="10"/>
      <c r="L1112" s="10"/>
      <c r="M1112" s="770"/>
      <c r="N1112" s="10"/>
      <c r="O1112" s="10"/>
      <c r="P1112" s="10"/>
      <c r="Q1112" s="10"/>
      <c r="R1112" s="10"/>
      <c r="S1112" s="10"/>
    </row>
    <row r="1113" spans="1:19" x14ac:dyDescent="0.25">
      <c r="A1113" s="10"/>
      <c r="B1113" s="10"/>
      <c r="C1113" s="10"/>
      <c r="D1113" s="10"/>
      <c r="E1113" s="10"/>
      <c r="F1113" s="10"/>
      <c r="G1113" s="10"/>
      <c r="H1113" s="770"/>
      <c r="I1113" s="10"/>
      <c r="J1113" s="10"/>
      <c r="K1113" s="10"/>
      <c r="L1113" s="10"/>
      <c r="M1113" s="770"/>
      <c r="N1113" s="10"/>
      <c r="O1113" s="10"/>
      <c r="P1113" s="10"/>
      <c r="Q1113" s="10"/>
      <c r="R1113" s="10"/>
      <c r="S1113" s="10"/>
    </row>
    <row r="1114" spans="1:19" x14ac:dyDescent="0.25">
      <c r="A1114" s="10"/>
      <c r="B1114" s="10"/>
      <c r="C1114" s="10"/>
      <c r="D1114" s="10"/>
      <c r="E1114" s="10"/>
      <c r="F1114" s="10"/>
      <c r="G1114" s="10"/>
      <c r="H1114" s="770"/>
      <c r="I1114" s="10"/>
      <c r="J1114" s="10"/>
      <c r="K1114" s="10"/>
      <c r="L1114" s="10"/>
      <c r="M1114" s="770"/>
      <c r="N1114" s="10"/>
      <c r="O1114" s="10"/>
      <c r="P1114" s="10"/>
      <c r="Q1114" s="10"/>
      <c r="R1114" s="10"/>
      <c r="S1114" s="10"/>
    </row>
    <row r="1115" spans="1:19" x14ac:dyDescent="0.25">
      <c r="A1115" s="10"/>
      <c r="B1115" s="10"/>
      <c r="C1115" s="10"/>
      <c r="D1115" s="10"/>
      <c r="E1115" s="10"/>
      <c r="F1115" s="10"/>
      <c r="G1115" s="10"/>
      <c r="H1115" s="770"/>
      <c r="I1115" s="10"/>
      <c r="J1115" s="10"/>
      <c r="K1115" s="10"/>
      <c r="L1115" s="10"/>
      <c r="M1115" s="770"/>
      <c r="N1115" s="10"/>
      <c r="O1115" s="10"/>
      <c r="P1115" s="10"/>
      <c r="Q1115" s="10"/>
      <c r="R1115" s="10"/>
      <c r="S1115" s="10"/>
    </row>
    <row r="1116" spans="1:19" x14ac:dyDescent="0.25">
      <c r="A1116" s="10"/>
      <c r="B1116" s="10"/>
      <c r="C1116" s="10"/>
      <c r="D1116" s="10"/>
      <c r="E1116" s="10"/>
      <c r="F1116" s="10"/>
      <c r="G1116" s="10"/>
      <c r="H1116" s="770"/>
      <c r="I1116" s="10"/>
      <c r="J1116" s="10"/>
      <c r="K1116" s="10"/>
      <c r="L1116" s="10"/>
      <c r="M1116" s="770"/>
      <c r="N1116" s="10"/>
      <c r="O1116" s="10"/>
      <c r="P1116" s="10"/>
      <c r="Q1116" s="10"/>
      <c r="R1116" s="10"/>
      <c r="S1116" s="10"/>
    </row>
    <row r="1117" spans="1:19" x14ac:dyDescent="0.25">
      <c r="A1117" s="10"/>
      <c r="B1117" s="10"/>
      <c r="C1117" s="10"/>
      <c r="D1117" s="10"/>
      <c r="E1117" s="10"/>
      <c r="F1117" s="10"/>
      <c r="G1117" s="10"/>
      <c r="H1117" s="770"/>
      <c r="I1117" s="10"/>
      <c r="J1117" s="10"/>
      <c r="K1117" s="10"/>
      <c r="L1117" s="10"/>
      <c r="M1117" s="770"/>
      <c r="N1117" s="10"/>
      <c r="O1117" s="10"/>
      <c r="P1117" s="10"/>
      <c r="Q1117" s="10"/>
      <c r="R1117" s="10"/>
      <c r="S1117" s="10"/>
    </row>
    <row r="1118" spans="1:19" x14ac:dyDescent="0.25">
      <c r="A1118" s="10"/>
      <c r="B1118" s="10"/>
      <c r="C1118" s="10"/>
      <c r="D1118" s="10"/>
      <c r="E1118" s="10"/>
      <c r="F1118" s="10"/>
      <c r="G1118" s="10"/>
      <c r="H1118" s="770"/>
      <c r="I1118" s="10"/>
      <c r="J1118" s="10"/>
      <c r="K1118" s="10"/>
      <c r="L1118" s="10"/>
      <c r="M1118" s="770"/>
      <c r="N1118" s="10"/>
      <c r="O1118" s="10"/>
      <c r="P1118" s="10"/>
      <c r="Q1118" s="10"/>
      <c r="R1118" s="10"/>
      <c r="S1118" s="10"/>
    </row>
    <row r="1119" spans="1:19" x14ac:dyDescent="0.25">
      <c r="A1119" s="10"/>
      <c r="B1119" s="10"/>
      <c r="C1119" s="10"/>
      <c r="D1119" s="10"/>
      <c r="E1119" s="10"/>
      <c r="F1119" s="10"/>
      <c r="G1119" s="10"/>
      <c r="H1119" s="770"/>
      <c r="I1119" s="10"/>
      <c r="J1119" s="10"/>
      <c r="K1119" s="10"/>
      <c r="L1119" s="10"/>
      <c r="M1119" s="770"/>
      <c r="N1119" s="10"/>
      <c r="O1119" s="10"/>
      <c r="P1119" s="10"/>
      <c r="Q1119" s="10"/>
      <c r="R1119" s="10"/>
      <c r="S1119" s="10"/>
    </row>
    <row r="1120" spans="1:19" x14ac:dyDescent="0.25">
      <c r="A1120" s="10"/>
      <c r="B1120" s="10"/>
      <c r="C1120" s="10"/>
      <c r="D1120" s="10"/>
      <c r="E1120" s="10"/>
      <c r="F1120" s="10"/>
      <c r="G1120" s="10"/>
      <c r="H1120" s="770"/>
      <c r="I1120" s="10"/>
      <c r="J1120" s="10"/>
      <c r="K1120" s="10"/>
      <c r="L1120" s="10"/>
      <c r="M1120" s="770"/>
      <c r="N1120" s="10"/>
      <c r="O1120" s="10"/>
      <c r="P1120" s="10"/>
      <c r="Q1120" s="10"/>
      <c r="R1120" s="10"/>
      <c r="S1120" s="10"/>
    </row>
    <row r="1121" spans="1:19" x14ac:dyDescent="0.25">
      <c r="A1121" s="10"/>
      <c r="B1121" s="10"/>
      <c r="C1121" s="10"/>
      <c r="D1121" s="10"/>
      <c r="E1121" s="10"/>
      <c r="F1121" s="10"/>
      <c r="G1121" s="10"/>
      <c r="H1121" s="770"/>
      <c r="I1121" s="10"/>
      <c r="J1121" s="10"/>
      <c r="K1121" s="10"/>
      <c r="L1121" s="10"/>
      <c r="M1121" s="770"/>
      <c r="N1121" s="10"/>
      <c r="O1121" s="10"/>
      <c r="P1121" s="10"/>
      <c r="Q1121" s="10"/>
      <c r="R1121" s="10"/>
      <c r="S1121" s="10"/>
    </row>
    <row r="1122" spans="1:19" x14ac:dyDescent="0.25">
      <c r="A1122" s="10"/>
      <c r="B1122" s="10"/>
      <c r="C1122" s="10"/>
      <c r="D1122" s="10"/>
      <c r="E1122" s="10"/>
      <c r="F1122" s="10"/>
      <c r="G1122" s="10"/>
      <c r="H1122" s="770"/>
      <c r="I1122" s="10"/>
      <c r="J1122" s="10"/>
      <c r="K1122" s="10"/>
      <c r="L1122" s="10"/>
      <c r="M1122" s="770"/>
      <c r="N1122" s="10"/>
      <c r="O1122" s="10"/>
      <c r="P1122" s="10"/>
      <c r="Q1122" s="10"/>
      <c r="R1122" s="10"/>
      <c r="S1122" s="10"/>
    </row>
    <row r="1123" spans="1:19" x14ac:dyDescent="0.25">
      <c r="A1123" s="10"/>
      <c r="B1123" s="10"/>
      <c r="C1123" s="10"/>
      <c r="D1123" s="10"/>
      <c r="E1123" s="10"/>
      <c r="F1123" s="10"/>
      <c r="G1123" s="10"/>
      <c r="H1123" s="770"/>
      <c r="I1123" s="10"/>
      <c r="J1123" s="10"/>
      <c r="K1123" s="10"/>
      <c r="L1123" s="10"/>
      <c r="M1123" s="770"/>
      <c r="N1123" s="10"/>
      <c r="O1123" s="10"/>
      <c r="P1123" s="10"/>
      <c r="Q1123" s="10"/>
      <c r="R1123" s="10"/>
      <c r="S1123" s="10"/>
    </row>
    <row r="1124" spans="1:19" x14ac:dyDescent="0.25">
      <c r="A1124" s="10"/>
      <c r="B1124" s="10"/>
      <c r="C1124" s="10"/>
      <c r="D1124" s="10"/>
      <c r="E1124" s="10"/>
      <c r="F1124" s="10"/>
      <c r="G1124" s="10"/>
      <c r="H1124" s="770"/>
      <c r="I1124" s="10"/>
      <c r="J1124" s="10"/>
      <c r="K1124" s="10"/>
      <c r="L1124" s="10"/>
      <c r="M1124" s="770"/>
      <c r="N1124" s="10"/>
      <c r="O1124" s="10"/>
      <c r="P1124" s="10"/>
      <c r="Q1124" s="10"/>
      <c r="R1124" s="10"/>
      <c r="S1124" s="10"/>
    </row>
    <row r="1125" spans="1:19" x14ac:dyDescent="0.25">
      <c r="A1125" s="10"/>
      <c r="B1125" s="10"/>
      <c r="C1125" s="10"/>
      <c r="D1125" s="10"/>
      <c r="E1125" s="10"/>
      <c r="F1125" s="10"/>
      <c r="G1125" s="10"/>
      <c r="H1125" s="770"/>
      <c r="I1125" s="10"/>
      <c r="J1125" s="10"/>
      <c r="K1125" s="10"/>
      <c r="L1125" s="10"/>
      <c r="M1125" s="770"/>
      <c r="N1125" s="10"/>
      <c r="O1125" s="10"/>
      <c r="P1125" s="10"/>
      <c r="Q1125" s="10"/>
      <c r="R1125" s="10"/>
      <c r="S1125" s="10"/>
    </row>
    <row r="1126" spans="1:19" x14ac:dyDescent="0.25">
      <c r="A1126" s="10"/>
      <c r="B1126" s="10"/>
      <c r="C1126" s="10"/>
      <c r="D1126" s="10"/>
      <c r="E1126" s="10"/>
      <c r="F1126" s="10"/>
      <c r="G1126" s="10"/>
      <c r="H1126" s="770"/>
      <c r="I1126" s="10"/>
      <c r="J1126" s="10"/>
      <c r="K1126" s="10"/>
      <c r="L1126" s="10"/>
      <c r="M1126" s="770"/>
      <c r="N1126" s="10"/>
      <c r="O1126" s="10"/>
      <c r="P1126" s="10"/>
      <c r="Q1126" s="10"/>
      <c r="R1126" s="10"/>
      <c r="S1126" s="10"/>
    </row>
    <row r="1127" spans="1:19" x14ac:dyDescent="0.25">
      <c r="A1127" s="10"/>
      <c r="B1127" s="10"/>
      <c r="C1127" s="10"/>
      <c r="D1127" s="10"/>
      <c r="E1127" s="10"/>
      <c r="F1127" s="10"/>
      <c r="G1127" s="10"/>
      <c r="H1127" s="770"/>
      <c r="I1127" s="10"/>
      <c r="J1127" s="10"/>
      <c r="K1127" s="10"/>
      <c r="L1127" s="10"/>
      <c r="M1127" s="770"/>
      <c r="N1127" s="10"/>
      <c r="O1127" s="10"/>
      <c r="P1127" s="10"/>
      <c r="Q1127" s="10"/>
      <c r="R1127" s="10"/>
      <c r="S1127" s="10"/>
    </row>
    <row r="1128" spans="1:19" x14ac:dyDescent="0.25">
      <c r="A1128" s="10"/>
      <c r="B1128" s="10"/>
      <c r="C1128" s="10"/>
      <c r="D1128" s="10"/>
      <c r="E1128" s="10"/>
      <c r="F1128" s="10"/>
      <c r="G1128" s="10"/>
      <c r="H1128" s="770"/>
      <c r="I1128" s="10"/>
      <c r="J1128" s="10"/>
      <c r="K1128" s="10"/>
      <c r="L1128" s="10"/>
      <c r="M1128" s="770"/>
      <c r="N1128" s="10"/>
      <c r="O1128" s="10"/>
      <c r="P1128" s="10"/>
      <c r="Q1128" s="10"/>
      <c r="R1128" s="10"/>
      <c r="S1128" s="10"/>
    </row>
    <row r="1129" spans="1:19" x14ac:dyDescent="0.25">
      <c r="A1129" s="10"/>
      <c r="B1129" s="10"/>
      <c r="C1129" s="10"/>
      <c r="D1129" s="10"/>
      <c r="E1129" s="10"/>
      <c r="F1129" s="10"/>
      <c r="G1129" s="10"/>
      <c r="H1129" s="770"/>
      <c r="I1129" s="10"/>
      <c r="J1129" s="10"/>
      <c r="K1129" s="10"/>
      <c r="L1129" s="10"/>
      <c r="M1129" s="770"/>
      <c r="N1129" s="10"/>
      <c r="O1129" s="10"/>
      <c r="P1129" s="10"/>
      <c r="Q1129" s="10"/>
      <c r="R1129" s="10"/>
      <c r="S1129" s="10"/>
    </row>
    <row r="1130" spans="1:19" x14ac:dyDescent="0.25">
      <c r="A1130" s="10"/>
      <c r="B1130" s="10"/>
      <c r="C1130" s="10"/>
      <c r="D1130" s="10"/>
      <c r="E1130" s="10"/>
      <c r="F1130" s="10"/>
      <c r="G1130" s="10"/>
      <c r="H1130" s="770"/>
      <c r="I1130" s="10"/>
      <c r="J1130" s="10"/>
      <c r="K1130" s="10"/>
      <c r="L1130" s="10"/>
      <c r="M1130" s="770"/>
      <c r="N1130" s="10"/>
      <c r="O1130" s="10"/>
      <c r="P1130" s="10"/>
      <c r="Q1130" s="10"/>
      <c r="R1130" s="10"/>
      <c r="S1130" s="10"/>
    </row>
    <row r="1131" spans="1:19" x14ac:dyDescent="0.25">
      <c r="A1131" s="10"/>
      <c r="B1131" s="10"/>
      <c r="C1131" s="10"/>
      <c r="D1131" s="10"/>
      <c r="E1131" s="10"/>
      <c r="F1131" s="10"/>
      <c r="G1131" s="10"/>
      <c r="H1131" s="770"/>
      <c r="I1131" s="10"/>
      <c r="J1131" s="10"/>
      <c r="K1131" s="10"/>
      <c r="L1131" s="10"/>
      <c r="M1131" s="770"/>
      <c r="N1131" s="10"/>
      <c r="O1131" s="10"/>
      <c r="P1131" s="10"/>
      <c r="Q1131" s="10"/>
      <c r="R1131" s="10"/>
      <c r="S1131" s="10"/>
    </row>
    <row r="1132" spans="1:19" x14ac:dyDescent="0.25">
      <c r="A1132" s="10"/>
      <c r="B1132" s="10"/>
      <c r="C1132" s="10"/>
      <c r="D1132" s="10"/>
      <c r="E1132" s="10"/>
      <c r="F1132" s="10"/>
      <c r="G1132" s="10"/>
      <c r="H1132" s="770"/>
      <c r="I1132" s="10"/>
      <c r="J1132" s="10"/>
      <c r="K1132" s="10"/>
      <c r="L1132" s="10"/>
      <c r="M1132" s="770"/>
      <c r="N1132" s="10"/>
      <c r="O1132" s="10"/>
      <c r="P1132" s="10"/>
      <c r="Q1132" s="10"/>
      <c r="R1132" s="10"/>
      <c r="S1132" s="10"/>
    </row>
    <row r="1133" spans="1:19" x14ac:dyDescent="0.25">
      <c r="A1133" s="10"/>
      <c r="B1133" s="10"/>
      <c r="C1133" s="10"/>
      <c r="D1133" s="10"/>
      <c r="E1133" s="10"/>
      <c r="F1133" s="10"/>
      <c r="G1133" s="10"/>
      <c r="H1133" s="770"/>
      <c r="I1133" s="10"/>
      <c r="J1133" s="10"/>
      <c r="K1133" s="10"/>
      <c r="L1133" s="10"/>
      <c r="M1133" s="770"/>
      <c r="N1133" s="10"/>
      <c r="O1133" s="10"/>
      <c r="P1133" s="10"/>
      <c r="Q1133" s="10"/>
      <c r="R1133" s="10"/>
      <c r="S1133" s="10"/>
    </row>
    <row r="1134" spans="1:19" x14ac:dyDescent="0.25">
      <c r="A1134" s="10"/>
      <c r="B1134" s="10"/>
      <c r="C1134" s="10"/>
      <c r="D1134" s="10"/>
      <c r="E1134" s="10"/>
      <c r="F1134" s="10"/>
      <c r="G1134" s="10"/>
      <c r="H1134" s="770"/>
      <c r="I1134" s="10"/>
      <c r="J1134" s="10"/>
      <c r="K1134" s="10"/>
      <c r="L1134" s="10"/>
      <c r="M1134" s="770"/>
      <c r="N1134" s="10"/>
      <c r="O1134" s="10"/>
      <c r="P1134" s="10"/>
      <c r="Q1134" s="10"/>
      <c r="R1134" s="10"/>
      <c r="S1134" s="10"/>
    </row>
    <row r="1135" spans="1:19" x14ac:dyDescent="0.25">
      <c r="A1135" s="10"/>
      <c r="B1135" s="10"/>
      <c r="C1135" s="10"/>
      <c r="D1135" s="10"/>
      <c r="E1135" s="10"/>
      <c r="F1135" s="10"/>
      <c r="G1135" s="10"/>
      <c r="H1135" s="770"/>
      <c r="I1135" s="10"/>
      <c r="J1135" s="10"/>
      <c r="K1135" s="10"/>
      <c r="L1135" s="10"/>
      <c r="M1135" s="770"/>
      <c r="N1135" s="10"/>
      <c r="O1135" s="10"/>
      <c r="P1135" s="10"/>
      <c r="Q1135" s="10"/>
      <c r="R1135" s="10"/>
      <c r="S1135" s="10"/>
    </row>
    <row r="1136" spans="1:19" x14ac:dyDescent="0.25">
      <c r="A1136" s="10"/>
      <c r="B1136" s="10"/>
      <c r="C1136" s="10"/>
      <c r="D1136" s="10"/>
      <c r="E1136" s="10"/>
      <c r="F1136" s="10"/>
      <c r="G1136" s="10"/>
      <c r="H1136" s="770"/>
      <c r="I1136" s="10"/>
      <c r="J1136" s="10"/>
      <c r="K1136" s="10"/>
      <c r="L1136" s="10"/>
      <c r="M1136" s="770"/>
      <c r="N1136" s="10"/>
      <c r="O1136" s="10"/>
      <c r="P1136" s="10"/>
      <c r="Q1136" s="10"/>
      <c r="R1136" s="10"/>
      <c r="S1136" s="10"/>
    </row>
    <row r="1137" spans="1:19" x14ac:dyDescent="0.25">
      <c r="A1137" s="10"/>
      <c r="B1137" s="10"/>
      <c r="C1137" s="10"/>
      <c r="D1137" s="10"/>
      <c r="E1137" s="10"/>
      <c r="F1137" s="10"/>
      <c r="G1137" s="10"/>
      <c r="H1137" s="770"/>
      <c r="I1137" s="10"/>
      <c r="J1137" s="10"/>
      <c r="K1137" s="10"/>
      <c r="L1137" s="10"/>
      <c r="M1137" s="770"/>
      <c r="N1137" s="10"/>
      <c r="O1137" s="10"/>
      <c r="P1137" s="10"/>
      <c r="Q1137" s="10"/>
      <c r="R1137" s="10"/>
      <c r="S1137" s="10"/>
    </row>
    <row r="1138" spans="1:19" x14ac:dyDescent="0.25">
      <c r="A1138" s="10"/>
      <c r="B1138" s="10"/>
      <c r="C1138" s="10"/>
      <c r="D1138" s="10"/>
      <c r="E1138" s="10"/>
      <c r="F1138" s="10"/>
      <c r="G1138" s="10"/>
      <c r="H1138" s="770"/>
      <c r="I1138" s="10"/>
      <c r="J1138" s="10"/>
      <c r="K1138" s="10"/>
      <c r="L1138" s="10"/>
      <c r="M1138" s="770"/>
      <c r="N1138" s="10"/>
      <c r="O1138" s="10"/>
      <c r="P1138" s="10"/>
      <c r="Q1138" s="10"/>
      <c r="R1138" s="10"/>
      <c r="S1138" s="10"/>
    </row>
    <row r="1139" spans="1:19" x14ac:dyDescent="0.25">
      <c r="A1139" s="10"/>
      <c r="B1139" s="10"/>
      <c r="C1139" s="10"/>
      <c r="D1139" s="10"/>
      <c r="E1139" s="10"/>
      <c r="F1139" s="10"/>
      <c r="G1139" s="10"/>
      <c r="H1139" s="770"/>
      <c r="I1139" s="10"/>
      <c r="J1139" s="10"/>
      <c r="K1139" s="10"/>
      <c r="L1139" s="10"/>
      <c r="M1139" s="770"/>
      <c r="N1139" s="10"/>
      <c r="O1139" s="10"/>
      <c r="P1139" s="10"/>
      <c r="Q1139" s="10"/>
      <c r="R1139" s="10"/>
      <c r="S1139" s="10"/>
    </row>
    <row r="1140" spans="1:19" x14ac:dyDescent="0.25">
      <c r="A1140" s="10"/>
      <c r="B1140" s="10"/>
      <c r="C1140" s="10"/>
      <c r="D1140" s="10"/>
      <c r="E1140" s="10"/>
      <c r="F1140" s="10"/>
      <c r="G1140" s="10"/>
      <c r="H1140" s="770"/>
      <c r="I1140" s="10"/>
      <c r="J1140" s="10"/>
      <c r="K1140" s="10"/>
      <c r="L1140" s="10"/>
      <c r="M1140" s="770"/>
      <c r="N1140" s="10"/>
      <c r="O1140" s="10"/>
      <c r="P1140" s="10"/>
      <c r="Q1140" s="10"/>
      <c r="R1140" s="10"/>
      <c r="S1140" s="10"/>
    </row>
    <row r="1141" spans="1:19" x14ac:dyDescent="0.25">
      <c r="A1141" s="10"/>
      <c r="B1141" s="10"/>
      <c r="C1141" s="10"/>
      <c r="D1141" s="10"/>
      <c r="E1141" s="10"/>
      <c r="F1141" s="10"/>
      <c r="G1141" s="10"/>
      <c r="H1141" s="770"/>
      <c r="I1141" s="10"/>
      <c r="J1141" s="10"/>
      <c r="K1141" s="10"/>
      <c r="L1141" s="10"/>
      <c r="M1141" s="770"/>
      <c r="N1141" s="10"/>
      <c r="O1141" s="10"/>
      <c r="P1141" s="10"/>
      <c r="Q1141" s="10"/>
      <c r="R1141" s="10"/>
      <c r="S1141" s="10"/>
    </row>
    <row r="1142" spans="1:19" x14ac:dyDescent="0.25">
      <c r="A1142" s="10"/>
      <c r="B1142" s="10"/>
      <c r="C1142" s="10"/>
      <c r="D1142" s="10"/>
      <c r="E1142" s="10"/>
      <c r="F1142" s="10"/>
      <c r="G1142" s="10"/>
      <c r="H1142" s="770"/>
      <c r="I1142" s="10"/>
      <c r="J1142" s="10"/>
      <c r="K1142" s="10"/>
      <c r="L1142" s="10"/>
      <c r="M1142" s="770"/>
      <c r="N1142" s="10"/>
      <c r="O1142" s="10"/>
      <c r="P1142" s="10"/>
      <c r="Q1142" s="10"/>
      <c r="R1142" s="10"/>
      <c r="S1142" s="10"/>
    </row>
    <row r="1143" spans="1:19" x14ac:dyDescent="0.25">
      <c r="A1143" s="10"/>
      <c r="B1143" s="10"/>
      <c r="C1143" s="10"/>
      <c r="D1143" s="10"/>
      <c r="E1143" s="10"/>
      <c r="F1143" s="10"/>
      <c r="G1143" s="10"/>
      <c r="H1143" s="770"/>
      <c r="I1143" s="10"/>
      <c r="J1143" s="10"/>
      <c r="K1143" s="10"/>
      <c r="L1143" s="10"/>
      <c r="M1143" s="770"/>
      <c r="N1143" s="10"/>
      <c r="O1143" s="10"/>
      <c r="P1143" s="10"/>
      <c r="Q1143" s="10"/>
      <c r="R1143" s="10"/>
      <c r="S1143" s="10"/>
    </row>
    <row r="1144" spans="1:19" x14ac:dyDescent="0.25">
      <c r="A1144" s="10"/>
      <c r="B1144" s="10"/>
      <c r="C1144" s="10"/>
      <c r="D1144" s="10"/>
      <c r="E1144" s="10"/>
      <c r="F1144" s="10"/>
      <c r="G1144" s="10"/>
      <c r="H1144" s="770"/>
      <c r="I1144" s="10"/>
      <c r="J1144" s="10"/>
      <c r="K1144" s="10"/>
      <c r="L1144" s="10"/>
      <c r="M1144" s="770"/>
      <c r="N1144" s="10"/>
      <c r="O1144" s="10"/>
      <c r="P1144" s="10"/>
      <c r="Q1144" s="10"/>
      <c r="R1144" s="10"/>
      <c r="S1144" s="10"/>
    </row>
    <row r="1145" spans="1:19" x14ac:dyDescent="0.25">
      <c r="A1145" s="10"/>
      <c r="B1145" s="10"/>
      <c r="C1145" s="10"/>
      <c r="D1145" s="10"/>
      <c r="E1145" s="10"/>
      <c r="F1145" s="10"/>
      <c r="G1145" s="10"/>
      <c r="H1145" s="770"/>
      <c r="I1145" s="10"/>
      <c r="J1145" s="10"/>
      <c r="K1145" s="10"/>
      <c r="L1145" s="10"/>
      <c r="M1145" s="770"/>
      <c r="N1145" s="10"/>
      <c r="O1145" s="10"/>
      <c r="P1145" s="10"/>
      <c r="Q1145" s="10"/>
      <c r="R1145" s="10"/>
      <c r="S1145" s="10"/>
    </row>
    <row r="1146" spans="1:19" x14ac:dyDescent="0.25">
      <c r="A1146" s="10"/>
      <c r="B1146" s="10"/>
      <c r="C1146" s="10"/>
      <c r="D1146" s="10"/>
      <c r="E1146" s="10"/>
      <c r="F1146" s="10"/>
      <c r="G1146" s="10"/>
      <c r="H1146" s="770"/>
      <c r="I1146" s="10"/>
      <c r="J1146" s="10"/>
      <c r="K1146" s="10"/>
      <c r="L1146" s="10"/>
      <c r="M1146" s="770"/>
      <c r="N1146" s="10"/>
      <c r="O1146" s="10"/>
      <c r="P1146" s="10"/>
      <c r="Q1146" s="10"/>
      <c r="R1146" s="10"/>
      <c r="S1146" s="10"/>
    </row>
    <row r="1147" spans="1:19" x14ac:dyDescent="0.25">
      <c r="A1147" s="10"/>
      <c r="B1147" s="10"/>
      <c r="C1147" s="10"/>
      <c r="D1147" s="10"/>
      <c r="E1147" s="10"/>
      <c r="F1147" s="10"/>
      <c r="G1147" s="10"/>
      <c r="H1147" s="770"/>
      <c r="I1147" s="10"/>
      <c r="J1147" s="10"/>
      <c r="K1147" s="10"/>
      <c r="L1147" s="10"/>
      <c r="M1147" s="770"/>
      <c r="N1147" s="10"/>
      <c r="O1147" s="10"/>
      <c r="P1147" s="10"/>
      <c r="Q1147" s="10"/>
      <c r="R1147" s="10"/>
      <c r="S1147" s="10"/>
    </row>
    <row r="1148" spans="1:19" x14ac:dyDescent="0.25">
      <c r="A1148" s="10"/>
      <c r="B1148" s="10"/>
      <c r="C1148" s="10"/>
      <c r="D1148" s="10"/>
      <c r="E1148" s="10"/>
      <c r="F1148" s="10"/>
      <c r="G1148" s="10"/>
      <c r="H1148" s="770"/>
      <c r="I1148" s="10"/>
      <c r="J1148" s="10"/>
      <c r="K1148" s="10"/>
      <c r="L1148" s="10"/>
      <c r="M1148" s="770"/>
      <c r="N1148" s="10"/>
      <c r="O1148" s="10"/>
      <c r="P1148" s="10"/>
      <c r="Q1148" s="10"/>
      <c r="R1148" s="10"/>
      <c r="S1148" s="10"/>
    </row>
    <row r="1149" spans="1:19" x14ac:dyDescent="0.25">
      <c r="A1149" s="10"/>
      <c r="B1149" s="10"/>
      <c r="C1149" s="10"/>
      <c r="D1149" s="10"/>
      <c r="E1149" s="10"/>
      <c r="F1149" s="10"/>
      <c r="G1149" s="10"/>
      <c r="H1149" s="770"/>
      <c r="I1149" s="10"/>
      <c r="J1149" s="10"/>
      <c r="K1149" s="10"/>
      <c r="L1149" s="10"/>
      <c r="M1149" s="770"/>
      <c r="N1149" s="10"/>
      <c r="O1149" s="10"/>
      <c r="P1149" s="10"/>
      <c r="Q1149" s="10"/>
      <c r="R1149" s="10"/>
      <c r="S1149" s="10"/>
    </row>
    <row r="1150" spans="1:19" x14ac:dyDescent="0.25">
      <c r="A1150" s="10"/>
      <c r="B1150" s="10"/>
      <c r="C1150" s="10"/>
      <c r="D1150" s="10"/>
      <c r="E1150" s="10"/>
      <c r="F1150" s="10"/>
      <c r="G1150" s="10"/>
      <c r="H1150" s="770"/>
      <c r="I1150" s="10"/>
      <c r="J1150" s="10"/>
      <c r="K1150" s="10"/>
      <c r="L1150" s="10"/>
      <c r="M1150" s="770"/>
      <c r="N1150" s="10"/>
      <c r="O1150" s="10"/>
      <c r="P1150" s="10"/>
      <c r="Q1150" s="10"/>
      <c r="R1150" s="10"/>
      <c r="S1150" s="10"/>
    </row>
    <row r="1151" spans="1:19" x14ac:dyDescent="0.25">
      <c r="A1151" s="10"/>
      <c r="B1151" s="10"/>
      <c r="C1151" s="10"/>
      <c r="D1151" s="10"/>
      <c r="E1151" s="10"/>
      <c r="F1151" s="10"/>
      <c r="G1151" s="10"/>
      <c r="H1151" s="770"/>
      <c r="I1151" s="10"/>
      <c r="J1151" s="10"/>
      <c r="K1151" s="10"/>
      <c r="L1151" s="10"/>
      <c r="M1151" s="770"/>
      <c r="N1151" s="10"/>
      <c r="O1151" s="10"/>
      <c r="P1151" s="10"/>
      <c r="Q1151" s="10"/>
      <c r="R1151" s="10"/>
      <c r="S1151" s="10"/>
    </row>
    <row r="1152" spans="1:19" x14ac:dyDescent="0.25">
      <c r="A1152" s="10"/>
      <c r="B1152" s="10"/>
      <c r="C1152" s="10"/>
      <c r="D1152" s="10"/>
      <c r="E1152" s="10"/>
      <c r="F1152" s="10"/>
      <c r="G1152" s="10"/>
      <c r="H1152" s="770"/>
      <c r="I1152" s="10"/>
      <c r="J1152" s="10"/>
      <c r="K1152" s="10"/>
      <c r="L1152" s="10"/>
      <c r="M1152" s="770"/>
      <c r="N1152" s="10"/>
      <c r="O1152" s="10"/>
      <c r="P1152" s="10"/>
      <c r="Q1152" s="10"/>
      <c r="R1152" s="10"/>
      <c r="S1152" s="10"/>
    </row>
    <row r="1153" spans="1:19" x14ac:dyDescent="0.25">
      <c r="A1153" s="10"/>
      <c r="B1153" s="10"/>
      <c r="C1153" s="10"/>
      <c r="D1153" s="10"/>
      <c r="E1153" s="10"/>
      <c r="F1153" s="10"/>
      <c r="G1153" s="10"/>
      <c r="H1153" s="770"/>
      <c r="I1153" s="10"/>
      <c r="J1153" s="10"/>
      <c r="K1153" s="10"/>
      <c r="L1153" s="10"/>
      <c r="M1153" s="770"/>
      <c r="N1153" s="10"/>
      <c r="O1153" s="10"/>
      <c r="P1153" s="10"/>
      <c r="Q1153" s="10"/>
      <c r="R1153" s="10"/>
      <c r="S1153" s="10"/>
    </row>
    <row r="1154" spans="1:19" x14ac:dyDescent="0.25">
      <c r="A1154" s="10"/>
      <c r="B1154" s="10"/>
      <c r="C1154" s="10"/>
      <c r="D1154" s="10"/>
      <c r="E1154" s="10"/>
      <c r="F1154" s="10"/>
      <c r="G1154" s="10"/>
      <c r="H1154" s="770"/>
      <c r="I1154" s="10"/>
      <c r="J1154" s="10"/>
      <c r="K1154" s="10"/>
      <c r="L1154" s="10"/>
      <c r="M1154" s="770"/>
      <c r="N1154" s="10"/>
      <c r="O1154" s="10"/>
      <c r="P1154" s="10"/>
      <c r="Q1154" s="10"/>
      <c r="R1154" s="10"/>
      <c r="S1154" s="10"/>
    </row>
    <row r="1155" spans="1:19" x14ac:dyDescent="0.25">
      <c r="A1155" s="10"/>
      <c r="B1155" s="10"/>
      <c r="C1155" s="10"/>
      <c r="D1155" s="10"/>
      <c r="E1155" s="10"/>
      <c r="F1155" s="10"/>
      <c r="G1155" s="10"/>
      <c r="H1155" s="770"/>
      <c r="I1155" s="10"/>
      <c r="J1155" s="10"/>
      <c r="K1155" s="10"/>
      <c r="L1155" s="10"/>
      <c r="M1155" s="770"/>
      <c r="N1155" s="10"/>
      <c r="O1155" s="10"/>
      <c r="P1155" s="10"/>
      <c r="Q1155" s="10"/>
      <c r="R1155" s="10"/>
      <c r="S1155" s="10"/>
    </row>
    <row r="1156" spans="1:19" x14ac:dyDescent="0.25">
      <c r="A1156" s="10"/>
      <c r="B1156" s="10"/>
      <c r="C1156" s="10"/>
      <c r="D1156" s="10"/>
      <c r="E1156" s="10"/>
      <c r="F1156" s="10"/>
      <c r="G1156" s="10"/>
      <c r="H1156" s="770"/>
      <c r="I1156" s="10"/>
      <c r="J1156" s="10"/>
      <c r="K1156" s="10"/>
      <c r="L1156" s="10"/>
      <c r="M1156" s="770"/>
      <c r="N1156" s="10"/>
      <c r="O1156" s="10"/>
      <c r="P1156" s="10"/>
      <c r="Q1156" s="10"/>
      <c r="R1156" s="10"/>
      <c r="S1156" s="10"/>
    </row>
    <row r="1157" spans="1:19" x14ac:dyDescent="0.25">
      <c r="A1157" s="10"/>
      <c r="B1157" s="10"/>
      <c r="C1157" s="10"/>
      <c r="D1157" s="10"/>
      <c r="E1157" s="10"/>
      <c r="F1157" s="10"/>
      <c r="G1157" s="10"/>
      <c r="H1157" s="770"/>
      <c r="I1157" s="10"/>
      <c r="J1157" s="10"/>
      <c r="K1157" s="10"/>
      <c r="L1157" s="10"/>
      <c r="M1157" s="770"/>
      <c r="N1157" s="10"/>
      <c r="O1157" s="10"/>
      <c r="P1157" s="10"/>
      <c r="Q1157" s="10"/>
      <c r="R1157" s="10"/>
      <c r="S1157" s="10"/>
    </row>
    <row r="1158" spans="1:19" x14ac:dyDescent="0.25">
      <c r="A1158" s="10"/>
      <c r="B1158" s="10"/>
      <c r="C1158" s="10"/>
      <c r="D1158" s="10"/>
      <c r="E1158" s="10"/>
      <c r="F1158" s="10"/>
      <c r="G1158" s="10"/>
      <c r="H1158" s="770"/>
      <c r="I1158" s="10"/>
      <c r="J1158" s="10"/>
      <c r="K1158" s="10"/>
      <c r="L1158" s="10"/>
      <c r="M1158" s="770"/>
      <c r="N1158" s="10"/>
      <c r="O1158" s="10"/>
      <c r="P1158" s="10"/>
      <c r="Q1158" s="10"/>
      <c r="R1158" s="10"/>
      <c r="S1158" s="10"/>
    </row>
    <row r="1159" spans="1:19" x14ac:dyDescent="0.25">
      <c r="A1159" s="10"/>
      <c r="B1159" s="10"/>
      <c r="C1159" s="10"/>
      <c r="D1159" s="10"/>
      <c r="E1159" s="10"/>
      <c r="F1159" s="10"/>
      <c r="G1159" s="10"/>
      <c r="H1159" s="770"/>
      <c r="I1159" s="10"/>
      <c r="J1159" s="10"/>
      <c r="K1159" s="10"/>
      <c r="L1159" s="10"/>
      <c r="M1159" s="770"/>
      <c r="N1159" s="10"/>
      <c r="O1159" s="10"/>
      <c r="P1159" s="10"/>
      <c r="Q1159" s="10"/>
      <c r="R1159" s="10"/>
      <c r="S1159" s="10"/>
    </row>
    <row r="1160" spans="1:19" x14ac:dyDescent="0.25">
      <c r="A1160" s="10"/>
      <c r="B1160" s="10"/>
      <c r="C1160" s="10"/>
      <c r="D1160" s="10"/>
      <c r="E1160" s="10"/>
      <c r="F1160" s="10"/>
      <c r="G1160" s="10"/>
      <c r="H1160" s="770"/>
      <c r="I1160" s="10"/>
      <c r="J1160" s="10"/>
      <c r="K1160" s="10"/>
      <c r="L1160" s="10"/>
      <c r="M1160" s="770"/>
      <c r="N1160" s="10"/>
      <c r="O1160" s="10"/>
      <c r="P1160" s="10"/>
      <c r="Q1160" s="10"/>
      <c r="R1160" s="10"/>
      <c r="S1160" s="10"/>
    </row>
    <row r="1161" spans="1:19" x14ac:dyDescent="0.25">
      <c r="A1161" s="10"/>
      <c r="B1161" s="10"/>
      <c r="C1161" s="10"/>
      <c r="D1161" s="10"/>
      <c r="E1161" s="10"/>
      <c r="F1161" s="10"/>
      <c r="G1161" s="10"/>
      <c r="H1161" s="770"/>
      <c r="I1161" s="10"/>
      <c r="J1161" s="10"/>
      <c r="K1161" s="10"/>
      <c r="L1161" s="10"/>
      <c r="M1161" s="770"/>
      <c r="N1161" s="10"/>
      <c r="O1161" s="10"/>
      <c r="P1161" s="10"/>
      <c r="Q1161" s="10"/>
      <c r="R1161" s="10"/>
      <c r="S1161" s="10"/>
    </row>
    <row r="1162" spans="1:19" x14ac:dyDescent="0.25">
      <c r="A1162" s="10"/>
      <c r="B1162" s="10"/>
      <c r="C1162" s="10"/>
      <c r="D1162" s="10"/>
      <c r="E1162" s="10"/>
      <c r="F1162" s="10"/>
      <c r="G1162" s="10"/>
      <c r="H1162" s="770"/>
      <c r="I1162" s="10"/>
      <c r="J1162" s="10"/>
      <c r="K1162" s="10"/>
      <c r="L1162" s="10"/>
      <c r="M1162" s="770"/>
      <c r="N1162" s="10"/>
      <c r="O1162" s="10"/>
      <c r="P1162" s="10"/>
      <c r="Q1162" s="10"/>
      <c r="R1162" s="10"/>
      <c r="S1162" s="10"/>
    </row>
    <row r="1163" spans="1:19" x14ac:dyDescent="0.25">
      <c r="A1163" s="10"/>
      <c r="B1163" s="10"/>
      <c r="C1163" s="10"/>
      <c r="D1163" s="10"/>
      <c r="E1163" s="10"/>
      <c r="F1163" s="10"/>
      <c r="G1163" s="10"/>
      <c r="H1163" s="770"/>
      <c r="I1163" s="10"/>
      <c r="J1163" s="10"/>
      <c r="K1163" s="10"/>
      <c r="L1163" s="10"/>
      <c r="M1163" s="770"/>
      <c r="N1163" s="10"/>
      <c r="O1163" s="10"/>
      <c r="P1163" s="10"/>
      <c r="Q1163" s="10"/>
      <c r="R1163" s="10"/>
      <c r="S1163" s="10"/>
    </row>
    <row r="1164" spans="1:19" x14ac:dyDescent="0.25">
      <c r="A1164" s="10"/>
      <c r="B1164" s="10"/>
      <c r="C1164" s="10"/>
      <c r="D1164" s="10"/>
      <c r="E1164" s="10"/>
      <c r="F1164" s="10"/>
      <c r="G1164" s="10"/>
      <c r="H1164" s="770"/>
      <c r="I1164" s="10"/>
      <c r="J1164" s="10"/>
      <c r="K1164" s="10"/>
      <c r="L1164" s="10"/>
      <c r="M1164" s="770"/>
      <c r="N1164" s="10"/>
      <c r="O1164" s="10"/>
      <c r="P1164" s="10"/>
      <c r="Q1164" s="10"/>
      <c r="R1164" s="10"/>
      <c r="S1164" s="10"/>
    </row>
    <row r="1165" spans="1:19" x14ac:dyDescent="0.25">
      <c r="A1165" s="10"/>
      <c r="B1165" s="10"/>
      <c r="C1165" s="10"/>
      <c r="D1165" s="10"/>
      <c r="E1165" s="10"/>
      <c r="F1165" s="10"/>
      <c r="G1165" s="10"/>
      <c r="H1165" s="770"/>
      <c r="I1165" s="10"/>
      <c r="J1165" s="10"/>
      <c r="K1165" s="10"/>
      <c r="L1165" s="10"/>
      <c r="M1165" s="770"/>
      <c r="N1165" s="10"/>
      <c r="O1165" s="10"/>
      <c r="P1165" s="10"/>
      <c r="Q1165" s="10"/>
      <c r="R1165" s="10"/>
      <c r="S1165" s="10"/>
    </row>
    <row r="1166" spans="1:19" x14ac:dyDescent="0.25">
      <c r="A1166" s="10"/>
      <c r="B1166" s="10"/>
      <c r="C1166" s="10"/>
      <c r="D1166" s="10"/>
      <c r="E1166" s="10"/>
      <c r="F1166" s="10"/>
      <c r="G1166" s="10"/>
      <c r="H1166" s="770"/>
      <c r="I1166" s="10"/>
      <c r="J1166" s="10"/>
      <c r="K1166" s="10"/>
      <c r="L1166" s="10"/>
      <c r="M1166" s="770"/>
      <c r="N1166" s="10"/>
      <c r="O1166" s="10"/>
      <c r="P1166" s="10"/>
      <c r="Q1166" s="10"/>
      <c r="R1166" s="10"/>
      <c r="S1166" s="10"/>
    </row>
    <row r="1167" spans="1:19" x14ac:dyDescent="0.25">
      <c r="A1167" s="10"/>
      <c r="B1167" s="10"/>
      <c r="C1167" s="10"/>
      <c r="D1167" s="10"/>
      <c r="E1167" s="10"/>
      <c r="F1167" s="10"/>
      <c r="G1167" s="10"/>
      <c r="H1167" s="770"/>
      <c r="I1167" s="10"/>
      <c r="J1167" s="10"/>
      <c r="K1167" s="10"/>
      <c r="L1167" s="10"/>
      <c r="M1167" s="770"/>
      <c r="N1167" s="10"/>
      <c r="O1167" s="10"/>
      <c r="P1167" s="10"/>
      <c r="Q1167" s="10"/>
      <c r="R1167" s="10"/>
      <c r="S1167" s="10"/>
    </row>
    <row r="1168" spans="1:19" x14ac:dyDescent="0.25">
      <c r="A1168" s="10"/>
      <c r="B1168" s="10"/>
      <c r="C1168" s="10"/>
      <c r="D1168" s="10"/>
      <c r="E1168" s="10"/>
      <c r="F1168" s="10"/>
      <c r="G1168" s="10"/>
      <c r="H1168" s="770"/>
      <c r="I1168" s="10"/>
      <c r="J1168" s="10"/>
      <c r="K1168" s="10"/>
      <c r="L1168" s="10"/>
      <c r="M1168" s="770"/>
      <c r="N1168" s="10"/>
      <c r="O1168" s="10"/>
      <c r="P1168" s="10"/>
      <c r="Q1168" s="10"/>
      <c r="R1168" s="10"/>
      <c r="S1168" s="10"/>
    </row>
    <row r="1169" spans="1:19" x14ac:dyDescent="0.25">
      <c r="A1169" s="10"/>
      <c r="B1169" s="10"/>
      <c r="C1169" s="10"/>
      <c r="D1169" s="10"/>
      <c r="E1169" s="10"/>
      <c r="F1169" s="10"/>
      <c r="G1169" s="10"/>
      <c r="H1169" s="770"/>
      <c r="I1169" s="10"/>
      <c r="J1169" s="10"/>
      <c r="K1169" s="10"/>
      <c r="L1169" s="10"/>
      <c r="M1169" s="770"/>
      <c r="N1169" s="10"/>
      <c r="O1169" s="10"/>
      <c r="P1169" s="10"/>
      <c r="Q1169" s="10"/>
      <c r="R1169" s="10"/>
      <c r="S1169" s="10"/>
    </row>
    <row r="1170" spans="1:19" x14ac:dyDescent="0.25">
      <c r="A1170" s="10"/>
      <c r="B1170" s="10"/>
      <c r="C1170" s="10"/>
      <c r="D1170" s="10"/>
      <c r="E1170" s="10"/>
      <c r="F1170" s="10"/>
      <c r="G1170" s="10"/>
      <c r="H1170" s="770"/>
      <c r="I1170" s="10"/>
      <c r="J1170" s="10"/>
      <c r="K1170" s="10"/>
      <c r="L1170" s="10"/>
      <c r="M1170" s="770"/>
      <c r="N1170" s="10"/>
      <c r="O1170" s="10"/>
      <c r="P1170" s="10"/>
      <c r="Q1170" s="10"/>
      <c r="R1170" s="10"/>
      <c r="S1170" s="10"/>
    </row>
    <row r="1171" spans="1:19" x14ac:dyDescent="0.25">
      <c r="A1171" s="10"/>
      <c r="B1171" s="10"/>
      <c r="C1171" s="10"/>
      <c r="D1171" s="10"/>
      <c r="E1171" s="10"/>
      <c r="F1171" s="10"/>
      <c r="G1171" s="10"/>
      <c r="H1171" s="770"/>
      <c r="I1171" s="10"/>
      <c r="J1171" s="10"/>
      <c r="K1171" s="10"/>
      <c r="L1171" s="10"/>
      <c r="M1171" s="770"/>
      <c r="N1171" s="10"/>
      <c r="O1171" s="10"/>
      <c r="P1171" s="10"/>
      <c r="Q1171" s="10"/>
      <c r="R1171" s="10"/>
      <c r="S1171" s="10"/>
    </row>
    <row r="1172" spans="1:19" x14ac:dyDescent="0.25">
      <c r="A1172" s="10"/>
      <c r="B1172" s="10"/>
      <c r="C1172" s="10"/>
      <c r="D1172" s="10"/>
      <c r="E1172" s="10"/>
      <c r="F1172" s="10"/>
      <c r="G1172" s="10"/>
      <c r="H1172" s="770"/>
      <c r="I1172" s="10"/>
      <c r="J1172" s="10"/>
      <c r="K1172" s="10"/>
      <c r="L1172" s="10"/>
      <c r="M1172" s="770"/>
      <c r="N1172" s="10"/>
      <c r="O1172" s="10"/>
      <c r="P1172" s="10"/>
      <c r="Q1172" s="10"/>
      <c r="R1172" s="10"/>
      <c r="S1172" s="10"/>
    </row>
    <row r="1173" spans="1:19" x14ac:dyDescent="0.25">
      <c r="A1173" s="10"/>
      <c r="B1173" s="10"/>
      <c r="C1173" s="10"/>
      <c r="D1173" s="10"/>
      <c r="E1173" s="10"/>
      <c r="F1173" s="10"/>
      <c r="G1173" s="10"/>
      <c r="H1173" s="770"/>
      <c r="I1173" s="10"/>
      <c r="J1173" s="10"/>
      <c r="K1173" s="10"/>
      <c r="L1173" s="10"/>
      <c r="M1173" s="770"/>
      <c r="N1173" s="10"/>
      <c r="O1173" s="10"/>
      <c r="P1173" s="10"/>
      <c r="Q1173" s="10"/>
      <c r="R1173" s="10"/>
      <c r="S1173" s="10"/>
    </row>
    <row r="1174" spans="1:19" x14ac:dyDescent="0.25">
      <c r="A1174" s="10"/>
      <c r="B1174" s="10"/>
      <c r="C1174" s="10"/>
      <c r="D1174" s="10"/>
      <c r="E1174" s="10"/>
      <c r="F1174" s="10"/>
      <c r="G1174" s="10"/>
      <c r="H1174" s="770"/>
      <c r="I1174" s="10"/>
      <c r="J1174" s="10"/>
      <c r="K1174" s="10"/>
      <c r="L1174" s="10"/>
      <c r="M1174" s="770"/>
      <c r="N1174" s="10"/>
      <c r="O1174" s="10"/>
      <c r="P1174" s="10"/>
      <c r="Q1174" s="10"/>
      <c r="R1174" s="10"/>
      <c r="S1174" s="10"/>
    </row>
    <row r="1175" spans="1:19" x14ac:dyDescent="0.25">
      <c r="A1175" s="10"/>
      <c r="B1175" s="10"/>
      <c r="C1175" s="10"/>
      <c r="D1175" s="10"/>
      <c r="E1175" s="10"/>
      <c r="F1175" s="10"/>
      <c r="G1175" s="10"/>
      <c r="H1175" s="770"/>
      <c r="I1175" s="10"/>
      <c r="J1175" s="10"/>
      <c r="K1175" s="10"/>
      <c r="L1175" s="10"/>
      <c r="M1175" s="770"/>
      <c r="N1175" s="10"/>
      <c r="O1175" s="10"/>
      <c r="P1175" s="10"/>
      <c r="Q1175" s="10"/>
      <c r="R1175" s="10"/>
      <c r="S1175" s="10"/>
    </row>
    <row r="1176" spans="1:19" x14ac:dyDescent="0.25">
      <c r="A1176" s="10"/>
      <c r="B1176" s="10"/>
      <c r="C1176" s="10"/>
      <c r="D1176" s="10"/>
      <c r="E1176" s="10"/>
      <c r="F1176" s="10"/>
      <c r="G1176" s="10"/>
      <c r="H1176" s="770"/>
      <c r="I1176" s="10"/>
      <c r="J1176" s="10"/>
      <c r="K1176" s="10"/>
      <c r="L1176" s="10"/>
      <c r="M1176" s="770"/>
      <c r="N1176" s="10"/>
      <c r="O1176" s="10"/>
      <c r="P1176" s="10"/>
      <c r="Q1176" s="10"/>
      <c r="R1176" s="10"/>
      <c r="S1176" s="10"/>
    </row>
    <row r="1177" spans="1:19" x14ac:dyDescent="0.25">
      <c r="A1177" s="10"/>
      <c r="B1177" s="10"/>
      <c r="C1177" s="10"/>
      <c r="D1177" s="10"/>
      <c r="E1177" s="10"/>
      <c r="F1177" s="10"/>
      <c r="G1177" s="10"/>
      <c r="H1177" s="770"/>
      <c r="I1177" s="10"/>
      <c r="J1177" s="10"/>
      <c r="K1177" s="10"/>
      <c r="L1177" s="10"/>
      <c r="M1177" s="770"/>
      <c r="N1177" s="10"/>
      <c r="O1177" s="10"/>
      <c r="P1177" s="10"/>
      <c r="Q1177" s="10"/>
      <c r="R1177" s="10"/>
      <c r="S1177" s="10"/>
    </row>
    <row r="1178" spans="1:19" x14ac:dyDescent="0.25">
      <c r="A1178" s="10"/>
      <c r="B1178" s="10"/>
      <c r="C1178" s="10"/>
      <c r="D1178" s="10"/>
      <c r="E1178" s="10"/>
      <c r="F1178" s="10"/>
      <c r="G1178" s="10"/>
      <c r="H1178" s="770"/>
      <c r="I1178" s="10"/>
      <c r="J1178" s="10"/>
      <c r="K1178" s="10"/>
      <c r="L1178" s="10"/>
      <c r="M1178" s="770"/>
      <c r="N1178" s="10"/>
      <c r="O1178" s="10"/>
      <c r="P1178" s="10"/>
      <c r="Q1178" s="10"/>
      <c r="R1178" s="10"/>
      <c r="S1178" s="10"/>
    </row>
    <row r="1179" spans="1:19" x14ac:dyDescent="0.25">
      <c r="A1179" s="10"/>
      <c r="B1179" s="10"/>
      <c r="C1179" s="10"/>
      <c r="D1179" s="10"/>
      <c r="E1179" s="10"/>
      <c r="F1179" s="10"/>
      <c r="G1179" s="10"/>
      <c r="H1179" s="770"/>
      <c r="I1179" s="10"/>
      <c r="J1179" s="10"/>
      <c r="K1179" s="10"/>
      <c r="L1179" s="10"/>
      <c r="M1179" s="770"/>
      <c r="N1179" s="10"/>
      <c r="O1179" s="10"/>
      <c r="P1179" s="10"/>
      <c r="Q1179" s="10"/>
      <c r="R1179" s="10"/>
      <c r="S1179" s="10"/>
    </row>
    <row r="1180" spans="1:19" x14ac:dyDescent="0.25">
      <c r="A1180" s="10"/>
      <c r="B1180" s="10"/>
      <c r="C1180" s="10"/>
      <c r="D1180" s="10"/>
      <c r="E1180" s="10"/>
      <c r="F1180" s="10"/>
      <c r="G1180" s="10"/>
      <c r="H1180" s="770"/>
      <c r="I1180" s="10"/>
      <c r="J1180" s="10"/>
      <c r="K1180" s="10"/>
      <c r="L1180" s="10"/>
      <c r="M1180" s="770"/>
      <c r="N1180" s="10"/>
      <c r="O1180" s="10"/>
      <c r="P1180" s="10"/>
      <c r="Q1180" s="10"/>
      <c r="R1180" s="10"/>
      <c r="S1180" s="10"/>
    </row>
    <row r="1181" spans="1:19" x14ac:dyDescent="0.25">
      <c r="A1181" s="10"/>
      <c r="B1181" s="10"/>
      <c r="C1181" s="10"/>
      <c r="D1181" s="10"/>
      <c r="E1181" s="10"/>
      <c r="F1181" s="10"/>
      <c r="G1181" s="10"/>
      <c r="H1181" s="770"/>
      <c r="I1181" s="10"/>
      <c r="J1181" s="10"/>
      <c r="K1181" s="10"/>
      <c r="L1181" s="10"/>
      <c r="M1181" s="770"/>
      <c r="N1181" s="10"/>
      <c r="O1181" s="10"/>
      <c r="P1181" s="10"/>
      <c r="Q1181" s="10"/>
      <c r="R1181" s="10"/>
      <c r="S1181" s="10"/>
    </row>
    <row r="1182" spans="1:19" x14ac:dyDescent="0.25">
      <c r="A1182" s="10"/>
      <c r="B1182" s="10"/>
      <c r="C1182" s="10"/>
      <c r="D1182" s="10"/>
      <c r="E1182" s="10"/>
      <c r="F1182" s="10"/>
      <c r="G1182" s="10"/>
      <c r="H1182" s="770"/>
      <c r="I1182" s="10"/>
      <c r="J1182" s="10"/>
      <c r="K1182" s="10"/>
      <c r="L1182" s="10"/>
      <c r="M1182" s="770"/>
      <c r="N1182" s="10"/>
      <c r="O1182" s="10"/>
      <c r="P1182" s="10"/>
      <c r="Q1182" s="10"/>
      <c r="R1182" s="10"/>
      <c r="S1182" s="10"/>
    </row>
    <row r="1183" spans="1:19" x14ac:dyDescent="0.25">
      <c r="A1183" s="10"/>
      <c r="B1183" s="10"/>
      <c r="C1183" s="10"/>
      <c r="D1183" s="10"/>
      <c r="E1183" s="10"/>
      <c r="F1183" s="10"/>
      <c r="G1183" s="10"/>
      <c r="H1183" s="770"/>
      <c r="I1183" s="10"/>
      <c r="J1183" s="10"/>
      <c r="K1183" s="10"/>
      <c r="L1183" s="10"/>
      <c r="M1183" s="770"/>
      <c r="N1183" s="10"/>
      <c r="O1183" s="10"/>
      <c r="P1183" s="10"/>
      <c r="Q1183" s="10"/>
      <c r="R1183" s="10"/>
      <c r="S1183" s="10"/>
    </row>
    <row r="1184" spans="1:19" x14ac:dyDescent="0.25">
      <c r="A1184" s="10"/>
      <c r="B1184" s="10"/>
      <c r="C1184" s="10"/>
      <c r="D1184" s="10"/>
      <c r="E1184" s="10"/>
      <c r="F1184" s="10"/>
      <c r="G1184" s="10"/>
      <c r="H1184" s="770"/>
      <c r="I1184" s="10"/>
      <c r="J1184" s="10"/>
      <c r="K1184" s="10"/>
      <c r="L1184" s="10"/>
      <c r="M1184" s="770"/>
      <c r="N1184" s="10"/>
      <c r="O1184" s="10"/>
      <c r="P1184" s="10"/>
      <c r="Q1184" s="10"/>
      <c r="R1184" s="10"/>
      <c r="S1184" s="10"/>
    </row>
    <row r="1185" spans="1:19" x14ac:dyDescent="0.25">
      <c r="A1185" s="10"/>
      <c r="B1185" s="10"/>
      <c r="C1185" s="10"/>
      <c r="D1185" s="10"/>
      <c r="E1185" s="10"/>
      <c r="F1185" s="10"/>
      <c r="G1185" s="10"/>
      <c r="H1185" s="770"/>
      <c r="I1185" s="10"/>
      <c r="J1185" s="10"/>
      <c r="K1185" s="10"/>
      <c r="L1185" s="10"/>
      <c r="M1185" s="770"/>
      <c r="N1185" s="10"/>
      <c r="O1185" s="10"/>
      <c r="P1185" s="10"/>
      <c r="Q1185" s="10"/>
      <c r="R1185" s="10"/>
      <c r="S1185" s="10"/>
    </row>
    <row r="1186" spans="1:19" x14ac:dyDescent="0.25">
      <c r="A1186" s="10"/>
      <c r="B1186" s="10"/>
      <c r="C1186" s="10"/>
      <c r="D1186" s="10"/>
      <c r="E1186" s="10"/>
      <c r="F1186" s="10"/>
      <c r="G1186" s="10"/>
      <c r="H1186" s="770"/>
      <c r="I1186" s="10"/>
      <c r="J1186" s="10"/>
      <c r="K1186" s="10"/>
      <c r="L1186" s="10"/>
      <c r="M1186" s="770"/>
      <c r="N1186" s="10"/>
      <c r="O1186" s="10"/>
      <c r="P1186" s="10"/>
      <c r="Q1186" s="10"/>
      <c r="R1186" s="10"/>
      <c r="S1186" s="10"/>
    </row>
    <row r="1187" spans="1:19" x14ac:dyDescent="0.25">
      <c r="A1187" s="10"/>
      <c r="B1187" s="10"/>
      <c r="C1187" s="10"/>
      <c r="D1187" s="10"/>
      <c r="E1187" s="10"/>
      <c r="F1187" s="10"/>
      <c r="G1187" s="10"/>
      <c r="H1187" s="770"/>
      <c r="I1187" s="10"/>
      <c r="J1187" s="10"/>
      <c r="K1187" s="10"/>
      <c r="L1187" s="10"/>
      <c r="M1187" s="770"/>
      <c r="N1187" s="10"/>
      <c r="O1187" s="10"/>
      <c r="P1187" s="10"/>
      <c r="Q1187" s="10"/>
      <c r="R1187" s="10"/>
      <c r="S1187" s="10"/>
    </row>
    <row r="1188" spans="1:19" x14ac:dyDescent="0.25">
      <c r="A1188" s="10"/>
      <c r="B1188" s="10"/>
      <c r="C1188" s="10"/>
      <c r="D1188" s="10"/>
      <c r="E1188" s="10"/>
      <c r="F1188" s="10"/>
      <c r="G1188" s="10"/>
      <c r="H1188" s="770"/>
      <c r="I1188" s="10"/>
      <c r="J1188" s="10"/>
      <c r="K1188" s="10"/>
      <c r="L1188" s="10"/>
      <c r="M1188" s="770"/>
      <c r="N1188" s="10"/>
      <c r="O1188" s="10"/>
      <c r="P1188" s="10"/>
      <c r="Q1188" s="10"/>
      <c r="R1188" s="10"/>
      <c r="S1188" s="10"/>
    </row>
    <row r="1189" spans="1:19" x14ac:dyDescent="0.25">
      <c r="A1189" s="10"/>
      <c r="B1189" s="10"/>
      <c r="C1189" s="10"/>
      <c r="D1189" s="10"/>
      <c r="E1189" s="10"/>
      <c r="F1189" s="10"/>
      <c r="G1189" s="10"/>
      <c r="H1189" s="770"/>
      <c r="I1189" s="10"/>
      <c r="J1189" s="10"/>
      <c r="K1189" s="10"/>
      <c r="L1189" s="10"/>
      <c r="M1189" s="770"/>
      <c r="N1189" s="10"/>
      <c r="O1189" s="10"/>
      <c r="P1189" s="10"/>
      <c r="Q1189" s="10"/>
      <c r="R1189" s="10"/>
      <c r="S1189" s="10"/>
    </row>
    <row r="1190" spans="1:19" x14ac:dyDescent="0.25">
      <c r="A1190" s="10"/>
      <c r="B1190" s="10"/>
      <c r="C1190" s="10"/>
      <c r="D1190" s="10"/>
      <c r="E1190" s="10"/>
      <c r="F1190" s="10"/>
      <c r="G1190" s="10"/>
      <c r="H1190" s="770"/>
      <c r="I1190" s="10"/>
      <c r="J1190" s="10"/>
      <c r="K1190" s="10"/>
      <c r="L1190" s="10"/>
      <c r="M1190" s="770"/>
      <c r="N1190" s="10"/>
      <c r="O1190" s="10"/>
      <c r="P1190" s="10"/>
      <c r="Q1190" s="10"/>
      <c r="R1190" s="10"/>
      <c r="S1190" s="10"/>
    </row>
    <row r="1191" spans="1:19" x14ac:dyDescent="0.25">
      <c r="A1191" s="10"/>
      <c r="B1191" s="10"/>
      <c r="C1191" s="10"/>
      <c r="D1191" s="10"/>
      <c r="E1191" s="10"/>
      <c r="F1191" s="10"/>
      <c r="G1191" s="10"/>
      <c r="H1191" s="770"/>
      <c r="I1191" s="10"/>
      <c r="J1191" s="10"/>
      <c r="K1191" s="10"/>
      <c r="L1191" s="10"/>
      <c r="M1191" s="770"/>
      <c r="N1191" s="10"/>
      <c r="O1191" s="10"/>
      <c r="P1191" s="10"/>
      <c r="Q1191" s="10"/>
      <c r="R1191" s="10"/>
      <c r="S1191" s="10"/>
    </row>
    <row r="1192" spans="1:19" x14ac:dyDescent="0.25">
      <c r="A1192" s="10"/>
      <c r="B1192" s="10"/>
      <c r="C1192" s="10"/>
      <c r="D1192" s="10"/>
      <c r="E1192" s="10"/>
      <c r="F1192" s="10"/>
      <c r="G1192" s="10"/>
      <c r="H1192" s="770"/>
      <c r="I1192" s="10"/>
      <c r="J1192" s="10"/>
      <c r="K1192" s="10"/>
      <c r="L1192" s="10"/>
      <c r="M1192" s="770"/>
      <c r="N1192" s="10"/>
      <c r="O1192" s="10"/>
      <c r="P1192" s="10"/>
      <c r="Q1192" s="10"/>
      <c r="R1192" s="10"/>
      <c r="S1192" s="10"/>
    </row>
    <row r="1193" spans="1:19" x14ac:dyDescent="0.25">
      <c r="A1193" s="10"/>
      <c r="B1193" s="10"/>
      <c r="C1193" s="10"/>
      <c r="D1193" s="10"/>
      <c r="E1193" s="10"/>
      <c r="F1193" s="10"/>
      <c r="G1193" s="10"/>
      <c r="H1193" s="770"/>
      <c r="I1193" s="10"/>
      <c r="J1193" s="10"/>
      <c r="K1193" s="10"/>
      <c r="L1193" s="10"/>
      <c r="M1193" s="770"/>
      <c r="N1193" s="10"/>
      <c r="O1193" s="10"/>
      <c r="P1193" s="10"/>
      <c r="Q1193" s="10"/>
      <c r="R1193" s="10"/>
      <c r="S1193" s="10"/>
    </row>
    <row r="1194" spans="1:19" x14ac:dyDescent="0.25">
      <c r="A1194" s="10"/>
      <c r="B1194" s="10"/>
      <c r="C1194" s="10"/>
      <c r="D1194" s="10"/>
      <c r="E1194" s="10"/>
      <c r="F1194" s="10"/>
      <c r="G1194" s="10"/>
      <c r="H1194" s="770"/>
      <c r="I1194" s="10"/>
      <c r="J1194" s="10"/>
      <c r="K1194" s="10"/>
      <c r="L1194" s="10"/>
      <c r="M1194" s="770"/>
      <c r="N1194" s="10"/>
      <c r="O1194" s="10"/>
      <c r="P1194" s="10"/>
      <c r="Q1194" s="10"/>
      <c r="R1194" s="10"/>
      <c r="S1194" s="10"/>
    </row>
    <row r="1195" spans="1:19" x14ac:dyDescent="0.25">
      <c r="A1195" s="10"/>
      <c r="B1195" s="10"/>
      <c r="C1195" s="10"/>
      <c r="D1195" s="10"/>
      <c r="E1195" s="10"/>
      <c r="F1195" s="10"/>
      <c r="G1195" s="10"/>
      <c r="H1195" s="770"/>
      <c r="I1195" s="10"/>
      <c r="J1195" s="10"/>
      <c r="K1195" s="10"/>
      <c r="L1195" s="10"/>
      <c r="M1195" s="770"/>
      <c r="N1195" s="10"/>
      <c r="O1195" s="10"/>
      <c r="P1195" s="10"/>
      <c r="Q1195" s="10"/>
      <c r="R1195" s="10"/>
      <c r="S1195" s="10"/>
    </row>
    <row r="1196" spans="1:19" x14ac:dyDescent="0.25">
      <c r="A1196" s="10"/>
      <c r="B1196" s="10"/>
      <c r="C1196" s="10"/>
      <c r="D1196" s="10"/>
      <c r="E1196" s="10"/>
      <c r="F1196" s="10"/>
      <c r="G1196" s="10"/>
      <c r="H1196" s="770"/>
      <c r="I1196" s="10"/>
      <c r="J1196" s="10"/>
      <c r="K1196" s="10"/>
      <c r="L1196" s="10"/>
      <c r="M1196" s="770"/>
      <c r="N1196" s="10"/>
      <c r="O1196" s="10"/>
      <c r="P1196" s="10"/>
      <c r="Q1196" s="10"/>
      <c r="R1196" s="10"/>
      <c r="S1196" s="10"/>
    </row>
    <row r="1197" spans="1:19" x14ac:dyDescent="0.25">
      <c r="A1197" s="10"/>
      <c r="B1197" s="10"/>
      <c r="C1197" s="10"/>
      <c r="D1197" s="10"/>
      <c r="E1197" s="10"/>
      <c r="F1197" s="10"/>
      <c r="G1197" s="10"/>
      <c r="H1197" s="770"/>
      <c r="I1197" s="10"/>
      <c r="J1197" s="10"/>
      <c r="K1197" s="10"/>
      <c r="L1197" s="10"/>
      <c r="M1197" s="770"/>
      <c r="N1197" s="10"/>
      <c r="O1197" s="10"/>
      <c r="P1197" s="10"/>
      <c r="Q1197" s="10"/>
      <c r="R1197" s="10"/>
      <c r="S1197" s="10"/>
    </row>
    <row r="1198" spans="1:19" x14ac:dyDescent="0.25">
      <c r="A1198" s="10"/>
      <c r="B1198" s="10"/>
      <c r="C1198" s="10"/>
      <c r="D1198" s="10"/>
      <c r="E1198" s="10"/>
      <c r="F1198" s="10"/>
      <c r="G1198" s="10"/>
      <c r="H1198" s="770"/>
      <c r="I1198" s="10"/>
      <c r="J1198" s="10"/>
      <c r="K1198" s="10"/>
      <c r="L1198" s="10"/>
      <c r="M1198" s="770"/>
      <c r="N1198" s="10"/>
      <c r="O1198" s="10"/>
      <c r="P1198" s="10"/>
      <c r="Q1198" s="10"/>
      <c r="R1198" s="10"/>
      <c r="S1198" s="10"/>
    </row>
    <row r="1199" spans="1:19" x14ac:dyDescent="0.25">
      <c r="A1199" s="10"/>
      <c r="B1199" s="10"/>
      <c r="C1199" s="10"/>
      <c r="D1199" s="10"/>
      <c r="E1199" s="10"/>
      <c r="F1199" s="10"/>
      <c r="G1199" s="10"/>
      <c r="H1199" s="770"/>
      <c r="I1199" s="10"/>
      <c r="J1199" s="10"/>
      <c r="K1199" s="10"/>
      <c r="L1199" s="10"/>
      <c r="M1199" s="770"/>
      <c r="N1199" s="10"/>
      <c r="O1199" s="10"/>
      <c r="P1199" s="10"/>
      <c r="Q1199" s="10"/>
      <c r="R1199" s="10"/>
      <c r="S1199" s="10"/>
    </row>
    <row r="1200" spans="1:19" x14ac:dyDescent="0.25">
      <c r="A1200" s="10"/>
      <c r="B1200" s="10"/>
      <c r="C1200" s="10"/>
      <c r="D1200" s="10"/>
      <c r="E1200" s="10"/>
      <c r="F1200" s="10"/>
      <c r="G1200" s="10"/>
      <c r="H1200" s="770"/>
      <c r="I1200" s="10"/>
      <c r="J1200" s="10"/>
      <c r="K1200" s="10"/>
      <c r="L1200" s="10"/>
      <c r="M1200" s="770"/>
      <c r="N1200" s="10"/>
      <c r="O1200" s="10"/>
      <c r="P1200" s="10"/>
      <c r="Q1200" s="10"/>
      <c r="R1200" s="10"/>
      <c r="S1200" s="10"/>
    </row>
    <row r="1201" spans="1:19" x14ac:dyDescent="0.25">
      <c r="A1201" s="10"/>
      <c r="B1201" s="10"/>
      <c r="C1201" s="10"/>
      <c r="D1201" s="10"/>
      <c r="E1201" s="10"/>
      <c r="F1201" s="10"/>
      <c r="G1201" s="10"/>
      <c r="H1201" s="770"/>
      <c r="I1201" s="10"/>
      <c r="J1201" s="10"/>
      <c r="K1201" s="10"/>
      <c r="L1201" s="10"/>
      <c r="M1201" s="770"/>
      <c r="N1201" s="10"/>
      <c r="O1201" s="10"/>
      <c r="P1201" s="10"/>
      <c r="Q1201" s="10"/>
      <c r="R1201" s="10"/>
      <c r="S1201" s="10"/>
    </row>
    <row r="1202" spans="1:19" x14ac:dyDescent="0.25">
      <c r="A1202" s="10"/>
      <c r="B1202" s="10"/>
      <c r="C1202" s="10"/>
      <c r="D1202" s="10"/>
      <c r="E1202" s="10"/>
      <c r="F1202" s="10"/>
      <c r="G1202" s="10"/>
      <c r="H1202" s="770"/>
      <c r="I1202" s="10"/>
      <c r="J1202" s="10"/>
      <c r="K1202" s="10"/>
      <c r="L1202" s="10"/>
      <c r="M1202" s="770"/>
      <c r="N1202" s="10"/>
      <c r="O1202" s="10"/>
      <c r="P1202" s="10"/>
      <c r="Q1202" s="10"/>
      <c r="R1202" s="10"/>
      <c r="S1202" s="10"/>
    </row>
    <row r="1203" spans="1:19" x14ac:dyDescent="0.25">
      <c r="A1203" s="10"/>
      <c r="B1203" s="10"/>
      <c r="C1203" s="10"/>
      <c r="D1203" s="10"/>
      <c r="E1203" s="10"/>
      <c r="F1203" s="10"/>
      <c r="G1203" s="10"/>
      <c r="H1203" s="770"/>
      <c r="I1203" s="10"/>
      <c r="J1203" s="10"/>
      <c r="K1203" s="10"/>
      <c r="L1203" s="10"/>
      <c r="M1203" s="770"/>
      <c r="N1203" s="10"/>
      <c r="O1203" s="10"/>
      <c r="P1203" s="10"/>
      <c r="Q1203" s="10"/>
      <c r="R1203" s="10"/>
      <c r="S1203" s="10"/>
    </row>
    <row r="1204" spans="1:19" x14ac:dyDescent="0.25">
      <c r="A1204" s="10"/>
      <c r="B1204" s="10"/>
      <c r="C1204" s="10"/>
      <c r="D1204" s="10"/>
      <c r="E1204" s="10"/>
      <c r="F1204" s="10"/>
      <c r="G1204" s="10"/>
      <c r="H1204" s="770"/>
      <c r="I1204" s="10"/>
      <c r="J1204" s="10"/>
      <c r="K1204" s="10"/>
      <c r="L1204" s="10"/>
      <c r="M1204" s="770"/>
      <c r="N1204" s="10"/>
      <c r="O1204" s="10"/>
      <c r="P1204" s="10"/>
      <c r="Q1204" s="10"/>
      <c r="R1204" s="10"/>
      <c r="S1204" s="10"/>
    </row>
    <row r="1205" spans="1:19" x14ac:dyDescent="0.25">
      <c r="A1205" s="10"/>
      <c r="B1205" s="10"/>
      <c r="C1205" s="10"/>
      <c r="D1205" s="10"/>
      <c r="E1205" s="10"/>
      <c r="F1205" s="10"/>
      <c r="G1205" s="10"/>
      <c r="H1205" s="770"/>
      <c r="I1205" s="10"/>
      <c r="J1205" s="10"/>
      <c r="K1205" s="10"/>
      <c r="L1205" s="10"/>
      <c r="M1205" s="770"/>
      <c r="N1205" s="10"/>
      <c r="O1205" s="10"/>
      <c r="P1205" s="10"/>
      <c r="Q1205" s="10"/>
      <c r="R1205" s="10"/>
      <c r="S1205" s="10"/>
    </row>
    <row r="1206" spans="1:19" x14ac:dyDescent="0.25">
      <c r="A1206" s="10"/>
      <c r="B1206" s="10"/>
      <c r="C1206" s="10"/>
      <c r="D1206" s="10"/>
      <c r="E1206" s="10"/>
      <c r="F1206" s="10"/>
      <c r="G1206" s="10"/>
      <c r="H1206" s="770"/>
      <c r="I1206" s="10"/>
      <c r="J1206" s="10"/>
      <c r="K1206" s="10"/>
      <c r="L1206" s="10"/>
      <c r="M1206" s="770"/>
      <c r="N1206" s="10"/>
      <c r="O1206" s="10"/>
      <c r="P1206" s="10"/>
      <c r="Q1206" s="10"/>
      <c r="R1206" s="10"/>
      <c r="S1206" s="10"/>
    </row>
    <row r="1207" spans="1:19" x14ac:dyDescent="0.25">
      <c r="A1207" s="10"/>
      <c r="B1207" s="10"/>
      <c r="C1207" s="10"/>
      <c r="D1207" s="10"/>
      <c r="E1207" s="10"/>
      <c r="F1207" s="10"/>
      <c r="G1207" s="10"/>
      <c r="H1207" s="770"/>
      <c r="I1207" s="10"/>
      <c r="J1207" s="10"/>
      <c r="K1207" s="10"/>
      <c r="L1207" s="10"/>
      <c r="M1207" s="770"/>
      <c r="N1207" s="10"/>
      <c r="O1207" s="10"/>
      <c r="P1207" s="10"/>
      <c r="Q1207" s="10"/>
      <c r="R1207" s="10"/>
      <c r="S1207" s="10"/>
    </row>
    <row r="1208" spans="1:19" x14ac:dyDescent="0.25">
      <c r="A1208" s="10"/>
      <c r="B1208" s="10"/>
      <c r="C1208" s="10"/>
      <c r="D1208" s="10"/>
      <c r="E1208" s="10"/>
      <c r="F1208" s="10"/>
      <c r="G1208" s="10"/>
      <c r="H1208" s="770"/>
      <c r="I1208" s="10"/>
      <c r="J1208" s="10"/>
      <c r="K1208" s="10"/>
      <c r="L1208" s="10"/>
      <c r="M1208" s="770"/>
      <c r="N1208" s="10"/>
      <c r="O1208" s="10"/>
      <c r="P1208" s="10"/>
      <c r="Q1208" s="10"/>
      <c r="R1208" s="10"/>
      <c r="S1208" s="10"/>
    </row>
    <row r="1209" spans="1:19" x14ac:dyDescent="0.25">
      <c r="A1209" s="10"/>
      <c r="B1209" s="10"/>
      <c r="C1209" s="10"/>
      <c r="D1209" s="10"/>
      <c r="E1209" s="10"/>
      <c r="F1209" s="10"/>
      <c r="G1209" s="10"/>
      <c r="H1209" s="770"/>
      <c r="I1209" s="10"/>
      <c r="J1209" s="10"/>
      <c r="K1209" s="10"/>
      <c r="L1209" s="10"/>
      <c r="M1209" s="770"/>
      <c r="N1209" s="10"/>
      <c r="O1209" s="10"/>
      <c r="P1209" s="10"/>
      <c r="Q1209" s="10"/>
      <c r="R1209" s="10"/>
      <c r="S1209" s="10"/>
    </row>
    <row r="1210" spans="1:19" x14ac:dyDescent="0.25">
      <c r="A1210" s="10"/>
      <c r="B1210" s="10"/>
      <c r="C1210" s="10"/>
      <c r="D1210" s="10"/>
      <c r="E1210" s="10"/>
      <c r="F1210" s="10"/>
      <c r="G1210" s="10"/>
      <c r="H1210" s="770"/>
      <c r="I1210" s="10"/>
      <c r="J1210" s="10"/>
      <c r="K1210" s="10"/>
      <c r="L1210" s="10"/>
      <c r="M1210" s="770"/>
      <c r="N1210" s="10"/>
      <c r="O1210" s="10"/>
      <c r="P1210" s="10"/>
      <c r="Q1210" s="10"/>
      <c r="R1210" s="10"/>
      <c r="S1210" s="10"/>
    </row>
    <row r="1211" spans="1:19" x14ac:dyDescent="0.25">
      <c r="A1211" s="10"/>
      <c r="B1211" s="10"/>
      <c r="C1211" s="10"/>
      <c r="D1211" s="10"/>
      <c r="E1211" s="10"/>
      <c r="F1211" s="10"/>
      <c r="G1211" s="10"/>
      <c r="H1211" s="770"/>
      <c r="I1211" s="10"/>
      <c r="J1211" s="10"/>
      <c r="K1211" s="10"/>
      <c r="L1211" s="10"/>
      <c r="M1211" s="770"/>
      <c r="N1211" s="10"/>
      <c r="O1211" s="10"/>
      <c r="P1211" s="10"/>
      <c r="Q1211" s="10"/>
      <c r="R1211" s="10"/>
      <c r="S1211" s="10"/>
    </row>
    <row r="1212" spans="1:19" x14ac:dyDescent="0.25">
      <c r="A1212" s="10"/>
      <c r="B1212" s="10"/>
      <c r="C1212" s="10"/>
      <c r="D1212" s="10"/>
      <c r="E1212" s="10"/>
      <c r="F1212" s="10"/>
      <c r="G1212" s="10"/>
      <c r="H1212" s="770"/>
      <c r="I1212" s="10"/>
      <c r="J1212" s="10"/>
      <c r="K1212" s="10"/>
      <c r="L1212" s="10"/>
      <c r="M1212" s="770"/>
      <c r="N1212" s="10"/>
      <c r="O1212" s="10"/>
      <c r="P1212" s="10"/>
      <c r="Q1212" s="10"/>
      <c r="R1212" s="10"/>
      <c r="S1212" s="10"/>
    </row>
    <row r="1213" spans="1:19" x14ac:dyDescent="0.25">
      <c r="A1213" s="10"/>
      <c r="B1213" s="10"/>
      <c r="C1213" s="10"/>
      <c r="D1213" s="10"/>
      <c r="E1213" s="10"/>
      <c r="F1213" s="10"/>
      <c r="G1213" s="10"/>
      <c r="H1213" s="770"/>
      <c r="I1213" s="10"/>
      <c r="J1213" s="10"/>
      <c r="K1213" s="10"/>
      <c r="L1213" s="10"/>
      <c r="M1213" s="770"/>
      <c r="N1213" s="10"/>
      <c r="O1213" s="10"/>
      <c r="P1213" s="10"/>
      <c r="Q1213" s="10"/>
      <c r="R1213" s="10"/>
      <c r="S1213" s="10"/>
    </row>
    <row r="1214" spans="1:19" x14ac:dyDescent="0.25">
      <c r="A1214" s="10"/>
      <c r="B1214" s="10"/>
      <c r="C1214" s="10"/>
      <c r="D1214" s="10"/>
      <c r="E1214" s="10"/>
      <c r="F1214" s="10"/>
      <c r="G1214" s="10"/>
      <c r="H1214" s="770"/>
      <c r="I1214" s="10"/>
      <c r="J1214" s="10"/>
      <c r="K1214" s="10"/>
      <c r="L1214" s="10"/>
      <c r="M1214" s="770"/>
      <c r="N1214" s="10"/>
      <c r="O1214" s="10"/>
      <c r="P1214" s="10"/>
      <c r="Q1214" s="10"/>
      <c r="R1214" s="10"/>
      <c r="S1214" s="10"/>
    </row>
    <row r="1215" spans="1:19" x14ac:dyDescent="0.25">
      <c r="A1215" s="10"/>
      <c r="B1215" s="10"/>
      <c r="C1215" s="10"/>
      <c r="D1215" s="10"/>
      <c r="E1215" s="10"/>
      <c r="F1215" s="10"/>
      <c r="G1215" s="10"/>
      <c r="H1215" s="770"/>
      <c r="I1215" s="10"/>
      <c r="J1215" s="10"/>
      <c r="K1215" s="10"/>
      <c r="L1215" s="10"/>
      <c r="M1215" s="770"/>
      <c r="N1215" s="10"/>
      <c r="O1215" s="10"/>
      <c r="P1215" s="10"/>
      <c r="Q1215" s="10"/>
      <c r="R1215" s="10"/>
      <c r="S1215" s="10"/>
    </row>
    <row r="1216" spans="1:19" x14ac:dyDescent="0.25">
      <c r="A1216" s="10"/>
      <c r="B1216" s="10"/>
      <c r="C1216" s="10"/>
      <c r="D1216" s="10"/>
      <c r="E1216" s="10"/>
      <c r="F1216" s="10"/>
      <c r="G1216" s="10"/>
      <c r="H1216" s="770"/>
      <c r="I1216" s="10"/>
      <c r="J1216" s="10"/>
      <c r="K1216" s="10"/>
      <c r="L1216" s="10"/>
      <c r="M1216" s="770"/>
      <c r="N1216" s="10"/>
      <c r="O1216" s="10"/>
      <c r="P1216" s="10"/>
      <c r="Q1216" s="10"/>
      <c r="R1216" s="10"/>
      <c r="S1216" s="10"/>
    </row>
    <row r="1217" spans="1:19" x14ac:dyDescent="0.25">
      <c r="A1217" s="10"/>
      <c r="B1217" s="10"/>
      <c r="C1217" s="10"/>
      <c r="D1217" s="10"/>
      <c r="E1217" s="10"/>
      <c r="F1217" s="10"/>
      <c r="G1217" s="10"/>
      <c r="H1217" s="770"/>
      <c r="I1217" s="10"/>
      <c r="J1217" s="10"/>
      <c r="K1217" s="10"/>
      <c r="L1217" s="10"/>
      <c r="M1217" s="770"/>
      <c r="N1217" s="10"/>
      <c r="O1217" s="10"/>
      <c r="P1217" s="10"/>
      <c r="Q1217" s="10"/>
      <c r="R1217" s="10"/>
      <c r="S1217" s="10"/>
    </row>
    <row r="1218" spans="1:19" x14ac:dyDescent="0.25">
      <c r="A1218" s="10"/>
      <c r="B1218" s="10"/>
      <c r="C1218" s="10"/>
      <c r="D1218" s="10"/>
      <c r="E1218" s="10"/>
      <c r="F1218" s="10"/>
      <c r="G1218" s="10"/>
      <c r="H1218" s="770"/>
      <c r="I1218" s="10"/>
      <c r="J1218" s="10"/>
      <c r="K1218" s="10"/>
      <c r="L1218" s="10"/>
      <c r="M1218" s="770"/>
      <c r="N1218" s="10"/>
      <c r="O1218" s="10"/>
      <c r="P1218" s="10"/>
      <c r="Q1218" s="10"/>
      <c r="R1218" s="10"/>
      <c r="S1218" s="10"/>
    </row>
    <row r="1219" spans="1:19" x14ac:dyDescent="0.25">
      <c r="A1219" s="10"/>
      <c r="B1219" s="10"/>
      <c r="C1219" s="10"/>
      <c r="D1219" s="10"/>
      <c r="E1219" s="10"/>
      <c r="F1219" s="10"/>
      <c r="G1219" s="10"/>
      <c r="H1219" s="770"/>
      <c r="I1219" s="10"/>
      <c r="J1219" s="10"/>
      <c r="K1219" s="10"/>
      <c r="L1219" s="10"/>
      <c r="M1219" s="770"/>
      <c r="N1219" s="10"/>
      <c r="O1219" s="10"/>
      <c r="P1219" s="10"/>
      <c r="Q1219" s="10"/>
      <c r="R1219" s="10"/>
      <c r="S1219" s="10"/>
    </row>
    <row r="1220" spans="1:19" x14ac:dyDescent="0.25">
      <c r="A1220" s="10"/>
      <c r="B1220" s="10"/>
      <c r="C1220" s="10"/>
      <c r="D1220" s="10"/>
      <c r="E1220" s="10"/>
      <c r="F1220" s="10"/>
      <c r="G1220" s="10"/>
      <c r="H1220" s="770"/>
      <c r="I1220" s="10"/>
      <c r="J1220" s="10"/>
      <c r="K1220" s="10"/>
      <c r="L1220" s="10"/>
      <c r="M1220" s="770"/>
      <c r="N1220" s="10"/>
      <c r="O1220" s="10"/>
      <c r="P1220" s="10"/>
      <c r="Q1220" s="10"/>
      <c r="R1220" s="10"/>
      <c r="S1220" s="10"/>
    </row>
    <row r="1221" spans="1:19" x14ac:dyDescent="0.25">
      <c r="A1221" s="10"/>
      <c r="B1221" s="10"/>
      <c r="C1221" s="10"/>
      <c r="D1221" s="10"/>
      <c r="E1221" s="10"/>
      <c r="F1221" s="10"/>
      <c r="G1221" s="10"/>
      <c r="H1221" s="770"/>
      <c r="I1221" s="10"/>
      <c r="J1221" s="10"/>
      <c r="K1221" s="10"/>
      <c r="L1221" s="10"/>
      <c r="M1221" s="770"/>
      <c r="N1221" s="10"/>
      <c r="O1221" s="10"/>
      <c r="P1221" s="10"/>
      <c r="Q1221" s="10"/>
      <c r="R1221" s="10"/>
      <c r="S1221" s="10"/>
    </row>
    <row r="1222" spans="1:19" x14ac:dyDescent="0.25">
      <c r="A1222" s="10"/>
      <c r="B1222" s="10"/>
      <c r="C1222" s="10"/>
      <c r="D1222" s="10"/>
      <c r="E1222" s="10"/>
      <c r="F1222" s="10"/>
      <c r="G1222" s="10"/>
      <c r="H1222" s="770"/>
      <c r="I1222" s="10"/>
      <c r="J1222" s="10"/>
      <c r="K1222" s="10"/>
      <c r="L1222" s="10"/>
      <c r="M1222" s="770"/>
      <c r="N1222" s="10"/>
      <c r="O1222" s="10"/>
      <c r="P1222" s="10"/>
      <c r="Q1222" s="10"/>
      <c r="R1222" s="10"/>
      <c r="S1222" s="10"/>
    </row>
    <row r="1223" spans="1:19" x14ac:dyDescent="0.25">
      <c r="A1223" s="10"/>
      <c r="B1223" s="10"/>
      <c r="C1223" s="10"/>
      <c r="D1223" s="10"/>
      <c r="E1223" s="10"/>
      <c r="F1223" s="10"/>
      <c r="G1223" s="10"/>
      <c r="H1223" s="770"/>
      <c r="I1223" s="10"/>
      <c r="J1223" s="10"/>
      <c r="K1223" s="10"/>
      <c r="L1223" s="10"/>
      <c r="M1223" s="770"/>
      <c r="N1223" s="10"/>
      <c r="O1223" s="10"/>
      <c r="P1223" s="10"/>
      <c r="Q1223" s="10"/>
      <c r="R1223" s="10"/>
      <c r="S1223" s="10"/>
    </row>
    <row r="1224" spans="1:19" x14ac:dyDescent="0.25">
      <c r="A1224" s="10"/>
      <c r="B1224" s="10"/>
      <c r="C1224" s="10"/>
      <c r="D1224" s="10"/>
      <c r="E1224" s="10"/>
      <c r="F1224" s="10"/>
      <c r="G1224" s="10"/>
      <c r="H1224" s="770"/>
      <c r="I1224" s="10"/>
      <c r="J1224" s="10"/>
      <c r="K1224" s="10"/>
      <c r="L1224" s="10"/>
      <c r="M1224" s="770"/>
      <c r="N1224" s="10"/>
      <c r="O1224" s="10"/>
      <c r="P1224" s="10"/>
      <c r="Q1224" s="10"/>
      <c r="R1224" s="10"/>
      <c r="S1224" s="10"/>
    </row>
    <row r="1225" spans="1:19" x14ac:dyDescent="0.25">
      <c r="A1225" s="10"/>
      <c r="B1225" s="10"/>
      <c r="C1225" s="10"/>
      <c r="D1225" s="10"/>
      <c r="E1225" s="10"/>
      <c r="F1225" s="10"/>
      <c r="G1225" s="10"/>
      <c r="H1225" s="770"/>
      <c r="I1225" s="10"/>
      <c r="J1225" s="10"/>
      <c r="K1225" s="10"/>
      <c r="L1225" s="10"/>
      <c r="M1225" s="770"/>
      <c r="N1225" s="10"/>
      <c r="O1225" s="10"/>
      <c r="P1225" s="10"/>
      <c r="Q1225" s="10"/>
      <c r="R1225" s="10"/>
      <c r="S1225" s="10"/>
    </row>
    <row r="1226" spans="1:19" x14ac:dyDescent="0.25">
      <c r="A1226" s="10"/>
      <c r="B1226" s="10"/>
      <c r="C1226" s="10"/>
      <c r="D1226" s="10"/>
      <c r="E1226" s="10"/>
      <c r="F1226" s="10"/>
      <c r="G1226" s="10"/>
      <c r="H1226" s="770"/>
      <c r="I1226" s="10"/>
      <c r="J1226" s="10"/>
      <c r="K1226" s="10"/>
      <c r="L1226" s="10"/>
      <c r="M1226" s="770"/>
      <c r="N1226" s="10"/>
      <c r="O1226" s="10"/>
      <c r="P1226" s="10"/>
      <c r="Q1226" s="10"/>
      <c r="R1226" s="10"/>
      <c r="S1226" s="10"/>
    </row>
    <row r="1227" spans="1:19" x14ac:dyDescent="0.25">
      <c r="A1227" s="10"/>
      <c r="B1227" s="10"/>
      <c r="C1227" s="10"/>
      <c r="D1227" s="10"/>
      <c r="E1227" s="10"/>
      <c r="F1227" s="10"/>
      <c r="G1227" s="10"/>
      <c r="H1227" s="770"/>
      <c r="I1227" s="10"/>
      <c r="J1227" s="10"/>
      <c r="K1227" s="10"/>
      <c r="L1227" s="10"/>
      <c r="M1227" s="770"/>
      <c r="N1227" s="10"/>
      <c r="O1227" s="10"/>
      <c r="P1227" s="10"/>
      <c r="Q1227" s="10"/>
      <c r="R1227" s="10"/>
      <c r="S1227" s="10"/>
    </row>
    <row r="1228" spans="1:19" x14ac:dyDescent="0.25">
      <c r="A1228" s="10"/>
      <c r="B1228" s="10"/>
      <c r="C1228" s="10"/>
      <c r="D1228" s="10"/>
      <c r="E1228" s="10"/>
      <c r="F1228" s="10"/>
      <c r="G1228" s="10"/>
      <c r="H1228" s="770"/>
      <c r="I1228" s="10"/>
      <c r="J1228" s="10"/>
      <c r="K1228" s="10"/>
      <c r="L1228" s="10"/>
      <c r="M1228" s="770"/>
      <c r="N1228" s="10"/>
      <c r="O1228" s="10"/>
      <c r="P1228" s="10"/>
      <c r="Q1228" s="10"/>
      <c r="R1228" s="10"/>
      <c r="S1228" s="10"/>
    </row>
    <row r="1229" spans="1:19" x14ac:dyDescent="0.25">
      <c r="A1229" s="10"/>
      <c r="B1229" s="10"/>
      <c r="C1229" s="10"/>
      <c r="D1229" s="10"/>
      <c r="E1229" s="10"/>
      <c r="F1229" s="10"/>
      <c r="G1229" s="10"/>
      <c r="H1229" s="770"/>
      <c r="I1229" s="10"/>
      <c r="J1229" s="10"/>
      <c r="K1229" s="10"/>
      <c r="L1229" s="10"/>
      <c r="M1229" s="770"/>
      <c r="N1229" s="10"/>
      <c r="O1229" s="10"/>
      <c r="P1229" s="10"/>
      <c r="Q1229" s="10"/>
      <c r="R1229" s="10"/>
      <c r="S1229" s="10"/>
    </row>
    <row r="1230" spans="1:19" x14ac:dyDescent="0.25">
      <c r="A1230" s="10"/>
      <c r="B1230" s="10"/>
      <c r="C1230" s="10"/>
      <c r="D1230" s="10"/>
      <c r="E1230" s="10"/>
      <c r="F1230" s="10"/>
      <c r="G1230" s="10"/>
      <c r="H1230" s="770"/>
      <c r="I1230" s="10"/>
      <c r="J1230" s="10"/>
      <c r="K1230" s="10"/>
      <c r="L1230" s="10"/>
      <c r="M1230" s="770"/>
      <c r="N1230" s="10"/>
      <c r="O1230" s="10"/>
      <c r="P1230" s="10"/>
      <c r="Q1230" s="10"/>
      <c r="R1230" s="10"/>
      <c r="S1230" s="10"/>
    </row>
    <row r="1231" spans="1:19" x14ac:dyDescent="0.25">
      <c r="A1231" s="10"/>
      <c r="B1231" s="10"/>
      <c r="C1231" s="10"/>
      <c r="D1231" s="10"/>
      <c r="E1231" s="10"/>
      <c r="F1231" s="10"/>
      <c r="G1231" s="10"/>
      <c r="H1231" s="770"/>
      <c r="I1231" s="10"/>
      <c r="J1231" s="10"/>
      <c r="K1231" s="10"/>
      <c r="L1231" s="10"/>
      <c r="M1231" s="770"/>
      <c r="N1231" s="10"/>
      <c r="O1231" s="10"/>
      <c r="P1231" s="10"/>
      <c r="Q1231" s="10"/>
      <c r="R1231" s="10"/>
      <c r="S1231" s="10"/>
    </row>
    <row r="1232" spans="1:19" x14ac:dyDescent="0.25">
      <c r="A1232" s="10"/>
      <c r="B1232" s="10"/>
      <c r="C1232" s="10"/>
      <c r="D1232" s="10"/>
      <c r="E1232" s="10"/>
      <c r="F1232" s="10"/>
      <c r="G1232" s="10"/>
      <c r="H1232" s="770"/>
      <c r="I1232" s="10"/>
      <c r="J1232" s="10"/>
      <c r="K1232" s="10"/>
      <c r="L1232" s="10"/>
      <c r="M1232" s="770"/>
      <c r="N1232" s="10"/>
      <c r="O1232" s="10"/>
      <c r="P1232" s="10"/>
      <c r="Q1232" s="10"/>
      <c r="R1232" s="10"/>
      <c r="S1232" s="10"/>
    </row>
    <row r="1233" spans="1:19" x14ac:dyDescent="0.25">
      <c r="A1233" s="10"/>
      <c r="B1233" s="10"/>
      <c r="C1233" s="10"/>
      <c r="D1233" s="10"/>
      <c r="E1233" s="10"/>
      <c r="F1233" s="10"/>
      <c r="G1233" s="10"/>
      <c r="H1233" s="770"/>
      <c r="I1233" s="10"/>
      <c r="J1233" s="10"/>
      <c r="K1233" s="10"/>
      <c r="L1233" s="10"/>
      <c r="M1233" s="770"/>
      <c r="N1233" s="10"/>
      <c r="O1233" s="10"/>
      <c r="P1233" s="10"/>
      <c r="Q1233" s="10"/>
      <c r="R1233" s="10"/>
      <c r="S1233" s="10"/>
    </row>
    <row r="1234" spans="1:19" x14ac:dyDescent="0.25">
      <c r="A1234" s="10"/>
      <c r="B1234" s="10"/>
      <c r="C1234" s="10"/>
      <c r="D1234" s="10"/>
      <c r="E1234" s="10"/>
      <c r="F1234" s="10"/>
      <c r="G1234" s="10"/>
      <c r="H1234" s="770"/>
      <c r="I1234" s="10"/>
      <c r="J1234" s="10"/>
      <c r="K1234" s="10"/>
      <c r="L1234" s="10"/>
      <c r="M1234" s="770"/>
      <c r="N1234" s="10"/>
      <c r="O1234" s="10"/>
      <c r="P1234" s="10"/>
      <c r="Q1234" s="10"/>
      <c r="R1234" s="10"/>
      <c r="S1234" s="10"/>
    </row>
    <row r="1235" spans="1:19" x14ac:dyDescent="0.25">
      <c r="A1235" s="10"/>
      <c r="B1235" s="10"/>
      <c r="C1235" s="10"/>
      <c r="D1235" s="10"/>
      <c r="E1235" s="10"/>
      <c r="F1235" s="10"/>
      <c r="G1235" s="10"/>
      <c r="H1235" s="770"/>
      <c r="I1235" s="10"/>
      <c r="J1235" s="10"/>
      <c r="K1235" s="10"/>
      <c r="L1235" s="10"/>
      <c r="M1235" s="770"/>
      <c r="N1235" s="10"/>
      <c r="O1235" s="10"/>
      <c r="P1235" s="10"/>
      <c r="Q1235" s="10"/>
      <c r="R1235" s="10"/>
      <c r="S1235" s="10"/>
    </row>
    <row r="1236" spans="1:19" x14ac:dyDescent="0.25">
      <c r="A1236" s="10"/>
      <c r="B1236" s="10"/>
      <c r="C1236" s="10"/>
      <c r="D1236" s="10"/>
      <c r="E1236" s="10"/>
      <c r="F1236" s="10"/>
      <c r="G1236" s="10"/>
      <c r="H1236" s="770"/>
      <c r="I1236" s="10"/>
      <c r="J1236" s="10"/>
      <c r="K1236" s="10"/>
      <c r="L1236" s="10"/>
      <c r="M1236" s="770"/>
      <c r="N1236" s="10"/>
      <c r="O1236" s="10"/>
      <c r="P1236" s="10"/>
      <c r="Q1236" s="10"/>
      <c r="R1236" s="10"/>
      <c r="S1236" s="10"/>
    </row>
    <row r="1237" spans="1:19" x14ac:dyDescent="0.25">
      <c r="A1237" s="10"/>
      <c r="B1237" s="10"/>
      <c r="C1237" s="10"/>
      <c r="D1237" s="10"/>
      <c r="E1237" s="10"/>
      <c r="F1237" s="10"/>
      <c r="G1237" s="10"/>
      <c r="H1237" s="770"/>
      <c r="I1237" s="10"/>
      <c r="J1237" s="10"/>
      <c r="K1237" s="10"/>
      <c r="L1237" s="10"/>
      <c r="M1237" s="770"/>
      <c r="N1237" s="10"/>
      <c r="O1237" s="10"/>
      <c r="P1237" s="10"/>
      <c r="Q1237" s="10"/>
      <c r="R1237" s="10"/>
      <c r="S1237" s="10"/>
    </row>
    <row r="1238" spans="1:19" x14ac:dyDescent="0.25">
      <c r="A1238" s="10"/>
      <c r="B1238" s="10"/>
      <c r="C1238" s="10"/>
      <c r="D1238" s="10"/>
      <c r="E1238" s="10"/>
      <c r="F1238" s="10"/>
      <c r="G1238" s="10"/>
      <c r="H1238" s="770"/>
      <c r="I1238" s="10"/>
      <c r="J1238" s="10"/>
      <c r="K1238" s="10"/>
      <c r="L1238" s="10"/>
      <c r="M1238" s="770"/>
      <c r="N1238" s="10"/>
      <c r="O1238" s="10"/>
      <c r="P1238" s="10"/>
      <c r="Q1238" s="10"/>
      <c r="R1238" s="10"/>
      <c r="S1238" s="10"/>
    </row>
    <row r="1239" spans="1:19" x14ac:dyDescent="0.25">
      <c r="A1239" s="10"/>
      <c r="B1239" s="10"/>
      <c r="C1239" s="10"/>
      <c r="D1239" s="10"/>
      <c r="E1239" s="10"/>
      <c r="F1239" s="10"/>
      <c r="G1239" s="10"/>
      <c r="H1239" s="770"/>
      <c r="I1239" s="10"/>
      <c r="J1239" s="10"/>
      <c r="K1239" s="10"/>
      <c r="L1239" s="10"/>
      <c r="M1239" s="770"/>
      <c r="N1239" s="10"/>
      <c r="O1239" s="10"/>
      <c r="P1239" s="10"/>
      <c r="Q1239" s="10"/>
      <c r="R1239" s="10"/>
      <c r="S1239" s="10"/>
    </row>
    <row r="1240" spans="1:19" x14ac:dyDescent="0.25">
      <c r="A1240" s="10"/>
      <c r="B1240" s="10"/>
      <c r="C1240" s="10"/>
      <c r="D1240" s="10"/>
      <c r="E1240" s="10"/>
      <c r="F1240" s="10"/>
      <c r="G1240" s="10"/>
      <c r="H1240" s="770"/>
      <c r="I1240" s="10"/>
      <c r="J1240" s="10"/>
      <c r="K1240" s="10"/>
      <c r="L1240" s="10"/>
      <c r="M1240" s="770"/>
      <c r="N1240" s="10"/>
      <c r="O1240" s="10"/>
      <c r="P1240" s="10"/>
      <c r="Q1240" s="10"/>
      <c r="R1240" s="10"/>
      <c r="S1240" s="10"/>
    </row>
    <row r="1241" spans="1:19" x14ac:dyDescent="0.25">
      <c r="A1241" s="10"/>
      <c r="B1241" s="10"/>
      <c r="C1241" s="10"/>
      <c r="D1241" s="10"/>
      <c r="E1241" s="10"/>
      <c r="F1241" s="10"/>
      <c r="G1241" s="10"/>
      <c r="H1241" s="770"/>
      <c r="I1241" s="10"/>
      <c r="J1241" s="10"/>
      <c r="K1241" s="10"/>
      <c r="L1241" s="10"/>
      <c r="M1241" s="770"/>
      <c r="N1241" s="10"/>
      <c r="O1241" s="10"/>
      <c r="P1241" s="10"/>
      <c r="Q1241" s="10"/>
      <c r="R1241" s="10"/>
      <c r="S1241" s="10"/>
    </row>
    <row r="1242" spans="1:19" x14ac:dyDescent="0.25">
      <c r="A1242" s="10"/>
      <c r="B1242" s="10"/>
      <c r="C1242" s="10"/>
      <c r="D1242" s="10"/>
      <c r="E1242" s="10"/>
      <c r="F1242" s="10"/>
      <c r="G1242" s="10"/>
      <c r="H1242" s="770"/>
      <c r="I1242" s="10"/>
      <c r="J1242" s="10"/>
      <c r="K1242" s="10"/>
      <c r="L1242" s="10"/>
      <c r="M1242" s="770"/>
      <c r="N1242" s="10"/>
      <c r="O1242" s="10"/>
      <c r="P1242" s="10"/>
      <c r="Q1242" s="10"/>
      <c r="R1242" s="10"/>
      <c r="S1242" s="10"/>
    </row>
    <row r="1243" spans="1:19" x14ac:dyDescent="0.25">
      <c r="A1243" s="10"/>
      <c r="B1243" s="10"/>
      <c r="C1243" s="10"/>
      <c r="D1243" s="10"/>
      <c r="E1243" s="10"/>
      <c r="F1243" s="10"/>
      <c r="G1243" s="10"/>
      <c r="H1243" s="770"/>
      <c r="I1243" s="10"/>
      <c r="J1243" s="10"/>
      <c r="K1243" s="10"/>
      <c r="L1243" s="10"/>
      <c r="M1243" s="770"/>
      <c r="N1243" s="10"/>
      <c r="O1243" s="10"/>
      <c r="P1243" s="10"/>
      <c r="Q1243" s="10"/>
      <c r="R1243" s="10"/>
      <c r="S1243" s="10"/>
    </row>
    <row r="1244" spans="1:19" x14ac:dyDescent="0.25">
      <c r="A1244" s="10"/>
      <c r="B1244" s="10"/>
      <c r="C1244" s="10"/>
      <c r="D1244" s="10"/>
      <c r="E1244" s="10"/>
      <c r="F1244" s="10"/>
      <c r="G1244" s="10"/>
      <c r="H1244" s="770"/>
      <c r="I1244" s="10"/>
      <c r="J1244" s="10"/>
      <c r="K1244" s="10"/>
      <c r="L1244" s="10"/>
      <c r="M1244" s="770"/>
      <c r="N1244" s="10"/>
      <c r="O1244" s="10"/>
      <c r="P1244" s="10"/>
      <c r="Q1244" s="10"/>
      <c r="R1244" s="10"/>
      <c r="S1244" s="10"/>
    </row>
    <row r="1245" spans="1:19" x14ac:dyDescent="0.25">
      <c r="A1245" s="10"/>
      <c r="B1245" s="10"/>
      <c r="C1245" s="10"/>
      <c r="D1245" s="10"/>
      <c r="E1245" s="10"/>
      <c r="F1245" s="10"/>
      <c r="G1245" s="10"/>
      <c r="H1245" s="770"/>
      <c r="I1245" s="10"/>
      <c r="J1245" s="10"/>
      <c r="K1245" s="10"/>
      <c r="L1245" s="10"/>
      <c r="M1245" s="770"/>
      <c r="N1245" s="10"/>
      <c r="O1245" s="10"/>
      <c r="P1245" s="10"/>
      <c r="Q1245" s="10"/>
      <c r="R1245" s="10"/>
      <c r="S1245" s="10"/>
    </row>
    <row r="1246" spans="1:19" x14ac:dyDescent="0.25">
      <c r="A1246" s="10"/>
      <c r="B1246" s="10"/>
      <c r="C1246" s="10"/>
      <c r="D1246" s="10"/>
      <c r="E1246" s="10"/>
      <c r="F1246" s="10"/>
      <c r="G1246" s="10"/>
      <c r="H1246" s="770"/>
      <c r="I1246" s="10"/>
      <c r="J1246" s="10"/>
      <c r="K1246" s="10"/>
      <c r="L1246" s="10"/>
      <c r="M1246" s="770"/>
      <c r="N1246" s="10"/>
      <c r="O1246" s="10"/>
      <c r="P1246" s="10"/>
      <c r="Q1246" s="10"/>
      <c r="R1246" s="10"/>
      <c r="S1246" s="10"/>
    </row>
    <row r="1247" spans="1:19" x14ac:dyDescent="0.25">
      <c r="A1247" s="10"/>
      <c r="B1247" s="10"/>
      <c r="C1247" s="10"/>
      <c r="D1247" s="10"/>
      <c r="E1247" s="10"/>
      <c r="F1247" s="10"/>
      <c r="G1247" s="10"/>
      <c r="H1247" s="770"/>
      <c r="I1247" s="10"/>
      <c r="J1247" s="10"/>
      <c r="K1247" s="10"/>
      <c r="L1247" s="10"/>
      <c r="M1247" s="770"/>
      <c r="N1247" s="10"/>
      <c r="O1247" s="10"/>
      <c r="P1247" s="10"/>
      <c r="Q1247" s="10"/>
      <c r="R1247" s="10"/>
      <c r="S1247" s="10"/>
    </row>
    <row r="1248" spans="1:19" x14ac:dyDescent="0.25">
      <c r="A1248" s="10"/>
      <c r="B1248" s="10"/>
      <c r="C1248" s="10"/>
      <c r="D1248" s="10"/>
      <c r="E1248" s="10"/>
      <c r="F1248" s="10"/>
      <c r="G1248" s="10"/>
      <c r="H1248" s="770"/>
      <c r="I1248" s="10"/>
      <c r="J1248" s="10"/>
      <c r="K1248" s="10"/>
      <c r="L1248" s="10"/>
      <c r="M1248" s="770"/>
      <c r="N1248" s="10"/>
      <c r="O1248" s="10"/>
      <c r="P1248" s="10"/>
      <c r="Q1248" s="10"/>
      <c r="R1248" s="10"/>
      <c r="S1248" s="10"/>
    </row>
    <row r="1249" spans="1:19" x14ac:dyDescent="0.25">
      <c r="A1249" s="10"/>
      <c r="B1249" s="10"/>
      <c r="C1249" s="10"/>
      <c r="D1249" s="10"/>
      <c r="E1249" s="10"/>
      <c r="F1249" s="10"/>
      <c r="G1249" s="10"/>
      <c r="H1249" s="770"/>
      <c r="I1249" s="10"/>
      <c r="J1249" s="10"/>
      <c r="K1249" s="10"/>
      <c r="L1249" s="10"/>
      <c r="M1249" s="770"/>
      <c r="N1249" s="10"/>
      <c r="O1249" s="10"/>
      <c r="P1249" s="10"/>
      <c r="Q1249" s="10"/>
      <c r="R1249" s="10"/>
      <c r="S1249" s="10"/>
    </row>
    <row r="1250" spans="1:19" x14ac:dyDescent="0.25">
      <c r="A1250" s="10"/>
      <c r="B1250" s="10"/>
      <c r="C1250" s="10"/>
      <c r="D1250" s="10"/>
      <c r="E1250" s="10"/>
      <c r="F1250" s="10"/>
      <c r="G1250" s="10"/>
      <c r="H1250" s="770"/>
      <c r="I1250" s="10"/>
      <c r="J1250" s="10"/>
      <c r="K1250" s="10"/>
      <c r="L1250" s="10"/>
      <c r="M1250" s="770"/>
      <c r="N1250" s="10"/>
      <c r="O1250" s="10"/>
      <c r="P1250" s="10"/>
      <c r="Q1250" s="10"/>
      <c r="R1250" s="10"/>
      <c r="S1250" s="10"/>
    </row>
    <row r="1251" spans="1:19" x14ac:dyDescent="0.25">
      <c r="A1251" s="10"/>
      <c r="B1251" s="10"/>
      <c r="C1251" s="10"/>
      <c r="D1251" s="10"/>
      <c r="E1251" s="10"/>
      <c r="F1251" s="10"/>
      <c r="G1251" s="10"/>
      <c r="H1251" s="770"/>
      <c r="I1251" s="10"/>
      <c r="J1251" s="10"/>
      <c r="K1251" s="10"/>
      <c r="L1251" s="10"/>
      <c r="M1251" s="770"/>
      <c r="N1251" s="10"/>
      <c r="O1251" s="10"/>
      <c r="P1251" s="10"/>
      <c r="Q1251" s="10"/>
      <c r="R1251" s="10"/>
      <c r="S1251" s="10"/>
    </row>
    <row r="1252" spans="1:19" x14ac:dyDescent="0.25">
      <c r="A1252" s="10"/>
      <c r="B1252" s="10"/>
      <c r="C1252" s="10"/>
      <c r="D1252" s="10"/>
      <c r="E1252" s="10"/>
      <c r="F1252" s="10"/>
      <c r="G1252" s="10"/>
      <c r="H1252" s="770"/>
      <c r="I1252" s="10"/>
      <c r="J1252" s="10"/>
      <c r="K1252" s="10"/>
      <c r="L1252" s="10"/>
      <c r="M1252" s="770"/>
      <c r="N1252" s="10"/>
      <c r="O1252" s="10"/>
      <c r="P1252" s="10"/>
      <c r="Q1252" s="10"/>
      <c r="R1252" s="10"/>
      <c r="S1252" s="10"/>
    </row>
    <row r="1253" spans="1:19" x14ac:dyDescent="0.25">
      <c r="A1253" s="10"/>
      <c r="B1253" s="10"/>
      <c r="C1253" s="10"/>
      <c r="D1253" s="10"/>
      <c r="E1253" s="10"/>
      <c r="F1253" s="10"/>
      <c r="G1253" s="10"/>
      <c r="H1253" s="770"/>
      <c r="I1253" s="10"/>
      <c r="J1253" s="10"/>
      <c r="K1253" s="10"/>
      <c r="L1253" s="10"/>
      <c r="M1253" s="770"/>
      <c r="N1253" s="10"/>
      <c r="O1253" s="10"/>
      <c r="P1253" s="10"/>
      <c r="Q1253" s="10"/>
      <c r="R1253" s="10"/>
      <c r="S1253" s="10"/>
    </row>
    <row r="1254" spans="1:19" x14ac:dyDescent="0.25">
      <c r="A1254" s="10"/>
      <c r="B1254" s="10"/>
      <c r="C1254" s="10"/>
      <c r="D1254" s="10"/>
      <c r="E1254" s="10"/>
      <c r="F1254" s="10"/>
      <c r="G1254" s="10"/>
      <c r="H1254" s="770"/>
      <c r="I1254" s="10"/>
      <c r="J1254" s="10"/>
      <c r="K1254" s="10"/>
      <c r="L1254" s="10"/>
      <c r="M1254" s="770"/>
      <c r="N1254" s="10"/>
      <c r="O1254" s="10"/>
      <c r="P1254" s="10"/>
      <c r="Q1254" s="10"/>
      <c r="R1254" s="10"/>
      <c r="S1254" s="10"/>
    </row>
    <row r="1255" spans="1:19" x14ac:dyDescent="0.25">
      <c r="A1255" s="10"/>
      <c r="B1255" s="10"/>
      <c r="C1255" s="10"/>
      <c r="D1255" s="10"/>
      <c r="E1255" s="10"/>
      <c r="F1255" s="10"/>
      <c r="G1255" s="10"/>
      <c r="H1255" s="770"/>
      <c r="I1255" s="10"/>
      <c r="J1255" s="10"/>
      <c r="K1255" s="10"/>
      <c r="L1255" s="10"/>
      <c r="M1255" s="770"/>
      <c r="N1255" s="10"/>
      <c r="O1255" s="10"/>
      <c r="P1255" s="10"/>
      <c r="Q1255" s="10"/>
      <c r="R1255" s="10"/>
      <c r="S1255" s="10"/>
    </row>
    <row r="1256" spans="1:19" x14ac:dyDescent="0.25">
      <c r="A1256" s="10"/>
      <c r="B1256" s="10"/>
      <c r="C1256" s="10"/>
      <c r="D1256" s="10"/>
      <c r="E1256" s="10"/>
      <c r="F1256" s="10"/>
      <c r="G1256" s="10"/>
      <c r="H1256" s="770"/>
      <c r="I1256" s="10"/>
      <c r="J1256" s="10"/>
      <c r="K1256" s="10"/>
      <c r="L1256" s="10"/>
      <c r="M1256" s="770"/>
      <c r="N1256" s="10"/>
      <c r="O1256" s="10"/>
      <c r="P1256" s="10"/>
      <c r="Q1256" s="10"/>
      <c r="R1256" s="10"/>
      <c r="S1256" s="10"/>
    </row>
    <row r="1257" spans="1:19" x14ac:dyDescent="0.25">
      <c r="A1257" s="10"/>
      <c r="B1257" s="10"/>
      <c r="C1257" s="10"/>
      <c r="D1257" s="10"/>
      <c r="E1257" s="10"/>
      <c r="F1257" s="10"/>
      <c r="G1257" s="10"/>
      <c r="H1257" s="770"/>
      <c r="I1257" s="10"/>
      <c r="J1257" s="10"/>
      <c r="K1257" s="10"/>
      <c r="L1257" s="10"/>
      <c r="M1257" s="770"/>
      <c r="N1257" s="10"/>
      <c r="O1257" s="10"/>
      <c r="P1257" s="10"/>
      <c r="Q1257" s="10"/>
      <c r="R1257" s="10"/>
      <c r="S1257" s="10"/>
    </row>
    <row r="1258" spans="1:19" x14ac:dyDescent="0.25">
      <c r="A1258" s="10"/>
      <c r="B1258" s="10"/>
      <c r="C1258" s="10"/>
      <c r="D1258" s="10"/>
      <c r="E1258" s="10"/>
      <c r="F1258" s="10"/>
      <c r="G1258" s="10"/>
      <c r="H1258" s="770"/>
      <c r="I1258" s="10"/>
      <c r="J1258" s="10"/>
      <c r="K1258" s="10"/>
      <c r="L1258" s="10"/>
      <c r="M1258" s="770"/>
      <c r="N1258" s="10"/>
      <c r="O1258" s="10"/>
      <c r="P1258" s="10"/>
      <c r="Q1258" s="10"/>
      <c r="R1258" s="10"/>
      <c r="S1258" s="10"/>
    </row>
    <row r="1259" spans="1:19" x14ac:dyDescent="0.25">
      <c r="A1259" s="10"/>
      <c r="B1259" s="10"/>
      <c r="C1259" s="10"/>
      <c r="D1259" s="10"/>
      <c r="E1259" s="10"/>
      <c r="F1259" s="10"/>
      <c r="G1259" s="10"/>
      <c r="H1259" s="770"/>
      <c r="I1259" s="10"/>
      <c r="J1259" s="10"/>
      <c r="K1259" s="10"/>
      <c r="L1259" s="10"/>
      <c r="M1259" s="770"/>
      <c r="N1259" s="10"/>
      <c r="O1259" s="10"/>
      <c r="P1259" s="10"/>
      <c r="Q1259" s="10"/>
      <c r="R1259" s="10"/>
      <c r="S1259" s="10"/>
    </row>
    <row r="1260" spans="1:19" x14ac:dyDescent="0.25">
      <c r="A1260" s="10"/>
      <c r="B1260" s="10"/>
      <c r="C1260" s="10"/>
      <c r="D1260" s="10"/>
      <c r="E1260" s="10"/>
      <c r="F1260" s="10"/>
      <c r="G1260" s="10"/>
      <c r="H1260" s="770"/>
      <c r="I1260" s="10"/>
      <c r="J1260" s="10"/>
      <c r="K1260" s="10"/>
      <c r="L1260" s="10"/>
      <c r="M1260" s="770"/>
      <c r="N1260" s="10"/>
      <c r="O1260" s="10"/>
      <c r="P1260" s="10"/>
      <c r="Q1260" s="10"/>
      <c r="R1260" s="10"/>
      <c r="S1260" s="10"/>
    </row>
    <row r="1261" spans="1:19" x14ac:dyDescent="0.25">
      <c r="A1261" s="10"/>
      <c r="B1261" s="10"/>
      <c r="C1261" s="10"/>
      <c r="D1261" s="10"/>
      <c r="E1261" s="10"/>
      <c r="F1261" s="10"/>
      <c r="G1261" s="10"/>
      <c r="H1261" s="770"/>
      <c r="I1261" s="10"/>
      <c r="J1261" s="10"/>
      <c r="K1261" s="10"/>
      <c r="L1261" s="10"/>
      <c r="M1261" s="770"/>
      <c r="N1261" s="10"/>
      <c r="O1261" s="10"/>
      <c r="P1261" s="10"/>
      <c r="Q1261" s="10"/>
      <c r="R1261" s="10"/>
      <c r="S1261" s="10"/>
    </row>
    <row r="1262" spans="1:19" x14ac:dyDescent="0.25">
      <c r="A1262" s="10"/>
      <c r="B1262" s="10"/>
      <c r="C1262" s="10"/>
      <c r="D1262" s="10"/>
      <c r="E1262" s="10"/>
      <c r="F1262" s="10"/>
      <c r="G1262" s="10"/>
      <c r="H1262" s="770"/>
      <c r="I1262" s="10"/>
      <c r="J1262" s="10"/>
      <c r="K1262" s="10"/>
      <c r="L1262" s="10"/>
      <c r="M1262" s="770"/>
      <c r="N1262" s="10"/>
      <c r="O1262" s="10"/>
      <c r="P1262" s="10"/>
      <c r="Q1262" s="10"/>
      <c r="R1262" s="10"/>
      <c r="S1262" s="10"/>
    </row>
    <row r="1263" spans="1:19" x14ac:dyDescent="0.25">
      <c r="A1263" s="10"/>
      <c r="B1263" s="10"/>
      <c r="C1263" s="10"/>
      <c r="D1263" s="10"/>
      <c r="E1263" s="10"/>
      <c r="F1263" s="10"/>
      <c r="G1263" s="10"/>
      <c r="H1263" s="770"/>
      <c r="I1263" s="10"/>
      <c r="J1263" s="10"/>
      <c r="K1263" s="10"/>
      <c r="L1263" s="10"/>
      <c r="M1263" s="770"/>
      <c r="N1263" s="10"/>
      <c r="O1263" s="10"/>
      <c r="P1263" s="10"/>
      <c r="Q1263" s="10"/>
      <c r="R1263" s="10"/>
      <c r="S1263" s="10"/>
    </row>
    <row r="1264" spans="1:19" x14ac:dyDescent="0.25">
      <c r="A1264" s="10"/>
      <c r="B1264" s="10"/>
      <c r="C1264" s="10"/>
      <c r="D1264" s="10"/>
      <c r="E1264" s="10"/>
      <c r="F1264" s="10"/>
      <c r="G1264" s="10"/>
      <c r="H1264" s="770"/>
      <c r="I1264" s="10"/>
      <c r="J1264" s="10"/>
      <c r="K1264" s="10"/>
      <c r="L1264" s="10"/>
      <c r="M1264" s="770"/>
      <c r="N1264" s="10"/>
      <c r="O1264" s="10"/>
      <c r="P1264" s="10"/>
      <c r="Q1264" s="10"/>
      <c r="R1264" s="10"/>
      <c r="S1264" s="10"/>
    </row>
    <row r="1265" spans="1:19" x14ac:dyDescent="0.25">
      <c r="A1265" s="10"/>
      <c r="B1265" s="10"/>
      <c r="C1265" s="10"/>
      <c r="D1265" s="10"/>
      <c r="E1265" s="10"/>
      <c r="F1265" s="10"/>
      <c r="G1265" s="10"/>
      <c r="H1265" s="770"/>
      <c r="I1265" s="10"/>
      <c r="J1265" s="10"/>
      <c r="K1265" s="10"/>
      <c r="L1265" s="10"/>
      <c r="M1265" s="770"/>
      <c r="N1265" s="10"/>
      <c r="O1265" s="10"/>
      <c r="P1265" s="10"/>
      <c r="Q1265" s="10"/>
      <c r="R1265" s="10"/>
      <c r="S1265" s="10"/>
    </row>
    <row r="1266" spans="1:19" x14ac:dyDescent="0.25">
      <c r="A1266" s="10"/>
      <c r="B1266" s="10"/>
      <c r="C1266" s="10"/>
      <c r="D1266" s="10"/>
      <c r="E1266" s="10"/>
      <c r="F1266" s="10"/>
      <c r="G1266" s="10"/>
      <c r="H1266" s="770"/>
      <c r="I1266" s="10"/>
      <c r="J1266" s="10"/>
      <c r="K1266" s="10"/>
      <c r="L1266" s="10"/>
      <c r="M1266" s="770"/>
      <c r="N1266" s="10"/>
      <c r="O1266" s="10"/>
      <c r="P1266" s="10"/>
      <c r="Q1266" s="10"/>
      <c r="R1266" s="10"/>
      <c r="S1266" s="10"/>
    </row>
    <row r="1267" spans="1:19" x14ac:dyDescent="0.25">
      <c r="A1267" s="10"/>
      <c r="B1267" s="10"/>
      <c r="C1267" s="10"/>
      <c r="D1267" s="10"/>
      <c r="E1267" s="10"/>
      <c r="F1267" s="10"/>
      <c r="G1267" s="10"/>
      <c r="H1267" s="770"/>
      <c r="I1267" s="10"/>
      <c r="J1267" s="10"/>
      <c r="K1267" s="10"/>
      <c r="L1267" s="10"/>
      <c r="M1267" s="770"/>
      <c r="N1267" s="10"/>
      <c r="O1267" s="10"/>
      <c r="P1267" s="10"/>
      <c r="Q1267" s="10"/>
      <c r="R1267" s="10"/>
      <c r="S1267" s="10"/>
    </row>
    <row r="1268" spans="1:19" x14ac:dyDescent="0.25">
      <c r="A1268" s="10"/>
      <c r="B1268" s="10"/>
      <c r="C1268" s="10"/>
      <c r="D1268" s="10"/>
      <c r="E1268" s="10"/>
      <c r="F1268" s="10"/>
      <c r="G1268" s="10"/>
      <c r="H1268" s="770"/>
      <c r="I1268" s="10"/>
      <c r="J1268" s="10"/>
      <c r="K1268" s="10"/>
      <c r="L1268" s="10"/>
      <c r="M1268" s="770"/>
      <c r="N1268" s="10"/>
      <c r="O1268" s="10"/>
      <c r="P1268" s="10"/>
      <c r="Q1268" s="10"/>
      <c r="R1268" s="10"/>
      <c r="S1268" s="10"/>
    </row>
    <row r="1269" spans="1:19" x14ac:dyDescent="0.25">
      <c r="A1269" s="10"/>
      <c r="B1269" s="10"/>
      <c r="C1269" s="10"/>
      <c r="D1269" s="10"/>
      <c r="E1269" s="10"/>
      <c r="F1269" s="10"/>
      <c r="G1269" s="10"/>
      <c r="H1269" s="770"/>
      <c r="I1269" s="10"/>
      <c r="J1269" s="10"/>
      <c r="K1269" s="10"/>
      <c r="L1269" s="10"/>
      <c r="M1269" s="770"/>
      <c r="N1269" s="10"/>
      <c r="O1269" s="10"/>
      <c r="P1269" s="10"/>
      <c r="Q1269" s="10"/>
      <c r="R1269" s="10"/>
      <c r="S1269" s="10"/>
    </row>
    <row r="1270" spans="1:19" x14ac:dyDescent="0.25">
      <c r="A1270" s="10"/>
      <c r="B1270" s="10"/>
      <c r="C1270" s="10"/>
      <c r="D1270" s="10"/>
      <c r="E1270" s="10"/>
      <c r="F1270" s="10"/>
      <c r="G1270" s="10"/>
      <c r="H1270" s="770"/>
      <c r="I1270" s="10"/>
      <c r="J1270" s="10"/>
      <c r="K1270" s="10"/>
      <c r="L1270" s="10"/>
      <c r="M1270" s="770"/>
      <c r="N1270" s="10"/>
      <c r="O1270" s="10"/>
      <c r="P1270" s="10"/>
      <c r="Q1270" s="10"/>
      <c r="R1270" s="10"/>
      <c r="S1270" s="10"/>
    </row>
    <row r="1271" spans="1:19" x14ac:dyDescent="0.25">
      <c r="A1271" s="10"/>
      <c r="B1271" s="10"/>
      <c r="C1271" s="10"/>
      <c r="D1271" s="10"/>
      <c r="E1271" s="10"/>
      <c r="F1271" s="10"/>
      <c r="G1271" s="10"/>
      <c r="H1271" s="770"/>
      <c r="I1271" s="10"/>
      <c r="J1271" s="10"/>
      <c r="K1271" s="10"/>
      <c r="L1271" s="10"/>
      <c r="M1271" s="770"/>
      <c r="N1271" s="10"/>
      <c r="O1271" s="10"/>
      <c r="P1271" s="10"/>
      <c r="Q1271" s="10"/>
      <c r="R1271" s="10"/>
      <c r="S1271" s="10"/>
    </row>
    <row r="1272" spans="1:19" x14ac:dyDescent="0.25">
      <c r="A1272" s="10"/>
      <c r="B1272" s="10"/>
      <c r="C1272" s="10"/>
      <c r="D1272" s="10"/>
      <c r="E1272" s="10"/>
      <c r="F1272" s="10"/>
      <c r="G1272" s="10"/>
      <c r="H1272" s="770"/>
      <c r="I1272" s="10"/>
      <c r="J1272" s="10"/>
      <c r="K1272" s="10"/>
      <c r="L1272" s="10"/>
      <c r="M1272" s="770"/>
      <c r="N1272" s="10"/>
      <c r="O1272" s="10"/>
      <c r="P1272" s="10"/>
      <c r="Q1272" s="10"/>
      <c r="R1272" s="10"/>
      <c r="S1272" s="10"/>
    </row>
    <row r="1273" spans="1:19" x14ac:dyDescent="0.25">
      <c r="A1273" s="10"/>
      <c r="B1273" s="10"/>
      <c r="C1273" s="10"/>
      <c r="D1273" s="10"/>
      <c r="E1273" s="10"/>
      <c r="F1273" s="10"/>
      <c r="G1273" s="10"/>
      <c r="H1273" s="770"/>
      <c r="I1273" s="10"/>
      <c r="J1273" s="10"/>
      <c r="K1273" s="10"/>
      <c r="L1273" s="10"/>
      <c r="M1273" s="770"/>
      <c r="N1273" s="10"/>
      <c r="O1273" s="10"/>
      <c r="P1273" s="10"/>
      <c r="Q1273" s="10"/>
      <c r="R1273" s="10"/>
      <c r="S1273" s="10"/>
    </row>
    <row r="1274" spans="1:19" x14ac:dyDescent="0.25">
      <c r="A1274" s="10"/>
      <c r="B1274" s="10"/>
      <c r="C1274" s="10"/>
      <c r="D1274" s="10"/>
      <c r="E1274" s="10"/>
      <c r="F1274" s="10"/>
      <c r="G1274" s="10"/>
      <c r="H1274" s="770"/>
      <c r="I1274" s="10"/>
      <c r="J1274" s="10"/>
      <c r="K1274" s="10"/>
      <c r="L1274" s="10"/>
      <c r="M1274" s="770"/>
      <c r="N1274" s="10"/>
      <c r="O1274" s="10"/>
      <c r="P1274" s="10"/>
      <c r="Q1274" s="10"/>
      <c r="R1274" s="10"/>
      <c r="S1274" s="10"/>
    </row>
    <row r="1275" spans="1:19" x14ac:dyDescent="0.25">
      <c r="A1275" s="10"/>
      <c r="B1275" s="10"/>
      <c r="C1275" s="10"/>
      <c r="D1275" s="10"/>
      <c r="E1275" s="10"/>
      <c r="F1275" s="10"/>
      <c r="G1275" s="10"/>
      <c r="H1275" s="770"/>
      <c r="I1275" s="10"/>
      <c r="J1275" s="10"/>
      <c r="K1275" s="10"/>
      <c r="L1275" s="10"/>
      <c r="M1275" s="770"/>
      <c r="N1275" s="10"/>
      <c r="O1275" s="10"/>
      <c r="P1275" s="10"/>
      <c r="Q1275" s="10"/>
      <c r="R1275" s="10"/>
      <c r="S1275" s="10"/>
    </row>
    <row r="1276" spans="1:19" x14ac:dyDescent="0.25">
      <c r="A1276" s="10"/>
      <c r="B1276" s="10"/>
      <c r="C1276" s="10"/>
      <c r="D1276" s="10"/>
      <c r="E1276" s="10"/>
      <c r="F1276" s="10"/>
      <c r="G1276" s="10"/>
      <c r="H1276" s="770"/>
      <c r="I1276" s="10"/>
      <c r="J1276" s="10"/>
      <c r="K1276" s="10"/>
      <c r="L1276" s="10"/>
      <c r="M1276" s="770"/>
      <c r="N1276" s="10"/>
      <c r="O1276" s="10"/>
      <c r="P1276" s="10"/>
      <c r="Q1276" s="10"/>
      <c r="R1276" s="10"/>
      <c r="S1276" s="10"/>
    </row>
    <row r="1277" spans="1:19" x14ac:dyDescent="0.25">
      <c r="A1277" s="10"/>
      <c r="B1277" s="10"/>
      <c r="C1277" s="10"/>
      <c r="D1277" s="10"/>
      <c r="E1277" s="10"/>
      <c r="F1277" s="10"/>
      <c r="G1277" s="10"/>
      <c r="H1277" s="770"/>
      <c r="I1277" s="10"/>
      <c r="J1277" s="10"/>
      <c r="K1277" s="10"/>
      <c r="L1277" s="10"/>
      <c r="M1277" s="770"/>
      <c r="N1277" s="10"/>
      <c r="O1277" s="10"/>
      <c r="P1277" s="10"/>
      <c r="Q1277" s="10"/>
      <c r="R1277" s="10"/>
      <c r="S1277" s="10"/>
    </row>
    <row r="1278" spans="1:19" x14ac:dyDescent="0.25">
      <c r="A1278" s="10"/>
      <c r="B1278" s="10"/>
      <c r="C1278" s="10"/>
      <c r="D1278" s="10"/>
      <c r="E1278" s="10"/>
      <c r="F1278" s="10"/>
      <c r="G1278" s="10"/>
      <c r="H1278" s="770"/>
      <c r="I1278" s="10"/>
      <c r="J1278" s="10"/>
      <c r="K1278" s="10"/>
      <c r="L1278" s="10"/>
      <c r="M1278" s="770"/>
      <c r="N1278" s="10"/>
      <c r="O1278" s="10"/>
      <c r="P1278" s="10"/>
      <c r="Q1278" s="10"/>
      <c r="R1278" s="10"/>
      <c r="S1278" s="10"/>
    </row>
    <row r="1279" spans="1:19" x14ac:dyDescent="0.25">
      <c r="A1279" s="10"/>
      <c r="B1279" s="10"/>
      <c r="C1279" s="10"/>
      <c r="D1279" s="10"/>
      <c r="E1279" s="10"/>
      <c r="F1279" s="10"/>
      <c r="G1279" s="10"/>
      <c r="H1279" s="770"/>
      <c r="I1279" s="10"/>
      <c r="J1279" s="10"/>
      <c r="K1279" s="10"/>
      <c r="L1279" s="10"/>
      <c r="M1279" s="770"/>
      <c r="N1279" s="10"/>
      <c r="O1279" s="10"/>
      <c r="P1279" s="10"/>
      <c r="Q1279" s="10"/>
      <c r="R1279" s="10"/>
      <c r="S1279" s="10"/>
    </row>
    <row r="1280" spans="1:19" x14ac:dyDescent="0.25">
      <c r="A1280" s="10"/>
      <c r="B1280" s="10"/>
      <c r="C1280" s="10"/>
      <c r="D1280" s="10"/>
      <c r="E1280" s="10"/>
      <c r="F1280" s="10"/>
      <c r="G1280" s="10"/>
      <c r="H1280" s="770"/>
      <c r="I1280" s="10"/>
      <c r="J1280" s="10"/>
      <c r="K1280" s="10"/>
      <c r="L1280" s="10"/>
      <c r="M1280" s="770"/>
      <c r="N1280" s="10"/>
      <c r="O1280" s="10"/>
      <c r="P1280" s="10"/>
      <c r="Q1280" s="10"/>
      <c r="R1280" s="10"/>
      <c r="S1280" s="10"/>
    </row>
    <row r="1281" spans="1:19" x14ac:dyDescent="0.25">
      <c r="A1281" s="10"/>
      <c r="B1281" s="10"/>
      <c r="C1281" s="10"/>
      <c r="D1281" s="10"/>
      <c r="E1281" s="10"/>
      <c r="F1281" s="10"/>
      <c r="G1281" s="10"/>
      <c r="H1281" s="770"/>
      <c r="I1281" s="10"/>
      <c r="J1281" s="10"/>
      <c r="K1281" s="10"/>
      <c r="L1281" s="10"/>
      <c r="M1281" s="770"/>
      <c r="N1281" s="10"/>
      <c r="O1281" s="10"/>
      <c r="P1281" s="10"/>
      <c r="Q1281" s="10"/>
      <c r="R1281" s="10"/>
      <c r="S1281" s="10"/>
    </row>
    <row r="1282" spans="1:19" x14ac:dyDescent="0.25">
      <c r="A1282" s="10"/>
      <c r="B1282" s="10"/>
      <c r="C1282" s="10"/>
      <c r="D1282" s="10"/>
      <c r="E1282" s="10"/>
      <c r="F1282" s="10"/>
      <c r="G1282" s="10"/>
      <c r="H1282" s="770"/>
      <c r="I1282" s="10"/>
      <c r="J1282" s="10"/>
      <c r="K1282" s="10"/>
      <c r="L1282" s="10"/>
      <c r="M1282" s="770"/>
      <c r="N1282" s="10"/>
      <c r="O1282" s="10"/>
      <c r="P1282" s="10"/>
      <c r="Q1282" s="10"/>
      <c r="R1282" s="10"/>
      <c r="S1282" s="10"/>
    </row>
    <row r="1283" spans="1:19" x14ac:dyDescent="0.25">
      <c r="A1283" s="10"/>
      <c r="B1283" s="10"/>
      <c r="C1283" s="10"/>
      <c r="D1283" s="10"/>
      <c r="E1283" s="10"/>
      <c r="F1283" s="10"/>
      <c r="G1283" s="10"/>
      <c r="H1283" s="770"/>
      <c r="I1283" s="10"/>
      <c r="J1283" s="10"/>
      <c r="K1283" s="10"/>
      <c r="L1283" s="10"/>
      <c r="M1283" s="770"/>
      <c r="N1283" s="10"/>
      <c r="O1283" s="10"/>
      <c r="P1283" s="10"/>
      <c r="Q1283" s="10"/>
      <c r="R1283" s="10"/>
      <c r="S1283" s="10"/>
    </row>
    <row r="1284" spans="1:19" x14ac:dyDescent="0.25">
      <c r="A1284" s="10"/>
      <c r="B1284" s="10"/>
      <c r="C1284" s="10"/>
      <c r="D1284" s="10"/>
      <c r="E1284" s="10"/>
      <c r="F1284" s="10"/>
      <c r="G1284" s="10"/>
      <c r="H1284" s="770"/>
      <c r="I1284" s="10"/>
      <c r="J1284" s="10"/>
      <c r="K1284" s="10"/>
      <c r="L1284" s="10"/>
      <c r="M1284" s="770"/>
      <c r="N1284" s="10"/>
      <c r="O1284" s="10"/>
      <c r="P1284" s="10"/>
      <c r="Q1284" s="10"/>
      <c r="R1284" s="10"/>
      <c r="S1284" s="10"/>
    </row>
    <row r="1285" spans="1:19" x14ac:dyDescent="0.25">
      <c r="A1285" s="10"/>
      <c r="B1285" s="10"/>
      <c r="C1285" s="10"/>
      <c r="D1285" s="10"/>
      <c r="E1285" s="10"/>
      <c r="F1285" s="10"/>
      <c r="G1285" s="10"/>
      <c r="H1285" s="770"/>
      <c r="I1285" s="10"/>
      <c r="J1285" s="10"/>
      <c r="K1285" s="10"/>
      <c r="L1285" s="10"/>
      <c r="M1285" s="770"/>
      <c r="N1285" s="10"/>
      <c r="O1285" s="10"/>
      <c r="P1285" s="10"/>
      <c r="Q1285" s="10"/>
      <c r="R1285" s="10"/>
      <c r="S1285" s="10"/>
    </row>
    <row r="1286" spans="1:19" x14ac:dyDescent="0.25">
      <c r="A1286" s="10"/>
      <c r="B1286" s="10"/>
      <c r="C1286" s="10"/>
      <c r="D1286" s="10"/>
      <c r="E1286" s="10"/>
      <c r="F1286" s="10"/>
      <c r="G1286" s="10"/>
      <c r="H1286" s="770"/>
      <c r="I1286" s="10"/>
      <c r="J1286" s="10"/>
      <c r="K1286" s="10"/>
      <c r="L1286" s="10"/>
      <c r="M1286" s="770"/>
      <c r="N1286" s="10"/>
      <c r="O1286" s="10"/>
      <c r="P1286" s="10"/>
      <c r="Q1286" s="10"/>
      <c r="R1286" s="10"/>
      <c r="S1286" s="10"/>
    </row>
    <row r="1287" spans="1:19" x14ac:dyDescent="0.25">
      <c r="A1287" s="10"/>
      <c r="B1287" s="10"/>
      <c r="C1287" s="10"/>
      <c r="D1287" s="10"/>
      <c r="E1287" s="10"/>
      <c r="F1287" s="10"/>
      <c r="G1287" s="10"/>
      <c r="H1287" s="770"/>
      <c r="I1287" s="10"/>
      <c r="J1287" s="10"/>
      <c r="K1287" s="10"/>
      <c r="L1287" s="10"/>
      <c r="M1287" s="770"/>
      <c r="N1287" s="10"/>
      <c r="O1287" s="10"/>
      <c r="P1287" s="10"/>
      <c r="Q1287" s="10"/>
      <c r="R1287" s="10"/>
      <c r="S1287" s="10"/>
    </row>
    <row r="1288" spans="1:19" x14ac:dyDescent="0.25">
      <c r="A1288" s="10"/>
      <c r="B1288" s="10"/>
      <c r="C1288" s="10"/>
      <c r="D1288" s="10"/>
      <c r="E1288" s="10"/>
      <c r="F1288" s="10"/>
      <c r="G1288" s="10"/>
      <c r="H1288" s="770"/>
      <c r="I1288" s="10"/>
      <c r="J1288" s="10"/>
      <c r="K1288" s="10"/>
      <c r="L1288" s="10"/>
      <c r="M1288" s="770"/>
      <c r="N1288" s="10"/>
      <c r="O1288" s="10"/>
      <c r="P1288" s="10"/>
      <c r="Q1288" s="10"/>
      <c r="R1288" s="10"/>
      <c r="S1288" s="10"/>
    </row>
    <row r="1289" spans="1:19" x14ac:dyDescent="0.25">
      <c r="A1289" s="10"/>
      <c r="B1289" s="10"/>
      <c r="C1289" s="10"/>
      <c r="D1289" s="10"/>
      <c r="E1289" s="10"/>
      <c r="F1289" s="10"/>
      <c r="G1289" s="10"/>
      <c r="H1289" s="770"/>
      <c r="I1289" s="10"/>
      <c r="J1289" s="10"/>
      <c r="K1289" s="10"/>
      <c r="L1289" s="10"/>
      <c r="M1289" s="770"/>
      <c r="N1289" s="10"/>
      <c r="O1289" s="10"/>
      <c r="P1289" s="10"/>
      <c r="Q1289" s="10"/>
      <c r="R1289" s="10"/>
      <c r="S1289" s="10"/>
    </row>
    <row r="1290" spans="1:19" x14ac:dyDescent="0.25">
      <c r="A1290" s="10"/>
      <c r="B1290" s="10"/>
      <c r="C1290" s="10"/>
      <c r="D1290" s="10"/>
      <c r="E1290" s="10"/>
      <c r="F1290" s="10"/>
      <c r="G1290" s="10"/>
      <c r="H1290" s="770"/>
      <c r="I1290" s="10"/>
      <c r="J1290" s="10"/>
      <c r="K1290" s="10"/>
      <c r="L1290" s="10"/>
      <c r="M1290" s="770"/>
      <c r="N1290" s="10"/>
      <c r="O1290" s="10"/>
      <c r="P1290" s="10"/>
      <c r="Q1290" s="10"/>
      <c r="R1290" s="10"/>
      <c r="S1290" s="10"/>
    </row>
    <row r="1291" spans="1:19" x14ac:dyDescent="0.25">
      <c r="A1291" s="10"/>
      <c r="B1291" s="10"/>
      <c r="C1291" s="10"/>
      <c r="D1291" s="10"/>
      <c r="E1291" s="10"/>
      <c r="F1291" s="10"/>
      <c r="G1291" s="10"/>
      <c r="H1291" s="770"/>
      <c r="I1291" s="10"/>
      <c r="J1291" s="10"/>
      <c r="K1291" s="10"/>
      <c r="L1291" s="10"/>
      <c r="M1291" s="770"/>
      <c r="N1291" s="10"/>
      <c r="O1291" s="10"/>
      <c r="P1291" s="10"/>
      <c r="Q1291" s="10"/>
      <c r="R1291" s="10"/>
      <c r="S1291" s="10"/>
    </row>
    <row r="1292" spans="1:19" x14ac:dyDescent="0.25">
      <c r="A1292" s="10"/>
      <c r="B1292" s="10"/>
      <c r="C1292" s="10"/>
      <c r="D1292" s="10"/>
      <c r="E1292" s="10"/>
      <c r="F1292" s="10"/>
      <c r="G1292" s="10"/>
      <c r="H1292" s="770"/>
      <c r="I1292" s="10"/>
      <c r="J1292" s="10"/>
      <c r="K1292" s="10"/>
      <c r="L1292" s="10"/>
      <c r="M1292" s="770"/>
      <c r="N1292" s="10"/>
      <c r="O1292" s="10"/>
      <c r="P1292" s="10"/>
      <c r="Q1292" s="10"/>
      <c r="R1292" s="10"/>
      <c r="S1292" s="10"/>
    </row>
    <row r="1293" spans="1:19" x14ac:dyDescent="0.25">
      <c r="A1293" s="10"/>
      <c r="B1293" s="10"/>
      <c r="C1293" s="10"/>
      <c r="D1293" s="10"/>
      <c r="E1293" s="10"/>
      <c r="F1293" s="10"/>
      <c r="G1293" s="10"/>
      <c r="H1293" s="770"/>
      <c r="I1293" s="10"/>
      <c r="J1293" s="10"/>
      <c r="K1293" s="10"/>
      <c r="L1293" s="10"/>
      <c r="M1293" s="770"/>
      <c r="N1293" s="10"/>
      <c r="O1293" s="10"/>
      <c r="P1293" s="10"/>
      <c r="Q1293" s="10"/>
      <c r="R1293" s="10"/>
      <c r="S1293" s="10"/>
    </row>
    <row r="1294" spans="1:19" x14ac:dyDescent="0.25">
      <c r="A1294" s="10"/>
      <c r="B1294" s="10"/>
      <c r="C1294" s="10"/>
      <c r="D1294" s="10"/>
      <c r="E1294" s="10"/>
      <c r="F1294" s="10"/>
      <c r="G1294" s="10"/>
      <c r="H1294" s="770"/>
      <c r="I1294" s="10"/>
      <c r="J1294" s="10"/>
      <c r="K1294" s="10"/>
      <c r="L1294" s="10"/>
      <c r="M1294" s="770"/>
      <c r="N1294" s="10"/>
      <c r="O1294" s="10"/>
      <c r="P1294" s="10"/>
      <c r="Q1294" s="10"/>
      <c r="R1294" s="10"/>
      <c r="S1294" s="10"/>
    </row>
    <row r="1295" spans="1:19" x14ac:dyDescent="0.25">
      <c r="A1295" s="10"/>
      <c r="B1295" s="10"/>
      <c r="C1295" s="10"/>
      <c r="D1295" s="10"/>
      <c r="E1295" s="10"/>
      <c r="F1295" s="10"/>
      <c r="G1295" s="10"/>
      <c r="H1295" s="770"/>
      <c r="I1295" s="10"/>
      <c r="J1295" s="10"/>
      <c r="K1295" s="10"/>
      <c r="L1295" s="10"/>
      <c r="M1295" s="770"/>
      <c r="N1295" s="10"/>
      <c r="O1295" s="10"/>
      <c r="P1295" s="10"/>
      <c r="Q1295" s="10"/>
      <c r="R1295" s="10"/>
      <c r="S1295" s="10"/>
    </row>
    <row r="1296" spans="1:19" x14ac:dyDescent="0.25">
      <c r="A1296" s="10"/>
      <c r="B1296" s="10"/>
      <c r="C1296" s="10"/>
      <c r="D1296" s="10"/>
      <c r="E1296" s="10"/>
      <c r="F1296" s="10"/>
      <c r="G1296" s="10"/>
      <c r="H1296" s="770"/>
      <c r="I1296" s="10"/>
      <c r="J1296" s="10"/>
      <c r="K1296" s="10"/>
      <c r="L1296" s="10"/>
      <c r="M1296" s="770"/>
      <c r="N1296" s="10"/>
      <c r="O1296" s="10"/>
      <c r="P1296" s="10"/>
      <c r="Q1296" s="10"/>
      <c r="R1296" s="10"/>
      <c r="S1296" s="10"/>
    </row>
    <row r="1297" spans="1:19" x14ac:dyDescent="0.25">
      <c r="A1297" s="10"/>
      <c r="B1297" s="10"/>
      <c r="C1297" s="10"/>
      <c r="D1297" s="10"/>
      <c r="E1297" s="10"/>
      <c r="F1297" s="10"/>
      <c r="G1297" s="10"/>
      <c r="H1297" s="770"/>
      <c r="I1297" s="10"/>
      <c r="J1297" s="10"/>
      <c r="K1297" s="10"/>
      <c r="L1297" s="10"/>
      <c r="M1297" s="770"/>
      <c r="N1297" s="10"/>
      <c r="O1297" s="10"/>
      <c r="P1297" s="10"/>
      <c r="Q1297" s="10"/>
      <c r="R1297" s="10"/>
      <c r="S1297" s="10"/>
    </row>
    <row r="1298" spans="1:19" x14ac:dyDescent="0.25">
      <c r="A1298" s="10"/>
      <c r="B1298" s="10"/>
      <c r="C1298" s="10"/>
      <c r="D1298" s="10"/>
      <c r="E1298" s="10"/>
      <c r="F1298" s="10"/>
      <c r="G1298" s="10"/>
      <c r="H1298" s="770"/>
      <c r="I1298" s="10"/>
      <c r="J1298" s="10"/>
      <c r="K1298" s="10"/>
      <c r="L1298" s="10"/>
      <c r="M1298" s="770"/>
      <c r="N1298" s="10"/>
      <c r="O1298" s="10"/>
      <c r="P1298" s="10"/>
      <c r="Q1298" s="10"/>
      <c r="R1298" s="10"/>
      <c r="S1298" s="10"/>
    </row>
    <row r="1299" spans="1:19" x14ac:dyDescent="0.25">
      <c r="A1299" s="10"/>
      <c r="B1299" s="10"/>
      <c r="C1299" s="10"/>
      <c r="D1299" s="10"/>
      <c r="E1299" s="10"/>
      <c r="F1299" s="10"/>
      <c r="G1299" s="10"/>
      <c r="H1299" s="770"/>
      <c r="I1299" s="10"/>
      <c r="J1299" s="10"/>
      <c r="K1299" s="10"/>
      <c r="L1299" s="10"/>
      <c r="M1299" s="770"/>
      <c r="N1299" s="10"/>
      <c r="O1299" s="10"/>
      <c r="P1299" s="10"/>
      <c r="Q1299" s="10"/>
      <c r="R1299" s="10"/>
      <c r="S1299" s="10"/>
    </row>
    <row r="1300" spans="1:19" x14ac:dyDescent="0.25">
      <c r="A1300" s="10"/>
      <c r="B1300" s="10"/>
      <c r="C1300" s="10"/>
      <c r="D1300" s="10"/>
      <c r="E1300" s="10"/>
      <c r="F1300" s="10"/>
      <c r="G1300" s="10"/>
      <c r="H1300" s="770"/>
      <c r="I1300" s="10"/>
      <c r="J1300" s="10"/>
      <c r="K1300" s="10"/>
      <c r="L1300" s="10"/>
      <c r="M1300" s="770"/>
      <c r="N1300" s="10"/>
      <c r="O1300" s="10"/>
      <c r="P1300" s="10"/>
      <c r="Q1300" s="10"/>
      <c r="R1300" s="10"/>
      <c r="S1300" s="10"/>
    </row>
    <row r="1301" spans="1:19" x14ac:dyDescent="0.25">
      <c r="A1301" s="10"/>
      <c r="B1301" s="10"/>
      <c r="C1301" s="10"/>
      <c r="D1301" s="10"/>
      <c r="E1301" s="10"/>
      <c r="F1301" s="10"/>
      <c r="G1301" s="10"/>
      <c r="H1301" s="770"/>
      <c r="I1301" s="10"/>
      <c r="J1301" s="10"/>
      <c r="K1301" s="10"/>
      <c r="L1301" s="10"/>
      <c r="M1301" s="770"/>
      <c r="N1301" s="10"/>
      <c r="O1301" s="10"/>
      <c r="P1301" s="10"/>
      <c r="Q1301" s="10"/>
      <c r="R1301" s="10"/>
      <c r="S1301" s="10"/>
    </row>
    <row r="1302" spans="1:19" x14ac:dyDescent="0.25">
      <c r="A1302" s="10"/>
      <c r="B1302" s="10"/>
      <c r="C1302" s="10"/>
      <c r="D1302" s="10"/>
      <c r="E1302" s="10"/>
      <c r="F1302" s="10"/>
      <c r="G1302" s="10"/>
      <c r="H1302" s="770"/>
      <c r="I1302" s="10"/>
      <c r="J1302" s="10"/>
      <c r="K1302" s="10"/>
      <c r="L1302" s="10"/>
      <c r="M1302" s="770"/>
      <c r="N1302" s="10"/>
      <c r="O1302" s="10"/>
      <c r="P1302" s="10"/>
      <c r="Q1302" s="10"/>
      <c r="R1302" s="10"/>
      <c r="S1302" s="10"/>
    </row>
    <row r="1303" spans="1:19" x14ac:dyDescent="0.25">
      <c r="A1303" s="10"/>
      <c r="B1303" s="10"/>
      <c r="C1303" s="10"/>
      <c r="D1303" s="10"/>
      <c r="E1303" s="10"/>
      <c r="F1303" s="10"/>
      <c r="G1303" s="10"/>
      <c r="H1303" s="770"/>
      <c r="I1303" s="10"/>
      <c r="J1303" s="10"/>
      <c r="K1303" s="10"/>
      <c r="L1303" s="10"/>
      <c r="M1303" s="770"/>
      <c r="N1303" s="10"/>
      <c r="O1303" s="10"/>
      <c r="P1303" s="10"/>
      <c r="Q1303" s="10"/>
      <c r="R1303" s="10"/>
      <c r="S1303" s="10"/>
    </row>
    <row r="1304" spans="1:19" x14ac:dyDescent="0.25">
      <c r="A1304" s="10"/>
      <c r="B1304" s="10"/>
      <c r="C1304" s="10"/>
      <c r="D1304" s="10"/>
      <c r="E1304" s="10"/>
      <c r="F1304" s="10"/>
      <c r="G1304" s="10"/>
      <c r="H1304" s="770"/>
      <c r="I1304" s="10"/>
      <c r="J1304" s="10"/>
      <c r="K1304" s="10"/>
      <c r="L1304" s="10"/>
      <c r="M1304" s="770"/>
      <c r="N1304" s="10"/>
      <c r="O1304" s="10"/>
      <c r="P1304" s="10"/>
      <c r="Q1304" s="10"/>
      <c r="R1304" s="10"/>
      <c r="S1304" s="10"/>
    </row>
    <row r="1305" spans="1:19" x14ac:dyDescent="0.25">
      <c r="A1305" s="10"/>
      <c r="B1305" s="10"/>
      <c r="C1305" s="10"/>
      <c r="D1305" s="10"/>
      <c r="E1305" s="10"/>
      <c r="F1305" s="10"/>
      <c r="G1305" s="10"/>
      <c r="H1305" s="770"/>
      <c r="I1305" s="10"/>
      <c r="J1305" s="10"/>
      <c r="K1305" s="10"/>
      <c r="L1305" s="10"/>
      <c r="M1305" s="770"/>
      <c r="N1305" s="10"/>
      <c r="O1305" s="10"/>
      <c r="P1305" s="10"/>
      <c r="Q1305" s="10"/>
      <c r="R1305" s="10"/>
      <c r="S1305" s="10"/>
    </row>
    <row r="1306" spans="1:19" x14ac:dyDescent="0.25">
      <c r="A1306" s="10"/>
      <c r="B1306" s="10"/>
      <c r="C1306" s="10"/>
      <c r="D1306" s="10"/>
      <c r="E1306" s="10"/>
      <c r="F1306" s="10"/>
      <c r="G1306" s="10"/>
      <c r="H1306" s="770"/>
      <c r="I1306" s="10"/>
      <c r="J1306" s="10"/>
      <c r="K1306" s="10"/>
      <c r="L1306" s="10"/>
      <c r="M1306" s="770"/>
      <c r="N1306" s="10"/>
      <c r="O1306" s="10"/>
      <c r="P1306" s="10"/>
      <c r="Q1306" s="10"/>
      <c r="R1306" s="10"/>
      <c r="S1306" s="10"/>
    </row>
    <row r="1307" spans="1:19" x14ac:dyDescent="0.25">
      <c r="A1307" s="10"/>
      <c r="B1307" s="10"/>
      <c r="C1307" s="10"/>
      <c r="D1307" s="10"/>
      <c r="E1307" s="10"/>
      <c r="F1307" s="10"/>
      <c r="G1307" s="10"/>
      <c r="H1307" s="770"/>
      <c r="I1307" s="10"/>
      <c r="J1307" s="10"/>
      <c r="K1307" s="10"/>
      <c r="L1307" s="10"/>
      <c r="M1307" s="770"/>
      <c r="N1307" s="10"/>
      <c r="O1307" s="10"/>
      <c r="P1307" s="10"/>
      <c r="Q1307" s="10"/>
      <c r="R1307" s="10"/>
      <c r="S1307" s="10"/>
    </row>
    <row r="1308" spans="1:19" x14ac:dyDescent="0.25">
      <c r="A1308" s="10"/>
      <c r="B1308" s="10"/>
      <c r="C1308" s="10"/>
      <c r="D1308" s="10"/>
      <c r="E1308" s="10"/>
      <c r="F1308" s="10"/>
      <c r="G1308" s="10"/>
      <c r="H1308" s="770"/>
      <c r="I1308" s="10"/>
      <c r="J1308" s="10"/>
      <c r="K1308" s="10"/>
      <c r="L1308" s="10"/>
      <c r="M1308" s="770"/>
      <c r="N1308" s="10"/>
      <c r="O1308" s="10"/>
      <c r="P1308" s="10"/>
      <c r="Q1308" s="10"/>
      <c r="R1308" s="10"/>
      <c r="S1308" s="10"/>
    </row>
    <row r="1309" spans="1:19" x14ac:dyDescent="0.25">
      <c r="A1309" s="10"/>
      <c r="B1309" s="10"/>
      <c r="C1309" s="10"/>
      <c r="D1309" s="10"/>
      <c r="E1309" s="10"/>
      <c r="F1309" s="10"/>
      <c r="G1309" s="10"/>
      <c r="H1309" s="770"/>
      <c r="I1309" s="10"/>
      <c r="J1309" s="10"/>
      <c r="K1309" s="10"/>
      <c r="L1309" s="10"/>
      <c r="M1309" s="770"/>
      <c r="N1309" s="10"/>
      <c r="O1309" s="10"/>
      <c r="P1309" s="10"/>
      <c r="Q1309" s="10"/>
      <c r="R1309" s="10"/>
      <c r="S1309" s="10"/>
    </row>
    <row r="1310" spans="1:19" x14ac:dyDescent="0.25">
      <c r="A1310" s="10"/>
      <c r="B1310" s="10"/>
      <c r="C1310" s="10"/>
      <c r="D1310" s="10"/>
      <c r="E1310" s="10"/>
      <c r="F1310" s="10"/>
      <c r="G1310" s="10"/>
      <c r="H1310" s="770"/>
      <c r="I1310" s="10"/>
      <c r="J1310" s="10"/>
      <c r="K1310" s="10"/>
      <c r="L1310" s="10"/>
      <c r="M1310" s="770"/>
      <c r="N1310" s="10"/>
      <c r="O1310" s="10"/>
      <c r="P1310" s="10"/>
      <c r="Q1310" s="10"/>
      <c r="R1310" s="10"/>
      <c r="S1310" s="10"/>
    </row>
    <row r="1311" spans="1:19" x14ac:dyDescent="0.25">
      <c r="A1311" s="10"/>
      <c r="B1311" s="10"/>
      <c r="C1311" s="10"/>
      <c r="D1311" s="10"/>
      <c r="E1311" s="10"/>
      <c r="F1311" s="10"/>
      <c r="G1311" s="10"/>
      <c r="H1311" s="770"/>
      <c r="I1311" s="10"/>
      <c r="J1311" s="10"/>
      <c r="K1311" s="10"/>
      <c r="L1311" s="10"/>
      <c r="M1311" s="770"/>
      <c r="N1311" s="10"/>
      <c r="O1311" s="10"/>
      <c r="P1311" s="10"/>
      <c r="Q1311" s="10"/>
      <c r="R1311" s="10"/>
      <c r="S1311" s="10"/>
    </row>
    <row r="1312" spans="1:19" x14ac:dyDescent="0.25">
      <c r="A1312" s="10"/>
      <c r="B1312" s="10"/>
      <c r="C1312" s="10"/>
      <c r="D1312" s="10"/>
      <c r="E1312" s="10"/>
      <c r="F1312" s="10"/>
      <c r="G1312" s="10"/>
      <c r="H1312" s="770"/>
      <c r="I1312" s="10"/>
      <c r="J1312" s="10"/>
      <c r="K1312" s="10"/>
      <c r="L1312" s="10"/>
      <c r="M1312" s="770"/>
      <c r="N1312" s="10"/>
      <c r="O1312" s="10"/>
      <c r="P1312" s="10"/>
      <c r="Q1312" s="10"/>
      <c r="R1312" s="10"/>
      <c r="S1312" s="10"/>
    </row>
    <row r="1313" spans="1:19" x14ac:dyDescent="0.25">
      <c r="A1313" s="10"/>
      <c r="B1313" s="10"/>
      <c r="C1313" s="10"/>
      <c r="D1313" s="10"/>
      <c r="E1313" s="10"/>
      <c r="F1313" s="10"/>
      <c r="G1313" s="10"/>
      <c r="H1313" s="770"/>
      <c r="I1313" s="10"/>
      <c r="J1313" s="10"/>
      <c r="K1313" s="10"/>
      <c r="L1313" s="10"/>
      <c r="M1313" s="770"/>
      <c r="N1313" s="10"/>
      <c r="O1313" s="10"/>
      <c r="P1313" s="10"/>
      <c r="Q1313" s="10"/>
      <c r="R1313" s="10"/>
      <c r="S1313" s="10"/>
    </row>
    <row r="1314" spans="1:19" x14ac:dyDescent="0.25">
      <c r="A1314" s="10"/>
      <c r="B1314" s="10"/>
      <c r="C1314" s="10"/>
      <c r="D1314" s="10"/>
      <c r="E1314" s="10"/>
      <c r="F1314" s="10"/>
      <c r="G1314" s="10"/>
      <c r="H1314" s="770"/>
      <c r="I1314" s="10"/>
      <c r="J1314" s="10"/>
      <c r="K1314" s="10"/>
      <c r="L1314" s="10"/>
      <c r="M1314" s="770"/>
      <c r="N1314" s="10"/>
      <c r="O1314" s="10"/>
      <c r="P1314" s="10"/>
      <c r="Q1314" s="10"/>
      <c r="R1314" s="10"/>
      <c r="S1314" s="10"/>
    </row>
    <row r="1315" spans="1:19" x14ac:dyDescent="0.25">
      <c r="A1315" s="10"/>
      <c r="B1315" s="10"/>
      <c r="C1315" s="10"/>
      <c r="D1315" s="10"/>
      <c r="E1315" s="10"/>
      <c r="F1315" s="10"/>
      <c r="G1315" s="10"/>
      <c r="H1315" s="770"/>
      <c r="I1315" s="10"/>
      <c r="J1315" s="10"/>
      <c r="K1315" s="10"/>
      <c r="L1315" s="10"/>
      <c r="M1315" s="770"/>
      <c r="N1315" s="10"/>
      <c r="O1315" s="10"/>
      <c r="P1315" s="10"/>
      <c r="Q1315" s="10"/>
      <c r="R1315" s="10"/>
      <c r="S1315" s="10"/>
    </row>
    <row r="1316" spans="1:19" x14ac:dyDescent="0.25">
      <c r="A1316" s="10"/>
      <c r="B1316" s="10"/>
      <c r="C1316" s="10"/>
      <c r="D1316" s="10"/>
      <c r="E1316" s="10"/>
      <c r="F1316" s="10"/>
      <c r="G1316" s="10"/>
      <c r="H1316" s="770"/>
      <c r="I1316" s="10"/>
      <c r="J1316" s="10"/>
      <c r="K1316" s="10"/>
      <c r="L1316" s="10"/>
      <c r="M1316" s="770"/>
      <c r="N1316" s="10"/>
      <c r="O1316" s="10"/>
      <c r="P1316" s="10"/>
      <c r="Q1316" s="10"/>
      <c r="R1316" s="10"/>
      <c r="S1316" s="10"/>
    </row>
    <row r="1317" spans="1:19" x14ac:dyDescent="0.25">
      <c r="A1317" s="10"/>
      <c r="B1317" s="10"/>
      <c r="C1317" s="10"/>
      <c r="D1317" s="10"/>
      <c r="E1317" s="10"/>
      <c r="F1317" s="10"/>
      <c r="G1317" s="10"/>
      <c r="H1317" s="770"/>
      <c r="I1317" s="10"/>
      <c r="J1317" s="10"/>
      <c r="K1317" s="10"/>
      <c r="L1317" s="10"/>
      <c r="M1317" s="770"/>
      <c r="N1317" s="10"/>
      <c r="O1317" s="10"/>
      <c r="P1317" s="10"/>
      <c r="Q1317" s="10"/>
      <c r="R1317" s="10"/>
      <c r="S1317" s="10"/>
    </row>
    <row r="1318" spans="1:19" x14ac:dyDescent="0.25">
      <c r="A1318" s="10"/>
      <c r="B1318" s="10"/>
      <c r="C1318" s="10"/>
      <c r="D1318" s="10"/>
      <c r="E1318" s="10"/>
      <c r="F1318" s="10"/>
      <c r="G1318" s="10"/>
      <c r="H1318" s="770"/>
      <c r="I1318" s="10"/>
      <c r="J1318" s="10"/>
      <c r="K1318" s="10"/>
      <c r="L1318" s="10"/>
      <c r="M1318" s="770"/>
      <c r="N1318" s="10"/>
      <c r="O1318" s="10"/>
      <c r="P1318" s="10"/>
      <c r="Q1318" s="10"/>
      <c r="R1318" s="10"/>
      <c r="S1318" s="10"/>
    </row>
    <row r="1319" spans="1:19" x14ac:dyDescent="0.25">
      <c r="A1319" s="10"/>
      <c r="B1319" s="10"/>
      <c r="C1319" s="10"/>
      <c r="D1319" s="10"/>
      <c r="E1319" s="10"/>
      <c r="F1319" s="10"/>
      <c r="G1319" s="10"/>
      <c r="H1319" s="770"/>
      <c r="I1319" s="10"/>
      <c r="J1319" s="10"/>
      <c r="K1319" s="10"/>
      <c r="L1319" s="10"/>
      <c r="M1319" s="770"/>
      <c r="N1319" s="10"/>
      <c r="O1319" s="10"/>
      <c r="P1319" s="10"/>
      <c r="Q1319" s="10"/>
      <c r="R1319" s="10"/>
      <c r="S1319" s="10"/>
    </row>
    <row r="1320" spans="1:19" x14ac:dyDescent="0.25">
      <c r="A1320" s="10"/>
      <c r="B1320" s="10"/>
      <c r="C1320" s="10"/>
      <c r="D1320" s="10"/>
      <c r="E1320" s="10"/>
      <c r="F1320" s="10"/>
      <c r="G1320" s="10"/>
      <c r="H1320" s="770"/>
      <c r="I1320" s="10"/>
      <c r="J1320" s="10"/>
      <c r="K1320" s="10"/>
      <c r="L1320" s="10"/>
      <c r="M1320" s="770"/>
      <c r="N1320" s="10"/>
      <c r="O1320" s="10"/>
      <c r="P1320" s="10"/>
      <c r="Q1320" s="10"/>
      <c r="R1320" s="10"/>
      <c r="S1320" s="10"/>
    </row>
    <row r="1321" spans="1:19" x14ac:dyDescent="0.25">
      <c r="A1321" s="10"/>
      <c r="B1321" s="10"/>
      <c r="C1321" s="10"/>
      <c r="D1321" s="10"/>
      <c r="E1321" s="10"/>
      <c r="F1321" s="10"/>
      <c r="G1321" s="10"/>
      <c r="H1321" s="770"/>
      <c r="I1321" s="10"/>
      <c r="J1321" s="10"/>
      <c r="K1321" s="10"/>
      <c r="L1321" s="10"/>
      <c r="M1321" s="770"/>
      <c r="N1321" s="10"/>
      <c r="O1321" s="10"/>
      <c r="P1321" s="10"/>
      <c r="Q1321" s="10"/>
      <c r="R1321" s="10"/>
      <c r="S1321" s="10"/>
    </row>
    <row r="1322" spans="1:19" x14ac:dyDescent="0.25">
      <c r="A1322" s="10"/>
      <c r="B1322" s="10"/>
      <c r="C1322" s="10"/>
      <c r="D1322" s="10"/>
      <c r="E1322" s="10"/>
      <c r="F1322" s="10"/>
      <c r="G1322" s="10"/>
      <c r="H1322" s="770"/>
      <c r="I1322" s="10"/>
      <c r="J1322" s="10"/>
      <c r="K1322" s="10"/>
      <c r="L1322" s="10"/>
      <c r="M1322" s="770"/>
      <c r="N1322" s="10"/>
      <c r="O1322" s="10"/>
      <c r="P1322" s="10"/>
      <c r="Q1322" s="10"/>
      <c r="R1322" s="10"/>
      <c r="S1322" s="10"/>
    </row>
    <row r="1323" spans="1:19" x14ac:dyDescent="0.25">
      <c r="A1323" s="10"/>
      <c r="B1323" s="10"/>
      <c r="C1323" s="10"/>
      <c r="D1323" s="10"/>
      <c r="E1323" s="10"/>
      <c r="F1323" s="10"/>
      <c r="G1323" s="10"/>
      <c r="H1323" s="770"/>
      <c r="I1323" s="10"/>
      <c r="J1323" s="10"/>
      <c r="K1323" s="10"/>
      <c r="L1323" s="10"/>
      <c r="M1323" s="770"/>
      <c r="N1323" s="10"/>
      <c r="O1323" s="10"/>
      <c r="P1323" s="10"/>
      <c r="Q1323" s="10"/>
      <c r="R1323" s="10"/>
      <c r="S1323" s="10"/>
    </row>
    <row r="1324" spans="1:19" x14ac:dyDescent="0.25">
      <c r="A1324" s="10"/>
      <c r="B1324" s="10"/>
      <c r="C1324" s="10"/>
      <c r="D1324" s="10"/>
      <c r="E1324" s="10"/>
      <c r="F1324" s="10"/>
      <c r="G1324" s="10"/>
      <c r="H1324" s="770"/>
      <c r="I1324" s="10"/>
      <c r="J1324" s="10"/>
      <c r="K1324" s="10"/>
      <c r="L1324" s="10"/>
      <c r="M1324" s="770"/>
      <c r="N1324" s="10"/>
      <c r="O1324" s="10"/>
      <c r="P1324" s="10"/>
      <c r="Q1324" s="10"/>
      <c r="R1324" s="10"/>
      <c r="S1324" s="10"/>
    </row>
    <row r="1325" spans="1:19" x14ac:dyDescent="0.25">
      <c r="A1325" s="10"/>
      <c r="B1325" s="10"/>
      <c r="C1325" s="10"/>
      <c r="D1325" s="10"/>
      <c r="E1325" s="10"/>
      <c r="F1325" s="10"/>
      <c r="G1325" s="10"/>
      <c r="H1325" s="770"/>
      <c r="I1325" s="10"/>
      <c r="J1325" s="10"/>
      <c r="K1325" s="10"/>
      <c r="L1325" s="10"/>
      <c r="M1325" s="770"/>
      <c r="N1325" s="10"/>
      <c r="O1325" s="10"/>
      <c r="P1325" s="10"/>
      <c r="Q1325" s="10"/>
      <c r="R1325" s="10"/>
      <c r="S1325" s="10"/>
    </row>
    <row r="1326" spans="1:19" x14ac:dyDescent="0.25">
      <c r="A1326" s="10"/>
      <c r="B1326" s="10"/>
      <c r="C1326" s="10"/>
      <c r="D1326" s="10"/>
      <c r="E1326" s="10"/>
      <c r="F1326" s="10"/>
      <c r="G1326" s="10"/>
      <c r="H1326" s="770"/>
      <c r="I1326" s="10"/>
      <c r="J1326" s="10"/>
      <c r="K1326" s="10"/>
      <c r="L1326" s="10"/>
      <c r="M1326" s="770"/>
      <c r="N1326" s="10"/>
      <c r="O1326" s="10"/>
      <c r="P1326" s="10"/>
      <c r="Q1326" s="10"/>
      <c r="R1326" s="10"/>
      <c r="S1326" s="10"/>
    </row>
    <row r="1327" spans="1:19" x14ac:dyDescent="0.25">
      <c r="A1327" s="10"/>
      <c r="B1327" s="10"/>
      <c r="C1327" s="10"/>
      <c r="D1327" s="10"/>
      <c r="E1327" s="10"/>
      <c r="F1327" s="10"/>
      <c r="G1327" s="10"/>
      <c r="H1327" s="770"/>
      <c r="I1327" s="10"/>
      <c r="J1327" s="10"/>
      <c r="K1327" s="10"/>
      <c r="L1327" s="10"/>
      <c r="M1327" s="770"/>
      <c r="N1327" s="10"/>
      <c r="O1327" s="10"/>
      <c r="P1327" s="10"/>
      <c r="Q1327" s="10"/>
      <c r="R1327" s="10"/>
      <c r="S1327" s="10"/>
    </row>
    <row r="1328" spans="1:19" x14ac:dyDescent="0.25">
      <c r="A1328" s="10"/>
      <c r="B1328" s="10"/>
      <c r="C1328" s="10"/>
      <c r="D1328" s="10"/>
      <c r="E1328" s="10"/>
      <c r="F1328" s="10"/>
      <c r="G1328" s="10"/>
      <c r="H1328" s="770"/>
      <c r="I1328" s="10"/>
      <c r="J1328" s="10"/>
      <c r="K1328" s="10"/>
      <c r="L1328" s="10"/>
      <c r="M1328" s="770"/>
      <c r="N1328" s="10"/>
      <c r="O1328" s="10"/>
      <c r="P1328" s="10"/>
      <c r="Q1328" s="10"/>
      <c r="R1328" s="10"/>
      <c r="S1328" s="10"/>
    </row>
    <row r="1329" spans="1:19" x14ac:dyDescent="0.25">
      <c r="A1329" s="10"/>
      <c r="B1329" s="10"/>
      <c r="C1329" s="10"/>
      <c r="D1329" s="10"/>
      <c r="E1329" s="10"/>
      <c r="F1329" s="10"/>
      <c r="G1329" s="10"/>
      <c r="H1329" s="770"/>
      <c r="I1329" s="10"/>
      <c r="J1329" s="10"/>
      <c r="K1329" s="10"/>
      <c r="L1329" s="10"/>
      <c r="M1329" s="770"/>
      <c r="N1329" s="10"/>
      <c r="O1329" s="10"/>
      <c r="P1329" s="10"/>
      <c r="Q1329" s="10"/>
      <c r="R1329" s="10"/>
      <c r="S1329" s="10"/>
    </row>
    <row r="1330" spans="1:19" x14ac:dyDescent="0.25">
      <c r="A1330" s="10"/>
      <c r="B1330" s="10"/>
      <c r="C1330" s="10"/>
      <c r="D1330" s="10"/>
      <c r="E1330" s="10"/>
      <c r="F1330" s="10"/>
      <c r="G1330" s="10"/>
      <c r="H1330" s="770"/>
      <c r="I1330" s="10"/>
      <c r="J1330" s="10"/>
      <c r="K1330" s="10"/>
      <c r="L1330" s="10"/>
      <c r="M1330" s="770"/>
      <c r="N1330" s="10"/>
      <c r="O1330" s="10"/>
      <c r="P1330" s="10"/>
      <c r="Q1330" s="10"/>
      <c r="R1330" s="10"/>
      <c r="S1330" s="10"/>
    </row>
    <row r="1331" spans="1:19" x14ac:dyDescent="0.25">
      <c r="A1331" s="10"/>
      <c r="B1331" s="10"/>
      <c r="C1331" s="10"/>
      <c r="D1331" s="10"/>
      <c r="E1331" s="10"/>
      <c r="F1331" s="10"/>
      <c r="G1331" s="10"/>
      <c r="H1331" s="770"/>
      <c r="I1331" s="10"/>
      <c r="J1331" s="10"/>
      <c r="K1331" s="10"/>
      <c r="L1331" s="10"/>
      <c r="M1331" s="770"/>
      <c r="N1331" s="10"/>
      <c r="O1331" s="10"/>
      <c r="P1331" s="10"/>
      <c r="Q1331" s="10"/>
      <c r="R1331" s="10"/>
      <c r="S1331" s="10"/>
    </row>
    <row r="1332" spans="1:19" x14ac:dyDescent="0.25">
      <c r="A1332" s="10"/>
      <c r="B1332" s="10"/>
      <c r="C1332" s="10"/>
      <c r="D1332" s="10"/>
      <c r="E1332" s="10"/>
      <c r="F1332" s="10"/>
      <c r="G1332" s="10"/>
      <c r="H1332" s="770"/>
      <c r="I1332" s="10"/>
      <c r="J1332" s="10"/>
      <c r="K1332" s="10"/>
      <c r="L1332" s="10"/>
      <c r="M1332" s="770"/>
      <c r="N1332" s="10"/>
      <c r="O1332" s="10"/>
      <c r="P1332" s="10"/>
      <c r="Q1332" s="10"/>
      <c r="R1332" s="10"/>
      <c r="S1332" s="10"/>
    </row>
    <row r="1333" spans="1:19" x14ac:dyDescent="0.25">
      <c r="A1333" s="10"/>
      <c r="B1333" s="10"/>
      <c r="C1333" s="10"/>
      <c r="D1333" s="10"/>
      <c r="E1333" s="10"/>
      <c r="F1333" s="10"/>
      <c r="G1333" s="10"/>
      <c r="H1333" s="770"/>
      <c r="I1333" s="10"/>
      <c r="J1333" s="10"/>
      <c r="K1333" s="10"/>
      <c r="L1333" s="10"/>
      <c r="M1333" s="770"/>
      <c r="N1333" s="10"/>
      <c r="O1333" s="10"/>
      <c r="P1333" s="10"/>
      <c r="Q1333" s="10"/>
      <c r="R1333" s="10"/>
      <c r="S1333" s="10"/>
    </row>
    <row r="1334" spans="1:19" x14ac:dyDescent="0.25">
      <c r="A1334" s="10"/>
      <c r="B1334" s="10"/>
      <c r="C1334" s="10"/>
      <c r="D1334" s="10"/>
      <c r="E1334" s="10"/>
      <c r="F1334" s="10"/>
      <c r="G1334" s="10"/>
      <c r="H1334" s="770"/>
      <c r="I1334" s="10"/>
      <c r="J1334" s="10"/>
      <c r="K1334" s="10"/>
      <c r="L1334" s="10"/>
      <c r="M1334" s="770"/>
      <c r="N1334" s="10"/>
      <c r="O1334" s="10"/>
      <c r="P1334" s="10"/>
      <c r="Q1334" s="10"/>
      <c r="R1334" s="10"/>
      <c r="S1334" s="10"/>
    </row>
    <row r="1335" spans="1:19" x14ac:dyDescent="0.25">
      <c r="A1335" s="10"/>
      <c r="B1335" s="10"/>
      <c r="C1335" s="10"/>
      <c r="D1335" s="10"/>
      <c r="E1335" s="10"/>
      <c r="F1335" s="10"/>
      <c r="G1335" s="10"/>
      <c r="H1335" s="770"/>
      <c r="I1335" s="10"/>
      <c r="J1335" s="10"/>
      <c r="K1335" s="10"/>
      <c r="L1335" s="10"/>
      <c r="M1335" s="770"/>
      <c r="N1335" s="10"/>
      <c r="O1335" s="10"/>
      <c r="P1335" s="10"/>
      <c r="Q1335" s="10"/>
      <c r="R1335" s="10"/>
      <c r="S1335" s="10"/>
    </row>
    <row r="1336" spans="1:19" x14ac:dyDescent="0.25">
      <c r="A1336" s="10"/>
      <c r="B1336" s="10"/>
      <c r="C1336" s="10"/>
      <c r="D1336" s="10"/>
      <c r="E1336" s="10"/>
      <c r="F1336" s="10"/>
      <c r="G1336" s="10"/>
      <c r="H1336" s="770"/>
      <c r="I1336" s="10"/>
      <c r="J1336" s="10"/>
      <c r="K1336" s="10"/>
      <c r="L1336" s="10"/>
      <c r="M1336" s="770"/>
      <c r="N1336" s="10"/>
      <c r="O1336" s="10"/>
      <c r="P1336" s="10"/>
      <c r="Q1336" s="10"/>
      <c r="R1336" s="10"/>
      <c r="S1336" s="10"/>
    </row>
    <row r="1337" spans="1:19" x14ac:dyDescent="0.25">
      <c r="A1337" s="10"/>
      <c r="B1337" s="10"/>
      <c r="C1337" s="10"/>
      <c r="D1337" s="10"/>
      <c r="E1337" s="10"/>
      <c r="F1337" s="10"/>
      <c r="G1337" s="10"/>
      <c r="H1337" s="770"/>
      <c r="I1337" s="10"/>
      <c r="J1337" s="10"/>
      <c r="K1337" s="10"/>
      <c r="L1337" s="10"/>
      <c r="M1337" s="770"/>
      <c r="N1337" s="10"/>
      <c r="O1337" s="10"/>
      <c r="P1337" s="10"/>
      <c r="Q1337" s="10"/>
      <c r="R1337" s="10"/>
      <c r="S1337" s="10"/>
    </row>
    <row r="1338" spans="1:19" x14ac:dyDescent="0.25">
      <c r="A1338" s="10"/>
      <c r="B1338" s="10"/>
      <c r="C1338" s="10"/>
      <c r="D1338" s="10"/>
      <c r="E1338" s="10"/>
      <c r="F1338" s="10"/>
      <c r="G1338" s="10"/>
      <c r="H1338" s="770"/>
      <c r="I1338" s="10"/>
      <c r="J1338" s="10"/>
      <c r="K1338" s="10"/>
      <c r="L1338" s="10"/>
      <c r="M1338" s="770"/>
      <c r="N1338" s="10"/>
      <c r="O1338" s="10"/>
      <c r="P1338" s="10"/>
      <c r="Q1338" s="10"/>
      <c r="R1338" s="10"/>
      <c r="S1338" s="10"/>
    </row>
    <row r="1339" spans="1:19" x14ac:dyDescent="0.25">
      <c r="A1339" s="10"/>
      <c r="B1339" s="10"/>
      <c r="C1339" s="10"/>
      <c r="D1339" s="10"/>
      <c r="E1339" s="10"/>
      <c r="F1339" s="10"/>
      <c r="G1339" s="10"/>
      <c r="H1339" s="770"/>
      <c r="I1339" s="10"/>
      <c r="J1339" s="10"/>
      <c r="K1339" s="10"/>
      <c r="L1339" s="10"/>
      <c r="M1339" s="770"/>
      <c r="N1339" s="10"/>
      <c r="O1339" s="10"/>
      <c r="P1339" s="10"/>
      <c r="Q1339" s="10"/>
      <c r="R1339" s="10"/>
      <c r="S1339" s="10"/>
    </row>
    <row r="1340" spans="1:19" x14ac:dyDescent="0.25">
      <c r="A1340" s="10"/>
      <c r="B1340" s="10"/>
      <c r="C1340" s="10"/>
      <c r="D1340" s="10"/>
      <c r="E1340" s="10"/>
      <c r="F1340" s="10"/>
      <c r="G1340" s="10"/>
      <c r="H1340" s="770"/>
      <c r="I1340" s="10"/>
      <c r="J1340" s="10"/>
      <c r="K1340" s="10"/>
      <c r="L1340" s="10"/>
      <c r="M1340" s="770"/>
      <c r="N1340" s="10"/>
      <c r="O1340" s="10"/>
      <c r="P1340" s="10"/>
      <c r="Q1340" s="10"/>
      <c r="R1340" s="10"/>
      <c r="S1340" s="10"/>
    </row>
    <row r="1341" spans="1:19" x14ac:dyDescent="0.25">
      <c r="A1341" s="10"/>
      <c r="B1341" s="10"/>
      <c r="C1341" s="10"/>
      <c r="D1341" s="10"/>
      <c r="E1341" s="10"/>
      <c r="F1341" s="10"/>
      <c r="G1341" s="10"/>
      <c r="H1341" s="770"/>
      <c r="I1341" s="10"/>
      <c r="J1341" s="10"/>
      <c r="K1341" s="10"/>
      <c r="L1341" s="10"/>
      <c r="M1341" s="770"/>
      <c r="N1341" s="10"/>
      <c r="O1341" s="10"/>
      <c r="P1341" s="10"/>
      <c r="Q1341" s="10"/>
      <c r="R1341" s="10"/>
      <c r="S1341" s="10"/>
    </row>
    <row r="1342" spans="1:19" x14ac:dyDescent="0.25">
      <c r="A1342" s="10"/>
      <c r="B1342" s="10"/>
      <c r="C1342" s="10"/>
      <c r="D1342" s="10"/>
      <c r="E1342" s="10"/>
      <c r="F1342" s="10"/>
      <c r="G1342" s="10"/>
      <c r="H1342" s="770"/>
      <c r="I1342" s="10"/>
      <c r="J1342" s="10"/>
      <c r="K1342" s="10"/>
      <c r="L1342" s="10"/>
      <c r="M1342" s="770"/>
      <c r="N1342" s="10"/>
      <c r="O1342" s="10"/>
      <c r="P1342" s="10"/>
      <c r="Q1342" s="10"/>
      <c r="R1342" s="10"/>
      <c r="S1342" s="10"/>
    </row>
    <row r="1343" spans="1:19" x14ac:dyDescent="0.25">
      <c r="A1343" s="10"/>
      <c r="B1343" s="10"/>
      <c r="C1343" s="10"/>
      <c r="D1343" s="10"/>
      <c r="E1343" s="10"/>
      <c r="F1343" s="10"/>
      <c r="G1343" s="10"/>
      <c r="H1343" s="770"/>
      <c r="I1343" s="10"/>
      <c r="J1343" s="10"/>
      <c r="K1343" s="10"/>
      <c r="L1343" s="10"/>
      <c r="M1343" s="770"/>
      <c r="N1343" s="10"/>
      <c r="O1343" s="10"/>
      <c r="P1343" s="10"/>
      <c r="Q1343" s="10"/>
      <c r="R1343" s="10"/>
      <c r="S1343" s="10"/>
    </row>
    <row r="1344" spans="1:19" x14ac:dyDescent="0.25">
      <c r="A1344" s="10"/>
      <c r="B1344" s="10"/>
      <c r="C1344" s="10"/>
      <c r="D1344" s="10"/>
      <c r="E1344" s="10"/>
      <c r="F1344" s="10"/>
      <c r="G1344" s="10"/>
      <c r="H1344" s="770"/>
      <c r="I1344" s="10"/>
      <c r="J1344" s="10"/>
      <c r="K1344" s="10"/>
      <c r="L1344" s="10"/>
      <c r="M1344" s="770"/>
      <c r="N1344" s="10"/>
      <c r="O1344" s="10"/>
      <c r="P1344" s="10"/>
      <c r="Q1344" s="10"/>
      <c r="R1344" s="10"/>
      <c r="S1344" s="10"/>
    </row>
    <row r="1345" spans="1:19" x14ac:dyDescent="0.25">
      <c r="A1345" s="10"/>
      <c r="B1345" s="10"/>
      <c r="C1345" s="10"/>
      <c r="D1345" s="10"/>
      <c r="E1345" s="10"/>
      <c r="F1345" s="10"/>
      <c r="G1345" s="10"/>
      <c r="H1345" s="770"/>
      <c r="I1345" s="10"/>
      <c r="J1345" s="10"/>
      <c r="K1345" s="10"/>
      <c r="L1345" s="10"/>
      <c r="M1345" s="770"/>
      <c r="N1345" s="10"/>
      <c r="O1345" s="10"/>
      <c r="P1345" s="10"/>
      <c r="Q1345" s="10"/>
      <c r="R1345" s="10"/>
      <c r="S1345" s="10"/>
    </row>
    <row r="1346" spans="1:19" x14ac:dyDescent="0.25">
      <c r="A1346" s="10"/>
      <c r="B1346" s="10"/>
      <c r="C1346" s="10"/>
      <c r="D1346" s="10"/>
      <c r="E1346" s="10"/>
      <c r="F1346" s="10"/>
      <c r="G1346" s="10"/>
      <c r="H1346" s="770"/>
      <c r="I1346" s="10"/>
      <c r="J1346" s="10"/>
      <c r="K1346" s="10"/>
      <c r="L1346" s="10"/>
      <c r="M1346" s="770"/>
      <c r="N1346" s="10"/>
      <c r="O1346" s="10"/>
      <c r="P1346" s="10"/>
      <c r="Q1346" s="10"/>
      <c r="R1346" s="10"/>
      <c r="S1346" s="10"/>
    </row>
    <row r="1347" spans="1:19" x14ac:dyDescent="0.25">
      <c r="A1347" s="10"/>
      <c r="B1347" s="10"/>
      <c r="C1347" s="10"/>
      <c r="D1347" s="10"/>
      <c r="E1347" s="10"/>
      <c r="F1347" s="10"/>
      <c r="G1347" s="10"/>
      <c r="H1347" s="770"/>
      <c r="I1347" s="10"/>
      <c r="J1347" s="10"/>
      <c r="K1347" s="10"/>
      <c r="L1347" s="10"/>
      <c r="M1347" s="770"/>
      <c r="N1347" s="10"/>
      <c r="O1347" s="10"/>
      <c r="P1347" s="10"/>
      <c r="Q1347" s="10"/>
      <c r="R1347" s="10"/>
      <c r="S1347" s="10"/>
    </row>
    <row r="1348" spans="1:19" x14ac:dyDescent="0.25">
      <c r="A1348" s="10"/>
      <c r="B1348" s="10"/>
      <c r="C1348" s="10"/>
      <c r="D1348" s="10"/>
      <c r="E1348" s="10"/>
      <c r="F1348" s="10"/>
      <c r="G1348" s="10"/>
      <c r="H1348" s="770"/>
      <c r="I1348" s="10"/>
      <c r="J1348" s="10"/>
      <c r="K1348" s="10"/>
      <c r="L1348" s="10"/>
      <c r="M1348" s="770"/>
      <c r="N1348" s="10"/>
      <c r="O1348" s="10"/>
      <c r="P1348" s="10"/>
      <c r="Q1348" s="10"/>
      <c r="R1348" s="10"/>
      <c r="S1348" s="10"/>
    </row>
    <row r="1349" spans="1:19" x14ac:dyDescent="0.25">
      <c r="A1349" s="10"/>
      <c r="B1349" s="10"/>
      <c r="C1349" s="10"/>
      <c r="D1349" s="10"/>
      <c r="E1349" s="10"/>
      <c r="F1349" s="10"/>
      <c r="G1349" s="10"/>
      <c r="H1349" s="770"/>
      <c r="I1349" s="10"/>
      <c r="J1349" s="10"/>
      <c r="K1349" s="10"/>
      <c r="L1349" s="10"/>
      <c r="M1349" s="770"/>
      <c r="N1349" s="10"/>
      <c r="O1349" s="10"/>
      <c r="P1349" s="10"/>
      <c r="Q1349" s="10"/>
      <c r="R1349" s="10"/>
      <c r="S1349" s="10"/>
    </row>
    <row r="1350" spans="1:19" x14ac:dyDescent="0.25">
      <c r="A1350" s="10"/>
      <c r="B1350" s="10"/>
      <c r="C1350" s="10"/>
      <c r="D1350" s="10"/>
      <c r="E1350" s="10"/>
      <c r="F1350" s="10"/>
      <c r="G1350" s="10"/>
      <c r="H1350" s="770"/>
      <c r="I1350" s="10"/>
      <c r="J1350" s="10"/>
      <c r="K1350" s="10"/>
      <c r="L1350" s="10"/>
      <c r="M1350" s="770"/>
      <c r="N1350" s="10"/>
      <c r="O1350" s="10"/>
      <c r="P1350" s="10"/>
      <c r="Q1350" s="10"/>
      <c r="R1350" s="10"/>
      <c r="S1350" s="10"/>
    </row>
    <row r="1351" spans="1:19" x14ac:dyDescent="0.25">
      <c r="A1351" s="10"/>
      <c r="B1351" s="10"/>
      <c r="C1351" s="10"/>
      <c r="D1351" s="10"/>
      <c r="E1351" s="10"/>
      <c r="F1351" s="10"/>
      <c r="G1351" s="10"/>
      <c r="H1351" s="770"/>
      <c r="I1351" s="10"/>
      <c r="J1351" s="10"/>
      <c r="K1351" s="10"/>
      <c r="L1351" s="10"/>
      <c r="M1351" s="770"/>
      <c r="N1351" s="10"/>
      <c r="O1351" s="10"/>
      <c r="P1351" s="10"/>
      <c r="Q1351" s="10"/>
      <c r="R1351" s="10"/>
      <c r="S1351" s="10"/>
    </row>
    <row r="1352" spans="1:19" x14ac:dyDescent="0.25">
      <c r="A1352" s="10"/>
      <c r="B1352" s="10"/>
      <c r="C1352" s="10"/>
      <c r="D1352" s="10"/>
      <c r="E1352" s="10"/>
      <c r="F1352" s="10"/>
      <c r="G1352" s="10"/>
      <c r="H1352" s="770"/>
      <c r="I1352" s="10"/>
      <c r="J1352" s="10"/>
      <c r="K1352" s="10"/>
      <c r="L1352" s="10"/>
      <c r="M1352" s="770"/>
      <c r="N1352" s="10"/>
      <c r="O1352" s="10"/>
      <c r="P1352" s="10"/>
      <c r="Q1352" s="10"/>
      <c r="R1352" s="10"/>
      <c r="S1352" s="10"/>
    </row>
    <row r="1353" spans="1:19" x14ac:dyDescent="0.25">
      <c r="A1353" s="10"/>
      <c r="B1353" s="10"/>
      <c r="C1353" s="10"/>
      <c r="D1353" s="10"/>
      <c r="E1353" s="10"/>
      <c r="F1353" s="10"/>
      <c r="G1353" s="10"/>
      <c r="H1353" s="770"/>
      <c r="I1353" s="10"/>
      <c r="J1353" s="10"/>
      <c r="K1353" s="10"/>
      <c r="L1353" s="10"/>
      <c r="M1353" s="770"/>
      <c r="N1353" s="10"/>
      <c r="O1353" s="10"/>
      <c r="P1353" s="10"/>
      <c r="Q1353" s="10"/>
      <c r="R1353" s="10"/>
      <c r="S1353" s="10"/>
    </row>
    <row r="1354" spans="1:19" x14ac:dyDescent="0.25">
      <c r="A1354" s="10"/>
      <c r="B1354" s="10"/>
      <c r="C1354" s="10"/>
      <c r="D1354" s="10"/>
      <c r="E1354" s="10"/>
      <c r="F1354" s="10"/>
      <c r="G1354" s="10"/>
      <c r="H1354" s="770"/>
      <c r="I1354" s="10"/>
      <c r="J1354" s="10"/>
      <c r="K1354" s="10"/>
      <c r="L1354" s="10"/>
      <c r="M1354" s="770"/>
      <c r="N1354" s="10"/>
      <c r="O1354" s="10"/>
      <c r="P1354" s="10"/>
      <c r="Q1354" s="10"/>
      <c r="R1354" s="10"/>
      <c r="S1354" s="10"/>
    </row>
    <row r="1355" spans="1:19" x14ac:dyDescent="0.25">
      <c r="A1355" s="10"/>
      <c r="B1355" s="10"/>
      <c r="C1355" s="10"/>
      <c r="D1355" s="10"/>
      <c r="E1355" s="10"/>
      <c r="F1355" s="10"/>
      <c r="G1355" s="10"/>
      <c r="H1355" s="770"/>
      <c r="I1355" s="10"/>
      <c r="J1355" s="10"/>
      <c r="K1355" s="10"/>
      <c r="L1355" s="10"/>
      <c r="M1355" s="770"/>
      <c r="N1355" s="10"/>
      <c r="O1355" s="10"/>
      <c r="P1355" s="10"/>
      <c r="Q1355" s="10"/>
      <c r="R1355" s="10"/>
      <c r="S1355" s="10"/>
    </row>
    <row r="1356" spans="1:19" x14ac:dyDescent="0.25">
      <c r="A1356" s="10"/>
      <c r="B1356" s="10"/>
      <c r="C1356" s="10"/>
      <c r="D1356" s="10"/>
      <c r="E1356" s="10"/>
      <c r="F1356" s="10"/>
      <c r="G1356" s="10"/>
      <c r="H1356" s="770"/>
      <c r="I1356" s="10"/>
      <c r="J1356" s="10"/>
      <c r="K1356" s="10"/>
      <c r="L1356" s="10"/>
      <c r="M1356" s="770"/>
      <c r="N1356" s="10"/>
      <c r="O1356" s="10"/>
      <c r="P1356" s="10"/>
      <c r="Q1356" s="10"/>
      <c r="R1356" s="10"/>
      <c r="S1356" s="10"/>
    </row>
    <row r="1357" spans="1:19" x14ac:dyDescent="0.25">
      <c r="A1357" s="10"/>
      <c r="B1357" s="10"/>
      <c r="C1357" s="10"/>
      <c r="D1357" s="10"/>
      <c r="E1357" s="10"/>
      <c r="F1357" s="10"/>
      <c r="G1357" s="10"/>
      <c r="H1357" s="770"/>
      <c r="I1357" s="10"/>
      <c r="J1357" s="10"/>
      <c r="K1357" s="10"/>
      <c r="L1357" s="10"/>
      <c r="M1357" s="770"/>
      <c r="N1357" s="10"/>
      <c r="O1357" s="10"/>
      <c r="P1357" s="10"/>
      <c r="Q1357" s="10"/>
      <c r="R1357" s="10"/>
      <c r="S1357" s="10"/>
    </row>
    <row r="1358" spans="1:19" x14ac:dyDescent="0.25">
      <c r="A1358" s="10"/>
      <c r="B1358" s="10"/>
      <c r="C1358" s="10"/>
      <c r="D1358" s="10"/>
      <c r="E1358" s="10"/>
      <c r="F1358" s="10"/>
      <c r="G1358" s="10"/>
      <c r="H1358" s="770"/>
      <c r="I1358" s="10"/>
      <c r="J1358" s="10"/>
      <c r="K1358" s="10"/>
      <c r="L1358" s="10"/>
      <c r="M1358" s="770"/>
      <c r="N1358" s="10"/>
      <c r="O1358" s="10"/>
      <c r="P1358" s="10"/>
      <c r="Q1358" s="10"/>
      <c r="R1358" s="10"/>
      <c r="S1358" s="10"/>
    </row>
    <row r="1359" spans="1:19" x14ac:dyDescent="0.25">
      <c r="A1359" s="10"/>
      <c r="B1359" s="10"/>
      <c r="C1359" s="10"/>
      <c r="D1359" s="10"/>
      <c r="E1359" s="10"/>
      <c r="F1359" s="10"/>
      <c r="G1359" s="10"/>
      <c r="H1359" s="770"/>
      <c r="I1359" s="10"/>
      <c r="J1359" s="10"/>
      <c r="K1359" s="10"/>
      <c r="L1359" s="10"/>
      <c r="M1359" s="770"/>
      <c r="N1359" s="10"/>
      <c r="O1359" s="10"/>
      <c r="P1359" s="10"/>
      <c r="Q1359" s="10"/>
      <c r="R1359" s="10"/>
      <c r="S1359" s="10"/>
    </row>
    <row r="1360" spans="1:19" x14ac:dyDescent="0.25">
      <c r="A1360" s="10"/>
      <c r="B1360" s="10"/>
      <c r="C1360" s="10"/>
      <c r="D1360" s="10"/>
      <c r="E1360" s="10"/>
      <c r="F1360" s="10"/>
      <c r="G1360" s="10"/>
      <c r="H1360" s="770"/>
      <c r="I1360" s="10"/>
      <c r="J1360" s="10"/>
      <c r="K1360" s="10"/>
      <c r="L1360" s="10"/>
      <c r="M1360" s="770"/>
      <c r="N1360" s="10"/>
      <c r="O1360" s="10"/>
      <c r="P1360" s="10"/>
      <c r="Q1360" s="10"/>
      <c r="R1360" s="10"/>
      <c r="S1360" s="10"/>
    </row>
    <row r="1361" spans="1:19" x14ac:dyDescent="0.25">
      <c r="A1361" s="10"/>
      <c r="B1361" s="10"/>
      <c r="C1361" s="10"/>
      <c r="D1361" s="10"/>
      <c r="E1361" s="10"/>
      <c r="F1361" s="10"/>
      <c r="G1361" s="10"/>
      <c r="H1361" s="770"/>
      <c r="I1361" s="10"/>
      <c r="J1361" s="10"/>
      <c r="K1361" s="10"/>
      <c r="L1361" s="10"/>
      <c r="M1361" s="770"/>
      <c r="N1361" s="10"/>
      <c r="O1361" s="10"/>
      <c r="P1361" s="10"/>
      <c r="Q1361" s="10"/>
      <c r="R1361" s="10"/>
      <c r="S1361" s="10"/>
    </row>
    <row r="1362" spans="1:19" x14ac:dyDescent="0.25">
      <c r="A1362" s="10"/>
      <c r="B1362" s="10"/>
      <c r="C1362" s="10"/>
      <c r="D1362" s="10"/>
      <c r="E1362" s="10"/>
      <c r="F1362" s="10"/>
      <c r="G1362" s="10"/>
      <c r="H1362" s="770"/>
      <c r="I1362" s="10"/>
      <c r="J1362" s="10"/>
      <c r="K1362" s="10"/>
      <c r="L1362" s="10"/>
      <c r="M1362" s="770"/>
      <c r="N1362" s="10"/>
      <c r="O1362" s="10"/>
      <c r="P1362" s="10"/>
      <c r="Q1362" s="10"/>
      <c r="R1362" s="10"/>
      <c r="S1362" s="10"/>
    </row>
    <row r="1363" spans="1:19" x14ac:dyDescent="0.25">
      <c r="A1363" s="10"/>
      <c r="B1363" s="10"/>
      <c r="C1363" s="10"/>
      <c r="D1363" s="10"/>
      <c r="E1363" s="10"/>
      <c r="F1363" s="10"/>
      <c r="G1363" s="10"/>
      <c r="H1363" s="770"/>
      <c r="I1363" s="10"/>
      <c r="J1363" s="10"/>
      <c r="K1363" s="10"/>
      <c r="L1363" s="10"/>
      <c r="M1363" s="770"/>
      <c r="N1363" s="10"/>
      <c r="O1363" s="10"/>
      <c r="P1363" s="10"/>
      <c r="Q1363" s="10"/>
      <c r="R1363" s="10"/>
      <c r="S1363" s="10"/>
    </row>
    <row r="1364" spans="1:19" x14ac:dyDescent="0.25">
      <c r="A1364" s="10"/>
      <c r="B1364" s="10"/>
      <c r="C1364" s="10"/>
      <c r="D1364" s="10"/>
      <c r="E1364" s="10"/>
      <c r="F1364" s="10"/>
      <c r="G1364" s="10"/>
      <c r="H1364" s="770"/>
      <c r="I1364" s="10"/>
      <c r="J1364" s="10"/>
      <c r="K1364" s="10"/>
      <c r="L1364" s="10"/>
      <c r="M1364" s="770"/>
      <c r="N1364" s="10"/>
      <c r="O1364" s="10"/>
      <c r="P1364" s="10"/>
      <c r="Q1364" s="10"/>
      <c r="R1364" s="10"/>
      <c r="S1364" s="10"/>
    </row>
    <row r="1365" spans="1:19" x14ac:dyDescent="0.25">
      <c r="A1365" s="10"/>
      <c r="B1365" s="10"/>
      <c r="C1365" s="10"/>
      <c r="D1365" s="10"/>
      <c r="E1365" s="10"/>
      <c r="F1365" s="10"/>
      <c r="G1365" s="10"/>
      <c r="H1365" s="770"/>
      <c r="I1365" s="10"/>
      <c r="J1365" s="10"/>
      <c r="K1365" s="10"/>
      <c r="L1365" s="10"/>
      <c r="M1365" s="770"/>
      <c r="N1365" s="10"/>
      <c r="O1365" s="10"/>
      <c r="P1365" s="10"/>
      <c r="Q1365" s="10"/>
      <c r="R1365" s="10"/>
      <c r="S1365" s="10"/>
    </row>
    <row r="1366" spans="1:19" x14ac:dyDescent="0.25">
      <c r="A1366" s="10"/>
      <c r="B1366" s="10"/>
      <c r="C1366" s="10"/>
      <c r="D1366" s="10"/>
      <c r="E1366" s="10"/>
      <c r="F1366" s="10"/>
      <c r="G1366" s="10"/>
      <c r="H1366" s="770"/>
      <c r="I1366" s="10"/>
      <c r="J1366" s="10"/>
      <c r="K1366" s="10"/>
      <c r="L1366" s="10"/>
      <c r="M1366" s="770"/>
      <c r="N1366" s="10"/>
      <c r="O1366" s="10"/>
      <c r="P1366" s="10"/>
      <c r="Q1366" s="10"/>
      <c r="R1366" s="10"/>
      <c r="S1366" s="10"/>
    </row>
    <row r="1367" spans="1:19" x14ac:dyDescent="0.25">
      <c r="A1367" s="10"/>
      <c r="B1367" s="10"/>
      <c r="C1367" s="10"/>
      <c r="D1367" s="10"/>
      <c r="E1367" s="10"/>
      <c r="F1367" s="10"/>
      <c r="G1367" s="10"/>
      <c r="H1367" s="770"/>
      <c r="I1367" s="10"/>
      <c r="J1367" s="10"/>
      <c r="K1367" s="10"/>
      <c r="L1367" s="10"/>
      <c r="M1367" s="770"/>
      <c r="N1367" s="10"/>
      <c r="O1367" s="10"/>
      <c r="P1367" s="10"/>
      <c r="Q1367" s="10"/>
      <c r="R1367" s="10"/>
      <c r="S1367" s="10"/>
    </row>
    <row r="1368" spans="1:19" x14ac:dyDescent="0.25">
      <c r="A1368" s="10"/>
      <c r="B1368" s="10"/>
      <c r="C1368" s="10"/>
      <c r="D1368" s="10"/>
      <c r="E1368" s="10"/>
      <c r="F1368" s="10"/>
      <c r="G1368" s="10"/>
      <c r="H1368" s="770"/>
      <c r="I1368" s="10"/>
      <c r="J1368" s="10"/>
      <c r="K1368" s="10"/>
      <c r="L1368" s="10"/>
      <c r="M1368" s="770"/>
      <c r="N1368" s="10"/>
      <c r="O1368" s="10"/>
      <c r="P1368" s="10"/>
      <c r="Q1368" s="10"/>
      <c r="R1368" s="10"/>
      <c r="S1368" s="10"/>
    </row>
    <row r="1369" spans="1:19" x14ac:dyDescent="0.25">
      <c r="A1369" s="10"/>
      <c r="B1369" s="10"/>
      <c r="C1369" s="10"/>
      <c r="D1369" s="10"/>
      <c r="E1369" s="10"/>
      <c r="F1369" s="10"/>
      <c r="G1369" s="10"/>
      <c r="H1369" s="770"/>
      <c r="I1369" s="10"/>
      <c r="J1369" s="10"/>
      <c r="K1369" s="10"/>
      <c r="L1369" s="10"/>
      <c r="M1369" s="770"/>
      <c r="N1369" s="10"/>
      <c r="O1369" s="10"/>
      <c r="P1369" s="10"/>
      <c r="Q1369" s="10"/>
      <c r="R1369" s="10"/>
      <c r="S1369" s="10"/>
    </row>
    <row r="1370" spans="1:19" x14ac:dyDescent="0.25">
      <c r="A1370" s="10"/>
      <c r="B1370" s="10"/>
      <c r="C1370" s="10"/>
      <c r="D1370" s="10"/>
      <c r="E1370" s="10"/>
      <c r="F1370" s="10"/>
      <c r="G1370" s="10"/>
      <c r="H1370" s="770"/>
      <c r="I1370" s="10"/>
      <c r="J1370" s="10"/>
      <c r="K1370" s="10"/>
      <c r="L1370" s="10"/>
      <c r="M1370" s="770"/>
      <c r="N1370" s="10"/>
      <c r="O1370" s="10"/>
      <c r="P1370" s="10"/>
      <c r="Q1370" s="10"/>
      <c r="R1370" s="10"/>
      <c r="S1370" s="10"/>
    </row>
    <row r="1371" spans="1:19" x14ac:dyDescent="0.25">
      <c r="A1371" s="10"/>
      <c r="B1371" s="10"/>
      <c r="C1371" s="10"/>
      <c r="D1371" s="10"/>
      <c r="E1371" s="10"/>
      <c r="F1371" s="10"/>
      <c r="G1371" s="10"/>
      <c r="H1371" s="770"/>
      <c r="I1371" s="10"/>
      <c r="J1371" s="10"/>
      <c r="K1371" s="10"/>
      <c r="L1371" s="10"/>
      <c r="M1371" s="770"/>
      <c r="N1371" s="10"/>
      <c r="O1371" s="10"/>
      <c r="P1371" s="10"/>
      <c r="Q1371" s="10"/>
      <c r="R1371" s="10"/>
      <c r="S1371" s="10"/>
    </row>
    <row r="1372" spans="1:19" x14ac:dyDescent="0.25">
      <c r="A1372" s="10"/>
      <c r="B1372" s="10"/>
      <c r="C1372" s="10"/>
      <c r="D1372" s="10"/>
      <c r="E1372" s="10"/>
      <c r="F1372" s="10"/>
      <c r="G1372" s="10"/>
      <c r="H1372" s="770"/>
      <c r="I1372" s="10"/>
      <c r="J1372" s="10"/>
      <c r="K1372" s="10"/>
      <c r="L1372" s="10"/>
      <c r="M1372" s="770"/>
      <c r="N1372" s="10"/>
      <c r="O1372" s="10"/>
      <c r="P1372" s="10"/>
      <c r="Q1372" s="10"/>
      <c r="R1372" s="10"/>
      <c r="S1372" s="10"/>
    </row>
    <row r="1373" spans="1:19" x14ac:dyDescent="0.25">
      <c r="A1373" s="10"/>
      <c r="B1373" s="10"/>
      <c r="C1373" s="10"/>
      <c r="D1373" s="10"/>
      <c r="E1373" s="10"/>
      <c r="F1373" s="10"/>
      <c r="G1373" s="10"/>
      <c r="H1373" s="770"/>
      <c r="I1373" s="10"/>
      <c r="J1373" s="10"/>
      <c r="K1373" s="10"/>
      <c r="L1373" s="10"/>
      <c r="M1373" s="770"/>
      <c r="N1373" s="10"/>
      <c r="O1373" s="10"/>
      <c r="P1373" s="10"/>
      <c r="Q1373" s="10"/>
      <c r="R1373" s="10"/>
      <c r="S1373" s="10"/>
    </row>
    <row r="1374" spans="1:19" x14ac:dyDescent="0.25">
      <c r="A1374" s="10"/>
      <c r="B1374" s="10"/>
      <c r="C1374" s="10"/>
      <c r="D1374" s="10"/>
      <c r="E1374" s="10"/>
      <c r="F1374" s="10"/>
      <c r="G1374" s="10"/>
      <c r="H1374" s="770"/>
      <c r="I1374" s="10"/>
      <c r="J1374" s="10"/>
      <c r="K1374" s="10"/>
      <c r="L1374" s="10"/>
      <c r="M1374" s="770"/>
      <c r="N1374" s="10"/>
      <c r="O1374" s="10"/>
      <c r="P1374" s="10"/>
      <c r="Q1374" s="10"/>
      <c r="R1374" s="10"/>
      <c r="S1374" s="10"/>
    </row>
    <row r="1375" spans="1:19" x14ac:dyDescent="0.25">
      <c r="A1375" s="10"/>
      <c r="B1375" s="10"/>
      <c r="C1375" s="10"/>
      <c r="D1375" s="10"/>
      <c r="E1375" s="10"/>
      <c r="F1375" s="10"/>
      <c r="G1375" s="10"/>
      <c r="H1375" s="770"/>
      <c r="I1375" s="10"/>
      <c r="J1375" s="10"/>
      <c r="K1375" s="10"/>
      <c r="L1375" s="10"/>
      <c r="M1375" s="770"/>
      <c r="N1375" s="10"/>
      <c r="O1375" s="10"/>
      <c r="P1375" s="10"/>
      <c r="Q1375" s="10"/>
      <c r="R1375" s="10"/>
      <c r="S1375" s="10"/>
    </row>
    <row r="1376" spans="1:19" x14ac:dyDescent="0.25">
      <c r="A1376" s="10"/>
      <c r="B1376" s="10"/>
      <c r="C1376" s="10"/>
      <c r="D1376" s="10"/>
      <c r="E1376" s="10"/>
      <c r="F1376" s="10"/>
      <c r="G1376" s="10"/>
      <c r="H1376" s="770"/>
      <c r="I1376" s="10"/>
      <c r="J1376" s="10"/>
      <c r="K1376" s="10"/>
      <c r="L1376" s="10"/>
      <c r="M1376" s="770"/>
      <c r="N1376" s="10"/>
      <c r="O1376" s="10"/>
      <c r="P1376" s="10"/>
      <c r="Q1376" s="10"/>
      <c r="R1376" s="10"/>
      <c r="S1376" s="10"/>
    </row>
    <row r="1377" spans="1:19" x14ac:dyDescent="0.25">
      <c r="A1377" s="10"/>
      <c r="B1377" s="10"/>
      <c r="C1377" s="10"/>
      <c r="D1377" s="10"/>
      <c r="E1377" s="10"/>
      <c r="F1377" s="10"/>
      <c r="G1377" s="10"/>
      <c r="H1377" s="770"/>
      <c r="I1377" s="10"/>
      <c r="J1377" s="10"/>
      <c r="K1377" s="10"/>
      <c r="L1377" s="10"/>
      <c r="M1377" s="770"/>
      <c r="N1377" s="10"/>
      <c r="O1377" s="10"/>
      <c r="P1377" s="10"/>
      <c r="Q1377" s="10"/>
      <c r="R1377" s="10"/>
      <c r="S1377" s="10"/>
    </row>
    <row r="1378" spans="1:19" x14ac:dyDescent="0.25">
      <c r="A1378" s="10"/>
      <c r="B1378" s="10"/>
      <c r="C1378" s="10"/>
      <c r="D1378" s="10"/>
      <c r="E1378" s="10"/>
      <c r="F1378" s="10"/>
      <c r="G1378" s="10"/>
      <c r="H1378" s="770"/>
      <c r="I1378" s="10"/>
      <c r="J1378" s="10"/>
      <c r="K1378" s="10"/>
      <c r="L1378" s="10"/>
      <c r="M1378" s="770"/>
      <c r="N1378" s="10"/>
      <c r="O1378" s="10"/>
      <c r="P1378" s="10"/>
      <c r="Q1378" s="10"/>
      <c r="R1378" s="10"/>
      <c r="S1378" s="10"/>
    </row>
    <row r="1379" spans="1:19" x14ac:dyDescent="0.25">
      <c r="A1379" s="10"/>
      <c r="B1379" s="10"/>
      <c r="C1379" s="10"/>
      <c r="D1379" s="10"/>
      <c r="E1379" s="10"/>
      <c r="F1379" s="10"/>
      <c r="G1379" s="10"/>
      <c r="H1379" s="770"/>
      <c r="I1379" s="10"/>
      <c r="J1379" s="10"/>
      <c r="K1379" s="10"/>
      <c r="L1379" s="10"/>
      <c r="M1379" s="770"/>
      <c r="N1379" s="10"/>
      <c r="O1379" s="10"/>
      <c r="P1379" s="10"/>
      <c r="Q1379" s="10"/>
      <c r="R1379" s="10"/>
      <c r="S1379" s="10"/>
    </row>
    <row r="1380" spans="1:19" x14ac:dyDescent="0.25">
      <c r="A1380" s="10"/>
      <c r="B1380" s="10"/>
      <c r="C1380" s="10"/>
      <c r="D1380" s="10"/>
      <c r="E1380" s="10"/>
      <c r="F1380" s="10"/>
      <c r="G1380" s="10"/>
      <c r="H1380" s="770"/>
      <c r="I1380" s="10"/>
      <c r="J1380" s="10"/>
      <c r="K1380" s="10"/>
      <c r="L1380" s="10"/>
      <c r="M1380" s="770"/>
      <c r="N1380" s="10"/>
      <c r="O1380" s="10"/>
      <c r="P1380" s="10"/>
      <c r="Q1380" s="10"/>
      <c r="R1380" s="10"/>
      <c r="S1380" s="10"/>
    </row>
    <row r="1381" spans="1:19" x14ac:dyDescent="0.25">
      <c r="A1381" s="10"/>
      <c r="B1381" s="10"/>
      <c r="C1381" s="10"/>
      <c r="D1381" s="10"/>
      <c r="E1381" s="10"/>
      <c r="F1381" s="10"/>
      <c r="G1381" s="10"/>
      <c r="H1381" s="770"/>
      <c r="I1381" s="10"/>
      <c r="J1381" s="10"/>
      <c r="K1381" s="10"/>
      <c r="L1381" s="10"/>
      <c r="M1381" s="770"/>
      <c r="N1381" s="10"/>
      <c r="O1381" s="10"/>
      <c r="P1381" s="10"/>
      <c r="Q1381" s="10"/>
      <c r="R1381" s="10"/>
      <c r="S1381" s="10"/>
    </row>
    <row r="1382" spans="1:19" x14ac:dyDescent="0.25">
      <c r="A1382" s="10"/>
      <c r="B1382" s="10"/>
      <c r="C1382" s="10"/>
      <c r="D1382" s="10"/>
      <c r="E1382" s="10"/>
      <c r="F1382" s="10"/>
      <c r="G1382" s="10"/>
      <c r="H1382" s="770"/>
      <c r="I1382" s="10"/>
      <c r="J1382" s="10"/>
      <c r="K1382" s="10"/>
      <c r="L1382" s="10"/>
      <c r="M1382" s="770"/>
      <c r="N1382" s="10"/>
      <c r="O1382" s="10"/>
      <c r="P1382" s="10"/>
      <c r="Q1382" s="10"/>
      <c r="R1382" s="10"/>
      <c r="S1382" s="10"/>
    </row>
    <row r="1383" spans="1:19" x14ac:dyDescent="0.25">
      <c r="A1383" s="10"/>
      <c r="B1383" s="10"/>
      <c r="C1383" s="10"/>
      <c r="D1383" s="10"/>
      <c r="E1383" s="10"/>
      <c r="F1383" s="10"/>
      <c r="G1383" s="10"/>
      <c r="H1383" s="770"/>
      <c r="I1383" s="10"/>
      <c r="J1383" s="10"/>
      <c r="K1383" s="10"/>
      <c r="L1383" s="10"/>
      <c r="M1383" s="770"/>
      <c r="N1383" s="10"/>
      <c r="O1383" s="10"/>
      <c r="P1383" s="10"/>
      <c r="Q1383" s="10"/>
      <c r="R1383" s="10"/>
      <c r="S1383" s="10"/>
    </row>
    <row r="1384" spans="1:19" x14ac:dyDescent="0.25">
      <c r="A1384" s="10"/>
      <c r="B1384" s="10"/>
      <c r="C1384" s="10"/>
      <c r="D1384" s="10"/>
      <c r="E1384" s="10"/>
      <c r="F1384" s="10"/>
      <c r="G1384" s="10"/>
      <c r="H1384" s="770"/>
      <c r="I1384" s="10"/>
      <c r="J1384" s="10"/>
      <c r="K1384" s="10"/>
      <c r="L1384" s="10"/>
      <c r="M1384" s="770"/>
      <c r="N1384" s="10"/>
      <c r="O1384" s="10"/>
      <c r="P1384" s="10"/>
      <c r="Q1384" s="10"/>
      <c r="R1384" s="10"/>
      <c r="S1384" s="10"/>
    </row>
    <row r="1385" spans="1:19" x14ac:dyDescent="0.25">
      <c r="A1385" s="10"/>
      <c r="B1385" s="10"/>
      <c r="C1385" s="10"/>
      <c r="D1385" s="10"/>
      <c r="E1385" s="10"/>
      <c r="F1385" s="10"/>
      <c r="G1385" s="10"/>
      <c r="H1385" s="770"/>
      <c r="I1385" s="10"/>
      <c r="J1385" s="10"/>
      <c r="K1385" s="10"/>
      <c r="L1385" s="10"/>
      <c r="M1385" s="770"/>
      <c r="N1385" s="10"/>
      <c r="O1385" s="10"/>
      <c r="P1385" s="10"/>
      <c r="Q1385" s="10"/>
      <c r="R1385" s="10"/>
      <c r="S1385" s="10"/>
    </row>
    <row r="1386" spans="1:19" x14ac:dyDescent="0.25">
      <c r="A1386" s="10"/>
      <c r="B1386" s="10"/>
      <c r="C1386" s="10"/>
      <c r="D1386" s="10"/>
      <c r="E1386" s="10"/>
      <c r="F1386" s="10"/>
      <c r="G1386" s="10"/>
      <c r="H1386" s="770"/>
      <c r="I1386" s="10"/>
      <c r="J1386" s="10"/>
      <c r="K1386" s="10"/>
      <c r="L1386" s="10"/>
      <c r="M1386" s="770"/>
      <c r="N1386" s="10"/>
      <c r="O1386" s="10"/>
      <c r="P1386" s="10"/>
      <c r="Q1386" s="10"/>
      <c r="R1386" s="10"/>
      <c r="S1386" s="10"/>
    </row>
    <row r="1387" spans="1:19" x14ac:dyDescent="0.25">
      <c r="A1387" s="10"/>
      <c r="B1387" s="10"/>
      <c r="C1387" s="10"/>
      <c r="D1387" s="10"/>
      <c r="E1387" s="10"/>
      <c r="F1387" s="10"/>
      <c r="G1387" s="10"/>
      <c r="H1387" s="770"/>
      <c r="I1387" s="10"/>
      <c r="J1387" s="10"/>
      <c r="K1387" s="10"/>
      <c r="L1387" s="10"/>
      <c r="M1387" s="770"/>
      <c r="N1387" s="10"/>
      <c r="O1387" s="10"/>
      <c r="P1387" s="10"/>
      <c r="Q1387" s="10"/>
      <c r="R1387" s="10"/>
      <c r="S1387" s="10"/>
    </row>
    <row r="1388" spans="1:19" x14ac:dyDescent="0.25">
      <c r="A1388" s="10"/>
      <c r="B1388" s="10"/>
      <c r="C1388" s="10"/>
      <c r="D1388" s="10"/>
      <c r="E1388" s="10"/>
      <c r="F1388" s="10"/>
      <c r="G1388" s="10"/>
      <c r="H1388" s="770"/>
      <c r="I1388" s="10"/>
      <c r="J1388" s="10"/>
      <c r="K1388" s="10"/>
      <c r="L1388" s="10"/>
      <c r="M1388" s="770"/>
      <c r="N1388" s="10"/>
      <c r="O1388" s="10"/>
      <c r="P1388" s="10"/>
      <c r="Q1388" s="10"/>
      <c r="R1388" s="10"/>
      <c r="S1388" s="10"/>
    </row>
    <row r="1389" spans="1:19" x14ac:dyDescent="0.25">
      <c r="A1389" s="10"/>
      <c r="B1389" s="10"/>
      <c r="C1389" s="10"/>
      <c r="D1389" s="10"/>
      <c r="E1389" s="10"/>
      <c r="F1389" s="10"/>
      <c r="G1389" s="10"/>
      <c r="H1389" s="770"/>
      <c r="I1389" s="10"/>
      <c r="J1389" s="10"/>
      <c r="K1389" s="10"/>
      <c r="L1389" s="10"/>
      <c r="M1389" s="770"/>
      <c r="N1389" s="10"/>
      <c r="O1389" s="10"/>
      <c r="P1389" s="10"/>
      <c r="Q1389" s="10"/>
      <c r="R1389" s="10"/>
      <c r="S1389" s="10"/>
    </row>
    <row r="1390" spans="1:19" x14ac:dyDescent="0.25">
      <c r="A1390" s="10"/>
      <c r="B1390" s="10"/>
      <c r="C1390" s="10"/>
      <c r="D1390" s="10"/>
      <c r="E1390" s="10"/>
      <c r="F1390" s="10"/>
      <c r="G1390" s="10"/>
      <c r="H1390" s="770"/>
      <c r="I1390" s="10"/>
      <c r="J1390" s="10"/>
      <c r="K1390" s="10"/>
      <c r="L1390" s="10"/>
      <c r="M1390" s="770"/>
      <c r="N1390" s="10"/>
      <c r="O1390" s="10"/>
      <c r="P1390" s="10"/>
      <c r="Q1390" s="10"/>
      <c r="R1390" s="10"/>
      <c r="S1390" s="10"/>
    </row>
    <row r="1391" spans="1:19" x14ac:dyDescent="0.25">
      <c r="A1391" s="10"/>
      <c r="B1391" s="10"/>
      <c r="C1391" s="10"/>
      <c r="D1391" s="10"/>
      <c r="E1391" s="10"/>
      <c r="F1391" s="10"/>
      <c r="G1391" s="10"/>
      <c r="H1391" s="770"/>
      <c r="I1391" s="10"/>
      <c r="J1391" s="10"/>
      <c r="K1391" s="10"/>
      <c r="L1391" s="10"/>
      <c r="M1391" s="770"/>
      <c r="N1391" s="10"/>
      <c r="O1391" s="10"/>
      <c r="P1391" s="10"/>
      <c r="Q1391" s="10"/>
      <c r="R1391" s="10"/>
      <c r="S1391" s="10"/>
    </row>
    <row r="1392" spans="1:19" x14ac:dyDescent="0.25">
      <c r="A1392" s="10"/>
      <c r="B1392" s="10"/>
      <c r="C1392" s="10"/>
      <c r="D1392" s="10"/>
      <c r="E1392" s="10"/>
      <c r="F1392" s="10"/>
      <c r="G1392" s="10"/>
      <c r="H1392" s="770"/>
      <c r="I1392" s="10"/>
      <c r="J1392" s="10"/>
      <c r="K1392" s="10"/>
      <c r="L1392" s="10"/>
      <c r="M1392" s="770"/>
      <c r="N1392" s="10"/>
      <c r="O1392" s="10"/>
      <c r="P1392" s="10"/>
      <c r="Q1392" s="10"/>
      <c r="R1392" s="10"/>
      <c r="S1392" s="10"/>
    </row>
    <row r="1393" spans="1:19" x14ac:dyDescent="0.25">
      <c r="A1393" s="10"/>
      <c r="B1393" s="10"/>
      <c r="C1393" s="10"/>
      <c r="D1393" s="10"/>
      <c r="E1393" s="10"/>
      <c r="F1393" s="10"/>
      <c r="G1393" s="10"/>
      <c r="H1393" s="770"/>
      <c r="I1393" s="10"/>
      <c r="J1393" s="10"/>
      <c r="K1393" s="10"/>
      <c r="L1393" s="10"/>
      <c r="M1393" s="770"/>
      <c r="N1393" s="10"/>
      <c r="O1393" s="10"/>
      <c r="P1393" s="10"/>
      <c r="Q1393" s="10"/>
      <c r="R1393" s="10"/>
      <c r="S1393" s="10"/>
    </row>
    <row r="1394" spans="1:19" x14ac:dyDescent="0.25">
      <c r="A1394" s="10"/>
      <c r="B1394" s="10"/>
      <c r="C1394" s="10"/>
      <c r="D1394" s="10"/>
      <c r="E1394" s="10"/>
      <c r="F1394" s="10"/>
      <c r="G1394" s="10"/>
      <c r="H1394" s="770"/>
      <c r="I1394" s="10"/>
      <c r="J1394" s="10"/>
      <c r="K1394" s="10"/>
      <c r="L1394" s="10"/>
      <c r="M1394" s="770"/>
      <c r="N1394" s="10"/>
      <c r="O1394" s="10"/>
      <c r="P1394" s="10"/>
      <c r="Q1394" s="10"/>
      <c r="R1394" s="10"/>
      <c r="S1394" s="10"/>
    </row>
    <row r="1395" spans="1:19" x14ac:dyDescent="0.25">
      <c r="A1395" s="10"/>
      <c r="B1395" s="10"/>
      <c r="C1395" s="10"/>
      <c r="D1395" s="10"/>
      <c r="E1395" s="10"/>
      <c r="F1395" s="10"/>
      <c r="G1395" s="10"/>
      <c r="H1395" s="770"/>
      <c r="I1395" s="10"/>
      <c r="J1395" s="10"/>
      <c r="K1395" s="10"/>
      <c r="L1395" s="10"/>
      <c r="M1395" s="770"/>
      <c r="N1395" s="10"/>
      <c r="O1395" s="10"/>
      <c r="P1395" s="10"/>
      <c r="Q1395" s="10"/>
      <c r="R1395" s="10"/>
      <c r="S1395" s="10"/>
    </row>
    <row r="1396" spans="1:19" x14ac:dyDescent="0.25">
      <c r="A1396" s="10"/>
      <c r="B1396" s="10"/>
      <c r="C1396" s="10"/>
      <c r="D1396" s="10"/>
      <c r="E1396" s="10"/>
      <c r="F1396" s="10"/>
      <c r="G1396" s="10"/>
      <c r="H1396" s="770"/>
      <c r="I1396" s="10"/>
      <c r="J1396" s="10"/>
      <c r="K1396" s="10"/>
      <c r="L1396" s="10"/>
      <c r="M1396" s="770"/>
      <c r="N1396" s="10"/>
      <c r="O1396" s="10"/>
      <c r="P1396" s="10"/>
      <c r="Q1396" s="10"/>
      <c r="R1396" s="10"/>
      <c r="S1396" s="10"/>
    </row>
    <row r="1397" spans="1:19" x14ac:dyDescent="0.25">
      <c r="A1397" s="10"/>
      <c r="B1397" s="10"/>
      <c r="C1397" s="10"/>
      <c r="D1397" s="10"/>
      <c r="E1397" s="10"/>
      <c r="F1397" s="10"/>
      <c r="G1397" s="10"/>
      <c r="H1397" s="770"/>
      <c r="I1397" s="10"/>
      <c r="J1397" s="10"/>
      <c r="K1397" s="10"/>
      <c r="L1397" s="10"/>
      <c r="M1397" s="770"/>
      <c r="N1397" s="10"/>
      <c r="O1397" s="10"/>
      <c r="P1397" s="10"/>
      <c r="Q1397" s="10"/>
      <c r="R1397" s="10"/>
      <c r="S1397" s="10"/>
    </row>
    <row r="1398" spans="1:19" x14ac:dyDescent="0.25">
      <c r="A1398" s="10"/>
      <c r="B1398" s="10"/>
      <c r="C1398" s="10"/>
      <c r="D1398" s="10"/>
      <c r="E1398" s="10"/>
      <c r="F1398" s="10"/>
      <c r="G1398" s="10"/>
      <c r="H1398" s="770"/>
      <c r="I1398" s="10"/>
      <c r="J1398" s="10"/>
      <c r="K1398" s="10"/>
      <c r="L1398" s="10"/>
      <c r="M1398" s="770"/>
      <c r="N1398" s="10"/>
      <c r="O1398" s="10"/>
      <c r="P1398" s="10"/>
      <c r="Q1398" s="10"/>
      <c r="R1398" s="10"/>
      <c r="S1398" s="10"/>
    </row>
    <row r="1399" spans="1:19" x14ac:dyDescent="0.25">
      <c r="A1399" s="10"/>
      <c r="B1399" s="10"/>
      <c r="C1399" s="10"/>
      <c r="D1399" s="10"/>
      <c r="E1399" s="10"/>
      <c r="F1399" s="10"/>
      <c r="G1399" s="10"/>
      <c r="H1399" s="770"/>
      <c r="I1399" s="10"/>
      <c r="J1399" s="10"/>
      <c r="K1399" s="10"/>
      <c r="L1399" s="10"/>
      <c r="M1399" s="770"/>
      <c r="N1399" s="10"/>
      <c r="O1399" s="10"/>
      <c r="P1399" s="10"/>
      <c r="Q1399" s="10"/>
      <c r="R1399" s="10"/>
      <c r="S1399" s="10"/>
    </row>
    <row r="1400" spans="1:19" x14ac:dyDescent="0.25">
      <c r="A1400" s="10"/>
      <c r="B1400" s="10"/>
      <c r="C1400" s="10"/>
      <c r="D1400" s="10"/>
      <c r="E1400" s="10"/>
      <c r="F1400" s="10"/>
      <c r="G1400" s="10"/>
      <c r="H1400" s="770"/>
      <c r="I1400" s="10"/>
      <c r="J1400" s="10"/>
      <c r="K1400" s="10"/>
      <c r="L1400" s="10"/>
      <c r="M1400" s="770"/>
      <c r="N1400" s="10"/>
      <c r="O1400" s="10"/>
      <c r="P1400" s="10"/>
      <c r="Q1400" s="10"/>
      <c r="R1400" s="10"/>
      <c r="S1400" s="10"/>
    </row>
    <row r="1401" spans="1:19" x14ac:dyDescent="0.25">
      <c r="A1401" s="10"/>
      <c r="B1401" s="10"/>
      <c r="C1401" s="10"/>
      <c r="D1401" s="10"/>
      <c r="E1401" s="10"/>
      <c r="F1401" s="10"/>
      <c r="G1401" s="10"/>
      <c r="H1401" s="770"/>
      <c r="I1401" s="10"/>
      <c r="J1401" s="10"/>
      <c r="K1401" s="10"/>
      <c r="L1401" s="10"/>
      <c r="M1401" s="770"/>
      <c r="N1401" s="10"/>
      <c r="O1401" s="10"/>
      <c r="P1401" s="10"/>
      <c r="Q1401" s="10"/>
      <c r="R1401" s="10"/>
      <c r="S1401" s="10"/>
    </row>
    <row r="1402" spans="1:19" x14ac:dyDescent="0.25">
      <c r="A1402" s="10"/>
      <c r="B1402" s="10"/>
      <c r="C1402" s="10"/>
      <c r="D1402" s="10"/>
      <c r="E1402" s="10"/>
      <c r="F1402" s="10"/>
      <c r="G1402" s="10"/>
      <c r="H1402" s="770"/>
      <c r="I1402" s="10"/>
      <c r="J1402" s="10"/>
      <c r="K1402" s="10"/>
      <c r="L1402" s="10"/>
      <c r="M1402" s="770"/>
      <c r="N1402" s="10"/>
      <c r="O1402" s="10"/>
      <c r="P1402" s="10"/>
      <c r="Q1402" s="10"/>
      <c r="R1402" s="10"/>
      <c r="S1402" s="10"/>
    </row>
    <row r="1403" spans="1:19" x14ac:dyDescent="0.25">
      <c r="A1403" s="10"/>
      <c r="B1403" s="10"/>
      <c r="C1403" s="10"/>
      <c r="D1403" s="10"/>
      <c r="E1403" s="10"/>
      <c r="F1403" s="10"/>
      <c r="G1403" s="10"/>
      <c r="H1403" s="770"/>
      <c r="I1403" s="10"/>
      <c r="J1403" s="10"/>
      <c r="K1403" s="10"/>
      <c r="L1403" s="10"/>
      <c r="M1403" s="770"/>
      <c r="N1403" s="10"/>
      <c r="O1403" s="10"/>
      <c r="P1403" s="10"/>
      <c r="Q1403" s="10"/>
      <c r="R1403" s="10"/>
      <c r="S1403" s="10"/>
    </row>
    <row r="1404" spans="1:19" x14ac:dyDescent="0.25">
      <c r="A1404" s="10"/>
      <c r="B1404" s="10"/>
      <c r="C1404" s="10"/>
      <c r="D1404" s="10"/>
      <c r="E1404" s="10"/>
      <c r="F1404" s="10"/>
      <c r="G1404" s="10"/>
      <c r="H1404" s="770"/>
      <c r="I1404" s="10"/>
      <c r="J1404" s="10"/>
      <c r="K1404" s="10"/>
      <c r="L1404" s="10"/>
      <c r="M1404" s="770"/>
      <c r="N1404" s="10"/>
      <c r="O1404" s="10"/>
      <c r="P1404" s="10"/>
      <c r="Q1404" s="10"/>
      <c r="R1404" s="10"/>
      <c r="S1404" s="10"/>
    </row>
    <row r="1405" spans="1:19" x14ac:dyDescent="0.25">
      <c r="A1405" s="10"/>
      <c r="B1405" s="10"/>
      <c r="C1405" s="10"/>
      <c r="D1405" s="10"/>
      <c r="E1405" s="10"/>
      <c r="F1405" s="10"/>
      <c r="G1405" s="10"/>
      <c r="H1405" s="770"/>
      <c r="I1405" s="10"/>
      <c r="J1405" s="10"/>
      <c r="K1405" s="10"/>
      <c r="L1405" s="10"/>
      <c r="M1405" s="770"/>
      <c r="N1405" s="10"/>
      <c r="O1405" s="10"/>
      <c r="P1405" s="10"/>
      <c r="Q1405" s="10"/>
      <c r="R1405" s="10"/>
      <c r="S1405" s="10"/>
    </row>
    <row r="1406" spans="1:19" x14ac:dyDescent="0.25">
      <c r="A1406" s="10"/>
      <c r="B1406" s="10"/>
      <c r="C1406" s="10"/>
      <c r="D1406" s="10"/>
      <c r="E1406" s="10"/>
      <c r="F1406" s="10"/>
      <c r="G1406" s="10"/>
      <c r="H1406" s="770"/>
      <c r="I1406" s="10"/>
      <c r="J1406" s="10"/>
      <c r="K1406" s="10"/>
      <c r="L1406" s="10"/>
      <c r="M1406" s="770"/>
      <c r="N1406" s="10"/>
      <c r="O1406" s="10"/>
      <c r="P1406" s="10"/>
      <c r="Q1406" s="10"/>
      <c r="R1406" s="10"/>
      <c r="S1406" s="10"/>
    </row>
    <row r="1407" spans="1:19" x14ac:dyDescent="0.25">
      <c r="A1407" s="10"/>
      <c r="B1407" s="10"/>
      <c r="C1407" s="10"/>
      <c r="D1407" s="10"/>
      <c r="E1407" s="10"/>
      <c r="F1407" s="10"/>
      <c r="G1407" s="10"/>
      <c r="H1407" s="770"/>
      <c r="I1407" s="10"/>
      <c r="J1407" s="10"/>
      <c r="K1407" s="10"/>
      <c r="L1407" s="10"/>
      <c r="M1407" s="770"/>
      <c r="N1407" s="10"/>
      <c r="O1407" s="10"/>
      <c r="P1407" s="10"/>
      <c r="Q1407" s="10"/>
      <c r="R1407" s="10"/>
      <c r="S1407" s="10"/>
    </row>
    <row r="1408" spans="1:19" x14ac:dyDescent="0.25">
      <c r="A1408" s="10"/>
      <c r="B1408" s="10"/>
      <c r="C1408" s="10"/>
      <c r="D1408" s="10"/>
      <c r="E1408" s="10"/>
      <c r="F1408" s="10"/>
      <c r="G1408" s="10"/>
      <c r="H1408" s="770"/>
      <c r="I1408" s="10"/>
      <c r="J1408" s="10"/>
      <c r="K1408" s="10"/>
      <c r="L1408" s="10"/>
      <c r="M1408" s="770"/>
      <c r="N1408" s="10"/>
      <c r="O1408" s="10"/>
      <c r="P1408" s="10"/>
      <c r="Q1408" s="10"/>
      <c r="R1408" s="10"/>
      <c r="S1408" s="10"/>
    </row>
    <row r="1409" spans="1:19" x14ac:dyDescent="0.25">
      <c r="A1409" s="10"/>
      <c r="B1409" s="10"/>
      <c r="C1409" s="10"/>
      <c r="D1409" s="10"/>
      <c r="E1409" s="10"/>
      <c r="F1409" s="10"/>
      <c r="G1409" s="10"/>
      <c r="H1409" s="770"/>
      <c r="I1409" s="10"/>
      <c r="J1409" s="10"/>
      <c r="K1409" s="10"/>
      <c r="L1409" s="10"/>
      <c r="M1409" s="770"/>
      <c r="N1409" s="10"/>
      <c r="O1409" s="10"/>
      <c r="P1409" s="10"/>
      <c r="Q1409" s="10"/>
      <c r="R1409" s="10"/>
      <c r="S1409" s="10"/>
    </row>
    <row r="1410" spans="1:19" x14ac:dyDescent="0.25">
      <c r="A1410" s="10"/>
      <c r="B1410" s="10"/>
      <c r="C1410" s="10"/>
      <c r="D1410" s="10"/>
      <c r="E1410" s="10"/>
      <c r="F1410" s="10"/>
      <c r="G1410" s="10"/>
      <c r="H1410" s="770"/>
      <c r="I1410" s="10"/>
      <c r="J1410" s="10"/>
      <c r="K1410" s="10"/>
      <c r="L1410" s="10"/>
      <c r="M1410" s="770"/>
      <c r="N1410" s="10"/>
      <c r="O1410" s="10"/>
      <c r="P1410" s="10"/>
      <c r="Q1410" s="10"/>
      <c r="R1410" s="10"/>
      <c r="S1410" s="10"/>
    </row>
    <row r="1411" spans="1:19" x14ac:dyDescent="0.25">
      <c r="A1411" s="10"/>
      <c r="B1411" s="10"/>
      <c r="C1411" s="10"/>
      <c r="D1411" s="10"/>
      <c r="E1411" s="10"/>
      <c r="F1411" s="10"/>
      <c r="G1411" s="10"/>
      <c r="H1411" s="770"/>
      <c r="I1411" s="10"/>
      <c r="J1411" s="10"/>
      <c r="K1411" s="10"/>
      <c r="L1411" s="10"/>
      <c r="M1411" s="770"/>
      <c r="N1411" s="10"/>
      <c r="O1411" s="10"/>
      <c r="P1411" s="10"/>
      <c r="Q1411" s="10"/>
      <c r="R1411" s="10"/>
      <c r="S1411" s="10"/>
    </row>
    <row r="1412" spans="1:19" x14ac:dyDescent="0.25">
      <c r="A1412" s="10"/>
      <c r="B1412" s="10"/>
      <c r="C1412" s="10"/>
      <c r="D1412" s="10"/>
      <c r="E1412" s="10"/>
      <c r="F1412" s="10"/>
      <c r="G1412" s="10"/>
      <c r="H1412" s="770"/>
      <c r="I1412" s="10"/>
      <c r="J1412" s="10"/>
      <c r="K1412" s="10"/>
      <c r="L1412" s="10"/>
      <c r="M1412" s="770"/>
      <c r="N1412" s="10"/>
      <c r="O1412" s="10"/>
      <c r="P1412" s="10"/>
      <c r="Q1412" s="10"/>
      <c r="R1412" s="10"/>
      <c r="S1412" s="10"/>
    </row>
    <row r="1413" spans="1:19" x14ac:dyDescent="0.25">
      <c r="A1413" s="10"/>
      <c r="B1413" s="10"/>
      <c r="C1413" s="10"/>
      <c r="D1413" s="10"/>
      <c r="E1413" s="10"/>
      <c r="F1413" s="10"/>
      <c r="G1413" s="10"/>
      <c r="H1413" s="770"/>
      <c r="I1413" s="10"/>
      <c r="J1413" s="10"/>
      <c r="K1413" s="10"/>
      <c r="L1413" s="10"/>
      <c r="M1413" s="770"/>
      <c r="N1413" s="10"/>
      <c r="O1413" s="10"/>
      <c r="P1413" s="10"/>
      <c r="Q1413" s="10"/>
      <c r="R1413" s="10"/>
      <c r="S1413" s="10"/>
    </row>
    <row r="1414" spans="1:19" x14ac:dyDescent="0.25">
      <c r="A1414" s="10"/>
      <c r="B1414" s="10"/>
      <c r="C1414" s="10"/>
      <c r="D1414" s="10"/>
      <c r="E1414" s="10"/>
      <c r="F1414" s="10"/>
      <c r="G1414" s="10"/>
      <c r="H1414" s="770"/>
      <c r="I1414" s="10"/>
      <c r="J1414" s="10"/>
      <c r="K1414" s="10"/>
      <c r="L1414" s="10"/>
      <c r="M1414" s="770"/>
      <c r="N1414" s="10"/>
      <c r="O1414" s="10"/>
      <c r="P1414" s="10"/>
      <c r="Q1414" s="10"/>
      <c r="R1414" s="10"/>
      <c r="S1414" s="10"/>
    </row>
    <row r="1415" spans="1:19" x14ac:dyDescent="0.25">
      <c r="A1415" s="10"/>
      <c r="B1415" s="10"/>
      <c r="C1415" s="10"/>
      <c r="D1415" s="10"/>
      <c r="E1415" s="10"/>
      <c r="F1415" s="10"/>
      <c r="G1415" s="10"/>
      <c r="H1415" s="770"/>
      <c r="I1415" s="10"/>
      <c r="J1415" s="10"/>
      <c r="K1415" s="10"/>
      <c r="L1415" s="10"/>
      <c r="M1415" s="770"/>
      <c r="N1415" s="10"/>
      <c r="O1415" s="10"/>
      <c r="P1415" s="10"/>
      <c r="Q1415" s="10"/>
      <c r="R1415" s="10"/>
      <c r="S1415" s="10"/>
    </row>
    <row r="1416" spans="1:19" x14ac:dyDescent="0.25">
      <c r="A1416" s="10"/>
      <c r="B1416" s="10"/>
      <c r="C1416" s="10"/>
      <c r="D1416" s="10"/>
      <c r="E1416" s="10"/>
      <c r="F1416" s="10"/>
      <c r="G1416" s="10"/>
      <c r="H1416" s="770"/>
      <c r="I1416" s="10"/>
      <c r="J1416" s="10"/>
      <c r="K1416" s="10"/>
      <c r="L1416" s="10"/>
      <c r="M1416" s="770"/>
      <c r="N1416" s="10"/>
      <c r="O1416" s="10"/>
      <c r="P1416" s="10"/>
      <c r="Q1416" s="10"/>
      <c r="R1416" s="10"/>
      <c r="S1416" s="10"/>
    </row>
    <row r="1417" spans="1:19" x14ac:dyDescent="0.25">
      <c r="A1417" s="10"/>
      <c r="B1417" s="10"/>
      <c r="C1417" s="10"/>
      <c r="D1417" s="10"/>
      <c r="E1417" s="10"/>
      <c r="F1417" s="10"/>
      <c r="G1417" s="10"/>
      <c r="H1417" s="770"/>
      <c r="I1417" s="10"/>
      <c r="J1417" s="10"/>
      <c r="K1417" s="10"/>
      <c r="L1417" s="10"/>
      <c r="M1417" s="770"/>
      <c r="N1417" s="10"/>
      <c r="O1417" s="10"/>
      <c r="P1417" s="10"/>
      <c r="Q1417" s="10"/>
      <c r="R1417" s="10"/>
      <c r="S1417" s="10"/>
    </row>
    <row r="1418" spans="1:19" x14ac:dyDescent="0.25">
      <c r="A1418" s="10"/>
      <c r="B1418" s="10"/>
      <c r="C1418" s="10"/>
      <c r="D1418" s="10"/>
      <c r="E1418" s="10"/>
      <c r="F1418" s="10"/>
      <c r="G1418" s="10"/>
      <c r="H1418" s="770"/>
      <c r="I1418" s="10"/>
      <c r="J1418" s="10"/>
      <c r="K1418" s="10"/>
      <c r="L1418" s="10"/>
      <c r="M1418" s="770"/>
      <c r="N1418" s="10"/>
      <c r="O1418" s="10"/>
      <c r="P1418" s="10"/>
      <c r="Q1418" s="10"/>
      <c r="R1418" s="10"/>
      <c r="S1418" s="10"/>
    </row>
    <row r="1419" spans="1:19" x14ac:dyDescent="0.25">
      <c r="A1419" s="10"/>
      <c r="B1419" s="10"/>
      <c r="C1419" s="10"/>
      <c r="D1419" s="10"/>
      <c r="E1419" s="10"/>
      <c r="F1419" s="10"/>
      <c r="G1419" s="10"/>
      <c r="H1419" s="770"/>
      <c r="I1419" s="10"/>
      <c r="J1419" s="10"/>
      <c r="K1419" s="10"/>
      <c r="L1419" s="10"/>
      <c r="M1419" s="770"/>
      <c r="N1419" s="10"/>
      <c r="O1419" s="10"/>
      <c r="P1419" s="10"/>
      <c r="Q1419" s="10"/>
      <c r="R1419" s="10"/>
      <c r="S1419" s="10"/>
    </row>
    <row r="1420" spans="1:19" x14ac:dyDescent="0.25">
      <c r="A1420" s="10"/>
      <c r="B1420" s="10"/>
      <c r="C1420" s="10"/>
      <c r="D1420" s="10"/>
      <c r="E1420" s="10"/>
      <c r="F1420" s="10"/>
      <c r="G1420" s="10"/>
      <c r="H1420" s="770"/>
      <c r="I1420" s="10"/>
      <c r="J1420" s="10"/>
      <c r="K1420" s="10"/>
      <c r="L1420" s="10"/>
      <c r="M1420" s="770"/>
      <c r="N1420" s="10"/>
      <c r="O1420" s="10"/>
      <c r="P1420" s="10"/>
      <c r="Q1420" s="10"/>
      <c r="R1420" s="10"/>
      <c r="S1420" s="10"/>
    </row>
    <row r="1421" spans="1:19" x14ac:dyDescent="0.25">
      <c r="A1421" s="10"/>
      <c r="B1421" s="10"/>
      <c r="C1421" s="10"/>
      <c r="D1421" s="10"/>
      <c r="E1421" s="10"/>
      <c r="F1421" s="10"/>
      <c r="G1421" s="10"/>
      <c r="H1421" s="770"/>
      <c r="I1421" s="10"/>
      <c r="J1421" s="10"/>
      <c r="K1421" s="10"/>
      <c r="L1421" s="10"/>
      <c r="M1421" s="770"/>
      <c r="N1421" s="10"/>
      <c r="O1421" s="10"/>
      <c r="P1421" s="10"/>
      <c r="Q1421" s="10"/>
      <c r="R1421" s="10"/>
      <c r="S1421" s="10"/>
    </row>
    <row r="1422" spans="1:19" x14ac:dyDescent="0.25">
      <c r="A1422" s="10"/>
      <c r="B1422" s="10"/>
      <c r="C1422" s="10"/>
      <c r="D1422" s="10"/>
      <c r="E1422" s="10"/>
      <c r="F1422" s="10"/>
      <c r="G1422" s="10"/>
      <c r="H1422" s="770"/>
      <c r="I1422" s="10"/>
      <c r="J1422" s="10"/>
      <c r="K1422" s="10"/>
      <c r="L1422" s="10"/>
      <c r="M1422" s="770"/>
      <c r="N1422" s="10"/>
      <c r="O1422" s="10"/>
      <c r="P1422" s="10"/>
      <c r="Q1422" s="10"/>
      <c r="R1422" s="10"/>
      <c r="S1422" s="10"/>
    </row>
    <row r="1423" spans="1:19" x14ac:dyDescent="0.25">
      <c r="A1423" s="10"/>
      <c r="B1423" s="10"/>
      <c r="C1423" s="10"/>
      <c r="D1423" s="10"/>
      <c r="E1423" s="10"/>
      <c r="F1423" s="10"/>
      <c r="G1423" s="10"/>
      <c r="H1423" s="770"/>
      <c r="I1423" s="10"/>
      <c r="J1423" s="10"/>
      <c r="K1423" s="10"/>
      <c r="L1423" s="10"/>
      <c r="M1423" s="770"/>
      <c r="N1423" s="10"/>
      <c r="O1423" s="10"/>
      <c r="P1423" s="10"/>
      <c r="Q1423" s="10"/>
      <c r="R1423" s="10"/>
      <c r="S1423" s="10"/>
    </row>
    <row r="1424" spans="1:19" x14ac:dyDescent="0.25">
      <c r="A1424" s="10"/>
      <c r="B1424" s="10"/>
      <c r="C1424" s="10"/>
      <c r="D1424" s="10"/>
      <c r="E1424" s="10"/>
      <c r="F1424" s="10"/>
      <c r="G1424" s="10"/>
      <c r="H1424" s="770"/>
      <c r="I1424" s="10"/>
      <c r="J1424" s="10"/>
      <c r="K1424" s="10"/>
      <c r="L1424" s="10"/>
      <c r="M1424" s="770"/>
      <c r="N1424" s="10"/>
      <c r="O1424" s="10"/>
      <c r="P1424" s="10"/>
      <c r="Q1424" s="10"/>
      <c r="R1424" s="10"/>
      <c r="S1424" s="10"/>
    </row>
    <row r="1425" spans="1:19" x14ac:dyDescent="0.25">
      <c r="A1425" s="10"/>
      <c r="B1425" s="10"/>
      <c r="C1425" s="10"/>
      <c r="D1425" s="10"/>
      <c r="E1425" s="10"/>
      <c r="F1425" s="10"/>
      <c r="G1425" s="10"/>
      <c r="H1425" s="770"/>
      <c r="I1425" s="10"/>
      <c r="J1425" s="10"/>
      <c r="K1425" s="10"/>
      <c r="L1425" s="10"/>
      <c r="M1425" s="770"/>
      <c r="N1425" s="10"/>
      <c r="O1425" s="10"/>
      <c r="P1425" s="10"/>
      <c r="Q1425" s="10"/>
      <c r="R1425" s="10"/>
      <c r="S1425" s="10"/>
    </row>
    <row r="1426" spans="1:19" x14ac:dyDescent="0.25">
      <c r="A1426" s="10"/>
      <c r="B1426" s="10"/>
      <c r="C1426" s="10"/>
      <c r="D1426" s="10"/>
      <c r="E1426" s="10"/>
      <c r="F1426" s="10"/>
      <c r="G1426" s="10"/>
      <c r="H1426" s="770"/>
      <c r="I1426" s="10"/>
      <c r="J1426" s="10"/>
      <c r="K1426" s="10"/>
      <c r="L1426" s="10"/>
      <c r="M1426" s="770"/>
      <c r="N1426" s="10"/>
      <c r="O1426" s="10"/>
      <c r="P1426" s="10"/>
      <c r="Q1426" s="10"/>
      <c r="R1426" s="10"/>
      <c r="S1426" s="10"/>
    </row>
    <row r="1427" spans="1:19" x14ac:dyDescent="0.25">
      <c r="A1427" s="10"/>
      <c r="B1427" s="10"/>
      <c r="C1427" s="10"/>
      <c r="D1427" s="10"/>
      <c r="E1427" s="10"/>
      <c r="F1427" s="10"/>
      <c r="G1427" s="10"/>
      <c r="H1427" s="770"/>
      <c r="I1427" s="10"/>
      <c r="J1427" s="10"/>
      <c r="K1427" s="10"/>
      <c r="L1427" s="10"/>
      <c r="M1427" s="770"/>
      <c r="N1427" s="10"/>
      <c r="O1427" s="10"/>
      <c r="P1427" s="10"/>
      <c r="Q1427" s="10"/>
      <c r="R1427" s="10"/>
      <c r="S1427" s="10"/>
    </row>
    <row r="1428" spans="1:19" x14ac:dyDescent="0.25">
      <c r="A1428" s="10"/>
      <c r="B1428" s="10"/>
      <c r="C1428" s="10"/>
      <c r="D1428" s="10"/>
      <c r="E1428" s="10"/>
      <c r="F1428" s="10"/>
      <c r="G1428" s="10"/>
      <c r="H1428" s="770"/>
      <c r="I1428" s="10"/>
      <c r="J1428" s="10"/>
      <c r="K1428" s="10"/>
      <c r="L1428" s="10"/>
      <c r="M1428" s="770"/>
      <c r="N1428" s="10"/>
      <c r="O1428" s="10"/>
      <c r="P1428" s="10"/>
      <c r="Q1428" s="10"/>
      <c r="R1428" s="10"/>
      <c r="S1428" s="10"/>
    </row>
    <row r="1429" spans="1:19" x14ac:dyDescent="0.25">
      <c r="A1429" s="10"/>
      <c r="B1429" s="10"/>
      <c r="C1429" s="10"/>
      <c r="D1429" s="10"/>
      <c r="E1429" s="10"/>
      <c r="F1429" s="10"/>
      <c r="G1429" s="10"/>
      <c r="H1429" s="770"/>
      <c r="I1429" s="10"/>
      <c r="J1429" s="10"/>
      <c r="K1429" s="10"/>
      <c r="L1429" s="10"/>
      <c r="M1429" s="770"/>
      <c r="N1429" s="10"/>
      <c r="O1429" s="10"/>
      <c r="P1429" s="10"/>
      <c r="Q1429" s="10"/>
      <c r="R1429" s="10"/>
      <c r="S1429" s="10"/>
    </row>
    <row r="1430" spans="1:19" x14ac:dyDescent="0.25">
      <c r="A1430" s="10"/>
      <c r="B1430" s="10"/>
      <c r="C1430" s="10"/>
      <c r="D1430" s="10"/>
      <c r="E1430" s="10"/>
      <c r="F1430" s="10"/>
      <c r="G1430" s="10"/>
      <c r="H1430" s="770"/>
      <c r="I1430" s="10"/>
      <c r="J1430" s="10"/>
      <c r="K1430" s="10"/>
      <c r="L1430" s="10"/>
      <c r="M1430" s="770"/>
      <c r="N1430" s="10"/>
      <c r="O1430" s="10"/>
      <c r="P1430" s="10"/>
      <c r="Q1430" s="10"/>
      <c r="R1430" s="10"/>
      <c r="S1430" s="10"/>
    </row>
    <row r="1431" spans="1:19" x14ac:dyDescent="0.25">
      <c r="A1431" s="10"/>
      <c r="B1431" s="10"/>
      <c r="C1431" s="10"/>
      <c r="D1431" s="10"/>
      <c r="E1431" s="10"/>
      <c r="F1431" s="10"/>
      <c r="G1431" s="10"/>
      <c r="H1431" s="770"/>
      <c r="I1431" s="10"/>
      <c r="J1431" s="10"/>
      <c r="K1431" s="10"/>
      <c r="L1431" s="10"/>
      <c r="M1431" s="770"/>
      <c r="N1431" s="10"/>
      <c r="O1431" s="10"/>
      <c r="P1431" s="10"/>
      <c r="Q1431" s="10"/>
      <c r="R1431" s="10"/>
      <c r="S1431" s="10"/>
    </row>
    <row r="1432" spans="1:19" x14ac:dyDescent="0.25">
      <c r="A1432" s="10"/>
      <c r="B1432" s="10"/>
      <c r="C1432" s="10"/>
      <c r="D1432" s="10"/>
      <c r="E1432" s="10"/>
      <c r="F1432" s="10"/>
      <c r="G1432" s="10"/>
      <c r="H1432" s="770"/>
      <c r="I1432" s="10"/>
      <c r="J1432" s="10"/>
      <c r="K1432" s="10"/>
      <c r="L1432" s="10"/>
      <c r="M1432" s="770"/>
      <c r="N1432" s="10"/>
      <c r="O1432" s="10"/>
      <c r="P1432" s="10"/>
      <c r="Q1432" s="10"/>
      <c r="R1432" s="10"/>
      <c r="S1432" s="10"/>
    </row>
    <row r="1433" spans="1:19" x14ac:dyDescent="0.25">
      <c r="A1433" s="10"/>
      <c r="B1433" s="10"/>
      <c r="C1433" s="10"/>
      <c r="D1433" s="10"/>
      <c r="E1433" s="10"/>
      <c r="F1433" s="10"/>
      <c r="G1433" s="10"/>
      <c r="H1433" s="770"/>
      <c r="I1433" s="10"/>
      <c r="J1433" s="10"/>
      <c r="K1433" s="10"/>
      <c r="L1433" s="10"/>
      <c r="M1433" s="770"/>
      <c r="N1433" s="10"/>
      <c r="O1433" s="10"/>
      <c r="P1433" s="10"/>
      <c r="Q1433" s="10"/>
      <c r="R1433" s="10"/>
      <c r="S1433" s="10"/>
    </row>
    <row r="1434" spans="1:19" x14ac:dyDescent="0.25">
      <c r="A1434" s="10"/>
      <c r="B1434" s="10"/>
      <c r="C1434" s="10"/>
      <c r="D1434" s="10"/>
      <c r="E1434" s="10"/>
      <c r="F1434" s="10"/>
      <c r="G1434" s="10"/>
      <c r="H1434" s="770"/>
      <c r="I1434" s="10"/>
      <c r="J1434" s="10"/>
      <c r="K1434" s="10"/>
      <c r="L1434" s="10"/>
      <c r="M1434" s="770"/>
      <c r="N1434" s="10"/>
      <c r="O1434" s="10"/>
      <c r="P1434" s="10"/>
      <c r="Q1434" s="10"/>
      <c r="R1434" s="10"/>
      <c r="S1434" s="10"/>
    </row>
    <row r="1435" spans="1:19" x14ac:dyDescent="0.25">
      <c r="A1435" s="10"/>
      <c r="B1435" s="10"/>
      <c r="C1435" s="10"/>
      <c r="D1435" s="10"/>
      <c r="E1435" s="10"/>
      <c r="F1435" s="10"/>
      <c r="G1435" s="10"/>
      <c r="H1435" s="770"/>
      <c r="I1435" s="10"/>
      <c r="J1435" s="10"/>
      <c r="K1435" s="10"/>
      <c r="L1435" s="10"/>
      <c r="M1435" s="770"/>
      <c r="N1435" s="10"/>
      <c r="O1435" s="10"/>
      <c r="P1435" s="10"/>
      <c r="Q1435" s="10"/>
      <c r="R1435" s="10"/>
      <c r="S1435" s="10"/>
    </row>
    <row r="1436" spans="1:19" x14ac:dyDescent="0.25">
      <c r="A1436" s="10"/>
      <c r="B1436" s="10"/>
      <c r="C1436" s="10"/>
      <c r="D1436" s="10"/>
      <c r="E1436" s="10"/>
      <c r="F1436" s="10"/>
      <c r="G1436" s="10"/>
      <c r="H1436" s="770"/>
      <c r="I1436" s="10"/>
      <c r="J1436" s="10"/>
      <c r="K1436" s="10"/>
      <c r="L1436" s="10"/>
      <c r="M1436" s="770"/>
      <c r="N1436" s="10"/>
      <c r="O1436" s="10"/>
      <c r="P1436" s="10"/>
      <c r="Q1436" s="10"/>
      <c r="R1436" s="10"/>
      <c r="S1436" s="10"/>
    </row>
    <row r="1437" spans="1:19" x14ac:dyDescent="0.25">
      <c r="A1437" s="10"/>
      <c r="B1437" s="10"/>
      <c r="C1437" s="10"/>
      <c r="D1437" s="10"/>
      <c r="E1437" s="10"/>
      <c r="F1437" s="10"/>
      <c r="G1437" s="10"/>
      <c r="H1437" s="770"/>
      <c r="I1437" s="10"/>
      <c r="J1437" s="10"/>
      <c r="K1437" s="10"/>
      <c r="L1437" s="10"/>
      <c r="M1437" s="770"/>
      <c r="N1437" s="10"/>
      <c r="O1437" s="10"/>
      <c r="P1437" s="10"/>
      <c r="Q1437" s="10"/>
      <c r="R1437" s="10"/>
      <c r="S1437" s="10"/>
    </row>
    <row r="1438" spans="1:19" x14ac:dyDescent="0.25">
      <c r="A1438" s="10"/>
      <c r="B1438" s="10"/>
      <c r="C1438" s="10"/>
      <c r="D1438" s="10"/>
      <c r="E1438" s="10"/>
      <c r="F1438" s="10"/>
      <c r="G1438" s="10"/>
      <c r="H1438" s="770"/>
      <c r="I1438" s="10"/>
      <c r="J1438" s="10"/>
      <c r="K1438" s="10"/>
      <c r="L1438" s="10"/>
      <c r="M1438" s="770"/>
      <c r="N1438" s="10"/>
      <c r="O1438" s="10"/>
      <c r="P1438" s="10"/>
      <c r="Q1438" s="10"/>
      <c r="R1438" s="10"/>
      <c r="S1438" s="10"/>
    </row>
    <row r="1439" spans="1:19" x14ac:dyDescent="0.25">
      <c r="A1439" s="10"/>
      <c r="B1439" s="10"/>
      <c r="C1439" s="10"/>
      <c r="D1439" s="10"/>
      <c r="E1439" s="10"/>
      <c r="F1439" s="10"/>
      <c r="G1439" s="10"/>
      <c r="H1439" s="770"/>
      <c r="I1439" s="10"/>
      <c r="J1439" s="10"/>
      <c r="K1439" s="10"/>
      <c r="L1439" s="10"/>
      <c r="M1439" s="770"/>
      <c r="N1439" s="10"/>
      <c r="O1439" s="10"/>
      <c r="P1439" s="10"/>
      <c r="Q1439" s="10"/>
      <c r="R1439" s="10"/>
      <c r="S1439" s="10"/>
    </row>
    <row r="1440" spans="1:19" x14ac:dyDescent="0.25">
      <c r="A1440" s="10"/>
      <c r="B1440" s="10"/>
      <c r="C1440" s="10"/>
      <c r="D1440" s="10"/>
      <c r="E1440" s="10"/>
      <c r="F1440" s="10"/>
      <c r="G1440" s="10"/>
      <c r="H1440" s="770"/>
      <c r="I1440" s="10"/>
      <c r="J1440" s="10"/>
      <c r="K1440" s="10"/>
      <c r="L1440" s="10"/>
      <c r="M1440" s="770"/>
      <c r="N1440" s="10"/>
      <c r="O1440" s="10"/>
      <c r="P1440" s="10"/>
      <c r="Q1440" s="10"/>
      <c r="R1440" s="10"/>
      <c r="S1440" s="10"/>
    </row>
    <row r="1441" spans="1:19" x14ac:dyDescent="0.25">
      <c r="A1441" s="10"/>
      <c r="B1441" s="10"/>
      <c r="C1441" s="10"/>
      <c r="D1441" s="10"/>
      <c r="E1441" s="10"/>
      <c r="F1441" s="10"/>
      <c r="G1441" s="10"/>
      <c r="H1441" s="770"/>
      <c r="I1441" s="10"/>
      <c r="J1441" s="10"/>
      <c r="K1441" s="10"/>
      <c r="L1441" s="10"/>
      <c r="M1441" s="770"/>
      <c r="N1441" s="10"/>
      <c r="O1441" s="10"/>
      <c r="P1441" s="10"/>
      <c r="Q1441" s="10"/>
      <c r="R1441" s="10"/>
      <c r="S1441" s="10"/>
    </row>
    <row r="1442" spans="1:19" x14ac:dyDescent="0.25">
      <c r="A1442" s="10"/>
      <c r="B1442" s="10"/>
      <c r="C1442" s="10"/>
      <c r="D1442" s="10"/>
      <c r="E1442" s="10"/>
      <c r="F1442" s="10"/>
      <c r="G1442" s="10"/>
      <c r="H1442" s="770"/>
      <c r="I1442" s="10"/>
      <c r="J1442" s="10"/>
      <c r="K1442" s="10"/>
      <c r="L1442" s="10"/>
      <c r="M1442" s="770"/>
      <c r="N1442" s="10"/>
      <c r="O1442" s="10"/>
      <c r="P1442" s="10"/>
      <c r="Q1442" s="10"/>
      <c r="R1442" s="10"/>
      <c r="S1442" s="10"/>
    </row>
    <row r="1443" spans="1:19" x14ac:dyDescent="0.25">
      <c r="A1443" s="10"/>
      <c r="B1443" s="10"/>
      <c r="C1443" s="10"/>
      <c r="D1443" s="10"/>
      <c r="E1443" s="10"/>
      <c r="F1443" s="10"/>
      <c r="G1443" s="10"/>
      <c r="H1443" s="770"/>
      <c r="I1443" s="10"/>
      <c r="J1443" s="10"/>
      <c r="K1443" s="10"/>
      <c r="L1443" s="10"/>
      <c r="M1443" s="770"/>
      <c r="N1443" s="10"/>
      <c r="O1443" s="10"/>
      <c r="P1443" s="10"/>
      <c r="Q1443" s="10"/>
      <c r="R1443" s="10"/>
      <c r="S1443" s="10"/>
    </row>
    <row r="1444" spans="1:19" x14ac:dyDescent="0.25">
      <c r="A1444" s="10"/>
      <c r="B1444" s="10"/>
      <c r="C1444" s="10"/>
      <c r="D1444" s="10"/>
      <c r="E1444" s="10"/>
      <c r="F1444" s="10"/>
      <c r="G1444" s="10"/>
      <c r="H1444" s="770"/>
      <c r="I1444" s="10"/>
      <c r="J1444" s="10"/>
      <c r="K1444" s="10"/>
      <c r="L1444" s="10"/>
      <c r="M1444" s="770"/>
      <c r="N1444" s="10"/>
      <c r="O1444" s="10"/>
      <c r="P1444" s="10"/>
      <c r="Q1444" s="10"/>
      <c r="R1444" s="10"/>
      <c r="S1444" s="10"/>
    </row>
    <row r="1445" spans="1:19" x14ac:dyDescent="0.25">
      <c r="A1445" s="10"/>
      <c r="B1445" s="10"/>
      <c r="C1445" s="10"/>
      <c r="D1445" s="10"/>
      <c r="E1445" s="10"/>
      <c r="F1445" s="10"/>
      <c r="G1445" s="10"/>
      <c r="H1445" s="770"/>
      <c r="I1445" s="10"/>
      <c r="J1445" s="10"/>
      <c r="K1445" s="10"/>
      <c r="L1445" s="10"/>
      <c r="M1445" s="770"/>
      <c r="N1445" s="10"/>
      <c r="O1445" s="10"/>
      <c r="P1445" s="10"/>
      <c r="Q1445" s="10"/>
      <c r="R1445" s="10"/>
      <c r="S1445" s="10"/>
    </row>
    <row r="1446" spans="1:19" x14ac:dyDescent="0.25">
      <c r="A1446" s="10"/>
      <c r="B1446" s="10"/>
      <c r="C1446" s="10"/>
      <c r="D1446" s="10"/>
      <c r="E1446" s="10"/>
      <c r="F1446" s="10"/>
      <c r="G1446" s="10"/>
      <c r="H1446" s="770"/>
      <c r="I1446" s="10"/>
      <c r="J1446" s="10"/>
      <c r="K1446" s="10"/>
      <c r="L1446" s="10"/>
      <c r="M1446" s="770"/>
      <c r="N1446" s="10"/>
      <c r="O1446" s="10"/>
      <c r="P1446" s="10"/>
      <c r="Q1446" s="10"/>
      <c r="R1446" s="10"/>
      <c r="S1446" s="10"/>
    </row>
    <row r="1447" spans="1:19" x14ac:dyDescent="0.25">
      <c r="A1447" s="10"/>
      <c r="B1447" s="10"/>
      <c r="C1447" s="10"/>
      <c r="D1447" s="10"/>
      <c r="E1447" s="10"/>
      <c r="F1447" s="10"/>
      <c r="G1447" s="10"/>
      <c r="H1447" s="770"/>
      <c r="I1447" s="10"/>
      <c r="J1447" s="10"/>
      <c r="K1447" s="10"/>
      <c r="L1447" s="10"/>
      <c r="M1447" s="770"/>
      <c r="N1447" s="10"/>
      <c r="O1447" s="10"/>
      <c r="P1447" s="10"/>
      <c r="Q1447" s="10"/>
      <c r="R1447" s="10"/>
      <c r="S1447" s="10"/>
    </row>
    <row r="1448" spans="1:19" x14ac:dyDescent="0.25">
      <c r="A1448" s="10"/>
      <c r="B1448" s="10"/>
      <c r="C1448" s="10"/>
      <c r="D1448" s="10"/>
      <c r="E1448" s="10"/>
      <c r="F1448" s="10"/>
      <c r="G1448" s="10"/>
      <c r="H1448" s="770"/>
      <c r="I1448" s="10"/>
      <c r="J1448" s="10"/>
      <c r="K1448" s="10"/>
      <c r="L1448" s="10"/>
      <c r="M1448" s="770"/>
      <c r="N1448" s="10"/>
      <c r="O1448" s="10"/>
      <c r="P1448" s="10"/>
      <c r="Q1448" s="10"/>
      <c r="R1448" s="10"/>
      <c r="S1448" s="10"/>
    </row>
    <row r="1449" spans="1:19" x14ac:dyDescent="0.25">
      <c r="A1449" s="10"/>
      <c r="B1449" s="10"/>
      <c r="C1449" s="10"/>
      <c r="D1449" s="10"/>
      <c r="E1449" s="10"/>
      <c r="F1449" s="10"/>
      <c r="G1449" s="10"/>
      <c r="H1449" s="770"/>
      <c r="I1449" s="10"/>
      <c r="J1449" s="10"/>
      <c r="K1449" s="10"/>
      <c r="L1449" s="10"/>
      <c r="M1449" s="770"/>
      <c r="N1449" s="10"/>
      <c r="O1449" s="10"/>
      <c r="P1449" s="10"/>
      <c r="Q1449" s="10"/>
      <c r="R1449" s="10"/>
      <c r="S1449" s="10"/>
    </row>
    <row r="1450" spans="1:19" x14ac:dyDescent="0.25">
      <c r="A1450" s="10"/>
      <c r="B1450" s="10"/>
      <c r="C1450" s="10"/>
      <c r="D1450" s="10"/>
      <c r="E1450" s="10"/>
      <c r="F1450" s="10"/>
      <c r="G1450" s="10"/>
      <c r="H1450" s="770"/>
      <c r="I1450" s="10"/>
      <c r="J1450" s="10"/>
      <c r="K1450" s="10"/>
      <c r="L1450" s="10"/>
      <c r="M1450" s="770"/>
      <c r="N1450" s="10"/>
      <c r="O1450" s="10"/>
      <c r="P1450" s="10"/>
      <c r="Q1450" s="10"/>
      <c r="R1450" s="10"/>
      <c r="S1450" s="10"/>
    </row>
    <row r="1451" spans="1:19" x14ac:dyDescent="0.25">
      <c r="A1451" s="10"/>
      <c r="B1451" s="10"/>
      <c r="C1451" s="10"/>
      <c r="D1451" s="10"/>
      <c r="E1451" s="10"/>
      <c r="F1451" s="10"/>
      <c r="G1451" s="10"/>
      <c r="H1451" s="770"/>
      <c r="I1451" s="10"/>
      <c r="J1451" s="10"/>
      <c r="K1451" s="10"/>
      <c r="L1451" s="10"/>
      <c r="M1451" s="770"/>
      <c r="N1451" s="10"/>
      <c r="O1451" s="10"/>
      <c r="P1451" s="10"/>
      <c r="Q1451" s="10"/>
      <c r="R1451" s="10"/>
      <c r="S1451" s="10"/>
    </row>
    <row r="1452" spans="1:19" x14ac:dyDescent="0.25">
      <c r="A1452" s="10"/>
      <c r="B1452" s="10"/>
      <c r="C1452" s="10"/>
      <c r="D1452" s="10"/>
      <c r="E1452" s="10"/>
      <c r="F1452" s="10"/>
      <c r="G1452" s="10"/>
      <c r="H1452" s="770"/>
      <c r="I1452" s="10"/>
      <c r="J1452" s="10"/>
      <c r="K1452" s="10"/>
      <c r="L1452" s="10"/>
      <c r="M1452" s="770"/>
      <c r="N1452" s="10"/>
      <c r="O1452" s="10"/>
      <c r="P1452" s="10"/>
      <c r="Q1452" s="10"/>
      <c r="R1452" s="10"/>
      <c r="S1452" s="10"/>
    </row>
    <row r="1453" spans="1:19" x14ac:dyDescent="0.25">
      <c r="A1453" s="10"/>
      <c r="B1453" s="10"/>
      <c r="C1453" s="10"/>
      <c r="D1453" s="10"/>
      <c r="E1453" s="10"/>
      <c r="F1453" s="10"/>
      <c r="G1453" s="10"/>
      <c r="H1453" s="770"/>
      <c r="I1453" s="10"/>
      <c r="J1453" s="10"/>
      <c r="K1453" s="10"/>
      <c r="L1453" s="10"/>
      <c r="M1453" s="770"/>
      <c r="N1453" s="10"/>
      <c r="O1453" s="10"/>
      <c r="P1453" s="10"/>
      <c r="Q1453" s="10"/>
      <c r="R1453" s="10"/>
      <c r="S1453" s="10"/>
    </row>
    <row r="1454" spans="1:19" x14ac:dyDescent="0.25">
      <c r="A1454" s="10"/>
      <c r="B1454" s="10"/>
      <c r="C1454" s="10"/>
      <c r="D1454" s="10"/>
      <c r="E1454" s="10"/>
      <c r="F1454" s="10"/>
      <c r="G1454" s="10"/>
      <c r="H1454" s="770"/>
      <c r="I1454" s="10"/>
      <c r="J1454" s="10"/>
      <c r="K1454" s="10"/>
      <c r="L1454" s="10"/>
      <c r="M1454" s="770"/>
      <c r="N1454" s="10"/>
      <c r="O1454" s="10"/>
      <c r="P1454" s="10"/>
      <c r="Q1454" s="10"/>
      <c r="R1454" s="10"/>
      <c r="S1454" s="10"/>
    </row>
    <row r="1455" spans="1:19" x14ac:dyDescent="0.25">
      <c r="A1455" s="10"/>
      <c r="B1455" s="10"/>
      <c r="C1455" s="10"/>
      <c r="D1455" s="10"/>
      <c r="E1455" s="10"/>
      <c r="F1455" s="10"/>
      <c r="G1455" s="10"/>
      <c r="H1455" s="770"/>
      <c r="I1455" s="10"/>
      <c r="J1455" s="10"/>
      <c r="K1455" s="10"/>
      <c r="L1455" s="10"/>
      <c r="M1455" s="770"/>
      <c r="N1455" s="10"/>
      <c r="O1455" s="10"/>
      <c r="P1455" s="10"/>
      <c r="Q1455" s="10"/>
      <c r="R1455" s="10"/>
      <c r="S1455" s="10"/>
    </row>
    <row r="1456" spans="1:19" x14ac:dyDescent="0.25">
      <c r="A1456" s="10"/>
      <c r="B1456" s="10"/>
      <c r="C1456" s="10"/>
      <c r="D1456" s="10"/>
      <c r="E1456" s="10"/>
      <c r="F1456" s="10"/>
      <c r="G1456" s="10"/>
      <c r="H1456" s="770"/>
      <c r="I1456" s="10"/>
      <c r="J1456" s="10"/>
      <c r="K1456" s="10"/>
      <c r="L1456" s="10"/>
      <c r="M1456" s="770"/>
      <c r="N1456" s="10"/>
      <c r="O1456" s="10"/>
      <c r="P1456" s="10"/>
      <c r="Q1456" s="10"/>
      <c r="R1456" s="10"/>
      <c r="S1456" s="10"/>
    </row>
    <row r="1457" spans="1:19" x14ac:dyDescent="0.25">
      <c r="A1457" s="10"/>
      <c r="B1457" s="10"/>
      <c r="C1457" s="10"/>
      <c r="D1457" s="10"/>
      <c r="E1457" s="10"/>
      <c r="F1457" s="10"/>
      <c r="G1457" s="10"/>
      <c r="H1457" s="770"/>
      <c r="I1457" s="10"/>
      <c r="J1457" s="10"/>
      <c r="K1457" s="10"/>
      <c r="L1457" s="10"/>
      <c r="M1457" s="770"/>
      <c r="N1457" s="10"/>
      <c r="O1457" s="10"/>
      <c r="P1457" s="10"/>
      <c r="Q1457" s="10"/>
      <c r="R1457" s="10"/>
      <c r="S1457" s="10"/>
    </row>
    <row r="1458" spans="1:19" x14ac:dyDescent="0.25">
      <c r="A1458" s="10"/>
      <c r="B1458" s="10"/>
      <c r="C1458" s="10"/>
      <c r="D1458" s="10"/>
      <c r="E1458" s="10"/>
      <c r="F1458" s="10"/>
      <c r="G1458" s="10"/>
      <c r="H1458" s="770"/>
      <c r="I1458" s="10"/>
      <c r="J1458" s="10"/>
      <c r="K1458" s="10"/>
      <c r="L1458" s="10"/>
      <c r="M1458" s="770"/>
      <c r="N1458" s="10"/>
      <c r="O1458" s="10"/>
      <c r="P1458" s="10"/>
      <c r="Q1458" s="10"/>
      <c r="R1458" s="10"/>
      <c r="S1458" s="10"/>
    </row>
    <row r="1459" spans="1:19" x14ac:dyDescent="0.25">
      <c r="A1459" s="10"/>
      <c r="B1459" s="10"/>
      <c r="C1459" s="10"/>
      <c r="D1459" s="10"/>
      <c r="E1459" s="10"/>
      <c r="F1459" s="10"/>
      <c r="G1459" s="10"/>
      <c r="H1459" s="770"/>
      <c r="I1459" s="10"/>
      <c r="J1459" s="10"/>
      <c r="K1459" s="10"/>
      <c r="L1459" s="10"/>
      <c r="M1459" s="770"/>
      <c r="N1459" s="10"/>
      <c r="O1459" s="10"/>
      <c r="P1459" s="10"/>
      <c r="Q1459" s="10"/>
      <c r="R1459" s="10"/>
      <c r="S1459" s="10"/>
    </row>
    <row r="1460" spans="1:19" x14ac:dyDescent="0.25">
      <c r="A1460" s="10"/>
      <c r="B1460" s="10"/>
      <c r="C1460" s="10"/>
      <c r="D1460" s="10"/>
      <c r="E1460" s="10"/>
      <c r="F1460" s="10"/>
      <c r="G1460" s="10"/>
      <c r="H1460" s="770"/>
      <c r="I1460" s="10"/>
      <c r="J1460" s="10"/>
      <c r="K1460" s="10"/>
      <c r="L1460" s="10"/>
      <c r="M1460" s="770"/>
      <c r="N1460" s="10"/>
      <c r="O1460" s="10"/>
      <c r="P1460" s="10"/>
      <c r="Q1460" s="10"/>
      <c r="R1460" s="10"/>
      <c r="S1460" s="10"/>
    </row>
    <row r="1461" spans="1:19" x14ac:dyDescent="0.25">
      <c r="A1461" s="10"/>
      <c r="B1461" s="10"/>
      <c r="C1461" s="10"/>
      <c r="D1461" s="10"/>
      <c r="E1461" s="10"/>
      <c r="F1461" s="10"/>
      <c r="G1461" s="10"/>
      <c r="H1461" s="770"/>
      <c r="I1461" s="10"/>
      <c r="J1461" s="10"/>
      <c r="K1461" s="10"/>
      <c r="L1461" s="10"/>
      <c r="M1461" s="770"/>
      <c r="N1461" s="10"/>
      <c r="O1461" s="10"/>
      <c r="P1461" s="10"/>
      <c r="Q1461" s="10"/>
      <c r="R1461" s="10"/>
      <c r="S1461" s="10"/>
    </row>
    <row r="1462" spans="1:19" x14ac:dyDescent="0.25">
      <c r="A1462" s="10"/>
      <c r="B1462" s="10"/>
      <c r="C1462" s="10"/>
      <c r="D1462" s="10"/>
      <c r="E1462" s="10"/>
      <c r="F1462" s="10"/>
      <c r="G1462" s="10"/>
      <c r="H1462" s="770"/>
      <c r="I1462" s="10"/>
      <c r="J1462" s="10"/>
      <c r="K1462" s="10"/>
      <c r="L1462" s="10"/>
      <c r="M1462" s="770"/>
      <c r="N1462" s="10"/>
      <c r="O1462" s="10"/>
      <c r="P1462" s="10"/>
      <c r="Q1462" s="10"/>
      <c r="R1462" s="10"/>
      <c r="S1462" s="10"/>
    </row>
    <row r="1463" spans="1:19" x14ac:dyDescent="0.25">
      <c r="A1463" s="10"/>
      <c r="B1463" s="10"/>
      <c r="C1463" s="10"/>
      <c r="D1463" s="10"/>
      <c r="E1463" s="10"/>
      <c r="F1463" s="10"/>
      <c r="G1463" s="10"/>
      <c r="H1463" s="770"/>
      <c r="I1463" s="10"/>
      <c r="J1463" s="10"/>
      <c r="K1463" s="10"/>
      <c r="L1463" s="10"/>
      <c r="M1463" s="770"/>
      <c r="N1463" s="10"/>
      <c r="O1463" s="10"/>
      <c r="P1463" s="10"/>
      <c r="Q1463" s="10"/>
      <c r="R1463" s="10"/>
      <c r="S1463" s="10"/>
    </row>
    <row r="1464" spans="1:19" x14ac:dyDescent="0.25">
      <c r="A1464" s="10"/>
      <c r="B1464" s="10"/>
      <c r="C1464" s="10"/>
      <c r="D1464" s="10"/>
      <c r="E1464" s="10"/>
      <c r="F1464" s="10"/>
      <c r="G1464" s="10"/>
      <c r="H1464" s="770"/>
      <c r="I1464" s="10"/>
      <c r="J1464" s="10"/>
      <c r="K1464" s="10"/>
      <c r="L1464" s="10"/>
      <c r="M1464" s="770"/>
      <c r="N1464" s="10"/>
      <c r="O1464" s="10"/>
      <c r="P1464" s="10"/>
      <c r="Q1464" s="10"/>
      <c r="R1464" s="10"/>
      <c r="S1464" s="10"/>
    </row>
    <row r="1465" spans="1:19" x14ac:dyDescent="0.25">
      <c r="A1465" s="10"/>
      <c r="B1465" s="10"/>
      <c r="C1465" s="10"/>
      <c r="D1465" s="10"/>
      <c r="E1465" s="10"/>
      <c r="F1465" s="10"/>
      <c r="G1465" s="10"/>
      <c r="H1465" s="770"/>
      <c r="I1465" s="10"/>
      <c r="J1465" s="10"/>
      <c r="K1465" s="10"/>
      <c r="L1465" s="10"/>
      <c r="M1465" s="770"/>
      <c r="N1465" s="10"/>
      <c r="O1465" s="10"/>
      <c r="P1465" s="10"/>
      <c r="Q1465" s="10"/>
      <c r="R1465" s="10"/>
      <c r="S1465" s="10"/>
    </row>
    <row r="1466" spans="1:19" x14ac:dyDescent="0.25">
      <c r="A1466" s="10"/>
      <c r="B1466" s="10"/>
      <c r="C1466" s="10"/>
      <c r="D1466" s="10"/>
      <c r="E1466" s="10"/>
      <c r="F1466" s="10"/>
      <c r="G1466" s="10"/>
      <c r="H1466" s="770"/>
      <c r="I1466" s="10"/>
      <c r="J1466" s="10"/>
      <c r="K1466" s="10"/>
      <c r="L1466" s="10"/>
      <c r="M1466" s="770"/>
      <c r="N1466" s="10"/>
      <c r="O1466" s="10"/>
      <c r="P1466" s="10"/>
      <c r="Q1466" s="10"/>
      <c r="R1466" s="10"/>
      <c r="S1466" s="10"/>
    </row>
    <row r="1467" spans="1:19" x14ac:dyDescent="0.25">
      <c r="A1467" s="10"/>
      <c r="B1467" s="10"/>
      <c r="C1467" s="10"/>
      <c r="D1467" s="10"/>
      <c r="E1467" s="10"/>
      <c r="F1467" s="10"/>
      <c r="G1467" s="10"/>
      <c r="H1467" s="770"/>
      <c r="I1467" s="10"/>
      <c r="J1467" s="10"/>
      <c r="K1467" s="10"/>
      <c r="L1467" s="10"/>
      <c r="M1467" s="770"/>
      <c r="N1467" s="10"/>
      <c r="O1467" s="10"/>
      <c r="P1467" s="10"/>
      <c r="Q1467" s="10"/>
      <c r="R1467" s="10"/>
      <c r="S1467" s="10"/>
    </row>
    <row r="1468" spans="1:19" x14ac:dyDescent="0.25">
      <c r="A1468" s="10"/>
      <c r="B1468" s="10"/>
      <c r="C1468" s="10"/>
      <c r="D1468" s="10"/>
      <c r="E1468" s="10"/>
      <c r="F1468" s="10"/>
      <c r="G1468" s="10"/>
      <c r="H1468" s="770"/>
      <c r="I1468" s="10"/>
      <c r="J1468" s="10"/>
      <c r="K1468" s="10"/>
      <c r="L1468" s="10"/>
      <c r="M1468" s="770"/>
      <c r="N1468" s="10"/>
      <c r="O1468" s="10"/>
      <c r="P1468" s="10"/>
      <c r="Q1468" s="10"/>
      <c r="R1468" s="10"/>
      <c r="S1468" s="10"/>
    </row>
    <row r="1469" spans="1:19" x14ac:dyDescent="0.25">
      <c r="A1469" s="10"/>
      <c r="B1469" s="10"/>
      <c r="C1469" s="10"/>
      <c r="D1469" s="10"/>
      <c r="E1469" s="10"/>
      <c r="F1469" s="10"/>
      <c r="G1469" s="10"/>
      <c r="H1469" s="770"/>
      <c r="I1469" s="10"/>
      <c r="J1469" s="10"/>
      <c r="K1469" s="10"/>
      <c r="L1469" s="10"/>
      <c r="M1469" s="770"/>
      <c r="N1469" s="10"/>
      <c r="O1469" s="10"/>
      <c r="P1469" s="10"/>
      <c r="Q1469" s="10"/>
      <c r="R1469" s="10"/>
      <c r="S1469" s="10"/>
    </row>
    <row r="1470" spans="1:19" x14ac:dyDescent="0.25">
      <c r="A1470" s="10"/>
      <c r="B1470" s="10"/>
      <c r="C1470" s="10"/>
      <c r="D1470" s="10"/>
      <c r="E1470" s="10"/>
      <c r="F1470" s="10"/>
      <c r="G1470" s="10"/>
      <c r="H1470" s="770"/>
      <c r="I1470" s="10"/>
      <c r="J1470" s="10"/>
      <c r="K1470" s="10"/>
      <c r="L1470" s="10"/>
      <c r="M1470" s="770"/>
      <c r="N1470" s="10"/>
      <c r="O1470" s="10"/>
      <c r="P1470" s="10"/>
      <c r="Q1470" s="10"/>
      <c r="R1470" s="10"/>
      <c r="S1470" s="10"/>
    </row>
    <row r="1471" spans="1:19" x14ac:dyDescent="0.25">
      <c r="A1471" s="10"/>
      <c r="B1471" s="10"/>
      <c r="C1471" s="10"/>
      <c r="D1471" s="10"/>
      <c r="E1471" s="10"/>
      <c r="F1471" s="10"/>
      <c r="G1471" s="10"/>
      <c r="H1471" s="770"/>
      <c r="I1471" s="10"/>
      <c r="J1471" s="10"/>
      <c r="K1471" s="10"/>
      <c r="L1471" s="10"/>
      <c r="M1471" s="770"/>
      <c r="N1471" s="10"/>
      <c r="O1471" s="10"/>
      <c r="P1471" s="10"/>
      <c r="Q1471" s="10"/>
      <c r="R1471" s="10"/>
      <c r="S1471" s="10"/>
    </row>
    <row r="1472" spans="1:19" x14ac:dyDescent="0.25">
      <c r="A1472" s="10"/>
      <c r="B1472" s="10"/>
      <c r="C1472" s="10"/>
      <c r="D1472" s="10"/>
      <c r="E1472" s="10"/>
      <c r="F1472" s="10"/>
      <c r="G1472" s="10"/>
      <c r="H1472" s="770"/>
      <c r="I1472" s="10"/>
      <c r="J1472" s="10"/>
      <c r="K1472" s="10"/>
      <c r="L1472" s="10"/>
      <c r="M1472" s="770"/>
      <c r="N1472" s="10"/>
      <c r="O1472" s="10"/>
      <c r="P1472" s="10"/>
      <c r="Q1472" s="10"/>
      <c r="R1472" s="10"/>
      <c r="S1472" s="10"/>
    </row>
    <row r="1473" spans="1:19" x14ac:dyDescent="0.25">
      <c r="A1473" s="10"/>
      <c r="B1473" s="10"/>
      <c r="C1473" s="10"/>
      <c r="D1473" s="10"/>
      <c r="E1473" s="10"/>
      <c r="F1473" s="10"/>
      <c r="G1473" s="10"/>
      <c r="H1473" s="770"/>
      <c r="I1473" s="10"/>
      <c r="J1473" s="10"/>
      <c r="K1473" s="10"/>
      <c r="L1473" s="10"/>
      <c r="M1473" s="770"/>
      <c r="N1473" s="10"/>
      <c r="O1473" s="10"/>
      <c r="P1473" s="10"/>
      <c r="Q1473" s="10"/>
      <c r="R1473" s="10"/>
      <c r="S1473" s="10"/>
    </row>
    <row r="1474" spans="1:19" x14ac:dyDescent="0.25">
      <c r="A1474" s="10"/>
      <c r="B1474" s="10"/>
      <c r="C1474" s="10"/>
      <c r="D1474" s="10"/>
      <c r="E1474" s="10"/>
      <c r="F1474" s="10"/>
      <c r="G1474" s="10"/>
      <c r="H1474" s="770"/>
      <c r="I1474" s="10"/>
      <c r="J1474" s="10"/>
      <c r="K1474" s="10"/>
      <c r="L1474" s="10"/>
      <c r="M1474" s="770"/>
      <c r="N1474" s="10"/>
      <c r="O1474" s="10"/>
      <c r="P1474" s="10"/>
      <c r="Q1474" s="10"/>
      <c r="R1474" s="10"/>
      <c r="S1474" s="10"/>
    </row>
    <row r="1475" spans="1:19" x14ac:dyDescent="0.25">
      <c r="A1475" s="10"/>
      <c r="B1475" s="10"/>
      <c r="C1475" s="10"/>
      <c r="D1475" s="10"/>
      <c r="E1475" s="10"/>
      <c r="F1475" s="10"/>
      <c r="G1475" s="10"/>
      <c r="H1475" s="770"/>
      <c r="I1475" s="10"/>
      <c r="J1475" s="10"/>
      <c r="K1475" s="10"/>
      <c r="L1475" s="10"/>
      <c r="M1475" s="770"/>
      <c r="N1475" s="10"/>
      <c r="O1475" s="10"/>
      <c r="P1475" s="10"/>
      <c r="Q1475" s="10"/>
      <c r="R1475" s="10"/>
      <c r="S1475" s="10"/>
    </row>
    <row r="1476" spans="1:19" x14ac:dyDescent="0.25">
      <c r="A1476" s="10"/>
      <c r="B1476" s="10"/>
      <c r="C1476" s="10"/>
      <c r="D1476" s="10"/>
      <c r="E1476" s="10"/>
      <c r="F1476" s="10"/>
      <c r="G1476" s="10"/>
      <c r="H1476" s="770"/>
      <c r="I1476" s="10"/>
      <c r="J1476" s="10"/>
      <c r="K1476" s="10"/>
      <c r="L1476" s="10"/>
      <c r="M1476" s="770"/>
      <c r="N1476" s="10"/>
      <c r="O1476" s="10"/>
      <c r="P1476" s="10"/>
      <c r="Q1476" s="10"/>
      <c r="R1476" s="10"/>
      <c r="S1476" s="10"/>
    </row>
    <row r="1477" spans="1:19" x14ac:dyDescent="0.25">
      <c r="A1477" s="10"/>
      <c r="B1477" s="10"/>
      <c r="C1477" s="10"/>
      <c r="D1477" s="10"/>
      <c r="E1477" s="10"/>
      <c r="F1477" s="10"/>
      <c r="G1477" s="10"/>
      <c r="H1477" s="770"/>
      <c r="I1477" s="10"/>
      <c r="J1477" s="10"/>
      <c r="K1477" s="10"/>
      <c r="L1477" s="10"/>
      <c r="M1477" s="770"/>
      <c r="N1477" s="10"/>
      <c r="O1477" s="10"/>
      <c r="P1477" s="10"/>
      <c r="Q1477" s="10"/>
      <c r="R1477" s="10"/>
      <c r="S1477" s="10"/>
    </row>
    <row r="1478" spans="1:19" x14ac:dyDescent="0.25">
      <c r="A1478" s="10"/>
      <c r="B1478" s="10"/>
      <c r="C1478" s="10"/>
      <c r="D1478" s="10"/>
      <c r="E1478" s="10"/>
      <c r="F1478" s="10"/>
      <c r="G1478" s="10"/>
      <c r="H1478" s="770"/>
      <c r="I1478" s="10"/>
      <c r="J1478" s="10"/>
      <c r="K1478" s="10"/>
      <c r="L1478" s="10"/>
      <c r="M1478" s="770"/>
      <c r="N1478" s="10"/>
      <c r="O1478" s="10"/>
      <c r="P1478" s="10"/>
      <c r="Q1478" s="10"/>
      <c r="R1478" s="10"/>
      <c r="S1478" s="10"/>
    </row>
    <row r="1479" spans="1:19" x14ac:dyDescent="0.25">
      <c r="A1479" s="10"/>
      <c r="B1479" s="10"/>
      <c r="C1479" s="10"/>
      <c r="D1479" s="10"/>
      <c r="E1479" s="10"/>
      <c r="F1479" s="10"/>
      <c r="G1479" s="10"/>
      <c r="H1479" s="770"/>
      <c r="I1479" s="10"/>
      <c r="J1479" s="10"/>
      <c r="K1479" s="10"/>
      <c r="L1479" s="10"/>
      <c r="M1479" s="770"/>
      <c r="N1479" s="10"/>
      <c r="O1479" s="10"/>
      <c r="P1479" s="10"/>
      <c r="Q1479" s="10"/>
      <c r="R1479" s="10"/>
      <c r="S1479" s="10"/>
    </row>
    <row r="1480" spans="1:19" x14ac:dyDescent="0.25">
      <c r="A1480" s="10"/>
      <c r="B1480" s="10"/>
      <c r="C1480" s="10"/>
      <c r="D1480" s="10"/>
      <c r="E1480" s="10"/>
      <c r="F1480" s="10"/>
      <c r="G1480" s="10"/>
      <c r="H1480" s="770"/>
      <c r="I1480" s="10"/>
      <c r="J1480" s="10"/>
      <c r="K1480" s="10"/>
      <c r="L1480" s="10"/>
      <c r="M1480" s="770"/>
      <c r="N1480" s="10"/>
      <c r="O1480" s="10"/>
      <c r="P1480" s="10"/>
      <c r="Q1480" s="10"/>
      <c r="R1480" s="10"/>
      <c r="S1480" s="10"/>
    </row>
    <row r="1481" spans="1:19" x14ac:dyDescent="0.25">
      <c r="A1481" s="10"/>
      <c r="B1481" s="10"/>
      <c r="C1481" s="10"/>
      <c r="D1481" s="10"/>
      <c r="E1481" s="10"/>
      <c r="F1481" s="10"/>
      <c r="G1481" s="10"/>
      <c r="H1481" s="770"/>
      <c r="I1481" s="10"/>
      <c r="J1481" s="10"/>
      <c r="K1481" s="10"/>
      <c r="L1481" s="10"/>
      <c r="M1481" s="770"/>
      <c r="N1481" s="10"/>
      <c r="O1481" s="10"/>
      <c r="P1481" s="10"/>
      <c r="Q1481" s="10"/>
      <c r="R1481" s="10"/>
      <c r="S1481" s="10"/>
    </row>
    <row r="1482" spans="1:19" x14ac:dyDescent="0.25">
      <c r="A1482" s="10"/>
      <c r="B1482" s="10"/>
      <c r="C1482" s="10"/>
      <c r="D1482" s="10"/>
      <c r="E1482" s="10"/>
      <c r="F1482" s="10"/>
      <c r="G1482" s="10"/>
      <c r="H1482" s="770"/>
      <c r="I1482" s="10"/>
      <c r="J1482" s="10"/>
      <c r="K1482" s="10"/>
      <c r="L1482" s="10"/>
      <c r="M1482" s="770"/>
      <c r="N1482" s="10"/>
      <c r="O1482" s="10"/>
      <c r="P1482" s="10"/>
      <c r="Q1482" s="10"/>
      <c r="R1482" s="10"/>
      <c r="S1482" s="10"/>
    </row>
    <row r="1483" spans="1:19" x14ac:dyDescent="0.25">
      <c r="A1483" s="10"/>
      <c r="B1483" s="10"/>
      <c r="C1483" s="10"/>
      <c r="D1483" s="10"/>
      <c r="E1483" s="10"/>
      <c r="F1483" s="10"/>
      <c r="G1483" s="10"/>
      <c r="H1483" s="770"/>
      <c r="I1483" s="10"/>
      <c r="J1483" s="10"/>
      <c r="K1483" s="10"/>
      <c r="L1483" s="10"/>
      <c r="M1483" s="770"/>
      <c r="N1483" s="10"/>
      <c r="O1483" s="10"/>
      <c r="P1483" s="10"/>
      <c r="Q1483" s="10"/>
      <c r="R1483" s="10"/>
      <c r="S1483" s="10"/>
    </row>
    <row r="1484" spans="1:19" x14ac:dyDescent="0.25">
      <c r="A1484" s="10"/>
      <c r="B1484" s="10"/>
      <c r="C1484" s="10"/>
      <c r="D1484" s="10"/>
      <c r="E1484" s="10"/>
      <c r="F1484" s="10"/>
      <c r="G1484" s="10"/>
      <c r="H1484" s="770"/>
      <c r="I1484" s="10"/>
      <c r="J1484" s="10"/>
      <c r="K1484" s="10"/>
      <c r="L1484" s="10"/>
      <c r="M1484" s="770"/>
      <c r="N1484" s="10"/>
      <c r="O1484" s="10"/>
      <c r="P1484" s="10"/>
      <c r="Q1484" s="10"/>
      <c r="R1484" s="10"/>
      <c r="S1484" s="10"/>
    </row>
    <row r="1485" spans="1:19" x14ac:dyDescent="0.25">
      <c r="A1485" s="10"/>
      <c r="B1485" s="10"/>
      <c r="C1485" s="10"/>
      <c r="D1485" s="10"/>
      <c r="E1485" s="10"/>
      <c r="F1485" s="10"/>
      <c r="G1485" s="10"/>
      <c r="H1485" s="770"/>
      <c r="I1485" s="10"/>
      <c r="J1485" s="10"/>
      <c r="K1485" s="10"/>
      <c r="L1485" s="10"/>
      <c r="M1485" s="770"/>
      <c r="N1485" s="10"/>
      <c r="O1485" s="10"/>
      <c r="P1485" s="10"/>
      <c r="Q1485" s="10"/>
      <c r="R1485" s="10"/>
      <c r="S1485" s="10"/>
    </row>
    <row r="1486" spans="1:19" x14ac:dyDescent="0.25">
      <c r="A1486" s="10"/>
      <c r="B1486" s="10"/>
      <c r="C1486" s="10"/>
      <c r="D1486" s="10"/>
      <c r="E1486" s="10"/>
      <c r="F1486" s="10"/>
      <c r="G1486" s="10"/>
      <c r="H1486" s="770"/>
      <c r="I1486" s="10"/>
      <c r="J1486" s="10"/>
      <c r="K1486" s="10"/>
      <c r="L1486" s="10"/>
      <c r="M1486" s="770"/>
      <c r="N1486" s="10"/>
      <c r="O1486" s="10"/>
      <c r="P1486" s="10"/>
      <c r="Q1486" s="10"/>
      <c r="R1486" s="10"/>
      <c r="S1486" s="10"/>
    </row>
    <row r="1487" spans="1:19" x14ac:dyDescent="0.25">
      <c r="A1487" s="10"/>
      <c r="B1487" s="10"/>
      <c r="C1487" s="10"/>
      <c r="D1487" s="10"/>
      <c r="E1487" s="10"/>
      <c r="F1487" s="10"/>
      <c r="G1487" s="10"/>
      <c r="H1487" s="770"/>
      <c r="I1487" s="10"/>
      <c r="J1487" s="10"/>
      <c r="K1487" s="10"/>
      <c r="L1487" s="10"/>
      <c r="M1487" s="770"/>
      <c r="N1487" s="10"/>
      <c r="O1487" s="10"/>
      <c r="P1487" s="10"/>
      <c r="Q1487" s="10"/>
      <c r="R1487" s="10"/>
      <c r="S1487" s="10"/>
    </row>
    <row r="1488" spans="1:19" x14ac:dyDescent="0.25">
      <c r="A1488" s="10"/>
      <c r="B1488" s="10"/>
      <c r="C1488" s="10"/>
      <c r="D1488" s="10"/>
      <c r="E1488" s="10"/>
      <c r="F1488" s="10"/>
      <c r="G1488" s="10"/>
      <c r="H1488" s="770"/>
      <c r="I1488" s="10"/>
      <c r="J1488" s="10"/>
      <c r="K1488" s="10"/>
      <c r="L1488" s="10"/>
      <c r="M1488" s="770"/>
      <c r="N1488" s="10"/>
      <c r="O1488" s="10"/>
      <c r="P1488" s="10"/>
      <c r="Q1488" s="10"/>
      <c r="R1488" s="10"/>
      <c r="S1488" s="10"/>
    </row>
    <row r="1489" spans="1:19" x14ac:dyDescent="0.25">
      <c r="A1489" s="10"/>
      <c r="B1489" s="10"/>
      <c r="C1489" s="10"/>
      <c r="D1489" s="10"/>
      <c r="E1489" s="10"/>
      <c r="F1489" s="10"/>
      <c r="G1489" s="10"/>
      <c r="H1489" s="770"/>
      <c r="I1489" s="10"/>
      <c r="J1489" s="10"/>
      <c r="K1489" s="10"/>
      <c r="L1489" s="10"/>
      <c r="M1489" s="770"/>
      <c r="N1489" s="10"/>
      <c r="O1489" s="10"/>
      <c r="P1489" s="10"/>
      <c r="Q1489" s="10"/>
      <c r="R1489" s="10"/>
      <c r="S1489" s="10"/>
    </row>
    <row r="1490" spans="1:19" x14ac:dyDescent="0.25">
      <c r="A1490" s="10"/>
      <c r="B1490" s="10"/>
      <c r="C1490" s="10"/>
      <c r="D1490" s="10"/>
      <c r="E1490" s="10"/>
      <c r="F1490" s="10"/>
      <c r="G1490" s="10"/>
      <c r="H1490" s="770"/>
      <c r="I1490" s="10"/>
      <c r="J1490" s="10"/>
      <c r="K1490" s="10"/>
      <c r="L1490" s="10"/>
      <c r="M1490" s="770"/>
      <c r="N1490" s="10"/>
      <c r="O1490" s="10"/>
      <c r="P1490" s="10"/>
      <c r="Q1490" s="10"/>
      <c r="R1490" s="10"/>
      <c r="S1490" s="10"/>
    </row>
    <row r="1491" spans="1:19" x14ac:dyDescent="0.25">
      <c r="A1491" s="10"/>
      <c r="B1491" s="10"/>
      <c r="C1491" s="10"/>
      <c r="D1491" s="10"/>
      <c r="E1491" s="10"/>
      <c r="F1491" s="10"/>
      <c r="G1491" s="10"/>
      <c r="H1491" s="770"/>
      <c r="I1491" s="10"/>
      <c r="J1491" s="10"/>
      <c r="K1491" s="10"/>
      <c r="L1491" s="10"/>
      <c r="M1491" s="770"/>
      <c r="N1491" s="10"/>
      <c r="O1491" s="10"/>
      <c r="P1491" s="10"/>
      <c r="Q1491" s="10"/>
      <c r="R1491" s="10"/>
      <c r="S1491" s="10"/>
    </row>
    <row r="1492" spans="1:19" x14ac:dyDescent="0.25">
      <c r="A1492" s="10"/>
      <c r="B1492" s="10"/>
      <c r="C1492" s="10"/>
      <c r="D1492" s="10"/>
      <c r="E1492" s="10"/>
      <c r="F1492" s="10"/>
      <c r="G1492" s="10"/>
      <c r="H1492" s="770"/>
      <c r="I1492" s="10"/>
      <c r="J1492" s="10"/>
      <c r="K1492" s="10"/>
      <c r="L1492" s="10"/>
      <c r="M1492" s="770"/>
      <c r="N1492" s="10"/>
      <c r="O1492" s="10"/>
      <c r="P1492" s="10"/>
      <c r="Q1492" s="10"/>
      <c r="R1492" s="10"/>
      <c r="S1492" s="10"/>
    </row>
    <row r="1493" spans="1:19" x14ac:dyDescent="0.25">
      <c r="A1493" s="10"/>
      <c r="B1493" s="10"/>
      <c r="C1493" s="10"/>
      <c r="D1493" s="10"/>
      <c r="E1493" s="10"/>
      <c r="F1493" s="10"/>
      <c r="G1493" s="10"/>
      <c r="H1493" s="770"/>
      <c r="I1493" s="10"/>
      <c r="J1493" s="10"/>
      <c r="K1493" s="10"/>
      <c r="L1493" s="10"/>
      <c r="M1493" s="770"/>
      <c r="N1493" s="10"/>
      <c r="O1493" s="10"/>
      <c r="P1493" s="10"/>
      <c r="Q1493" s="10"/>
      <c r="R1493" s="10"/>
      <c r="S1493" s="10"/>
    </row>
    <row r="1494" spans="1:19" x14ac:dyDescent="0.25">
      <c r="A1494" s="10"/>
      <c r="B1494" s="10"/>
      <c r="C1494" s="10"/>
      <c r="D1494" s="10"/>
      <c r="E1494" s="10"/>
      <c r="F1494" s="10"/>
      <c r="G1494" s="10"/>
      <c r="H1494" s="770"/>
      <c r="I1494" s="10"/>
      <c r="J1494" s="10"/>
      <c r="K1494" s="10"/>
      <c r="L1494" s="10"/>
      <c r="M1494" s="770"/>
      <c r="N1494" s="10"/>
      <c r="O1494" s="10"/>
      <c r="P1494" s="10"/>
      <c r="Q1494" s="10"/>
      <c r="R1494" s="10"/>
      <c r="S1494" s="10"/>
    </row>
    <row r="1495" spans="1:19" x14ac:dyDescent="0.25">
      <c r="A1495" s="10"/>
      <c r="B1495" s="10"/>
      <c r="C1495" s="10"/>
      <c r="D1495" s="10"/>
      <c r="E1495" s="10"/>
      <c r="F1495" s="10"/>
      <c r="G1495" s="10"/>
      <c r="H1495" s="770"/>
      <c r="I1495" s="10"/>
      <c r="J1495" s="10"/>
      <c r="K1495" s="10"/>
      <c r="L1495" s="10"/>
      <c r="M1495" s="770"/>
      <c r="N1495" s="10"/>
      <c r="O1495" s="10"/>
      <c r="P1495" s="10"/>
      <c r="Q1495" s="10"/>
      <c r="R1495" s="10"/>
      <c r="S1495" s="10"/>
    </row>
    <row r="1496" spans="1:19" x14ac:dyDescent="0.25">
      <c r="A1496" s="10"/>
      <c r="B1496" s="10"/>
      <c r="C1496" s="10"/>
      <c r="D1496" s="10"/>
      <c r="E1496" s="10"/>
      <c r="F1496" s="10"/>
      <c r="G1496" s="10"/>
      <c r="H1496" s="770"/>
      <c r="I1496" s="10"/>
      <c r="J1496" s="10"/>
      <c r="K1496" s="10"/>
      <c r="L1496" s="10"/>
      <c r="M1496" s="770"/>
      <c r="N1496" s="10"/>
      <c r="O1496" s="10"/>
      <c r="P1496" s="10"/>
      <c r="Q1496" s="10"/>
      <c r="R1496" s="10"/>
      <c r="S1496" s="10"/>
    </row>
    <row r="1497" spans="1:19" x14ac:dyDescent="0.25">
      <c r="A1497" s="10"/>
      <c r="B1497" s="10"/>
      <c r="C1497" s="10"/>
      <c r="D1497" s="10"/>
      <c r="E1497" s="10"/>
      <c r="F1497" s="10"/>
      <c r="G1497" s="10"/>
      <c r="H1497" s="770"/>
      <c r="I1497" s="10"/>
      <c r="J1497" s="10"/>
      <c r="K1497" s="10"/>
      <c r="L1497" s="10"/>
      <c r="M1497" s="770"/>
      <c r="N1497" s="10"/>
      <c r="O1497" s="10"/>
      <c r="P1497" s="10"/>
      <c r="Q1497" s="10"/>
      <c r="R1497" s="10"/>
      <c r="S1497" s="10"/>
    </row>
    <row r="1498" spans="1:19" x14ac:dyDescent="0.25">
      <c r="A1498" s="10"/>
      <c r="B1498" s="10"/>
      <c r="C1498" s="10"/>
      <c r="D1498" s="10"/>
      <c r="E1498" s="10"/>
      <c r="F1498" s="10"/>
      <c r="G1498" s="10"/>
      <c r="H1498" s="770"/>
      <c r="I1498" s="10"/>
      <c r="J1498" s="10"/>
      <c r="K1498" s="10"/>
      <c r="L1498" s="10"/>
      <c r="M1498" s="770"/>
      <c r="N1498" s="10"/>
      <c r="O1498" s="10"/>
      <c r="P1498" s="10"/>
      <c r="Q1498" s="10"/>
      <c r="R1498" s="10"/>
      <c r="S1498" s="10"/>
    </row>
    <row r="1499" spans="1:19" x14ac:dyDescent="0.25">
      <c r="A1499" s="10"/>
      <c r="B1499" s="10"/>
      <c r="C1499" s="10"/>
      <c r="D1499" s="10"/>
      <c r="E1499" s="10"/>
      <c r="F1499" s="10"/>
      <c r="G1499" s="10"/>
      <c r="H1499" s="770"/>
      <c r="I1499" s="10"/>
      <c r="J1499" s="10"/>
      <c r="K1499" s="10"/>
      <c r="L1499" s="10"/>
      <c r="M1499" s="770"/>
      <c r="N1499" s="10"/>
      <c r="O1499" s="10"/>
      <c r="P1499" s="10"/>
      <c r="Q1499" s="10"/>
      <c r="R1499" s="10"/>
      <c r="S1499" s="10"/>
    </row>
    <row r="1500" spans="1:19" x14ac:dyDescent="0.25">
      <c r="A1500" s="10"/>
      <c r="B1500" s="10"/>
      <c r="C1500" s="10"/>
      <c r="D1500" s="10"/>
      <c r="E1500" s="10"/>
      <c r="F1500" s="10"/>
      <c r="G1500" s="10"/>
      <c r="H1500" s="770"/>
      <c r="I1500" s="10"/>
      <c r="J1500" s="10"/>
      <c r="K1500" s="10"/>
      <c r="L1500" s="10"/>
      <c r="M1500" s="770"/>
      <c r="N1500" s="10"/>
      <c r="O1500" s="10"/>
      <c r="P1500" s="10"/>
      <c r="Q1500" s="10"/>
      <c r="R1500" s="10"/>
      <c r="S1500" s="10"/>
    </row>
    <row r="1501" spans="1:19" x14ac:dyDescent="0.25">
      <c r="A1501" s="10"/>
      <c r="B1501" s="10"/>
      <c r="C1501" s="10"/>
      <c r="D1501" s="10"/>
      <c r="E1501" s="10"/>
      <c r="F1501" s="10"/>
      <c r="G1501" s="10"/>
      <c r="H1501" s="770"/>
      <c r="I1501" s="10"/>
      <c r="J1501" s="10"/>
      <c r="K1501" s="10"/>
      <c r="L1501" s="10"/>
      <c r="M1501" s="770"/>
      <c r="N1501" s="10"/>
      <c r="O1501" s="10"/>
      <c r="P1501" s="10"/>
      <c r="Q1501" s="10"/>
      <c r="R1501" s="10"/>
      <c r="S1501" s="10"/>
    </row>
    <row r="1502" spans="1:19" x14ac:dyDescent="0.25">
      <c r="A1502" s="10"/>
      <c r="B1502" s="10"/>
      <c r="C1502" s="10"/>
      <c r="D1502" s="10"/>
      <c r="E1502" s="10"/>
      <c r="F1502" s="10"/>
      <c r="G1502" s="10"/>
      <c r="H1502" s="770"/>
      <c r="I1502" s="10"/>
      <c r="J1502" s="10"/>
      <c r="K1502" s="10"/>
      <c r="L1502" s="10"/>
      <c r="M1502" s="770"/>
      <c r="N1502" s="10"/>
      <c r="O1502" s="10"/>
      <c r="P1502" s="10"/>
      <c r="Q1502" s="10"/>
      <c r="R1502" s="10"/>
      <c r="S1502" s="10"/>
    </row>
    <row r="1503" spans="1:19" x14ac:dyDescent="0.25">
      <c r="A1503" s="10"/>
      <c r="B1503" s="10"/>
      <c r="C1503" s="10"/>
      <c r="D1503" s="10"/>
      <c r="E1503" s="10"/>
      <c r="F1503" s="10"/>
      <c r="G1503" s="10"/>
      <c r="H1503" s="770"/>
      <c r="I1503" s="10"/>
      <c r="J1503" s="10"/>
      <c r="K1503" s="10"/>
      <c r="L1503" s="10"/>
      <c r="M1503" s="770"/>
      <c r="N1503" s="10"/>
      <c r="O1503" s="10"/>
      <c r="P1503" s="10"/>
      <c r="Q1503" s="10"/>
      <c r="R1503" s="10"/>
      <c r="S1503" s="10"/>
    </row>
    <row r="1504" spans="1:19" x14ac:dyDescent="0.25">
      <c r="A1504" s="10"/>
      <c r="B1504" s="10"/>
      <c r="C1504" s="10"/>
      <c r="D1504" s="10"/>
      <c r="E1504" s="10"/>
      <c r="F1504" s="10"/>
      <c r="G1504" s="10"/>
      <c r="H1504" s="770"/>
      <c r="I1504" s="10"/>
      <c r="J1504" s="10"/>
      <c r="K1504" s="10"/>
      <c r="L1504" s="10"/>
      <c r="M1504" s="770"/>
      <c r="N1504" s="10"/>
      <c r="O1504" s="10"/>
      <c r="P1504" s="10"/>
      <c r="Q1504" s="10"/>
      <c r="R1504" s="10"/>
      <c r="S1504" s="10"/>
    </row>
    <row r="1505" spans="1:19" x14ac:dyDescent="0.25">
      <c r="A1505" s="10"/>
      <c r="B1505" s="10"/>
      <c r="C1505" s="10"/>
      <c r="D1505" s="10"/>
      <c r="E1505" s="10"/>
      <c r="F1505" s="10"/>
      <c r="G1505" s="10"/>
      <c r="H1505" s="770"/>
      <c r="I1505" s="10"/>
      <c r="J1505" s="10"/>
      <c r="K1505" s="10"/>
      <c r="L1505" s="10"/>
      <c r="M1505" s="770"/>
      <c r="N1505" s="10"/>
      <c r="O1505" s="10"/>
      <c r="P1505" s="10"/>
      <c r="Q1505" s="10"/>
      <c r="R1505" s="10"/>
      <c r="S1505" s="10"/>
    </row>
    <row r="1506" spans="1:19" x14ac:dyDescent="0.25">
      <c r="A1506" s="10"/>
      <c r="B1506" s="10"/>
      <c r="C1506" s="10"/>
      <c r="D1506" s="10"/>
      <c r="E1506" s="10"/>
      <c r="F1506" s="10"/>
      <c r="G1506" s="10"/>
      <c r="H1506" s="770"/>
      <c r="I1506" s="10"/>
      <c r="J1506" s="10"/>
      <c r="K1506" s="10"/>
      <c r="L1506" s="10"/>
      <c r="M1506" s="770"/>
      <c r="N1506" s="10"/>
      <c r="O1506" s="10"/>
      <c r="P1506" s="10"/>
      <c r="Q1506" s="10"/>
      <c r="R1506" s="10"/>
      <c r="S1506" s="10"/>
    </row>
    <row r="1507" spans="1:19" x14ac:dyDescent="0.25">
      <c r="A1507" s="10"/>
      <c r="B1507" s="10"/>
      <c r="C1507" s="10"/>
      <c r="D1507" s="10"/>
      <c r="E1507" s="10"/>
      <c r="F1507" s="10"/>
      <c r="G1507" s="10"/>
      <c r="H1507" s="770"/>
      <c r="I1507" s="10"/>
      <c r="J1507" s="10"/>
      <c r="K1507" s="10"/>
      <c r="L1507" s="10"/>
      <c r="M1507" s="770"/>
      <c r="N1507" s="10"/>
      <c r="O1507" s="10"/>
      <c r="P1507" s="10"/>
      <c r="Q1507" s="10"/>
      <c r="R1507" s="10"/>
      <c r="S1507" s="10"/>
    </row>
    <row r="1508" spans="1:19" x14ac:dyDescent="0.25">
      <c r="A1508" s="10"/>
      <c r="B1508" s="10"/>
      <c r="C1508" s="10"/>
      <c r="D1508" s="10"/>
      <c r="E1508" s="10"/>
      <c r="F1508" s="10"/>
      <c r="G1508" s="10"/>
      <c r="H1508" s="770"/>
      <c r="I1508" s="10"/>
      <c r="J1508" s="10"/>
      <c r="K1508" s="10"/>
      <c r="L1508" s="10"/>
      <c r="M1508" s="770"/>
      <c r="N1508" s="10"/>
      <c r="O1508" s="10"/>
      <c r="P1508" s="10"/>
      <c r="Q1508" s="10"/>
      <c r="R1508" s="10"/>
      <c r="S1508" s="10"/>
    </row>
    <row r="1509" spans="1:19" x14ac:dyDescent="0.25">
      <c r="A1509" s="10"/>
      <c r="B1509" s="10"/>
      <c r="C1509" s="10"/>
      <c r="D1509" s="10"/>
      <c r="E1509" s="10"/>
      <c r="F1509" s="10"/>
      <c r="G1509" s="10"/>
      <c r="H1509" s="770"/>
      <c r="I1509" s="10"/>
      <c r="J1509" s="10"/>
      <c r="K1509" s="10"/>
      <c r="L1509" s="10"/>
      <c r="M1509" s="770"/>
      <c r="N1509" s="10"/>
      <c r="O1509" s="10"/>
      <c r="P1509" s="10"/>
      <c r="Q1509" s="10"/>
      <c r="R1509" s="10"/>
      <c r="S1509" s="10"/>
    </row>
    <row r="1510" spans="1:19" x14ac:dyDescent="0.25">
      <c r="A1510" s="10"/>
      <c r="B1510" s="10"/>
      <c r="C1510" s="10"/>
      <c r="D1510" s="10"/>
      <c r="E1510" s="10"/>
      <c r="F1510" s="10"/>
      <c r="G1510" s="10"/>
      <c r="H1510" s="770"/>
      <c r="I1510" s="10"/>
      <c r="J1510" s="10"/>
      <c r="K1510" s="10"/>
      <c r="L1510" s="10"/>
      <c r="M1510" s="770"/>
      <c r="N1510" s="10"/>
      <c r="O1510" s="10"/>
      <c r="P1510" s="10"/>
      <c r="Q1510" s="10"/>
      <c r="R1510" s="10"/>
      <c r="S1510" s="10"/>
    </row>
    <row r="1511" spans="1:19" x14ac:dyDescent="0.25">
      <c r="A1511" s="10"/>
      <c r="B1511" s="10"/>
      <c r="C1511" s="10"/>
      <c r="D1511" s="10"/>
      <c r="E1511" s="10"/>
      <c r="F1511" s="10"/>
      <c r="G1511" s="10"/>
      <c r="H1511" s="770"/>
      <c r="I1511" s="10"/>
      <c r="J1511" s="10"/>
      <c r="K1511" s="10"/>
      <c r="L1511" s="10"/>
      <c r="M1511" s="770"/>
      <c r="N1511" s="10"/>
      <c r="O1511" s="10"/>
      <c r="P1511" s="10"/>
      <c r="Q1511" s="10"/>
      <c r="R1511" s="10"/>
      <c r="S1511" s="10"/>
    </row>
    <row r="1512" spans="1:19" x14ac:dyDescent="0.25">
      <c r="A1512" s="10"/>
      <c r="B1512" s="10"/>
      <c r="C1512" s="10"/>
      <c r="D1512" s="10"/>
      <c r="E1512" s="10"/>
      <c r="F1512" s="10"/>
      <c r="G1512" s="10"/>
      <c r="H1512" s="770"/>
      <c r="I1512" s="10"/>
      <c r="J1512" s="10"/>
      <c r="K1512" s="10"/>
      <c r="L1512" s="10"/>
      <c r="M1512" s="770"/>
      <c r="N1512" s="10"/>
      <c r="O1512" s="10"/>
      <c r="P1512" s="10"/>
      <c r="Q1512" s="10"/>
      <c r="R1512" s="10"/>
      <c r="S1512" s="10"/>
    </row>
    <row r="1513" spans="1:19" x14ac:dyDescent="0.25">
      <c r="A1513" s="10"/>
      <c r="B1513" s="10"/>
      <c r="C1513" s="10"/>
      <c r="D1513" s="10"/>
      <c r="E1513" s="10"/>
      <c r="F1513" s="10"/>
      <c r="G1513" s="10"/>
      <c r="H1513" s="770"/>
      <c r="I1513" s="10"/>
      <c r="J1513" s="10"/>
      <c r="K1513" s="10"/>
      <c r="L1513" s="10"/>
      <c r="M1513" s="770"/>
      <c r="N1513" s="10"/>
      <c r="O1513" s="10"/>
      <c r="P1513" s="10"/>
      <c r="Q1513" s="10"/>
      <c r="R1513" s="10"/>
      <c r="S1513" s="10"/>
    </row>
    <row r="1514" spans="1:19" x14ac:dyDescent="0.25">
      <c r="A1514" s="10"/>
      <c r="B1514" s="10"/>
      <c r="C1514" s="10"/>
      <c r="D1514" s="10"/>
      <c r="E1514" s="10"/>
      <c r="F1514" s="10"/>
      <c r="G1514" s="10"/>
      <c r="H1514" s="770"/>
      <c r="I1514" s="10"/>
      <c r="J1514" s="10"/>
      <c r="K1514" s="10"/>
      <c r="L1514" s="10"/>
      <c r="M1514" s="770"/>
      <c r="N1514" s="10"/>
      <c r="O1514" s="10"/>
      <c r="P1514" s="10"/>
      <c r="Q1514" s="10"/>
      <c r="R1514" s="10"/>
      <c r="S1514" s="10"/>
    </row>
    <row r="1515" spans="1:19" x14ac:dyDescent="0.25">
      <c r="A1515" s="10"/>
      <c r="B1515" s="10"/>
      <c r="C1515" s="10"/>
      <c r="D1515" s="10"/>
      <c r="E1515" s="10"/>
      <c r="F1515" s="10"/>
      <c r="G1515" s="10"/>
      <c r="H1515" s="770"/>
      <c r="I1515" s="10"/>
      <c r="J1515" s="10"/>
      <c r="K1515" s="10"/>
      <c r="L1515" s="10"/>
      <c r="M1515" s="770"/>
      <c r="N1515" s="10"/>
      <c r="O1515" s="10"/>
      <c r="P1515" s="10"/>
      <c r="Q1515" s="10"/>
      <c r="R1515" s="10"/>
      <c r="S1515" s="10"/>
    </row>
    <row r="1516" spans="1:19" x14ac:dyDescent="0.25">
      <c r="A1516" s="10"/>
      <c r="B1516" s="10"/>
      <c r="C1516" s="10"/>
      <c r="D1516" s="10"/>
      <c r="E1516" s="10"/>
      <c r="F1516" s="10"/>
      <c r="G1516" s="10"/>
      <c r="H1516" s="770"/>
      <c r="I1516" s="10"/>
      <c r="J1516" s="10"/>
      <c r="K1516" s="10"/>
      <c r="L1516" s="10"/>
      <c r="M1516" s="770"/>
      <c r="N1516" s="10"/>
      <c r="O1516" s="10"/>
      <c r="P1516" s="10"/>
      <c r="Q1516" s="10"/>
      <c r="R1516" s="10"/>
      <c r="S1516" s="10"/>
    </row>
    <row r="1517" spans="1:19" x14ac:dyDescent="0.25">
      <c r="A1517" s="10"/>
      <c r="B1517" s="10"/>
      <c r="C1517" s="10"/>
      <c r="D1517" s="10"/>
      <c r="E1517" s="10"/>
      <c r="F1517" s="10"/>
      <c r="G1517" s="10"/>
      <c r="H1517" s="770"/>
      <c r="I1517" s="10"/>
      <c r="J1517" s="10"/>
      <c r="K1517" s="10"/>
      <c r="L1517" s="10"/>
      <c r="M1517" s="770"/>
      <c r="N1517" s="10"/>
      <c r="O1517" s="10"/>
      <c r="P1517" s="10"/>
      <c r="Q1517" s="10"/>
      <c r="R1517" s="10"/>
      <c r="S1517" s="10"/>
    </row>
    <row r="1518" spans="1:19" x14ac:dyDescent="0.25">
      <c r="A1518" s="10"/>
      <c r="B1518" s="10"/>
      <c r="C1518" s="10"/>
      <c r="D1518" s="10"/>
      <c r="E1518" s="10"/>
      <c r="F1518" s="10"/>
      <c r="G1518" s="10"/>
      <c r="H1518" s="770"/>
      <c r="I1518" s="10"/>
      <c r="J1518" s="10"/>
      <c r="K1518" s="10"/>
      <c r="L1518" s="10"/>
      <c r="M1518" s="770"/>
      <c r="N1518" s="10"/>
      <c r="O1518" s="10"/>
      <c r="P1518" s="10"/>
      <c r="Q1518" s="10"/>
      <c r="R1518" s="10"/>
      <c r="S1518" s="10"/>
    </row>
    <row r="1519" spans="1:19" x14ac:dyDescent="0.25">
      <c r="A1519" s="10"/>
      <c r="B1519" s="10"/>
      <c r="C1519" s="10"/>
      <c r="D1519" s="10"/>
      <c r="E1519" s="10"/>
      <c r="F1519" s="10"/>
      <c r="G1519" s="10"/>
      <c r="H1519" s="770"/>
      <c r="I1519" s="10"/>
      <c r="J1519" s="10"/>
      <c r="K1519" s="10"/>
      <c r="L1519" s="10"/>
      <c r="M1519" s="770"/>
      <c r="N1519" s="10"/>
      <c r="O1519" s="10"/>
      <c r="P1519" s="10"/>
      <c r="Q1519" s="10"/>
      <c r="R1519" s="10"/>
      <c r="S1519" s="10"/>
    </row>
    <row r="1520" spans="1:19" x14ac:dyDescent="0.25">
      <c r="A1520" s="10"/>
      <c r="B1520" s="10"/>
      <c r="C1520" s="10"/>
      <c r="D1520" s="10"/>
      <c r="E1520" s="10"/>
      <c r="F1520" s="10"/>
      <c r="G1520" s="10"/>
      <c r="H1520" s="770"/>
      <c r="I1520" s="10"/>
      <c r="J1520" s="10"/>
      <c r="K1520" s="10"/>
      <c r="L1520" s="10"/>
      <c r="M1520" s="770"/>
      <c r="N1520" s="10"/>
      <c r="O1520" s="10"/>
      <c r="P1520" s="10"/>
      <c r="Q1520" s="10"/>
      <c r="R1520" s="10"/>
      <c r="S1520" s="10"/>
    </row>
    <row r="1521" spans="1:19" x14ac:dyDescent="0.25">
      <c r="A1521" s="10"/>
      <c r="B1521" s="10"/>
      <c r="C1521" s="10"/>
      <c r="D1521" s="10"/>
      <c r="E1521" s="10"/>
      <c r="F1521" s="10"/>
      <c r="G1521" s="10"/>
      <c r="H1521" s="770"/>
      <c r="I1521" s="10"/>
      <c r="J1521" s="10"/>
      <c r="K1521" s="10"/>
      <c r="L1521" s="10"/>
      <c r="M1521" s="770"/>
      <c r="N1521" s="10"/>
      <c r="O1521" s="10"/>
      <c r="P1521" s="10"/>
      <c r="Q1521" s="10"/>
      <c r="R1521" s="10"/>
      <c r="S1521" s="10"/>
    </row>
    <row r="1522" spans="1:19" x14ac:dyDescent="0.25">
      <c r="A1522" s="10"/>
      <c r="B1522" s="10"/>
      <c r="C1522" s="10"/>
      <c r="D1522" s="10"/>
      <c r="E1522" s="10"/>
      <c r="F1522" s="10"/>
      <c r="G1522" s="10"/>
      <c r="H1522" s="770"/>
      <c r="I1522" s="10"/>
      <c r="J1522" s="10"/>
      <c r="K1522" s="10"/>
      <c r="L1522" s="10"/>
      <c r="M1522" s="770"/>
      <c r="N1522" s="10"/>
      <c r="O1522" s="10"/>
      <c r="P1522" s="10"/>
      <c r="Q1522" s="10"/>
      <c r="R1522" s="10"/>
      <c r="S1522" s="10"/>
    </row>
    <row r="1523" spans="1:19" x14ac:dyDescent="0.25">
      <c r="A1523" s="10"/>
      <c r="B1523" s="10"/>
      <c r="C1523" s="10"/>
      <c r="D1523" s="10"/>
      <c r="E1523" s="10"/>
      <c r="F1523" s="10"/>
      <c r="G1523" s="10"/>
      <c r="H1523" s="770"/>
      <c r="I1523" s="10"/>
      <c r="J1523" s="10"/>
      <c r="K1523" s="10"/>
      <c r="L1523" s="10"/>
      <c r="M1523" s="770"/>
      <c r="N1523" s="10"/>
      <c r="O1523" s="10"/>
      <c r="P1523" s="10"/>
      <c r="Q1523" s="10"/>
      <c r="R1523" s="10"/>
      <c r="S1523" s="10"/>
    </row>
    <row r="1524" spans="1:19" x14ac:dyDescent="0.25">
      <c r="A1524" s="10"/>
      <c r="B1524" s="10"/>
      <c r="C1524" s="10"/>
      <c r="D1524" s="10"/>
      <c r="E1524" s="10"/>
      <c r="F1524" s="10"/>
      <c r="G1524" s="10"/>
      <c r="H1524" s="770"/>
      <c r="I1524" s="10"/>
      <c r="J1524" s="10"/>
      <c r="K1524" s="10"/>
      <c r="L1524" s="10"/>
      <c r="M1524" s="770"/>
      <c r="N1524" s="10"/>
      <c r="O1524" s="10"/>
      <c r="P1524" s="10"/>
      <c r="Q1524" s="10"/>
      <c r="R1524" s="10"/>
      <c r="S1524" s="10"/>
    </row>
    <row r="1525" spans="1:19" x14ac:dyDescent="0.25">
      <c r="A1525" s="10"/>
      <c r="B1525" s="10"/>
      <c r="C1525" s="10"/>
      <c r="D1525" s="10"/>
      <c r="E1525" s="10"/>
      <c r="F1525" s="10"/>
      <c r="G1525" s="10"/>
      <c r="H1525" s="770"/>
      <c r="I1525" s="10"/>
      <c r="J1525" s="10"/>
      <c r="K1525" s="10"/>
      <c r="L1525" s="10"/>
      <c r="M1525" s="770"/>
      <c r="N1525" s="10"/>
      <c r="O1525" s="10"/>
      <c r="P1525" s="10"/>
      <c r="Q1525" s="10"/>
      <c r="R1525" s="10"/>
      <c r="S1525" s="10"/>
    </row>
    <row r="1526" spans="1:19" x14ac:dyDescent="0.25">
      <c r="A1526" s="10"/>
      <c r="B1526" s="10"/>
      <c r="C1526" s="10"/>
      <c r="D1526" s="10"/>
      <c r="E1526" s="10"/>
      <c r="F1526" s="10"/>
      <c r="G1526" s="10"/>
      <c r="H1526" s="770"/>
      <c r="I1526" s="10"/>
      <c r="J1526" s="10"/>
      <c r="K1526" s="10"/>
      <c r="L1526" s="10"/>
      <c r="M1526" s="770"/>
      <c r="N1526" s="10"/>
      <c r="O1526" s="10"/>
      <c r="P1526" s="10"/>
      <c r="Q1526" s="10"/>
      <c r="R1526" s="10"/>
      <c r="S1526" s="10"/>
    </row>
    <row r="1527" spans="1:19" x14ac:dyDescent="0.25">
      <c r="A1527" s="10"/>
      <c r="B1527" s="10"/>
      <c r="C1527" s="10"/>
      <c r="D1527" s="10"/>
      <c r="E1527" s="10"/>
      <c r="F1527" s="10"/>
      <c r="G1527" s="10"/>
      <c r="H1527" s="770"/>
      <c r="I1527" s="10"/>
      <c r="J1527" s="10"/>
      <c r="K1527" s="10"/>
      <c r="L1527" s="10"/>
      <c r="M1527" s="770"/>
      <c r="N1527" s="10"/>
      <c r="O1527" s="10"/>
      <c r="P1527" s="10"/>
      <c r="Q1527" s="10"/>
      <c r="R1527" s="10"/>
      <c r="S1527" s="10"/>
    </row>
    <row r="1528" spans="1:19" x14ac:dyDescent="0.25">
      <c r="A1528" s="10"/>
      <c r="B1528" s="10"/>
      <c r="C1528" s="10"/>
      <c r="D1528" s="10"/>
      <c r="E1528" s="10"/>
      <c r="F1528" s="10"/>
      <c r="G1528" s="10"/>
      <c r="H1528" s="770"/>
      <c r="I1528" s="10"/>
      <c r="J1528" s="10"/>
      <c r="K1528" s="10"/>
      <c r="L1528" s="10"/>
      <c r="M1528" s="770"/>
      <c r="N1528" s="10"/>
      <c r="O1528" s="10"/>
      <c r="P1528" s="10"/>
      <c r="Q1528" s="10"/>
      <c r="R1528" s="10"/>
      <c r="S1528" s="10"/>
    </row>
    <row r="1529" spans="1:19" x14ac:dyDescent="0.25">
      <c r="A1529" s="10"/>
      <c r="B1529" s="10"/>
      <c r="C1529" s="10"/>
      <c r="D1529" s="10"/>
      <c r="E1529" s="10"/>
      <c r="F1529" s="10"/>
      <c r="G1529" s="10"/>
      <c r="H1529" s="770"/>
      <c r="I1529" s="10"/>
      <c r="J1529" s="10"/>
      <c r="K1529" s="10"/>
      <c r="L1529" s="10"/>
      <c r="M1529" s="770"/>
      <c r="N1529" s="10"/>
      <c r="O1529" s="10"/>
      <c r="P1529" s="10"/>
      <c r="Q1529" s="10"/>
      <c r="R1529" s="10"/>
      <c r="S1529" s="10"/>
    </row>
    <row r="1530" spans="1:19" x14ac:dyDescent="0.25">
      <c r="A1530" s="10"/>
      <c r="B1530" s="10"/>
      <c r="C1530" s="10"/>
      <c r="D1530" s="10"/>
      <c r="E1530" s="10"/>
      <c r="F1530" s="10"/>
      <c r="G1530" s="10"/>
      <c r="H1530" s="770"/>
      <c r="I1530" s="10"/>
      <c r="J1530" s="10"/>
      <c r="K1530" s="10"/>
      <c r="L1530" s="10"/>
      <c r="M1530" s="770"/>
      <c r="N1530" s="10"/>
      <c r="O1530" s="10"/>
      <c r="P1530" s="10"/>
      <c r="Q1530" s="10"/>
      <c r="R1530" s="10"/>
      <c r="S1530" s="10"/>
    </row>
    <row r="1531" spans="1:19" x14ac:dyDescent="0.25">
      <c r="A1531" s="10"/>
      <c r="B1531" s="10"/>
      <c r="C1531" s="10"/>
      <c r="D1531" s="10"/>
      <c r="E1531" s="10"/>
      <c r="F1531" s="10"/>
      <c r="G1531" s="10"/>
      <c r="H1531" s="770"/>
      <c r="I1531" s="10"/>
      <c r="J1531" s="10"/>
      <c r="K1531" s="10"/>
      <c r="L1531" s="10"/>
      <c r="M1531" s="770"/>
      <c r="N1531" s="10"/>
      <c r="O1531" s="10"/>
      <c r="P1531" s="10"/>
      <c r="Q1531" s="10"/>
      <c r="R1531" s="10"/>
      <c r="S1531" s="10"/>
    </row>
    <row r="1532" spans="1:19" x14ac:dyDescent="0.25">
      <c r="A1532" s="10"/>
      <c r="B1532" s="10"/>
      <c r="C1532" s="10"/>
      <c r="D1532" s="10"/>
      <c r="E1532" s="10"/>
      <c r="F1532" s="10"/>
      <c r="G1532" s="10"/>
      <c r="H1532" s="770"/>
      <c r="I1532" s="10"/>
      <c r="J1532" s="10"/>
      <c r="K1532" s="10"/>
      <c r="L1532" s="10"/>
      <c r="M1532" s="770"/>
      <c r="N1532" s="10"/>
      <c r="O1532" s="10"/>
      <c r="P1532" s="10"/>
      <c r="Q1532" s="10"/>
      <c r="R1532" s="10"/>
      <c r="S1532" s="10"/>
    </row>
    <row r="1533" spans="1:19" x14ac:dyDescent="0.25">
      <c r="A1533" s="10"/>
      <c r="B1533" s="10"/>
      <c r="C1533" s="10"/>
      <c r="D1533" s="10"/>
      <c r="E1533" s="10"/>
      <c r="F1533" s="10"/>
      <c r="G1533" s="10"/>
      <c r="H1533" s="770"/>
      <c r="I1533" s="10"/>
      <c r="J1533" s="10"/>
      <c r="K1533" s="10"/>
      <c r="L1533" s="10"/>
      <c r="M1533" s="770"/>
      <c r="N1533" s="10"/>
      <c r="O1533" s="10"/>
      <c r="P1533" s="10"/>
      <c r="Q1533" s="10"/>
      <c r="R1533" s="10"/>
      <c r="S1533" s="10"/>
    </row>
    <row r="1534" spans="1:19" x14ac:dyDescent="0.25">
      <c r="A1534" s="10"/>
      <c r="B1534" s="10"/>
      <c r="C1534" s="10"/>
      <c r="D1534" s="10"/>
      <c r="E1534" s="10"/>
      <c r="F1534" s="10"/>
      <c r="G1534" s="10"/>
      <c r="H1534" s="770"/>
      <c r="I1534" s="10"/>
      <c r="J1534" s="10"/>
      <c r="K1534" s="10"/>
      <c r="L1534" s="10"/>
      <c r="M1534" s="770"/>
      <c r="N1534" s="10"/>
      <c r="O1534" s="10"/>
      <c r="P1534" s="10"/>
      <c r="Q1534" s="10"/>
      <c r="R1534" s="10"/>
      <c r="S1534" s="10"/>
    </row>
    <row r="1535" spans="1:19" x14ac:dyDescent="0.25">
      <c r="A1535" s="10"/>
      <c r="B1535" s="10"/>
      <c r="C1535" s="10"/>
      <c r="D1535" s="10"/>
      <c r="E1535" s="10"/>
      <c r="F1535" s="10"/>
      <c r="G1535" s="10"/>
      <c r="H1535" s="770"/>
      <c r="I1535" s="10"/>
      <c r="J1535" s="10"/>
      <c r="K1535" s="10"/>
      <c r="L1535" s="10"/>
      <c r="M1535" s="770"/>
      <c r="N1535" s="10"/>
      <c r="O1535" s="10"/>
      <c r="P1535" s="10"/>
      <c r="Q1535" s="10"/>
      <c r="R1535" s="10"/>
      <c r="S1535" s="10"/>
    </row>
    <row r="1536" spans="1:19" x14ac:dyDescent="0.25">
      <c r="A1536" s="10"/>
      <c r="B1536" s="10"/>
      <c r="C1536" s="10"/>
      <c r="D1536" s="10"/>
      <c r="E1536" s="10"/>
      <c r="F1536" s="10"/>
      <c r="G1536" s="10"/>
      <c r="H1536" s="770"/>
      <c r="I1536" s="10"/>
      <c r="J1536" s="10"/>
      <c r="K1536" s="10"/>
      <c r="L1536" s="10"/>
      <c r="M1536" s="770"/>
      <c r="N1536" s="10"/>
      <c r="O1536" s="10"/>
      <c r="P1536" s="10"/>
      <c r="Q1536" s="10"/>
      <c r="R1536" s="10"/>
      <c r="S1536" s="10"/>
    </row>
    <row r="1537" spans="1:19" x14ac:dyDescent="0.25">
      <c r="A1537" s="10"/>
      <c r="B1537" s="10"/>
      <c r="C1537" s="10"/>
      <c r="D1537" s="10"/>
      <c r="E1537" s="10"/>
      <c r="F1537" s="10"/>
      <c r="G1537" s="10"/>
      <c r="H1537" s="770"/>
      <c r="I1537" s="10"/>
      <c r="J1537" s="10"/>
      <c r="K1537" s="10"/>
      <c r="L1537" s="10"/>
      <c r="M1537" s="770"/>
      <c r="N1537" s="10"/>
      <c r="O1537" s="10"/>
      <c r="P1537" s="10"/>
      <c r="Q1537" s="10"/>
      <c r="R1537" s="10"/>
      <c r="S1537" s="10"/>
    </row>
    <row r="1538" spans="1:19" x14ac:dyDescent="0.25">
      <c r="A1538" s="10"/>
      <c r="B1538" s="10"/>
      <c r="C1538" s="10"/>
      <c r="D1538" s="10"/>
      <c r="E1538" s="10"/>
      <c r="F1538" s="10"/>
      <c r="G1538" s="10"/>
      <c r="H1538" s="770"/>
      <c r="I1538" s="10"/>
      <c r="J1538" s="10"/>
      <c r="K1538" s="10"/>
      <c r="L1538" s="10"/>
      <c r="M1538" s="770"/>
      <c r="N1538" s="10"/>
      <c r="O1538" s="10"/>
      <c r="P1538" s="10"/>
      <c r="Q1538" s="10"/>
      <c r="R1538" s="10"/>
      <c r="S1538" s="10"/>
    </row>
    <row r="1539" spans="1:19" x14ac:dyDescent="0.25">
      <c r="A1539" s="10"/>
      <c r="B1539" s="10"/>
      <c r="C1539" s="10"/>
      <c r="D1539" s="10"/>
      <c r="E1539" s="10"/>
      <c r="F1539" s="10"/>
      <c r="G1539" s="10"/>
      <c r="H1539" s="770"/>
      <c r="I1539" s="10"/>
      <c r="J1539" s="10"/>
      <c r="K1539" s="10"/>
      <c r="L1539" s="10"/>
      <c r="M1539" s="770"/>
      <c r="N1539" s="10"/>
      <c r="O1539" s="10"/>
      <c r="P1539" s="10"/>
      <c r="Q1539" s="10"/>
      <c r="R1539" s="10"/>
      <c r="S1539" s="10"/>
    </row>
    <row r="1540" spans="1:19" x14ac:dyDescent="0.25">
      <c r="A1540" s="10"/>
      <c r="B1540" s="10"/>
      <c r="C1540" s="10"/>
      <c r="D1540" s="10"/>
      <c r="E1540" s="10"/>
      <c r="F1540" s="10"/>
      <c r="G1540" s="10"/>
      <c r="H1540" s="770"/>
      <c r="I1540" s="10"/>
      <c r="J1540" s="10"/>
      <c r="K1540" s="10"/>
      <c r="L1540" s="10"/>
      <c r="M1540" s="770"/>
      <c r="N1540" s="10"/>
      <c r="O1540" s="10"/>
      <c r="P1540" s="10"/>
      <c r="Q1540" s="10"/>
      <c r="R1540" s="10"/>
      <c r="S1540" s="10"/>
    </row>
    <row r="1541" spans="1:19" x14ac:dyDescent="0.25">
      <c r="A1541" s="10"/>
      <c r="B1541" s="10"/>
      <c r="C1541" s="10"/>
      <c r="D1541" s="10"/>
      <c r="E1541" s="10"/>
      <c r="F1541" s="10"/>
      <c r="G1541" s="10"/>
      <c r="H1541" s="770"/>
      <c r="I1541" s="10"/>
      <c r="J1541" s="10"/>
      <c r="K1541" s="10"/>
      <c r="L1541" s="10"/>
      <c r="M1541" s="770"/>
      <c r="N1541" s="10"/>
      <c r="O1541" s="10"/>
      <c r="P1541" s="10"/>
      <c r="Q1541" s="10"/>
      <c r="R1541" s="10"/>
      <c r="S1541" s="10"/>
    </row>
    <row r="1542" spans="1:19" x14ac:dyDescent="0.25">
      <c r="A1542" s="10"/>
      <c r="B1542" s="10"/>
      <c r="C1542" s="10"/>
      <c r="D1542" s="10"/>
      <c r="E1542" s="10"/>
      <c r="F1542" s="10"/>
      <c r="G1542" s="10"/>
      <c r="H1542" s="770"/>
      <c r="I1542" s="10"/>
      <c r="J1542" s="10"/>
      <c r="K1542" s="10"/>
      <c r="L1542" s="10"/>
      <c r="M1542" s="770"/>
      <c r="N1542" s="10"/>
      <c r="O1542" s="10"/>
      <c r="P1542" s="10"/>
      <c r="Q1542" s="10"/>
      <c r="R1542" s="10"/>
      <c r="S1542" s="10"/>
    </row>
    <row r="1543" spans="1:19" x14ac:dyDescent="0.25">
      <c r="A1543" s="10"/>
      <c r="B1543" s="10"/>
      <c r="C1543" s="10"/>
      <c r="D1543" s="10"/>
      <c r="E1543" s="10"/>
      <c r="F1543" s="10"/>
      <c r="G1543" s="10"/>
      <c r="H1543" s="770"/>
      <c r="I1543" s="10"/>
      <c r="J1543" s="10"/>
      <c r="K1543" s="10"/>
      <c r="L1543" s="10"/>
      <c r="M1543" s="770"/>
      <c r="N1543" s="10"/>
      <c r="O1543" s="10"/>
      <c r="P1543" s="10"/>
      <c r="Q1543" s="10"/>
      <c r="R1543" s="10"/>
      <c r="S1543" s="10"/>
    </row>
    <row r="1544" spans="1:19" x14ac:dyDescent="0.25">
      <c r="A1544" s="10"/>
      <c r="B1544" s="10"/>
      <c r="C1544" s="10"/>
      <c r="D1544" s="10"/>
      <c r="E1544" s="10"/>
      <c r="F1544" s="10"/>
      <c r="G1544" s="10"/>
      <c r="H1544" s="770"/>
      <c r="I1544" s="10"/>
      <c r="J1544" s="10"/>
      <c r="K1544" s="10"/>
      <c r="L1544" s="10"/>
      <c r="M1544" s="770"/>
      <c r="N1544" s="10"/>
      <c r="O1544" s="10"/>
      <c r="P1544" s="10"/>
      <c r="Q1544" s="10"/>
      <c r="R1544" s="10"/>
      <c r="S1544" s="10"/>
    </row>
    <row r="1545" spans="1:19" x14ac:dyDescent="0.25">
      <c r="A1545" s="10"/>
      <c r="B1545" s="10"/>
      <c r="C1545" s="10"/>
      <c r="D1545" s="10"/>
      <c r="E1545" s="10"/>
      <c r="F1545" s="10"/>
      <c r="G1545" s="10"/>
      <c r="H1545" s="770"/>
      <c r="I1545" s="10"/>
      <c r="J1545" s="10"/>
      <c r="K1545" s="10"/>
      <c r="L1545" s="10"/>
      <c r="M1545" s="770"/>
      <c r="N1545" s="10"/>
      <c r="O1545" s="10"/>
      <c r="P1545" s="10"/>
      <c r="Q1545" s="10"/>
      <c r="R1545" s="10"/>
      <c r="S1545" s="10"/>
    </row>
    <row r="1546" spans="1:19" x14ac:dyDescent="0.25">
      <c r="A1546" s="10"/>
      <c r="B1546" s="10"/>
      <c r="C1546" s="10"/>
      <c r="D1546" s="10"/>
      <c r="E1546" s="10"/>
      <c r="F1546" s="10"/>
      <c r="G1546" s="10"/>
      <c r="H1546" s="770"/>
      <c r="I1546" s="10"/>
      <c r="J1546" s="10"/>
      <c r="K1546" s="10"/>
      <c r="L1546" s="10"/>
      <c r="M1546" s="770"/>
      <c r="N1546" s="10"/>
      <c r="O1546" s="10"/>
      <c r="P1546" s="10"/>
      <c r="Q1546" s="10"/>
      <c r="R1546" s="10"/>
      <c r="S1546" s="10"/>
    </row>
    <row r="1547" spans="1:19" x14ac:dyDescent="0.25">
      <c r="A1547" s="10"/>
      <c r="B1547" s="10"/>
      <c r="C1547" s="10"/>
      <c r="D1547" s="10"/>
      <c r="E1547" s="10"/>
      <c r="F1547" s="10"/>
      <c r="G1547" s="10"/>
      <c r="H1547" s="770"/>
      <c r="I1547" s="10"/>
      <c r="J1547" s="10"/>
      <c r="K1547" s="10"/>
      <c r="L1547" s="10"/>
      <c r="M1547" s="770"/>
      <c r="N1547" s="10"/>
      <c r="O1547" s="10"/>
      <c r="P1547" s="10"/>
      <c r="Q1547" s="10"/>
      <c r="R1547" s="10"/>
      <c r="S1547" s="10"/>
    </row>
    <row r="1548" spans="1:19" x14ac:dyDescent="0.25">
      <c r="A1548" s="10"/>
      <c r="B1548" s="10"/>
      <c r="C1548" s="10"/>
      <c r="D1548" s="10"/>
      <c r="E1548" s="10"/>
      <c r="F1548" s="10"/>
      <c r="G1548" s="10"/>
      <c r="H1548" s="770"/>
      <c r="I1548" s="10"/>
      <c r="J1548" s="10"/>
      <c r="K1548" s="10"/>
      <c r="L1548" s="10"/>
      <c r="M1548" s="770"/>
      <c r="N1548" s="10"/>
      <c r="O1548" s="10"/>
      <c r="P1548" s="10"/>
      <c r="Q1548" s="10"/>
      <c r="R1548" s="10"/>
      <c r="S1548" s="10"/>
    </row>
    <row r="1549" spans="1:19" x14ac:dyDescent="0.25">
      <c r="A1549" s="10"/>
      <c r="B1549" s="10"/>
      <c r="C1549" s="10"/>
      <c r="D1549" s="10"/>
      <c r="E1549" s="10"/>
      <c r="F1549" s="10"/>
      <c r="G1549" s="10"/>
      <c r="H1549" s="770"/>
      <c r="I1549" s="10"/>
      <c r="J1549" s="10"/>
      <c r="K1549" s="10"/>
      <c r="L1549" s="10"/>
      <c r="M1549" s="770"/>
      <c r="N1549" s="10"/>
      <c r="O1549" s="10"/>
      <c r="P1549" s="10"/>
      <c r="Q1549" s="10"/>
      <c r="R1549" s="10"/>
      <c r="S1549" s="10"/>
    </row>
    <row r="1550" spans="1:19" x14ac:dyDescent="0.25">
      <c r="A1550" s="10"/>
      <c r="B1550" s="10"/>
      <c r="C1550" s="10"/>
      <c r="D1550" s="10"/>
      <c r="E1550" s="10"/>
      <c r="F1550" s="10"/>
      <c r="G1550" s="10"/>
      <c r="H1550" s="770"/>
      <c r="I1550" s="10"/>
      <c r="J1550" s="10"/>
      <c r="K1550" s="10"/>
      <c r="L1550" s="10"/>
      <c r="M1550" s="770"/>
      <c r="N1550" s="10"/>
      <c r="O1550" s="10"/>
      <c r="P1550" s="10"/>
      <c r="Q1550" s="10"/>
      <c r="R1550" s="10"/>
      <c r="S1550" s="10"/>
    </row>
    <row r="1551" spans="1:19" x14ac:dyDescent="0.25">
      <c r="A1551" s="10"/>
      <c r="B1551" s="10"/>
      <c r="C1551" s="10"/>
      <c r="D1551" s="10"/>
      <c r="E1551" s="10"/>
      <c r="F1551" s="10"/>
      <c r="G1551" s="10"/>
      <c r="H1551" s="770"/>
      <c r="I1551" s="10"/>
      <c r="J1551" s="10"/>
      <c r="K1551" s="10"/>
      <c r="L1551" s="10"/>
      <c r="M1551" s="770"/>
      <c r="N1551" s="10"/>
      <c r="O1551" s="10"/>
      <c r="P1551" s="10"/>
      <c r="Q1551" s="10"/>
      <c r="R1551" s="10"/>
      <c r="S1551" s="10"/>
    </row>
    <row r="1552" spans="1:19" x14ac:dyDescent="0.25">
      <c r="A1552" s="10"/>
      <c r="B1552" s="10"/>
      <c r="C1552" s="10"/>
      <c r="D1552" s="10"/>
      <c r="E1552" s="10"/>
      <c r="F1552" s="10"/>
      <c r="G1552" s="10"/>
      <c r="H1552" s="770"/>
      <c r="I1552" s="10"/>
      <c r="J1552" s="10"/>
      <c r="K1552" s="10"/>
      <c r="L1552" s="10"/>
      <c r="M1552" s="770"/>
      <c r="N1552" s="10"/>
      <c r="O1552" s="10"/>
      <c r="P1552" s="10"/>
      <c r="Q1552" s="10"/>
      <c r="R1552" s="10"/>
      <c r="S1552" s="10"/>
    </row>
    <row r="1553" spans="1:19" x14ac:dyDescent="0.25">
      <c r="A1553" s="10"/>
      <c r="B1553" s="10"/>
      <c r="C1553" s="10"/>
      <c r="D1553" s="10"/>
      <c r="E1553" s="10"/>
      <c r="F1553" s="10"/>
      <c r="G1553" s="10"/>
      <c r="H1553" s="770"/>
      <c r="I1553" s="10"/>
      <c r="J1553" s="10"/>
      <c r="K1553" s="10"/>
      <c r="L1553" s="10"/>
      <c r="M1553" s="770"/>
      <c r="N1553" s="10"/>
      <c r="O1553" s="10"/>
      <c r="P1553" s="10"/>
      <c r="Q1553" s="10"/>
      <c r="R1553" s="10"/>
      <c r="S1553" s="10"/>
    </row>
    <row r="1554" spans="1:19" x14ac:dyDescent="0.25">
      <c r="A1554" s="10"/>
      <c r="B1554" s="10"/>
      <c r="C1554" s="10"/>
      <c r="D1554" s="10"/>
      <c r="E1554" s="10"/>
      <c r="F1554" s="10"/>
      <c r="G1554" s="10"/>
      <c r="H1554" s="770"/>
      <c r="I1554" s="10"/>
      <c r="J1554" s="10"/>
      <c r="K1554" s="10"/>
      <c r="L1554" s="10"/>
      <c r="M1554" s="770"/>
      <c r="N1554" s="10"/>
      <c r="O1554" s="10"/>
      <c r="P1554" s="10"/>
      <c r="Q1554" s="10"/>
      <c r="R1554" s="10"/>
      <c r="S1554" s="10"/>
    </row>
    <row r="1555" spans="1:19" x14ac:dyDescent="0.25">
      <c r="A1555" s="10"/>
      <c r="B1555" s="10"/>
      <c r="C1555" s="10"/>
      <c r="D1555" s="10"/>
      <c r="E1555" s="10"/>
      <c r="F1555" s="10"/>
      <c r="G1555" s="10"/>
      <c r="H1555" s="770"/>
      <c r="I1555" s="10"/>
      <c r="J1555" s="10"/>
      <c r="K1555" s="10"/>
      <c r="L1555" s="10"/>
      <c r="M1555" s="770"/>
      <c r="N1555" s="10"/>
      <c r="O1555" s="10"/>
      <c r="P1555" s="10"/>
      <c r="Q1555" s="10"/>
      <c r="R1555" s="10"/>
      <c r="S1555" s="10"/>
    </row>
    <row r="1556" spans="1:19" x14ac:dyDescent="0.25">
      <c r="A1556" s="10"/>
      <c r="B1556" s="10"/>
      <c r="C1556" s="10"/>
      <c r="D1556" s="10"/>
      <c r="E1556" s="10"/>
      <c r="F1556" s="10"/>
      <c r="G1556" s="10"/>
      <c r="H1556" s="770"/>
      <c r="I1556" s="10"/>
      <c r="J1556" s="10"/>
      <c r="K1556" s="10"/>
      <c r="L1556" s="10"/>
      <c r="M1556" s="770"/>
      <c r="N1556" s="10"/>
      <c r="O1556" s="10"/>
      <c r="P1556" s="10"/>
      <c r="Q1556" s="10"/>
      <c r="R1556" s="10"/>
      <c r="S1556" s="10"/>
    </row>
    <row r="1557" spans="1:19" x14ac:dyDescent="0.25">
      <c r="A1557" s="10"/>
      <c r="B1557" s="10"/>
      <c r="C1557" s="10"/>
      <c r="D1557" s="10"/>
      <c r="E1557" s="10"/>
      <c r="F1557" s="10"/>
      <c r="G1557" s="10"/>
      <c r="H1557" s="770"/>
      <c r="I1557" s="10"/>
      <c r="J1557" s="10"/>
      <c r="K1557" s="10"/>
      <c r="L1557" s="10"/>
      <c r="M1557" s="770"/>
      <c r="N1557" s="10"/>
      <c r="O1557" s="10"/>
      <c r="P1557" s="10"/>
      <c r="Q1557" s="10"/>
      <c r="R1557" s="10"/>
      <c r="S1557" s="10"/>
    </row>
    <row r="1558" spans="1:19" x14ac:dyDescent="0.25">
      <c r="A1558" s="10"/>
      <c r="B1558" s="10"/>
      <c r="C1558" s="10"/>
      <c r="D1558" s="10"/>
      <c r="E1558" s="10"/>
      <c r="F1558" s="10"/>
      <c r="G1558" s="10"/>
      <c r="H1558" s="770"/>
      <c r="I1558" s="10"/>
      <c r="J1558" s="10"/>
      <c r="K1558" s="10"/>
      <c r="L1558" s="10"/>
      <c r="M1558" s="770"/>
      <c r="N1558" s="10"/>
      <c r="O1558" s="10"/>
      <c r="P1558" s="10"/>
      <c r="Q1558" s="10"/>
      <c r="R1558" s="10"/>
      <c r="S1558" s="10"/>
    </row>
    <row r="1559" spans="1:19" x14ac:dyDescent="0.25">
      <c r="A1559" s="10"/>
      <c r="B1559" s="10"/>
      <c r="C1559" s="10"/>
      <c r="D1559" s="10"/>
      <c r="E1559" s="10"/>
      <c r="F1559" s="10"/>
      <c r="G1559" s="10"/>
      <c r="H1559" s="770"/>
      <c r="I1559" s="10"/>
      <c r="J1559" s="10"/>
      <c r="K1559" s="10"/>
      <c r="L1559" s="10"/>
      <c r="M1559" s="770"/>
      <c r="N1559" s="10"/>
      <c r="O1559" s="10"/>
      <c r="P1559" s="10"/>
      <c r="Q1559" s="10"/>
      <c r="R1559" s="10"/>
      <c r="S1559" s="10"/>
    </row>
    <row r="1560" spans="1:19" x14ac:dyDescent="0.25">
      <c r="A1560" s="10"/>
      <c r="B1560" s="10"/>
      <c r="C1560" s="10"/>
      <c r="D1560" s="10"/>
      <c r="E1560" s="10"/>
      <c r="F1560" s="10"/>
      <c r="G1560" s="10"/>
      <c r="H1560" s="770"/>
      <c r="I1560" s="10"/>
      <c r="J1560" s="10"/>
      <c r="K1560" s="10"/>
      <c r="L1560" s="10"/>
      <c r="M1560" s="770"/>
      <c r="N1560" s="10"/>
      <c r="O1560" s="10"/>
      <c r="P1560" s="10"/>
      <c r="Q1560" s="10"/>
      <c r="R1560" s="10"/>
      <c r="S1560" s="10"/>
    </row>
    <row r="1561" spans="1:19" x14ac:dyDescent="0.25">
      <c r="A1561" s="10"/>
      <c r="B1561" s="10"/>
      <c r="C1561" s="10"/>
      <c r="D1561" s="10"/>
      <c r="E1561" s="10"/>
      <c r="F1561" s="10"/>
      <c r="G1561" s="10"/>
      <c r="H1561" s="770"/>
      <c r="I1561" s="10"/>
      <c r="J1561" s="10"/>
      <c r="K1561" s="10"/>
      <c r="L1561" s="10"/>
      <c r="M1561" s="770"/>
      <c r="N1561" s="10"/>
      <c r="O1561" s="10"/>
      <c r="P1561" s="10"/>
      <c r="Q1561" s="10"/>
      <c r="R1561" s="10"/>
      <c r="S1561" s="10"/>
    </row>
    <row r="1562" spans="1:19" x14ac:dyDescent="0.25">
      <c r="A1562" s="10"/>
      <c r="B1562" s="10"/>
      <c r="C1562" s="10"/>
      <c r="D1562" s="10"/>
      <c r="E1562" s="10"/>
      <c r="F1562" s="10"/>
      <c r="G1562" s="10"/>
      <c r="H1562" s="770"/>
      <c r="I1562" s="10"/>
      <c r="J1562" s="10"/>
      <c r="K1562" s="10"/>
      <c r="L1562" s="10"/>
      <c r="M1562" s="770"/>
      <c r="N1562" s="10"/>
      <c r="O1562" s="10"/>
      <c r="P1562" s="10"/>
      <c r="Q1562" s="10"/>
      <c r="R1562" s="10"/>
      <c r="S1562" s="10"/>
    </row>
    <row r="1563" spans="1:19" x14ac:dyDescent="0.25">
      <c r="A1563" s="10"/>
      <c r="B1563" s="10"/>
      <c r="C1563" s="10"/>
      <c r="D1563" s="10"/>
      <c r="E1563" s="10"/>
      <c r="F1563" s="10"/>
      <c r="G1563" s="10"/>
      <c r="H1563" s="770"/>
      <c r="I1563" s="10"/>
      <c r="J1563" s="10"/>
      <c r="K1563" s="10"/>
      <c r="L1563" s="10"/>
      <c r="M1563" s="770"/>
      <c r="N1563" s="10"/>
      <c r="O1563" s="10"/>
      <c r="P1563" s="10"/>
      <c r="Q1563" s="10"/>
      <c r="R1563" s="10"/>
      <c r="S1563" s="10"/>
    </row>
    <row r="1564" spans="1:19" x14ac:dyDescent="0.25">
      <c r="A1564" s="10"/>
      <c r="B1564" s="10"/>
      <c r="C1564" s="10"/>
      <c r="D1564" s="10"/>
      <c r="E1564" s="10"/>
      <c r="F1564" s="10"/>
      <c r="G1564" s="10"/>
      <c r="H1564" s="770"/>
      <c r="I1564" s="10"/>
      <c r="J1564" s="10"/>
      <c r="K1564" s="10"/>
      <c r="L1564" s="10"/>
      <c r="M1564" s="770"/>
      <c r="N1564" s="10"/>
      <c r="O1564" s="10"/>
      <c r="P1564" s="10"/>
      <c r="Q1564" s="10"/>
      <c r="R1564" s="10"/>
      <c r="S1564" s="10"/>
    </row>
    <row r="1565" spans="1:19" x14ac:dyDescent="0.25">
      <c r="A1565" s="10"/>
      <c r="B1565" s="10"/>
      <c r="C1565" s="10"/>
      <c r="D1565" s="10"/>
      <c r="E1565" s="10"/>
      <c r="F1565" s="10"/>
      <c r="G1565" s="10"/>
      <c r="H1565" s="770"/>
      <c r="I1565" s="10"/>
      <c r="J1565" s="10"/>
      <c r="K1565" s="10"/>
      <c r="L1565" s="10"/>
      <c r="M1565" s="770"/>
      <c r="N1565" s="10"/>
      <c r="O1565" s="10"/>
      <c r="P1565" s="10"/>
      <c r="Q1565" s="10"/>
      <c r="R1565" s="10"/>
      <c r="S1565" s="10"/>
    </row>
    <row r="1566" spans="1:19" x14ac:dyDescent="0.25">
      <c r="A1566" s="10"/>
      <c r="B1566" s="10"/>
      <c r="C1566" s="10"/>
      <c r="D1566" s="10"/>
      <c r="E1566" s="10"/>
      <c r="F1566" s="10"/>
      <c r="G1566" s="10"/>
      <c r="H1566" s="770"/>
      <c r="I1566" s="10"/>
      <c r="J1566" s="10"/>
      <c r="K1566" s="10"/>
      <c r="L1566" s="10"/>
      <c r="M1566" s="770"/>
      <c r="N1566" s="10"/>
      <c r="O1566" s="10"/>
      <c r="P1566" s="10"/>
      <c r="Q1566" s="10"/>
      <c r="R1566" s="10"/>
      <c r="S1566" s="10"/>
    </row>
    <row r="1567" spans="1:19" x14ac:dyDescent="0.25">
      <c r="A1567" s="10"/>
      <c r="B1567" s="10"/>
      <c r="C1567" s="10"/>
      <c r="D1567" s="10"/>
      <c r="E1567" s="10"/>
      <c r="F1567" s="10"/>
      <c r="G1567" s="10"/>
      <c r="H1567" s="770"/>
      <c r="I1567" s="10"/>
      <c r="J1567" s="10"/>
      <c r="K1567" s="10"/>
      <c r="L1567" s="10"/>
      <c r="M1567" s="770"/>
      <c r="N1567" s="10"/>
      <c r="O1567" s="10"/>
      <c r="P1567" s="10"/>
      <c r="Q1567" s="10"/>
      <c r="R1567" s="10"/>
      <c r="S1567" s="10"/>
    </row>
    <row r="1568" spans="1:19" x14ac:dyDescent="0.25">
      <c r="A1568" s="10"/>
      <c r="B1568" s="10"/>
      <c r="C1568" s="10"/>
      <c r="D1568" s="10"/>
      <c r="E1568" s="10"/>
      <c r="F1568" s="10"/>
      <c r="G1568" s="10"/>
      <c r="H1568" s="770"/>
      <c r="I1568" s="10"/>
      <c r="J1568" s="10"/>
      <c r="K1568" s="10"/>
      <c r="L1568" s="10"/>
      <c r="M1568" s="770"/>
      <c r="N1568" s="10"/>
      <c r="O1568" s="10"/>
      <c r="P1568" s="10"/>
      <c r="Q1568" s="10"/>
      <c r="R1568" s="10"/>
      <c r="S1568" s="10"/>
    </row>
    <row r="1569" spans="1:19" x14ac:dyDescent="0.25">
      <c r="A1569" s="10"/>
      <c r="B1569" s="10"/>
      <c r="C1569" s="10"/>
      <c r="D1569" s="10"/>
      <c r="E1569" s="10"/>
      <c r="F1569" s="10"/>
      <c r="G1569" s="10"/>
      <c r="H1569" s="770"/>
      <c r="I1569" s="10"/>
      <c r="J1569" s="10"/>
      <c r="K1569" s="10"/>
      <c r="L1569" s="10"/>
      <c r="M1569" s="770"/>
      <c r="N1569" s="10"/>
      <c r="O1569" s="10"/>
      <c r="P1569" s="10"/>
      <c r="Q1569" s="10"/>
      <c r="R1569" s="10"/>
      <c r="S1569" s="10"/>
    </row>
    <row r="1570" spans="1:19" x14ac:dyDescent="0.25">
      <c r="A1570" s="10"/>
      <c r="B1570" s="10"/>
      <c r="C1570" s="10"/>
      <c r="D1570" s="10"/>
      <c r="E1570" s="10"/>
      <c r="F1570" s="10"/>
      <c r="G1570" s="10"/>
      <c r="H1570" s="770"/>
      <c r="I1570" s="10"/>
      <c r="J1570" s="10"/>
      <c r="K1570" s="10"/>
      <c r="L1570" s="10"/>
      <c r="M1570" s="770"/>
      <c r="N1570" s="10"/>
      <c r="O1570" s="10"/>
      <c r="P1570" s="10"/>
      <c r="Q1570" s="10"/>
      <c r="R1570" s="10"/>
      <c r="S1570" s="10"/>
    </row>
    <row r="1571" spans="1:19" x14ac:dyDescent="0.25">
      <c r="A1571" s="10"/>
      <c r="B1571" s="10"/>
      <c r="C1571" s="10"/>
      <c r="D1571" s="10"/>
      <c r="E1571" s="10"/>
      <c r="F1571" s="10"/>
      <c r="G1571" s="10"/>
      <c r="H1571" s="770"/>
      <c r="I1571" s="10"/>
      <c r="J1571" s="10"/>
      <c r="K1571" s="10"/>
      <c r="L1571" s="10"/>
      <c r="M1571" s="770"/>
      <c r="N1571" s="10"/>
      <c r="O1571" s="10"/>
      <c r="P1571" s="10"/>
      <c r="Q1571" s="10"/>
      <c r="R1571" s="10"/>
      <c r="S1571" s="10"/>
    </row>
    <row r="1572" spans="1:19" x14ac:dyDescent="0.25">
      <c r="A1572" s="10"/>
      <c r="B1572" s="10"/>
      <c r="C1572" s="10"/>
      <c r="D1572" s="10"/>
      <c r="E1572" s="10"/>
      <c r="F1572" s="10"/>
      <c r="G1572" s="10"/>
      <c r="H1572" s="770"/>
      <c r="I1572" s="10"/>
      <c r="J1572" s="10"/>
      <c r="K1572" s="10"/>
      <c r="L1572" s="10"/>
      <c r="M1572" s="770"/>
      <c r="N1572" s="10"/>
      <c r="O1572" s="10"/>
      <c r="P1572" s="10"/>
      <c r="Q1572" s="10"/>
      <c r="R1572" s="10"/>
      <c r="S1572" s="10"/>
    </row>
    <row r="1573" spans="1:19" x14ac:dyDescent="0.25">
      <c r="A1573" s="10"/>
      <c r="B1573" s="10"/>
      <c r="C1573" s="10"/>
      <c r="D1573" s="10"/>
      <c r="E1573" s="10"/>
      <c r="F1573" s="10"/>
      <c r="G1573" s="10"/>
      <c r="H1573" s="770"/>
      <c r="I1573" s="10"/>
      <c r="J1573" s="10"/>
      <c r="K1573" s="10"/>
      <c r="L1573" s="10"/>
      <c r="M1573" s="770"/>
      <c r="N1573" s="10"/>
      <c r="O1573" s="10"/>
      <c r="P1573" s="10"/>
      <c r="Q1573" s="10"/>
      <c r="R1573" s="10"/>
      <c r="S1573" s="10"/>
    </row>
    <row r="1574" spans="1:19" x14ac:dyDescent="0.25">
      <c r="A1574" s="10"/>
      <c r="B1574" s="10"/>
      <c r="C1574" s="10"/>
      <c r="D1574" s="10"/>
      <c r="E1574" s="10"/>
      <c r="F1574" s="10"/>
      <c r="G1574" s="10"/>
      <c r="H1574" s="770"/>
      <c r="I1574" s="10"/>
      <c r="J1574" s="10"/>
      <c r="K1574" s="10"/>
      <c r="L1574" s="10"/>
      <c r="M1574" s="770"/>
      <c r="N1574" s="10"/>
      <c r="O1574" s="10"/>
      <c r="P1574" s="10"/>
      <c r="Q1574" s="10"/>
      <c r="R1574" s="10"/>
      <c r="S1574" s="10"/>
    </row>
    <row r="1575" spans="1:19" x14ac:dyDescent="0.25">
      <c r="A1575" s="10"/>
      <c r="B1575" s="10"/>
      <c r="C1575" s="10"/>
      <c r="D1575" s="10"/>
      <c r="E1575" s="10"/>
      <c r="F1575" s="10"/>
      <c r="G1575" s="10"/>
      <c r="H1575" s="770"/>
      <c r="I1575" s="10"/>
      <c r="J1575" s="10"/>
      <c r="K1575" s="10"/>
      <c r="L1575" s="10"/>
      <c r="M1575" s="770"/>
      <c r="N1575" s="10"/>
      <c r="O1575" s="10"/>
      <c r="P1575" s="10"/>
      <c r="Q1575" s="10"/>
      <c r="R1575" s="10"/>
      <c r="S1575" s="10"/>
    </row>
    <row r="1576" spans="1:19" x14ac:dyDescent="0.25">
      <c r="A1576" s="10"/>
      <c r="B1576" s="10"/>
      <c r="C1576" s="10"/>
      <c r="D1576" s="10"/>
      <c r="E1576" s="10"/>
      <c r="F1576" s="10"/>
      <c r="G1576" s="10"/>
      <c r="H1576" s="770"/>
      <c r="I1576" s="10"/>
      <c r="J1576" s="10"/>
      <c r="K1576" s="10"/>
      <c r="L1576" s="10"/>
      <c r="M1576" s="770"/>
      <c r="N1576" s="10"/>
      <c r="O1576" s="10"/>
      <c r="P1576" s="10"/>
      <c r="Q1576" s="10"/>
      <c r="R1576" s="10"/>
      <c r="S1576" s="10"/>
    </row>
    <row r="1577" spans="1:19" x14ac:dyDescent="0.25">
      <c r="A1577" s="10"/>
      <c r="B1577" s="10"/>
      <c r="C1577" s="10"/>
      <c r="D1577" s="10"/>
      <c r="E1577" s="10"/>
      <c r="F1577" s="10"/>
      <c r="G1577" s="10"/>
      <c r="H1577" s="770"/>
      <c r="I1577" s="10"/>
      <c r="J1577" s="10"/>
      <c r="K1577" s="10"/>
      <c r="L1577" s="10"/>
      <c r="M1577" s="770"/>
      <c r="N1577" s="10"/>
      <c r="O1577" s="10"/>
      <c r="P1577" s="10"/>
      <c r="Q1577" s="10"/>
      <c r="R1577" s="10"/>
      <c r="S1577" s="10"/>
    </row>
    <row r="1578" spans="1:19" x14ac:dyDescent="0.25">
      <c r="A1578" s="10"/>
      <c r="B1578" s="10"/>
      <c r="C1578" s="10"/>
      <c r="D1578" s="10"/>
      <c r="E1578" s="10"/>
      <c r="F1578" s="10"/>
      <c r="G1578" s="10"/>
      <c r="H1578" s="770"/>
      <c r="I1578" s="10"/>
      <c r="J1578" s="10"/>
      <c r="K1578" s="10"/>
      <c r="L1578" s="10"/>
      <c r="M1578" s="770"/>
      <c r="N1578" s="10"/>
      <c r="O1578" s="10"/>
      <c r="P1578" s="10"/>
      <c r="Q1578" s="10"/>
      <c r="R1578" s="10"/>
      <c r="S1578" s="10"/>
    </row>
    <row r="1579" spans="1:19" x14ac:dyDescent="0.25">
      <c r="A1579" s="10"/>
      <c r="B1579" s="10"/>
      <c r="C1579" s="10"/>
      <c r="D1579" s="10"/>
      <c r="E1579" s="10"/>
      <c r="F1579" s="10"/>
      <c r="G1579" s="10"/>
      <c r="H1579" s="770"/>
      <c r="I1579" s="10"/>
      <c r="J1579" s="10"/>
      <c r="K1579" s="10"/>
      <c r="L1579" s="10"/>
      <c r="M1579" s="770"/>
      <c r="N1579" s="10"/>
      <c r="O1579" s="10"/>
      <c r="P1579" s="10"/>
      <c r="Q1579" s="10"/>
      <c r="R1579" s="10"/>
      <c r="S1579" s="10"/>
    </row>
    <row r="1580" spans="1:19" x14ac:dyDescent="0.25">
      <c r="A1580" s="10"/>
      <c r="B1580" s="10"/>
      <c r="C1580" s="10"/>
      <c r="D1580" s="10"/>
      <c r="E1580" s="10"/>
      <c r="F1580" s="10"/>
      <c r="G1580" s="10"/>
      <c r="H1580" s="770"/>
      <c r="I1580" s="10"/>
      <c r="J1580" s="10"/>
      <c r="K1580" s="10"/>
      <c r="L1580" s="10"/>
      <c r="M1580" s="770"/>
      <c r="N1580" s="10"/>
      <c r="O1580" s="10"/>
      <c r="P1580" s="10"/>
      <c r="Q1580" s="10"/>
      <c r="R1580" s="10"/>
      <c r="S1580" s="10"/>
    </row>
    <row r="1581" spans="1:19" x14ac:dyDescent="0.25">
      <c r="A1581" s="10"/>
      <c r="B1581" s="10"/>
      <c r="C1581" s="10"/>
      <c r="D1581" s="10"/>
      <c r="E1581" s="10"/>
      <c r="F1581" s="10"/>
      <c r="G1581" s="10"/>
      <c r="H1581" s="770"/>
      <c r="I1581" s="10"/>
      <c r="J1581" s="10"/>
      <c r="K1581" s="10"/>
      <c r="L1581" s="10"/>
      <c r="M1581" s="770"/>
      <c r="N1581" s="10"/>
      <c r="O1581" s="10"/>
      <c r="P1581" s="10"/>
      <c r="Q1581" s="10"/>
      <c r="R1581" s="10"/>
      <c r="S1581" s="10"/>
    </row>
    <row r="1582" spans="1:19" x14ac:dyDescent="0.25">
      <c r="A1582" s="10"/>
      <c r="B1582" s="10"/>
      <c r="C1582" s="10"/>
      <c r="D1582" s="10"/>
      <c r="E1582" s="10"/>
      <c r="F1582" s="10"/>
      <c r="G1582" s="10"/>
      <c r="H1582" s="770"/>
      <c r="I1582" s="10"/>
      <c r="J1582" s="10"/>
      <c r="K1582" s="10"/>
      <c r="L1582" s="10"/>
      <c r="M1582" s="770"/>
      <c r="N1582" s="10"/>
      <c r="O1582" s="10"/>
      <c r="P1582" s="10"/>
      <c r="Q1582" s="10"/>
      <c r="R1582" s="10"/>
      <c r="S1582" s="10"/>
    </row>
    <row r="1583" spans="1:19" x14ac:dyDescent="0.25">
      <c r="A1583" s="10"/>
      <c r="B1583" s="10"/>
      <c r="C1583" s="10"/>
      <c r="D1583" s="10"/>
      <c r="E1583" s="10"/>
      <c r="F1583" s="10"/>
      <c r="G1583" s="10"/>
      <c r="H1583" s="770"/>
      <c r="I1583" s="10"/>
      <c r="J1583" s="10"/>
      <c r="K1583" s="10"/>
      <c r="L1583" s="10"/>
      <c r="M1583" s="770"/>
      <c r="N1583" s="10"/>
      <c r="O1583" s="10"/>
      <c r="P1583" s="10"/>
      <c r="Q1583" s="10"/>
      <c r="R1583" s="10"/>
      <c r="S1583" s="10"/>
    </row>
    <row r="1584" spans="1:19" x14ac:dyDescent="0.25">
      <c r="A1584" s="10"/>
      <c r="B1584" s="10"/>
      <c r="C1584" s="10"/>
      <c r="D1584" s="10"/>
      <c r="E1584" s="10"/>
      <c r="F1584" s="10"/>
      <c r="G1584" s="10"/>
      <c r="H1584" s="770"/>
      <c r="I1584" s="10"/>
      <c r="J1584" s="10"/>
      <c r="K1584" s="10"/>
      <c r="L1584" s="10"/>
      <c r="M1584" s="770"/>
      <c r="N1584" s="10"/>
      <c r="O1584" s="10"/>
      <c r="P1584" s="10"/>
      <c r="Q1584" s="10"/>
      <c r="R1584" s="10"/>
      <c r="S1584" s="10"/>
    </row>
    <row r="1585" spans="1:19" x14ac:dyDescent="0.25">
      <c r="A1585" s="10"/>
      <c r="B1585" s="10"/>
      <c r="C1585" s="10"/>
      <c r="D1585" s="10"/>
      <c r="E1585" s="10"/>
      <c r="F1585" s="10"/>
      <c r="G1585" s="10"/>
      <c r="H1585" s="770"/>
      <c r="I1585" s="10"/>
      <c r="J1585" s="10"/>
      <c r="K1585" s="10"/>
      <c r="L1585" s="10"/>
      <c r="M1585" s="770"/>
      <c r="N1585" s="10"/>
      <c r="O1585" s="10"/>
      <c r="P1585" s="10"/>
      <c r="Q1585" s="10"/>
      <c r="R1585" s="10"/>
      <c r="S1585" s="10"/>
    </row>
    <row r="1586" spans="1:19" x14ac:dyDescent="0.25">
      <c r="A1586" s="10"/>
      <c r="B1586" s="10"/>
      <c r="C1586" s="10"/>
      <c r="D1586" s="10"/>
      <c r="E1586" s="10"/>
      <c r="F1586" s="10"/>
      <c r="G1586" s="10"/>
      <c r="H1586" s="770"/>
      <c r="I1586" s="10"/>
      <c r="J1586" s="10"/>
      <c r="K1586" s="10"/>
      <c r="L1586" s="10"/>
      <c r="M1586" s="770"/>
      <c r="N1586" s="10"/>
      <c r="O1586" s="10"/>
      <c r="P1586" s="10"/>
      <c r="Q1586" s="10"/>
      <c r="R1586" s="10"/>
      <c r="S1586" s="10"/>
    </row>
    <row r="1587" spans="1:19" x14ac:dyDescent="0.25">
      <c r="A1587" s="10"/>
      <c r="B1587" s="10"/>
      <c r="C1587" s="10"/>
      <c r="D1587" s="10"/>
      <c r="E1587" s="10"/>
      <c r="F1587" s="10"/>
      <c r="G1587" s="10"/>
      <c r="H1587" s="770"/>
      <c r="I1587" s="10"/>
      <c r="J1587" s="10"/>
      <c r="K1587" s="10"/>
      <c r="L1587" s="10"/>
      <c r="M1587" s="770"/>
      <c r="N1587" s="10"/>
      <c r="O1587" s="10"/>
      <c r="P1587" s="10"/>
      <c r="Q1587" s="10"/>
      <c r="R1587" s="10"/>
      <c r="S1587" s="10"/>
    </row>
    <row r="1588" spans="1:19" x14ac:dyDescent="0.25">
      <c r="A1588" s="10"/>
      <c r="B1588" s="10"/>
      <c r="C1588" s="10"/>
      <c r="D1588" s="10"/>
      <c r="E1588" s="10"/>
      <c r="F1588" s="10"/>
      <c r="G1588" s="10"/>
      <c r="H1588" s="770"/>
      <c r="I1588" s="10"/>
      <c r="J1588" s="10"/>
      <c r="K1588" s="10"/>
      <c r="L1588" s="10"/>
      <c r="M1588" s="770"/>
      <c r="N1588" s="10"/>
      <c r="O1588" s="10"/>
      <c r="P1588" s="10"/>
      <c r="Q1588" s="10"/>
      <c r="R1588" s="10"/>
      <c r="S1588" s="10"/>
    </row>
    <row r="1589" spans="1:19" x14ac:dyDescent="0.25">
      <c r="A1589" s="10"/>
      <c r="B1589" s="10"/>
      <c r="C1589" s="10"/>
      <c r="D1589" s="10"/>
      <c r="E1589" s="10"/>
      <c r="F1589" s="10"/>
      <c r="G1589" s="10"/>
      <c r="H1589" s="770"/>
      <c r="I1589" s="10"/>
      <c r="J1589" s="10"/>
      <c r="K1589" s="10"/>
      <c r="L1589" s="10"/>
      <c r="M1589" s="770"/>
      <c r="N1589" s="10"/>
      <c r="O1589" s="10"/>
      <c r="P1589" s="10"/>
      <c r="Q1589" s="10"/>
      <c r="R1589" s="10"/>
      <c r="S1589" s="10"/>
    </row>
    <row r="1590" spans="1:19" x14ac:dyDescent="0.25">
      <c r="A1590" s="10"/>
      <c r="B1590" s="10"/>
      <c r="C1590" s="10"/>
      <c r="D1590" s="10"/>
      <c r="E1590" s="10"/>
      <c r="F1590" s="10"/>
      <c r="G1590" s="10"/>
      <c r="H1590" s="770"/>
      <c r="I1590" s="10"/>
      <c r="J1590" s="10"/>
      <c r="K1590" s="10"/>
      <c r="L1590" s="10"/>
      <c r="M1590" s="770"/>
      <c r="N1590" s="10"/>
      <c r="O1590" s="10"/>
      <c r="P1590" s="10"/>
      <c r="Q1590" s="10"/>
      <c r="R1590" s="10"/>
      <c r="S1590" s="10"/>
    </row>
    <row r="1591" spans="1:19" x14ac:dyDescent="0.25">
      <c r="A1591" s="10"/>
      <c r="B1591" s="10"/>
      <c r="C1591" s="10"/>
      <c r="D1591" s="10"/>
      <c r="E1591" s="10"/>
      <c r="F1591" s="10"/>
      <c r="G1591" s="10"/>
      <c r="H1591" s="770"/>
      <c r="I1591" s="10"/>
      <c r="J1591" s="10"/>
      <c r="K1591" s="10"/>
      <c r="L1591" s="10"/>
      <c r="M1591" s="770"/>
      <c r="N1591" s="10"/>
      <c r="O1591" s="10"/>
      <c r="P1591" s="10"/>
      <c r="Q1591" s="10"/>
      <c r="R1591" s="10"/>
      <c r="S1591" s="10"/>
    </row>
    <row r="1592" spans="1:19" x14ac:dyDescent="0.25">
      <c r="A1592" s="10"/>
      <c r="B1592" s="10"/>
      <c r="C1592" s="10"/>
      <c r="D1592" s="10"/>
      <c r="E1592" s="10"/>
      <c r="F1592" s="10"/>
      <c r="G1592" s="10"/>
      <c r="H1592" s="770"/>
      <c r="I1592" s="10"/>
      <c r="J1592" s="10"/>
      <c r="K1592" s="10"/>
      <c r="L1592" s="10"/>
      <c r="M1592" s="770"/>
      <c r="N1592" s="10"/>
      <c r="O1592" s="10"/>
      <c r="P1592" s="10"/>
      <c r="Q1592" s="10"/>
      <c r="R1592" s="10"/>
      <c r="S1592" s="10"/>
    </row>
    <row r="1593" spans="1:19" x14ac:dyDescent="0.25">
      <c r="A1593" s="10"/>
      <c r="B1593" s="10"/>
      <c r="C1593" s="10"/>
      <c r="D1593" s="10"/>
      <c r="E1593" s="10"/>
      <c r="F1593" s="10"/>
      <c r="G1593" s="10"/>
      <c r="H1593" s="770"/>
      <c r="I1593" s="10"/>
      <c r="J1593" s="10"/>
      <c r="K1593" s="10"/>
      <c r="L1593" s="10"/>
      <c r="M1593" s="770"/>
      <c r="N1593" s="10"/>
      <c r="O1593" s="10"/>
      <c r="P1593" s="10"/>
      <c r="Q1593" s="10"/>
      <c r="R1593" s="10"/>
      <c r="S1593" s="10"/>
    </row>
    <row r="1594" spans="1:19" x14ac:dyDescent="0.25">
      <c r="A1594" s="10"/>
      <c r="B1594" s="10"/>
      <c r="C1594" s="10"/>
      <c r="D1594" s="10"/>
      <c r="E1594" s="10"/>
      <c r="F1594" s="10"/>
      <c r="G1594" s="10"/>
      <c r="H1594" s="770"/>
      <c r="I1594" s="10"/>
      <c r="J1594" s="10"/>
      <c r="K1594" s="10"/>
      <c r="L1594" s="10"/>
      <c r="M1594" s="770"/>
      <c r="N1594" s="10"/>
      <c r="O1594" s="10"/>
      <c r="P1594" s="10"/>
      <c r="Q1594" s="10"/>
      <c r="R1594" s="10"/>
      <c r="S1594" s="10"/>
    </row>
    <row r="1595" spans="1:19" x14ac:dyDescent="0.25">
      <c r="A1595" s="10"/>
      <c r="B1595" s="10"/>
      <c r="C1595" s="10"/>
      <c r="D1595" s="10"/>
      <c r="E1595" s="10"/>
      <c r="F1595" s="10"/>
      <c r="G1595" s="10"/>
      <c r="H1595" s="770"/>
      <c r="I1595" s="10"/>
      <c r="J1595" s="10"/>
      <c r="K1595" s="10"/>
      <c r="L1595" s="10"/>
      <c r="M1595" s="770"/>
      <c r="N1595" s="10"/>
      <c r="O1595" s="10"/>
      <c r="P1595" s="10"/>
      <c r="Q1595" s="10"/>
      <c r="R1595" s="10"/>
      <c r="S1595" s="10"/>
    </row>
    <row r="1596" spans="1:19" x14ac:dyDescent="0.25">
      <c r="A1596" s="10"/>
      <c r="B1596" s="10"/>
      <c r="C1596" s="10"/>
      <c r="D1596" s="10"/>
      <c r="E1596" s="10"/>
      <c r="F1596" s="10"/>
      <c r="G1596" s="10"/>
      <c r="H1596" s="770"/>
      <c r="I1596" s="10"/>
      <c r="J1596" s="10"/>
      <c r="K1596" s="10"/>
      <c r="L1596" s="10"/>
      <c r="M1596" s="770"/>
      <c r="N1596" s="10"/>
      <c r="O1596" s="10"/>
      <c r="P1596" s="10"/>
      <c r="Q1596" s="10"/>
      <c r="R1596" s="10"/>
      <c r="S1596" s="10"/>
    </row>
    <row r="1597" spans="1:19" x14ac:dyDescent="0.25">
      <c r="A1597" s="10"/>
      <c r="B1597" s="10"/>
      <c r="C1597" s="10"/>
      <c r="D1597" s="10"/>
      <c r="E1597" s="10"/>
      <c r="F1597" s="10"/>
      <c r="G1597" s="10"/>
      <c r="H1597" s="770"/>
      <c r="I1597" s="10"/>
      <c r="J1597" s="10"/>
      <c r="K1597" s="10"/>
      <c r="L1597" s="10"/>
      <c r="M1597" s="770"/>
      <c r="N1597" s="10"/>
      <c r="O1597" s="10"/>
      <c r="P1597" s="10"/>
      <c r="Q1597" s="10"/>
      <c r="R1597" s="10"/>
      <c r="S1597" s="10"/>
    </row>
    <row r="1598" spans="1:19" x14ac:dyDescent="0.25">
      <c r="A1598" s="10"/>
      <c r="B1598" s="10"/>
      <c r="C1598" s="10"/>
      <c r="D1598" s="10"/>
      <c r="E1598" s="10"/>
      <c r="F1598" s="10"/>
      <c r="G1598" s="10"/>
      <c r="H1598" s="770"/>
      <c r="I1598" s="10"/>
      <c r="J1598" s="10"/>
      <c r="K1598" s="10"/>
      <c r="L1598" s="10"/>
      <c r="M1598" s="770"/>
      <c r="N1598" s="10"/>
      <c r="O1598" s="10"/>
      <c r="P1598" s="10"/>
      <c r="Q1598" s="10"/>
      <c r="R1598" s="10"/>
      <c r="S1598" s="10"/>
    </row>
    <row r="1599" spans="1:19" x14ac:dyDescent="0.25">
      <c r="A1599" s="10"/>
      <c r="B1599" s="10"/>
      <c r="C1599" s="10"/>
      <c r="D1599" s="10"/>
      <c r="E1599" s="10"/>
      <c r="F1599" s="10"/>
      <c r="G1599" s="10"/>
      <c r="H1599" s="770"/>
      <c r="I1599" s="10"/>
      <c r="J1599" s="10"/>
      <c r="K1599" s="10"/>
      <c r="L1599" s="10"/>
      <c r="M1599" s="770"/>
      <c r="N1599" s="10"/>
      <c r="O1599" s="10"/>
      <c r="P1599" s="10"/>
      <c r="Q1599" s="10"/>
      <c r="R1599" s="10"/>
      <c r="S1599" s="10"/>
    </row>
    <row r="1600" spans="1:19" x14ac:dyDescent="0.25">
      <c r="A1600" s="10"/>
      <c r="B1600" s="10"/>
      <c r="C1600" s="10"/>
      <c r="D1600" s="10"/>
      <c r="E1600" s="10"/>
      <c r="F1600" s="10"/>
      <c r="G1600" s="10"/>
      <c r="H1600" s="770"/>
      <c r="I1600" s="10"/>
      <c r="J1600" s="10"/>
      <c r="K1600" s="10"/>
      <c r="L1600" s="10"/>
      <c r="M1600" s="770"/>
      <c r="N1600" s="10"/>
      <c r="O1600" s="10"/>
      <c r="P1600" s="10"/>
      <c r="Q1600" s="10"/>
      <c r="R1600" s="10"/>
      <c r="S1600" s="10"/>
    </row>
    <row r="1601" spans="1:19" x14ac:dyDescent="0.25">
      <c r="A1601" s="10"/>
      <c r="B1601" s="10"/>
      <c r="C1601" s="10"/>
      <c r="D1601" s="10"/>
      <c r="E1601" s="10"/>
      <c r="F1601" s="10"/>
      <c r="G1601" s="10"/>
      <c r="H1601" s="770"/>
      <c r="I1601" s="10"/>
      <c r="J1601" s="10"/>
      <c r="K1601" s="10"/>
      <c r="L1601" s="10"/>
      <c r="M1601" s="770"/>
      <c r="N1601" s="10"/>
      <c r="O1601" s="10"/>
      <c r="P1601" s="10"/>
      <c r="Q1601" s="10"/>
      <c r="R1601" s="10"/>
      <c r="S1601" s="10"/>
    </row>
    <row r="1602" spans="1:19" x14ac:dyDescent="0.25">
      <c r="A1602" s="10"/>
      <c r="B1602" s="10"/>
      <c r="C1602" s="10"/>
      <c r="D1602" s="10"/>
      <c r="E1602" s="10"/>
      <c r="F1602" s="10"/>
      <c r="G1602" s="10"/>
      <c r="H1602" s="770"/>
      <c r="I1602" s="10"/>
      <c r="J1602" s="10"/>
      <c r="K1602" s="10"/>
      <c r="L1602" s="10"/>
      <c r="M1602" s="770"/>
      <c r="N1602" s="10"/>
      <c r="O1602" s="10"/>
      <c r="P1602" s="10"/>
      <c r="Q1602" s="10"/>
      <c r="R1602" s="10"/>
      <c r="S1602" s="10"/>
    </row>
    <row r="1603" spans="1:19" x14ac:dyDescent="0.25">
      <c r="A1603" s="10"/>
      <c r="B1603" s="10"/>
      <c r="C1603" s="10"/>
      <c r="D1603" s="10"/>
      <c r="E1603" s="10"/>
      <c r="F1603" s="10"/>
      <c r="G1603" s="10"/>
      <c r="H1603" s="770"/>
      <c r="I1603" s="10"/>
      <c r="J1603" s="10"/>
      <c r="K1603" s="10"/>
      <c r="L1603" s="10"/>
      <c r="M1603" s="770"/>
      <c r="N1603" s="10"/>
      <c r="O1603" s="10"/>
      <c r="P1603" s="10"/>
      <c r="Q1603" s="10"/>
      <c r="R1603" s="10"/>
      <c r="S1603" s="10"/>
    </row>
    <row r="1604" spans="1:19" x14ac:dyDescent="0.25">
      <c r="A1604" s="10"/>
      <c r="B1604" s="10"/>
      <c r="C1604" s="10"/>
      <c r="D1604" s="10"/>
      <c r="E1604" s="10"/>
      <c r="F1604" s="10"/>
      <c r="G1604" s="10"/>
      <c r="H1604" s="770"/>
      <c r="I1604" s="10"/>
      <c r="J1604" s="10"/>
      <c r="K1604" s="10"/>
      <c r="L1604" s="10"/>
      <c r="M1604" s="770"/>
      <c r="N1604" s="10"/>
      <c r="O1604" s="10"/>
      <c r="P1604" s="10"/>
      <c r="Q1604" s="10"/>
      <c r="R1604" s="10"/>
      <c r="S1604" s="10"/>
    </row>
    <row r="1605" spans="1:19" x14ac:dyDescent="0.25">
      <c r="A1605" s="10"/>
      <c r="B1605" s="10"/>
      <c r="C1605" s="10"/>
      <c r="D1605" s="10"/>
      <c r="E1605" s="10"/>
      <c r="F1605" s="10"/>
      <c r="G1605" s="10"/>
      <c r="H1605" s="770"/>
      <c r="I1605" s="10"/>
      <c r="J1605" s="10"/>
      <c r="K1605" s="10"/>
      <c r="L1605" s="10"/>
      <c r="M1605" s="770"/>
      <c r="N1605" s="10"/>
      <c r="O1605" s="10"/>
      <c r="P1605" s="10"/>
      <c r="Q1605" s="10"/>
      <c r="R1605" s="10"/>
      <c r="S1605" s="10"/>
    </row>
    <row r="1606" spans="1:19" x14ac:dyDescent="0.25">
      <c r="A1606" s="10"/>
      <c r="B1606" s="10"/>
      <c r="C1606" s="10"/>
      <c r="D1606" s="10"/>
      <c r="E1606" s="10"/>
      <c r="F1606" s="10"/>
      <c r="G1606" s="10"/>
      <c r="H1606" s="770"/>
      <c r="I1606" s="10"/>
      <c r="J1606" s="10"/>
      <c r="K1606" s="10"/>
      <c r="L1606" s="10"/>
      <c r="M1606" s="770"/>
      <c r="N1606" s="10"/>
      <c r="O1606" s="10"/>
      <c r="P1606" s="10"/>
      <c r="Q1606" s="10"/>
      <c r="R1606" s="10"/>
      <c r="S1606" s="10"/>
    </row>
    <row r="1607" spans="1:19" x14ac:dyDescent="0.25">
      <c r="A1607" s="10"/>
      <c r="B1607" s="10"/>
      <c r="C1607" s="10"/>
      <c r="D1607" s="10"/>
      <c r="E1607" s="10"/>
      <c r="F1607" s="10"/>
      <c r="G1607" s="10"/>
      <c r="H1607" s="770"/>
      <c r="I1607" s="10"/>
      <c r="J1607" s="10"/>
      <c r="K1607" s="10"/>
      <c r="L1607" s="10"/>
      <c r="M1607" s="770"/>
      <c r="N1607" s="10"/>
      <c r="O1607" s="10"/>
      <c r="P1607" s="10"/>
      <c r="Q1607" s="10"/>
      <c r="R1607" s="10"/>
      <c r="S1607" s="10"/>
    </row>
    <row r="1608" spans="1:19" x14ac:dyDescent="0.25">
      <c r="A1608" s="10"/>
      <c r="B1608" s="10"/>
      <c r="C1608" s="10"/>
      <c r="D1608" s="10"/>
      <c r="E1608" s="10"/>
      <c r="F1608" s="10"/>
      <c r="G1608" s="10"/>
      <c r="H1608" s="770"/>
      <c r="I1608" s="10"/>
      <c r="J1608" s="10"/>
      <c r="K1608" s="10"/>
      <c r="L1608" s="10"/>
      <c r="M1608" s="770"/>
      <c r="N1608" s="10"/>
      <c r="O1608" s="10"/>
      <c r="P1608" s="10"/>
      <c r="Q1608" s="10"/>
      <c r="R1608" s="10"/>
      <c r="S1608" s="10"/>
    </row>
    <row r="1609" spans="1:19" x14ac:dyDescent="0.25">
      <c r="A1609" s="10"/>
      <c r="B1609" s="10"/>
      <c r="C1609" s="10"/>
      <c r="D1609" s="10"/>
      <c r="E1609" s="10"/>
      <c r="F1609" s="10"/>
      <c r="G1609" s="10"/>
      <c r="H1609" s="770"/>
      <c r="I1609" s="10"/>
      <c r="J1609" s="10"/>
      <c r="K1609" s="10"/>
      <c r="L1609" s="10"/>
      <c r="M1609" s="770"/>
      <c r="N1609" s="10"/>
      <c r="O1609" s="10"/>
      <c r="P1609" s="10"/>
      <c r="Q1609" s="10"/>
      <c r="R1609" s="10"/>
      <c r="S1609" s="10"/>
    </row>
    <row r="1610" spans="1:19" x14ac:dyDescent="0.25">
      <c r="A1610" s="10"/>
      <c r="B1610" s="10"/>
      <c r="C1610" s="10"/>
      <c r="D1610" s="10"/>
      <c r="E1610" s="10"/>
      <c r="F1610" s="10"/>
      <c r="G1610" s="10"/>
      <c r="H1610" s="770"/>
      <c r="I1610" s="10"/>
      <c r="J1610" s="10"/>
      <c r="K1610" s="10"/>
      <c r="L1610" s="10"/>
      <c r="M1610" s="770"/>
      <c r="N1610" s="10"/>
      <c r="O1610" s="10"/>
      <c r="P1610" s="10"/>
      <c r="Q1610" s="10"/>
      <c r="R1610" s="10"/>
      <c r="S1610" s="10"/>
    </row>
    <row r="1611" spans="1:19" x14ac:dyDescent="0.25">
      <c r="A1611" s="10"/>
      <c r="B1611" s="10"/>
      <c r="C1611" s="10"/>
      <c r="D1611" s="10"/>
      <c r="E1611" s="10"/>
      <c r="F1611" s="10"/>
      <c r="G1611" s="10"/>
      <c r="H1611" s="770"/>
      <c r="I1611" s="10"/>
      <c r="J1611" s="10"/>
      <c r="K1611" s="10"/>
      <c r="L1611" s="10"/>
      <c r="M1611" s="770"/>
      <c r="N1611" s="10"/>
      <c r="O1611" s="10"/>
      <c r="P1611" s="10"/>
      <c r="Q1611" s="10"/>
      <c r="R1611" s="10"/>
      <c r="S1611" s="10"/>
    </row>
    <row r="1612" spans="1:19" x14ac:dyDescent="0.25">
      <c r="A1612" s="10"/>
      <c r="B1612" s="10"/>
      <c r="C1612" s="10"/>
      <c r="D1612" s="10"/>
      <c r="E1612" s="10"/>
      <c r="F1612" s="10"/>
      <c r="G1612" s="10"/>
      <c r="H1612" s="770"/>
      <c r="I1612" s="10"/>
      <c r="J1612" s="10"/>
      <c r="K1612" s="10"/>
      <c r="L1612" s="10"/>
      <c r="M1612" s="770"/>
      <c r="N1612" s="10"/>
      <c r="O1612" s="10"/>
      <c r="P1612" s="10"/>
      <c r="Q1612" s="10"/>
      <c r="R1612" s="10"/>
      <c r="S1612" s="10"/>
    </row>
    <row r="1613" spans="1:19" x14ac:dyDescent="0.25">
      <c r="A1613" s="10"/>
      <c r="B1613" s="10"/>
      <c r="C1613" s="10"/>
      <c r="D1613" s="10"/>
      <c r="E1613" s="10"/>
      <c r="F1613" s="10"/>
      <c r="G1613" s="10"/>
      <c r="H1613" s="770"/>
      <c r="I1613" s="10"/>
      <c r="J1613" s="10"/>
      <c r="K1613" s="10"/>
      <c r="L1613" s="10"/>
      <c r="M1613" s="770"/>
      <c r="N1613" s="10"/>
      <c r="O1613" s="10"/>
      <c r="P1613" s="10"/>
      <c r="Q1613" s="10"/>
      <c r="R1613" s="10"/>
      <c r="S1613" s="10"/>
    </row>
    <row r="1614" spans="1:19" x14ac:dyDescent="0.25">
      <c r="A1614" s="10"/>
      <c r="B1614" s="10"/>
      <c r="C1614" s="10"/>
      <c r="D1614" s="10"/>
      <c r="E1614" s="10"/>
      <c r="F1614" s="10"/>
      <c r="G1614" s="10"/>
      <c r="H1614" s="770"/>
      <c r="I1614" s="10"/>
      <c r="J1614" s="10"/>
      <c r="K1614" s="10"/>
      <c r="L1614" s="10"/>
      <c r="M1614" s="770"/>
      <c r="N1614" s="10"/>
      <c r="O1614" s="10"/>
      <c r="P1614" s="10"/>
      <c r="Q1614" s="10"/>
      <c r="R1614" s="10"/>
      <c r="S1614" s="10"/>
    </row>
    <row r="1615" spans="1:19" x14ac:dyDescent="0.25">
      <c r="A1615" s="10"/>
      <c r="B1615" s="10"/>
      <c r="C1615" s="10"/>
      <c r="D1615" s="10"/>
      <c r="E1615" s="10"/>
      <c r="F1615" s="10"/>
      <c r="G1615" s="10"/>
      <c r="H1615" s="770"/>
      <c r="I1615" s="10"/>
      <c r="J1615" s="10"/>
      <c r="K1615" s="10"/>
      <c r="L1615" s="10"/>
      <c r="M1615" s="770"/>
      <c r="N1615" s="10"/>
      <c r="O1615" s="10"/>
      <c r="P1615" s="10"/>
      <c r="Q1615" s="10"/>
      <c r="R1615" s="10"/>
      <c r="S1615" s="10"/>
    </row>
    <row r="1616" spans="1:19" x14ac:dyDescent="0.25">
      <c r="A1616" s="10"/>
      <c r="B1616" s="10"/>
      <c r="C1616" s="10"/>
      <c r="D1616" s="10"/>
      <c r="E1616" s="10"/>
      <c r="F1616" s="10"/>
      <c r="G1616" s="10"/>
      <c r="H1616" s="770"/>
      <c r="I1616" s="10"/>
      <c r="J1616" s="10"/>
      <c r="K1616" s="10"/>
      <c r="L1616" s="10"/>
      <c r="M1616" s="770"/>
      <c r="N1616" s="10"/>
      <c r="O1616" s="10"/>
      <c r="P1616" s="10"/>
      <c r="Q1616" s="10"/>
      <c r="R1616" s="10"/>
      <c r="S1616" s="10"/>
    </row>
    <row r="1617" spans="1:19" x14ac:dyDescent="0.25">
      <c r="A1617" s="10"/>
      <c r="B1617" s="10"/>
      <c r="C1617" s="10"/>
      <c r="D1617" s="10"/>
      <c r="E1617" s="10"/>
      <c r="F1617" s="10"/>
      <c r="G1617" s="10"/>
      <c r="H1617" s="770"/>
      <c r="I1617" s="10"/>
      <c r="J1617" s="10"/>
      <c r="K1617" s="10"/>
      <c r="L1617" s="10"/>
      <c r="M1617" s="770"/>
      <c r="N1617" s="10"/>
      <c r="O1617" s="10"/>
      <c r="P1617" s="10"/>
      <c r="Q1617" s="10"/>
      <c r="R1617" s="10"/>
      <c r="S1617" s="10"/>
    </row>
    <row r="1618" spans="1:19" x14ac:dyDescent="0.25">
      <c r="A1618" s="10"/>
      <c r="B1618" s="10"/>
      <c r="C1618" s="10"/>
      <c r="D1618" s="10"/>
      <c r="E1618" s="10"/>
      <c r="F1618" s="10"/>
      <c r="G1618" s="10"/>
      <c r="H1618" s="770"/>
      <c r="I1618" s="10"/>
      <c r="J1618" s="10"/>
      <c r="K1618" s="10"/>
      <c r="L1618" s="10"/>
      <c r="M1618" s="770"/>
      <c r="N1618" s="10"/>
      <c r="O1618" s="10"/>
      <c r="P1618" s="10"/>
      <c r="Q1618" s="10"/>
      <c r="R1618" s="10"/>
      <c r="S1618" s="10"/>
    </row>
    <row r="1619" spans="1:19" x14ac:dyDescent="0.25">
      <c r="A1619" s="10"/>
      <c r="B1619" s="10"/>
      <c r="C1619" s="10"/>
      <c r="D1619" s="10"/>
      <c r="E1619" s="10"/>
      <c r="F1619" s="10"/>
      <c r="G1619" s="10"/>
      <c r="H1619" s="770"/>
      <c r="I1619" s="10"/>
      <c r="J1619" s="10"/>
      <c r="K1619" s="10"/>
      <c r="L1619" s="10"/>
      <c r="M1619" s="770"/>
      <c r="N1619" s="10"/>
      <c r="O1619" s="10"/>
      <c r="P1619" s="10"/>
      <c r="Q1619" s="10"/>
      <c r="R1619" s="10"/>
      <c r="S1619" s="10"/>
    </row>
    <row r="1620" spans="1:19" x14ac:dyDescent="0.25">
      <c r="A1620" s="10"/>
      <c r="B1620" s="10"/>
      <c r="C1620" s="10"/>
      <c r="D1620" s="10"/>
      <c r="E1620" s="10"/>
      <c r="F1620" s="10"/>
      <c r="G1620" s="10"/>
      <c r="H1620" s="770"/>
      <c r="I1620" s="10"/>
      <c r="J1620" s="10"/>
      <c r="K1620" s="10"/>
      <c r="L1620" s="10"/>
      <c r="M1620" s="770"/>
      <c r="N1620" s="10"/>
      <c r="O1620" s="10"/>
      <c r="P1620" s="10"/>
      <c r="Q1620" s="10"/>
      <c r="R1620" s="10"/>
      <c r="S1620" s="10"/>
    </row>
    <row r="1621" spans="1:19" x14ac:dyDescent="0.25">
      <c r="A1621" s="10"/>
      <c r="B1621" s="10"/>
      <c r="C1621" s="10"/>
      <c r="D1621" s="10"/>
      <c r="E1621" s="10"/>
      <c r="F1621" s="10"/>
      <c r="G1621" s="10"/>
      <c r="H1621" s="770"/>
      <c r="I1621" s="10"/>
      <c r="J1621" s="10"/>
      <c r="K1621" s="10"/>
      <c r="L1621" s="10"/>
      <c r="M1621" s="770"/>
      <c r="N1621" s="10"/>
      <c r="O1621" s="10"/>
      <c r="P1621" s="10"/>
      <c r="Q1621" s="10"/>
      <c r="R1621" s="10"/>
      <c r="S1621" s="10"/>
    </row>
    <row r="1622" spans="1:19" x14ac:dyDescent="0.25">
      <c r="A1622" s="10"/>
      <c r="B1622" s="10"/>
      <c r="C1622" s="10"/>
      <c r="D1622" s="10"/>
      <c r="E1622" s="10"/>
      <c r="F1622" s="10"/>
      <c r="G1622" s="10"/>
      <c r="H1622" s="770"/>
      <c r="I1622" s="10"/>
      <c r="J1622" s="10"/>
      <c r="K1622" s="10"/>
      <c r="L1622" s="10"/>
      <c r="M1622" s="770"/>
      <c r="N1622" s="10"/>
      <c r="O1622" s="10"/>
      <c r="P1622" s="10"/>
      <c r="Q1622" s="10"/>
      <c r="R1622" s="10"/>
      <c r="S1622" s="10"/>
    </row>
    <row r="1623" spans="1:19" x14ac:dyDescent="0.25">
      <c r="A1623" s="10"/>
      <c r="B1623" s="10"/>
      <c r="C1623" s="10"/>
      <c r="D1623" s="10"/>
      <c r="E1623" s="10"/>
      <c r="F1623" s="10"/>
      <c r="G1623" s="10"/>
      <c r="H1623" s="770"/>
      <c r="I1623" s="10"/>
      <c r="J1623" s="10"/>
      <c r="K1623" s="10"/>
      <c r="L1623" s="10"/>
      <c r="M1623" s="770"/>
      <c r="N1623" s="10"/>
      <c r="O1623" s="10"/>
      <c r="P1623" s="10"/>
      <c r="Q1623" s="10"/>
      <c r="R1623" s="10"/>
      <c r="S1623" s="10"/>
    </row>
    <row r="1624" spans="1:19" x14ac:dyDescent="0.25">
      <c r="A1624" s="10"/>
      <c r="B1624" s="10"/>
      <c r="C1624" s="10"/>
      <c r="D1624" s="10"/>
      <c r="E1624" s="10"/>
      <c r="F1624" s="10"/>
      <c r="G1624" s="10"/>
      <c r="H1624" s="770"/>
      <c r="I1624" s="10"/>
      <c r="J1624" s="10"/>
      <c r="K1624" s="10"/>
      <c r="L1624" s="10"/>
      <c r="M1624" s="770"/>
      <c r="N1624" s="10"/>
      <c r="O1624" s="10"/>
      <c r="P1624" s="10"/>
      <c r="Q1624" s="10"/>
      <c r="R1624" s="10"/>
      <c r="S1624" s="10"/>
    </row>
    <row r="1625" spans="1:19" x14ac:dyDescent="0.25">
      <c r="A1625" s="10"/>
      <c r="B1625" s="10"/>
      <c r="C1625" s="10"/>
      <c r="D1625" s="10"/>
      <c r="E1625" s="10"/>
      <c r="F1625" s="10"/>
      <c r="G1625" s="10"/>
      <c r="H1625" s="770"/>
      <c r="I1625" s="10"/>
      <c r="J1625" s="10"/>
      <c r="K1625" s="10"/>
      <c r="L1625" s="10"/>
      <c r="M1625" s="770"/>
      <c r="N1625" s="10"/>
      <c r="O1625" s="10"/>
      <c r="P1625" s="10"/>
      <c r="Q1625" s="10"/>
      <c r="R1625" s="10"/>
      <c r="S1625" s="10"/>
    </row>
    <row r="1626" spans="1:19" x14ac:dyDescent="0.25">
      <c r="A1626" s="10"/>
      <c r="B1626" s="10"/>
      <c r="C1626" s="10"/>
      <c r="D1626" s="10"/>
      <c r="E1626" s="10"/>
      <c r="F1626" s="10"/>
      <c r="G1626" s="10"/>
      <c r="H1626" s="770"/>
      <c r="I1626" s="10"/>
      <c r="J1626" s="10"/>
      <c r="K1626" s="10"/>
      <c r="L1626" s="10"/>
      <c r="M1626" s="770"/>
      <c r="N1626" s="10"/>
      <c r="O1626" s="10"/>
      <c r="P1626" s="10"/>
      <c r="Q1626" s="10"/>
      <c r="R1626" s="10"/>
      <c r="S1626" s="10"/>
    </row>
    <row r="1627" spans="1:19" x14ac:dyDescent="0.25">
      <c r="A1627" s="10"/>
      <c r="B1627" s="10"/>
      <c r="C1627" s="10"/>
      <c r="D1627" s="10"/>
      <c r="E1627" s="10"/>
      <c r="F1627" s="10"/>
      <c r="G1627" s="10"/>
      <c r="H1627" s="770"/>
      <c r="I1627" s="10"/>
      <c r="J1627" s="10"/>
      <c r="K1627" s="10"/>
      <c r="L1627" s="10"/>
      <c r="M1627" s="770"/>
      <c r="N1627" s="10"/>
      <c r="O1627" s="10"/>
      <c r="P1627" s="10"/>
      <c r="Q1627" s="10"/>
      <c r="R1627" s="10"/>
      <c r="S1627" s="10"/>
    </row>
    <row r="1628" spans="1:19" x14ac:dyDescent="0.25">
      <c r="A1628" s="10"/>
      <c r="B1628" s="10"/>
      <c r="C1628" s="10"/>
      <c r="D1628" s="10"/>
      <c r="E1628" s="10"/>
      <c r="F1628" s="10"/>
      <c r="G1628" s="10"/>
      <c r="H1628" s="770"/>
      <c r="I1628" s="10"/>
      <c r="J1628" s="10"/>
      <c r="K1628" s="10"/>
      <c r="L1628" s="10"/>
      <c r="M1628" s="770"/>
      <c r="N1628" s="10"/>
      <c r="O1628" s="10"/>
      <c r="P1628" s="10"/>
      <c r="Q1628" s="10"/>
      <c r="R1628" s="10"/>
      <c r="S1628" s="10"/>
    </row>
    <row r="1629" spans="1:19" x14ac:dyDescent="0.25">
      <c r="A1629" s="10"/>
      <c r="B1629" s="10"/>
      <c r="C1629" s="10"/>
      <c r="D1629" s="10"/>
      <c r="E1629" s="10"/>
      <c r="F1629" s="10"/>
      <c r="G1629" s="10"/>
      <c r="H1629" s="770"/>
      <c r="I1629" s="10"/>
      <c r="J1629" s="10"/>
      <c r="K1629" s="10"/>
      <c r="L1629" s="10"/>
      <c r="M1629" s="770"/>
      <c r="N1629" s="10"/>
      <c r="O1629" s="10"/>
      <c r="P1629" s="10"/>
      <c r="Q1629" s="10"/>
      <c r="R1629" s="10"/>
      <c r="S1629" s="10"/>
    </row>
    <row r="1630" spans="1:19" x14ac:dyDescent="0.25">
      <c r="A1630" s="10"/>
      <c r="B1630" s="10"/>
      <c r="C1630" s="10"/>
      <c r="D1630" s="10"/>
      <c r="E1630" s="10"/>
      <c r="F1630" s="10"/>
      <c r="G1630" s="10"/>
      <c r="H1630" s="770"/>
      <c r="I1630" s="10"/>
      <c r="J1630" s="10"/>
      <c r="K1630" s="10"/>
      <c r="L1630" s="10"/>
      <c r="M1630" s="770"/>
      <c r="N1630" s="10"/>
      <c r="O1630" s="10"/>
      <c r="P1630" s="10"/>
      <c r="Q1630" s="10"/>
      <c r="R1630" s="10"/>
      <c r="S1630" s="10"/>
    </row>
    <row r="1631" spans="1:19" x14ac:dyDescent="0.25">
      <c r="A1631" s="10"/>
      <c r="B1631" s="10"/>
      <c r="C1631" s="10"/>
      <c r="D1631" s="10"/>
      <c r="E1631" s="10"/>
      <c r="F1631" s="10"/>
      <c r="G1631" s="10"/>
      <c r="H1631" s="770"/>
      <c r="I1631" s="10"/>
      <c r="J1631" s="10"/>
      <c r="K1631" s="10"/>
      <c r="L1631" s="10"/>
      <c r="M1631" s="770"/>
      <c r="N1631" s="10"/>
      <c r="O1631" s="10"/>
      <c r="P1631" s="10"/>
      <c r="Q1631" s="10"/>
      <c r="R1631" s="10"/>
      <c r="S1631" s="10"/>
    </row>
    <row r="1632" spans="1:19" x14ac:dyDescent="0.25">
      <c r="A1632" s="10"/>
      <c r="B1632" s="10"/>
      <c r="C1632" s="10"/>
      <c r="D1632" s="10"/>
      <c r="E1632" s="10"/>
      <c r="F1632" s="10"/>
      <c r="G1632" s="10"/>
      <c r="H1632" s="770"/>
      <c r="I1632" s="10"/>
      <c r="J1632" s="10"/>
      <c r="K1632" s="10"/>
      <c r="L1632" s="10"/>
      <c r="M1632" s="770"/>
      <c r="N1632" s="10"/>
      <c r="O1632" s="10"/>
      <c r="P1632" s="10"/>
      <c r="Q1632" s="10"/>
      <c r="R1632" s="10"/>
      <c r="S1632" s="10"/>
    </row>
    <row r="1633" spans="1:19" x14ac:dyDescent="0.25">
      <c r="A1633" s="10"/>
      <c r="B1633" s="10"/>
      <c r="C1633" s="10"/>
      <c r="D1633" s="10"/>
      <c r="E1633" s="10"/>
      <c r="F1633" s="10"/>
      <c r="G1633" s="10"/>
      <c r="H1633" s="770"/>
      <c r="I1633" s="10"/>
      <c r="J1633" s="10"/>
      <c r="K1633" s="10"/>
      <c r="L1633" s="10"/>
      <c r="M1633" s="770"/>
      <c r="N1633" s="10"/>
      <c r="O1633" s="10"/>
      <c r="P1633" s="10"/>
      <c r="Q1633" s="10"/>
      <c r="R1633" s="10"/>
      <c r="S1633" s="10"/>
    </row>
    <row r="1634" spans="1:19" x14ac:dyDescent="0.25">
      <c r="A1634" s="10"/>
      <c r="B1634" s="10"/>
      <c r="C1634" s="10"/>
      <c r="D1634" s="10"/>
      <c r="E1634" s="10"/>
      <c r="F1634" s="10"/>
      <c r="G1634" s="10"/>
      <c r="H1634" s="770"/>
      <c r="I1634" s="10"/>
      <c r="J1634" s="10"/>
      <c r="K1634" s="10"/>
      <c r="L1634" s="10"/>
      <c r="M1634" s="770"/>
      <c r="N1634" s="10"/>
      <c r="O1634" s="10"/>
      <c r="P1634" s="10"/>
      <c r="Q1634" s="10"/>
      <c r="R1634" s="10"/>
      <c r="S1634" s="10"/>
    </row>
    <row r="1635" spans="1:19" x14ac:dyDescent="0.25">
      <c r="A1635" s="10"/>
      <c r="B1635" s="10"/>
      <c r="C1635" s="10"/>
      <c r="D1635" s="10"/>
      <c r="E1635" s="10"/>
      <c r="F1635" s="10"/>
      <c r="G1635" s="10"/>
      <c r="H1635" s="770"/>
      <c r="I1635" s="10"/>
      <c r="J1635" s="10"/>
      <c r="K1635" s="10"/>
      <c r="L1635" s="10"/>
      <c r="M1635" s="770"/>
      <c r="N1635" s="10"/>
      <c r="O1635" s="10"/>
      <c r="P1635" s="10"/>
      <c r="Q1635" s="10"/>
      <c r="R1635" s="10"/>
      <c r="S1635" s="10"/>
    </row>
    <row r="1636" spans="1:19" x14ac:dyDescent="0.25">
      <c r="A1636" s="10"/>
      <c r="B1636" s="10"/>
      <c r="C1636" s="10"/>
      <c r="D1636" s="10"/>
      <c r="E1636" s="10"/>
      <c r="F1636" s="10"/>
      <c r="G1636" s="10"/>
      <c r="H1636" s="770"/>
      <c r="I1636" s="10"/>
      <c r="J1636" s="10"/>
      <c r="K1636" s="10"/>
      <c r="L1636" s="10"/>
      <c r="M1636" s="770"/>
      <c r="N1636" s="10"/>
      <c r="O1636" s="10"/>
      <c r="P1636" s="10"/>
      <c r="Q1636" s="10"/>
      <c r="R1636" s="10"/>
      <c r="S1636" s="10"/>
    </row>
    <row r="1637" spans="1:19" x14ac:dyDescent="0.25">
      <c r="A1637" s="10"/>
      <c r="B1637" s="10"/>
      <c r="C1637" s="10"/>
      <c r="D1637" s="10"/>
      <c r="E1637" s="10"/>
      <c r="F1637" s="10"/>
      <c r="G1637" s="10"/>
      <c r="H1637" s="770"/>
      <c r="I1637" s="10"/>
      <c r="J1637" s="10"/>
      <c r="K1637" s="10"/>
      <c r="L1637" s="10"/>
      <c r="M1637" s="770"/>
      <c r="N1637" s="10"/>
      <c r="O1637" s="10"/>
      <c r="P1637" s="10"/>
      <c r="Q1637" s="10"/>
      <c r="R1637" s="10"/>
      <c r="S1637" s="10"/>
    </row>
    <row r="1638" spans="1:19" x14ac:dyDescent="0.25">
      <c r="A1638" s="10"/>
      <c r="B1638" s="10"/>
      <c r="C1638" s="10"/>
      <c r="D1638" s="10"/>
      <c r="E1638" s="10"/>
      <c r="F1638" s="10"/>
      <c r="G1638" s="10"/>
      <c r="H1638" s="770"/>
      <c r="I1638" s="10"/>
      <c r="J1638" s="10"/>
      <c r="K1638" s="10"/>
      <c r="L1638" s="10"/>
      <c r="M1638" s="770"/>
      <c r="N1638" s="10"/>
      <c r="O1638" s="10"/>
      <c r="P1638" s="10"/>
      <c r="Q1638" s="10"/>
      <c r="R1638" s="10"/>
      <c r="S1638" s="10"/>
    </row>
    <row r="1639" spans="1:19" x14ac:dyDescent="0.25">
      <c r="A1639" s="10"/>
      <c r="B1639" s="10"/>
      <c r="C1639" s="10"/>
      <c r="D1639" s="10"/>
      <c r="E1639" s="10"/>
      <c r="F1639" s="10"/>
      <c r="G1639" s="10"/>
      <c r="H1639" s="770"/>
      <c r="I1639" s="10"/>
      <c r="J1639" s="10"/>
      <c r="K1639" s="10"/>
      <c r="L1639" s="10"/>
      <c r="M1639" s="770"/>
      <c r="N1639" s="10"/>
      <c r="O1639" s="10"/>
      <c r="P1639" s="10"/>
      <c r="Q1639" s="10"/>
      <c r="R1639" s="10"/>
      <c r="S1639" s="10"/>
    </row>
    <row r="1640" spans="1:19" x14ac:dyDescent="0.25">
      <c r="A1640" s="10"/>
      <c r="B1640" s="10"/>
      <c r="C1640" s="10"/>
      <c r="D1640" s="10"/>
      <c r="E1640" s="10"/>
      <c r="F1640" s="10"/>
      <c r="G1640" s="10"/>
      <c r="H1640" s="770"/>
      <c r="I1640" s="10"/>
      <c r="J1640" s="10"/>
      <c r="K1640" s="10"/>
      <c r="L1640" s="10"/>
      <c r="M1640" s="770"/>
      <c r="N1640" s="10"/>
      <c r="O1640" s="10"/>
      <c r="P1640" s="10"/>
      <c r="Q1640" s="10"/>
      <c r="R1640" s="10"/>
      <c r="S1640" s="10"/>
    </row>
    <row r="1641" spans="1:19" x14ac:dyDescent="0.25">
      <c r="A1641" s="10"/>
      <c r="B1641" s="10"/>
      <c r="C1641" s="10"/>
      <c r="D1641" s="10"/>
      <c r="E1641" s="10"/>
      <c r="F1641" s="10"/>
      <c r="G1641" s="10"/>
      <c r="H1641" s="770"/>
      <c r="I1641" s="10"/>
      <c r="J1641" s="10"/>
      <c r="K1641" s="10"/>
      <c r="L1641" s="10"/>
      <c r="M1641" s="770"/>
      <c r="N1641" s="10"/>
      <c r="O1641" s="10"/>
      <c r="P1641" s="10"/>
      <c r="Q1641" s="10"/>
      <c r="R1641" s="10"/>
      <c r="S1641" s="10"/>
    </row>
    <row r="1642" spans="1:19" x14ac:dyDescent="0.25">
      <c r="A1642" s="10"/>
      <c r="B1642" s="10"/>
      <c r="C1642" s="10"/>
      <c r="D1642" s="10"/>
      <c r="E1642" s="10"/>
      <c r="F1642" s="10"/>
      <c r="G1642" s="10"/>
      <c r="H1642" s="770"/>
      <c r="I1642" s="10"/>
      <c r="J1642" s="10"/>
      <c r="K1642" s="10"/>
      <c r="L1642" s="10"/>
      <c r="M1642" s="770"/>
      <c r="N1642" s="10"/>
      <c r="O1642" s="10"/>
      <c r="P1642" s="10"/>
      <c r="Q1642" s="10"/>
      <c r="R1642" s="10"/>
      <c r="S1642" s="10"/>
    </row>
    <row r="1643" spans="1:19" x14ac:dyDescent="0.25">
      <c r="A1643" s="10"/>
      <c r="B1643" s="10"/>
      <c r="C1643" s="10"/>
      <c r="D1643" s="10"/>
      <c r="E1643" s="10"/>
      <c r="F1643" s="10"/>
      <c r="G1643" s="10"/>
      <c r="H1643" s="770"/>
      <c r="I1643" s="10"/>
      <c r="J1643" s="10"/>
      <c r="K1643" s="10"/>
      <c r="L1643" s="10"/>
      <c r="M1643" s="770"/>
      <c r="N1643" s="10"/>
      <c r="O1643" s="10"/>
      <c r="P1643" s="10"/>
      <c r="Q1643" s="10"/>
      <c r="R1643" s="10"/>
      <c r="S1643" s="10"/>
    </row>
    <row r="1644" spans="1:19" x14ac:dyDescent="0.25">
      <c r="A1644" s="10"/>
      <c r="B1644" s="10"/>
      <c r="C1644" s="10"/>
      <c r="D1644" s="10"/>
      <c r="E1644" s="10"/>
      <c r="F1644" s="10"/>
      <c r="G1644" s="10"/>
      <c r="H1644" s="770"/>
      <c r="I1644" s="10"/>
      <c r="J1644" s="10"/>
      <c r="K1644" s="10"/>
      <c r="L1644" s="10"/>
      <c r="M1644" s="770"/>
      <c r="N1644" s="10"/>
      <c r="O1644" s="10"/>
      <c r="P1644" s="10"/>
      <c r="Q1644" s="10"/>
      <c r="R1644" s="10"/>
      <c r="S1644" s="10"/>
    </row>
    <row r="1645" spans="1:19" x14ac:dyDescent="0.25">
      <c r="A1645" s="10"/>
      <c r="B1645" s="10"/>
      <c r="C1645" s="10"/>
      <c r="D1645" s="10"/>
      <c r="E1645" s="10"/>
      <c r="F1645" s="10"/>
      <c r="G1645" s="10"/>
      <c r="H1645" s="770"/>
      <c r="I1645" s="10"/>
      <c r="J1645" s="10"/>
      <c r="K1645" s="10"/>
      <c r="L1645" s="10"/>
      <c r="M1645" s="770"/>
      <c r="N1645" s="10"/>
      <c r="O1645" s="10"/>
      <c r="P1645" s="10"/>
      <c r="Q1645" s="10"/>
      <c r="R1645" s="10"/>
      <c r="S1645" s="10"/>
    </row>
    <row r="1646" spans="1:19" x14ac:dyDescent="0.25">
      <c r="A1646" s="10"/>
      <c r="B1646" s="10"/>
      <c r="C1646" s="10"/>
      <c r="D1646" s="10"/>
      <c r="E1646" s="10"/>
      <c r="F1646" s="10"/>
      <c r="G1646" s="10"/>
      <c r="H1646" s="770"/>
      <c r="I1646" s="10"/>
      <c r="J1646" s="10"/>
      <c r="K1646" s="10"/>
      <c r="L1646" s="10"/>
      <c r="M1646" s="770"/>
      <c r="N1646" s="10"/>
      <c r="O1646" s="10"/>
      <c r="P1646" s="10"/>
      <c r="Q1646" s="10"/>
      <c r="R1646" s="10"/>
      <c r="S1646" s="10"/>
    </row>
    <row r="1647" spans="1:19" x14ac:dyDescent="0.25">
      <c r="A1647" s="10"/>
      <c r="B1647" s="10"/>
      <c r="C1647" s="10"/>
      <c r="D1647" s="10"/>
      <c r="E1647" s="10"/>
      <c r="F1647" s="10"/>
      <c r="G1647" s="10"/>
      <c r="H1647" s="770"/>
      <c r="I1647" s="10"/>
      <c r="J1647" s="10"/>
      <c r="K1647" s="10"/>
      <c r="L1647" s="10"/>
      <c r="M1647" s="770"/>
      <c r="N1647" s="10"/>
      <c r="O1647" s="10"/>
      <c r="P1647" s="10"/>
      <c r="Q1647" s="10"/>
      <c r="R1647" s="10"/>
      <c r="S1647" s="10"/>
    </row>
    <row r="1648" spans="1:19" x14ac:dyDescent="0.25">
      <c r="A1648" s="10"/>
      <c r="B1648" s="10"/>
      <c r="C1648" s="10"/>
      <c r="D1648" s="10"/>
      <c r="E1648" s="10"/>
      <c r="F1648" s="10"/>
      <c r="G1648" s="10"/>
      <c r="H1648" s="770"/>
      <c r="I1648" s="10"/>
      <c r="J1648" s="10"/>
      <c r="K1648" s="10"/>
      <c r="L1648" s="10"/>
      <c r="M1648" s="770"/>
      <c r="N1648" s="10"/>
      <c r="O1648" s="10"/>
      <c r="P1648" s="10"/>
      <c r="Q1648" s="10"/>
      <c r="R1648" s="10"/>
      <c r="S1648" s="10"/>
    </row>
    <row r="1649" spans="1:19" x14ac:dyDescent="0.25">
      <c r="A1649" s="10"/>
      <c r="B1649" s="10"/>
      <c r="C1649" s="10"/>
      <c r="D1649" s="10"/>
      <c r="E1649" s="10"/>
      <c r="F1649" s="10"/>
      <c r="G1649" s="10"/>
      <c r="H1649" s="770"/>
      <c r="I1649" s="10"/>
      <c r="J1649" s="10"/>
      <c r="K1649" s="10"/>
      <c r="L1649" s="10"/>
      <c r="M1649" s="770"/>
      <c r="N1649" s="10"/>
      <c r="O1649" s="10"/>
      <c r="P1649" s="10"/>
      <c r="Q1649" s="10"/>
      <c r="R1649" s="10"/>
      <c r="S1649" s="10"/>
    </row>
    <row r="1650" spans="1:19" x14ac:dyDescent="0.25">
      <c r="A1650" s="10"/>
      <c r="B1650" s="10"/>
      <c r="C1650" s="10"/>
      <c r="D1650" s="10"/>
      <c r="E1650" s="10"/>
      <c r="F1650" s="10"/>
      <c r="G1650" s="10"/>
      <c r="H1650" s="770"/>
      <c r="I1650" s="10"/>
      <c r="J1650" s="10"/>
      <c r="K1650" s="10"/>
      <c r="L1650" s="10"/>
      <c r="M1650" s="770"/>
      <c r="N1650" s="10"/>
      <c r="O1650" s="10"/>
      <c r="P1650" s="10"/>
      <c r="Q1650" s="10"/>
      <c r="R1650" s="10"/>
      <c r="S1650" s="10"/>
    </row>
    <row r="1651" spans="1:19" x14ac:dyDescent="0.25">
      <c r="A1651" s="10"/>
      <c r="B1651" s="10"/>
      <c r="C1651" s="10"/>
      <c r="D1651" s="10"/>
      <c r="E1651" s="10"/>
      <c r="F1651" s="10"/>
      <c r="G1651" s="10"/>
      <c r="H1651" s="770"/>
      <c r="I1651" s="10"/>
      <c r="J1651" s="10"/>
      <c r="K1651" s="10"/>
      <c r="L1651" s="10"/>
      <c r="M1651" s="770"/>
      <c r="N1651" s="10"/>
      <c r="O1651" s="10"/>
      <c r="P1651" s="10"/>
      <c r="Q1651" s="10"/>
      <c r="R1651" s="10"/>
      <c r="S1651" s="10"/>
    </row>
    <row r="1652" spans="1:19" x14ac:dyDescent="0.25">
      <c r="A1652" s="10"/>
      <c r="B1652" s="10"/>
      <c r="C1652" s="10"/>
      <c r="D1652" s="10"/>
      <c r="E1652" s="10"/>
      <c r="F1652" s="10"/>
      <c r="G1652" s="10"/>
      <c r="H1652" s="770"/>
      <c r="I1652" s="10"/>
      <c r="J1652" s="10"/>
      <c r="K1652" s="10"/>
      <c r="L1652" s="10"/>
      <c r="M1652" s="770"/>
      <c r="N1652" s="10"/>
      <c r="O1652" s="10"/>
      <c r="P1652" s="10"/>
      <c r="Q1652" s="10"/>
      <c r="R1652" s="10"/>
      <c r="S1652" s="10"/>
    </row>
    <row r="1653" spans="1:19" x14ac:dyDescent="0.25">
      <c r="A1653" s="10"/>
      <c r="B1653" s="10"/>
      <c r="C1653" s="10"/>
      <c r="D1653" s="10"/>
      <c r="E1653" s="10"/>
      <c r="F1653" s="10"/>
      <c r="G1653" s="10"/>
      <c r="H1653" s="770"/>
      <c r="I1653" s="10"/>
      <c r="J1653" s="10"/>
      <c r="K1653" s="10"/>
      <c r="L1653" s="10"/>
      <c r="M1653" s="770"/>
      <c r="N1653" s="10"/>
      <c r="O1653" s="10"/>
      <c r="P1653" s="10"/>
      <c r="Q1653" s="10"/>
      <c r="R1653" s="10"/>
      <c r="S1653" s="10"/>
    </row>
    <row r="1654" spans="1:19" x14ac:dyDescent="0.25">
      <c r="A1654" s="10"/>
      <c r="B1654" s="10"/>
      <c r="C1654" s="10"/>
      <c r="D1654" s="10"/>
      <c r="E1654" s="10"/>
      <c r="F1654" s="10"/>
      <c r="G1654" s="10"/>
      <c r="H1654" s="770"/>
      <c r="I1654" s="10"/>
      <c r="J1654" s="10"/>
      <c r="K1654" s="10"/>
      <c r="L1654" s="10"/>
      <c r="M1654" s="770"/>
      <c r="N1654" s="10"/>
      <c r="O1654" s="10"/>
      <c r="P1654" s="10"/>
      <c r="Q1654" s="10"/>
      <c r="R1654" s="10"/>
      <c r="S1654" s="10"/>
    </row>
    <row r="1655" spans="1:19" x14ac:dyDescent="0.25">
      <c r="A1655" s="10"/>
      <c r="B1655" s="10"/>
      <c r="C1655" s="10"/>
      <c r="D1655" s="10"/>
      <c r="E1655" s="10"/>
      <c r="F1655" s="10"/>
      <c r="G1655" s="10"/>
      <c r="H1655" s="770"/>
      <c r="I1655" s="10"/>
      <c r="J1655" s="10"/>
      <c r="K1655" s="10"/>
      <c r="L1655" s="10"/>
      <c r="M1655" s="770"/>
      <c r="N1655" s="10"/>
      <c r="O1655" s="10"/>
      <c r="P1655" s="10"/>
      <c r="Q1655" s="10"/>
      <c r="R1655" s="10"/>
      <c r="S1655" s="10"/>
    </row>
    <row r="1656" spans="1:19" x14ac:dyDescent="0.25">
      <c r="A1656" s="10"/>
      <c r="B1656" s="10"/>
      <c r="C1656" s="10"/>
      <c r="D1656" s="10"/>
      <c r="E1656" s="10"/>
      <c r="F1656" s="10"/>
      <c r="G1656" s="10"/>
      <c r="H1656" s="770"/>
      <c r="I1656" s="10"/>
      <c r="J1656" s="10"/>
      <c r="K1656" s="10"/>
      <c r="L1656" s="10"/>
      <c r="M1656" s="770"/>
      <c r="N1656" s="10"/>
      <c r="O1656" s="10"/>
      <c r="P1656" s="10"/>
      <c r="Q1656" s="10"/>
      <c r="R1656" s="10"/>
      <c r="S1656" s="10"/>
    </row>
    <row r="1657" spans="1:19" x14ac:dyDescent="0.25">
      <c r="A1657" s="10"/>
      <c r="B1657" s="10"/>
      <c r="C1657" s="10"/>
      <c r="D1657" s="10"/>
      <c r="E1657" s="10"/>
      <c r="F1657" s="10"/>
      <c r="G1657" s="10"/>
      <c r="H1657" s="770"/>
      <c r="I1657" s="10"/>
      <c r="J1657" s="10"/>
      <c r="K1657" s="10"/>
      <c r="L1657" s="10"/>
      <c r="M1657" s="770"/>
      <c r="N1657" s="10"/>
      <c r="O1657" s="10"/>
      <c r="P1657" s="10"/>
      <c r="Q1657" s="10"/>
      <c r="R1657" s="10"/>
      <c r="S1657" s="10"/>
    </row>
    <row r="1658" spans="1:19" x14ac:dyDescent="0.25">
      <c r="A1658" s="10"/>
      <c r="B1658" s="10"/>
      <c r="C1658" s="10"/>
      <c r="D1658" s="10"/>
      <c r="E1658" s="10"/>
      <c r="F1658" s="10"/>
      <c r="G1658" s="10"/>
      <c r="H1658" s="770"/>
      <c r="I1658" s="10"/>
      <c r="J1658" s="10"/>
      <c r="K1658" s="10"/>
      <c r="L1658" s="10"/>
      <c r="M1658" s="770"/>
      <c r="N1658" s="10"/>
      <c r="O1658" s="10"/>
      <c r="P1658" s="10"/>
      <c r="Q1658" s="10"/>
      <c r="R1658" s="10"/>
      <c r="S1658" s="10"/>
    </row>
    <row r="1659" spans="1:19" x14ac:dyDescent="0.25">
      <c r="A1659" s="10"/>
      <c r="B1659" s="10"/>
      <c r="C1659" s="10"/>
      <c r="D1659" s="10"/>
      <c r="E1659" s="10"/>
      <c r="F1659" s="10"/>
      <c r="G1659" s="10"/>
      <c r="H1659" s="770"/>
      <c r="I1659" s="10"/>
      <c r="J1659" s="10"/>
      <c r="K1659" s="10"/>
      <c r="L1659" s="10"/>
      <c r="M1659" s="770"/>
      <c r="N1659" s="10"/>
      <c r="O1659" s="10"/>
      <c r="P1659" s="10"/>
      <c r="Q1659" s="10"/>
      <c r="R1659" s="10"/>
      <c r="S1659" s="10"/>
    </row>
    <row r="1660" spans="1:19" x14ac:dyDescent="0.25">
      <c r="A1660" s="10"/>
      <c r="B1660" s="10"/>
      <c r="C1660" s="10"/>
      <c r="D1660" s="10"/>
      <c r="E1660" s="10"/>
      <c r="F1660" s="10"/>
      <c r="G1660" s="10"/>
      <c r="H1660" s="770"/>
      <c r="I1660" s="10"/>
      <c r="J1660" s="10"/>
      <c r="K1660" s="10"/>
      <c r="L1660" s="10"/>
      <c r="M1660" s="770"/>
      <c r="N1660" s="10"/>
      <c r="O1660" s="10"/>
      <c r="P1660" s="10"/>
      <c r="Q1660" s="10"/>
      <c r="R1660" s="10"/>
      <c r="S1660" s="10"/>
    </row>
    <row r="1661" spans="1:19" x14ac:dyDescent="0.25">
      <c r="A1661" s="10"/>
      <c r="B1661" s="10"/>
      <c r="C1661" s="10"/>
      <c r="D1661" s="10"/>
      <c r="E1661" s="10"/>
      <c r="F1661" s="10"/>
      <c r="G1661" s="10"/>
      <c r="H1661" s="770"/>
      <c r="I1661" s="10"/>
      <c r="J1661" s="10"/>
      <c r="K1661" s="10"/>
      <c r="L1661" s="10"/>
      <c r="M1661" s="770"/>
      <c r="N1661" s="10"/>
      <c r="O1661" s="10"/>
      <c r="P1661" s="10"/>
      <c r="Q1661" s="10"/>
      <c r="R1661" s="10"/>
      <c r="S1661" s="10"/>
    </row>
    <row r="1662" spans="1:19" x14ac:dyDescent="0.25">
      <c r="A1662" s="10"/>
      <c r="B1662" s="10"/>
      <c r="C1662" s="10"/>
      <c r="D1662" s="10"/>
      <c r="E1662" s="10"/>
      <c r="F1662" s="10"/>
      <c r="G1662" s="10"/>
      <c r="H1662" s="770"/>
      <c r="I1662" s="10"/>
      <c r="J1662" s="10"/>
      <c r="K1662" s="10"/>
      <c r="L1662" s="10"/>
      <c r="M1662" s="770"/>
      <c r="N1662" s="10"/>
      <c r="O1662" s="10"/>
      <c r="P1662" s="10"/>
      <c r="Q1662" s="10"/>
      <c r="R1662" s="10"/>
      <c r="S1662" s="10"/>
    </row>
    <row r="1663" spans="1:19" x14ac:dyDescent="0.25">
      <c r="A1663" s="10"/>
      <c r="B1663" s="10"/>
      <c r="C1663" s="10"/>
      <c r="D1663" s="10"/>
      <c r="E1663" s="10"/>
      <c r="F1663" s="10"/>
      <c r="G1663" s="10"/>
      <c r="H1663" s="770"/>
      <c r="I1663" s="10"/>
      <c r="J1663" s="10"/>
      <c r="K1663" s="10"/>
      <c r="L1663" s="10"/>
      <c r="M1663" s="770"/>
      <c r="N1663" s="10"/>
      <c r="O1663" s="10"/>
      <c r="P1663" s="10"/>
      <c r="Q1663" s="10"/>
      <c r="R1663" s="10"/>
      <c r="S1663" s="10"/>
    </row>
    <row r="1664" spans="1:19" x14ac:dyDescent="0.25">
      <c r="A1664" s="10"/>
      <c r="B1664" s="10"/>
      <c r="C1664" s="10"/>
      <c r="D1664" s="10"/>
      <c r="E1664" s="10"/>
      <c r="F1664" s="10"/>
      <c r="G1664" s="10"/>
      <c r="H1664" s="770"/>
      <c r="I1664" s="10"/>
      <c r="J1664" s="10"/>
      <c r="K1664" s="10"/>
      <c r="L1664" s="10"/>
      <c r="M1664" s="770"/>
      <c r="N1664" s="10"/>
      <c r="O1664" s="10"/>
      <c r="P1664" s="10"/>
      <c r="Q1664" s="10"/>
      <c r="R1664" s="10"/>
      <c r="S1664" s="10"/>
    </row>
    <row r="1665" spans="1:19" x14ac:dyDescent="0.25">
      <c r="A1665" s="10"/>
      <c r="B1665" s="10"/>
      <c r="C1665" s="10"/>
      <c r="D1665" s="10"/>
      <c r="E1665" s="10"/>
      <c r="F1665" s="10"/>
      <c r="G1665" s="10"/>
      <c r="H1665" s="770"/>
      <c r="I1665" s="10"/>
      <c r="J1665" s="10"/>
      <c r="K1665" s="10"/>
      <c r="L1665" s="10"/>
      <c r="M1665" s="770"/>
      <c r="N1665" s="10"/>
      <c r="O1665" s="10"/>
      <c r="P1665" s="10"/>
      <c r="Q1665" s="10"/>
      <c r="R1665" s="10"/>
      <c r="S1665" s="10"/>
    </row>
    <row r="1666" spans="1:19" x14ac:dyDescent="0.25">
      <c r="A1666" s="10"/>
      <c r="B1666" s="10"/>
      <c r="C1666" s="10"/>
      <c r="D1666" s="10"/>
      <c r="E1666" s="10"/>
      <c r="F1666" s="10"/>
      <c r="G1666" s="10"/>
      <c r="H1666" s="770"/>
      <c r="I1666" s="10"/>
      <c r="J1666" s="10"/>
      <c r="K1666" s="10"/>
      <c r="L1666" s="10"/>
      <c r="M1666" s="770"/>
      <c r="N1666" s="10"/>
      <c r="O1666" s="10"/>
      <c r="P1666" s="10"/>
      <c r="Q1666" s="10"/>
      <c r="R1666" s="10"/>
      <c r="S1666" s="10"/>
    </row>
    <row r="1667" spans="1:19" x14ac:dyDescent="0.25">
      <c r="A1667" s="10"/>
      <c r="B1667" s="10"/>
      <c r="C1667" s="10"/>
      <c r="D1667" s="10"/>
      <c r="E1667" s="10"/>
      <c r="F1667" s="10"/>
      <c r="G1667" s="10"/>
      <c r="H1667" s="770"/>
      <c r="I1667" s="10"/>
      <c r="J1667" s="10"/>
      <c r="K1667" s="10"/>
      <c r="L1667" s="10"/>
      <c r="M1667" s="770"/>
      <c r="N1667" s="10"/>
      <c r="O1667" s="10"/>
      <c r="P1667" s="10"/>
      <c r="Q1667" s="10"/>
      <c r="R1667" s="10"/>
      <c r="S1667" s="10"/>
    </row>
    <row r="1668" spans="1:19" x14ac:dyDescent="0.25">
      <c r="A1668" s="10"/>
      <c r="B1668" s="10"/>
      <c r="C1668" s="10"/>
      <c r="D1668" s="10"/>
      <c r="E1668" s="10"/>
      <c r="F1668" s="10"/>
      <c r="G1668" s="10"/>
      <c r="H1668" s="770"/>
      <c r="I1668" s="10"/>
      <c r="J1668" s="10"/>
      <c r="K1668" s="10"/>
      <c r="L1668" s="10"/>
      <c r="M1668" s="770"/>
      <c r="N1668" s="10"/>
      <c r="O1668" s="10"/>
      <c r="P1668" s="10"/>
      <c r="Q1668" s="10"/>
      <c r="R1668" s="10"/>
      <c r="S1668" s="10"/>
    </row>
    <row r="1669" spans="1:19" x14ac:dyDescent="0.25">
      <c r="A1669" s="10"/>
      <c r="B1669" s="10"/>
      <c r="C1669" s="10"/>
      <c r="D1669" s="10"/>
      <c r="E1669" s="10"/>
      <c r="F1669" s="10"/>
      <c r="G1669" s="10"/>
      <c r="H1669" s="770"/>
      <c r="I1669" s="10"/>
      <c r="J1669" s="10"/>
      <c r="K1669" s="10"/>
      <c r="L1669" s="10"/>
      <c r="M1669" s="770"/>
      <c r="N1669" s="10"/>
      <c r="O1669" s="10"/>
      <c r="P1669" s="10"/>
      <c r="Q1669" s="10"/>
      <c r="R1669" s="10"/>
      <c r="S1669" s="10"/>
    </row>
    <row r="1670" spans="1:19" x14ac:dyDescent="0.25">
      <c r="A1670" s="10"/>
      <c r="B1670" s="10"/>
      <c r="C1670" s="10"/>
      <c r="D1670" s="10"/>
      <c r="E1670" s="10"/>
      <c r="F1670" s="10"/>
      <c r="G1670" s="10"/>
      <c r="H1670" s="770"/>
      <c r="I1670" s="10"/>
      <c r="J1670" s="10"/>
      <c r="K1670" s="10"/>
      <c r="L1670" s="10"/>
      <c r="M1670" s="770"/>
      <c r="N1670" s="10"/>
      <c r="O1670" s="10"/>
      <c r="P1670" s="10"/>
      <c r="Q1670" s="10"/>
      <c r="R1670" s="10"/>
      <c r="S1670" s="10"/>
    </row>
    <row r="1671" spans="1:19" x14ac:dyDescent="0.25">
      <c r="A1671" s="10"/>
      <c r="B1671" s="10"/>
      <c r="C1671" s="10"/>
      <c r="D1671" s="10"/>
      <c r="E1671" s="10"/>
      <c r="F1671" s="10"/>
      <c r="G1671" s="10"/>
      <c r="H1671" s="770"/>
      <c r="I1671" s="10"/>
      <c r="J1671" s="10"/>
      <c r="K1671" s="10"/>
      <c r="L1671" s="10"/>
      <c r="M1671" s="770"/>
      <c r="N1671" s="10"/>
      <c r="O1671" s="10"/>
      <c r="P1671" s="10"/>
      <c r="Q1671" s="10"/>
      <c r="R1671" s="10"/>
      <c r="S1671" s="10"/>
    </row>
    <row r="1672" spans="1:19" x14ac:dyDescent="0.25">
      <c r="A1672" s="10"/>
      <c r="B1672" s="10"/>
      <c r="C1672" s="10"/>
      <c r="D1672" s="10"/>
      <c r="E1672" s="10"/>
      <c r="F1672" s="10"/>
      <c r="G1672" s="10"/>
      <c r="H1672" s="770"/>
      <c r="I1672" s="10"/>
      <c r="J1672" s="10"/>
      <c r="K1672" s="10"/>
      <c r="L1672" s="10"/>
      <c r="M1672" s="770"/>
      <c r="N1672" s="10"/>
      <c r="O1672" s="10"/>
      <c r="P1672" s="10"/>
      <c r="Q1672" s="10"/>
      <c r="R1672" s="10"/>
      <c r="S1672" s="10"/>
    </row>
    <row r="1673" spans="1:19" x14ac:dyDescent="0.25">
      <c r="A1673" s="10"/>
      <c r="B1673" s="10"/>
      <c r="C1673" s="10"/>
      <c r="D1673" s="10"/>
      <c r="E1673" s="10"/>
      <c r="F1673" s="10"/>
      <c r="G1673" s="10"/>
      <c r="H1673" s="770"/>
      <c r="I1673" s="10"/>
      <c r="J1673" s="10"/>
      <c r="K1673" s="10"/>
      <c r="L1673" s="10"/>
      <c r="M1673" s="770"/>
      <c r="N1673" s="10"/>
      <c r="O1673" s="10"/>
      <c r="P1673" s="10"/>
      <c r="Q1673" s="10"/>
      <c r="R1673" s="10"/>
      <c r="S1673" s="10"/>
    </row>
    <row r="1674" spans="1:19" x14ac:dyDescent="0.25">
      <c r="A1674" s="10"/>
      <c r="B1674" s="10"/>
      <c r="C1674" s="10"/>
      <c r="D1674" s="10"/>
      <c r="E1674" s="10"/>
      <c r="F1674" s="10"/>
      <c r="G1674" s="10"/>
      <c r="H1674" s="770"/>
      <c r="I1674" s="10"/>
      <c r="J1674" s="10"/>
      <c r="K1674" s="10"/>
      <c r="L1674" s="10"/>
      <c r="M1674" s="770"/>
      <c r="N1674" s="10"/>
      <c r="O1674" s="10"/>
      <c r="P1674" s="10"/>
      <c r="Q1674" s="10"/>
      <c r="R1674" s="10"/>
      <c r="S1674" s="10"/>
    </row>
    <row r="1675" spans="1:19" x14ac:dyDescent="0.25">
      <c r="A1675" s="10"/>
      <c r="B1675" s="10"/>
      <c r="C1675" s="10"/>
      <c r="D1675" s="10"/>
      <c r="E1675" s="10"/>
      <c r="F1675" s="10"/>
      <c r="G1675" s="10"/>
      <c r="H1675" s="770"/>
      <c r="I1675" s="10"/>
      <c r="J1675" s="10"/>
      <c r="K1675" s="10"/>
      <c r="L1675" s="10"/>
      <c r="M1675" s="770"/>
      <c r="N1675" s="10"/>
      <c r="O1675" s="10"/>
      <c r="P1675" s="10"/>
      <c r="Q1675" s="10"/>
      <c r="R1675" s="10"/>
      <c r="S1675" s="10"/>
    </row>
    <row r="1676" spans="1:19" x14ac:dyDescent="0.25">
      <c r="A1676" s="10"/>
      <c r="B1676" s="10"/>
      <c r="C1676" s="10"/>
      <c r="D1676" s="10"/>
      <c r="E1676" s="10"/>
      <c r="F1676" s="10"/>
      <c r="G1676" s="10"/>
      <c r="H1676" s="770"/>
      <c r="I1676" s="10"/>
      <c r="J1676" s="10"/>
      <c r="K1676" s="10"/>
      <c r="L1676" s="10"/>
      <c r="M1676" s="770"/>
      <c r="N1676" s="10"/>
      <c r="O1676" s="10"/>
      <c r="P1676" s="10"/>
      <c r="Q1676" s="10"/>
      <c r="R1676" s="10"/>
      <c r="S1676" s="10"/>
    </row>
    <row r="1677" spans="1:19" x14ac:dyDescent="0.25">
      <c r="A1677" s="10"/>
      <c r="B1677" s="10"/>
      <c r="C1677" s="10"/>
      <c r="D1677" s="10"/>
      <c r="E1677" s="10"/>
      <c r="F1677" s="10"/>
      <c r="G1677" s="10"/>
      <c r="H1677" s="770"/>
      <c r="I1677" s="10"/>
      <c r="J1677" s="10"/>
      <c r="K1677" s="10"/>
      <c r="L1677" s="10"/>
      <c r="M1677" s="770"/>
      <c r="N1677" s="10"/>
      <c r="O1677" s="10"/>
      <c r="P1677" s="10"/>
      <c r="Q1677" s="10"/>
      <c r="R1677" s="10"/>
      <c r="S1677" s="10"/>
    </row>
    <row r="1678" spans="1:19" x14ac:dyDescent="0.25">
      <c r="A1678" s="10"/>
      <c r="B1678" s="10"/>
      <c r="C1678" s="10"/>
      <c r="D1678" s="10"/>
      <c r="E1678" s="10"/>
      <c r="F1678" s="10"/>
      <c r="G1678" s="10"/>
      <c r="H1678" s="770"/>
      <c r="I1678" s="10"/>
      <c r="J1678" s="10"/>
      <c r="K1678" s="10"/>
      <c r="L1678" s="10"/>
      <c r="M1678" s="770"/>
      <c r="N1678" s="10"/>
      <c r="O1678" s="10"/>
      <c r="P1678" s="10"/>
      <c r="Q1678" s="10"/>
      <c r="R1678" s="10"/>
      <c r="S1678" s="10"/>
    </row>
    <row r="1679" spans="1:19" x14ac:dyDescent="0.25">
      <c r="A1679" s="10"/>
      <c r="B1679" s="10"/>
      <c r="C1679" s="10"/>
      <c r="D1679" s="10"/>
      <c r="E1679" s="10"/>
      <c r="F1679" s="10"/>
      <c r="G1679" s="10"/>
      <c r="H1679" s="770"/>
      <c r="I1679" s="10"/>
      <c r="J1679" s="10"/>
      <c r="K1679" s="10"/>
      <c r="L1679" s="10"/>
      <c r="M1679" s="770"/>
      <c r="N1679" s="10"/>
      <c r="O1679" s="10"/>
      <c r="P1679" s="10"/>
      <c r="Q1679" s="10"/>
      <c r="R1679" s="10"/>
      <c r="S1679" s="10"/>
    </row>
    <row r="1680" spans="1:19" x14ac:dyDescent="0.25">
      <c r="A1680" s="10"/>
      <c r="B1680" s="10"/>
      <c r="C1680" s="10"/>
      <c r="D1680" s="10"/>
      <c r="E1680" s="10"/>
      <c r="F1680" s="10"/>
      <c r="G1680" s="10"/>
      <c r="H1680" s="770"/>
      <c r="I1680" s="10"/>
      <c r="J1680" s="10"/>
      <c r="K1680" s="10"/>
      <c r="L1680" s="10"/>
      <c r="M1680" s="770"/>
      <c r="N1680" s="10"/>
      <c r="O1680" s="10"/>
      <c r="P1680" s="10"/>
      <c r="Q1680" s="10"/>
      <c r="R1680" s="10"/>
      <c r="S1680" s="10"/>
    </row>
    <row r="1681" spans="1:19" x14ac:dyDescent="0.25">
      <c r="A1681" s="10"/>
      <c r="B1681" s="10"/>
      <c r="C1681" s="10"/>
      <c r="D1681" s="10"/>
      <c r="E1681" s="10"/>
      <c r="F1681" s="10"/>
      <c r="G1681" s="10"/>
      <c r="H1681" s="770"/>
      <c r="I1681" s="10"/>
      <c r="J1681" s="10"/>
      <c r="K1681" s="10"/>
      <c r="L1681" s="10"/>
      <c r="M1681" s="770"/>
      <c r="N1681" s="10"/>
      <c r="O1681" s="10"/>
      <c r="P1681" s="10"/>
      <c r="Q1681" s="10"/>
      <c r="R1681" s="10"/>
      <c r="S1681" s="10"/>
    </row>
    <row r="1682" spans="1:19" x14ac:dyDescent="0.25">
      <c r="A1682" s="10"/>
      <c r="B1682" s="10"/>
      <c r="C1682" s="10"/>
      <c r="D1682" s="10"/>
      <c r="E1682" s="10"/>
      <c r="F1682" s="10"/>
      <c r="G1682" s="10"/>
      <c r="H1682" s="770"/>
      <c r="I1682" s="10"/>
      <c r="J1682" s="10"/>
      <c r="K1682" s="10"/>
      <c r="L1682" s="10"/>
      <c r="M1682" s="770"/>
      <c r="N1682" s="10"/>
      <c r="O1682" s="10"/>
      <c r="P1682" s="10"/>
      <c r="Q1682" s="10"/>
      <c r="R1682" s="10"/>
      <c r="S1682" s="10"/>
    </row>
    <row r="1683" spans="1:19" x14ac:dyDescent="0.25">
      <c r="A1683" s="10"/>
      <c r="B1683" s="10"/>
      <c r="C1683" s="10"/>
      <c r="D1683" s="10"/>
      <c r="E1683" s="10"/>
      <c r="F1683" s="10"/>
      <c r="G1683" s="10"/>
      <c r="H1683" s="770"/>
      <c r="I1683" s="10"/>
      <c r="J1683" s="10"/>
      <c r="K1683" s="10"/>
      <c r="L1683" s="10"/>
      <c r="M1683" s="770"/>
      <c r="N1683" s="10"/>
      <c r="O1683" s="10"/>
      <c r="P1683" s="10"/>
      <c r="Q1683" s="10"/>
      <c r="R1683" s="10"/>
      <c r="S1683" s="10"/>
    </row>
    <row r="1684" spans="1:19" x14ac:dyDescent="0.25">
      <c r="A1684" s="10"/>
      <c r="B1684" s="10"/>
      <c r="C1684" s="10"/>
      <c r="D1684" s="10"/>
      <c r="E1684" s="10"/>
      <c r="F1684" s="10"/>
      <c r="G1684" s="10"/>
      <c r="H1684" s="770"/>
      <c r="I1684" s="10"/>
      <c r="J1684" s="10"/>
      <c r="K1684" s="10"/>
      <c r="L1684" s="10"/>
      <c r="M1684" s="770"/>
      <c r="N1684" s="10"/>
      <c r="O1684" s="10"/>
      <c r="P1684" s="10"/>
      <c r="Q1684" s="10"/>
      <c r="R1684" s="10"/>
      <c r="S1684" s="10"/>
    </row>
    <row r="1685" spans="1:19" x14ac:dyDescent="0.25">
      <c r="A1685" s="10"/>
      <c r="B1685" s="10"/>
      <c r="C1685" s="10"/>
      <c r="D1685" s="10"/>
      <c r="E1685" s="10"/>
      <c r="F1685" s="10"/>
      <c r="G1685" s="10"/>
      <c r="H1685" s="770"/>
      <c r="I1685" s="10"/>
      <c r="J1685" s="10"/>
      <c r="K1685" s="10"/>
      <c r="L1685" s="10"/>
      <c r="M1685" s="770"/>
      <c r="N1685" s="10"/>
      <c r="O1685" s="10"/>
      <c r="P1685" s="10"/>
      <c r="Q1685" s="10"/>
      <c r="R1685" s="10"/>
      <c r="S1685" s="10"/>
    </row>
    <row r="1686" spans="1:19" x14ac:dyDescent="0.25">
      <c r="A1686" s="10"/>
      <c r="B1686" s="10"/>
      <c r="C1686" s="10"/>
      <c r="D1686" s="10"/>
      <c r="E1686" s="10"/>
      <c r="F1686" s="10"/>
      <c r="G1686" s="10"/>
      <c r="H1686" s="770"/>
      <c r="I1686" s="10"/>
      <c r="J1686" s="10"/>
      <c r="K1686" s="10"/>
      <c r="L1686" s="10"/>
      <c r="M1686" s="770"/>
      <c r="N1686" s="10"/>
      <c r="O1686" s="10"/>
      <c r="P1686" s="10"/>
      <c r="Q1686" s="10"/>
      <c r="R1686" s="10"/>
      <c r="S1686" s="10"/>
    </row>
    <row r="1687" spans="1:19" x14ac:dyDescent="0.25">
      <c r="A1687" s="10"/>
      <c r="B1687" s="10"/>
      <c r="C1687" s="10"/>
      <c r="D1687" s="10"/>
      <c r="E1687" s="10"/>
      <c r="F1687" s="10"/>
      <c r="G1687" s="10"/>
      <c r="H1687" s="770"/>
      <c r="I1687" s="10"/>
      <c r="J1687" s="10"/>
      <c r="K1687" s="10"/>
      <c r="L1687" s="10"/>
      <c r="M1687" s="770"/>
      <c r="N1687" s="10"/>
      <c r="O1687" s="10"/>
      <c r="P1687" s="10"/>
      <c r="Q1687" s="10"/>
      <c r="R1687" s="10"/>
      <c r="S1687" s="10"/>
    </row>
    <row r="1688" spans="1:19" x14ac:dyDescent="0.25">
      <c r="A1688" s="10"/>
      <c r="B1688" s="10"/>
      <c r="C1688" s="10"/>
      <c r="D1688" s="10"/>
      <c r="E1688" s="10"/>
      <c r="F1688" s="10"/>
      <c r="G1688" s="10"/>
      <c r="H1688" s="770"/>
      <c r="I1688" s="10"/>
      <c r="J1688" s="10"/>
      <c r="K1688" s="10"/>
      <c r="L1688" s="10"/>
      <c r="M1688" s="770"/>
      <c r="N1688" s="10"/>
      <c r="O1688" s="10"/>
      <c r="P1688" s="10"/>
      <c r="Q1688" s="10"/>
      <c r="R1688" s="10"/>
      <c r="S1688" s="10"/>
    </row>
    <row r="1689" spans="1:19" x14ac:dyDescent="0.25">
      <c r="A1689" s="10"/>
      <c r="B1689" s="10"/>
      <c r="C1689" s="10"/>
      <c r="D1689" s="10"/>
      <c r="E1689" s="10"/>
      <c r="F1689" s="10"/>
      <c r="G1689" s="10"/>
      <c r="H1689" s="770"/>
      <c r="I1689" s="10"/>
      <c r="J1689" s="10"/>
      <c r="K1689" s="10"/>
      <c r="L1689" s="10"/>
      <c r="M1689" s="770"/>
      <c r="N1689" s="10"/>
      <c r="O1689" s="10"/>
      <c r="P1689" s="10"/>
      <c r="Q1689" s="10"/>
      <c r="R1689" s="10"/>
      <c r="S1689" s="10"/>
    </row>
    <row r="1690" spans="1:19" x14ac:dyDescent="0.25">
      <c r="A1690" s="10"/>
      <c r="B1690" s="10"/>
      <c r="C1690" s="10"/>
      <c r="D1690" s="10"/>
      <c r="E1690" s="10"/>
      <c r="F1690" s="10"/>
      <c r="G1690" s="10"/>
      <c r="H1690" s="770"/>
      <c r="I1690" s="10"/>
      <c r="J1690" s="10"/>
      <c r="K1690" s="10"/>
      <c r="L1690" s="10"/>
      <c r="M1690" s="770"/>
      <c r="N1690" s="10"/>
      <c r="O1690" s="10"/>
      <c r="P1690" s="10"/>
      <c r="Q1690" s="10"/>
      <c r="R1690" s="10"/>
      <c r="S1690" s="10"/>
    </row>
    <row r="1691" spans="1:19" x14ac:dyDescent="0.25">
      <c r="A1691" s="10"/>
      <c r="B1691" s="10"/>
      <c r="C1691" s="10"/>
      <c r="D1691" s="10"/>
      <c r="E1691" s="10"/>
      <c r="F1691" s="10"/>
      <c r="G1691" s="10"/>
      <c r="H1691" s="770"/>
      <c r="I1691" s="10"/>
      <c r="J1691" s="10"/>
      <c r="K1691" s="10"/>
      <c r="L1691" s="10"/>
      <c r="M1691" s="770"/>
      <c r="N1691" s="10"/>
      <c r="O1691" s="10"/>
      <c r="P1691" s="10"/>
      <c r="Q1691" s="10"/>
      <c r="R1691" s="10"/>
      <c r="S1691" s="10"/>
    </row>
    <row r="1692" spans="1:19" x14ac:dyDescent="0.25">
      <c r="A1692" s="10"/>
      <c r="B1692" s="10"/>
      <c r="C1692" s="10"/>
      <c r="D1692" s="10"/>
      <c r="E1692" s="10"/>
      <c r="F1692" s="10"/>
      <c r="G1692" s="10"/>
      <c r="H1692" s="770"/>
      <c r="I1692" s="10"/>
      <c r="J1692" s="10"/>
      <c r="K1692" s="10"/>
      <c r="L1692" s="10"/>
      <c r="M1692" s="770"/>
      <c r="N1692" s="10"/>
      <c r="O1692" s="10"/>
      <c r="P1692" s="10"/>
      <c r="Q1692" s="10"/>
      <c r="R1692" s="10"/>
      <c r="S1692" s="10"/>
    </row>
    <row r="1693" spans="1:19" x14ac:dyDescent="0.25">
      <c r="A1693" s="10"/>
      <c r="B1693" s="10"/>
      <c r="C1693" s="10"/>
      <c r="D1693" s="10"/>
      <c r="E1693" s="10"/>
      <c r="F1693" s="10"/>
      <c r="G1693" s="10"/>
      <c r="H1693" s="770"/>
      <c r="I1693" s="10"/>
      <c r="J1693" s="10"/>
      <c r="K1693" s="10"/>
      <c r="L1693" s="10"/>
      <c r="M1693" s="770"/>
      <c r="N1693" s="10"/>
      <c r="O1693" s="10"/>
      <c r="P1693" s="10"/>
      <c r="Q1693" s="10"/>
      <c r="R1693" s="10"/>
      <c r="S1693" s="10"/>
    </row>
    <row r="1694" spans="1:19" x14ac:dyDescent="0.25">
      <c r="A1694" s="10"/>
      <c r="B1694" s="10"/>
      <c r="C1694" s="10"/>
      <c r="D1694" s="10"/>
      <c r="E1694" s="10"/>
      <c r="F1694" s="10"/>
      <c r="G1694" s="10"/>
      <c r="H1694" s="770"/>
      <c r="I1694" s="10"/>
      <c r="J1694" s="10"/>
      <c r="K1694" s="10"/>
      <c r="L1694" s="10"/>
      <c r="M1694" s="770"/>
      <c r="N1694" s="10"/>
      <c r="O1694" s="10"/>
      <c r="P1694" s="10"/>
      <c r="Q1694" s="10"/>
      <c r="R1694" s="10"/>
      <c r="S1694" s="10"/>
    </row>
    <row r="1695" spans="1:19" x14ac:dyDescent="0.25">
      <c r="A1695" s="10"/>
      <c r="B1695" s="10"/>
      <c r="C1695" s="10"/>
      <c r="D1695" s="10"/>
      <c r="E1695" s="10"/>
      <c r="F1695" s="10"/>
      <c r="G1695" s="10"/>
      <c r="H1695" s="770"/>
      <c r="I1695" s="10"/>
      <c r="J1695" s="10"/>
      <c r="K1695" s="10"/>
      <c r="L1695" s="10"/>
      <c r="M1695" s="770"/>
      <c r="N1695" s="10"/>
      <c r="O1695" s="10"/>
      <c r="P1695" s="10"/>
      <c r="Q1695" s="10"/>
      <c r="R1695" s="10"/>
      <c r="S1695" s="10"/>
    </row>
    <row r="1696" spans="1:19" x14ac:dyDescent="0.25">
      <c r="A1696" s="10"/>
      <c r="B1696" s="10"/>
      <c r="C1696" s="10"/>
      <c r="D1696" s="10"/>
      <c r="E1696" s="10"/>
      <c r="F1696" s="10"/>
      <c r="G1696" s="10"/>
      <c r="H1696" s="770"/>
      <c r="I1696" s="10"/>
      <c r="J1696" s="10"/>
      <c r="K1696" s="10"/>
      <c r="L1696" s="10"/>
      <c r="M1696" s="770"/>
      <c r="N1696" s="10"/>
      <c r="O1696" s="10"/>
      <c r="P1696" s="10"/>
      <c r="Q1696" s="10"/>
      <c r="R1696" s="10"/>
      <c r="S1696" s="10"/>
    </row>
    <row r="1697" spans="1:19" x14ac:dyDescent="0.25">
      <c r="A1697" s="10"/>
      <c r="B1697" s="10"/>
      <c r="C1697" s="10"/>
      <c r="D1697" s="10"/>
      <c r="E1697" s="10"/>
      <c r="F1697" s="10"/>
      <c r="G1697" s="10"/>
      <c r="H1697" s="770"/>
      <c r="I1697" s="10"/>
      <c r="J1697" s="10"/>
      <c r="K1697" s="10"/>
      <c r="L1697" s="10"/>
      <c r="M1697" s="770"/>
      <c r="N1697" s="10"/>
      <c r="O1697" s="10"/>
      <c r="P1697" s="10"/>
      <c r="Q1697" s="10"/>
      <c r="R1697" s="10"/>
      <c r="S1697" s="10"/>
    </row>
    <row r="1698" spans="1:19" x14ac:dyDescent="0.25">
      <c r="A1698" s="10"/>
      <c r="B1698" s="10"/>
      <c r="C1698" s="10"/>
      <c r="D1698" s="10"/>
      <c r="E1698" s="10"/>
      <c r="F1698" s="10"/>
      <c r="G1698" s="10"/>
      <c r="H1698" s="770"/>
      <c r="I1698" s="10"/>
      <c r="J1698" s="10"/>
      <c r="K1698" s="10"/>
      <c r="L1698" s="10"/>
      <c r="M1698" s="770"/>
      <c r="N1698" s="10"/>
      <c r="O1698" s="10"/>
      <c r="P1698" s="10"/>
      <c r="Q1698" s="10"/>
      <c r="R1698" s="10"/>
      <c r="S1698" s="10"/>
    </row>
    <row r="1699" spans="1:19" x14ac:dyDescent="0.25">
      <c r="A1699" s="10"/>
      <c r="B1699" s="10"/>
      <c r="C1699" s="10"/>
      <c r="D1699" s="10"/>
      <c r="E1699" s="10"/>
      <c r="F1699" s="10"/>
      <c r="G1699" s="10"/>
      <c r="H1699" s="770"/>
      <c r="I1699" s="10"/>
      <c r="J1699" s="10"/>
      <c r="K1699" s="10"/>
      <c r="L1699" s="10"/>
      <c r="M1699" s="770"/>
      <c r="N1699" s="10"/>
      <c r="O1699" s="10"/>
      <c r="P1699" s="10"/>
      <c r="Q1699" s="10"/>
      <c r="R1699" s="10"/>
      <c r="S1699" s="10"/>
    </row>
    <row r="1700" spans="1:19" x14ac:dyDescent="0.25">
      <c r="A1700" s="10"/>
      <c r="B1700" s="10"/>
      <c r="C1700" s="10"/>
      <c r="D1700" s="10"/>
      <c r="E1700" s="10"/>
      <c r="F1700" s="10"/>
      <c r="G1700" s="10"/>
      <c r="H1700" s="770"/>
      <c r="I1700" s="10"/>
      <c r="J1700" s="10"/>
      <c r="K1700" s="10"/>
      <c r="L1700" s="10"/>
      <c r="M1700" s="770"/>
      <c r="N1700" s="10"/>
      <c r="O1700" s="10"/>
      <c r="P1700" s="10"/>
      <c r="Q1700" s="10"/>
      <c r="R1700" s="10"/>
      <c r="S1700" s="10"/>
    </row>
    <row r="1701" spans="1:19" x14ac:dyDescent="0.25">
      <c r="A1701" s="10"/>
      <c r="B1701" s="10"/>
      <c r="C1701" s="10"/>
      <c r="D1701" s="10"/>
      <c r="E1701" s="10"/>
      <c r="F1701" s="10"/>
      <c r="G1701" s="10"/>
      <c r="H1701" s="770"/>
      <c r="I1701" s="10"/>
      <c r="J1701" s="10"/>
      <c r="K1701" s="10"/>
      <c r="L1701" s="10"/>
      <c r="M1701" s="770"/>
      <c r="N1701" s="10"/>
      <c r="O1701" s="10"/>
      <c r="P1701" s="10"/>
      <c r="Q1701" s="10"/>
      <c r="R1701" s="10"/>
      <c r="S1701" s="10"/>
    </row>
    <row r="1702" spans="1:19" x14ac:dyDescent="0.25">
      <c r="A1702" s="10"/>
      <c r="B1702" s="10"/>
      <c r="C1702" s="10"/>
      <c r="D1702" s="10"/>
      <c r="E1702" s="10"/>
      <c r="F1702" s="10"/>
      <c r="G1702" s="10"/>
      <c r="H1702" s="770"/>
      <c r="I1702" s="10"/>
      <c r="J1702" s="10"/>
      <c r="K1702" s="10"/>
      <c r="L1702" s="10"/>
      <c r="M1702" s="770"/>
      <c r="N1702" s="10"/>
      <c r="O1702" s="10"/>
      <c r="P1702" s="10"/>
      <c r="Q1702" s="10"/>
      <c r="R1702" s="10"/>
      <c r="S1702" s="10"/>
    </row>
    <row r="1703" spans="1:19" x14ac:dyDescent="0.25">
      <c r="A1703" s="10"/>
      <c r="B1703" s="10"/>
      <c r="C1703" s="10"/>
      <c r="D1703" s="10"/>
      <c r="E1703" s="10"/>
      <c r="F1703" s="10"/>
      <c r="G1703" s="10"/>
      <c r="H1703" s="770"/>
      <c r="I1703" s="10"/>
      <c r="J1703" s="10"/>
      <c r="K1703" s="10"/>
      <c r="L1703" s="10"/>
      <c r="M1703" s="770"/>
      <c r="N1703" s="10"/>
      <c r="O1703" s="10"/>
      <c r="P1703" s="10"/>
      <c r="Q1703" s="10"/>
      <c r="R1703" s="10"/>
      <c r="S1703" s="10"/>
    </row>
    <row r="1704" spans="1:19" x14ac:dyDescent="0.25">
      <c r="A1704" s="10"/>
      <c r="B1704" s="10"/>
      <c r="C1704" s="10"/>
      <c r="D1704" s="10"/>
      <c r="E1704" s="10"/>
      <c r="F1704" s="10"/>
      <c r="G1704" s="10"/>
      <c r="H1704" s="770"/>
      <c r="I1704" s="10"/>
      <c r="J1704" s="10"/>
      <c r="K1704" s="10"/>
      <c r="L1704" s="10"/>
      <c r="M1704" s="770"/>
      <c r="N1704" s="10"/>
      <c r="O1704" s="10"/>
      <c r="P1704" s="10"/>
      <c r="Q1704" s="10"/>
      <c r="R1704" s="10"/>
      <c r="S1704" s="10"/>
    </row>
    <row r="1705" spans="1:19" x14ac:dyDescent="0.25">
      <c r="A1705" s="10"/>
      <c r="B1705" s="10"/>
      <c r="C1705" s="10"/>
      <c r="D1705" s="10"/>
      <c r="E1705" s="10"/>
      <c r="F1705" s="10"/>
      <c r="G1705" s="10"/>
      <c r="H1705" s="770"/>
      <c r="I1705" s="10"/>
      <c r="J1705" s="10"/>
      <c r="K1705" s="10"/>
      <c r="L1705" s="10"/>
      <c r="M1705" s="770"/>
      <c r="N1705" s="10"/>
      <c r="O1705" s="10"/>
      <c r="P1705" s="10"/>
      <c r="Q1705" s="10"/>
      <c r="R1705" s="10"/>
      <c r="S1705" s="10"/>
    </row>
    <row r="1706" spans="1:19" x14ac:dyDescent="0.25">
      <c r="A1706" s="10"/>
      <c r="B1706" s="10"/>
      <c r="C1706" s="10"/>
      <c r="D1706" s="10"/>
      <c r="E1706" s="10"/>
      <c r="F1706" s="10"/>
      <c r="G1706" s="10"/>
      <c r="H1706" s="770"/>
      <c r="I1706" s="10"/>
      <c r="J1706" s="10"/>
      <c r="K1706" s="10"/>
      <c r="L1706" s="10"/>
      <c r="M1706" s="770"/>
      <c r="N1706" s="10"/>
      <c r="O1706" s="10"/>
      <c r="P1706" s="10"/>
      <c r="Q1706" s="10"/>
      <c r="R1706" s="10"/>
      <c r="S1706" s="10"/>
    </row>
    <row r="1707" spans="1:19" x14ac:dyDescent="0.25">
      <c r="A1707" s="10"/>
      <c r="B1707" s="10"/>
      <c r="C1707" s="10"/>
      <c r="D1707" s="10"/>
      <c r="E1707" s="10"/>
      <c r="F1707" s="10"/>
      <c r="G1707" s="10"/>
      <c r="H1707" s="770"/>
      <c r="I1707" s="10"/>
      <c r="J1707" s="10"/>
      <c r="K1707" s="10"/>
      <c r="L1707" s="10"/>
      <c r="M1707" s="770"/>
      <c r="N1707" s="10"/>
      <c r="O1707" s="10"/>
      <c r="P1707" s="10"/>
      <c r="Q1707" s="10"/>
      <c r="R1707" s="10"/>
      <c r="S1707" s="10"/>
    </row>
    <row r="1708" spans="1:19" x14ac:dyDescent="0.25">
      <c r="A1708" s="10"/>
      <c r="B1708" s="10"/>
      <c r="C1708" s="10"/>
      <c r="D1708" s="10"/>
      <c r="E1708" s="10"/>
      <c r="F1708" s="10"/>
      <c r="G1708" s="10"/>
      <c r="H1708" s="770"/>
      <c r="I1708" s="10"/>
      <c r="J1708" s="10"/>
      <c r="K1708" s="10"/>
      <c r="L1708" s="10"/>
      <c r="M1708" s="770"/>
      <c r="N1708" s="10"/>
      <c r="O1708" s="10"/>
      <c r="P1708" s="10"/>
      <c r="Q1708" s="10"/>
      <c r="R1708" s="10"/>
      <c r="S1708" s="10"/>
    </row>
    <row r="1709" spans="1:19" x14ac:dyDescent="0.25">
      <c r="A1709" s="10"/>
      <c r="B1709" s="10"/>
      <c r="C1709" s="10"/>
      <c r="D1709" s="10"/>
      <c r="E1709" s="10"/>
      <c r="F1709" s="10"/>
      <c r="G1709" s="10"/>
      <c r="H1709" s="770"/>
      <c r="I1709" s="10"/>
      <c r="J1709" s="10"/>
      <c r="K1709" s="10"/>
      <c r="L1709" s="10"/>
      <c r="M1709" s="770"/>
      <c r="N1709" s="10"/>
      <c r="O1709" s="10"/>
      <c r="P1709" s="10"/>
      <c r="Q1709" s="10"/>
      <c r="R1709" s="10"/>
      <c r="S1709" s="10"/>
    </row>
    <row r="1710" spans="1:19" x14ac:dyDescent="0.25">
      <c r="A1710" s="10"/>
      <c r="B1710" s="10"/>
      <c r="C1710" s="10"/>
      <c r="D1710" s="10"/>
      <c r="E1710" s="10"/>
      <c r="F1710" s="10"/>
      <c r="G1710" s="10"/>
      <c r="H1710" s="770"/>
      <c r="I1710" s="10"/>
      <c r="J1710" s="10"/>
      <c r="K1710" s="10"/>
      <c r="L1710" s="10"/>
      <c r="M1710" s="770"/>
      <c r="N1710" s="10"/>
      <c r="O1710" s="10"/>
      <c r="P1710" s="10"/>
      <c r="Q1710" s="10"/>
      <c r="R1710" s="10"/>
      <c r="S1710" s="10"/>
    </row>
    <row r="1711" spans="1:19" x14ac:dyDescent="0.25">
      <c r="A1711" s="10"/>
      <c r="B1711" s="10"/>
      <c r="C1711" s="10"/>
      <c r="D1711" s="10"/>
      <c r="E1711" s="10"/>
      <c r="F1711" s="10"/>
      <c r="G1711" s="10"/>
      <c r="H1711" s="770"/>
      <c r="I1711" s="10"/>
      <c r="J1711" s="10"/>
      <c r="K1711" s="10"/>
      <c r="L1711" s="10"/>
      <c r="M1711" s="770"/>
      <c r="N1711" s="10"/>
      <c r="O1711" s="10"/>
      <c r="P1711" s="10"/>
      <c r="Q1711" s="10"/>
      <c r="R1711" s="10"/>
      <c r="S1711" s="10"/>
    </row>
    <row r="1712" spans="1:19" x14ac:dyDescent="0.25">
      <c r="A1712" s="10"/>
      <c r="B1712" s="10"/>
      <c r="C1712" s="10"/>
      <c r="D1712" s="10"/>
      <c r="E1712" s="10"/>
      <c r="F1712" s="10"/>
      <c r="G1712" s="10"/>
      <c r="H1712" s="770"/>
      <c r="I1712" s="10"/>
      <c r="J1712" s="10"/>
      <c r="K1712" s="10"/>
      <c r="L1712" s="10"/>
      <c r="M1712" s="770"/>
      <c r="N1712" s="10"/>
      <c r="O1712" s="10"/>
      <c r="P1712" s="10"/>
      <c r="Q1712" s="10"/>
      <c r="R1712" s="10"/>
      <c r="S1712" s="10"/>
    </row>
    <row r="1713" spans="1:19" x14ac:dyDescent="0.25">
      <c r="A1713" s="10"/>
      <c r="B1713" s="10"/>
      <c r="C1713" s="10"/>
      <c r="D1713" s="10"/>
      <c r="E1713" s="10"/>
      <c r="F1713" s="10"/>
      <c r="G1713" s="10"/>
      <c r="H1713" s="770"/>
      <c r="I1713" s="10"/>
      <c r="J1713" s="10"/>
      <c r="K1713" s="10"/>
      <c r="L1713" s="10"/>
      <c r="M1713" s="770"/>
      <c r="N1713" s="10"/>
      <c r="O1713" s="10"/>
      <c r="P1713" s="10"/>
      <c r="Q1713" s="10"/>
      <c r="R1713" s="10"/>
      <c r="S1713" s="10"/>
    </row>
    <row r="1714" spans="1:19" x14ac:dyDescent="0.25">
      <c r="A1714" s="10"/>
      <c r="B1714" s="10"/>
      <c r="C1714" s="10"/>
      <c r="D1714" s="10"/>
      <c r="E1714" s="10"/>
      <c r="F1714" s="10"/>
      <c r="G1714" s="10"/>
      <c r="H1714" s="770"/>
      <c r="I1714" s="10"/>
      <c r="J1714" s="10"/>
      <c r="K1714" s="10"/>
      <c r="L1714" s="10"/>
      <c r="M1714" s="770"/>
      <c r="N1714" s="10"/>
      <c r="O1714" s="10"/>
      <c r="P1714" s="10"/>
      <c r="Q1714" s="10"/>
      <c r="R1714" s="10"/>
      <c r="S1714" s="10"/>
    </row>
    <row r="1715" spans="1:19" x14ac:dyDescent="0.25">
      <c r="A1715" s="10"/>
      <c r="B1715" s="10"/>
      <c r="C1715" s="10"/>
      <c r="D1715" s="10"/>
      <c r="E1715" s="10"/>
      <c r="F1715" s="10"/>
      <c r="G1715" s="10"/>
      <c r="H1715" s="770"/>
      <c r="I1715" s="10"/>
      <c r="J1715" s="10"/>
      <c r="K1715" s="10"/>
      <c r="L1715" s="10"/>
      <c r="M1715" s="770"/>
      <c r="N1715" s="10"/>
      <c r="O1715" s="10"/>
      <c r="P1715" s="10"/>
      <c r="Q1715" s="10"/>
      <c r="R1715" s="10"/>
      <c r="S1715" s="10"/>
    </row>
    <row r="1716" spans="1:19" x14ac:dyDescent="0.25">
      <c r="A1716" s="10"/>
      <c r="B1716" s="10"/>
      <c r="C1716" s="10"/>
      <c r="D1716" s="10"/>
      <c r="E1716" s="10"/>
      <c r="F1716" s="10"/>
      <c r="G1716" s="10"/>
      <c r="H1716" s="770"/>
      <c r="I1716" s="10"/>
      <c r="J1716" s="10"/>
      <c r="K1716" s="10"/>
      <c r="L1716" s="10"/>
      <c r="M1716" s="770"/>
      <c r="N1716" s="10"/>
      <c r="O1716" s="10"/>
      <c r="P1716" s="10"/>
      <c r="Q1716" s="10"/>
      <c r="R1716" s="10"/>
      <c r="S1716" s="10"/>
    </row>
    <row r="1717" spans="1:19" x14ac:dyDescent="0.25">
      <c r="A1717" s="10"/>
      <c r="B1717" s="10"/>
      <c r="C1717" s="10"/>
      <c r="D1717" s="10"/>
      <c r="E1717" s="10"/>
      <c r="F1717" s="10"/>
      <c r="G1717" s="10"/>
      <c r="H1717" s="770"/>
      <c r="I1717" s="10"/>
      <c r="J1717" s="10"/>
      <c r="K1717" s="10"/>
      <c r="L1717" s="10"/>
      <c r="M1717" s="770"/>
      <c r="N1717" s="10"/>
      <c r="O1717" s="10"/>
      <c r="P1717" s="10"/>
      <c r="Q1717" s="10"/>
      <c r="R1717" s="10"/>
      <c r="S1717" s="10"/>
    </row>
    <row r="1718" spans="1:19" x14ac:dyDescent="0.25">
      <c r="A1718" s="10"/>
      <c r="B1718" s="10"/>
      <c r="C1718" s="10"/>
      <c r="D1718" s="10"/>
      <c r="E1718" s="10"/>
      <c r="F1718" s="10"/>
      <c r="G1718" s="10"/>
      <c r="H1718" s="770"/>
      <c r="I1718" s="10"/>
      <c r="J1718" s="10"/>
      <c r="K1718" s="10"/>
      <c r="L1718" s="10"/>
      <c r="M1718" s="770"/>
      <c r="N1718" s="10"/>
      <c r="O1718" s="10"/>
      <c r="P1718" s="10"/>
      <c r="Q1718" s="10"/>
      <c r="R1718" s="10"/>
      <c r="S1718" s="10"/>
    </row>
    <row r="1719" spans="1:19" x14ac:dyDescent="0.25">
      <c r="A1719" s="10"/>
      <c r="B1719" s="10"/>
      <c r="C1719" s="10"/>
      <c r="D1719" s="10"/>
      <c r="E1719" s="10"/>
      <c r="F1719" s="10"/>
      <c r="G1719" s="10"/>
      <c r="H1719" s="770"/>
      <c r="I1719" s="10"/>
      <c r="J1719" s="10"/>
      <c r="K1719" s="10"/>
      <c r="L1719" s="10"/>
      <c r="M1719" s="770"/>
      <c r="N1719" s="10"/>
      <c r="O1719" s="10"/>
      <c r="P1719" s="10"/>
      <c r="Q1719" s="10"/>
      <c r="R1719" s="10"/>
      <c r="S1719" s="10"/>
    </row>
    <row r="1720" spans="1:19" x14ac:dyDescent="0.25">
      <c r="A1720" s="10"/>
      <c r="B1720" s="10"/>
      <c r="C1720" s="10"/>
      <c r="D1720" s="10"/>
      <c r="E1720" s="10"/>
      <c r="F1720" s="10"/>
      <c r="G1720" s="10"/>
      <c r="H1720" s="770"/>
      <c r="I1720" s="10"/>
      <c r="J1720" s="10"/>
      <c r="K1720" s="10"/>
      <c r="L1720" s="10"/>
      <c r="M1720" s="770"/>
      <c r="N1720" s="10"/>
      <c r="O1720" s="10"/>
      <c r="P1720" s="10"/>
      <c r="Q1720" s="10"/>
      <c r="R1720" s="10"/>
      <c r="S1720" s="10"/>
    </row>
    <row r="1721" spans="1:19" x14ac:dyDescent="0.25">
      <c r="A1721" s="10"/>
      <c r="B1721" s="10"/>
      <c r="C1721" s="10"/>
      <c r="D1721" s="10"/>
      <c r="E1721" s="10"/>
      <c r="F1721" s="10"/>
      <c r="G1721" s="10"/>
      <c r="H1721" s="770"/>
      <c r="I1721" s="10"/>
      <c r="J1721" s="10"/>
      <c r="K1721" s="10"/>
      <c r="L1721" s="10"/>
      <c r="M1721" s="770"/>
      <c r="N1721" s="10"/>
      <c r="O1721" s="10"/>
      <c r="P1721" s="10"/>
      <c r="Q1721" s="10"/>
      <c r="R1721" s="10"/>
      <c r="S1721" s="10"/>
    </row>
    <row r="1722" spans="1:19" x14ac:dyDescent="0.25">
      <c r="A1722" s="10"/>
      <c r="B1722" s="10"/>
      <c r="C1722" s="10"/>
      <c r="D1722" s="10"/>
      <c r="E1722" s="10"/>
      <c r="F1722" s="10"/>
      <c r="G1722" s="10"/>
      <c r="H1722" s="770"/>
      <c r="I1722" s="10"/>
      <c r="J1722" s="10"/>
      <c r="K1722" s="10"/>
      <c r="L1722" s="10"/>
      <c r="M1722" s="770"/>
      <c r="N1722" s="10"/>
      <c r="O1722" s="10"/>
      <c r="P1722" s="10"/>
      <c r="Q1722" s="10"/>
      <c r="R1722" s="10"/>
      <c r="S1722" s="10"/>
    </row>
    <row r="1723" spans="1:19" x14ac:dyDescent="0.25">
      <c r="A1723" s="10"/>
      <c r="B1723" s="10"/>
      <c r="C1723" s="10"/>
      <c r="D1723" s="10"/>
      <c r="E1723" s="10"/>
      <c r="F1723" s="10"/>
      <c r="G1723" s="10"/>
      <c r="H1723" s="770"/>
      <c r="I1723" s="10"/>
      <c r="J1723" s="10"/>
      <c r="K1723" s="10"/>
      <c r="L1723" s="10"/>
      <c r="M1723" s="770"/>
      <c r="N1723" s="10"/>
      <c r="O1723" s="10"/>
      <c r="P1723" s="10"/>
      <c r="Q1723" s="10"/>
      <c r="R1723" s="10"/>
      <c r="S1723" s="10"/>
    </row>
    <row r="1724" spans="1:19" x14ac:dyDescent="0.25">
      <c r="A1724" s="10"/>
      <c r="B1724" s="10"/>
      <c r="C1724" s="10"/>
      <c r="D1724" s="10"/>
      <c r="E1724" s="10"/>
      <c r="F1724" s="10"/>
      <c r="G1724" s="10"/>
      <c r="H1724" s="770"/>
      <c r="I1724" s="10"/>
      <c r="J1724" s="10"/>
      <c r="K1724" s="10"/>
      <c r="L1724" s="10"/>
      <c r="M1724" s="770"/>
      <c r="N1724" s="10"/>
      <c r="O1724" s="10"/>
      <c r="P1724" s="10"/>
      <c r="Q1724" s="10"/>
      <c r="R1724" s="10"/>
      <c r="S1724" s="10"/>
    </row>
    <row r="1725" spans="1:19" x14ac:dyDescent="0.25">
      <c r="A1725" s="10"/>
      <c r="B1725" s="10"/>
      <c r="C1725" s="10"/>
      <c r="D1725" s="10"/>
      <c r="E1725" s="10"/>
      <c r="F1725" s="10"/>
      <c r="G1725" s="10"/>
      <c r="H1725" s="770"/>
      <c r="I1725" s="10"/>
      <c r="J1725" s="10"/>
      <c r="K1725" s="10"/>
      <c r="L1725" s="10"/>
      <c r="M1725" s="770"/>
      <c r="N1725" s="10"/>
      <c r="O1725" s="10"/>
      <c r="P1725" s="10"/>
      <c r="Q1725" s="10"/>
      <c r="R1725" s="10"/>
      <c r="S1725" s="10"/>
    </row>
    <row r="1726" spans="1:19" x14ac:dyDescent="0.25">
      <c r="A1726" s="10"/>
      <c r="B1726" s="10"/>
      <c r="C1726" s="10"/>
      <c r="D1726" s="10"/>
      <c r="E1726" s="10"/>
      <c r="F1726" s="10"/>
      <c r="G1726" s="10"/>
      <c r="H1726" s="770"/>
      <c r="I1726" s="10"/>
      <c r="J1726" s="10"/>
      <c r="K1726" s="10"/>
      <c r="L1726" s="10"/>
      <c r="M1726" s="770"/>
      <c r="N1726" s="10"/>
      <c r="O1726" s="10"/>
      <c r="P1726" s="10"/>
      <c r="Q1726" s="10"/>
      <c r="R1726" s="10"/>
      <c r="S1726" s="10"/>
    </row>
    <row r="1727" spans="1:19" x14ac:dyDescent="0.25">
      <c r="A1727" s="10"/>
      <c r="B1727" s="10"/>
      <c r="C1727" s="10"/>
      <c r="D1727" s="10"/>
      <c r="E1727" s="10"/>
      <c r="F1727" s="10"/>
      <c r="G1727" s="10"/>
      <c r="H1727" s="770"/>
      <c r="I1727" s="10"/>
      <c r="J1727" s="10"/>
      <c r="K1727" s="10"/>
      <c r="L1727" s="10"/>
      <c r="M1727" s="770"/>
      <c r="N1727" s="10"/>
      <c r="O1727" s="10"/>
      <c r="P1727" s="10"/>
      <c r="Q1727" s="10"/>
      <c r="R1727" s="10"/>
      <c r="S1727" s="10"/>
    </row>
    <row r="1728" spans="1:19" x14ac:dyDescent="0.25">
      <c r="A1728" s="10"/>
      <c r="B1728" s="10"/>
      <c r="C1728" s="10"/>
      <c r="D1728" s="10"/>
      <c r="E1728" s="10"/>
      <c r="F1728" s="10"/>
      <c r="G1728" s="10"/>
      <c r="H1728" s="770"/>
      <c r="I1728" s="10"/>
      <c r="J1728" s="10"/>
      <c r="K1728" s="10"/>
      <c r="L1728" s="10"/>
      <c r="M1728" s="770"/>
      <c r="N1728" s="10"/>
      <c r="O1728" s="10"/>
      <c r="P1728" s="10"/>
      <c r="Q1728" s="10"/>
      <c r="R1728" s="10"/>
      <c r="S1728" s="10"/>
    </row>
    <row r="1729" spans="1:19" x14ac:dyDescent="0.25">
      <c r="A1729" s="10"/>
      <c r="B1729" s="10"/>
      <c r="C1729" s="10"/>
      <c r="D1729" s="10"/>
      <c r="E1729" s="10"/>
      <c r="F1729" s="10"/>
      <c r="G1729" s="10"/>
      <c r="H1729" s="770"/>
      <c r="I1729" s="10"/>
      <c r="J1729" s="10"/>
      <c r="K1729" s="10"/>
      <c r="L1729" s="10"/>
      <c r="M1729" s="770"/>
      <c r="N1729" s="10"/>
      <c r="O1729" s="10"/>
      <c r="P1729" s="10"/>
      <c r="Q1729" s="10"/>
      <c r="R1729" s="10"/>
      <c r="S1729" s="10"/>
    </row>
    <row r="1730" spans="1:19" x14ac:dyDescent="0.25">
      <c r="A1730" s="10"/>
      <c r="B1730" s="10"/>
      <c r="C1730" s="10"/>
      <c r="D1730" s="10"/>
      <c r="E1730" s="10"/>
      <c r="F1730" s="10"/>
      <c r="G1730" s="10"/>
      <c r="H1730" s="770"/>
      <c r="I1730" s="10"/>
      <c r="J1730" s="10"/>
      <c r="K1730" s="10"/>
      <c r="L1730" s="10"/>
      <c r="M1730" s="770"/>
      <c r="N1730" s="10"/>
      <c r="O1730" s="10"/>
      <c r="P1730" s="10"/>
      <c r="Q1730" s="10"/>
      <c r="R1730" s="10"/>
      <c r="S1730" s="10"/>
    </row>
    <row r="1731" spans="1:19" x14ac:dyDescent="0.25">
      <c r="A1731" s="10"/>
      <c r="B1731" s="10"/>
      <c r="C1731" s="10"/>
      <c r="D1731" s="10"/>
      <c r="E1731" s="10"/>
      <c r="F1731" s="10"/>
      <c r="G1731" s="10"/>
      <c r="H1731" s="770"/>
      <c r="I1731" s="10"/>
      <c r="J1731" s="10"/>
      <c r="K1731" s="10"/>
      <c r="L1731" s="10"/>
      <c r="M1731" s="770"/>
      <c r="N1731" s="10"/>
      <c r="O1731" s="10"/>
      <c r="P1731" s="10"/>
      <c r="Q1731" s="10"/>
      <c r="R1731" s="10"/>
      <c r="S1731" s="10"/>
    </row>
    <row r="1732" spans="1:19" x14ac:dyDescent="0.25">
      <c r="A1732" s="10"/>
      <c r="B1732" s="10"/>
      <c r="C1732" s="10"/>
      <c r="D1732" s="10"/>
      <c r="E1732" s="10"/>
      <c r="F1732" s="10"/>
      <c r="G1732" s="10"/>
      <c r="H1732" s="770"/>
      <c r="I1732" s="10"/>
      <c r="J1732" s="10"/>
      <c r="K1732" s="10"/>
      <c r="L1732" s="10"/>
      <c r="M1732" s="770"/>
      <c r="N1732" s="10"/>
      <c r="O1732" s="10"/>
      <c r="P1732" s="10"/>
      <c r="Q1732" s="10"/>
      <c r="R1732" s="10"/>
      <c r="S1732" s="10"/>
    </row>
    <row r="1733" spans="1:19" x14ac:dyDescent="0.25">
      <c r="A1733" s="10"/>
      <c r="B1733" s="10"/>
      <c r="C1733" s="10"/>
      <c r="D1733" s="10"/>
      <c r="E1733" s="10"/>
      <c r="F1733" s="10"/>
      <c r="G1733" s="10"/>
      <c r="H1733" s="770"/>
      <c r="I1733" s="10"/>
      <c r="J1733" s="10"/>
      <c r="K1733" s="10"/>
      <c r="L1733" s="10"/>
      <c r="M1733" s="770"/>
      <c r="N1733" s="10"/>
      <c r="O1733" s="10"/>
      <c r="P1733" s="10"/>
      <c r="Q1733" s="10"/>
      <c r="R1733" s="10"/>
      <c r="S1733" s="10"/>
    </row>
    <row r="1734" spans="1:19" x14ac:dyDescent="0.25">
      <c r="A1734" s="10"/>
      <c r="B1734" s="10"/>
      <c r="C1734" s="10"/>
      <c r="D1734" s="10"/>
      <c r="E1734" s="10"/>
      <c r="F1734" s="10"/>
      <c r="G1734" s="10"/>
      <c r="H1734" s="770"/>
      <c r="I1734" s="10"/>
      <c r="J1734" s="10"/>
      <c r="K1734" s="10"/>
      <c r="L1734" s="10"/>
      <c r="M1734" s="770"/>
      <c r="N1734" s="10"/>
      <c r="O1734" s="10"/>
      <c r="P1734" s="10"/>
      <c r="Q1734" s="10"/>
      <c r="R1734" s="10"/>
      <c r="S1734" s="10"/>
    </row>
    <row r="1735" spans="1:19" x14ac:dyDescent="0.25">
      <c r="A1735" s="10"/>
      <c r="B1735" s="10"/>
      <c r="C1735" s="10"/>
      <c r="D1735" s="10"/>
      <c r="E1735" s="10"/>
      <c r="F1735" s="10"/>
      <c r="G1735" s="10"/>
      <c r="H1735" s="770"/>
      <c r="I1735" s="10"/>
      <c r="J1735" s="10"/>
      <c r="K1735" s="10"/>
      <c r="L1735" s="10"/>
      <c r="M1735" s="770"/>
      <c r="N1735" s="10"/>
      <c r="O1735" s="10"/>
      <c r="P1735" s="10"/>
      <c r="Q1735" s="10"/>
      <c r="R1735" s="10"/>
      <c r="S1735" s="10"/>
    </row>
    <row r="1736" spans="1:19" x14ac:dyDescent="0.25">
      <c r="A1736" s="10"/>
      <c r="B1736" s="10"/>
      <c r="C1736" s="10"/>
      <c r="D1736" s="10"/>
      <c r="E1736" s="10"/>
      <c r="F1736" s="10"/>
      <c r="G1736" s="10"/>
      <c r="H1736" s="770"/>
      <c r="I1736" s="10"/>
      <c r="J1736" s="10"/>
      <c r="K1736" s="10"/>
      <c r="L1736" s="10"/>
      <c r="M1736" s="770"/>
      <c r="N1736" s="10"/>
      <c r="O1736" s="10"/>
      <c r="P1736" s="10"/>
      <c r="Q1736" s="10"/>
      <c r="R1736" s="10"/>
      <c r="S1736" s="10"/>
    </row>
    <row r="1737" spans="1:19" x14ac:dyDescent="0.25">
      <c r="A1737" s="10"/>
      <c r="B1737" s="10"/>
      <c r="C1737" s="10"/>
      <c r="D1737" s="10"/>
      <c r="E1737" s="10"/>
      <c r="F1737" s="10"/>
      <c r="G1737" s="10"/>
      <c r="H1737" s="770"/>
      <c r="I1737" s="10"/>
      <c r="J1737" s="10"/>
      <c r="K1737" s="10"/>
      <c r="L1737" s="10"/>
      <c r="M1737" s="770"/>
      <c r="N1737" s="10"/>
      <c r="O1737" s="10"/>
      <c r="P1737" s="10"/>
      <c r="Q1737" s="10"/>
      <c r="R1737" s="10"/>
      <c r="S1737" s="10"/>
    </row>
    <row r="1738" spans="1:19" x14ac:dyDescent="0.25">
      <c r="A1738" s="10"/>
      <c r="B1738" s="10"/>
      <c r="C1738" s="10"/>
      <c r="D1738" s="10"/>
      <c r="E1738" s="10"/>
      <c r="F1738" s="10"/>
      <c r="G1738" s="10"/>
      <c r="H1738" s="770"/>
      <c r="I1738" s="10"/>
      <c r="J1738" s="10"/>
      <c r="K1738" s="10"/>
      <c r="L1738" s="10"/>
      <c r="M1738" s="770"/>
      <c r="N1738" s="10"/>
      <c r="O1738" s="10"/>
      <c r="P1738" s="10"/>
      <c r="Q1738" s="10"/>
      <c r="R1738" s="10"/>
      <c r="S1738" s="10"/>
    </row>
    <row r="1739" spans="1:19" x14ac:dyDescent="0.25">
      <c r="A1739" s="10"/>
      <c r="B1739" s="10"/>
      <c r="C1739" s="10"/>
      <c r="D1739" s="10"/>
      <c r="E1739" s="10"/>
      <c r="F1739" s="10"/>
      <c r="G1739" s="10"/>
      <c r="H1739" s="770"/>
      <c r="I1739" s="10"/>
      <c r="J1739" s="10"/>
      <c r="K1739" s="10"/>
      <c r="L1739" s="10"/>
      <c r="M1739" s="770"/>
      <c r="N1739" s="10"/>
      <c r="O1739" s="10"/>
      <c r="P1739" s="10"/>
      <c r="Q1739" s="10"/>
      <c r="R1739" s="10"/>
      <c r="S1739" s="10"/>
    </row>
    <row r="1740" spans="1:19" x14ac:dyDescent="0.25">
      <c r="A1740" s="10"/>
      <c r="B1740" s="10"/>
      <c r="C1740" s="10"/>
      <c r="D1740" s="10"/>
      <c r="E1740" s="10"/>
      <c r="F1740" s="10"/>
      <c r="G1740" s="10"/>
      <c r="H1740" s="770"/>
      <c r="I1740" s="10"/>
      <c r="J1740" s="10"/>
      <c r="K1740" s="10"/>
      <c r="L1740" s="10"/>
      <c r="M1740" s="770"/>
      <c r="N1740" s="10"/>
      <c r="O1740" s="10"/>
      <c r="P1740" s="10"/>
      <c r="Q1740" s="10"/>
      <c r="R1740" s="10"/>
      <c r="S1740" s="10"/>
    </row>
    <row r="1741" spans="1:19" x14ac:dyDescent="0.25">
      <c r="A1741" s="10"/>
      <c r="B1741" s="10"/>
      <c r="C1741" s="10"/>
      <c r="D1741" s="10"/>
      <c r="E1741" s="10"/>
      <c r="F1741" s="10"/>
      <c r="G1741" s="10"/>
      <c r="H1741" s="770"/>
      <c r="I1741" s="10"/>
      <c r="J1741" s="10"/>
      <c r="K1741" s="10"/>
      <c r="L1741" s="10"/>
      <c r="M1741" s="770"/>
      <c r="N1741" s="10"/>
      <c r="O1741" s="10"/>
      <c r="P1741" s="10"/>
      <c r="Q1741" s="10"/>
      <c r="R1741" s="10"/>
      <c r="S1741" s="10"/>
    </row>
    <row r="1742" spans="1:19" x14ac:dyDescent="0.25">
      <c r="A1742" s="10"/>
      <c r="B1742" s="10"/>
      <c r="C1742" s="10"/>
      <c r="D1742" s="10"/>
      <c r="E1742" s="10"/>
      <c r="F1742" s="10"/>
      <c r="G1742" s="10"/>
      <c r="H1742" s="770"/>
      <c r="I1742" s="10"/>
      <c r="J1742" s="10"/>
      <c r="K1742" s="10"/>
      <c r="L1742" s="10"/>
      <c r="M1742" s="770"/>
      <c r="N1742" s="10"/>
      <c r="O1742" s="10"/>
      <c r="P1742" s="10"/>
      <c r="Q1742" s="10"/>
      <c r="R1742" s="10"/>
      <c r="S1742" s="10"/>
    </row>
    <row r="1743" spans="1:19" x14ac:dyDescent="0.25">
      <c r="A1743" s="10"/>
      <c r="B1743" s="10"/>
      <c r="C1743" s="10"/>
      <c r="D1743" s="10"/>
      <c r="E1743" s="10"/>
      <c r="F1743" s="10"/>
      <c r="G1743" s="10"/>
      <c r="H1743" s="770"/>
      <c r="I1743" s="10"/>
      <c r="J1743" s="10"/>
      <c r="K1743" s="10"/>
      <c r="L1743" s="10"/>
      <c r="M1743" s="770"/>
      <c r="N1743" s="10"/>
      <c r="O1743" s="10"/>
      <c r="P1743" s="10"/>
      <c r="Q1743" s="10"/>
      <c r="R1743" s="10"/>
      <c r="S1743" s="10"/>
    </row>
    <row r="1744" spans="1:19" x14ac:dyDescent="0.25">
      <c r="A1744" s="10"/>
      <c r="B1744" s="10"/>
      <c r="C1744" s="10"/>
      <c r="D1744" s="10"/>
      <c r="E1744" s="10"/>
      <c r="F1744" s="10"/>
      <c r="G1744" s="10"/>
      <c r="H1744" s="770"/>
      <c r="I1744" s="10"/>
      <c r="J1744" s="10"/>
      <c r="K1744" s="10"/>
      <c r="L1744" s="10"/>
      <c r="M1744" s="770"/>
      <c r="N1744" s="10"/>
      <c r="O1744" s="10"/>
      <c r="P1744" s="10"/>
      <c r="Q1744" s="10"/>
      <c r="R1744" s="10"/>
      <c r="S1744" s="10"/>
    </row>
    <row r="1745" spans="1:19" x14ac:dyDescent="0.25">
      <c r="A1745" s="10"/>
      <c r="B1745" s="10"/>
      <c r="C1745" s="10"/>
      <c r="D1745" s="10"/>
      <c r="E1745" s="10"/>
      <c r="F1745" s="10"/>
      <c r="G1745" s="10"/>
      <c r="H1745" s="770"/>
      <c r="I1745" s="10"/>
      <c r="J1745" s="10"/>
      <c r="K1745" s="10"/>
      <c r="L1745" s="10"/>
      <c r="M1745" s="770"/>
      <c r="N1745" s="10"/>
      <c r="O1745" s="10"/>
      <c r="P1745" s="10"/>
      <c r="Q1745" s="10"/>
      <c r="R1745" s="10"/>
      <c r="S1745" s="10"/>
    </row>
    <row r="1746" spans="1:19" x14ac:dyDescent="0.25">
      <c r="A1746" s="10"/>
      <c r="B1746" s="10"/>
      <c r="C1746" s="10"/>
      <c r="D1746" s="10"/>
      <c r="E1746" s="10"/>
      <c r="F1746" s="10"/>
      <c r="G1746" s="10"/>
      <c r="H1746" s="770"/>
      <c r="I1746" s="10"/>
      <c r="J1746" s="10"/>
      <c r="K1746" s="10"/>
      <c r="L1746" s="10"/>
      <c r="M1746" s="770"/>
      <c r="N1746" s="10"/>
      <c r="O1746" s="10"/>
      <c r="P1746" s="10"/>
      <c r="Q1746" s="10"/>
      <c r="R1746" s="10"/>
      <c r="S1746" s="10"/>
    </row>
    <row r="1747" spans="1:19" x14ac:dyDescent="0.25">
      <c r="A1747" s="10"/>
      <c r="B1747" s="10"/>
      <c r="C1747" s="10"/>
      <c r="D1747" s="10"/>
      <c r="E1747" s="10"/>
      <c r="F1747" s="10"/>
      <c r="G1747" s="10"/>
      <c r="H1747" s="770"/>
      <c r="I1747" s="10"/>
      <c r="J1747" s="10"/>
      <c r="K1747" s="10"/>
      <c r="L1747" s="10"/>
      <c r="M1747" s="770"/>
      <c r="N1747" s="10"/>
      <c r="O1747" s="10"/>
      <c r="P1747" s="10"/>
      <c r="Q1747" s="10"/>
      <c r="R1747" s="10"/>
      <c r="S1747" s="10"/>
    </row>
    <row r="1748" spans="1:19" x14ac:dyDescent="0.25">
      <c r="A1748" s="10"/>
      <c r="B1748" s="10"/>
      <c r="C1748" s="10"/>
      <c r="D1748" s="10"/>
      <c r="E1748" s="10"/>
      <c r="F1748" s="10"/>
      <c r="G1748" s="10"/>
      <c r="H1748" s="770"/>
      <c r="I1748" s="10"/>
      <c r="J1748" s="10"/>
      <c r="K1748" s="10"/>
      <c r="L1748" s="10"/>
      <c r="M1748" s="770"/>
      <c r="N1748" s="10"/>
      <c r="O1748" s="10"/>
      <c r="P1748" s="10"/>
      <c r="Q1748" s="10"/>
      <c r="R1748" s="10"/>
      <c r="S1748" s="10"/>
    </row>
    <row r="1749" spans="1:19" x14ac:dyDescent="0.25">
      <c r="A1749" s="10"/>
      <c r="B1749" s="10"/>
      <c r="C1749" s="10"/>
      <c r="D1749" s="10"/>
      <c r="E1749" s="10"/>
      <c r="F1749" s="10"/>
      <c r="G1749" s="10"/>
      <c r="H1749" s="770"/>
      <c r="I1749" s="10"/>
      <c r="J1749" s="10"/>
      <c r="K1749" s="10"/>
      <c r="L1749" s="10"/>
      <c r="M1749" s="770"/>
      <c r="N1749" s="10"/>
      <c r="O1749" s="10"/>
      <c r="P1749" s="10"/>
      <c r="Q1749" s="10"/>
      <c r="R1749" s="10"/>
      <c r="S1749" s="10"/>
    </row>
    <row r="1750" spans="1:19" x14ac:dyDescent="0.25">
      <c r="A1750" s="10"/>
      <c r="B1750" s="10"/>
      <c r="C1750" s="10"/>
      <c r="D1750" s="10"/>
      <c r="E1750" s="10"/>
      <c r="F1750" s="10"/>
      <c r="G1750" s="10"/>
      <c r="H1750" s="770"/>
      <c r="I1750" s="10"/>
      <c r="J1750" s="10"/>
      <c r="K1750" s="10"/>
      <c r="L1750" s="10"/>
      <c r="M1750" s="770"/>
      <c r="N1750" s="10"/>
      <c r="O1750" s="10"/>
      <c r="P1750" s="10"/>
      <c r="Q1750" s="10"/>
      <c r="R1750" s="10"/>
      <c r="S1750" s="10"/>
    </row>
    <row r="1751" spans="1:19" x14ac:dyDescent="0.25">
      <c r="A1751" s="10"/>
      <c r="B1751" s="10"/>
      <c r="C1751" s="10"/>
      <c r="D1751" s="10"/>
      <c r="E1751" s="10"/>
      <c r="F1751" s="10"/>
      <c r="G1751" s="10"/>
      <c r="H1751" s="770"/>
      <c r="I1751" s="10"/>
      <c r="J1751" s="10"/>
      <c r="K1751" s="10"/>
      <c r="L1751" s="10"/>
      <c r="M1751" s="770"/>
      <c r="N1751" s="10"/>
      <c r="O1751" s="10"/>
      <c r="P1751" s="10"/>
      <c r="Q1751" s="10"/>
      <c r="R1751" s="10"/>
      <c r="S1751" s="10"/>
    </row>
    <row r="1752" spans="1:19" x14ac:dyDescent="0.25">
      <c r="A1752" s="10"/>
      <c r="B1752" s="10"/>
      <c r="C1752" s="10"/>
      <c r="D1752" s="10"/>
      <c r="E1752" s="10"/>
      <c r="F1752" s="10"/>
      <c r="G1752" s="10"/>
      <c r="H1752" s="770"/>
      <c r="I1752" s="10"/>
      <c r="J1752" s="10"/>
      <c r="K1752" s="10"/>
      <c r="L1752" s="10"/>
      <c r="M1752" s="770"/>
      <c r="N1752" s="10"/>
      <c r="O1752" s="10"/>
      <c r="P1752" s="10"/>
      <c r="Q1752" s="10"/>
      <c r="R1752" s="10"/>
      <c r="S1752" s="10"/>
    </row>
    <row r="1753" spans="1:19" x14ac:dyDescent="0.25">
      <c r="A1753" s="10"/>
      <c r="B1753" s="10"/>
      <c r="C1753" s="10"/>
      <c r="D1753" s="10"/>
      <c r="E1753" s="10"/>
      <c r="F1753" s="10"/>
      <c r="G1753" s="10"/>
      <c r="H1753" s="770"/>
      <c r="I1753" s="10"/>
      <c r="J1753" s="10"/>
      <c r="K1753" s="10"/>
      <c r="L1753" s="10"/>
      <c r="M1753" s="770"/>
      <c r="N1753" s="10"/>
      <c r="O1753" s="10"/>
      <c r="P1753" s="10"/>
      <c r="Q1753" s="10"/>
      <c r="R1753" s="10"/>
      <c r="S1753" s="10"/>
    </row>
    <row r="1754" spans="1:19" x14ac:dyDescent="0.25">
      <c r="A1754" s="10"/>
      <c r="B1754" s="10"/>
      <c r="C1754" s="10"/>
      <c r="D1754" s="10"/>
      <c r="E1754" s="10"/>
      <c r="F1754" s="10"/>
      <c r="G1754" s="10"/>
      <c r="H1754" s="770"/>
      <c r="I1754" s="10"/>
      <c r="J1754" s="10"/>
      <c r="K1754" s="10"/>
      <c r="L1754" s="10"/>
      <c r="M1754" s="770"/>
      <c r="N1754" s="10"/>
      <c r="O1754" s="10"/>
      <c r="P1754" s="10"/>
      <c r="Q1754" s="10"/>
      <c r="R1754" s="10"/>
      <c r="S1754" s="10"/>
    </row>
    <row r="1755" spans="1:19" x14ac:dyDescent="0.25">
      <c r="A1755" s="10"/>
      <c r="B1755" s="10"/>
      <c r="C1755" s="10"/>
      <c r="D1755" s="10"/>
      <c r="E1755" s="10"/>
      <c r="F1755" s="10"/>
      <c r="G1755" s="10"/>
      <c r="H1755" s="770"/>
      <c r="I1755" s="10"/>
      <c r="J1755" s="10"/>
      <c r="K1755" s="10"/>
      <c r="L1755" s="10"/>
      <c r="M1755" s="770"/>
      <c r="N1755" s="10"/>
      <c r="O1755" s="10"/>
      <c r="P1755" s="10"/>
      <c r="Q1755" s="10"/>
      <c r="R1755" s="10"/>
      <c r="S1755" s="10"/>
    </row>
    <row r="1756" spans="1:19" x14ac:dyDescent="0.25">
      <c r="A1756" s="10"/>
      <c r="B1756" s="10"/>
      <c r="C1756" s="10"/>
      <c r="D1756" s="10"/>
      <c r="E1756" s="10"/>
      <c r="F1756" s="10"/>
      <c r="G1756" s="10"/>
      <c r="H1756" s="770"/>
      <c r="I1756" s="10"/>
      <c r="J1756" s="10"/>
      <c r="K1756" s="10"/>
      <c r="L1756" s="10"/>
      <c r="M1756" s="770"/>
      <c r="N1756" s="10"/>
      <c r="O1756" s="10"/>
      <c r="P1756" s="10"/>
      <c r="Q1756" s="10"/>
      <c r="R1756" s="10"/>
      <c r="S1756" s="10"/>
    </row>
    <row r="1757" spans="1:19" x14ac:dyDescent="0.25">
      <c r="A1757" s="10"/>
      <c r="B1757" s="10"/>
      <c r="C1757" s="10"/>
      <c r="D1757" s="10"/>
      <c r="E1757" s="10"/>
      <c r="F1757" s="10"/>
      <c r="G1757" s="10"/>
      <c r="H1757" s="770"/>
      <c r="I1757" s="10"/>
      <c r="J1757" s="10"/>
      <c r="K1757" s="10"/>
      <c r="L1757" s="10"/>
      <c r="M1757" s="770"/>
      <c r="N1757" s="10"/>
      <c r="O1757" s="10"/>
      <c r="P1757" s="10"/>
      <c r="Q1757" s="10"/>
      <c r="R1757" s="10"/>
      <c r="S1757" s="10"/>
    </row>
    <row r="1758" spans="1:19" x14ac:dyDescent="0.25">
      <c r="A1758" s="10"/>
      <c r="B1758" s="10"/>
      <c r="C1758" s="10"/>
      <c r="D1758" s="10"/>
      <c r="E1758" s="10"/>
      <c r="F1758" s="10"/>
      <c r="G1758" s="10"/>
      <c r="H1758" s="770"/>
      <c r="I1758" s="10"/>
      <c r="J1758" s="10"/>
      <c r="K1758" s="10"/>
      <c r="L1758" s="10"/>
      <c r="M1758" s="770"/>
      <c r="N1758" s="10"/>
      <c r="O1758" s="10"/>
      <c r="P1758" s="10"/>
      <c r="Q1758" s="10"/>
      <c r="R1758" s="10"/>
      <c r="S1758" s="10"/>
    </row>
    <row r="1759" spans="1:19" x14ac:dyDescent="0.25">
      <c r="A1759" s="10"/>
      <c r="B1759" s="10"/>
      <c r="C1759" s="10"/>
      <c r="D1759" s="10"/>
      <c r="E1759" s="10"/>
      <c r="F1759" s="10"/>
      <c r="G1759" s="10"/>
      <c r="H1759" s="770"/>
      <c r="I1759" s="10"/>
      <c r="J1759" s="10"/>
      <c r="K1759" s="10"/>
      <c r="L1759" s="10"/>
      <c r="M1759" s="770"/>
      <c r="N1759" s="10"/>
      <c r="O1759" s="10"/>
      <c r="P1759" s="10"/>
      <c r="Q1759" s="10"/>
      <c r="R1759" s="10"/>
      <c r="S1759" s="10"/>
    </row>
    <row r="1760" spans="1:19" x14ac:dyDescent="0.25">
      <c r="A1760" s="10"/>
      <c r="B1760" s="10"/>
      <c r="C1760" s="10"/>
      <c r="D1760" s="10"/>
      <c r="E1760" s="10"/>
      <c r="F1760" s="10"/>
      <c r="G1760" s="10"/>
      <c r="H1760" s="770"/>
      <c r="I1760" s="10"/>
      <c r="J1760" s="10"/>
      <c r="K1760" s="10"/>
      <c r="L1760" s="10"/>
      <c r="M1760" s="770"/>
      <c r="N1760" s="10"/>
      <c r="O1760" s="10"/>
      <c r="P1760" s="10"/>
      <c r="Q1760" s="10"/>
      <c r="R1760" s="10"/>
      <c r="S1760" s="10"/>
    </row>
    <row r="1761" spans="1:19" x14ac:dyDescent="0.25">
      <c r="A1761" s="10"/>
      <c r="B1761" s="10"/>
      <c r="C1761" s="10"/>
      <c r="D1761" s="10"/>
      <c r="E1761" s="10"/>
      <c r="F1761" s="10"/>
      <c r="G1761" s="10"/>
      <c r="H1761" s="770"/>
      <c r="I1761" s="10"/>
      <c r="J1761" s="10"/>
      <c r="K1761" s="10"/>
      <c r="L1761" s="10"/>
      <c r="M1761" s="770"/>
      <c r="N1761" s="10"/>
      <c r="O1761" s="10"/>
      <c r="P1761" s="10"/>
      <c r="Q1761" s="10"/>
      <c r="R1761" s="10"/>
      <c r="S1761" s="10"/>
    </row>
    <row r="1762" spans="1:19" x14ac:dyDescent="0.25">
      <c r="A1762" s="10"/>
      <c r="B1762" s="10"/>
      <c r="C1762" s="10"/>
      <c r="D1762" s="10"/>
      <c r="E1762" s="10"/>
      <c r="F1762" s="10"/>
      <c r="G1762" s="10"/>
      <c r="H1762" s="770"/>
      <c r="I1762" s="10"/>
      <c r="J1762" s="10"/>
      <c r="K1762" s="10"/>
      <c r="L1762" s="10"/>
      <c r="M1762" s="770"/>
      <c r="N1762" s="10"/>
      <c r="O1762" s="10"/>
      <c r="P1762" s="10"/>
      <c r="Q1762" s="10"/>
      <c r="R1762" s="10"/>
      <c r="S1762" s="10"/>
    </row>
    <row r="1763" spans="1:19" x14ac:dyDescent="0.25">
      <c r="A1763" s="10"/>
      <c r="B1763" s="10"/>
      <c r="C1763" s="10"/>
      <c r="D1763" s="10"/>
      <c r="E1763" s="10"/>
      <c r="F1763" s="10"/>
      <c r="G1763" s="10"/>
      <c r="H1763" s="770"/>
      <c r="I1763" s="10"/>
      <c r="J1763" s="10"/>
      <c r="K1763" s="10"/>
      <c r="L1763" s="10"/>
      <c r="M1763" s="770"/>
      <c r="N1763" s="10"/>
      <c r="O1763" s="10"/>
      <c r="P1763" s="10"/>
      <c r="Q1763" s="10"/>
      <c r="R1763" s="10"/>
      <c r="S1763" s="10"/>
    </row>
    <row r="1764" spans="1:19" x14ac:dyDescent="0.25">
      <c r="A1764" s="10"/>
      <c r="B1764" s="10"/>
      <c r="C1764" s="10"/>
      <c r="D1764" s="10"/>
      <c r="E1764" s="10"/>
      <c r="F1764" s="10"/>
      <c r="G1764" s="10"/>
      <c r="H1764" s="770"/>
      <c r="I1764" s="10"/>
      <c r="J1764" s="10"/>
      <c r="K1764" s="10"/>
      <c r="L1764" s="10"/>
      <c r="M1764" s="770"/>
      <c r="N1764" s="10"/>
      <c r="O1764" s="10"/>
      <c r="P1764" s="10"/>
      <c r="Q1764" s="10"/>
      <c r="R1764" s="10"/>
      <c r="S1764" s="10"/>
    </row>
    <row r="1765" spans="1:19" x14ac:dyDescent="0.25">
      <c r="A1765" s="10"/>
      <c r="B1765" s="10"/>
      <c r="C1765" s="10"/>
      <c r="D1765" s="10"/>
      <c r="E1765" s="10"/>
      <c r="F1765" s="10"/>
      <c r="G1765" s="10"/>
      <c r="H1765" s="770"/>
      <c r="I1765" s="10"/>
      <c r="J1765" s="10"/>
      <c r="K1765" s="10"/>
      <c r="L1765" s="10"/>
      <c r="M1765" s="770"/>
      <c r="N1765" s="10"/>
      <c r="O1765" s="10"/>
      <c r="P1765" s="10"/>
      <c r="Q1765" s="10"/>
      <c r="R1765" s="10"/>
      <c r="S1765" s="10"/>
    </row>
    <row r="1766" spans="1:19" x14ac:dyDescent="0.25">
      <c r="A1766" s="10"/>
      <c r="B1766" s="10"/>
      <c r="C1766" s="10"/>
      <c r="D1766" s="10"/>
      <c r="E1766" s="10"/>
      <c r="F1766" s="10"/>
      <c r="G1766" s="10"/>
      <c r="H1766" s="770"/>
      <c r="I1766" s="10"/>
      <c r="J1766" s="10"/>
      <c r="K1766" s="10"/>
      <c r="L1766" s="10"/>
      <c r="M1766" s="770"/>
      <c r="N1766" s="10"/>
      <c r="O1766" s="10"/>
      <c r="P1766" s="10"/>
      <c r="Q1766" s="10"/>
      <c r="R1766" s="10"/>
      <c r="S1766" s="10"/>
    </row>
    <row r="1767" spans="1:19" x14ac:dyDescent="0.25">
      <c r="A1767" s="10"/>
      <c r="B1767" s="10"/>
      <c r="C1767" s="10"/>
      <c r="D1767" s="10"/>
      <c r="E1767" s="10"/>
      <c r="F1767" s="10"/>
      <c r="G1767" s="10"/>
      <c r="H1767" s="770"/>
      <c r="I1767" s="10"/>
      <c r="J1767" s="10"/>
      <c r="K1767" s="10"/>
      <c r="L1767" s="10"/>
      <c r="M1767" s="770"/>
      <c r="N1767" s="10"/>
      <c r="O1767" s="10"/>
      <c r="P1767" s="10"/>
      <c r="Q1767" s="10"/>
      <c r="R1767" s="10"/>
      <c r="S1767" s="10"/>
    </row>
    <row r="1768" spans="1:19" x14ac:dyDescent="0.25">
      <c r="A1768" s="10"/>
      <c r="B1768" s="10"/>
      <c r="C1768" s="10"/>
      <c r="D1768" s="10"/>
      <c r="E1768" s="10"/>
      <c r="F1768" s="10"/>
      <c r="G1768" s="10"/>
      <c r="H1768" s="770"/>
      <c r="I1768" s="10"/>
      <c r="J1768" s="10"/>
      <c r="K1768" s="10"/>
      <c r="L1768" s="10"/>
      <c r="M1768" s="770"/>
      <c r="N1768" s="10"/>
      <c r="O1768" s="10"/>
      <c r="P1768" s="10"/>
      <c r="Q1768" s="10"/>
      <c r="R1768" s="10"/>
      <c r="S1768" s="10"/>
    </row>
    <row r="1769" spans="1:19" x14ac:dyDescent="0.25">
      <c r="A1769" s="10"/>
      <c r="B1769" s="10"/>
      <c r="C1769" s="10"/>
      <c r="D1769" s="10"/>
      <c r="E1769" s="10"/>
      <c r="F1769" s="10"/>
      <c r="G1769" s="10"/>
      <c r="H1769" s="770"/>
      <c r="I1769" s="10"/>
      <c r="J1769" s="10"/>
      <c r="K1769" s="10"/>
      <c r="L1769" s="10"/>
      <c r="M1769" s="770"/>
      <c r="N1769" s="10"/>
      <c r="O1769" s="10"/>
      <c r="P1769" s="10"/>
      <c r="Q1769" s="10"/>
      <c r="R1769" s="10"/>
      <c r="S1769" s="10"/>
    </row>
    <row r="1770" spans="1:19" x14ac:dyDescent="0.25">
      <c r="A1770" s="10"/>
      <c r="B1770" s="10"/>
      <c r="C1770" s="10"/>
      <c r="D1770" s="10"/>
      <c r="E1770" s="10"/>
      <c r="F1770" s="10"/>
      <c r="G1770" s="10"/>
      <c r="H1770" s="770"/>
      <c r="I1770" s="10"/>
      <c r="J1770" s="10"/>
      <c r="K1770" s="10"/>
      <c r="L1770" s="10"/>
      <c r="M1770" s="770"/>
      <c r="N1770" s="10"/>
      <c r="O1770" s="10"/>
      <c r="P1770" s="10"/>
      <c r="Q1770" s="10"/>
      <c r="R1770" s="10"/>
      <c r="S1770" s="10"/>
    </row>
    <row r="1771" spans="1:19" x14ac:dyDescent="0.25">
      <c r="A1771" s="10"/>
      <c r="B1771" s="10"/>
      <c r="C1771" s="10"/>
      <c r="D1771" s="10"/>
      <c r="E1771" s="10"/>
      <c r="F1771" s="10"/>
      <c r="G1771" s="10"/>
      <c r="H1771" s="770"/>
      <c r="I1771" s="10"/>
      <c r="J1771" s="10"/>
      <c r="K1771" s="10"/>
      <c r="L1771" s="10"/>
      <c r="M1771" s="770"/>
      <c r="N1771" s="10"/>
      <c r="O1771" s="10"/>
      <c r="P1771" s="10"/>
      <c r="Q1771" s="10"/>
      <c r="R1771" s="10"/>
      <c r="S1771" s="10"/>
    </row>
    <row r="1772" spans="1:19" x14ac:dyDescent="0.25">
      <c r="A1772" s="10"/>
      <c r="B1772" s="10"/>
      <c r="C1772" s="10"/>
      <c r="D1772" s="10"/>
      <c r="E1772" s="10"/>
      <c r="F1772" s="10"/>
      <c r="G1772" s="10"/>
      <c r="H1772" s="770"/>
      <c r="I1772" s="10"/>
      <c r="J1772" s="10"/>
      <c r="K1772" s="10"/>
      <c r="L1772" s="10"/>
      <c r="M1772" s="770"/>
      <c r="N1772" s="10"/>
      <c r="O1772" s="10"/>
      <c r="P1772" s="10"/>
      <c r="Q1772" s="10"/>
      <c r="R1772" s="10"/>
      <c r="S1772" s="10"/>
    </row>
    <row r="1773" spans="1:19" x14ac:dyDescent="0.25">
      <c r="A1773" s="10"/>
      <c r="B1773" s="10"/>
      <c r="C1773" s="10"/>
      <c r="D1773" s="10"/>
      <c r="E1773" s="10"/>
      <c r="F1773" s="10"/>
      <c r="G1773" s="10"/>
      <c r="H1773" s="770"/>
      <c r="I1773" s="10"/>
      <c r="J1773" s="10"/>
      <c r="K1773" s="10"/>
      <c r="L1773" s="10"/>
      <c r="M1773" s="770"/>
      <c r="N1773" s="10"/>
      <c r="O1773" s="10"/>
      <c r="P1773" s="10"/>
      <c r="Q1773" s="10"/>
      <c r="R1773" s="10"/>
      <c r="S1773" s="10"/>
    </row>
    <row r="1774" spans="1:19" x14ac:dyDescent="0.25">
      <c r="A1774" s="10"/>
      <c r="B1774" s="10"/>
      <c r="C1774" s="10"/>
      <c r="D1774" s="10"/>
      <c r="E1774" s="10"/>
      <c r="F1774" s="10"/>
      <c r="G1774" s="10"/>
      <c r="H1774" s="770"/>
      <c r="I1774" s="10"/>
      <c r="J1774" s="10"/>
      <c r="K1774" s="10"/>
      <c r="L1774" s="10"/>
      <c r="M1774" s="770"/>
      <c r="N1774" s="10"/>
      <c r="O1774" s="10"/>
      <c r="P1774" s="10"/>
      <c r="Q1774" s="10"/>
      <c r="R1774" s="10"/>
      <c r="S1774" s="10"/>
    </row>
    <row r="1775" spans="1:19" x14ac:dyDescent="0.25">
      <c r="A1775" s="10"/>
      <c r="B1775" s="10"/>
      <c r="C1775" s="10"/>
      <c r="D1775" s="10"/>
      <c r="E1775" s="10"/>
      <c r="F1775" s="10"/>
      <c r="G1775" s="10"/>
      <c r="H1775" s="770"/>
      <c r="I1775" s="10"/>
      <c r="J1775" s="10"/>
      <c r="K1775" s="10"/>
      <c r="L1775" s="10"/>
      <c r="M1775" s="770"/>
      <c r="N1775" s="10"/>
      <c r="O1775" s="10"/>
      <c r="P1775" s="10"/>
      <c r="Q1775" s="10"/>
      <c r="R1775" s="10"/>
      <c r="S1775" s="10"/>
    </row>
    <row r="1776" spans="1:19" x14ac:dyDescent="0.25">
      <c r="A1776" s="10"/>
      <c r="B1776" s="10"/>
      <c r="C1776" s="10"/>
      <c r="D1776" s="10"/>
      <c r="E1776" s="10"/>
      <c r="F1776" s="10"/>
      <c r="G1776" s="10"/>
      <c r="H1776" s="770"/>
      <c r="I1776" s="10"/>
      <c r="J1776" s="10"/>
      <c r="K1776" s="10"/>
      <c r="L1776" s="10"/>
      <c r="M1776" s="770"/>
      <c r="N1776" s="10"/>
      <c r="O1776" s="10"/>
      <c r="P1776" s="10"/>
      <c r="Q1776" s="10"/>
      <c r="R1776" s="10"/>
      <c r="S1776" s="10"/>
    </row>
    <row r="1777" spans="1:19" x14ac:dyDescent="0.25">
      <c r="A1777" s="10"/>
      <c r="B1777" s="10"/>
      <c r="C1777" s="10"/>
      <c r="D1777" s="10"/>
      <c r="E1777" s="10"/>
      <c r="F1777" s="10"/>
      <c r="G1777" s="10"/>
      <c r="H1777" s="770"/>
      <c r="I1777" s="10"/>
      <c r="J1777" s="10"/>
      <c r="K1777" s="10"/>
      <c r="L1777" s="10"/>
      <c r="M1777" s="770"/>
      <c r="N1777" s="10"/>
      <c r="O1777" s="10"/>
      <c r="P1777" s="10"/>
      <c r="Q1777" s="10"/>
      <c r="R1777" s="10"/>
      <c r="S1777" s="10"/>
    </row>
    <row r="1778" spans="1:19" x14ac:dyDescent="0.25">
      <c r="A1778" s="10"/>
      <c r="B1778" s="10"/>
      <c r="C1778" s="10"/>
      <c r="D1778" s="10"/>
      <c r="E1778" s="10"/>
      <c r="F1778" s="10"/>
      <c r="G1778" s="10"/>
      <c r="H1778" s="770"/>
      <c r="I1778" s="10"/>
      <c r="J1778" s="10"/>
      <c r="K1778" s="10"/>
      <c r="L1778" s="10"/>
      <c r="M1778" s="770"/>
      <c r="N1778" s="10"/>
      <c r="O1778" s="10"/>
      <c r="P1778" s="10"/>
      <c r="Q1778" s="10"/>
      <c r="R1778" s="10"/>
      <c r="S1778" s="10"/>
    </row>
    <row r="1779" spans="1:19" x14ac:dyDescent="0.25">
      <c r="A1779" s="10"/>
      <c r="B1779" s="10"/>
      <c r="C1779" s="10"/>
      <c r="D1779" s="10"/>
      <c r="E1779" s="10"/>
      <c r="F1779" s="10"/>
      <c r="G1779" s="10"/>
      <c r="H1779" s="770"/>
      <c r="I1779" s="10"/>
      <c r="J1779" s="10"/>
      <c r="K1779" s="10"/>
      <c r="L1779" s="10"/>
      <c r="M1779" s="770"/>
      <c r="N1779" s="10"/>
      <c r="O1779" s="10"/>
      <c r="P1779" s="10"/>
      <c r="Q1779" s="10"/>
      <c r="R1779" s="10"/>
      <c r="S1779" s="10"/>
    </row>
    <row r="1780" spans="1:19" x14ac:dyDescent="0.25">
      <c r="A1780" s="10"/>
      <c r="B1780" s="10"/>
      <c r="C1780" s="10"/>
      <c r="D1780" s="10"/>
      <c r="E1780" s="10"/>
      <c r="F1780" s="10"/>
      <c r="G1780" s="10"/>
      <c r="H1780" s="770"/>
      <c r="I1780" s="10"/>
      <c r="J1780" s="10"/>
      <c r="K1780" s="10"/>
      <c r="L1780" s="10"/>
      <c r="M1780" s="770"/>
      <c r="N1780" s="10"/>
      <c r="O1780" s="10"/>
      <c r="P1780" s="10"/>
      <c r="Q1780" s="10"/>
      <c r="R1780" s="10"/>
      <c r="S1780" s="10"/>
    </row>
    <row r="1781" spans="1:19" x14ac:dyDescent="0.25">
      <c r="A1781" s="10"/>
      <c r="B1781" s="10"/>
      <c r="C1781" s="10"/>
      <c r="D1781" s="10"/>
      <c r="E1781" s="10"/>
      <c r="F1781" s="10"/>
      <c r="G1781" s="10"/>
      <c r="H1781" s="770"/>
      <c r="I1781" s="10"/>
      <c r="J1781" s="10"/>
      <c r="K1781" s="10"/>
      <c r="L1781" s="10"/>
      <c r="M1781" s="770"/>
      <c r="N1781" s="10"/>
      <c r="O1781" s="10"/>
      <c r="P1781" s="10"/>
      <c r="Q1781" s="10"/>
      <c r="R1781" s="10"/>
      <c r="S1781" s="10"/>
    </row>
    <row r="1782" spans="1:19" x14ac:dyDescent="0.25">
      <c r="A1782" s="10"/>
      <c r="B1782" s="10"/>
      <c r="C1782" s="10"/>
      <c r="D1782" s="10"/>
      <c r="E1782" s="10"/>
      <c r="F1782" s="10"/>
      <c r="G1782" s="10"/>
      <c r="H1782" s="770"/>
      <c r="I1782" s="10"/>
      <c r="J1782" s="10"/>
      <c r="K1782" s="10"/>
      <c r="L1782" s="10"/>
      <c r="M1782" s="770"/>
      <c r="N1782" s="10"/>
      <c r="O1782" s="10"/>
      <c r="P1782" s="10"/>
      <c r="Q1782" s="10"/>
      <c r="R1782" s="10"/>
      <c r="S1782" s="10"/>
    </row>
    <row r="1783" spans="1:19" x14ac:dyDescent="0.25">
      <c r="A1783" s="10"/>
      <c r="B1783" s="10"/>
      <c r="C1783" s="10"/>
      <c r="D1783" s="10"/>
      <c r="E1783" s="10"/>
      <c r="F1783" s="10"/>
      <c r="G1783" s="10"/>
      <c r="H1783" s="770"/>
      <c r="I1783" s="10"/>
      <c r="J1783" s="10"/>
      <c r="K1783" s="10"/>
      <c r="L1783" s="10"/>
      <c r="M1783" s="770"/>
      <c r="N1783" s="10"/>
      <c r="O1783" s="10"/>
      <c r="P1783" s="10"/>
      <c r="Q1783" s="10"/>
      <c r="R1783" s="10"/>
      <c r="S1783" s="10"/>
    </row>
    <row r="1784" spans="1:19" x14ac:dyDescent="0.25">
      <c r="A1784" s="10"/>
      <c r="B1784" s="10"/>
      <c r="C1784" s="10"/>
      <c r="D1784" s="10"/>
      <c r="E1784" s="10"/>
      <c r="F1784" s="10"/>
      <c r="G1784" s="10"/>
      <c r="H1784" s="770"/>
      <c r="I1784" s="10"/>
      <c r="J1784" s="10"/>
      <c r="K1784" s="10"/>
      <c r="L1784" s="10"/>
      <c r="M1784" s="770"/>
      <c r="N1784" s="10"/>
      <c r="O1784" s="10"/>
      <c r="P1784" s="10"/>
      <c r="Q1784" s="10"/>
      <c r="R1784" s="10"/>
      <c r="S1784" s="10"/>
    </row>
    <row r="1785" spans="1:19" x14ac:dyDescent="0.25">
      <c r="A1785" s="10"/>
      <c r="B1785" s="10"/>
      <c r="C1785" s="10"/>
      <c r="D1785" s="10"/>
      <c r="E1785" s="10"/>
      <c r="F1785" s="10"/>
      <c r="G1785" s="10"/>
      <c r="H1785" s="770"/>
      <c r="I1785" s="10"/>
      <c r="J1785" s="10"/>
      <c r="K1785" s="10"/>
      <c r="L1785" s="10"/>
      <c r="M1785" s="770"/>
      <c r="N1785" s="10"/>
      <c r="O1785" s="10"/>
      <c r="P1785" s="10"/>
      <c r="Q1785" s="10"/>
      <c r="R1785" s="10"/>
      <c r="S1785" s="10"/>
    </row>
    <row r="1786" spans="1:19" x14ac:dyDescent="0.25">
      <c r="A1786" s="10"/>
      <c r="B1786" s="10"/>
      <c r="C1786" s="10"/>
      <c r="D1786" s="10"/>
      <c r="E1786" s="10"/>
      <c r="F1786" s="10"/>
      <c r="G1786" s="10"/>
      <c r="H1786" s="770"/>
      <c r="I1786" s="10"/>
      <c r="J1786" s="10"/>
      <c r="K1786" s="10"/>
      <c r="L1786" s="10"/>
      <c r="M1786" s="770"/>
      <c r="N1786" s="10"/>
      <c r="O1786" s="10"/>
      <c r="P1786" s="10"/>
      <c r="Q1786" s="10"/>
      <c r="R1786" s="10"/>
      <c r="S1786" s="10"/>
    </row>
    <row r="1787" spans="1:19" x14ac:dyDescent="0.25">
      <c r="A1787" s="10"/>
      <c r="B1787" s="10"/>
      <c r="C1787" s="10"/>
      <c r="D1787" s="10"/>
      <c r="E1787" s="10"/>
      <c r="F1787" s="10"/>
      <c r="G1787" s="10"/>
      <c r="H1787" s="770"/>
      <c r="I1787" s="10"/>
      <c r="J1787" s="10"/>
      <c r="K1787" s="10"/>
      <c r="L1787" s="10"/>
      <c r="M1787" s="770"/>
      <c r="N1787" s="10"/>
      <c r="O1787" s="10"/>
      <c r="P1787" s="10"/>
      <c r="Q1787" s="10"/>
      <c r="R1787" s="10"/>
      <c r="S1787" s="10"/>
    </row>
    <row r="1788" spans="1:19" x14ac:dyDescent="0.25">
      <c r="A1788" s="10"/>
      <c r="B1788" s="10"/>
      <c r="C1788" s="10"/>
      <c r="D1788" s="10"/>
      <c r="E1788" s="10"/>
      <c r="F1788" s="10"/>
      <c r="G1788" s="10"/>
      <c r="H1788" s="770"/>
      <c r="I1788" s="10"/>
      <c r="J1788" s="10"/>
      <c r="K1788" s="10"/>
      <c r="L1788" s="10"/>
      <c r="M1788" s="770"/>
      <c r="N1788" s="10"/>
      <c r="O1788" s="10"/>
      <c r="P1788" s="10"/>
      <c r="Q1788" s="10"/>
      <c r="R1788" s="10"/>
      <c r="S1788" s="10"/>
    </row>
    <row r="1789" spans="1:19" x14ac:dyDescent="0.25">
      <c r="A1789" s="10"/>
      <c r="B1789" s="10"/>
      <c r="C1789" s="10"/>
      <c r="D1789" s="10"/>
      <c r="E1789" s="10"/>
      <c r="F1789" s="10"/>
      <c r="G1789" s="10"/>
      <c r="H1789" s="770"/>
      <c r="I1789" s="10"/>
      <c r="J1789" s="10"/>
      <c r="K1789" s="10"/>
      <c r="L1789" s="10"/>
      <c r="M1789" s="770"/>
      <c r="N1789" s="10"/>
      <c r="O1789" s="10"/>
      <c r="P1789" s="10"/>
      <c r="Q1789" s="10"/>
      <c r="R1789" s="10"/>
      <c r="S1789" s="10"/>
    </row>
    <row r="1790" spans="1:19" x14ac:dyDescent="0.25">
      <c r="A1790" s="10"/>
      <c r="B1790" s="10"/>
      <c r="C1790" s="10"/>
      <c r="D1790" s="10"/>
      <c r="E1790" s="10"/>
      <c r="F1790" s="10"/>
      <c r="G1790" s="10"/>
      <c r="H1790" s="770"/>
      <c r="I1790" s="10"/>
      <c r="J1790" s="10"/>
      <c r="K1790" s="10"/>
      <c r="L1790" s="10"/>
      <c r="M1790" s="770"/>
      <c r="N1790" s="10"/>
      <c r="O1790" s="10"/>
      <c r="P1790" s="10"/>
      <c r="Q1790" s="10"/>
      <c r="R1790" s="10"/>
      <c r="S1790" s="10"/>
    </row>
    <row r="1791" spans="1:19" x14ac:dyDescent="0.25">
      <c r="A1791" s="10"/>
      <c r="B1791" s="10"/>
      <c r="C1791" s="10"/>
      <c r="D1791" s="10"/>
      <c r="E1791" s="10"/>
      <c r="F1791" s="10"/>
      <c r="G1791" s="10"/>
      <c r="H1791" s="770"/>
      <c r="I1791" s="10"/>
      <c r="J1791" s="10"/>
      <c r="K1791" s="10"/>
      <c r="L1791" s="10"/>
      <c r="M1791" s="770"/>
      <c r="N1791" s="10"/>
      <c r="O1791" s="10"/>
      <c r="P1791" s="10"/>
      <c r="Q1791" s="10"/>
      <c r="R1791" s="10"/>
      <c r="S1791" s="10"/>
    </row>
    <row r="1792" spans="1:19" x14ac:dyDescent="0.25">
      <c r="A1792" s="10"/>
      <c r="B1792" s="10"/>
      <c r="C1792" s="10"/>
      <c r="D1792" s="10"/>
      <c r="E1792" s="10"/>
      <c r="F1792" s="10"/>
      <c r="G1792" s="10"/>
      <c r="H1792" s="770"/>
      <c r="I1792" s="10"/>
      <c r="J1792" s="10"/>
      <c r="K1792" s="10"/>
      <c r="L1792" s="10"/>
      <c r="M1792" s="770"/>
      <c r="N1792" s="10"/>
      <c r="O1792" s="10"/>
      <c r="P1792" s="10"/>
      <c r="Q1792" s="10"/>
      <c r="R1792" s="10"/>
      <c r="S1792" s="10"/>
    </row>
    <row r="1793" spans="1:19" x14ac:dyDescent="0.25">
      <c r="A1793" s="10"/>
      <c r="B1793" s="10"/>
      <c r="C1793" s="10"/>
      <c r="D1793" s="10"/>
      <c r="E1793" s="10"/>
      <c r="F1793" s="10"/>
      <c r="G1793" s="10"/>
      <c r="H1793" s="770"/>
      <c r="I1793" s="10"/>
      <c r="J1793" s="10"/>
      <c r="K1793" s="10"/>
      <c r="L1793" s="10"/>
      <c r="M1793" s="770"/>
      <c r="N1793" s="10"/>
      <c r="O1793" s="10"/>
      <c r="P1793" s="10"/>
      <c r="Q1793" s="10"/>
      <c r="R1793" s="10"/>
      <c r="S1793" s="10"/>
    </row>
    <row r="1794" spans="1:19" x14ac:dyDescent="0.25">
      <c r="A1794" s="10"/>
      <c r="B1794" s="10"/>
      <c r="C1794" s="10"/>
      <c r="D1794" s="10"/>
      <c r="E1794" s="10"/>
      <c r="F1794" s="10"/>
      <c r="G1794" s="10"/>
      <c r="H1794" s="770"/>
      <c r="I1794" s="10"/>
      <c r="J1794" s="10"/>
      <c r="K1794" s="10"/>
      <c r="L1794" s="10"/>
      <c r="M1794" s="770"/>
      <c r="N1794" s="10"/>
      <c r="O1794" s="10"/>
      <c r="P1794" s="10"/>
      <c r="Q1794" s="10"/>
      <c r="R1794" s="10"/>
      <c r="S1794" s="10"/>
    </row>
    <row r="1795" spans="1:19" x14ac:dyDescent="0.25">
      <c r="A1795" s="10"/>
      <c r="B1795" s="10"/>
      <c r="C1795" s="10"/>
      <c r="D1795" s="10"/>
      <c r="E1795" s="10"/>
      <c r="F1795" s="10"/>
      <c r="G1795" s="10"/>
      <c r="H1795" s="770"/>
      <c r="I1795" s="10"/>
      <c r="J1795" s="10"/>
      <c r="K1795" s="10"/>
      <c r="L1795" s="10"/>
      <c r="M1795" s="770"/>
      <c r="N1795" s="10"/>
      <c r="O1795" s="10"/>
      <c r="P1795" s="10"/>
      <c r="Q1795" s="10"/>
      <c r="R1795" s="10"/>
      <c r="S1795" s="10"/>
    </row>
    <row r="1796" spans="1:19" x14ac:dyDescent="0.25">
      <c r="A1796" s="10"/>
      <c r="B1796" s="10"/>
      <c r="C1796" s="10"/>
      <c r="D1796" s="10"/>
      <c r="E1796" s="10"/>
      <c r="F1796" s="10"/>
      <c r="G1796" s="10"/>
      <c r="H1796" s="770"/>
      <c r="I1796" s="10"/>
      <c r="J1796" s="10"/>
      <c r="K1796" s="10"/>
      <c r="L1796" s="10"/>
      <c r="M1796" s="770"/>
      <c r="N1796" s="10"/>
      <c r="O1796" s="10"/>
      <c r="P1796" s="10"/>
      <c r="Q1796" s="10"/>
      <c r="R1796" s="10"/>
      <c r="S1796" s="10"/>
    </row>
    <row r="1797" spans="1:19" x14ac:dyDescent="0.25">
      <c r="A1797" s="10"/>
      <c r="B1797" s="10"/>
      <c r="C1797" s="10"/>
      <c r="D1797" s="10"/>
      <c r="E1797" s="10"/>
      <c r="F1797" s="10"/>
      <c r="G1797" s="10"/>
      <c r="H1797" s="770"/>
      <c r="I1797" s="10"/>
      <c r="J1797" s="10"/>
      <c r="K1797" s="10"/>
      <c r="L1797" s="10"/>
      <c r="M1797" s="770"/>
      <c r="N1797" s="10"/>
      <c r="O1797" s="10"/>
      <c r="P1797" s="10"/>
      <c r="Q1797" s="10"/>
      <c r="R1797" s="10"/>
      <c r="S1797" s="10"/>
    </row>
    <row r="1798" spans="1:19" x14ac:dyDescent="0.25">
      <c r="A1798" s="10"/>
      <c r="B1798" s="10"/>
      <c r="C1798" s="10"/>
      <c r="D1798" s="10"/>
      <c r="E1798" s="10"/>
      <c r="F1798" s="10"/>
      <c r="G1798" s="10"/>
      <c r="H1798" s="770"/>
      <c r="I1798" s="10"/>
      <c r="J1798" s="10"/>
      <c r="K1798" s="10"/>
      <c r="L1798" s="10"/>
      <c r="M1798" s="770"/>
      <c r="N1798" s="10"/>
      <c r="O1798" s="10"/>
      <c r="P1798" s="10"/>
      <c r="Q1798" s="10"/>
      <c r="R1798" s="10"/>
      <c r="S1798" s="10"/>
    </row>
    <row r="1799" spans="1:19" x14ac:dyDescent="0.25">
      <c r="A1799" s="10"/>
      <c r="B1799" s="10"/>
      <c r="C1799" s="10"/>
      <c r="D1799" s="10"/>
      <c r="E1799" s="10"/>
      <c r="F1799" s="10"/>
      <c r="G1799" s="10"/>
      <c r="H1799" s="770"/>
      <c r="I1799" s="10"/>
      <c r="J1799" s="10"/>
      <c r="K1799" s="10"/>
      <c r="L1799" s="10"/>
      <c r="M1799" s="770"/>
      <c r="N1799" s="10"/>
      <c r="O1799" s="10"/>
      <c r="P1799" s="10"/>
      <c r="Q1799" s="10"/>
      <c r="R1799" s="10"/>
      <c r="S1799" s="10"/>
    </row>
    <row r="1800" spans="1:19" x14ac:dyDescent="0.25">
      <c r="A1800" s="10"/>
      <c r="B1800" s="10"/>
      <c r="C1800" s="10"/>
      <c r="D1800" s="10"/>
      <c r="E1800" s="10"/>
      <c r="F1800" s="10"/>
      <c r="G1800" s="10"/>
      <c r="H1800" s="770"/>
      <c r="I1800" s="10"/>
      <c r="J1800" s="10"/>
      <c r="K1800" s="10"/>
      <c r="L1800" s="10"/>
      <c r="M1800" s="770"/>
      <c r="N1800" s="10"/>
      <c r="O1800" s="10"/>
      <c r="P1800" s="10"/>
      <c r="Q1800" s="10"/>
      <c r="R1800" s="10"/>
      <c r="S1800" s="10"/>
    </row>
    <row r="1801" spans="1:19" x14ac:dyDescent="0.25">
      <c r="A1801" s="10"/>
      <c r="B1801" s="10"/>
      <c r="C1801" s="10"/>
      <c r="D1801" s="10"/>
      <c r="E1801" s="10"/>
      <c r="F1801" s="10"/>
      <c r="G1801" s="10"/>
      <c r="H1801" s="770"/>
      <c r="I1801" s="10"/>
      <c r="J1801" s="10"/>
      <c r="K1801" s="10"/>
      <c r="L1801" s="10"/>
      <c r="M1801" s="770"/>
      <c r="N1801" s="10"/>
      <c r="O1801" s="10"/>
      <c r="P1801" s="10"/>
      <c r="Q1801" s="10"/>
      <c r="R1801" s="10"/>
      <c r="S1801" s="10"/>
    </row>
    <row r="1802" spans="1:19" x14ac:dyDescent="0.25">
      <c r="A1802" s="10"/>
      <c r="B1802" s="10"/>
      <c r="C1802" s="10"/>
      <c r="D1802" s="10"/>
      <c r="E1802" s="10"/>
      <c r="F1802" s="10"/>
      <c r="G1802" s="10"/>
      <c r="H1802" s="770"/>
      <c r="I1802" s="10"/>
      <c r="J1802" s="10"/>
      <c r="K1802" s="10"/>
      <c r="L1802" s="10"/>
      <c r="M1802" s="770"/>
      <c r="N1802" s="10"/>
      <c r="O1802" s="10"/>
      <c r="P1802" s="10"/>
      <c r="Q1802" s="10"/>
      <c r="R1802" s="10"/>
      <c r="S1802" s="10"/>
    </row>
    <row r="1803" spans="1:19" x14ac:dyDescent="0.25">
      <c r="A1803" s="10"/>
      <c r="B1803" s="10"/>
      <c r="C1803" s="10"/>
      <c r="D1803" s="10"/>
      <c r="E1803" s="10"/>
      <c r="F1803" s="10"/>
      <c r="G1803" s="10"/>
      <c r="H1803" s="770"/>
      <c r="I1803" s="10"/>
      <c r="J1803" s="10"/>
      <c r="K1803" s="10"/>
      <c r="L1803" s="10"/>
      <c r="M1803" s="770"/>
      <c r="N1803" s="10"/>
      <c r="O1803" s="10"/>
      <c r="P1803" s="10"/>
      <c r="Q1803" s="10"/>
      <c r="R1803" s="10"/>
      <c r="S1803" s="10"/>
    </row>
    <row r="1804" spans="1:19" x14ac:dyDescent="0.25">
      <c r="A1804" s="10"/>
      <c r="B1804" s="10"/>
      <c r="C1804" s="10"/>
      <c r="D1804" s="10"/>
      <c r="E1804" s="10"/>
      <c r="F1804" s="10"/>
      <c r="G1804" s="10"/>
      <c r="H1804" s="770"/>
      <c r="I1804" s="10"/>
      <c r="J1804" s="10"/>
      <c r="K1804" s="10"/>
      <c r="L1804" s="10"/>
      <c r="M1804" s="770"/>
      <c r="N1804" s="10"/>
      <c r="O1804" s="10"/>
      <c r="P1804" s="10"/>
      <c r="Q1804" s="10"/>
      <c r="R1804" s="10"/>
      <c r="S1804" s="10"/>
    </row>
    <row r="1805" spans="1:19" x14ac:dyDescent="0.25">
      <c r="A1805" s="10"/>
      <c r="B1805" s="10"/>
      <c r="C1805" s="10"/>
      <c r="D1805" s="10"/>
      <c r="E1805" s="10"/>
      <c r="F1805" s="10"/>
      <c r="G1805" s="10"/>
      <c r="H1805" s="770"/>
      <c r="I1805" s="10"/>
      <c r="J1805" s="10"/>
      <c r="K1805" s="10"/>
      <c r="L1805" s="10"/>
      <c r="M1805" s="770"/>
      <c r="N1805" s="10"/>
      <c r="O1805" s="10"/>
      <c r="P1805" s="10"/>
      <c r="Q1805" s="10"/>
      <c r="R1805" s="10"/>
      <c r="S1805" s="10"/>
    </row>
    <row r="1806" spans="1:19" x14ac:dyDescent="0.25">
      <c r="A1806" s="10"/>
      <c r="B1806" s="10"/>
      <c r="C1806" s="10"/>
      <c r="D1806" s="10"/>
      <c r="E1806" s="10"/>
      <c r="F1806" s="10"/>
      <c r="G1806" s="10"/>
      <c r="H1806" s="770"/>
      <c r="I1806" s="10"/>
      <c r="J1806" s="10"/>
      <c r="K1806" s="10"/>
      <c r="L1806" s="10"/>
      <c r="M1806" s="770"/>
      <c r="N1806" s="10"/>
      <c r="O1806" s="10"/>
      <c r="P1806" s="10"/>
      <c r="Q1806" s="10"/>
      <c r="R1806" s="10"/>
      <c r="S1806" s="10"/>
    </row>
    <row r="1807" spans="1:19" x14ac:dyDescent="0.25">
      <c r="A1807" s="10"/>
      <c r="B1807" s="10"/>
      <c r="C1807" s="10"/>
      <c r="D1807" s="10"/>
      <c r="E1807" s="10"/>
      <c r="F1807" s="10"/>
      <c r="G1807" s="10"/>
      <c r="H1807" s="770"/>
      <c r="I1807" s="10"/>
      <c r="J1807" s="10"/>
      <c r="K1807" s="10"/>
      <c r="L1807" s="10"/>
      <c r="M1807" s="770"/>
      <c r="N1807" s="10"/>
      <c r="O1807" s="10"/>
      <c r="P1807" s="10"/>
      <c r="Q1807" s="10"/>
      <c r="R1807" s="10"/>
      <c r="S1807" s="10"/>
    </row>
    <row r="1808" spans="1:19" x14ac:dyDescent="0.25">
      <c r="A1808" s="10"/>
      <c r="B1808" s="10"/>
      <c r="C1808" s="10"/>
      <c r="D1808" s="10"/>
      <c r="E1808" s="10"/>
      <c r="F1808" s="10"/>
      <c r="G1808" s="10"/>
      <c r="H1808" s="770"/>
      <c r="I1808" s="10"/>
      <c r="J1808" s="10"/>
      <c r="K1808" s="10"/>
      <c r="L1808" s="10"/>
      <c r="M1808" s="770"/>
      <c r="N1808" s="10"/>
      <c r="O1808" s="10"/>
      <c r="P1808" s="10"/>
      <c r="Q1808" s="10"/>
      <c r="R1808" s="10"/>
      <c r="S1808" s="10"/>
    </row>
    <row r="1809" spans="1:19" x14ac:dyDescent="0.25">
      <c r="A1809" s="10"/>
      <c r="B1809" s="10"/>
      <c r="C1809" s="10"/>
      <c r="D1809" s="10"/>
      <c r="E1809" s="10"/>
      <c r="F1809" s="10"/>
      <c r="G1809" s="10"/>
      <c r="H1809" s="770"/>
      <c r="I1809" s="10"/>
      <c r="J1809" s="10"/>
      <c r="K1809" s="10"/>
      <c r="L1809" s="10"/>
      <c r="M1809" s="770"/>
      <c r="N1809" s="10"/>
      <c r="O1809" s="10"/>
      <c r="P1809" s="10"/>
      <c r="Q1809" s="10"/>
      <c r="R1809" s="10"/>
      <c r="S1809" s="10"/>
    </row>
    <row r="1810" spans="1:19" x14ac:dyDescent="0.25">
      <c r="A1810" s="10"/>
      <c r="B1810" s="10"/>
      <c r="C1810" s="10"/>
      <c r="D1810" s="10"/>
      <c r="E1810" s="10"/>
      <c r="F1810" s="10"/>
      <c r="G1810" s="10"/>
      <c r="H1810" s="770"/>
      <c r="I1810" s="10"/>
      <c r="J1810" s="10"/>
      <c r="K1810" s="10"/>
      <c r="L1810" s="10"/>
      <c r="M1810" s="770"/>
      <c r="N1810" s="10"/>
      <c r="O1810" s="10"/>
      <c r="P1810" s="10"/>
      <c r="Q1810" s="10"/>
      <c r="R1810" s="10"/>
      <c r="S1810" s="10"/>
    </row>
    <row r="1811" spans="1:19" x14ac:dyDescent="0.25">
      <c r="A1811" s="10"/>
      <c r="B1811" s="10"/>
      <c r="C1811" s="10"/>
      <c r="D1811" s="10"/>
      <c r="E1811" s="10"/>
      <c r="F1811" s="10"/>
      <c r="G1811" s="10"/>
      <c r="H1811" s="770"/>
      <c r="I1811" s="10"/>
      <c r="J1811" s="10"/>
      <c r="K1811" s="10"/>
      <c r="L1811" s="10"/>
      <c r="M1811" s="770"/>
      <c r="N1811" s="10"/>
      <c r="O1811" s="10"/>
      <c r="P1811" s="10"/>
      <c r="Q1811" s="10"/>
      <c r="R1811" s="10"/>
      <c r="S1811" s="10"/>
    </row>
    <row r="1812" spans="1:19" x14ac:dyDescent="0.25">
      <c r="A1812" s="10"/>
      <c r="B1812" s="10"/>
      <c r="C1812" s="10"/>
      <c r="D1812" s="10"/>
      <c r="E1812" s="10"/>
      <c r="F1812" s="10"/>
      <c r="G1812" s="10"/>
      <c r="H1812" s="770"/>
      <c r="I1812" s="10"/>
      <c r="J1812" s="10"/>
      <c r="K1812" s="10"/>
      <c r="L1812" s="10"/>
      <c r="M1812" s="770"/>
      <c r="N1812" s="10"/>
      <c r="O1812" s="10"/>
      <c r="P1812" s="10"/>
      <c r="Q1812" s="10"/>
      <c r="R1812" s="10"/>
      <c r="S1812" s="10"/>
    </row>
    <row r="1813" spans="1:19" x14ac:dyDescent="0.25">
      <c r="A1813" s="10"/>
      <c r="B1813" s="10"/>
      <c r="C1813" s="10"/>
      <c r="D1813" s="10"/>
      <c r="E1813" s="10"/>
      <c r="F1813" s="10"/>
      <c r="G1813" s="10"/>
      <c r="H1813" s="770"/>
      <c r="I1813" s="10"/>
      <c r="J1813" s="10"/>
      <c r="K1813" s="10"/>
      <c r="L1813" s="10"/>
      <c r="M1813" s="770"/>
      <c r="N1813" s="10"/>
      <c r="O1813" s="10"/>
      <c r="P1813" s="10"/>
      <c r="Q1813" s="10"/>
      <c r="R1813" s="10"/>
      <c r="S1813" s="10"/>
    </row>
    <row r="1814" spans="1:19" x14ac:dyDescent="0.25">
      <c r="A1814" s="10"/>
      <c r="B1814" s="10"/>
      <c r="C1814" s="10"/>
      <c r="D1814" s="10"/>
      <c r="E1814" s="10"/>
      <c r="F1814" s="10"/>
      <c r="G1814" s="10"/>
      <c r="H1814" s="770"/>
      <c r="I1814" s="10"/>
      <c r="J1814" s="10"/>
      <c r="K1814" s="10"/>
      <c r="L1814" s="10"/>
      <c r="M1814" s="770"/>
      <c r="N1814" s="10"/>
      <c r="O1814" s="10"/>
      <c r="P1814" s="10"/>
      <c r="Q1814" s="10"/>
      <c r="R1814" s="10"/>
      <c r="S1814" s="10"/>
    </row>
    <row r="1815" spans="1:19" x14ac:dyDescent="0.25">
      <c r="A1815" s="10"/>
      <c r="B1815" s="10"/>
      <c r="C1815" s="10"/>
      <c r="D1815" s="10"/>
      <c r="E1815" s="10"/>
      <c r="F1815" s="10"/>
      <c r="G1815" s="10"/>
      <c r="H1815" s="770"/>
      <c r="I1815" s="10"/>
      <c r="J1815" s="10"/>
      <c r="K1815" s="10"/>
      <c r="L1815" s="10"/>
      <c r="M1815" s="770"/>
      <c r="N1815" s="10"/>
      <c r="O1815" s="10"/>
      <c r="P1815" s="10"/>
      <c r="Q1815" s="10"/>
      <c r="R1815" s="10"/>
      <c r="S1815" s="10"/>
    </row>
    <row r="1816" spans="1:19" x14ac:dyDescent="0.25">
      <c r="A1816" s="10"/>
      <c r="B1816" s="10"/>
      <c r="C1816" s="10"/>
      <c r="D1816" s="10"/>
      <c r="E1816" s="10"/>
      <c r="F1816" s="10"/>
      <c r="G1816" s="10"/>
      <c r="H1816" s="770"/>
      <c r="I1816" s="10"/>
      <c r="J1816" s="10"/>
      <c r="K1816" s="10"/>
      <c r="L1816" s="10"/>
      <c r="M1816" s="770"/>
      <c r="N1816" s="10"/>
      <c r="O1816" s="10"/>
      <c r="P1816" s="10"/>
      <c r="Q1816" s="10"/>
      <c r="R1816" s="10"/>
      <c r="S1816" s="10"/>
    </row>
    <row r="1817" spans="1:19" x14ac:dyDescent="0.25">
      <c r="A1817" s="10"/>
      <c r="B1817" s="10"/>
      <c r="C1817" s="10"/>
      <c r="D1817" s="10"/>
      <c r="E1817" s="10"/>
      <c r="F1817" s="10"/>
      <c r="G1817" s="10"/>
      <c r="H1817" s="770"/>
      <c r="I1817" s="10"/>
      <c r="J1817" s="10"/>
      <c r="K1817" s="10"/>
      <c r="L1817" s="10"/>
      <c r="M1817" s="770"/>
      <c r="N1817" s="10"/>
      <c r="O1817" s="10"/>
      <c r="P1817" s="10"/>
      <c r="Q1817" s="10"/>
      <c r="R1817" s="10"/>
      <c r="S1817" s="10"/>
    </row>
    <row r="1818" spans="1:19" x14ac:dyDescent="0.25">
      <c r="A1818" s="10"/>
      <c r="B1818" s="10"/>
      <c r="C1818" s="10"/>
      <c r="D1818" s="10"/>
      <c r="E1818" s="10"/>
      <c r="F1818" s="10"/>
      <c r="G1818" s="10"/>
      <c r="H1818" s="770"/>
      <c r="I1818" s="10"/>
      <c r="J1818" s="10"/>
      <c r="K1818" s="10"/>
      <c r="L1818" s="10"/>
      <c r="M1818" s="770"/>
      <c r="N1818" s="10"/>
      <c r="O1818" s="10"/>
      <c r="P1818" s="10"/>
      <c r="Q1818" s="10"/>
      <c r="R1818" s="10"/>
      <c r="S1818" s="10"/>
    </row>
    <row r="1819" spans="1:19" x14ac:dyDescent="0.25">
      <c r="A1819" s="10"/>
      <c r="B1819" s="10"/>
      <c r="C1819" s="10"/>
      <c r="D1819" s="10"/>
      <c r="E1819" s="10"/>
      <c r="F1819" s="10"/>
      <c r="G1819" s="10"/>
      <c r="H1819" s="770"/>
      <c r="I1819" s="10"/>
      <c r="J1819" s="10"/>
      <c r="K1819" s="10"/>
      <c r="L1819" s="10"/>
      <c r="M1819" s="770"/>
      <c r="N1819" s="10"/>
      <c r="O1819" s="10"/>
      <c r="P1819" s="10"/>
      <c r="Q1819" s="10"/>
      <c r="R1819" s="10"/>
      <c r="S1819" s="10"/>
    </row>
    <row r="1820" spans="1:19" x14ac:dyDescent="0.25">
      <c r="A1820" s="10"/>
      <c r="B1820" s="10"/>
      <c r="C1820" s="10"/>
      <c r="D1820" s="10"/>
      <c r="E1820" s="10"/>
      <c r="F1820" s="10"/>
      <c r="G1820" s="10"/>
      <c r="H1820" s="770"/>
      <c r="I1820" s="10"/>
      <c r="J1820" s="10"/>
      <c r="K1820" s="10"/>
      <c r="L1820" s="10"/>
      <c r="M1820" s="770"/>
      <c r="N1820" s="10"/>
      <c r="O1820" s="10"/>
      <c r="P1820" s="10"/>
      <c r="Q1820" s="10"/>
      <c r="R1820" s="10"/>
      <c r="S1820" s="10"/>
    </row>
    <row r="1821" spans="1:19" x14ac:dyDescent="0.25">
      <c r="A1821" s="10"/>
      <c r="B1821" s="10"/>
      <c r="C1821" s="10"/>
      <c r="D1821" s="10"/>
      <c r="E1821" s="10"/>
      <c r="F1821" s="10"/>
      <c r="G1821" s="10"/>
      <c r="H1821" s="770"/>
      <c r="I1821" s="10"/>
      <c r="J1821" s="10"/>
      <c r="K1821" s="10"/>
      <c r="L1821" s="10"/>
      <c r="M1821" s="770"/>
      <c r="N1821" s="10"/>
      <c r="O1821" s="10"/>
      <c r="P1821" s="10"/>
      <c r="Q1821" s="10"/>
      <c r="R1821" s="10"/>
      <c r="S1821" s="10"/>
    </row>
    <row r="1822" spans="1:19" x14ac:dyDescent="0.25">
      <c r="A1822" s="10"/>
      <c r="B1822" s="10"/>
      <c r="C1822" s="10"/>
      <c r="D1822" s="10"/>
      <c r="E1822" s="10"/>
      <c r="F1822" s="10"/>
      <c r="G1822" s="10"/>
      <c r="H1822" s="770"/>
      <c r="I1822" s="10"/>
      <c r="J1822" s="10"/>
      <c r="K1822" s="10"/>
      <c r="L1822" s="10"/>
      <c r="M1822" s="770"/>
      <c r="N1822" s="10"/>
      <c r="O1822" s="10"/>
      <c r="P1822" s="10"/>
      <c r="Q1822" s="10"/>
      <c r="R1822" s="10"/>
      <c r="S1822" s="10"/>
    </row>
    <row r="1823" spans="1:19" x14ac:dyDescent="0.25">
      <c r="A1823" s="10"/>
      <c r="B1823" s="10"/>
      <c r="C1823" s="10"/>
      <c r="D1823" s="10"/>
      <c r="E1823" s="10"/>
      <c r="F1823" s="10"/>
      <c r="G1823" s="10"/>
      <c r="H1823" s="770"/>
      <c r="I1823" s="10"/>
      <c r="J1823" s="10"/>
      <c r="K1823" s="10"/>
      <c r="L1823" s="10"/>
      <c r="M1823" s="770"/>
      <c r="N1823" s="10"/>
      <c r="O1823" s="10"/>
      <c r="P1823" s="10"/>
      <c r="Q1823" s="10"/>
      <c r="R1823" s="10"/>
      <c r="S1823" s="10"/>
    </row>
    <row r="1824" spans="1:19" x14ac:dyDescent="0.25">
      <c r="A1824" s="10"/>
      <c r="B1824" s="10"/>
      <c r="C1824" s="10"/>
      <c r="D1824" s="10"/>
      <c r="E1824" s="10"/>
      <c r="F1824" s="10"/>
      <c r="G1824" s="10"/>
      <c r="H1824" s="770"/>
      <c r="I1824" s="10"/>
      <c r="J1824" s="10"/>
      <c r="K1824" s="10"/>
      <c r="L1824" s="10"/>
      <c r="M1824" s="770"/>
      <c r="N1824" s="10"/>
      <c r="O1824" s="10"/>
      <c r="P1824" s="10"/>
      <c r="Q1824" s="10"/>
      <c r="R1824" s="10"/>
      <c r="S1824" s="10"/>
    </row>
    <row r="1825" spans="1:19" x14ac:dyDescent="0.25">
      <c r="A1825" s="10"/>
      <c r="B1825" s="10"/>
      <c r="C1825" s="10"/>
      <c r="D1825" s="10"/>
      <c r="E1825" s="10"/>
      <c r="F1825" s="10"/>
      <c r="G1825" s="10"/>
      <c r="H1825" s="770"/>
      <c r="I1825" s="10"/>
      <c r="J1825" s="10"/>
      <c r="K1825" s="10"/>
      <c r="L1825" s="10"/>
      <c r="M1825" s="770"/>
      <c r="N1825" s="10"/>
      <c r="O1825" s="10"/>
      <c r="P1825" s="10"/>
      <c r="Q1825" s="10"/>
      <c r="R1825" s="10"/>
      <c r="S1825" s="10"/>
    </row>
    <row r="1826" spans="1:19" x14ac:dyDescent="0.25">
      <c r="A1826" s="10"/>
      <c r="B1826" s="10"/>
      <c r="C1826" s="10"/>
      <c r="D1826" s="10"/>
      <c r="E1826" s="10"/>
      <c r="F1826" s="10"/>
      <c r="G1826" s="10"/>
      <c r="H1826" s="770"/>
      <c r="I1826" s="10"/>
      <c r="J1826" s="10"/>
      <c r="K1826" s="10"/>
      <c r="L1826" s="10"/>
      <c r="M1826" s="770"/>
      <c r="N1826" s="10"/>
      <c r="O1826" s="10"/>
      <c r="P1826" s="10"/>
      <c r="Q1826" s="10"/>
      <c r="R1826" s="10"/>
      <c r="S1826" s="10"/>
    </row>
    <row r="1827" spans="1:19" x14ac:dyDescent="0.25">
      <c r="A1827" s="10"/>
      <c r="B1827" s="10"/>
      <c r="C1827" s="10"/>
      <c r="D1827" s="10"/>
      <c r="E1827" s="10"/>
      <c r="F1827" s="10"/>
      <c r="G1827" s="10"/>
      <c r="H1827" s="770"/>
      <c r="I1827" s="10"/>
      <c r="J1827" s="10"/>
      <c r="K1827" s="10"/>
      <c r="L1827" s="10"/>
      <c r="M1827" s="770"/>
      <c r="N1827" s="10"/>
      <c r="O1827" s="10"/>
      <c r="P1827" s="10"/>
      <c r="Q1827" s="10"/>
      <c r="R1827" s="10"/>
      <c r="S1827" s="10"/>
    </row>
    <row r="1828" spans="1:19" x14ac:dyDescent="0.25">
      <c r="A1828" s="10"/>
      <c r="B1828" s="10"/>
      <c r="C1828" s="10"/>
      <c r="D1828" s="10"/>
      <c r="E1828" s="10"/>
      <c r="F1828" s="10"/>
      <c r="G1828" s="10"/>
      <c r="H1828" s="770"/>
      <c r="I1828" s="10"/>
      <c r="J1828" s="10"/>
      <c r="K1828" s="10"/>
      <c r="L1828" s="10"/>
      <c r="M1828" s="770"/>
      <c r="N1828" s="10"/>
      <c r="O1828" s="10"/>
      <c r="P1828" s="10"/>
      <c r="Q1828" s="10"/>
      <c r="R1828" s="10"/>
      <c r="S1828" s="10"/>
    </row>
    <row r="1829" spans="1:19" x14ac:dyDescent="0.25">
      <c r="A1829" s="10"/>
      <c r="B1829" s="10"/>
      <c r="C1829" s="10"/>
      <c r="D1829" s="10"/>
      <c r="E1829" s="10"/>
      <c r="F1829" s="10"/>
      <c r="G1829" s="10"/>
      <c r="H1829" s="770"/>
      <c r="I1829" s="10"/>
      <c r="J1829" s="10"/>
      <c r="K1829" s="10"/>
      <c r="L1829" s="10"/>
      <c r="M1829" s="770"/>
      <c r="N1829" s="10"/>
      <c r="O1829" s="10"/>
      <c r="P1829" s="10"/>
      <c r="Q1829" s="10"/>
      <c r="R1829" s="10"/>
      <c r="S1829" s="10"/>
    </row>
    <row r="1830" spans="1:19" x14ac:dyDescent="0.25">
      <c r="A1830" s="10"/>
      <c r="B1830" s="10"/>
      <c r="C1830" s="10"/>
      <c r="D1830" s="10"/>
      <c r="E1830" s="10"/>
      <c r="F1830" s="10"/>
      <c r="G1830" s="10"/>
      <c r="H1830" s="770"/>
      <c r="I1830" s="10"/>
      <c r="J1830" s="10"/>
      <c r="K1830" s="10"/>
      <c r="L1830" s="10"/>
      <c r="M1830" s="770"/>
      <c r="N1830" s="10"/>
      <c r="O1830" s="10"/>
      <c r="P1830" s="10"/>
      <c r="Q1830" s="10"/>
      <c r="R1830" s="10"/>
      <c r="S1830" s="10"/>
    </row>
    <row r="1831" spans="1:19" x14ac:dyDescent="0.25">
      <c r="A1831" s="10"/>
      <c r="B1831" s="10"/>
      <c r="C1831" s="10"/>
      <c r="D1831" s="10"/>
      <c r="E1831" s="10"/>
      <c r="F1831" s="10"/>
      <c r="G1831" s="10"/>
      <c r="H1831" s="770"/>
      <c r="I1831" s="10"/>
      <c r="J1831" s="10"/>
      <c r="K1831" s="10"/>
      <c r="L1831" s="10"/>
      <c r="M1831" s="770"/>
      <c r="N1831" s="10"/>
      <c r="O1831" s="10"/>
      <c r="P1831" s="10"/>
      <c r="Q1831" s="10"/>
      <c r="R1831" s="10"/>
      <c r="S1831" s="10"/>
    </row>
    <row r="1832" spans="1:19" x14ac:dyDescent="0.25">
      <c r="A1832" s="10"/>
      <c r="B1832" s="10"/>
      <c r="C1832" s="10"/>
      <c r="D1832" s="10"/>
      <c r="E1832" s="10"/>
      <c r="F1832" s="10"/>
      <c r="G1832" s="10"/>
      <c r="H1832" s="770"/>
      <c r="I1832" s="10"/>
      <c r="J1832" s="10"/>
      <c r="K1832" s="10"/>
      <c r="L1832" s="10"/>
      <c r="M1832" s="770"/>
      <c r="N1832" s="10"/>
      <c r="O1832" s="10"/>
      <c r="P1832" s="10"/>
      <c r="Q1832" s="10"/>
      <c r="R1832" s="10"/>
      <c r="S1832" s="10"/>
    </row>
    <row r="1833" spans="1:19" x14ac:dyDescent="0.25">
      <c r="A1833" s="10"/>
      <c r="B1833" s="10"/>
      <c r="C1833" s="10"/>
      <c r="D1833" s="10"/>
      <c r="E1833" s="10"/>
      <c r="F1833" s="10"/>
      <c r="G1833" s="10"/>
      <c r="H1833" s="770"/>
      <c r="I1833" s="10"/>
      <c r="J1833" s="10"/>
      <c r="K1833" s="10"/>
      <c r="L1833" s="10"/>
      <c r="M1833" s="770"/>
      <c r="N1833" s="10"/>
      <c r="O1833" s="10"/>
      <c r="P1833" s="10"/>
      <c r="Q1833" s="10"/>
      <c r="R1833" s="10"/>
      <c r="S1833" s="10"/>
    </row>
    <row r="1834" spans="1:19" x14ac:dyDescent="0.25">
      <c r="A1834" s="10"/>
      <c r="B1834" s="10"/>
      <c r="C1834" s="10"/>
      <c r="D1834" s="10"/>
      <c r="E1834" s="10"/>
      <c r="F1834" s="10"/>
      <c r="G1834" s="10"/>
      <c r="H1834" s="770"/>
      <c r="I1834" s="10"/>
      <c r="J1834" s="10"/>
      <c r="K1834" s="10"/>
      <c r="L1834" s="10"/>
      <c r="M1834" s="770"/>
      <c r="N1834" s="10"/>
      <c r="O1834" s="10"/>
      <c r="P1834" s="10"/>
      <c r="Q1834" s="10"/>
      <c r="R1834" s="10"/>
      <c r="S1834" s="10"/>
    </row>
    <row r="1835" spans="1:19" x14ac:dyDescent="0.25">
      <c r="A1835" s="10"/>
      <c r="B1835" s="10"/>
      <c r="C1835" s="10"/>
      <c r="D1835" s="10"/>
      <c r="E1835" s="10"/>
      <c r="F1835" s="10"/>
      <c r="G1835" s="10"/>
      <c r="H1835" s="770"/>
      <c r="I1835" s="10"/>
      <c r="J1835" s="10"/>
      <c r="K1835" s="10"/>
      <c r="L1835" s="10"/>
      <c r="M1835" s="770"/>
      <c r="N1835" s="10"/>
      <c r="O1835" s="10"/>
      <c r="P1835" s="10"/>
      <c r="Q1835" s="10"/>
      <c r="R1835" s="10"/>
      <c r="S1835" s="10"/>
    </row>
    <row r="1836" spans="1:19" x14ac:dyDescent="0.25">
      <c r="A1836" s="10"/>
      <c r="B1836" s="10"/>
      <c r="C1836" s="10"/>
      <c r="D1836" s="10"/>
      <c r="E1836" s="10"/>
      <c r="F1836" s="10"/>
      <c r="G1836" s="10"/>
      <c r="H1836" s="770"/>
      <c r="I1836" s="10"/>
      <c r="J1836" s="10"/>
      <c r="K1836" s="10"/>
      <c r="L1836" s="10"/>
      <c r="M1836" s="770"/>
      <c r="N1836" s="10"/>
      <c r="O1836" s="10"/>
      <c r="P1836" s="10"/>
      <c r="Q1836" s="10"/>
      <c r="R1836" s="10"/>
      <c r="S1836" s="10"/>
    </row>
    <row r="1837" spans="1:19" x14ac:dyDescent="0.25">
      <c r="A1837" s="10"/>
      <c r="B1837" s="10"/>
      <c r="C1837" s="10"/>
      <c r="D1837" s="10"/>
      <c r="E1837" s="10"/>
      <c r="F1837" s="10"/>
      <c r="G1837" s="10"/>
      <c r="H1837" s="770"/>
      <c r="I1837" s="10"/>
      <c r="J1837" s="10"/>
      <c r="K1837" s="10"/>
      <c r="L1837" s="10"/>
      <c r="M1837" s="770"/>
      <c r="N1837" s="10"/>
      <c r="O1837" s="10"/>
      <c r="P1837" s="10"/>
      <c r="Q1837" s="10"/>
      <c r="R1837" s="10"/>
      <c r="S1837" s="10"/>
    </row>
    <row r="1838" spans="1:19" x14ac:dyDescent="0.25">
      <c r="A1838" s="10"/>
      <c r="B1838" s="10"/>
      <c r="C1838" s="10"/>
      <c r="D1838" s="10"/>
      <c r="E1838" s="10"/>
      <c r="F1838" s="10"/>
      <c r="G1838" s="10"/>
      <c r="H1838" s="770"/>
      <c r="I1838" s="10"/>
      <c r="J1838" s="10"/>
      <c r="K1838" s="10"/>
      <c r="L1838" s="10"/>
      <c r="M1838" s="770"/>
      <c r="N1838" s="10"/>
      <c r="O1838" s="10"/>
      <c r="P1838" s="10"/>
      <c r="Q1838" s="10"/>
      <c r="R1838" s="10"/>
      <c r="S1838" s="10"/>
    </row>
    <row r="1839" spans="1:19" x14ac:dyDescent="0.25">
      <c r="A1839" s="10"/>
      <c r="B1839" s="10"/>
      <c r="C1839" s="10"/>
      <c r="D1839" s="10"/>
      <c r="E1839" s="10"/>
      <c r="F1839" s="10"/>
      <c r="G1839" s="10"/>
      <c r="H1839" s="770"/>
      <c r="I1839" s="10"/>
      <c r="J1839" s="10"/>
      <c r="K1839" s="10"/>
      <c r="L1839" s="10"/>
      <c r="M1839" s="770"/>
      <c r="N1839" s="10"/>
      <c r="O1839" s="10"/>
      <c r="P1839" s="10"/>
      <c r="Q1839" s="10"/>
      <c r="R1839" s="10"/>
      <c r="S1839" s="10"/>
    </row>
    <row r="1840" spans="1:19" x14ac:dyDescent="0.25">
      <c r="A1840" s="10"/>
      <c r="B1840" s="10"/>
      <c r="C1840" s="10"/>
      <c r="D1840" s="10"/>
      <c r="E1840" s="10"/>
      <c r="F1840" s="10"/>
      <c r="G1840" s="10"/>
      <c r="H1840" s="770"/>
      <c r="I1840" s="10"/>
      <c r="J1840" s="10"/>
      <c r="K1840" s="10"/>
      <c r="L1840" s="10"/>
      <c r="M1840" s="770"/>
      <c r="N1840" s="10"/>
      <c r="O1840" s="10"/>
      <c r="P1840" s="10"/>
      <c r="Q1840" s="10"/>
      <c r="R1840" s="10"/>
      <c r="S1840" s="10"/>
    </row>
    <row r="1841" spans="1:19" x14ac:dyDescent="0.25">
      <c r="A1841" s="10"/>
      <c r="B1841" s="10"/>
      <c r="C1841" s="10"/>
      <c r="D1841" s="10"/>
      <c r="E1841" s="10"/>
      <c r="F1841" s="10"/>
      <c r="G1841" s="10"/>
      <c r="H1841" s="770"/>
      <c r="I1841" s="10"/>
      <c r="J1841" s="10"/>
      <c r="K1841" s="10"/>
      <c r="L1841" s="10"/>
      <c r="M1841" s="770"/>
      <c r="N1841" s="10"/>
      <c r="O1841" s="10"/>
      <c r="P1841" s="10"/>
      <c r="Q1841" s="10"/>
      <c r="R1841" s="10"/>
      <c r="S1841" s="10"/>
    </row>
    <row r="1842" spans="1:19" x14ac:dyDescent="0.25">
      <c r="A1842" s="10"/>
      <c r="B1842" s="10"/>
      <c r="C1842" s="10"/>
      <c r="D1842" s="10"/>
      <c r="E1842" s="10"/>
      <c r="F1842" s="10"/>
      <c r="G1842" s="10"/>
      <c r="H1842" s="770"/>
      <c r="I1842" s="10"/>
      <c r="J1842" s="10"/>
      <c r="K1842" s="10"/>
      <c r="L1842" s="10"/>
      <c r="M1842" s="770"/>
      <c r="N1842" s="10"/>
      <c r="O1842" s="10"/>
      <c r="P1842" s="10"/>
      <c r="Q1842" s="10"/>
      <c r="R1842" s="10"/>
      <c r="S1842" s="10"/>
    </row>
    <row r="1843" spans="1:19" x14ac:dyDescent="0.25">
      <c r="A1843" s="10"/>
      <c r="B1843" s="10"/>
      <c r="C1843" s="10"/>
      <c r="D1843" s="10"/>
      <c r="E1843" s="10"/>
      <c r="F1843" s="10"/>
      <c r="G1843" s="10"/>
      <c r="H1843" s="770"/>
      <c r="I1843" s="10"/>
      <c r="J1843" s="10"/>
      <c r="K1843" s="10"/>
      <c r="L1843" s="10"/>
      <c r="M1843" s="770"/>
      <c r="N1843" s="10"/>
      <c r="O1843" s="10"/>
      <c r="P1843" s="10"/>
      <c r="Q1843" s="10"/>
      <c r="R1843" s="10"/>
      <c r="S1843" s="10"/>
    </row>
    <row r="1844" spans="1:19" x14ac:dyDescent="0.25">
      <c r="A1844" s="10"/>
      <c r="B1844" s="10"/>
      <c r="C1844" s="10"/>
      <c r="D1844" s="10"/>
      <c r="E1844" s="10"/>
      <c r="F1844" s="10"/>
      <c r="G1844" s="10"/>
      <c r="H1844" s="770"/>
      <c r="I1844" s="10"/>
      <c r="J1844" s="10"/>
      <c r="K1844" s="10"/>
      <c r="L1844" s="10"/>
      <c r="M1844" s="770"/>
      <c r="N1844" s="10"/>
      <c r="O1844" s="10"/>
      <c r="P1844" s="10"/>
      <c r="Q1844" s="10"/>
      <c r="R1844" s="10"/>
      <c r="S1844" s="10"/>
    </row>
    <row r="1845" spans="1:19" x14ac:dyDescent="0.25">
      <c r="A1845" s="10"/>
      <c r="B1845" s="10"/>
      <c r="C1845" s="10"/>
      <c r="D1845" s="10"/>
      <c r="E1845" s="10"/>
      <c r="F1845" s="10"/>
      <c r="G1845" s="10"/>
      <c r="H1845" s="770"/>
      <c r="I1845" s="10"/>
      <c r="J1845" s="10"/>
      <c r="K1845" s="10"/>
      <c r="L1845" s="10"/>
      <c r="M1845" s="770"/>
      <c r="N1845" s="10"/>
      <c r="O1845" s="10"/>
      <c r="P1845" s="10"/>
      <c r="Q1845" s="10"/>
      <c r="R1845" s="10"/>
      <c r="S1845" s="10"/>
    </row>
    <row r="1846" spans="1:19" x14ac:dyDescent="0.25">
      <c r="A1846" s="10"/>
      <c r="B1846" s="10"/>
      <c r="C1846" s="10"/>
      <c r="D1846" s="10"/>
      <c r="E1846" s="10"/>
      <c r="F1846" s="10"/>
      <c r="G1846" s="10"/>
      <c r="H1846" s="770"/>
      <c r="I1846" s="10"/>
      <c r="J1846" s="10"/>
      <c r="K1846" s="10"/>
      <c r="L1846" s="10"/>
      <c r="M1846" s="770"/>
      <c r="N1846" s="10"/>
      <c r="O1846" s="10"/>
      <c r="P1846" s="10"/>
      <c r="Q1846" s="10"/>
      <c r="R1846" s="10"/>
      <c r="S1846" s="10"/>
    </row>
    <row r="1847" spans="1:19" x14ac:dyDescent="0.25">
      <c r="A1847" s="10"/>
      <c r="B1847" s="10"/>
      <c r="C1847" s="10"/>
      <c r="D1847" s="10"/>
      <c r="E1847" s="10"/>
      <c r="F1847" s="10"/>
      <c r="G1847" s="10"/>
      <c r="H1847" s="770"/>
      <c r="I1847" s="10"/>
      <c r="J1847" s="10"/>
      <c r="K1847" s="10"/>
      <c r="L1847" s="10"/>
      <c r="M1847" s="770"/>
      <c r="N1847" s="10"/>
      <c r="O1847" s="10"/>
      <c r="P1847" s="10"/>
      <c r="Q1847" s="10"/>
      <c r="R1847" s="10"/>
      <c r="S1847" s="10"/>
    </row>
    <row r="1848" spans="1:19" x14ac:dyDescent="0.25">
      <c r="A1848" s="10"/>
      <c r="B1848" s="10"/>
      <c r="C1848" s="10"/>
      <c r="D1848" s="10"/>
      <c r="E1848" s="10"/>
      <c r="F1848" s="10"/>
      <c r="G1848" s="10"/>
      <c r="H1848" s="770"/>
      <c r="I1848" s="10"/>
      <c r="J1848" s="10"/>
      <c r="K1848" s="10"/>
      <c r="L1848" s="10"/>
      <c r="M1848" s="770"/>
      <c r="N1848" s="10"/>
      <c r="O1848" s="10"/>
      <c r="P1848" s="10"/>
      <c r="Q1848" s="10"/>
      <c r="R1848" s="10"/>
      <c r="S1848" s="10"/>
    </row>
    <row r="1849" spans="1:19" x14ac:dyDescent="0.25">
      <c r="A1849" s="10"/>
      <c r="B1849" s="10"/>
      <c r="C1849" s="10"/>
      <c r="D1849" s="10"/>
      <c r="E1849" s="10"/>
      <c r="F1849" s="10"/>
      <c r="G1849" s="10"/>
      <c r="H1849" s="770"/>
      <c r="I1849" s="10"/>
      <c r="J1849" s="10"/>
      <c r="K1849" s="10"/>
      <c r="L1849" s="10"/>
      <c r="M1849" s="770"/>
      <c r="N1849" s="10"/>
      <c r="O1849" s="10"/>
      <c r="P1849" s="10"/>
      <c r="Q1849" s="10"/>
      <c r="R1849" s="10"/>
      <c r="S1849" s="10"/>
    </row>
    <row r="1850" spans="1:19" x14ac:dyDescent="0.25">
      <c r="A1850" s="10"/>
      <c r="B1850" s="10"/>
      <c r="C1850" s="10"/>
      <c r="D1850" s="10"/>
      <c r="E1850" s="10"/>
      <c r="F1850" s="10"/>
      <c r="G1850" s="10"/>
      <c r="H1850" s="770"/>
      <c r="I1850" s="10"/>
      <c r="J1850" s="10"/>
      <c r="K1850" s="10"/>
      <c r="L1850" s="10"/>
      <c r="M1850" s="770"/>
      <c r="N1850" s="10"/>
      <c r="O1850" s="10"/>
      <c r="P1850" s="10"/>
      <c r="Q1850" s="10"/>
      <c r="R1850" s="10"/>
      <c r="S1850" s="10"/>
    </row>
    <row r="1851" spans="1:19" x14ac:dyDescent="0.25">
      <c r="A1851" s="10"/>
      <c r="B1851" s="10"/>
      <c r="C1851" s="10"/>
      <c r="D1851" s="10"/>
      <c r="E1851" s="10"/>
      <c r="F1851" s="10"/>
      <c r="G1851" s="10"/>
      <c r="H1851" s="770"/>
      <c r="I1851" s="10"/>
      <c r="J1851" s="10"/>
      <c r="K1851" s="10"/>
      <c r="L1851" s="10"/>
      <c r="M1851" s="770"/>
      <c r="N1851" s="10"/>
      <c r="O1851" s="10"/>
      <c r="P1851" s="10"/>
      <c r="Q1851" s="10"/>
      <c r="R1851" s="10"/>
      <c r="S1851" s="10"/>
    </row>
    <row r="1852" spans="1:19" x14ac:dyDescent="0.25">
      <c r="A1852" s="10"/>
      <c r="B1852" s="10"/>
      <c r="C1852" s="10"/>
      <c r="D1852" s="10"/>
      <c r="E1852" s="10"/>
      <c r="F1852" s="10"/>
      <c r="G1852" s="10"/>
      <c r="H1852" s="770"/>
      <c r="I1852" s="10"/>
      <c r="J1852" s="10"/>
      <c r="K1852" s="10"/>
      <c r="L1852" s="10"/>
      <c r="M1852" s="770"/>
      <c r="N1852" s="10"/>
      <c r="O1852" s="10"/>
      <c r="P1852" s="10"/>
      <c r="Q1852" s="10"/>
      <c r="R1852" s="10"/>
      <c r="S1852" s="10"/>
    </row>
    <row r="1853" spans="1:19" x14ac:dyDescent="0.25">
      <c r="A1853" s="10"/>
      <c r="B1853" s="10"/>
      <c r="C1853" s="10"/>
      <c r="D1853" s="10"/>
      <c r="E1853" s="10"/>
      <c r="F1853" s="10"/>
      <c r="G1853" s="10"/>
      <c r="H1853" s="770"/>
      <c r="I1853" s="10"/>
      <c r="J1853" s="10"/>
      <c r="K1853" s="10"/>
      <c r="L1853" s="10"/>
      <c r="M1853" s="770"/>
      <c r="N1853" s="10"/>
      <c r="O1853" s="10"/>
      <c r="P1853" s="10"/>
      <c r="Q1853" s="10"/>
      <c r="R1853" s="10"/>
      <c r="S1853" s="10"/>
    </row>
    <row r="1854" spans="1:19" x14ac:dyDescent="0.25">
      <c r="A1854" s="10"/>
      <c r="B1854" s="10"/>
      <c r="C1854" s="10"/>
      <c r="D1854" s="10"/>
      <c r="E1854" s="10"/>
      <c r="F1854" s="10"/>
      <c r="G1854" s="10"/>
      <c r="H1854" s="770"/>
      <c r="I1854" s="10"/>
      <c r="J1854" s="10"/>
      <c r="K1854" s="10"/>
      <c r="L1854" s="10"/>
      <c r="M1854" s="770"/>
      <c r="N1854" s="10"/>
      <c r="O1854" s="10"/>
      <c r="P1854" s="10"/>
      <c r="Q1854" s="10"/>
      <c r="R1854" s="10"/>
      <c r="S1854" s="10"/>
    </row>
    <row r="1855" spans="1:19" x14ac:dyDescent="0.25">
      <c r="A1855" s="10"/>
      <c r="B1855" s="10"/>
      <c r="C1855" s="10"/>
      <c r="D1855" s="10"/>
      <c r="E1855" s="10"/>
      <c r="F1855" s="10"/>
      <c r="G1855" s="10"/>
      <c r="H1855" s="770"/>
      <c r="I1855" s="10"/>
      <c r="J1855" s="10"/>
      <c r="K1855" s="10"/>
      <c r="L1855" s="10"/>
      <c r="M1855" s="770"/>
      <c r="N1855" s="10"/>
      <c r="O1855" s="10"/>
      <c r="P1855" s="10"/>
      <c r="Q1855" s="10"/>
      <c r="R1855" s="10"/>
      <c r="S1855" s="10"/>
    </row>
    <row r="1856" spans="1:19" x14ac:dyDescent="0.25">
      <c r="A1856" s="10"/>
      <c r="B1856" s="10"/>
      <c r="C1856" s="10"/>
      <c r="D1856" s="10"/>
      <c r="E1856" s="10"/>
      <c r="F1856" s="10"/>
      <c r="G1856" s="10"/>
      <c r="H1856" s="770"/>
      <c r="I1856" s="10"/>
      <c r="J1856" s="10"/>
      <c r="K1856" s="10"/>
      <c r="L1856" s="10"/>
      <c r="M1856" s="770"/>
      <c r="N1856" s="10"/>
      <c r="O1856" s="10"/>
      <c r="P1856" s="10"/>
      <c r="Q1856" s="10"/>
      <c r="R1856" s="10"/>
      <c r="S1856" s="10"/>
    </row>
    <row r="1857" spans="1:19" x14ac:dyDescent="0.25">
      <c r="A1857" s="10"/>
      <c r="B1857" s="10"/>
      <c r="C1857" s="10"/>
      <c r="D1857" s="10"/>
      <c r="E1857" s="10"/>
      <c r="F1857" s="10"/>
      <c r="G1857" s="10"/>
      <c r="H1857" s="770"/>
      <c r="I1857" s="10"/>
      <c r="J1857" s="10"/>
      <c r="K1857" s="10"/>
      <c r="L1857" s="10"/>
      <c r="M1857" s="770"/>
      <c r="N1857" s="10"/>
      <c r="O1857" s="10"/>
      <c r="P1857" s="10"/>
      <c r="Q1857" s="10"/>
      <c r="R1857" s="10"/>
      <c r="S1857" s="10"/>
    </row>
    <row r="1858" spans="1:19" x14ac:dyDescent="0.25">
      <c r="A1858" s="10"/>
      <c r="B1858" s="10"/>
      <c r="C1858" s="10"/>
      <c r="D1858" s="10"/>
      <c r="E1858" s="10"/>
      <c r="F1858" s="10"/>
      <c r="G1858" s="10"/>
      <c r="H1858" s="770"/>
      <c r="I1858" s="10"/>
      <c r="J1858" s="10"/>
      <c r="K1858" s="10"/>
      <c r="L1858" s="10"/>
      <c r="M1858" s="770"/>
      <c r="N1858" s="10"/>
      <c r="O1858" s="10"/>
      <c r="P1858" s="10"/>
      <c r="Q1858" s="10"/>
      <c r="R1858" s="10"/>
      <c r="S1858" s="10"/>
    </row>
    <row r="1859" spans="1:19" x14ac:dyDescent="0.25">
      <c r="A1859" s="10"/>
      <c r="B1859" s="10"/>
      <c r="C1859" s="10"/>
      <c r="D1859" s="10"/>
      <c r="E1859" s="10"/>
      <c r="F1859" s="10"/>
      <c r="G1859" s="10"/>
      <c r="H1859" s="770"/>
      <c r="I1859" s="10"/>
      <c r="J1859" s="10"/>
      <c r="K1859" s="10"/>
      <c r="L1859" s="10"/>
      <c r="M1859" s="770"/>
      <c r="N1859" s="10"/>
      <c r="O1859" s="10"/>
      <c r="P1859" s="10"/>
      <c r="Q1859" s="10"/>
      <c r="R1859" s="10"/>
      <c r="S1859" s="10"/>
    </row>
    <row r="1860" spans="1:19" x14ac:dyDescent="0.25">
      <c r="A1860" s="10"/>
      <c r="B1860" s="10"/>
      <c r="C1860" s="10"/>
      <c r="D1860" s="10"/>
      <c r="E1860" s="10"/>
      <c r="F1860" s="10"/>
      <c r="G1860" s="10"/>
      <c r="H1860" s="770"/>
      <c r="I1860" s="10"/>
      <c r="J1860" s="10"/>
      <c r="K1860" s="10"/>
      <c r="L1860" s="10"/>
      <c r="M1860" s="770"/>
      <c r="N1860" s="10"/>
      <c r="O1860" s="10"/>
      <c r="P1860" s="10"/>
      <c r="Q1860" s="10"/>
      <c r="R1860" s="10"/>
      <c r="S1860" s="10"/>
    </row>
    <row r="1861" spans="1:19" x14ac:dyDescent="0.25">
      <c r="A1861" s="10"/>
      <c r="B1861" s="10"/>
      <c r="C1861" s="10"/>
      <c r="D1861" s="10"/>
      <c r="E1861" s="10"/>
      <c r="F1861" s="10"/>
      <c r="G1861" s="10"/>
      <c r="H1861" s="770"/>
      <c r="I1861" s="10"/>
      <c r="J1861" s="10"/>
      <c r="K1861" s="10"/>
      <c r="L1861" s="10"/>
      <c r="M1861" s="770"/>
      <c r="N1861" s="10"/>
      <c r="O1861" s="10"/>
      <c r="P1861" s="10"/>
      <c r="Q1861" s="10"/>
      <c r="R1861" s="10"/>
      <c r="S1861" s="10"/>
    </row>
    <row r="1862" spans="1:19" x14ac:dyDescent="0.25">
      <c r="A1862" s="10"/>
      <c r="B1862" s="10"/>
      <c r="C1862" s="10"/>
      <c r="D1862" s="10"/>
      <c r="E1862" s="10"/>
      <c r="F1862" s="10"/>
      <c r="G1862" s="10"/>
      <c r="H1862" s="770"/>
      <c r="I1862" s="10"/>
      <c r="J1862" s="10"/>
      <c r="K1862" s="10"/>
      <c r="L1862" s="10"/>
      <c r="M1862" s="770"/>
      <c r="N1862" s="10"/>
      <c r="O1862" s="10"/>
      <c r="P1862" s="10"/>
      <c r="Q1862" s="10"/>
      <c r="R1862" s="10"/>
      <c r="S1862" s="10"/>
    </row>
    <row r="1863" spans="1:19" x14ac:dyDescent="0.25">
      <c r="A1863" s="10"/>
      <c r="B1863" s="10"/>
      <c r="C1863" s="10"/>
      <c r="D1863" s="10"/>
      <c r="E1863" s="10"/>
      <c r="F1863" s="10"/>
      <c r="G1863" s="10"/>
      <c r="H1863" s="770"/>
      <c r="I1863" s="10"/>
      <c r="J1863" s="10"/>
      <c r="K1863" s="10"/>
      <c r="L1863" s="10"/>
      <c r="M1863" s="770"/>
      <c r="N1863" s="10"/>
      <c r="O1863" s="10"/>
      <c r="P1863" s="10"/>
      <c r="Q1863" s="10"/>
      <c r="R1863" s="10"/>
      <c r="S1863" s="10"/>
    </row>
    <row r="1864" spans="1:19" x14ac:dyDescent="0.25">
      <c r="A1864" s="10"/>
      <c r="B1864" s="10"/>
      <c r="C1864" s="10"/>
      <c r="D1864" s="10"/>
      <c r="E1864" s="10"/>
      <c r="F1864" s="10"/>
      <c r="G1864" s="10"/>
      <c r="H1864" s="770"/>
      <c r="I1864" s="10"/>
      <c r="J1864" s="10"/>
      <c r="K1864" s="10"/>
      <c r="L1864" s="10"/>
      <c r="M1864" s="770"/>
      <c r="N1864" s="10"/>
      <c r="O1864" s="10"/>
      <c r="P1864" s="10"/>
      <c r="Q1864" s="10"/>
      <c r="R1864" s="10"/>
      <c r="S1864" s="10"/>
    </row>
    <row r="1865" spans="1:19" x14ac:dyDescent="0.25">
      <c r="A1865" s="10"/>
      <c r="B1865" s="10"/>
      <c r="C1865" s="10"/>
      <c r="D1865" s="10"/>
      <c r="E1865" s="10"/>
      <c r="F1865" s="10"/>
      <c r="G1865" s="10"/>
      <c r="H1865" s="770"/>
      <c r="I1865" s="10"/>
      <c r="J1865" s="10"/>
      <c r="K1865" s="10"/>
      <c r="L1865" s="10"/>
      <c r="M1865" s="770"/>
      <c r="N1865" s="10"/>
      <c r="O1865" s="10"/>
      <c r="P1865" s="10"/>
      <c r="Q1865" s="10"/>
      <c r="R1865" s="10"/>
      <c r="S1865" s="10"/>
    </row>
    <row r="1866" spans="1:19" x14ac:dyDescent="0.25">
      <c r="A1866" s="10"/>
      <c r="B1866" s="10"/>
      <c r="C1866" s="10"/>
      <c r="D1866" s="10"/>
      <c r="E1866" s="10"/>
      <c r="F1866" s="10"/>
      <c r="G1866" s="10"/>
      <c r="H1866" s="770"/>
      <c r="I1866" s="10"/>
      <c r="J1866" s="10"/>
      <c r="K1866" s="10"/>
      <c r="L1866" s="10"/>
      <c r="M1866" s="770"/>
      <c r="N1866" s="10"/>
      <c r="O1866" s="10"/>
      <c r="P1866" s="10"/>
      <c r="Q1866" s="10"/>
      <c r="R1866" s="10"/>
      <c r="S1866" s="10"/>
    </row>
    <row r="1867" spans="1:19" x14ac:dyDescent="0.25">
      <c r="A1867" s="10"/>
      <c r="B1867" s="10"/>
      <c r="C1867" s="10"/>
      <c r="D1867" s="10"/>
      <c r="E1867" s="10"/>
      <c r="F1867" s="10"/>
      <c r="G1867" s="10"/>
      <c r="H1867" s="770"/>
      <c r="I1867" s="10"/>
      <c r="J1867" s="10"/>
      <c r="K1867" s="10"/>
      <c r="L1867" s="10"/>
      <c r="M1867" s="770"/>
      <c r="N1867" s="10"/>
      <c r="O1867" s="10"/>
      <c r="P1867" s="10"/>
      <c r="Q1867" s="10"/>
      <c r="R1867" s="10"/>
      <c r="S1867" s="10"/>
    </row>
    <row r="1868" spans="1:19" x14ac:dyDescent="0.25">
      <c r="A1868" s="10"/>
      <c r="B1868" s="10"/>
      <c r="C1868" s="10"/>
      <c r="D1868" s="10"/>
      <c r="E1868" s="10"/>
      <c r="F1868" s="10"/>
      <c r="G1868" s="10"/>
      <c r="H1868" s="770"/>
      <c r="I1868" s="10"/>
      <c r="J1868" s="10"/>
      <c r="K1868" s="10"/>
      <c r="L1868" s="10"/>
      <c r="M1868" s="770"/>
      <c r="N1868" s="10"/>
      <c r="O1868" s="10"/>
      <c r="P1868" s="10"/>
      <c r="Q1868" s="10"/>
      <c r="R1868" s="10"/>
      <c r="S1868" s="10"/>
    </row>
    <row r="1869" spans="1:19" x14ac:dyDescent="0.25">
      <c r="A1869" s="10"/>
      <c r="B1869" s="10"/>
      <c r="C1869" s="10"/>
      <c r="D1869" s="10"/>
      <c r="E1869" s="10"/>
      <c r="F1869" s="10"/>
      <c r="G1869" s="10"/>
      <c r="H1869" s="770"/>
      <c r="I1869" s="10"/>
      <c r="J1869" s="10"/>
      <c r="K1869" s="10"/>
      <c r="L1869" s="10"/>
      <c r="M1869" s="770"/>
      <c r="N1869" s="10"/>
      <c r="O1869" s="10"/>
      <c r="P1869" s="10"/>
      <c r="Q1869" s="10"/>
      <c r="R1869" s="10"/>
      <c r="S1869" s="10"/>
    </row>
    <row r="1870" spans="1:19" x14ac:dyDescent="0.25">
      <c r="A1870" s="10"/>
      <c r="B1870" s="10"/>
      <c r="C1870" s="10"/>
      <c r="D1870" s="10"/>
      <c r="E1870" s="10"/>
      <c r="F1870" s="10"/>
      <c r="G1870" s="10"/>
      <c r="H1870" s="770"/>
      <c r="I1870" s="10"/>
      <c r="J1870" s="10"/>
      <c r="K1870" s="10"/>
      <c r="L1870" s="10"/>
      <c r="M1870" s="770"/>
      <c r="N1870" s="10"/>
      <c r="O1870" s="10"/>
      <c r="P1870" s="10"/>
      <c r="Q1870" s="10"/>
      <c r="R1870" s="10"/>
      <c r="S1870" s="10"/>
    </row>
    <row r="1871" spans="1:19" x14ac:dyDescent="0.25">
      <c r="A1871" s="10"/>
      <c r="B1871" s="10"/>
      <c r="C1871" s="10"/>
      <c r="D1871" s="10"/>
      <c r="E1871" s="10"/>
      <c r="F1871" s="10"/>
      <c r="G1871" s="10"/>
      <c r="H1871" s="770"/>
      <c r="I1871" s="10"/>
      <c r="J1871" s="10"/>
      <c r="K1871" s="10"/>
      <c r="L1871" s="10"/>
      <c r="M1871" s="770"/>
      <c r="N1871" s="10"/>
      <c r="O1871" s="10"/>
      <c r="P1871" s="10"/>
      <c r="Q1871" s="10"/>
      <c r="R1871" s="10"/>
      <c r="S1871" s="10"/>
    </row>
    <row r="1872" spans="1:19" x14ac:dyDescent="0.25">
      <c r="A1872" s="10"/>
      <c r="B1872" s="10"/>
      <c r="C1872" s="10"/>
      <c r="D1872" s="10"/>
      <c r="E1872" s="10"/>
      <c r="F1872" s="10"/>
      <c r="G1872" s="10"/>
      <c r="H1872" s="770"/>
      <c r="I1872" s="10"/>
      <c r="J1872" s="10"/>
      <c r="K1872" s="10"/>
      <c r="L1872" s="10"/>
      <c r="M1872" s="770"/>
      <c r="N1872" s="10"/>
      <c r="O1872" s="10"/>
      <c r="P1872" s="10"/>
      <c r="Q1872" s="10"/>
      <c r="R1872" s="10"/>
      <c r="S1872" s="10"/>
    </row>
    <row r="1873" spans="1:19" x14ac:dyDescent="0.25">
      <c r="A1873" s="10"/>
      <c r="B1873" s="10"/>
      <c r="C1873" s="10"/>
      <c r="D1873" s="10"/>
      <c r="E1873" s="10"/>
      <c r="F1873" s="10"/>
      <c r="G1873" s="10"/>
      <c r="H1873" s="770"/>
      <c r="I1873" s="10"/>
      <c r="J1873" s="10"/>
      <c r="K1873" s="10"/>
      <c r="L1873" s="10"/>
      <c r="M1873" s="770"/>
      <c r="N1873" s="10"/>
      <c r="O1873" s="10"/>
      <c r="P1873" s="10"/>
      <c r="Q1873" s="10"/>
      <c r="R1873" s="10"/>
      <c r="S1873" s="10"/>
    </row>
    <row r="1874" spans="1:19" x14ac:dyDescent="0.25">
      <c r="A1874" s="10"/>
      <c r="B1874" s="10"/>
      <c r="C1874" s="10"/>
      <c r="D1874" s="10"/>
      <c r="E1874" s="10"/>
      <c r="F1874" s="10"/>
      <c r="G1874" s="10"/>
      <c r="H1874" s="770"/>
      <c r="I1874" s="10"/>
      <c r="J1874" s="10"/>
      <c r="K1874" s="10"/>
      <c r="L1874" s="10"/>
      <c r="M1874" s="770"/>
      <c r="N1874" s="10"/>
      <c r="O1874" s="10"/>
      <c r="P1874" s="10"/>
      <c r="Q1874" s="10"/>
      <c r="R1874" s="10"/>
      <c r="S1874" s="10"/>
    </row>
    <row r="1875" spans="1:19" x14ac:dyDescent="0.25">
      <c r="A1875" s="10"/>
      <c r="B1875" s="10"/>
      <c r="C1875" s="10"/>
      <c r="D1875" s="10"/>
      <c r="E1875" s="10"/>
      <c r="F1875" s="10"/>
      <c r="G1875" s="10"/>
      <c r="H1875" s="770"/>
      <c r="I1875" s="10"/>
      <c r="J1875" s="10"/>
      <c r="K1875" s="10"/>
      <c r="L1875" s="10"/>
      <c r="M1875" s="770"/>
      <c r="N1875" s="10"/>
      <c r="O1875" s="10"/>
      <c r="P1875" s="10"/>
      <c r="Q1875" s="10"/>
      <c r="R1875" s="10"/>
      <c r="S1875" s="10"/>
    </row>
    <row r="1876" spans="1:19" x14ac:dyDescent="0.25">
      <c r="A1876" s="10"/>
      <c r="B1876" s="10"/>
      <c r="C1876" s="10"/>
      <c r="D1876" s="10"/>
      <c r="E1876" s="10"/>
      <c r="F1876" s="10"/>
      <c r="G1876" s="10"/>
      <c r="H1876" s="770"/>
      <c r="I1876" s="10"/>
      <c r="J1876" s="10"/>
      <c r="K1876" s="10"/>
      <c r="L1876" s="10"/>
      <c r="M1876" s="770"/>
      <c r="N1876" s="10"/>
      <c r="O1876" s="10"/>
      <c r="P1876" s="10"/>
      <c r="Q1876" s="10"/>
      <c r="R1876" s="10"/>
      <c r="S1876" s="10"/>
    </row>
    <row r="1877" spans="1:19" x14ac:dyDescent="0.25">
      <c r="A1877" s="10"/>
      <c r="B1877" s="10"/>
      <c r="C1877" s="10"/>
      <c r="D1877" s="10"/>
      <c r="E1877" s="10"/>
      <c r="F1877" s="10"/>
      <c r="G1877" s="10"/>
      <c r="H1877" s="770"/>
      <c r="I1877" s="10"/>
      <c r="J1877" s="10"/>
      <c r="K1877" s="10"/>
      <c r="L1877" s="10"/>
      <c r="M1877" s="770"/>
      <c r="N1877" s="10"/>
      <c r="O1877" s="10"/>
      <c r="P1877" s="10"/>
      <c r="Q1877" s="10"/>
      <c r="R1877" s="10"/>
      <c r="S1877" s="10"/>
    </row>
    <row r="1878" spans="1:19" x14ac:dyDescent="0.25">
      <c r="A1878" s="10"/>
      <c r="B1878" s="10"/>
      <c r="C1878" s="10"/>
      <c r="D1878" s="10"/>
      <c r="E1878" s="10"/>
      <c r="F1878" s="10"/>
      <c r="G1878" s="10"/>
      <c r="H1878" s="770"/>
      <c r="I1878" s="10"/>
      <c r="J1878" s="10"/>
      <c r="K1878" s="10"/>
      <c r="L1878" s="10"/>
      <c r="M1878" s="770"/>
      <c r="N1878" s="10"/>
      <c r="O1878" s="10"/>
      <c r="P1878" s="10"/>
      <c r="Q1878" s="10"/>
      <c r="R1878" s="10"/>
      <c r="S1878" s="10"/>
    </row>
    <row r="1879" spans="1:19" x14ac:dyDescent="0.25">
      <c r="A1879" s="10"/>
      <c r="B1879" s="10"/>
      <c r="C1879" s="10"/>
      <c r="D1879" s="10"/>
      <c r="E1879" s="10"/>
      <c r="F1879" s="10"/>
      <c r="G1879" s="10"/>
      <c r="H1879" s="770"/>
      <c r="I1879" s="10"/>
      <c r="J1879" s="10"/>
      <c r="K1879" s="10"/>
      <c r="L1879" s="10"/>
      <c r="M1879" s="770"/>
      <c r="N1879" s="10"/>
      <c r="O1879" s="10"/>
      <c r="P1879" s="10"/>
      <c r="Q1879" s="10"/>
      <c r="R1879" s="10"/>
      <c r="S1879" s="10"/>
    </row>
    <row r="1880" spans="1:19" x14ac:dyDescent="0.25">
      <c r="A1880" s="10"/>
      <c r="B1880" s="10"/>
      <c r="C1880" s="10"/>
      <c r="D1880" s="10"/>
      <c r="E1880" s="10"/>
      <c r="F1880" s="10"/>
      <c r="G1880" s="10"/>
      <c r="H1880" s="770"/>
      <c r="I1880" s="10"/>
      <c r="J1880" s="10"/>
      <c r="K1880" s="10"/>
      <c r="L1880" s="10"/>
      <c r="M1880" s="770"/>
      <c r="N1880" s="10"/>
      <c r="O1880" s="10"/>
      <c r="P1880" s="10"/>
      <c r="Q1880" s="10"/>
      <c r="R1880" s="10"/>
      <c r="S1880" s="10"/>
    </row>
    <row r="1881" spans="1:19" x14ac:dyDescent="0.25">
      <c r="A1881" s="10"/>
      <c r="B1881" s="10"/>
      <c r="C1881" s="10"/>
      <c r="D1881" s="10"/>
      <c r="E1881" s="10"/>
      <c r="F1881" s="10"/>
      <c r="G1881" s="10"/>
      <c r="H1881" s="770"/>
      <c r="I1881" s="10"/>
      <c r="J1881" s="10"/>
      <c r="K1881" s="10"/>
      <c r="L1881" s="10"/>
      <c r="M1881" s="770"/>
      <c r="N1881" s="10"/>
      <c r="O1881" s="10"/>
      <c r="P1881" s="10"/>
      <c r="Q1881" s="10"/>
      <c r="R1881" s="10"/>
      <c r="S1881" s="10"/>
    </row>
    <row r="1882" spans="1:19" x14ac:dyDescent="0.25">
      <c r="A1882" s="10"/>
      <c r="B1882" s="10"/>
      <c r="C1882" s="10"/>
      <c r="D1882" s="10"/>
      <c r="E1882" s="10"/>
      <c r="F1882" s="10"/>
      <c r="G1882" s="10"/>
      <c r="H1882" s="770"/>
      <c r="I1882" s="10"/>
      <c r="J1882" s="10"/>
      <c r="K1882" s="10"/>
      <c r="L1882" s="10"/>
      <c r="M1882" s="770"/>
      <c r="N1882" s="10"/>
      <c r="O1882" s="10"/>
      <c r="P1882" s="10"/>
      <c r="Q1882" s="10"/>
      <c r="R1882" s="10"/>
      <c r="S1882" s="10"/>
    </row>
    <row r="1883" spans="1:19" x14ac:dyDescent="0.25">
      <c r="A1883" s="10"/>
      <c r="B1883" s="10"/>
      <c r="C1883" s="10"/>
      <c r="D1883" s="10"/>
      <c r="E1883" s="10"/>
      <c r="F1883" s="10"/>
      <c r="G1883" s="10"/>
      <c r="H1883" s="770"/>
      <c r="I1883" s="10"/>
      <c r="J1883" s="10"/>
      <c r="K1883" s="10"/>
      <c r="L1883" s="10"/>
      <c r="M1883" s="770"/>
      <c r="N1883" s="10"/>
      <c r="O1883" s="10"/>
      <c r="P1883" s="10"/>
      <c r="Q1883" s="10"/>
      <c r="R1883" s="10"/>
      <c r="S1883" s="10"/>
    </row>
    <row r="1884" spans="1:19" x14ac:dyDescent="0.25">
      <c r="A1884" s="10"/>
      <c r="B1884" s="10"/>
      <c r="C1884" s="10"/>
      <c r="D1884" s="10"/>
      <c r="E1884" s="10"/>
      <c r="F1884" s="10"/>
      <c r="G1884" s="10"/>
      <c r="H1884" s="770"/>
      <c r="I1884" s="10"/>
      <c r="J1884" s="10"/>
      <c r="K1884" s="10"/>
      <c r="L1884" s="10"/>
      <c r="M1884" s="770"/>
      <c r="N1884" s="10"/>
      <c r="O1884" s="10"/>
      <c r="P1884" s="10"/>
      <c r="Q1884" s="10"/>
      <c r="R1884" s="10"/>
      <c r="S1884" s="10"/>
    </row>
    <row r="1885" spans="1:19" x14ac:dyDescent="0.25">
      <c r="A1885" s="10"/>
      <c r="B1885" s="10"/>
      <c r="C1885" s="10"/>
      <c r="D1885" s="10"/>
      <c r="E1885" s="10"/>
      <c r="F1885" s="10"/>
      <c r="G1885" s="10"/>
      <c r="H1885" s="770"/>
      <c r="I1885" s="10"/>
      <c r="J1885" s="10"/>
      <c r="K1885" s="10"/>
      <c r="L1885" s="10"/>
      <c r="M1885" s="770"/>
      <c r="N1885" s="10"/>
      <c r="O1885" s="10"/>
      <c r="P1885" s="10"/>
      <c r="Q1885" s="10"/>
      <c r="R1885" s="10"/>
      <c r="S1885" s="10"/>
    </row>
    <row r="1886" spans="1:19" x14ac:dyDescent="0.25">
      <c r="A1886" s="10"/>
      <c r="B1886" s="10"/>
      <c r="C1886" s="10"/>
      <c r="D1886" s="10"/>
      <c r="E1886" s="10"/>
      <c r="F1886" s="10"/>
      <c r="G1886" s="10"/>
      <c r="H1886" s="770"/>
      <c r="I1886" s="10"/>
      <c r="J1886" s="10"/>
      <c r="K1886" s="10"/>
      <c r="L1886" s="10"/>
      <c r="M1886" s="770"/>
      <c r="N1886" s="10"/>
      <c r="O1886" s="10"/>
      <c r="P1886" s="10"/>
      <c r="Q1886" s="10"/>
      <c r="R1886" s="10"/>
      <c r="S1886" s="10"/>
    </row>
    <row r="1887" spans="1:19" x14ac:dyDescent="0.25">
      <c r="A1887" s="10"/>
      <c r="B1887" s="10"/>
      <c r="C1887" s="10"/>
      <c r="D1887" s="10"/>
      <c r="E1887" s="10"/>
      <c r="F1887" s="10"/>
      <c r="G1887" s="10"/>
      <c r="H1887" s="770"/>
      <c r="I1887" s="10"/>
      <c r="J1887" s="10"/>
      <c r="K1887" s="10"/>
      <c r="L1887" s="10"/>
      <c r="M1887" s="770"/>
      <c r="N1887" s="10"/>
      <c r="O1887" s="10"/>
      <c r="P1887" s="10"/>
      <c r="Q1887" s="10"/>
      <c r="R1887" s="10"/>
      <c r="S1887" s="10"/>
    </row>
    <row r="1888" spans="1:19" x14ac:dyDescent="0.25">
      <c r="A1888" s="10"/>
      <c r="B1888" s="10"/>
      <c r="C1888" s="10"/>
      <c r="D1888" s="10"/>
      <c r="E1888" s="10"/>
      <c r="F1888" s="10"/>
      <c r="G1888" s="10"/>
      <c r="H1888" s="770"/>
      <c r="I1888" s="10"/>
      <c r="J1888" s="10"/>
      <c r="K1888" s="10"/>
      <c r="L1888" s="10"/>
      <c r="M1888" s="770"/>
      <c r="N1888" s="10"/>
      <c r="O1888" s="10"/>
      <c r="P1888" s="10"/>
      <c r="Q1888" s="10"/>
      <c r="R1888" s="10"/>
      <c r="S1888" s="10"/>
    </row>
    <row r="1889" spans="1:19" x14ac:dyDescent="0.25">
      <c r="A1889" s="10"/>
      <c r="B1889" s="10"/>
      <c r="C1889" s="10"/>
      <c r="D1889" s="10"/>
      <c r="E1889" s="10"/>
      <c r="F1889" s="10"/>
      <c r="G1889" s="10"/>
      <c r="H1889" s="770"/>
      <c r="I1889" s="10"/>
      <c r="J1889" s="10"/>
      <c r="K1889" s="10"/>
      <c r="L1889" s="10"/>
      <c r="M1889" s="770"/>
      <c r="N1889" s="10"/>
      <c r="O1889" s="10"/>
      <c r="P1889" s="10"/>
      <c r="Q1889" s="10"/>
      <c r="R1889" s="10"/>
      <c r="S1889" s="10"/>
    </row>
    <row r="1890" spans="1:19" x14ac:dyDescent="0.25">
      <c r="A1890" s="10"/>
      <c r="B1890" s="10"/>
      <c r="C1890" s="10"/>
      <c r="D1890" s="10"/>
      <c r="E1890" s="10"/>
      <c r="F1890" s="10"/>
      <c r="G1890" s="10"/>
      <c r="H1890" s="770"/>
      <c r="I1890" s="10"/>
      <c r="J1890" s="10"/>
      <c r="K1890" s="10"/>
      <c r="L1890" s="10"/>
      <c r="M1890" s="770"/>
      <c r="N1890" s="10"/>
      <c r="O1890" s="10"/>
      <c r="P1890" s="10"/>
      <c r="Q1890" s="10"/>
      <c r="R1890" s="10"/>
      <c r="S1890" s="10"/>
    </row>
    <row r="1891" spans="1:19" x14ac:dyDescent="0.25">
      <c r="A1891" s="10"/>
      <c r="B1891" s="10"/>
      <c r="C1891" s="10"/>
      <c r="D1891" s="10"/>
      <c r="E1891" s="10"/>
      <c r="F1891" s="10"/>
      <c r="G1891" s="10"/>
      <c r="H1891" s="770"/>
      <c r="I1891" s="10"/>
      <c r="J1891" s="10"/>
      <c r="K1891" s="10"/>
      <c r="L1891" s="10"/>
      <c r="M1891" s="770"/>
      <c r="N1891" s="10"/>
      <c r="O1891" s="10"/>
      <c r="P1891" s="10"/>
      <c r="Q1891" s="10"/>
      <c r="R1891" s="10"/>
      <c r="S1891" s="10"/>
    </row>
    <row r="1892" spans="1:19" x14ac:dyDescent="0.25">
      <c r="A1892" s="10"/>
      <c r="B1892" s="10"/>
      <c r="C1892" s="10"/>
      <c r="D1892" s="10"/>
      <c r="E1892" s="10"/>
      <c r="F1892" s="10"/>
      <c r="G1892" s="10"/>
      <c r="H1892" s="770"/>
      <c r="I1892" s="10"/>
      <c r="J1892" s="10"/>
      <c r="K1892" s="10"/>
      <c r="L1892" s="10"/>
      <c r="M1892" s="770"/>
      <c r="N1892" s="10"/>
      <c r="O1892" s="10"/>
      <c r="P1892" s="10"/>
      <c r="Q1892" s="10"/>
      <c r="R1892" s="10"/>
      <c r="S1892" s="10"/>
    </row>
    <row r="1893" spans="1:19" x14ac:dyDescent="0.25">
      <c r="A1893" s="10"/>
      <c r="B1893" s="10"/>
      <c r="C1893" s="10"/>
      <c r="D1893" s="10"/>
      <c r="E1893" s="10"/>
      <c r="F1893" s="10"/>
      <c r="G1893" s="10"/>
      <c r="H1893" s="770"/>
      <c r="I1893" s="10"/>
      <c r="J1893" s="10"/>
      <c r="K1893" s="10"/>
      <c r="L1893" s="10"/>
      <c r="M1893" s="770"/>
      <c r="N1893" s="10"/>
      <c r="O1893" s="10"/>
      <c r="P1893" s="10"/>
      <c r="Q1893" s="10"/>
      <c r="R1893" s="10"/>
      <c r="S1893" s="10"/>
    </row>
    <row r="1894" spans="1:19" x14ac:dyDescent="0.25">
      <c r="A1894" s="10"/>
      <c r="B1894" s="10"/>
      <c r="C1894" s="10"/>
      <c r="D1894" s="10"/>
      <c r="E1894" s="10"/>
      <c r="F1894" s="10"/>
      <c r="G1894" s="10"/>
      <c r="H1894" s="770"/>
      <c r="I1894" s="10"/>
      <c r="J1894" s="10"/>
      <c r="K1894" s="10"/>
      <c r="L1894" s="10"/>
      <c r="M1894" s="770"/>
      <c r="N1894" s="10"/>
      <c r="O1894" s="10"/>
      <c r="P1894" s="10"/>
      <c r="Q1894" s="10"/>
      <c r="R1894" s="10"/>
      <c r="S1894" s="10"/>
    </row>
    <row r="1895" spans="1:19" x14ac:dyDescent="0.25">
      <c r="A1895" s="10"/>
      <c r="B1895" s="10"/>
      <c r="C1895" s="10"/>
      <c r="D1895" s="10"/>
      <c r="E1895" s="10"/>
      <c r="F1895" s="10"/>
      <c r="G1895" s="10"/>
      <c r="H1895" s="770"/>
      <c r="I1895" s="10"/>
      <c r="J1895" s="10"/>
      <c r="K1895" s="10"/>
      <c r="L1895" s="10"/>
      <c r="M1895" s="770"/>
      <c r="N1895" s="10"/>
      <c r="O1895" s="10"/>
      <c r="P1895" s="10"/>
      <c r="Q1895" s="10"/>
      <c r="R1895" s="10"/>
      <c r="S1895" s="10"/>
    </row>
    <row r="1896" spans="1:19" x14ac:dyDescent="0.25">
      <c r="A1896" s="10"/>
      <c r="B1896" s="10"/>
      <c r="C1896" s="10"/>
      <c r="D1896" s="10"/>
      <c r="E1896" s="10"/>
      <c r="F1896" s="10"/>
      <c r="G1896" s="10"/>
      <c r="H1896" s="770"/>
      <c r="I1896" s="10"/>
      <c r="J1896" s="10"/>
      <c r="K1896" s="10"/>
      <c r="L1896" s="10"/>
      <c r="M1896" s="770"/>
      <c r="N1896" s="10"/>
      <c r="O1896" s="10"/>
      <c r="P1896" s="10"/>
      <c r="Q1896" s="10"/>
      <c r="R1896" s="10"/>
      <c r="S1896" s="10"/>
    </row>
    <row r="1897" spans="1:19" x14ac:dyDescent="0.25">
      <c r="A1897" s="10"/>
      <c r="B1897" s="10"/>
      <c r="C1897" s="10"/>
      <c r="D1897" s="10"/>
      <c r="E1897" s="10"/>
      <c r="F1897" s="10"/>
      <c r="G1897" s="10"/>
      <c r="H1897" s="770"/>
      <c r="I1897" s="10"/>
      <c r="J1897" s="10"/>
      <c r="K1897" s="10"/>
      <c r="L1897" s="10"/>
      <c r="M1897" s="770"/>
      <c r="N1897" s="10"/>
      <c r="O1897" s="10"/>
      <c r="P1897" s="10"/>
      <c r="Q1897" s="10"/>
      <c r="R1897" s="10"/>
      <c r="S1897" s="10"/>
    </row>
    <row r="1898" spans="1:19" x14ac:dyDescent="0.25">
      <c r="A1898" s="10"/>
      <c r="B1898" s="10"/>
      <c r="C1898" s="10"/>
      <c r="D1898" s="10"/>
      <c r="E1898" s="10"/>
      <c r="F1898" s="10"/>
      <c r="G1898" s="10"/>
      <c r="H1898" s="770"/>
      <c r="I1898" s="10"/>
      <c r="J1898" s="10"/>
      <c r="K1898" s="10"/>
      <c r="L1898" s="10"/>
      <c r="M1898" s="770"/>
      <c r="N1898" s="10"/>
      <c r="O1898" s="10"/>
      <c r="P1898" s="10"/>
      <c r="Q1898" s="10"/>
      <c r="R1898" s="10"/>
      <c r="S1898" s="10"/>
    </row>
    <row r="1899" spans="1:19" x14ac:dyDescent="0.25">
      <c r="A1899" s="10"/>
      <c r="B1899" s="10"/>
      <c r="C1899" s="10"/>
      <c r="D1899" s="10"/>
      <c r="E1899" s="10"/>
      <c r="F1899" s="10"/>
      <c r="G1899" s="10"/>
      <c r="H1899" s="770"/>
      <c r="I1899" s="10"/>
      <c r="J1899" s="10"/>
      <c r="K1899" s="10"/>
      <c r="L1899" s="10"/>
      <c r="M1899" s="770"/>
      <c r="N1899" s="10"/>
      <c r="O1899" s="10"/>
      <c r="P1899" s="10"/>
      <c r="Q1899" s="10"/>
      <c r="R1899" s="10"/>
      <c r="S1899" s="10"/>
    </row>
    <row r="1900" spans="1:19" x14ac:dyDescent="0.25">
      <c r="A1900" s="10"/>
      <c r="B1900" s="10"/>
      <c r="C1900" s="10"/>
      <c r="D1900" s="10"/>
      <c r="E1900" s="10"/>
      <c r="F1900" s="10"/>
      <c r="G1900" s="10"/>
      <c r="H1900" s="770"/>
      <c r="I1900" s="10"/>
      <c r="J1900" s="10"/>
      <c r="K1900" s="10"/>
      <c r="L1900" s="10"/>
      <c r="M1900" s="770"/>
      <c r="N1900" s="10"/>
      <c r="O1900" s="10"/>
      <c r="P1900" s="10"/>
      <c r="Q1900" s="10"/>
      <c r="R1900" s="10"/>
      <c r="S1900" s="10"/>
    </row>
    <row r="1901" spans="1:19" x14ac:dyDescent="0.25">
      <c r="A1901" s="10"/>
      <c r="B1901" s="10"/>
      <c r="C1901" s="10"/>
      <c r="D1901" s="10"/>
      <c r="E1901" s="10"/>
      <c r="F1901" s="10"/>
      <c r="G1901" s="10"/>
      <c r="H1901" s="770"/>
      <c r="I1901" s="10"/>
      <c r="J1901" s="10"/>
      <c r="K1901" s="10"/>
      <c r="L1901" s="10"/>
      <c r="M1901" s="770"/>
      <c r="N1901" s="10"/>
      <c r="O1901" s="10"/>
      <c r="P1901" s="10"/>
      <c r="Q1901" s="10"/>
      <c r="R1901" s="10"/>
      <c r="S1901" s="10"/>
    </row>
    <row r="1902" spans="1:19" x14ac:dyDescent="0.25">
      <c r="A1902" s="10"/>
      <c r="B1902" s="10"/>
      <c r="C1902" s="10"/>
      <c r="D1902" s="10"/>
      <c r="E1902" s="10"/>
      <c r="F1902" s="10"/>
      <c r="G1902" s="10"/>
      <c r="H1902" s="770"/>
      <c r="I1902" s="10"/>
      <c r="J1902" s="10"/>
      <c r="K1902" s="10"/>
      <c r="L1902" s="10"/>
      <c r="M1902" s="770"/>
      <c r="N1902" s="10"/>
      <c r="O1902" s="10"/>
      <c r="P1902" s="10"/>
      <c r="Q1902" s="10"/>
      <c r="R1902" s="10"/>
      <c r="S1902" s="10"/>
    </row>
    <row r="1903" spans="1:19" x14ac:dyDescent="0.25">
      <c r="A1903" s="10"/>
      <c r="B1903" s="10"/>
      <c r="C1903" s="10"/>
      <c r="D1903" s="10"/>
      <c r="E1903" s="10"/>
      <c r="F1903" s="10"/>
      <c r="G1903" s="10"/>
      <c r="H1903" s="770"/>
      <c r="I1903" s="10"/>
      <c r="J1903" s="10"/>
      <c r="K1903" s="10"/>
      <c r="L1903" s="10"/>
      <c r="M1903" s="770"/>
      <c r="N1903" s="10"/>
      <c r="O1903" s="10"/>
      <c r="P1903" s="10"/>
      <c r="Q1903" s="10"/>
      <c r="R1903" s="10"/>
      <c r="S1903" s="10"/>
    </row>
    <row r="1904" spans="1:19" x14ac:dyDescent="0.25">
      <c r="A1904" s="10"/>
      <c r="B1904" s="10"/>
      <c r="C1904" s="10"/>
      <c r="D1904" s="10"/>
      <c r="E1904" s="10"/>
      <c r="F1904" s="10"/>
      <c r="G1904" s="10"/>
      <c r="H1904" s="770"/>
      <c r="I1904" s="10"/>
      <c r="J1904" s="10"/>
      <c r="K1904" s="10"/>
      <c r="L1904" s="10"/>
      <c r="M1904" s="770"/>
      <c r="N1904" s="10"/>
      <c r="O1904" s="10"/>
      <c r="P1904" s="10"/>
      <c r="Q1904" s="10"/>
      <c r="R1904" s="10"/>
      <c r="S1904" s="10"/>
    </row>
    <row r="1905" spans="1:19" x14ac:dyDescent="0.25">
      <c r="A1905" s="10"/>
      <c r="B1905" s="10"/>
      <c r="C1905" s="10"/>
      <c r="D1905" s="10"/>
      <c r="E1905" s="10"/>
      <c r="F1905" s="10"/>
      <c r="G1905" s="10"/>
      <c r="H1905" s="770"/>
      <c r="I1905" s="10"/>
      <c r="J1905" s="10"/>
      <c r="K1905" s="10"/>
      <c r="L1905" s="10"/>
      <c r="M1905" s="770"/>
      <c r="N1905" s="10"/>
      <c r="O1905" s="10"/>
      <c r="P1905" s="10"/>
      <c r="Q1905" s="10"/>
      <c r="R1905" s="10"/>
      <c r="S1905" s="10"/>
    </row>
    <row r="1906" spans="1:19" x14ac:dyDescent="0.25">
      <c r="A1906" s="10"/>
      <c r="B1906" s="10"/>
      <c r="C1906" s="10"/>
      <c r="D1906" s="10"/>
      <c r="E1906" s="10"/>
      <c r="F1906" s="10"/>
      <c r="G1906" s="10"/>
      <c r="H1906" s="770"/>
      <c r="I1906" s="10"/>
      <c r="J1906" s="10"/>
      <c r="K1906" s="10"/>
      <c r="L1906" s="10"/>
      <c r="M1906" s="770"/>
      <c r="N1906" s="10"/>
      <c r="O1906" s="10"/>
      <c r="P1906" s="10"/>
      <c r="Q1906" s="10"/>
      <c r="R1906" s="10"/>
      <c r="S1906" s="10"/>
    </row>
    <row r="1907" spans="1:19" x14ac:dyDescent="0.25">
      <c r="A1907" s="10"/>
      <c r="B1907" s="10"/>
      <c r="C1907" s="10"/>
      <c r="D1907" s="10"/>
      <c r="E1907" s="10"/>
      <c r="F1907" s="10"/>
      <c r="G1907" s="10"/>
      <c r="H1907" s="770"/>
      <c r="I1907" s="10"/>
      <c r="J1907" s="10"/>
      <c r="K1907" s="10"/>
      <c r="L1907" s="10"/>
      <c r="M1907" s="770"/>
      <c r="N1907" s="10"/>
      <c r="O1907" s="10"/>
      <c r="P1907" s="10"/>
      <c r="Q1907" s="10"/>
      <c r="R1907" s="10"/>
      <c r="S1907" s="10"/>
    </row>
    <row r="1908" spans="1:19" x14ac:dyDescent="0.25">
      <c r="A1908" s="10"/>
      <c r="B1908" s="10"/>
      <c r="C1908" s="10"/>
      <c r="D1908" s="10"/>
      <c r="E1908" s="10"/>
      <c r="F1908" s="10"/>
      <c r="G1908" s="10"/>
      <c r="H1908" s="770"/>
      <c r="I1908" s="10"/>
      <c r="J1908" s="10"/>
      <c r="K1908" s="10"/>
      <c r="L1908" s="10"/>
      <c r="M1908" s="770"/>
      <c r="N1908" s="10"/>
      <c r="O1908" s="10"/>
      <c r="P1908" s="10"/>
      <c r="Q1908" s="10"/>
      <c r="R1908" s="10"/>
      <c r="S1908" s="10"/>
    </row>
    <row r="1909" spans="1:19" x14ac:dyDescent="0.25">
      <c r="A1909" s="10"/>
      <c r="B1909" s="10"/>
      <c r="C1909" s="10"/>
      <c r="D1909" s="10"/>
      <c r="E1909" s="10"/>
      <c r="F1909" s="10"/>
      <c r="G1909" s="10"/>
      <c r="H1909" s="770"/>
      <c r="I1909" s="10"/>
      <c r="J1909" s="10"/>
      <c r="K1909" s="10"/>
      <c r="L1909" s="10"/>
      <c r="M1909" s="770"/>
      <c r="N1909" s="10"/>
      <c r="O1909" s="10"/>
      <c r="P1909" s="10"/>
      <c r="Q1909" s="10"/>
      <c r="R1909" s="10"/>
      <c r="S1909" s="10"/>
    </row>
    <row r="1910" spans="1:19" x14ac:dyDescent="0.25">
      <c r="A1910" s="10"/>
      <c r="B1910" s="10"/>
      <c r="C1910" s="10"/>
      <c r="D1910" s="10"/>
      <c r="E1910" s="10"/>
      <c r="F1910" s="10"/>
      <c r="G1910" s="10"/>
      <c r="H1910" s="770"/>
      <c r="I1910" s="10"/>
      <c r="J1910" s="10"/>
      <c r="K1910" s="10"/>
      <c r="L1910" s="10"/>
      <c r="M1910" s="770"/>
      <c r="N1910" s="10"/>
      <c r="O1910" s="10"/>
      <c r="P1910" s="10"/>
      <c r="Q1910" s="10"/>
      <c r="R1910" s="10"/>
      <c r="S1910" s="10"/>
    </row>
    <row r="1911" spans="1:19" x14ac:dyDescent="0.25">
      <c r="A1911" s="10"/>
      <c r="B1911" s="10"/>
      <c r="C1911" s="10"/>
      <c r="D1911" s="10"/>
      <c r="E1911" s="10"/>
      <c r="F1911" s="10"/>
      <c r="G1911" s="10"/>
      <c r="H1911" s="770"/>
      <c r="I1911" s="10"/>
      <c r="J1911" s="10"/>
      <c r="K1911" s="10"/>
      <c r="L1911" s="10"/>
      <c r="M1911" s="770"/>
      <c r="N1911" s="10"/>
      <c r="O1911" s="10"/>
      <c r="P1911" s="10"/>
      <c r="Q1911" s="10"/>
      <c r="R1911" s="10"/>
      <c r="S1911" s="10"/>
    </row>
    <row r="1912" spans="1:19" x14ac:dyDescent="0.25">
      <c r="A1912" s="10"/>
      <c r="B1912" s="10"/>
      <c r="C1912" s="10"/>
      <c r="D1912" s="10"/>
      <c r="E1912" s="10"/>
      <c r="F1912" s="10"/>
      <c r="G1912" s="10"/>
      <c r="H1912" s="770"/>
      <c r="I1912" s="10"/>
      <c r="J1912" s="10"/>
      <c r="K1912" s="10"/>
      <c r="L1912" s="10"/>
      <c r="M1912" s="770"/>
      <c r="N1912" s="10"/>
      <c r="O1912" s="10"/>
      <c r="P1912" s="10"/>
      <c r="Q1912" s="10"/>
      <c r="R1912" s="10"/>
      <c r="S1912" s="10"/>
    </row>
    <row r="1913" spans="1:19" x14ac:dyDescent="0.25">
      <c r="A1913" s="10"/>
      <c r="B1913" s="10"/>
      <c r="C1913" s="10"/>
      <c r="D1913" s="10"/>
      <c r="E1913" s="10"/>
      <c r="F1913" s="10"/>
      <c r="G1913" s="10"/>
      <c r="H1913" s="770"/>
      <c r="I1913" s="10"/>
      <c r="J1913" s="10"/>
      <c r="K1913" s="10"/>
      <c r="L1913" s="10"/>
      <c r="M1913" s="770"/>
      <c r="N1913" s="10"/>
      <c r="O1913" s="10"/>
      <c r="P1913" s="10"/>
      <c r="Q1913" s="10"/>
      <c r="R1913" s="10"/>
      <c r="S1913" s="10"/>
    </row>
    <row r="1914" spans="1:19" x14ac:dyDescent="0.25">
      <c r="A1914" s="10"/>
      <c r="B1914" s="10"/>
      <c r="C1914" s="10"/>
      <c r="D1914" s="10"/>
      <c r="E1914" s="10"/>
      <c r="F1914" s="10"/>
      <c r="G1914" s="10"/>
      <c r="H1914" s="770"/>
      <c r="I1914" s="10"/>
      <c r="J1914" s="10"/>
      <c r="K1914" s="10"/>
      <c r="L1914" s="10"/>
      <c r="M1914" s="770"/>
      <c r="N1914" s="10"/>
      <c r="O1914" s="10"/>
      <c r="P1914" s="10"/>
      <c r="Q1914" s="10"/>
      <c r="R1914" s="10"/>
      <c r="S1914" s="10"/>
    </row>
    <row r="1915" spans="1:19" x14ac:dyDescent="0.25">
      <c r="A1915" s="10"/>
      <c r="B1915" s="10"/>
      <c r="C1915" s="10"/>
      <c r="D1915" s="10"/>
      <c r="E1915" s="10"/>
      <c r="F1915" s="10"/>
      <c r="G1915" s="10"/>
      <c r="H1915" s="770"/>
      <c r="I1915" s="10"/>
      <c r="J1915" s="10"/>
      <c r="K1915" s="10"/>
      <c r="L1915" s="10"/>
      <c r="M1915" s="770"/>
      <c r="N1915" s="10"/>
      <c r="O1915" s="10"/>
      <c r="P1915" s="10"/>
      <c r="Q1915" s="10"/>
      <c r="R1915" s="10"/>
      <c r="S1915" s="10"/>
    </row>
    <row r="1916" spans="1:19" x14ac:dyDescent="0.25">
      <c r="A1916" s="10"/>
      <c r="B1916" s="10"/>
      <c r="C1916" s="10"/>
      <c r="D1916" s="10"/>
      <c r="E1916" s="10"/>
      <c r="F1916" s="10"/>
      <c r="G1916" s="10"/>
      <c r="H1916" s="770"/>
      <c r="I1916" s="10"/>
      <c r="J1916" s="10"/>
      <c r="K1916" s="10"/>
      <c r="L1916" s="10"/>
      <c r="M1916" s="770"/>
      <c r="N1916" s="10"/>
      <c r="O1916" s="10"/>
      <c r="P1916" s="10"/>
      <c r="Q1916" s="10"/>
      <c r="R1916" s="10"/>
      <c r="S1916" s="10"/>
    </row>
    <row r="1917" spans="1:19" x14ac:dyDescent="0.25">
      <c r="A1917" s="10"/>
      <c r="B1917" s="10"/>
      <c r="C1917" s="10"/>
      <c r="D1917" s="10"/>
      <c r="E1917" s="10"/>
      <c r="F1917" s="10"/>
      <c r="G1917" s="10"/>
      <c r="H1917" s="770"/>
      <c r="I1917" s="10"/>
      <c r="J1917" s="10"/>
      <c r="K1917" s="10"/>
      <c r="L1917" s="10"/>
      <c r="M1917" s="770"/>
      <c r="N1917" s="10"/>
      <c r="O1917" s="10"/>
      <c r="P1917" s="10"/>
      <c r="Q1917" s="10"/>
      <c r="R1917" s="10"/>
      <c r="S1917" s="10"/>
    </row>
    <row r="1918" spans="1:19" x14ac:dyDescent="0.25">
      <c r="A1918" s="10"/>
      <c r="B1918" s="10"/>
      <c r="C1918" s="10"/>
      <c r="D1918" s="10"/>
      <c r="E1918" s="10"/>
      <c r="F1918" s="10"/>
      <c r="G1918" s="10"/>
      <c r="H1918" s="770"/>
      <c r="I1918" s="10"/>
      <c r="J1918" s="10"/>
      <c r="K1918" s="10"/>
      <c r="L1918" s="10"/>
      <c r="M1918" s="770"/>
      <c r="N1918" s="10"/>
      <c r="O1918" s="10"/>
      <c r="P1918" s="10"/>
      <c r="Q1918" s="10"/>
      <c r="R1918" s="10"/>
      <c r="S1918" s="10"/>
    </row>
    <row r="1919" spans="1:19" x14ac:dyDescent="0.25">
      <c r="A1919" s="10"/>
      <c r="B1919" s="10"/>
      <c r="C1919" s="10"/>
      <c r="D1919" s="10"/>
      <c r="E1919" s="10"/>
      <c r="F1919" s="10"/>
      <c r="G1919" s="10"/>
      <c r="H1919" s="770"/>
      <c r="I1919" s="10"/>
      <c r="J1919" s="10"/>
      <c r="K1919" s="10"/>
      <c r="L1919" s="10"/>
      <c r="M1919" s="770"/>
      <c r="N1919" s="10"/>
      <c r="O1919" s="10"/>
      <c r="P1919" s="10"/>
      <c r="Q1919" s="10"/>
      <c r="R1919" s="10"/>
      <c r="S1919" s="10"/>
    </row>
    <row r="1920" spans="1:19" x14ac:dyDescent="0.25">
      <c r="A1920" s="10"/>
      <c r="B1920" s="10"/>
      <c r="C1920" s="10"/>
      <c r="D1920" s="10"/>
      <c r="E1920" s="10"/>
      <c r="F1920" s="10"/>
      <c r="G1920" s="10"/>
      <c r="H1920" s="770"/>
      <c r="I1920" s="10"/>
      <c r="J1920" s="10"/>
      <c r="K1920" s="10"/>
      <c r="L1920" s="10"/>
      <c r="M1920" s="770"/>
      <c r="N1920" s="10"/>
      <c r="O1920" s="10"/>
      <c r="P1920" s="10"/>
      <c r="Q1920" s="10"/>
      <c r="R1920" s="10"/>
      <c r="S1920" s="10"/>
    </row>
    <row r="1921" spans="1:19" x14ac:dyDescent="0.25">
      <c r="A1921" s="10"/>
      <c r="B1921" s="10"/>
      <c r="C1921" s="10"/>
      <c r="D1921" s="10"/>
      <c r="E1921" s="10"/>
      <c r="F1921" s="10"/>
      <c r="G1921" s="10"/>
      <c r="H1921" s="770"/>
      <c r="I1921" s="10"/>
      <c r="J1921" s="10"/>
      <c r="K1921" s="10"/>
      <c r="L1921" s="10"/>
      <c r="M1921" s="770"/>
      <c r="N1921" s="10"/>
      <c r="O1921" s="10"/>
      <c r="P1921" s="10"/>
      <c r="Q1921" s="10"/>
      <c r="R1921" s="10"/>
      <c r="S1921" s="10"/>
    </row>
    <row r="1922" spans="1:19" x14ac:dyDescent="0.25">
      <c r="A1922" s="10"/>
      <c r="B1922" s="10"/>
      <c r="C1922" s="10"/>
      <c r="D1922" s="10"/>
      <c r="E1922" s="10"/>
      <c r="F1922" s="10"/>
      <c r="G1922" s="10"/>
      <c r="H1922" s="770"/>
      <c r="I1922" s="10"/>
      <c r="J1922" s="10"/>
      <c r="K1922" s="10"/>
      <c r="L1922" s="10"/>
      <c r="M1922" s="770"/>
      <c r="N1922" s="10"/>
      <c r="O1922" s="10"/>
      <c r="P1922" s="10"/>
      <c r="Q1922" s="10"/>
      <c r="R1922" s="10"/>
      <c r="S1922" s="10"/>
    </row>
    <row r="1923" spans="1:19" x14ac:dyDescent="0.25">
      <c r="A1923" s="10"/>
      <c r="B1923" s="10"/>
      <c r="C1923" s="10"/>
      <c r="D1923" s="10"/>
      <c r="E1923" s="10"/>
      <c r="F1923" s="10"/>
      <c r="G1923" s="10"/>
      <c r="H1923" s="770"/>
      <c r="I1923" s="10"/>
      <c r="J1923" s="10"/>
      <c r="K1923" s="10"/>
      <c r="L1923" s="10"/>
      <c r="M1923" s="770"/>
      <c r="N1923" s="10"/>
      <c r="O1923" s="10"/>
      <c r="P1923" s="10"/>
      <c r="Q1923" s="10"/>
      <c r="R1923" s="10"/>
      <c r="S1923" s="10"/>
    </row>
    <row r="1924" spans="1:19" x14ac:dyDescent="0.25">
      <c r="A1924" s="10"/>
      <c r="B1924" s="10"/>
      <c r="C1924" s="10"/>
      <c r="D1924" s="10"/>
      <c r="E1924" s="10"/>
      <c r="F1924" s="10"/>
      <c r="G1924" s="10"/>
      <c r="H1924" s="770"/>
      <c r="I1924" s="10"/>
      <c r="J1924" s="10"/>
      <c r="K1924" s="10"/>
      <c r="L1924" s="10"/>
      <c r="M1924" s="770"/>
      <c r="N1924" s="10"/>
      <c r="O1924" s="10"/>
      <c r="P1924" s="10"/>
      <c r="Q1924" s="10"/>
      <c r="R1924" s="10"/>
      <c r="S1924" s="10"/>
    </row>
    <row r="1925" spans="1:19" x14ac:dyDescent="0.25">
      <c r="A1925" s="10"/>
      <c r="B1925" s="10"/>
      <c r="C1925" s="10"/>
      <c r="D1925" s="10"/>
      <c r="E1925" s="10"/>
      <c r="F1925" s="10"/>
      <c r="G1925" s="10"/>
      <c r="H1925" s="770"/>
      <c r="I1925" s="10"/>
      <c r="J1925" s="10"/>
      <c r="K1925" s="10"/>
      <c r="L1925" s="10"/>
      <c r="M1925" s="770"/>
      <c r="N1925" s="10"/>
      <c r="O1925" s="10"/>
      <c r="P1925" s="10"/>
      <c r="Q1925" s="10"/>
      <c r="R1925" s="10"/>
      <c r="S1925" s="10"/>
    </row>
    <row r="1926" spans="1:19" x14ac:dyDescent="0.25">
      <c r="A1926" s="10"/>
      <c r="B1926" s="10"/>
      <c r="C1926" s="10"/>
      <c r="D1926" s="10"/>
      <c r="E1926" s="10"/>
      <c r="F1926" s="10"/>
      <c r="G1926" s="10"/>
      <c r="H1926" s="770"/>
      <c r="I1926" s="10"/>
      <c r="J1926" s="10"/>
      <c r="K1926" s="10"/>
      <c r="L1926" s="10"/>
      <c r="M1926" s="770"/>
      <c r="N1926" s="10"/>
      <c r="O1926" s="10"/>
      <c r="P1926" s="10"/>
      <c r="Q1926" s="10"/>
      <c r="R1926" s="10"/>
      <c r="S1926" s="10"/>
    </row>
    <row r="1927" spans="1:19" x14ac:dyDescent="0.25">
      <c r="A1927" s="10"/>
      <c r="B1927" s="10"/>
      <c r="C1927" s="10"/>
      <c r="D1927" s="10"/>
      <c r="E1927" s="10"/>
      <c r="F1927" s="10"/>
      <c r="G1927" s="10"/>
      <c r="H1927" s="770"/>
      <c r="I1927" s="10"/>
      <c r="J1927" s="10"/>
      <c r="K1927" s="10"/>
      <c r="L1927" s="10"/>
      <c r="M1927" s="770"/>
      <c r="N1927" s="10"/>
      <c r="O1927" s="10"/>
      <c r="P1927" s="10"/>
      <c r="Q1927" s="10"/>
      <c r="R1927" s="10"/>
      <c r="S1927" s="10"/>
    </row>
    <row r="1928" spans="1:19" x14ac:dyDescent="0.25">
      <c r="A1928" s="10"/>
      <c r="B1928" s="10"/>
      <c r="C1928" s="10"/>
      <c r="D1928" s="10"/>
      <c r="E1928" s="10"/>
      <c r="F1928" s="10"/>
      <c r="G1928" s="10"/>
      <c r="H1928" s="770"/>
      <c r="I1928" s="10"/>
      <c r="J1928" s="10"/>
      <c r="K1928" s="10"/>
      <c r="L1928" s="10"/>
      <c r="M1928" s="770"/>
      <c r="N1928" s="10"/>
      <c r="O1928" s="10"/>
      <c r="P1928" s="10"/>
      <c r="Q1928" s="10"/>
      <c r="R1928" s="10"/>
      <c r="S1928" s="10"/>
    </row>
    <row r="1929" spans="1:19" x14ac:dyDescent="0.25">
      <c r="A1929" s="10"/>
      <c r="B1929" s="10"/>
      <c r="C1929" s="10"/>
      <c r="D1929" s="10"/>
      <c r="E1929" s="10"/>
      <c r="F1929" s="10"/>
      <c r="G1929" s="10"/>
      <c r="H1929" s="770"/>
      <c r="I1929" s="10"/>
      <c r="J1929" s="10"/>
      <c r="K1929" s="10"/>
      <c r="L1929" s="10"/>
      <c r="M1929" s="770"/>
      <c r="N1929" s="10"/>
      <c r="O1929" s="10"/>
      <c r="P1929" s="10"/>
      <c r="Q1929" s="10"/>
      <c r="R1929" s="10"/>
      <c r="S1929" s="10"/>
    </row>
    <row r="1930" spans="1:19" x14ac:dyDescent="0.25">
      <c r="A1930" s="10"/>
      <c r="B1930" s="10"/>
      <c r="C1930" s="10"/>
      <c r="D1930" s="10"/>
      <c r="E1930" s="10"/>
      <c r="F1930" s="10"/>
      <c r="G1930" s="10"/>
      <c r="H1930" s="770"/>
      <c r="I1930" s="10"/>
      <c r="J1930" s="10"/>
      <c r="K1930" s="10"/>
      <c r="L1930" s="10"/>
      <c r="M1930" s="770"/>
      <c r="N1930" s="10"/>
      <c r="O1930" s="10"/>
      <c r="P1930" s="10"/>
      <c r="Q1930" s="10"/>
      <c r="R1930" s="10"/>
      <c r="S1930" s="10"/>
    </row>
    <row r="1931" spans="1:19" x14ac:dyDescent="0.25">
      <c r="A1931" s="10"/>
      <c r="B1931" s="10"/>
      <c r="C1931" s="10"/>
      <c r="D1931" s="10"/>
      <c r="E1931" s="10"/>
      <c r="F1931" s="10"/>
      <c r="G1931" s="10"/>
      <c r="H1931" s="770"/>
      <c r="I1931" s="10"/>
      <c r="J1931" s="10"/>
      <c r="K1931" s="10"/>
      <c r="L1931" s="10"/>
      <c r="M1931" s="770"/>
      <c r="N1931" s="10"/>
      <c r="O1931" s="10"/>
      <c r="P1931" s="10"/>
      <c r="Q1931" s="10"/>
      <c r="R1931" s="10"/>
      <c r="S1931" s="10"/>
    </row>
    <row r="1932" spans="1:19" x14ac:dyDescent="0.25">
      <c r="A1932" s="10"/>
      <c r="B1932" s="10"/>
      <c r="C1932" s="10"/>
      <c r="D1932" s="10"/>
      <c r="E1932" s="10"/>
      <c r="F1932" s="10"/>
      <c r="G1932" s="10"/>
      <c r="H1932" s="770"/>
      <c r="I1932" s="10"/>
      <c r="J1932" s="10"/>
      <c r="K1932" s="10"/>
      <c r="L1932" s="10"/>
      <c r="M1932" s="770"/>
      <c r="N1932" s="10"/>
      <c r="O1932" s="10"/>
      <c r="P1932" s="10"/>
      <c r="Q1932" s="10"/>
      <c r="R1932" s="10"/>
      <c r="S1932" s="10"/>
    </row>
    <row r="1933" spans="1:19" x14ac:dyDescent="0.25">
      <c r="A1933" s="10"/>
      <c r="B1933" s="10"/>
      <c r="C1933" s="10"/>
      <c r="D1933" s="10"/>
      <c r="E1933" s="10"/>
      <c r="F1933" s="10"/>
      <c r="G1933" s="10"/>
      <c r="H1933" s="770"/>
      <c r="I1933" s="10"/>
      <c r="J1933" s="10"/>
      <c r="K1933" s="10"/>
      <c r="L1933" s="10"/>
      <c r="M1933" s="770"/>
      <c r="N1933" s="10"/>
      <c r="O1933" s="10"/>
      <c r="P1933" s="10"/>
      <c r="Q1933" s="10"/>
      <c r="R1933" s="10"/>
      <c r="S1933" s="10"/>
    </row>
    <row r="1934" spans="1:19" x14ac:dyDescent="0.25">
      <c r="A1934" s="10"/>
      <c r="B1934" s="10"/>
      <c r="C1934" s="10"/>
      <c r="D1934" s="10"/>
      <c r="E1934" s="10"/>
      <c r="F1934" s="10"/>
      <c r="G1934" s="10"/>
      <c r="H1934" s="770"/>
      <c r="I1934" s="10"/>
      <c r="J1934" s="10"/>
      <c r="K1934" s="10"/>
      <c r="L1934" s="10"/>
      <c r="M1934" s="770"/>
      <c r="N1934" s="10"/>
      <c r="O1934" s="10"/>
      <c r="P1934" s="10"/>
      <c r="Q1934" s="10"/>
      <c r="R1934" s="10"/>
      <c r="S1934" s="10"/>
    </row>
    <row r="1935" spans="1:19" x14ac:dyDescent="0.25">
      <c r="A1935" s="10"/>
      <c r="B1935" s="10"/>
      <c r="C1935" s="10"/>
      <c r="D1935" s="10"/>
      <c r="E1935" s="10"/>
      <c r="F1935" s="10"/>
      <c r="G1935" s="10"/>
      <c r="H1935" s="770"/>
      <c r="I1935" s="10"/>
      <c r="J1935" s="10"/>
      <c r="K1935" s="10"/>
      <c r="L1935" s="10"/>
      <c r="M1935" s="770"/>
      <c r="N1935" s="10"/>
      <c r="O1935" s="10"/>
      <c r="P1935" s="10"/>
      <c r="Q1935" s="10"/>
      <c r="R1935" s="10"/>
      <c r="S1935" s="10"/>
    </row>
    <row r="1936" spans="1:19" x14ac:dyDescent="0.25">
      <c r="A1936" s="10"/>
      <c r="B1936" s="10"/>
      <c r="C1936" s="10"/>
      <c r="D1936" s="10"/>
      <c r="E1936" s="10"/>
      <c r="F1936" s="10"/>
      <c r="G1936" s="10"/>
      <c r="H1936" s="770"/>
      <c r="I1936" s="10"/>
      <c r="J1936" s="10"/>
      <c r="K1936" s="10"/>
      <c r="L1936" s="10"/>
      <c r="M1936" s="770"/>
      <c r="N1936" s="10"/>
      <c r="O1936" s="10"/>
      <c r="P1936" s="10"/>
      <c r="Q1936" s="10"/>
      <c r="R1936" s="10"/>
      <c r="S1936" s="10"/>
    </row>
    <row r="1937" spans="1:19" x14ac:dyDescent="0.25">
      <c r="A1937" s="10"/>
      <c r="B1937" s="10"/>
      <c r="C1937" s="10"/>
      <c r="D1937" s="10"/>
      <c r="E1937" s="10"/>
      <c r="F1937" s="10"/>
      <c r="G1937" s="10"/>
      <c r="H1937" s="770"/>
      <c r="I1937" s="10"/>
      <c r="J1937" s="10"/>
      <c r="K1937" s="10"/>
      <c r="L1937" s="10"/>
      <c r="M1937" s="770"/>
      <c r="N1937" s="10"/>
      <c r="O1937" s="10"/>
      <c r="P1937" s="10"/>
      <c r="Q1937" s="10"/>
      <c r="R1937" s="10"/>
      <c r="S1937" s="10"/>
    </row>
    <row r="1938" spans="1:19" x14ac:dyDescent="0.25">
      <c r="A1938" s="10"/>
      <c r="B1938" s="10"/>
      <c r="C1938" s="10"/>
      <c r="D1938" s="10"/>
      <c r="E1938" s="10"/>
      <c r="F1938" s="10"/>
      <c r="G1938" s="10"/>
      <c r="H1938" s="770"/>
      <c r="I1938" s="10"/>
      <c r="J1938" s="10"/>
      <c r="K1938" s="10"/>
      <c r="L1938" s="10"/>
      <c r="M1938" s="770"/>
      <c r="N1938" s="10"/>
      <c r="O1938" s="10"/>
      <c r="P1938" s="10"/>
      <c r="Q1938" s="10"/>
      <c r="R1938" s="10"/>
      <c r="S1938" s="10"/>
    </row>
    <row r="1939" spans="1:19" x14ac:dyDescent="0.25">
      <c r="A1939" s="10"/>
      <c r="B1939" s="10"/>
      <c r="C1939" s="10"/>
      <c r="D1939" s="10"/>
      <c r="E1939" s="10"/>
      <c r="F1939" s="10"/>
      <c r="G1939" s="10"/>
      <c r="H1939" s="770"/>
      <c r="I1939" s="10"/>
      <c r="J1939" s="10"/>
      <c r="K1939" s="10"/>
      <c r="L1939" s="10"/>
      <c r="M1939" s="770"/>
      <c r="N1939" s="10"/>
      <c r="O1939" s="10"/>
      <c r="P1939" s="10"/>
      <c r="Q1939" s="10"/>
      <c r="R1939" s="10"/>
      <c r="S1939" s="10"/>
    </row>
    <row r="1940" spans="1:19" x14ac:dyDescent="0.25">
      <c r="A1940" s="10"/>
      <c r="B1940" s="10"/>
      <c r="C1940" s="10"/>
      <c r="D1940" s="10"/>
      <c r="E1940" s="10"/>
      <c r="F1940" s="10"/>
      <c r="G1940" s="10"/>
      <c r="H1940" s="770"/>
      <c r="I1940" s="10"/>
      <c r="J1940" s="10"/>
      <c r="K1940" s="10"/>
      <c r="L1940" s="10"/>
      <c r="M1940" s="770"/>
      <c r="N1940" s="10"/>
      <c r="O1940" s="10"/>
      <c r="P1940" s="10"/>
      <c r="Q1940" s="10"/>
      <c r="R1940" s="10"/>
      <c r="S1940" s="10"/>
    </row>
    <row r="1941" spans="1:19" x14ac:dyDescent="0.25">
      <c r="A1941" s="10"/>
      <c r="B1941" s="10"/>
      <c r="C1941" s="10"/>
      <c r="D1941" s="10"/>
      <c r="E1941" s="10"/>
      <c r="F1941" s="10"/>
      <c r="G1941" s="10"/>
      <c r="H1941" s="770"/>
      <c r="I1941" s="10"/>
      <c r="J1941" s="10"/>
      <c r="K1941" s="10"/>
      <c r="L1941" s="10"/>
      <c r="M1941" s="770"/>
      <c r="N1941" s="10"/>
      <c r="O1941" s="10"/>
      <c r="P1941" s="10"/>
      <c r="Q1941" s="10"/>
      <c r="R1941" s="10"/>
      <c r="S1941" s="10"/>
    </row>
    <row r="1942" spans="1:19" x14ac:dyDescent="0.25">
      <c r="A1942" s="10"/>
      <c r="B1942" s="10"/>
      <c r="C1942" s="10"/>
      <c r="D1942" s="10"/>
      <c r="E1942" s="10"/>
      <c r="F1942" s="10"/>
      <c r="G1942" s="10"/>
      <c r="H1942" s="770"/>
      <c r="I1942" s="10"/>
      <c r="J1942" s="10"/>
      <c r="K1942" s="10"/>
      <c r="L1942" s="10"/>
      <c r="M1942" s="770"/>
      <c r="N1942" s="10"/>
      <c r="O1942" s="10"/>
      <c r="P1942" s="10"/>
      <c r="Q1942" s="10"/>
      <c r="R1942" s="10"/>
      <c r="S1942" s="10"/>
    </row>
    <row r="1943" spans="1:19" x14ac:dyDescent="0.25">
      <c r="A1943" s="10"/>
      <c r="B1943" s="10"/>
      <c r="C1943" s="10"/>
      <c r="D1943" s="10"/>
      <c r="E1943" s="10"/>
      <c r="F1943" s="10"/>
      <c r="G1943" s="10"/>
      <c r="H1943" s="770"/>
      <c r="I1943" s="10"/>
      <c r="J1943" s="10"/>
      <c r="K1943" s="10"/>
      <c r="L1943" s="10"/>
      <c r="M1943" s="770"/>
      <c r="N1943" s="10"/>
      <c r="O1943" s="10"/>
      <c r="P1943" s="10"/>
      <c r="Q1943" s="10"/>
      <c r="R1943" s="10"/>
      <c r="S1943" s="10"/>
    </row>
    <row r="1944" spans="1:19" x14ac:dyDescent="0.25">
      <c r="A1944" s="10"/>
      <c r="B1944" s="10"/>
      <c r="C1944" s="10"/>
      <c r="D1944" s="10"/>
      <c r="E1944" s="10"/>
      <c r="F1944" s="10"/>
      <c r="G1944" s="10"/>
      <c r="H1944" s="770"/>
      <c r="I1944" s="10"/>
      <c r="J1944" s="10"/>
      <c r="K1944" s="10"/>
      <c r="L1944" s="10"/>
      <c r="M1944" s="770"/>
      <c r="N1944" s="10"/>
      <c r="O1944" s="10"/>
      <c r="P1944" s="10"/>
      <c r="Q1944" s="10"/>
      <c r="R1944" s="10"/>
      <c r="S1944" s="10"/>
    </row>
    <row r="1945" spans="1:19" x14ac:dyDescent="0.25">
      <c r="A1945" s="10"/>
      <c r="B1945" s="10"/>
      <c r="C1945" s="10"/>
      <c r="D1945" s="10"/>
      <c r="E1945" s="10"/>
      <c r="F1945" s="10"/>
      <c r="G1945" s="10"/>
      <c r="H1945" s="770"/>
      <c r="I1945" s="10"/>
      <c r="J1945" s="10"/>
      <c r="K1945" s="10"/>
      <c r="L1945" s="10"/>
      <c r="M1945" s="770"/>
      <c r="N1945" s="10"/>
      <c r="O1945" s="10"/>
      <c r="P1945" s="10"/>
      <c r="Q1945" s="10"/>
      <c r="R1945" s="10"/>
      <c r="S1945" s="10"/>
    </row>
    <row r="1946" spans="1:19" x14ac:dyDescent="0.25">
      <c r="A1946" s="10"/>
      <c r="B1946" s="10"/>
      <c r="C1946" s="10"/>
      <c r="D1946" s="10"/>
      <c r="E1946" s="10"/>
      <c r="F1946" s="10"/>
      <c r="G1946" s="10"/>
      <c r="H1946" s="770"/>
      <c r="I1946" s="10"/>
      <c r="J1946" s="10"/>
      <c r="K1946" s="10"/>
      <c r="L1946" s="10"/>
      <c r="M1946" s="770"/>
      <c r="N1946" s="10"/>
      <c r="O1946" s="10"/>
      <c r="P1946" s="10"/>
      <c r="Q1946" s="10"/>
      <c r="R1946" s="10"/>
      <c r="S1946" s="10"/>
    </row>
    <row r="1947" spans="1:19" x14ac:dyDescent="0.25">
      <c r="A1947" s="10"/>
      <c r="B1947" s="10"/>
      <c r="C1947" s="10"/>
      <c r="D1947" s="10"/>
      <c r="E1947" s="10"/>
      <c r="F1947" s="10"/>
      <c r="G1947" s="10"/>
      <c r="H1947" s="770"/>
      <c r="I1947" s="10"/>
      <c r="J1947" s="10"/>
      <c r="K1947" s="10"/>
      <c r="L1947" s="10"/>
      <c r="M1947" s="770"/>
      <c r="N1947" s="10"/>
      <c r="O1947" s="10"/>
      <c r="P1947" s="10"/>
      <c r="Q1947" s="10"/>
      <c r="R1947" s="10"/>
      <c r="S1947" s="10"/>
    </row>
    <row r="1948" spans="1:19" x14ac:dyDescent="0.25">
      <c r="A1948" s="10"/>
      <c r="B1948" s="10"/>
      <c r="C1948" s="10"/>
      <c r="D1948" s="10"/>
      <c r="E1948" s="10"/>
      <c r="F1948" s="10"/>
      <c r="G1948" s="10"/>
      <c r="H1948" s="770"/>
      <c r="I1948" s="10"/>
      <c r="J1948" s="10"/>
      <c r="K1948" s="10"/>
      <c r="L1948" s="10"/>
      <c r="M1948" s="770"/>
      <c r="N1948" s="10"/>
      <c r="O1948" s="10"/>
      <c r="P1948" s="10"/>
      <c r="Q1948" s="10"/>
      <c r="R1948" s="10"/>
      <c r="S1948" s="10"/>
    </row>
    <row r="1949" spans="1:19" x14ac:dyDescent="0.25">
      <c r="A1949" s="10"/>
      <c r="B1949" s="10"/>
      <c r="C1949" s="10"/>
      <c r="D1949" s="10"/>
      <c r="E1949" s="10"/>
      <c r="F1949" s="10"/>
      <c r="G1949" s="10"/>
      <c r="H1949" s="770"/>
      <c r="I1949" s="10"/>
      <c r="J1949" s="10"/>
      <c r="K1949" s="10"/>
      <c r="L1949" s="10"/>
      <c r="M1949" s="770"/>
      <c r="N1949" s="10"/>
      <c r="O1949" s="10"/>
      <c r="P1949" s="10"/>
      <c r="Q1949" s="10"/>
      <c r="R1949" s="10"/>
      <c r="S1949" s="10"/>
    </row>
    <row r="1950" spans="1:19" x14ac:dyDescent="0.25">
      <c r="A1950" s="10"/>
      <c r="B1950" s="10"/>
      <c r="C1950" s="10"/>
      <c r="D1950" s="10"/>
      <c r="E1950" s="10"/>
      <c r="F1950" s="10"/>
      <c r="G1950" s="10"/>
      <c r="H1950" s="770"/>
      <c r="I1950" s="10"/>
      <c r="J1950" s="10"/>
      <c r="K1950" s="10"/>
      <c r="L1950" s="10"/>
      <c r="M1950" s="770"/>
      <c r="N1950" s="10"/>
      <c r="O1950" s="10"/>
      <c r="P1950" s="10"/>
      <c r="Q1950" s="10"/>
      <c r="R1950" s="10"/>
      <c r="S1950" s="10"/>
    </row>
    <row r="1951" spans="1:19" x14ac:dyDescent="0.25">
      <c r="A1951" s="10"/>
      <c r="B1951" s="10"/>
      <c r="C1951" s="10"/>
      <c r="D1951" s="10"/>
      <c r="E1951" s="10"/>
      <c r="F1951" s="10"/>
      <c r="G1951" s="10"/>
      <c r="H1951" s="770"/>
      <c r="I1951" s="10"/>
      <c r="J1951" s="10"/>
      <c r="K1951" s="10"/>
      <c r="L1951" s="10"/>
      <c r="M1951" s="770"/>
      <c r="N1951" s="10"/>
      <c r="O1951" s="10"/>
      <c r="P1951" s="10"/>
      <c r="Q1951" s="10"/>
      <c r="R1951" s="10"/>
      <c r="S1951" s="10"/>
    </row>
    <row r="1952" spans="1:19" x14ac:dyDescent="0.25">
      <c r="A1952" s="10"/>
      <c r="B1952" s="10"/>
      <c r="C1952" s="10"/>
      <c r="D1952" s="10"/>
      <c r="E1952" s="10"/>
      <c r="F1952" s="10"/>
      <c r="G1952" s="10"/>
      <c r="H1952" s="770"/>
      <c r="I1952" s="10"/>
      <c r="J1952" s="10"/>
      <c r="K1952" s="10"/>
      <c r="L1952" s="10"/>
      <c r="M1952" s="770"/>
      <c r="N1952" s="10"/>
      <c r="O1952" s="10"/>
      <c r="P1952" s="10"/>
      <c r="Q1952" s="10"/>
      <c r="R1952" s="10"/>
      <c r="S1952" s="10"/>
    </row>
    <row r="1953" spans="1:19" x14ac:dyDescent="0.25">
      <c r="A1953" s="10"/>
      <c r="B1953" s="10"/>
      <c r="C1953" s="10"/>
      <c r="D1953" s="10"/>
      <c r="E1953" s="10"/>
      <c r="F1953" s="10"/>
      <c r="G1953" s="10"/>
      <c r="H1953" s="770"/>
      <c r="I1953" s="10"/>
      <c r="J1953" s="10"/>
      <c r="K1953" s="10"/>
      <c r="L1953" s="10"/>
      <c r="M1953" s="770"/>
      <c r="N1953" s="10"/>
      <c r="O1953" s="10"/>
      <c r="P1953" s="10"/>
      <c r="Q1953" s="10"/>
      <c r="R1953" s="10"/>
      <c r="S1953" s="10"/>
    </row>
    <row r="1954" spans="1:19" x14ac:dyDescent="0.25">
      <c r="A1954" s="10"/>
      <c r="B1954" s="10"/>
      <c r="C1954" s="10"/>
      <c r="D1954" s="10"/>
      <c r="E1954" s="10"/>
      <c r="F1954" s="10"/>
      <c r="G1954" s="10"/>
      <c r="H1954" s="770"/>
      <c r="I1954" s="10"/>
      <c r="J1954" s="10"/>
      <c r="K1954" s="10"/>
      <c r="L1954" s="10"/>
      <c r="M1954" s="770"/>
      <c r="N1954" s="10"/>
      <c r="O1954" s="10"/>
      <c r="P1954" s="10"/>
      <c r="Q1954" s="10"/>
      <c r="R1954" s="10"/>
      <c r="S1954" s="10"/>
    </row>
    <row r="1955" spans="1:19" x14ac:dyDescent="0.25">
      <c r="A1955" s="10"/>
      <c r="B1955" s="10"/>
      <c r="C1955" s="10"/>
      <c r="D1955" s="10"/>
      <c r="E1955" s="10"/>
      <c r="F1955" s="10"/>
      <c r="G1955" s="10"/>
      <c r="H1955" s="770"/>
      <c r="I1955" s="10"/>
      <c r="J1955" s="10"/>
      <c r="K1955" s="10"/>
      <c r="L1955" s="10"/>
      <c r="M1955" s="770"/>
      <c r="N1955" s="10"/>
      <c r="O1955" s="10"/>
      <c r="P1955" s="10"/>
      <c r="Q1955" s="10"/>
      <c r="R1955" s="10"/>
      <c r="S1955" s="10"/>
    </row>
    <row r="1956" spans="1:19" x14ac:dyDescent="0.25">
      <c r="A1956" s="10"/>
      <c r="B1956" s="10"/>
      <c r="C1956" s="10"/>
      <c r="D1956" s="10"/>
      <c r="E1956" s="10"/>
      <c r="F1956" s="10"/>
      <c r="G1956" s="10"/>
      <c r="H1956" s="770"/>
      <c r="I1956" s="10"/>
      <c r="J1956" s="10"/>
      <c r="K1956" s="10"/>
      <c r="L1956" s="10"/>
      <c r="M1956" s="770"/>
      <c r="N1956" s="10"/>
      <c r="O1956" s="10"/>
      <c r="P1956" s="10"/>
      <c r="Q1956" s="10"/>
      <c r="R1956" s="10"/>
      <c r="S1956" s="10"/>
    </row>
    <row r="1957" spans="1:19" x14ac:dyDescent="0.25">
      <c r="A1957" s="10"/>
      <c r="B1957" s="10"/>
      <c r="C1957" s="10"/>
      <c r="D1957" s="10"/>
      <c r="E1957" s="10"/>
      <c r="F1957" s="10"/>
      <c r="G1957" s="10"/>
      <c r="H1957" s="770"/>
      <c r="I1957" s="10"/>
      <c r="J1957" s="10"/>
      <c r="K1957" s="10"/>
      <c r="L1957" s="10"/>
      <c r="M1957" s="770"/>
      <c r="N1957" s="10"/>
      <c r="O1957" s="10"/>
      <c r="P1957" s="10"/>
      <c r="Q1957" s="10"/>
      <c r="R1957" s="10"/>
      <c r="S1957" s="10"/>
    </row>
    <row r="1958" spans="1:19" x14ac:dyDescent="0.25">
      <c r="A1958" s="10"/>
      <c r="B1958" s="10"/>
      <c r="C1958" s="10"/>
      <c r="D1958" s="10"/>
      <c r="E1958" s="10"/>
      <c r="F1958" s="10"/>
      <c r="G1958" s="10"/>
      <c r="H1958" s="770"/>
      <c r="I1958" s="10"/>
      <c r="J1958" s="10"/>
      <c r="K1958" s="10"/>
      <c r="L1958" s="10"/>
      <c r="M1958" s="770"/>
      <c r="N1958" s="10"/>
      <c r="O1958" s="10"/>
      <c r="P1958" s="10"/>
      <c r="Q1958" s="10"/>
      <c r="R1958" s="10"/>
      <c r="S1958" s="10"/>
    </row>
    <row r="1959" spans="1:19" x14ac:dyDescent="0.25">
      <c r="A1959" s="10"/>
      <c r="B1959" s="10"/>
      <c r="C1959" s="10"/>
      <c r="D1959" s="10"/>
      <c r="E1959" s="10"/>
      <c r="F1959" s="10"/>
      <c r="G1959" s="10"/>
      <c r="H1959" s="770"/>
      <c r="I1959" s="10"/>
      <c r="J1959" s="10"/>
      <c r="K1959" s="10"/>
      <c r="L1959" s="10"/>
      <c r="M1959" s="770"/>
      <c r="N1959" s="10"/>
      <c r="O1959" s="10"/>
      <c r="P1959" s="10"/>
      <c r="Q1959" s="10"/>
      <c r="R1959" s="10"/>
      <c r="S1959" s="10"/>
    </row>
    <row r="1960" spans="1:19" x14ac:dyDescent="0.25">
      <c r="A1960" s="10"/>
      <c r="B1960" s="10"/>
      <c r="C1960" s="10"/>
      <c r="D1960" s="10"/>
      <c r="E1960" s="10"/>
      <c r="F1960" s="10"/>
      <c r="G1960" s="10"/>
      <c r="H1960" s="770"/>
      <c r="I1960" s="10"/>
      <c r="J1960" s="10"/>
      <c r="K1960" s="10"/>
      <c r="L1960" s="10"/>
      <c r="M1960" s="770"/>
      <c r="N1960" s="10"/>
      <c r="O1960" s="10"/>
      <c r="P1960" s="10"/>
      <c r="Q1960" s="10"/>
      <c r="R1960" s="10"/>
      <c r="S1960" s="10"/>
    </row>
    <row r="1961" spans="1:19" x14ac:dyDescent="0.25">
      <c r="A1961" s="10"/>
      <c r="B1961" s="10"/>
      <c r="C1961" s="10"/>
      <c r="D1961" s="10"/>
      <c r="E1961" s="10"/>
      <c r="F1961" s="10"/>
      <c r="G1961" s="10"/>
      <c r="H1961" s="770"/>
      <c r="I1961" s="10"/>
      <c r="J1961" s="10"/>
      <c r="K1961" s="10"/>
      <c r="L1961" s="10"/>
      <c r="M1961" s="770"/>
      <c r="N1961" s="10"/>
      <c r="O1961" s="10"/>
      <c r="P1961" s="10"/>
      <c r="Q1961" s="10"/>
      <c r="R1961" s="10"/>
      <c r="S1961" s="10"/>
    </row>
    <row r="1962" spans="1:19" x14ac:dyDescent="0.25">
      <c r="A1962" s="10"/>
      <c r="B1962" s="10"/>
      <c r="C1962" s="10"/>
      <c r="D1962" s="10"/>
      <c r="E1962" s="10"/>
      <c r="F1962" s="10"/>
      <c r="G1962" s="10"/>
      <c r="H1962" s="770"/>
      <c r="I1962" s="10"/>
      <c r="J1962" s="10"/>
      <c r="K1962" s="10"/>
      <c r="L1962" s="10"/>
      <c r="M1962" s="770"/>
      <c r="N1962" s="10"/>
      <c r="O1962" s="10"/>
      <c r="P1962" s="10"/>
      <c r="Q1962" s="10"/>
      <c r="R1962" s="10"/>
      <c r="S1962" s="10"/>
    </row>
    <row r="1963" spans="1:19" x14ac:dyDescent="0.25">
      <c r="A1963" s="10"/>
      <c r="B1963" s="10"/>
      <c r="C1963" s="10"/>
      <c r="D1963" s="10"/>
      <c r="E1963" s="10"/>
      <c r="F1963" s="10"/>
      <c r="G1963" s="10"/>
      <c r="H1963" s="770"/>
      <c r="I1963" s="10"/>
      <c r="J1963" s="10"/>
      <c r="K1963" s="10"/>
      <c r="L1963" s="10"/>
      <c r="M1963" s="770"/>
      <c r="N1963" s="10"/>
      <c r="O1963" s="10"/>
      <c r="P1963" s="10"/>
      <c r="Q1963" s="10"/>
      <c r="R1963" s="10"/>
      <c r="S1963" s="10"/>
    </row>
    <row r="1964" spans="1:19" x14ac:dyDescent="0.25">
      <c r="A1964" s="10"/>
      <c r="B1964" s="10"/>
      <c r="C1964" s="10"/>
      <c r="D1964" s="10"/>
      <c r="E1964" s="10"/>
      <c r="F1964" s="10"/>
      <c r="G1964" s="10"/>
      <c r="H1964" s="770"/>
      <c r="I1964" s="10"/>
      <c r="J1964" s="10"/>
      <c r="K1964" s="10"/>
      <c r="L1964" s="10"/>
      <c r="M1964" s="770"/>
      <c r="N1964" s="10"/>
      <c r="O1964" s="10"/>
      <c r="P1964" s="10"/>
      <c r="Q1964" s="10"/>
      <c r="R1964" s="10"/>
      <c r="S1964" s="10"/>
    </row>
    <row r="1965" spans="1:19" x14ac:dyDescent="0.25">
      <c r="A1965" s="10"/>
      <c r="B1965" s="10"/>
      <c r="C1965" s="10"/>
      <c r="D1965" s="10"/>
      <c r="E1965" s="10"/>
      <c r="F1965" s="10"/>
      <c r="G1965" s="10"/>
      <c r="H1965" s="770"/>
      <c r="I1965" s="10"/>
      <c r="J1965" s="10"/>
      <c r="K1965" s="10"/>
      <c r="L1965" s="10"/>
      <c r="M1965" s="770"/>
      <c r="N1965" s="10"/>
      <c r="O1965" s="10"/>
      <c r="P1965" s="10"/>
      <c r="Q1965" s="10"/>
      <c r="R1965" s="10"/>
      <c r="S1965" s="10"/>
    </row>
    <row r="1966" spans="1:19" x14ac:dyDescent="0.25">
      <c r="A1966" s="10"/>
      <c r="B1966" s="10"/>
      <c r="C1966" s="10"/>
      <c r="D1966" s="10"/>
      <c r="E1966" s="10"/>
      <c r="F1966" s="10"/>
      <c r="G1966" s="10"/>
      <c r="H1966" s="770"/>
      <c r="I1966" s="10"/>
      <c r="J1966" s="10"/>
      <c r="K1966" s="10"/>
      <c r="L1966" s="10"/>
      <c r="M1966" s="770"/>
      <c r="N1966" s="10"/>
      <c r="O1966" s="10"/>
      <c r="P1966" s="10"/>
      <c r="Q1966" s="10"/>
      <c r="R1966" s="10"/>
      <c r="S1966" s="10"/>
    </row>
    <row r="1967" spans="1:19" x14ac:dyDescent="0.25">
      <c r="A1967" s="10"/>
      <c r="B1967" s="10"/>
      <c r="C1967" s="10"/>
      <c r="D1967" s="10"/>
      <c r="E1967" s="10"/>
      <c r="F1967" s="10"/>
      <c r="G1967" s="10"/>
      <c r="H1967" s="770"/>
      <c r="I1967" s="10"/>
      <c r="J1967" s="10"/>
      <c r="K1967" s="10"/>
      <c r="L1967" s="10"/>
      <c r="M1967" s="770"/>
      <c r="N1967" s="10"/>
      <c r="O1967" s="10"/>
      <c r="P1967" s="10"/>
      <c r="Q1967" s="10"/>
      <c r="R1967" s="10"/>
      <c r="S1967" s="10"/>
    </row>
    <row r="1968" spans="1:19" x14ac:dyDescent="0.25">
      <c r="A1968" s="10"/>
      <c r="B1968" s="10"/>
      <c r="C1968" s="10"/>
      <c r="D1968" s="10"/>
      <c r="E1968" s="10"/>
      <c r="F1968" s="10"/>
      <c r="G1968" s="10"/>
      <c r="H1968" s="770"/>
      <c r="I1968" s="10"/>
      <c r="J1968" s="10"/>
      <c r="K1968" s="10"/>
      <c r="L1968" s="10"/>
      <c r="M1968" s="770"/>
      <c r="N1968" s="10"/>
      <c r="O1968" s="10"/>
      <c r="P1968" s="10"/>
      <c r="Q1968" s="10"/>
      <c r="R1968" s="10"/>
      <c r="S1968" s="10"/>
    </row>
    <row r="1969" spans="1:19" x14ac:dyDescent="0.25">
      <c r="A1969" s="10"/>
      <c r="B1969" s="10"/>
      <c r="C1969" s="10"/>
      <c r="D1969" s="10"/>
      <c r="E1969" s="10"/>
      <c r="F1969" s="10"/>
      <c r="G1969" s="10"/>
      <c r="H1969" s="770"/>
      <c r="I1969" s="10"/>
      <c r="J1969" s="10"/>
      <c r="K1969" s="10"/>
      <c r="L1969" s="10"/>
      <c r="M1969" s="770"/>
      <c r="N1969" s="10"/>
      <c r="O1969" s="10"/>
      <c r="P1969" s="10"/>
      <c r="Q1969" s="10"/>
      <c r="R1969" s="10"/>
      <c r="S1969" s="10"/>
    </row>
    <row r="1970" spans="1:19" x14ac:dyDescent="0.25">
      <c r="A1970" s="10"/>
      <c r="B1970" s="10"/>
      <c r="C1970" s="10"/>
      <c r="D1970" s="10"/>
      <c r="E1970" s="10"/>
      <c r="F1970" s="10"/>
      <c r="G1970" s="10"/>
      <c r="H1970" s="770"/>
      <c r="I1970" s="10"/>
      <c r="J1970" s="10"/>
      <c r="K1970" s="10"/>
      <c r="L1970" s="10"/>
      <c r="M1970" s="770"/>
      <c r="N1970" s="10"/>
      <c r="O1970" s="10"/>
      <c r="P1970" s="10"/>
      <c r="Q1970" s="10"/>
      <c r="R1970" s="10"/>
      <c r="S1970" s="10"/>
    </row>
    <row r="1971" spans="1:19" x14ac:dyDescent="0.25">
      <c r="A1971" s="10"/>
      <c r="B1971" s="10"/>
      <c r="C1971" s="10"/>
      <c r="D1971" s="10"/>
      <c r="E1971" s="10"/>
      <c r="F1971" s="10"/>
      <c r="G1971" s="10"/>
      <c r="H1971" s="770"/>
      <c r="I1971" s="10"/>
      <c r="J1971" s="10"/>
      <c r="K1971" s="10"/>
      <c r="L1971" s="10"/>
      <c r="M1971" s="770"/>
      <c r="N1971" s="10"/>
      <c r="O1971" s="10"/>
      <c r="P1971" s="10"/>
      <c r="Q1971" s="10"/>
      <c r="R1971" s="10"/>
      <c r="S1971" s="10"/>
    </row>
    <row r="1972" spans="1:19" x14ac:dyDescent="0.25">
      <c r="A1972" s="10"/>
      <c r="B1972" s="10"/>
      <c r="C1972" s="10"/>
      <c r="D1972" s="10"/>
      <c r="E1972" s="10"/>
      <c r="F1972" s="10"/>
      <c r="G1972" s="10"/>
      <c r="H1972" s="770"/>
      <c r="I1972" s="10"/>
      <c r="J1972" s="10"/>
      <c r="K1972" s="10"/>
      <c r="L1972" s="10"/>
      <c r="M1972" s="770"/>
      <c r="N1972" s="10"/>
      <c r="O1972" s="10"/>
      <c r="P1972" s="10"/>
      <c r="Q1972" s="10"/>
      <c r="R1972" s="10"/>
      <c r="S1972" s="10"/>
    </row>
    <row r="1973" spans="1:19" x14ac:dyDescent="0.25">
      <c r="A1973" s="10"/>
      <c r="B1973" s="10"/>
      <c r="C1973" s="10"/>
      <c r="D1973" s="10"/>
      <c r="E1973" s="10"/>
      <c r="F1973" s="10"/>
      <c r="G1973" s="10"/>
      <c r="H1973" s="770"/>
      <c r="I1973" s="10"/>
      <c r="J1973" s="10"/>
      <c r="K1973" s="10"/>
      <c r="L1973" s="10"/>
      <c r="M1973" s="770"/>
      <c r="N1973" s="10"/>
      <c r="O1973" s="10"/>
      <c r="P1973" s="10"/>
      <c r="Q1973" s="10"/>
      <c r="R1973" s="10"/>
      <c r="S1973" s="10"/>
    </row>
    <row r="1974" spans="1:19" x14ac:dyDescent="0.25">
      <c r="A1974" s="10"/>
      <c r="B1974" s="10"/>
      <c r="C1974" s="10"/>
      <c r="D1974" s="10"/>
      <c r="E1974" s="10"/>
      <c r="F1974" s="10"/>
      <c r="G1974" s="10"/>
      <c r="H1974" s="770"/>
      <c r="I1974" s="10"/>
      <c r="J1974" s="10"/>
      <c r="K1974" s="10"/>
      <c r="L1974" s="10"/>
      <c r="M1974" s="770"/>
      <c r="N1974" s="10"/>
      <c r="O1974" s="10"/>
      <c r="P1974" s="10"/>
      <c r="Q1974" s="10"/>
      <c r="R1974" s="10"/>
      <c r="S1974" s="10"/>
    </row>
    <row r="1975" spans="1:19" x14ac:dyDescent="0.25">
      <c r="A1975" s="10"/>
      <c r="B1975" s="10"/>
      <c r="C1975" s="10"/>
      <c r="D1975" s="10"/>
      <c r="E1975" s="10"/>
      <c r="F1975" s="10"/>
      <c r="G1975" s="10"/>
      <c r="H1975" s="770"/>
      <c r="I1975" s="10"/>
      <c r="J1975" s="10"/>
      <c r="K1975" s="10"/>
      <c r="L1975" s="10"/>
      <c r="M1975" s="770"/>
      <c r="N1975" s="10"/>
      <c r="O1975" s="10"/>
      <c r="P1975" s="10"/>
      <c r="Q1975" s="10"/>
      <c r="R1975" s="10"/>
      <c r="S1975" s="10"/>
    </row>
    <row r="1976" spans="1:19" x14ac:dyDescent="0.25">
      <c r="A1976" s="10"/>
      <c r="B1976" s="10"/>
      <c r="C1976" s="10"/>
      <c r="D1976" s="10"/>
      <c r="E1976" s="10"/>
      <c r="F1976" s="10"/>
      <c r="G1976" s="10"/>
      <c r="H1976" s="770"/>
      <c r="I1976" s="10"/>
      <c r="J1976" s="10"/>
      <c r="K1976" s="10"/>
      <c r="L1976" s="10"/>
      <c r="M1976" s="770"/>
      <c r="N1976" s="10"/>
      <c r="O1976" s="10"/>
      <c r="P1976" s="10"/>
      <c r="Q1976" s="10"/>
      <c r="R1976" s="10"/>
      <c r="S1976" s="10"/>
    </row>
    <row r="1977" spans="1:19" x14ac:dyDescent="0.25">
      <c r="A1977" s="10"/>
      <c r="B1977" s="10"/>
      <c r="C1977" s="10"/>
      <c r="D1977" s="10"/>
      <c r="E1977" s="10"/>
      <c r="F1977" s="10"/>
      <c r="G1977" s="10"/>
      <c r="H1977" s="770"/>
      <c r="I1977" s="10"/>
      <c r="J1977" s="10"/>
      <c r="K1977" s="10"/>
      <c r="L1977" s="10"/>
      <c r="M1977" s="770"/>
      <c r="N1977" s="10"/>
      <c r="O1977" s="10"/>
      <c r="P1977" s="10"/>
      <c r="Q1977" s="10"/>
      <c r="R1977" s="10"/>
      <c r="S1977" s="10"/>
    </row>
    <row r="1978" spans="1:19" x14ac:dyDescent="0.25">
      <c r="A1978" s="10"/>
      <c r="B1978" s="10"/>
      <c r="C1978" s="10"/>
      <c r="D1978" s="10"/>
      <c r="E1978" s="10"/>
      <c r="F1978" s="10"/>
      <c r="G1978" s="10"/>
      <c r="H1978" s="770"/>
      <c r="I1978" s="10"/>
      <c r="J1978" s="10"/>
      <c r="K1978" s="10"/>
      <c r="L1978" s="10"/>
      <c r="M1978" s="770"/>
      <c r="N1978" s="10"/>
      <c r="O1978" s="10"/>
      <c r="P1978" s="10"/>
      <c r="Q1978" s="10"/>
      <c r="R1978" s="10"/>
      <c r="S1978" s="10"/>
    </row>
    <row r="1979" spans="1:19" x14ac:dyDescent="0.25">
      <c r="A1979" s="10"/>
      <c r="B1979" s="10"/>
      <c r="C1979" s="10"/>
      <c r="D1979" s="10"/>
      <c r="E1979" s="10"/>
      <c r="F1979" s="10"/>
      <c r="G1979" s="10"/>
      <c r="H1979" s="770"/>
      <c r="I1979" s="10"/>
      <c r="J1979" s="10"/>
      <c r="K1979" s="10"/>
      <c r="L1979" s="10"/>
      <c r="M1979" s="770"/>
      <c r="N1979" s="10"/>
      <c r="O1979" s="10"/>
      <c r="P1979" s="10"/>
      <c r="Q1979" s="10"/>
      <c r="R1979" s="10"/>
      <c r="S1979" s="10"/>
    </row>
    <row r="1980" spans="1:19" x14ac:dyDescent="0.25">
      <c r="A1980" s="10"/>
      <c r="B1980" s="10"/>
      <c r="C1980" s="10"/>
      <c r="D1980" s="10"/>
      <c r="E1980" s="10"/>
      <c r="F1980" s="10"/>
      <c r="G1980" s="10"/>
      <c r="H1980" s="770"/>
      <c r="I1980" s="10"/>
      <c r="J1980" s="10"/>
      <c r="K1980" s="10"/>
      <c r="L1980" s="10"/>
      <c r="M1980" s="770"/>
      <c r="N1980" s="10"/>
      <c r="O1980" s="10"/>
      <c r="P1980" s="10"/>
      <c r="Q1980" s="10"/>
      <c r="R1980" s="10"/>
      <c r="S1980" s="10"/>
    </row>
    <row r="1981" spans="1:19" x14ac:dyDescent="0.25">
      <c r="A1981" s="10"/>
      <c r="B1981" s="10"/>
      <c r="C1981" s="10"/>
      <c r="D1981" s="10"/>
      <c r="E1981" s="10"/>
      <c r="F1981" s="10"/>
      <c r="G1981" s="10"/>
      <c r="H1981" s="770"/>
      <c r="I1981" s="10"/>
      <c r="J1981" s="10"/>
      <c r="K1981" s="10"/>
      <c r="L1981" s="10"/>
      <c r="M1981" s="770"/>
      <c r="N1981" s="10"/>
      <c r="O1981" s="10"/>
      <c r="P1981" s="10"/>
      <c r="Q1981" s="10"/>
      <c r="R1981" s="10"/>
      <c r="S1981" s="10"/>
    </row>
    <row r="1982" spans="1:19" x14ac:dyDescent="0.25">
      <c r="A1982" s="10"/>
      <c r="B1982" s="10"/>
      <c r="C1982" s="10"/>
      <c r="D1982" s="10"/>
      <c r="E1982" s="10"/>
      <c r="F1982" s="10"/>
      <c r="G1982" s="10"/>
      <c r="H1982" s="770"/>
      <c r="I1982" s="10"/>
      <c r="J1982" s="10"/>
      <c r="K1982" s="10"/>
      <c r="L1982" s="10"/>
      <c r="M1982" s="770"/>
      <c r="N1982" s="10"/>
      <c r="O1982" s="10"/>
      <c r="P1982" s="10"/>
      <c r="Q1982" s="10"/>
      <c r="R1982" s="10"/>
      <c r="S1982" s="10"/>
    </row>
    <row r="1983" spans="1:19" x14ac:dyDescent="0.25">
      <c r="A1983" s="10"/>
      <c r="B1983" s="10"/>
      <c r="C1983" s="10"/>
      <c r="D1983" s="10"/>
      <c r="E1983" s="10"/>
      <c r="F1983" s="10"/>
      <c r="G1983" s="10"/>
      <c r="H1983" s="770"/>
      <c r="I1983" s="10"/>
      <c r="J1983" s="10"/>
      <c r="K1983" s="10"/>
      <c r="L1983" s="10"/>
      <c r="M1983" s="770"/>
      <c r="N1983" s="10"/>
      <c r="O1983" s="10"/>
      <c r="P1983" s="10"/>
      <c r="Q1983" s="10"/>
      <c r="R1983" s="10"/>
      <c r="S1983" s="10"/>
    </row>
    <row r="1984" spans="1:19" x14ac:dyDescent="0.25">
      <c r="A1984" s="10"/>
      <c r="B1984" s="10"/>
      <c r="C1984" s="10"/>
      <c r="D1984" s="10"/>
      <c r="E1984" s="10"/>
      <c r="F1984" s="10"/>
      <c r="G1984" s="10"/>
      <c r="H1984" s="770"/>
      <c r="I1984" s="10"/>
      <c r="J1984" s="10"/>
      <c r="K1984" s="10"/>
      <c r="L1984" s="10"/>
      <c r="M1984" s="770"/>
      <c r="N1984" s="10"/>
      <c r="O1984" s="10"/>
      <c r="P1984" s="10"/>
      <c r="Q1984" s="10"/>
      <c r="R1984" s="10"/>
      <c r="S1984" s="10"/>
    </row>
    <row r="1985" spans="1:19" x14ac:dyDescent="0.25">
      <c r="A1985" s="10"/>
      <c r="B1985" s="10"/>
      <c r="C1985" s="10"/>
      <c r="D1985" s="10"/>
      <c r="E1985" s="10"/>
      <c r="F1985" s="10"/>
      <c r="G1985" s="10"/>
      <c r="H1985" s="770"/>
      <c r="I1985" s="10"/>
      <c r="J1985" s="10"/>
      <c r="K1985" s="10"/>
      <c r="L1985" s="10"/>
      <c r="M1985" s="770"/>
      <c r="N1985" s="10"/>
      <c r="O1985" s="10"/>
      <c r="P1985" s="10"/>
      <c r="Q1985" s="10"/>
      <c r="R1985" s="10"/>
      <c r="S1985" s="10"/>
    </row>
    <row r="1986" spans="1:19" x14ac:dyDescent="0.25">
      <c r="A1986" s="10"/>
      <c r="B1986" s="10"/>
      <c r="C1986" s="10"/>
      <c r="D1986" s="10"/>
      <c r="E1986" s="10"/>
      <c r="F1986" s="10"/>
      <c r="G1986" s="10"/>
      <c r="H1986" s="770"/>
      <c r="I1986" s="10"/>
      <c r="J1986" s="10"/>
      <c r="K1986" s="10"/>
      <c r="L1986" s="10"/>
      <c r="M1986" s="770"/>
      <c r="N1986" s="10"/>
      <c r="O1986" s="10"/>
      <c r="P1986" s="10"/>
      <c r="Q1986" s="10"/>
      <c r="R1986" s="10"/>
      <c r="S1986" s="10"/>
    </row>
    <row r="1987" spans="1:19" x14ac:dyDescent="0.25">
      <c r="A1987" s="10"/>
      <c r="B1987" s="10"/>
      <c r="C1987" s="10"/>
      <c r="D1987" s="10"/>
      <c r="E1987" s="10"/>
      <c r="F1987" s="10"/>
      <c r="G1987" s="10"/>
      <c r="H1987" s="770"/>
      <c r="I1987" s="10"/>
      <c r="J1987" s="10"/>
      <c r="K1987" s="10"/>
      <c r="L1987" s="10"/>
      <c r="M1987" s="770"/>
      <c r="N1987" s="10"/>
      <c r="O1987" s="10"/>
      <c r="P1987" s="10"/>
      <c r="Q1987" s="10"/>
      <c r="R1987" s="10"/>
      <c r="S1987" s="10"/>
    </row>
    <row r="1988" spans="1:19" x14ac:dyDescent="0.25">
      <c r="A1988" s="10"/>
      <c r="B1988" s="10"/>
      <c r="C1988" s="10"/>
      <c r="D1988" s="10"/>
      <c r="E1988" s="10"/>
      <c r="F1988" s="10"/>
      <c r="G1988" s="10"/>
      <c r="H1988" s="770"/>
      <c r="I1988" s="10"/>
      <c r="J1988" s="10"/>
      <c r="K1988" s="10"/>
      <c r="L1988" s="10"/>
      <c r="M1988" s="770"/>
      <c r="N1988" s="10"/>
      <c r="O1988" s="10"/>
      <c r="P1988" s="10"/>
      <c r="Q1988" s="10"/>
      <c r="R1988" s="10"/>
      <c r="S1988" s="10"/>
    </row>
    <row r="1989" spans="1:19" x14ac:dyDescent="0.25">
      <c r="A1989" s="10"/>
      <c r="B1989" s="10"/>
      <c r="C1989" s="10"/>
      <c r="D1989" s="10"/>
      <c r="E1989" s="10"/>
      <c r="F1989" s="10"/>
      <c r="G1989" s="10"/>
      <c r="H1989" s="770"/>
      <c r="I1989" s="10"/>
      <c r="J1989" s="10"/>
      <c r="K1989" s="10"/>
      <c r="L1989" s="10"/>
      <c r="M1989" s="770"/>
      <c r="N1989" s="10"/>
      <c r="O1989" s="10"/>
      <c r="P1989" s="10"/>
      <c r="Q1989" s="10"/>
      <c r="R1989" s="10"/>
      <c r="S1989" s="10"/>
    </row>
    <row r="1990" spans="1:19" x14ac:dyDescent="0.25">
      <c r="A1990" s="10"/>
      <c r="B1990" s="10"/>
      <c r="C1990" s="10"/>
      <c r="D1990" s="10"/>
      <c r="E1990" s="10"/>
      <c r="F1990" s="10"/>
      <c r="G1990" s="10"/>
      <c r="H1990" s="770"/>
      <c r="I1990" s="10"/>
      <c r="J1990" s="10"/>
      <c r="K1990" s="10"/>
      <c r="L1990" s="10"/>
      <c r="M1990" s="770"/>
      <c r="N1990" s="10"/>
      <c r="O1990" s="10"/>
      <c r="P1990" s="10"/>
      <c r="Q1990" s="10"/>
      <c r="R1990" s="10"/>
      <c r="S1990" s="10"/>
    </row>
    <row r="1991" spans="1:19" x14ac:dyDescent="0.25">
      <c r="A1991" s="10"/>
      <c r="B1991" s="10"/>
      <c r="C1991" s="10"/>
      <c r="D1991" s="10"/>
      <c r="E1991" s="10"/>
      <c r="F1991" s="10"/>
      <c r="G1991" s="10"/>
      <c r="H1991" s="770"/>
      <c r="I1991" s="10"/>
      <c r="J1991" s="10"/>
      <c r="K1991" s="10"/>
      <c r="L1991" s="10"/>
      <c r="M1991" s="770"/>
      <c r="N1991" s="10"/>
      <c r="O1991" s="10"/>
      <c r="P1991" s="10"/>
      <c r="Q1991" s="10"/>
      <c r="R1991" s="10"/>
      <c r="S1991" s="10"/>
    </row>
    <row r="1992" spans="1:19" x14ac:dyDescent="0.25">
      <c r="A1992" s="10"/>
      <c r="B1992" s="10"/>
      <c r="C1992" s="10"/>
      <c r="D1992" s="10"/>
      <c r="E1992" s="10"/>
      <c r="F1992" s="10"/>
      <c r="G1992" s="10"/>
      <c r="H1992" s="770"/>
      <c r="I1992" s="10"/>
      <c r="J1992" s="10"/>
      <c r="K1992" s="10"/>
      <c r="L1992" s="10"/>
      <c r="M1992" s="770"/>
      <c r="N1992" s="10"/>
      <c r="O1992" s="10"/>
      <c r="P1992" s="10"/>
      <c r="Q1992" s="10"/>
      <c r="R1992" s="10"/>
      <c r="S1992" s="10"/>
    </row>
    <row r="1993" spans="1:19" x14ac:dyDescent="0.25">
      <c r="A1993" s="10"/>
      <c r="B1993" s="10"/>
      <c r="C1993" s="10"/>
      <c r="D1993" s="10"/>
      <c r="E1993" s="10"/>
      <c r="F1993" s="10"/>
      <c r="G1993" s="10"/>
      <c r="H1993" s="770"/>
      <c r="I1993" s="10"/>
      <c r="J1993" s="10"/>
      <c r="K1993" s="10"/>
      <c r="L1993" s="10"/>
      <c r="M1993" s="770"/>
      <c r="N1993" s="10"/>
      <c r="O1993" s="10"/>
      <c r="P1993" s="10"/>
      <c r="Q1993" s="10"/>
      <c r="R1993" s="10"/>
      <c r="S1993" s="10"/>
    </row>
    <row r="1994" spans="1:19" x14ac:dyDescent="0.25">
      <c r="A1994" s="10"/>
      <c r="B1994" s="10"/>
      <c r="C1994" s="10"/>
      <c r="D1994" s="10"/>
      <c r="E1994" s="10"/>
      <c r="F1994" s="10"/>
      <c r="G1994" s="10"/>
      <c r="H1994" s="770"/>
      <c r="I1994" s="10"/>
      <c r="J1994" s="10"/>
      <c r="K1994" s="10"/>
      <c r="L1994" s="10"/>
      <c r="M1994" s="770"/>
      <c r="N1994" s="10"/>
      <c r="O1994" s="10"/>
      <c r="P1994" s="10"/>
      <c r="Q1994" s="10"/>
      <c r="R1994" s="10"/>
      <c r="S1994" s="10"/>
    </row>
    <row r="1995" spans="1:19" x14ac:dyDescent="0.25">
      <c r="A1995" s="10"/>
      <c r="B1995" s="10"/>
      <c r="C1995" s="10"/>
      <c r="D1995" s="10"/>
      <c r="E1995" s="10"/>
      <c r="F1995" s="10"/>
      <c r="G1995" s="10"/>
      <c r="H1995" s="770"/>
      <c r="I1995" s="10"/>
      <c r="J1995" s="10"/>
      <c r="K1995" s="10"/>
      <c r="L1995" s="10"/>
      <c r="M1995" s="770"/>
      <c r="N1995" s="10"/>
      <c r="O1995" s="10"/>
      <c r="P1995" s="10"/>
      <c r="Q1995" s="10"/>
      <c r="R1995" s="10"/>
      <c r="S1995" s="10"/>
    </row>
    <row r="1996" spans="1:19" x14ac:dyDescent="0.25">
      <c r="A1996" s="10"/>
      <c r="B1996" s="10"/>
      <c r="C1996" s="10"/>
      <c r="D1996" s="10"/>
      <c r="E1996" s="10"/>
      <c r="F1996" s="10"/>
      <c r="G1996" s="10"/>
      <c r="H1996" s="770"/>
      <c r="I1996" s="10"/>
      <c r="J1996" s="10"/>
      <c r="K1996" s="10"/>
      <c r="L1996" s="10"/>
      <c r="M1996" s="770"/>
      <c r="N1996" s="10"/>
      <c r="O1996" s="10"/>
      <c r="P1996" s="10"/>
      <c r="Q1996" s="10"/>
      <c r="R1996" s="10"/>
      <c r="S1996" s="10"/>
    </row>
    <row r="1997" spans="1:19" x14ac:dyDescent="0.25">
      <c r="A1997" s="10"/>
      <c r="B1997" s="10"/>
      <c r="C1997" s="10"/>
      <c r="D1997" s="10"/>
      <c r="E1997" s="10"/>
      <c r="F1997" s="10"/>
      <c r="G1997" s="10"/>
      <c r="H1997" s="770"/>
      <c r="I1997" s="10"/>
      <c r="J1997" s="10"/>
      <c r="K1997" s="10"/>
      <c r="L1997" s="10"/>
      <c r="M1997" s="770"/>
      <c r="N1997" s="10"/>
      <c r="O1997" s="10"/>
      <c r="P1997" s="10"/>
      <c r="Q1997" s="10"/>
      <c r="R1997" s="10"/>
      <c r="S1997" s="10"/>
    </row>
    <row r="1998" spans="1:19" x14ac:dyDescent="0.25">
      <c r="A1998" s="10"/>
      <c r="B1998" s="10"/>
      <c r="C1998" s="10"/>
      <c r="D1998" s="10"/>
      <c r="E1998" s="10"/>
      <c r="F1998" s="10"/>
      <c r="G1998" s="10"/>
      <c r="H1998" s="770"/>
      <c r="I1998" s="10"/>
      <c r="J1998" s="10"/>
      <c r="K1998" s="10"/>
      <c r="L1998" s="10"/>
      <c r="M1998" s="770"/>
      <c r="N1998" s="10"/>
      <c r="O1998" s="10"/>
      <c r="P1998" s="10"/>
      <c r="Q1998" s="10"/>
      <c r="R1998" s="10"/>
      <c r="S1998" s="10"/>
    </row>
    <row r="1999" spans="1:19" x14ac:dyDescent="0.25">
      <c r="A1999" s="10"/>
      <c r="B1999" s="10"/>
      <c r="C1999" s="10"/>
      <c r="D1999" s="10"/>
      <c r="E1999" s="10"/>
      <c r="F1999" s="10"/>
      <c r="G1999" s="10"/>
      <c r="H1999" s="770"/>
      <c r="I1999" s="10"/>
      <c r="J1999" s="10"/>
      <c r="K1999" s="10"/>
      <c r="L1999" s="10"/>
      <c r="M1999" s="770"/>
      <c r="N1999" s="10"/>
      <c r="O1999" s="10"/>
      <c r="P1999" s="10"/>
      <c r="Q1999" s="10"/>
      <c r="R1999" s="10"/>
      <c r="S1999" s="10"/>
    </row>
    <row r="2000" spans="1:19" x14ac:dyDescent="0.25">
      <c r="A2000" s="10"/>
      <c r="B2000" s="10"/>
      <c r="C2000" s="10"/>
      <c r="D2000" s="10"/>
      <c r="E2000" s="10"/>
      <c r="F2000" s="10"/>
      <c r="G2000" s="10"/>
      <c r="H2000" s="770"/>
      <c r="I2000" s="10"/>
      <c r="J2000" s="10"/>
      <c r="K2000" s="10"/>
      <c r="L2000" s="10"/>
      <c r="M2000" s="770"/>
      <c r="N2000" s="10"/>
      <c r="O2000" s="10"/>
      <c r="P2000" s="10"/>
      <c r="Q2000" s="10"/>
      <c r="R2000" s="10"/>
      <c r="S2000" s="10"/>
    </row>
    <row r="2001" spans="1:19" x14ac:dyDescent="0.25">
      <c r="A2001" s="10"/>
      <c r="B2001" s="10"/>
      <c r="C2001" s="10"/>
      <c r="D2001" s="10"/>
      <c r="E2001" s="10"/>
      <c r="F2001" s="10"/>
      <c r="G2001" s="10"/>
      <c r="H2001" s="770"/>
      <c r="I2001" s="10"/>
      <c r="J2001" s="10"/>
      <c r="K2001" s="10"/>
      <c r="L2001" s="10"/>
      <c r="M2001" s="770"/>
      <c r="N2001" s="10"/>
      <c r="O2001" s="10"/>
      <c r="P2001" s="10"/>
      <c r="Q2001" s="10"/>
      <c r="R2001" s="10"/>
      <c r="S2001" s="10"/>
    </row>
    <row r="2002" spans="1:19" x14ac:dyDescent="0.25">
      <c r="A2002" s="10"/>
      <c r="B2002" s="10"/>
      <c r="C2002" s="10"/>
      <c r="D2002" s="10"/>
      <c r="E2002" s="10"/>
      <c r="F2002" s="10"/>
      <c r="G2002" s="10"/>
      <c r="H2002" s="770"/>
      <c r="I2002" s="10"/>
      <c r="J2002" s="10"/>
      <c r="K2002" s="10"/>
      <c r="L2002" s="10"/>
      <c r="M2002" s="770"/>
      <c r="N2002" s="10"/>
      <c r="O2002" s="10"/>
      <c r="P2002" s="10"/>
      <c r="Q2002" s="10"/>
      <c r="R2002" s="10"/>
      <c r="S2002" s="10"/>
    </row>
    <row r="2003" spans="1:19" x14ac:dyDescent="0.25">
      <c r="A2003" s="10"/>
      <c r="B2003" s="10"/>
      <c r="C2003" s="10"/>
      <c r="D2003" s="10"/>
      <c r="E2003" s="10"/>
      <c r="F2003" s="10"/>
      <c r="G2003" s="10"/>
      <c r="H2003" s="770"/>
      <c r="I2003" s="10"/>
      <c r="J2003" s="10"/>
      <c r="K2003" s="10"/>
      <c r="L2003" s="10"/>
      <c r="M2003" s="770"/>
      <c r="N2003" s="10"/>
      <c r="O2003" s="10"/>
      <c r="P2003" s="10"/>
      <c r="Q2003" s="10"/>
      <c r="R2003" s="10"/>
      <c r="S2003" s="10"/>
    </row>
    <row r="2004" spans="1:19" x14ac:dyDescent="0.25">
      <c r="A2004" s="10"/>
      <c r="B2004" s="10"/>
      <c r="C2004" s="10"/>
      <c r="D2004" s="10"/>
      <c r="E2004" s="10"/>
      <c r="F2004" s="10"/>
      <c r="G2004" s="10"/>
      <c r="H2004" s="770"/>
      <c r="I2004" s="10"/>
      <c r="J2004" s="10"/>
      <c r="K2004" s="10"/>
      <c r="L2004" s="10"/>
      <c r="M2004" s="770"/>
      <c r="N2004" s="10"/>
      <c r="O2004" s="10"/>
      <c r="P2004" s="10"/>
      <c r="Q2004" s="10"/>
      <c r="R2004" s="10"/>
      <c r="S2004" s="10"/>
    </row>
    <row r="2005" spans="1:19" x14ac:dyDescent="0.25">
      <c r="A2005" s="10"/>
      <c r="B2005" s="10"/>
      <c r="C2005" s="10"/>
      <c r="D2005" s="10"/>
      <c r="E2005" s="10"/>
      <c r="F2005" s="10"/>
      <c r="G2005" s="10"/>
      <c r="H2005" s="770"/>
      <c r="I2005" s="10"/>
      <c r="J2005" s="10"/>
      <c r="K2005" s="10"/>
      <c r="L2005" s="10"/>
      <c r="M2005" s="770"/>
      <c r="N2005" s="10"/>
      <c r="O2005" s="10"/>
      <c r="P2005" s="10"/>
      <c r="Q2005" s="10"/>
      <c r="R2005" s="10"/>
      <c r="S2005" s="10"/>
    </row>
    <row r="2006" spans="1:19" x14ac:dyDescent="0.25">
      <c r="A2006" s="10"/>
      <c r="B2006" s="10"/>
      <c r="C2006" s="10"/>
      <c r="D2006" s="10"/>
      <c r="E2006" s="10"/>
      <c r="F2006" s="10"/>
      <c r="G2006" s="10"/>
      <c r="H2006" s="770"/>
      <c r="I2006" s="10"/>
      <c r="J2006" s="10"/>
      <c r="K2006" s="10"/>
      <c r="L2006" s="10"/>
      <c r="M2006" s="770"/>
      <c r="N2006" s="10"/>
      <c r="O2006" s="10"/>
      <c r="P2006" s="10"/>
      <c r="Q2006" s="10"/>
      <c r="R2006" s="10"/>
      <c r="S2006" s="10"/>
    </row>
    <row r="2007" spans="1:19" x14ac:dyDescent="0.25">
      <c r="A2007" s="10"/>
      <c r="B2007" s="10"/>
      <c r="C2007" s="10"/>
      <c r="D2007" s="10"/>
      <c r="E2007" s="10"/>
      <c r="F2007" s="10"/>
      <c r="G2007" s="10"/>
      <c r="H2007" s="770"/>
      <c r="I2007" s="10"/>
      <c r="J2007" s="10"/>
      <c r="K2007" s="10"/>
      <c r="L2007" s="10"/>
      <c r="M2007" s="770"/>
      <c r="N2007" s="10"/>
      <c r="O2007" s="10"/>
      <c r="P2007" s="10"/>
      <c r="Q2007" s="10"/>
      <c r="R2007" s="10"/>
      <c r="S2007" s="10"/>
    </row>
    <row r="2008" spans="1:19" x14ac:dyDescent="0.25">
      <c r="A2008" s="10"/>
      <c r="B2008" s="10"/>
      <c r="C2008" s="10"/>
      <c r="D2008" s="10"/>
      <c r="E2008" s="10"/>
      <c r="F2008" s="10"/>
      <c r="G2008" s="10"/>
      <c r="H2008" s="770"/>
      <c r="I2008" s="10"/>
      <c r="J2008" s="10"/>
      <c r="K2008" s="10"/>
      <c r="L2008" s="10"/>
      <c r="M2008" s="770"/>
      <c r="N2008" s="10"/>
      <c r="O2008" s="10"/>
      <c r="P2008" s="10"/>
      <c r="Q2008" s="10"/>
      <c r="R2008" s="10"/>
      <c r="S2008" s="10"/>
    </row>
    <row r="2009" spans="1:19" x14ac:dyDescent="0.25">
      <c r="A2009" s="10"/>
      <c r="B2009" s="10"/>
      <c r="C2009" s="10"/>
      <c r="D2009" s="10"/>
      <c r="E2009" s="10"/>
      <c r="F2009" s="10"/>
      <c r="G2009" s="10"/>
      <c r="H2009" s="770"/>
      <c r="I2009" s="10"/>
      <c r="J2009" s="10"/>
      <c r="K2009" s="10"/>
      <c r="L2009" s="10"/>
      <c r="M2009" s="770"/>
      <c r="N2009" s="10"/>
      <c r="O2009" s="10"/>
      <c r="P2009" s="10"/>
      <c r="Q2009" s="10"/>
      <c r="R2009" s="10"/>
      <c r="S2009" s="10"/>
    </row>
    <row r="2010" spans="1:19" x14ac:dyDescent="0.25">
      <c r="A2010" s="10"/>
      <c r="B2010" s="10"/>
      <c r="C2010" s="10"/>
      <c r="D2010" s="10"/>
      <c r="E2010" s="10"/>
      <c r="F2010" s="10"/>
      <c r="G2010" s="10"/>
      <c r="H2010" s="770"/>
      <c r="I2010" s="10"/>
      <c r="J2010" s="10"/>
      <c r="K2010" s="10"/>
      <c r="L2010" s="10"/>
      <c r="M2010" s="770"/>
      <c r="N2010" s="10"/>
      <c r="O2010" s="10"/>
      <c r="P2010" s="10"/>
      <c r="Q2010" s="10"/>
      <c r="R2010" s="10"/>
      <c r="S2010" s="10"/>
    </row>
    <row r="2011" spans="1:19" x14ac:dyDescent="0.25">
      <c r="A2011" s="10"/>
      <c r="B2011" s="10"/>
      <c r="C2011" s="10"/>
      <c r="D2011" s="10"/>
      <c r="E2011" s="10"/>
      <c r="F2011" s="10"/>
      <c r="G2011" s="10"/>
      <c r="H2011" s="770"/>
      <c r="I2011" s="10"/>
      <c r="J2011" s="10"/>
      <c r="K2011" s="10"/>
      <c r="L2011" s="10"/>
      <c r="M2011" s="770"/>
      <c r="N2011" s="10"/>
      <c r="O2011" s="10"/>
      <c r="P2011" s="10"/>
      <c r="Q2011" s="10"/>
      <c r="R2011" s="10"/>
      <c r="S2011" s="10"/>
    </row>
    <row r="2012" spans="1:19" x14ac:dyDescent="0.25">
      <c r="A2012" s="10"/>
      <c r="B2012" s="10"/>
      <c r="C2012" s="10"/>
      <c r="D2012" s="10"/>
      <c r="E2012" s="10"/>
      <c r="F2012" s="10"/>
      <c r="G2012" s="10"/>
      <c r="H2012" s="770"/>
      <c r="I2012" s="10"/>
      <c r="J2012" s="10"/>
      <c r="K2012" s="10"/>
      <c r="L2012" s="10"/>
      <c r="M2012" s="770"/>
      <c r="N2012" s="10"/>
      <c r="O2012" s="10"/>
      <c r="P2012" s="10"/>
      <c r="Q2012" s="10"/>
      <c r="R2012" s="10"/>
      <c r="S2012" s="10"/>
    </row>
    <row r="2013" spans="1:19" x14ac:dyDescent="0.25">
      <c r="A2013" s="10"/>
      <c r="B2013" s="10"/>
      <c r="C2013" s="10"/>
      <c r="D2013" s="10"/>
      <c r="E2013" s="10"/>
      <c r="F2013" s="10"/>
      <c r="G2013" s="10"/>
      <c r="H2013" s="770"/>
      <c r="I2013" s="10"/>
      <c r="J2013" s="10"/>
      <c r="K2013" s="10"/>
      <c r="L2013" s="10"/>
      <c r="M2013" s="770"/>
      <c r="N2013" s="10"/>
      <c r="O2013" s="10"/>
      <c r="P2013" s="10"/>
      <c r="Q2013" s="10"/>
      <c r="R2013" s="10"/>
      <c r="S2013" s="10"/>
    </row>
    <row r="2014" spans="1:19" x14ac:dyDescent="0.25">
      <c r="A2014" s="10"/>
      <c r="B2014" s="10"/>
      <c r="C2014" s="10"/>
      <c r="D2014" s="10"/>
      <c r="E2014" s="10"/>
      <c r="F2014" s="10"/>
      <c r="G2014" s="10"/>
      <c r="H2014" s="770"/>
      <c r="I2014" s="10"/>
      <c r="J2014" s="10"/>
      <c r="K2014" s="10"/>
      <c r="L2014" s="10"/>
      <c r="M2014" s="770"/>
      <c r="N2014" s="10"/>
      <c r="O2014" s="10"/>
      <c r="P2014" s="10"/>
      <c r="Q2014" s="10"/>
      <c r="R2014" s="10"/>
      <c r="S2014" s="10"/>
    </row>
    <row r="2015" spans="1:19" x14ac:dyDescent="0.25">
      <c r="A2015" s="10"/>
      <c r="B2015" s="10"/>
      <c r="C2015" s="10"/>
      <c r="D2015" s="10"/>
      <c r="E2015" s="10"/>
      <c r="F2015" s="10"/>
      <c r="G2015" s="10"/>
      <c r="H2015" s="770"/>
      <c r="I2015" s="10"/>
      <c r="J2015" s="10"/>
      <c r="K2015" s="10"/>
      <c r="L2015" s="10"/>
      <c r="M2015" s="770"/>
      <c r="N2015" s="10"/>
      <c r="O2015" s="10"/>
      <c r="P2015" s="10"/>
      <c r="Q2015" s="10"/>
      <c r="R2015" s="10"/>
      <c r="S2015" s="10"/>
    </row>
    <row r="2016" spans="1:19" x14ac:dyDescent="0.25">
      <c r="A2016" s="10"/>
      <c r="B2016" s="10"/>
      <c r="C2016" s="10"/>
      <c r="D2016" s="10"/>
      <c r="E2016" s="10"/>
      <c r="F2016" s="10"/>
      <c r="G2016" s="10"/>
      <c r="H2016" s="770"/>
      <c r="I2016" s="10"/>
      <c r="J2016" s="10"/>
      <c r="K2016" s="10"/>
      <c r="L2016" s="10"/>
      <c r="M2016" s="770"/>
      <c r="N2016" s="10"/>
      <c r="O2016" s="10"/>
      <c r="P2016" s="10"/>
      <c r="Q2016" s="10"/>
      <c r="R2016" s="10"/>
      <c r="S2016" s="10"/>
    </row>
    <row r="2017" spans="1:19" x14ac:dyDescent="0.25">
      <c r="A2017" s="10"/>
      <c r="B2017" s="10"/>
      <c r="C2017" s="10"/>
      <c r="D2017" s="10"/>
      <c r="E2017" s="10"/>
      <c r="F2017" s="10"/>
      <c r="G2017" s="10"/>
      <c r="H2017" s="770"/>
      <c r="I2017" s="10"/>
      <c r="J2017" s="10"/>
      <c r="K2017" s="10"/>
      <c r="L2017" s="10"/>
      <c r="M2017" s="770"/>
      <c r="N2017" s="10"/>
      <c r="O2017" s="10"/>
      <c r="P2017" s="10"/>
      <c r="Q2017" s="10"/>
      <c r="R2017" s="10"/>
      <c r="S2017" s="10"/>
    </row>
    <row r="2018" spans="1:19" x14ac:dyDescent="0.25">
      <c r="A2018" s="10"/>
      <c r="B2018" s="10"/>
      <c r="C2018" s="10"/>
      <c r="D2018" s="10"/>
      <c r="E2018" s="10"/>
      <c r="F2018" s="10"/>
      <c r="G2018" s="10"/>
      <c r="H2018" s="770"/>
      <c r="I2018" s="10"/>
      <c r="J2018" s="10"/>
      <c r="K2018" s="10"/>
      <c r="L2018" s="10"/>
      <c r="M2018" s="770"/>
      <c r="N2018" s="10"/>
      <c r="O2018" s="10"/>
      <c r="P2018" s="10"/>
      <c r="Q2018" s="10"/>
      <c r="R2018" s="10"/>
      <c r="S2018" s="10"/>
    </row>
    <row r="2019" spans="1:19" x14ac:dyDescent="0.25">
      <c r="A2019" s="10"/>
      <c r="B2019" s="10"/>
      <c r="C2019" s="10"/>
      <c r="D2019" s="10"/>
      <c r="E2019" s="10"/>
      <c r="F2019" s="10"/>
      <c r="G2019" s="10"/>
      <c r="H2019" s="770"/>
      <c r="I2019" s="10"/>
      <c r="J2019" s="10"/>
      <c r="K2019" s="10"/>
      <c r="L2019" s="10"/>
      <c r="M2019" s="770"/>
      <c r="N2019" s="10"/>
      <c r="O2019" s="10"/>
      <c r="P2019" s="10"/>
      <c r="Q2019" s="10"/>
      <c r="R2019" s="10"/>
      <c r="S2019" s="10"/>
    </row>
    <row r="2020" spans="1:19" x14ac:dyDescent="0.25">
      <c r="A2020" s="10"/>
      <c r="B2020" s="10"/>
      <c r="C2020" s="10"/>
      <c r="D2020" s="10"/>
      <c r="E2020" s="10"/>
      <c r="F2020" s="10"/>
      <c r="G2020" s="10"/>
      <c r="H2020" s="770"/>
      <c r="I2020" s="10"/>
      <c r="J2020" s="10"/>
      <c r="K2020" s="10"/>
      <c r="L2020" s="10"/>
      <c r="M2020" s="770"/>
      <c r="N2020" s="10"/>
      <c r="O2020" s="10"/>
      <c r="P2020" s="10"/>
      <c r="Q2020" s="10"/>
      <c r="R2020" s="10"/>
      <c r="S2020" s="10"/>
    </row>
    <row r="2021" spans="1:19" x14ac:dyDescent="0.25">
      <c r="A2021" s="10"/>
      <c r="B2021" s="10"/>
      <c r="C2021" s="10"/>
      <c r="D2021" s="10"/>
      <c r="E2021" s="10"/>
      <c r="F2021" s="10"/>
      <c r="G2021" s="10"/>
      <c r="H2021" s="770"/>
      <c r="I2021" s="10"/>
      <c r="J2021" s="10"/>
      <c r="K2021" s="10"/>
      <c r="L2021" s="10"/>
      <c r="M2021" s="770"/>
      <c r="N2021" s="10"/>
      <c r="O2021" s="10"/>
      <c r="P2021" s="10"/>
      <c r="Q2021" s="10"/>
      <c r="R2021" s="10"/>
      <c r="S2021" s="10"/>
    </row>
    <row r="2022" spans="1:19" x14ac:dyDescent="0.25">
      <c r="A2022" s="10"/>
      <c r="B2022" s="10"/>
      <c r="C2022" s="10"/>
      <c r="D2022" s="10"/>
      <c r="E2022" s="10"/>
      <c r="F2022" s="10"/>
      <c r="G2022" s="10"/>
      <c r="H2022" s="770"/>
      <c r="I2022" s="10"/>
      <c r="J2022" s="10"/>
      <c r="K2022" s="10"/>
      <c r="L2022" s="10"/>
      <c r="M2022" s="770"/>
      <c r="N2022" s="10"/>
      <c r="O2022" s="10"/>
      <c r="P2022" s="10"/>
      <c r="Q2022" s="10"/>
      <c r="R2022" s="10"/>
      <c r="S2022" s="10"/>
    </row>
    <row r="2023" spans="1:19" x14ac:dyDescent="0.25">
      <c r="A2023" s="10"/>
      <c r="B2023" s="10"/>
      <c r="C2023" s="10"/>
      <c r="D2023" s="10"/>
      <c r="E2023" s="10"/>
      <c r="F2023" s="10"/>
      <c r="G2023" s="10"/>
      <c r="H2023" s="770"/>
      <c r="I2023" s="10"/>
      <c r="J2023" s="10"/>
      <c r="K2023" s="10"/>
      <c r="L2023" s="10"/>
      <c r="M2023" s="770"/>
      <c r="N2023" s="10"/>
      <c r="O2023" s="10"/>
      <c r="P2023" s="10"/>
      <c r="Q2023" s="10"/>
      <c r="R2023" s="10"/>
      <c r="S2023" s="10"/>
    </row>
    <row r="2024" spans="1:19" x14ac:dyDescent="0.25">
      <c r="A2024" s="10"/>
      <c r="B2024" s="10"/>
      <c r="C2024" s="10"/>
      <c r="D2024" s="10"/>
      <c r="E2024" s="10"/>
      <c r="F2024" s="10"/>
      <c r="G2024" s="10"/>
      <c r="H2024" s="770"/>
      <c r="I2024" s="10"/>
      <c r="J2024" s="10"/>
      <c r="K2024" s="10"/>
      <c r="L2024" s="10"/>
      <c r="M2024" s="770"/>
      <c r="N2024" s="10"/>
      <c r="O2024" s="10"/>
      <c r="P2024" s="10"/>
      <c r="Q2024" s="10"/>
      <c r="R2024" s="10"/>
      <c r="S2024" s="10"/>
    </row>
    <row r="2025" spans="1:19" x14ac:dyDescent="0.25">
      <c r="A2025" s="10"/>
      <c r="B2025" s="10"/>
      <c r="C2025" s="10"/>
      <c r="D2025" s="10"/>
      <c r="E2025" s="10"/>
      <c r="F2025" s="10"/>
      <c r="G2025" s="10"/>
      <c r="H2025" s="770"/>
      <c r="I2025" s="10"/>
      <c r="J2025" s="10"/>
      <c r="K2025" s="10"/>
      <c r="L2025" s="10"/>
      <c r="M2025" s="770"/>
      <c r="N2025" s="10"/>
      <c r="O2025" s="10"/>
      <c r="P2025" s="10"/>
      <c r="Q2025" s="10"/>
      <c r="R2025" s="10"/>
      <c r="S2025" s="10"/>
    </row>
    <row r="2026" spans="1:19" x14ac:dyDescent="0.25">
      <c r="A2026" s="10"/>
      <c r="B2026" s="10"/>
      <c r="C2026" s="10"/>
      <c r="D2026" s="10"/>
      <c r="E2026" s="10"/>
      <c r="F2026" s="10"/>
      <c r="G2026" s="10"/>
      <c r="H2026" s="770"/>
      <c r="I2026" s="10"/>
      <c r="J2026" s="10"/>
      <c r="K2026" s="10"/>
      <c r="L2026" s="10"/>
      <c r="M2026" s="770"/>
      <c r="N2026" s="10"/>
      <c r="O2026" s="10"/>
      <c r="P2026" s="10"/>
      <c r="Q2026" s="10"/>
      <c r="R2026" s="10"/>
      <c r="S2026" s="10"/>
    </row>
    <row r="2027" spans="1:19" x14ac:dyDescent="0.25">
      <c r="A2027" s="10"/>
      <c r="B2027" s="10"/>
      <c r="C2027" s="10"/>
      <c r="D2027" s="10"/>
      <c r="E2027" s="10"/>
      <c r="F2027" s="10"/>
      <c r="G2027" s="10"/>
      <c r="H2027" s="770"/>
      <c r="I2027" s="10"/>
      <c r="J2027" s="10"/>
      <c r="K2027" s="10"/>
      <c r="L2027" s="10"/>
      <c r="M2027" s="770"/>
      <c r="N2027" s="10"/>
      <c r="O2027" s="10"/>
      <c r="P2027" s="10"/>
      <c r="Q2027" s="10"/>
      <c r="R2027" s="10"/>
      <c r="S2027" s="10"/>
    </row>
    <row r="2028" spans="1:19" x14ac:dyDescent="0.25">
      <c r="A2028" s="10"/>
      <c r="B2028" s="10"/>
      <c r="C2028" s="10"/>
      <c r="D2028" s="10"/>
      <c r="E2028" s="10"/>
      <c r="F2028" s="10"/>
      <c r="G2028" s="10"/>
      <c r="H2028" s="770"/>
      <c r="I2028" s="10"/>
      <c r="J2028" s="10"/>
      <c r="K2028" s="10"/>
      <c r="L2028" s="10"/>
      <c r="M2028" s="770"/>
      <c r="N2028" s="10"/>
      <c r="O2028" s="10"/>
      <c r="P2028" s="10"/>
      <c r="Q2028" s="10"/>
      <c r="R2028" s="10"/>
      <c r="S2028" s="10"/>
    </row>
    <row r="2029" spans="1:19" x14ac:dyDescent="0.25">
      <c r="A2029" s="10"/>
      <c r="B2029" s="10"/>
      <c r="C2029" s="10"/>
      <c r="D2029" s="10"/>
      <c r="E2029" s="10"/>
      <c r="F2029" s="10"/>
      <c r="G2029" s="10"/>
      <c r="H2029" s="770"/>
      <c r="I2029" s="10"/>
      <c r="J2029" s="10"/>
      <c r="K2029" s="10"/>
      <c r="L2029" s="10"/>
      <c r="M2029" s="770"/>
      <c r="N2029" s="10"/>
      <c r="O2029" s="10"/>
      <c r="P2029" s="10"/>
      <c r="Q2029" s="10"/>
      <c r="R2029" s="10"/>
      <c r="S2029" s="10"/>
    </row>
    <row r="2030" spans="1:19" x14ac:dyDescent="0.25">
      <c r="A2030" s="10"/>
      <c r="B2030" s="10"/>
      <c r="C2030" s="10"/>
      <c r="D2030" s="10"/>
      <c r="E2030" s="10"/>
      <c r="F2030" s="10"/>
      <c r="G2030" s="10"/>
      <c r="H2030" s="770"/>
      <c r="I2030" s="10"/>
      <c r="J2030" s="10"/>
      <c r="K2030" s="10"/>
      <c r="L2030" s="10"/>
      <c r="M2030" s="770"/>
      <c r="N2030" s="10"/>
      <c r="O2030" s="10"/>
      <c r="P2030" s="10"/>
      <c r="Q2030" s="10"/>
      <c r="R2030" s="10"/>
      <c r="S2030" s="10"/>
    </row>
    <row r="2031" spans="1:19" x14ac:dyDescent="0.25">
      <c r="A2031" s="10"/>
      <c r="B2031" s="10"/>
      <c r="C2031" s="10"/>
      <c r="D2031" s="10"/>
      <c r="E2031" s="10"/>
      <c r="F2031" s="10"/>
      <c r="G2031" s="10"/>
      <c r="H2031" s="770"/>
      <c r="I2031" s="10"/>
      <c r="J2031" s="10"/>
      <c r="K2031" s="10"/>
      <c r="L2031" s="10"/>
      <c r="M2031" s="770"/>
      <c r="N2031" s="10"/>
      <c r="O2031" s="10"/>
      <c r="P2031" s="10"/>
      <c r="Q2031" s="10"/>
      <c r="R2031" s="10"/>
      <c r="S2031" s="10"/>
    </row>
    <row r="2032" spans="1:19" x14ac:dyDescent="0.25">
      <c r="A2032" s="10"/>
      <c r="B2032" s="10"/>
      <c r="C2032" s="10"/>
      <c r="D2032" s="10"/>
      <c r="E2032" s="10"/>
      <c r="F2032" s="10"/>
      <c r="G2032" s="10"/>
      <c r="H2032" s="770"/>
      <c r="I2032" s="10"/>
      <c r="J2032" s="10"/>
      <c r="K2032" s="10"/>
      <c r="L2032" s="10"/>
      <c r="M2032" s="770"/>
      <c r="N2032" s="10"/>
      <c r="O2032" s="10"/>
      <c r="P2032" s="10"/>
      <c r="Q2032" s="10"/>
      <c r="R2032" s="10"/>
      <c r="S2032" s="10"/>
    </row>
    <row r="2033" spans="1:19" x14ac:dyDescent="0.25">
      <c r="A2033" s="10"/>
      <c r="B2033" s="10"/>
      <c r="C2033" s="10"/>
      <c r="D2033" s="10"/>
      <c r="E2033" s="10"/>
      <c r="F2033" s="10"/>
      <c r="G2033" s="10"/>
      <c r="H2033" s="770"/>
      <c r="I2033" s="10"/>
      <c r="J2033" s="10"/>
      <c r="K2033" s="10"/>
      <c r="L2033" s="10"/>
      <c r="M2033" s="770"/>
      <c r="N2033" s="10"/>
      <c r="O2033" s="10"/>
      <c r="P2033" s="10"/>
      <c r="Q2033" s="10"/>
      <c r="R2033" s="10"/>
      <c r="S2033" s="10"/>
    </row>
    <row r="2034" spans="1:19" x14ac:dyDescent="0.25">
      <c r="A2034" s="10"/>
      <c r="B2034" s="10"/>
      <c r="C2034" s="10"/>
      <c r="D2034" s="10"/>
      <c r="E2034" s="10"/>
      <c r="F2034" s="10"/>
      <c r="G2034" s="10"/>
      <c r="H2034" s="770"/>
      <c r="I2034" s="10"/>
      <c r="J2034" s="10"/>
      <c r="K2034" s="10"/>
      <c r="L2034" s="10"/>
      <c r="M2034" s="770"/>
      <c r="N2034" s="10"/>
      <c r="O2034" s="10"/>
      <c r="P2034" s="10"/>
      <c r="Q2034" s="10"/>
      <c r="R2034" s="10"/>
      <c r="S2034" s="10"/>
    </row>
    <row r="2035" spans="1:19" x14ac:dyDescent="0.25">
      <c r="A2035" s="10"/>
      <c r="B2035" s="10"/>
      <c r="C2035" s="10"/>
      <c r="D2035" s="10"/>
      <c r="E2035" s="10"/>
      <c r="F2035" s="10"/>
      <c r="G2035" s="10"/>
      <c r="H2035" s="770"/>
      <c r="I2035" s="10"/>
      <c r="J2035" s="10"/>
      <c r="K2035" s="10"/>
      <c r="L2035" s="10"/>
      <c r="M2035" s="770"/>
      <c r="N2035" s="10"/>
      <c r="O2035" s="10"/>
      <c r="P2035" s="10"/>
      <c r="Q2035" s="10"/>
      <c r="R2035" s="10"/>
      <c r="S2035" s="10"/>
    </row>
    <row r="2036" spans="1:19" x14ac:dyDescent="0.25">
      <c r="A2036" s="10"/>
      <c r="B2036" s="10"/>
      <c r="C2036" s="10"/>
      <c r="D2036" s="10"/>
      <c r="E2036" s="10"/>
      <c r="F2036" s="10"/>
      <c r="G2036" s="10"/>
      <c r="H2036" s="770"/>
      <c r="I2036" s="10"/>
      <c r="J2036" s="10"/>
      <c r="K2036" s="10"/>
      <c r="L2036" s="10"/>
      <c r="M2036" s="770"/>
      <c r="N2036" s="10"/>
      <c r="O2036" s="10"/>
      <c r="P2036" s="10"/>
      <c r="Q2036" s="10"/>
      <c r="R2036" s="10"/>
      <c r="S2036" s="10"/>
    </row>
    <row r="2037" spans="1:19" x14ac:dyDescent="0.25">
      <c r="A2037" s="10"/>
      <c r="B2037" s="10"/>
      <c r="C2037" s="10"/>
      <c r="D2037" s="10"/>
      <c r="E2037" s="10"/>
      <c r="F2037" s="10"/>
      <c r="G2037" s="10"/>
      <c r="H2037" s="770"/>
      <c r="I2037" s="10"/>
      <c r="J2037" s="10"/>
      <c r="K2037" s="10"/>
      <c r="L2037" s="10"/>
      <c r="M2037" s="770"/>
      <c r="N2037" s="10"/>
      <c r="O2037" s="10"/>
      <c r="P2037" s="10"/>
      <c r="Q2037" s="10"/>
      <c r="R2037" s="10"/>
      <c r="S2037" s="10"/>
    </row>
    <row r="2038" spans="1:19" x14ac:dyDescent="0.25">
      <c r="A2038" s="10"/>
      <c r="B2038" s="10"/>
      <c r="C2038" s="10"/>
      <c r="D2038" s="10"/>
      <c r="E2038" s="10"/>
      <c r="F2038" s="10"/>
      <c r="G2038" s="10"/>
      <c r="H2038" s="770"/>
      <c r="I2038" s="10"/>
      <c r="J2038" s="10"/>
      <c r="K2038" s="10"/>
      <c r="L2038" s="10"/>
      <c r="M2038" s="770"/>
      <c r="N2038" s="10"/>
      <c r="O2038" s="10"/>
      <c r="P2038" s="10"/>
      <c r="Q2038" s="10"/>
      <c r="R2038" s="10"/>
      <c r="S2038" s="10"/>
    </row>
    <row r="2039" spans="1:19" x14ac:dyDescent="0.25">
      <c r="A2039" s="10"/>
      <c r="B2039" s="10"/>
      <c r="C2039" s="10"/>
      <c r="D2039" s="10"/>
      <c r="E2039" s="10"/>
      <c r="F2039" s="10"/>
      <c r="G2039" s="10"/>
      <c r="H2039" s="770"/>
      <c r="I2039" s="10"/>
      <c r="J2039" s="10"/>
      <c r="K2039" s="10"/>
      <c r="L2039" s="10"/>
      <c r="M2039" s="770"/>
      <c r="N2039" s="10"/>
      <c r="O2039" s="10"/>
      <c r="P2039" s="10"/>
      <c r="Q2039" s="10"/>
      <c r="R2039" s="10"/>
      <c r="S2039" s="10"/>
    </row>
    <row r="2040" spans="1:19" x14ac:dyDescent="0.25">
      <c r="A2040" s="10"/>
      <c r="B2040" s="10"/>
      <c r="C2040" s="10"/>
      <c r="D2040" s="10"/>
      <c r="E2040" s="10"/>
      <c r="F2040" s="10"/>
      <c r="G2040" s="10"/>
      <c r="H2040" s="770"/>
      <c r="I2040" s="10"/>
      <c r="J2040" s="10"/>
      <c r="K2040" s="10"/>
      <c r="L2040" s="10"/>
      <c r="M2040" s="770"/>
      <c r="N2040" s="10"/>
      <c r="O2040" s="10"/>
      <c r="P2040" s="10"/>
      <c r="Q2040" s="10"/>
      <c r="R2040" s="10"/>
      <c r="S2040" s="10"/>
    </row>
    <row r="2041" spans="1:19" x14ac:dyDescent="0.25">
      <c r="A2041" s="10"/>
      <c r="B2041" s="10"/>
      <c r="C2041" s="10"/>
      <c r="D2041" s="10"/>
      <c r="E2041" s="10"/>
      <c r="F2041" s="10"/>
      <c r="G2041" s="10"/>
      <c r="H2041" s="770"/>
      <c r="I2041" s="10"/>
      <c r="J2041" s="10"/>
      <c r="K2041" s="10"/>
      <c r="L2041" s="10"/>
      <c r="M2041" s="770"/>
      <c r="N2041" s="10"/>
      <c r="O2041" s="10"/>
      <c r="P2041" s="10"/>
      <c r="Q2041" s="10"/>
      <c r="R2041" s="10"/>
      <c r="S2041" s="10"/>
    </row>
    <row r="2042" spans="1:19" x14ac:dyDescent="0.25">
      <c r="A2042" s="10"/>
      <c r="B2042" s="10"/>
      <c r="C2042" s="10"/>
      <c r="D2042" s="10"/>
      <c r="E2042" s="10"/>
      <c r="F2042" s="10"/>
      <c r="G2042" s="10"/>
      <c r="H2042" s="770"/>
      <c r="I2042" s="10"/>
      <c r="J2042" s="10"/>
      <c r="K2042" s="10"/>
      <c r="L2042" s="10"/>
      <c r="M2042" s="770"/>
      <c r="N2042" s="10"/>
      <c r="O2042" s="10"/>
      <c r="P2042" s="10"/>
      <c r="Q2042" s="10"/>
      <c r="R2042" s="10"/>
      <c r="S2042" s="10"/>
    </row>
    <row r="2043" spans="1:19" x14ac:dyDescent="0.25">
      <c r="A2043" s="10"/>
      <c r="B2043" s="10"/>
      <c r="C2043" s="10"/>
      <c r="D2043" s="10"/>
      <c r="E2043" s="10"/>
      <c r="F2043" s="10"/>
      <c r="G2043" s="10"/>
      <c r="H2043" s="770"/>
      <c r="I2043" s="10"/>
      <c r="J2043" s="10"/>
      <c r="K2043" s="10"/>
      <c r="L2043" s="10"/>
      <c r="M2043" s="770"/>
      <c r="N2043" s="10"/>
      <c r="O2043" s="10"/>
      <c r="P2043" s="10"/>
      <c r="Q2043" s="10"/>
      <c r="R2043" s="10"/>
      <c r="S2043" s="10"/>
    </row>
    <row r="2044" spans="1:19" x14ac:dyDescent="0.25">
      <c r="A2044" s="10"/>
      <c r="B2044" s="10"/>
      <c r="C2044" s="10"/>
      <c r="D2044" s="10"/>
      <c r="E2044" s="10"/>
      <c r="F2044" s="10"/>
      <c r="G2044" s="10"/>
      <c r="H2044" s="770"/>
      <c r="I2044" s="10"/>
      <c r="J2044" s="10"/>
      <c r="K2044" s="10"/>
      <c r="L2044" s="10"/>
      <c r="M2044" s="770"/>
      <c r="N2044" s="10"/>
      <c r="O2044" s="10"/>
      <c r="P2044" s="10"/>
      <c r="Q2044" s="10"/>
      <c r="R2044" s="10"/>
      <c r="S2044" s="10"/>
    </row>
    <row r="2045" spans="1:19" x14ac:dyDescent="0.25">
      <c r="A2045" s="10"/>
      <c r="B2045" s="10"/>
      <c r="C2045" s="10"/>
      <c r="D2045" s="10"/>
      <c r="E2045" s="10"/>
      <c r="F2045" s="10"/>
      <c r="G2045" s="10"/>
      <c r="H2045" s="770"/>
      <c r="I2045" s="10"/>
      <c r="J2045" s="10"/>
      <c r="K2045" s="10"/>
      <c r="L2045" s="10"/>
      <c r="M2045" s="770"/>
      <c r="N2045" s="10"/>
      <c r="O2045" s="10"/>
      <c r="P2045" s="10"/>
      <c r="Q2045" s="10"/>
      <c r="R2045" s="10"/>
      <c r="S2045" s="10"/>
    </row>
    <row r="2046" spans="1:19" x14ac:dyDescent="0.25">
      <c r="A2046" s="10"/>
      <c r="B2046" s="10"/>
      <c r="C2046" s="10"/>
      <c r="D2046" s="10"/>
      <c r="E2046" s="10"/>
      <c r="F2046" s="10"/>
      <c r="G2046" s="10"/>
      <c r="H2046" s="770"/>
      <c r="I2046" s="10"/>
      <c r="J2046" s="10"/>
      <c r="K2046" s="10"/>
      <c r="L2046" s="10"/>
      <c r="M2046" s="770"/>
      <c r="N2046" s="10"/>
      <c r="O2046" s="10"/>
      <c r="P2046" s="10"/>
      <c r="Q2046" s="10"/>
      <c r="R2046" s="10"/>
      <c r="S2046" s="10"/>
    </row>
    <row r="2047" spans="1:19" x14ac:dyDescent="0.25">
      <c r="A2047" s="10"/>
      <c r="B2047" s="10"/>
      <c r="C2047" s="10"/>
      <c r="D2047" s="10"/>
      <c r="E2047" s="10"/>
      <c r="F2047" s="10"/>
      <c r="G2047" s="10"/>
      <c r="H2047" s="770"/>
      <c r="I2047" s="10"/>
      <c r="J2047" s="10"/>
      <c r="K2047" s="10"/>
      <c r="L2047" s="10"/>
      <c r="M2047" s="770"/>
      <c r="N2047" s="10"/>
      <c r="O2047" s="10"/>
      <c r="P2047" s="10"/>
      <c r="Q2047" s="10"/>
      <c r="R2047" s="10"/>
      <c r="S2047" s="10"/>
    </row>
    <row r="2048" spans="1:19" x14ac:dyDescent="0.25">
      <c r="A2048" s="10"/>
      <c r="B2048" s="10"/>
      <c r="C2048" s="10"/>
      <c r="D2048" s="10"/>
      <c r="E2048" s="10"/>
      <c r="F2048" s="10"/>
      <c r="G2048" s="10"/>
      <c r="H2048" s="770"/>
      <c r="I2048" s="10"/>
      <c r="J2048" s="10"/>
      <c r="K2048" s="10"/>
      <c r="L2048" s="10"/>
      <c r="M2048" s="770"/>
      <c r="N2048" s="10"/>
      <c r="O2048" s="10"/>
      <c r="P2048" s="10"/>
      <c r="Q2048" s="10"/>
      <c r="R2048" s="10"/>
      <c r="S2048" s="10"/>
    </row>
    <row r="2049" spans="1:19" x14ac:dyDescent="0.25">
      <c r="A2049" s="10"/>
      <c r="B2049" s="10"/>
      <c r="C2049" s="10"/>
      <c r="D2049" s="10"/>
      <c r="E2049" s="10"/>
      <c r="F2049" s="10"/>
      <c r="G2049" s="10"/>
      <c r="H2049" s="770"/>
      <c r="I2049" s="10"/>
      <c r="J2049" s="10"/>
      <c r="K2049" s="10"/>
      <c r="L2049" s="10"/>
      <c r="M2049" s="770"/>
      <c r="N2049" s="10"/>
      <c r="O2049" s="10"/>
      <c r="P2049" s="10"/>
      <c r="Q2049" s="10"/>
      <c r="R2049" s="10"/>
      <c r="S2049" s="10"/>
    </row>
    <row r="2050" spans="1:19" x14ac:dyDescent="0.25">
      <c r="A2050" s="10"/>
      <c r="B2050" s="10"/>
      <c r="C2050" s="10"/>
      <c r="D2050" s="10"/>
      <c r="E2050" s="10"/>
      <c r="F2050" s="10"/>
      <c r="G2050" s="10"/>
      <c r="H2050" s="770"/>
      <c r="I2050" s="10"/>
      <c r="J2050" s="10"/>
      <c r="K2050" s="10"/>
      <c r="L2050" s="10"/>
      <c r="M2050" s="770"/>
      <c r="N2050" s="10"/>
      <c r="O2050" s="10"/>
      <c r="P2050" s="10"/>
      <c r="Q2050" s="10"/>
      <c r="R2050" s="10"/>
      <c r="S2050" s="10"/>
    </row>
    <row r="2051" spans="1:19" x14ac:dyDescent="0.25">
      <c r="A2051" s="10"/>
      <c r="B2051" s="10"/>
      <c r="C2051" s="10"/>
      <c r="D2051" s="10"/>
      <c r="E2051" s="10"/>
      <c r="F2051" s="10"/>
      <c r="G2051" s="10"/>
      <c r="H2051" s="770"/>
      <c r="I2051" s="10"/>
      <c r="J2051" s="10"/>
      <c r="K2051" s="10"/>
      <c r="L2051" s="10"/>
      <c r="M2051" s="770"/>
      <c r="N2051" s="10"/>
      <c r="O2051" s="10"/>
      <c r="P2051" s="10"/>
      <c r="Q2051" s="10"/>
      <c r="R2051" s="10"/>
      <c r="S2051" s="10"/>
    </row>
    <row r="2052" spans="1:19" x14ac:dyDescent="0.25">
      <c r="A2052" s="10"/>
      <c r="B2052" s="10"/>
      <c r="C2052" s="10"/>
      <c r="D2052" s="10"/>
      <c r="E2052" s="10"/>
      <c r="F2052" s="10"/>
      <c r="G2052" s="10"/>
      <c r="H2052" s="770"/>
      <c r="I2052" s="10"/>
      <c r="J2052" s="10"/>
      <c r="K2052" s="10"/>
      <c r="L2052" s="10"/>
      <c r="M2052" s="770"/>
      <c r="N2052" s="10"/>
      <c r="O2052" s="10"/>
      <c r="P2052" s="10"/>
      <c r="Q2052" s="10"/>
      <c r="R2052" s="10"/>
      <c r="S2052" s="10"/>
    </row>
    <row r="2053" spans="1:19" x14ac:dyDescent="0.25">
      <c r="A2053" s="10"/>
      <c r="B2053" s="10"/>
      <c r="C2053" s="10"/>
      <c r="D2053" s="10"/>
      <c r="E2053" s="10"/>
      <c r="F2053" s="10"/>
      <c r="G2053" s="10"/>
      <c r="H2053" s="770"/>
      <c r="I2053" s="10"/>
      <c r="J2053" s="10"/>
      <c r="K2053" s="10"/>
      <c r="L2053" s="10"/>
      <c r="M2053" s="770"/>
      <c r="N2053" s="10"/>
      <c r="O2053" s="10"/>
      <c r="P2053" s="10"/>
      <c r="Q2053" s="10"/>
      <c r="R2053" s="10"/>
      <c r="S2053" s="10"/>
    </row>
    <row r="2054" spans="1:19" x14ac:dyDescent="0.25">
      <c r="A2054" s="10"/>
      <c r="B2054" s="10"/>
      <c r="C2054" s="10"/>
      <c r="D2054" s="10"/>
      <c r="E2054" s="10"/>
      <c r="F2054" s="10"/>
      <c r="G2054" s="10"/>
      <c r="H2054" s="770"/>
      <c r="I2054" s="10"/>
      <c r="J2054" s="10"/>
      <c r="K2054" s="10"/>
      <c r="L2054" s="10"/>
      <c r="M2054" s="770"/>
      <c r="N2054" s="10"/>
      <c r="O2054" s="10"/>
      <c r="P2054" s="10"/>
      <c r="Q2054" s="10"/>
      <c r="R2054" s="10"/>
      <c r="S2054" s="10"/>
    </row>
    <row r="2055" spans="1:19" x14ac:dyDescent="0.25">
      <c r="A2055" s="10"/>
      <c r="B2055" s="10"/>
      <c r="C2055" s="10"/>
      <c r="D2055" s="10"/>
      <c r="E2055" s="10"/>
      <c r="F2055" s="10"/>
      <c r="G2055" s="10"/>
      <c r="H2055" s="770"/>
      <c r="I2055" s="10"/>
      <c r="J2055" s="10"/>
      <c r="K2055" s="10"/>
      <c r="L2055" s="10"/>
      <c r="M2055" s="770"/>
      <c r="N2055" s="10"/>
      <c r="O2055" s="10"/>
      <c r="P2055" s="10"/>
      <c r="Q2055" s="10"/>
      <c r="R2055" s="10"/>
      <c r="S2055" s="10"/>
    </row>
    <row r="2056" spans="1:19" x14ac:dyDescent="0.25">
      <c r="A2056" s="10"/>
      <c r="B2056" s="10"/>
      <c r="C2056" s="10"/>
      <c r="D2056" s="10"/>
      <c r="E2056" s="10"/>
      <c r="F2056" s="10"/>
      <c r="G2056" s="10"/>
      <c r="H2056" s="770"/>
      <c r="I2056" s="10"/>
      <c r="J2056" s="10"/>
      <c r="K2056" s="10"/>
      <c r="L2056" s="10"/>
      <c r="M2056" s="770"/>
      <c r="N2056" s="10"/>
      <c r="O2056" s="10"/>
      <c r="P2056" s="10"/>
      <c r="Q2056" s="10"/>
      <c r="R2056" s="10"/>
      <c r="S2056" s="10"/>
    </row>
    <row r="2057" spans="1:19" x14ac:dyDescent="0.25">
      <c r="A2057" s="10"/>
      <c r="B2057" s="10"/>
      <c r="C2057" s="10"/>
      <c r="D2057" s="10"/>
      <c r="E2057" s="10"/>
      <c r="F2057" s="10"/>
      <c r="G2057" s="10"/>
      <c r="H2057" s="770"/>
      <c r="I2057" s="10"/>
      <c r="J2057" s="10"/>
      <c r="K2057" s="10"/>
      <c r="L2057" s="10"/>
      <c r="M2057" s="770"/>
      <c r="N2057" s="10"/>
      <c r="O2057" s="10"/>
      <c r="P2057" s="10"/>
      <c r="Q2057" s="10"/>
      <c r="R2057" s="10"/>
      <c r="S2057" s="10"/>
    </row>
    <row r="2058" spans="1:19" x14ac:dyDescent="0.25">
      <c r="A2058" s="10"/>
      <c r="B2058" s="10"/>
      <c r="C2058" s="10"/>
      <c r="D2058" s="10"/>
      <c r="E2058" s="10"/>
      <c r="F2058" s="10"/>
      <c r="G2058" s="10"/>
      <c r="H2058" s="770"/>
      <c r="I2058" s="10"/>
      <c r="J2058" s="10"/>
      <c r="K2058" s="10"/>
      <c r="L2058" s="10"/>
      <c r="M2058" s="770"/>
      <c r="N2058" s="10"/>
      <c r="O2058" s="10"/>
      <c r="P2058" s="10"/>
      <c r="Q2058" s="10"/>
      <c r="R2058" s="10"/>
      <c r="S2058" s="10"/>
    </row>
    <row r="2059" spans="1:19" x14ac:dyDescent="0.25">
      <c r="A2059" s="10"/>
      <c r="B2059" s="10"/>
      <c r="C2059" s="10"/>
      <c r="D2059" s="10"/>
      <c r="E2059" s="10"/>
      <c r="F2059" s="10"/>
      <c r="G2059" s="10"/>
      <c r="H2059" s="770"/>
      <c r="I2059" s="10"/>
      <c r="J2059" s="10"/>
      <c r="K2059" s="10"/>
      <c r="L2059" s="10"/>
      <c r="M2059" s="770"/>
      <c r="N2059" s="10"/>
      <c r="O2059" s="10"/>
      <c r="P2059" s="10"/>
      <c r="Q2059" s="10"/>
      <c r="R2059" s="10"/>
      <c r="S2059" s="10"/>
    </row>
    <row r="2060" spans="1:19" x14ac:dyDescent="0.25">
      <c r="A2060" s="10"/>
      <c r="B2060" s="10"/>
      <c r="C2060" s="10"/>
      <c r="D2060" s="10"/>
      <c r="E2060" s="10"/>
      <c r="F2060" s="10"/>
      <c r="G2060" s="10"/>
      <c r="H2060" s="770"/>
      <c r="I2060" s="10"/>
      <c r="J2060" s="10"/>
      <c r="K2060" s="10"/>
      <c r="L2060" s="10"/>
      <c r="M2060" s="770"/>
      <c r="N2060" s="10"/>
      <c r="O2060" s="10"/>
      <c r="P2060" s="10"/>
      <c r="Q2060" s="10"/>
      <c r="R2060" s="10"/>
      <c r="S2060" s="10"/>
    </row>
    <row r="2061" spans="1:19" x14ac:dyDescent="0.25">
      <c r="A2061" s="10"/>
      <c r="B2061" s="10"/>
      <c r="C2061" s="10"/>
      <c r="D2061" s="10"/>
      <c r="E2061" s="10"/>
      <c r="F2061" s="10"/>
      <c r="G2061" s="10"/>
      <c r="H2061" s="770"/>
      <c r="I2061" s="10"/>
      <c r="J2061" s="10"/>
      <c r="K2061" s="10"/>
      <c r="L2061" s="10"/>
      <c r="M2061" s="770"/>
      <c r="N2061" s="10"/>
      <c r="O2061" s="10"/>
      <c r="P2061" s="10"/>
      <c r="Q2061" s="10"/>
      <c r="R2061" s="10"/>
      <c r="S2061" s="10"/>
    </row>
    <row r="2062" spans="1:19" x14ac:dyDescent="0.25">
      <c r="A2062" s="10"/>
      <c r="B2062" s="10"/>
      <c r="C2062" s="10"/>
      <c r="D2062" s="10"/>
      <c r="E2062" s="10"/>
      <c r="F2062" s="10"/>
      <c r="G2062" s="10"/>
      <c r="H2062" s="770"/>
      <c r="I2062" s="10"/>
      <c r="J2062" s="10"/>
      <c r="K2062" s="10"/>
      <c r="L2062" s="10"/>
      <c r="M2062" s="770"/>
      <c r="N2062" s="10"/>
      <c r="O2062" s="10"/>
      <c r="P2062" s="10"/>
      <c r="Q2062" s="10"/>
      <c r="R2062" s="10"/>
      <c r="S2062" s="10"/>
    </row>
    <row r="2063" spans="1:19" x14ac:dyDescent="0.25">
      <c r="A2063" s="10"/>
      <c r="B2063" s="10"/>
      <c r="C2063" s="10"/>
      <c r="D2063" s="10"/>
      <c r="E2063" s="10"/>
      <c r="F2063" s="10"/>
      <c r="G2063" s="10"/>
      <c r="H2063" s="770"/>
      <c r="I2063" s="10"/>
      <c r="J2063" s="10"/>
      <c r="K2063" s="10"/>
      <c r="L2063" s="10"/>
      <c r="M2063" s="770"/>
      <c r="N2063" s="10"/>
      <c r="O2063" s="10"/>
      <c r="P2063" s="10"/>
      <c r="Q2063" s="10"/>
      <c r="R2063" s="10"/>
      <c r="S2063" s="10"/>
    </row>
    <row r="2064" spans="1:19" x14ac:dyDescent="0.25">
      <c r="A2064" s="10"/>
      <c r="B2064" s="10"/>
      <c r="C2064" s="10"/>
      <c r="D2064" s="10"/>
      <c r="E2064" s="10"/>
      <c r="F2064" s="10"/>
      <c r="G2064" s="10"/>
      <c r="H2064" s="770"/>
      <c r="I2064" s="10"/>
      <c r="J2064" s="10"/>
      <c r="K2064" s="10"/>
      <c r="L2064" s="10"/>
      <c r="M2064" s="770"/>
      <c r="N2064" s="10"/>
      <c r="O2064" s="10"/>
      <c r="P2064" s="10"/>
      <c r="Q2064" s="10"/>
      <c r="R2064" s="10"/>
      <c r="S2064" s="10"/>
    </row>
    <row r="2065" spans="1:19" x14ac:dyDescent="0.25">
      <c r="A2065" s="10"/>
      <c r="B2065" s="10"/>
      <c r="C2065" s="10"/>
      <c r="D2065" s="10"/>
      <c r="E2065" s="10"/>
      <c r="F2065" s="10"/>
      <c r="G2065" s="10"/>
      <c r="H2065" s="770"/>
      <c r="I2065" s="10"/>
      <c r="J2065" s="10"/>
      <c r="K2065" s="10"/>
      <c r="L2065" s="10"/>
      <c r="M2065" s="770"/>
      <c r="N2065" s="10"/>
      <c r="O2065" s="10"/>
      <c r="P2065" s="10"/>
      <c r="Q2065" s="10"/>
      <c r="R2065" s="10"/>
      <c r="S2065" s="10"/>
    </row>
    <row r="2066" spans="1:19" x14ac:dyDescent="0.25">
      <c r="A2066" s="10"/>
      <c r="B2066" s="10"/>
      <c r="C2066" s="10"/>
      <c r="D2066" s="10"/>
      <c r="E2066" s="10"/>
      <c r="F2066" s="10"/>
      <c r="G2066" s="10"/>
      <c r="H2066" s="770"/>
      <c r="I2066" s="10"/>
      <c r="J2066" s="10"/>
      <c r="K2066" s="10"/>
      <c r="L2066" s="10"/>
      <c r="M2066" s="770"/>
      <c r="N2066" s="10"/>
      <c r="O2066" s="10"/>
      <c r="P2066" s="10"/>
      <c r="Q2066" s="10"/>
      <c r="R2066" s="10"/>
      <c r="S2066" s="10"/>
    </row>
    <row r="2067" spans="1:19" x14ac:dyDescent="0.25">
      <c r="A2067" s="10"/>
      <c r="B2067" s="10"/>
      <c r="C2067" s="10"/>
      <c r="D2067" s="10"/>
      <c r="E2067" s="10"/>
      <c r="F2067" s="10"/>
      <c r="G2067" s="10"/>
      <c r="H2067" s="770"/>
      <c r="I2067" s="10"/>
      <c r="J2067" s="10"/>
      <c r="K2067" s="10"/>
      <c r="L2067" s="10"/>
      <c r="M2067" s="770"/>
      <c r="N2067" s="10"/>
      <c r="O2067" s="10"/>
      <c r="P2067" s="10"/>
      <c r="Q2067" s="10"/>
      <c r="R2067" s="10"/>
      <c r="S2067" s="10"/>
    </row>
    <row r="2068" spans="1:19" x14ac:dyDescent="0.25">
      <c r="A2068" s="10"/>
      <c r="B2068" s="10"/>
      <c r="C2068" s="10"/>
      <c r="D2068" s="10"/>
      <c r="E2068" s="10"/>
      <c r="F2068" s="10"/>
      <c r="G2068" s="10"/>
      <c r="H2068" s="770"/>
      <c r="I2068" s="10"/>
      <c r="J2068" s="10"/>
      <c r="K2068" s="10"/>
      <c r="L2068" s="10"/>
      <c r="M2068" s="770"/>
      <c r="N2068" s="10"/>
      <c r="O2068" s="10"/>
      <c r="P2068" s="10"/>
      <c r="Q2068" s="10"/>
      <c r="R2068" s="10"/>
      <c r="S2068" s="10"/>
    </row>
    <row r="2069" spans="1:19" x14ac:dyDescent="0.25">
      <c r="A2069" s="10"/>
      <c r="B2069" s="10"/>
      <c r="C2069" s="10"/>
      <c r="D2069" s="10"/>
      <c r="E2069" s="10"/>
      <c r="F2069" s="10"/>
      <c r="G2069" s="10"/>
      <c r="H2069" s="770"/>
      <c r="I2069" s="10"/>
      <c r="J2069" s="10"/>
      <c r="K2069" s="10"/>
      <c r="L2069" s="10"/>
      <c r="M2069" s="770"/>
      <c r="N2069" s="10"/>
      <c r="O2069" s="10"/>
      <c r="P2069" s="10"/>
      <c r="Q2069" s="10"/>
      <c r="R2069" s="10"/>
      <c r="S2069" s="10"/>
    </row>
    <row r="2070" spans="1:19" x14ac:dyDescent="0.25">
      <c r="A2070" s="10"/>
      <c r="B2070" s="10"/>
      <c r="C2070" s="10"/>
      <c r="D2070" s="10"/>
      <c r="E2070" s="10"/>
      <c r="F2070" s="10"/>
      <c r="G2070" s="10"/>
      <c r="H2070" s="770"/>
      <c r="I2070" s="10"/>
      <c r="J2070" s="10"/>
      <c r="K2070" s="10"/>
      <c r="L2070" s="10"/>
      <c r="M2070" s="770"/>
      <c r="N2070" s="10"/>
      <c r="O2070" s="10"/>
      <c r="P2070" s="10"/>
      <c r="Q2070" s="10"/>
      <c r="R2070" s="10"/>
      <c r="S2070" s="10"/>
    </row>
    <row r="2071" spans="1:19" x14ac:dyDescent="0.25">
      <c r="A2071" s="10"/>
      <c r="B2071" s="10"/>
      <c r="C2071" s="10"/>
      <c r="D2071" s="10"/>
      <c r="E2071" s="10"/>
      <c r="F2071" s="10"/>
      <c r="G2071" s="10"/>
      <c r="H2071" s="770"/>
      <c r="I2071" s="10"/>
      <c r="J2071" s="10"/>
      <c r="K2071" s="10"/>
      <c r="L2071" s="10"/>
      <c r="M2071" s="770"/>
      <c r="N2071" s="10"/>
      <c r="O2071" s="10"/>
      <c r="P2071" s="10"/>
      <c r="Q2071" s="10"/>
      <c r="R2071" s="10"/>
      <c r="S2071" s="10"/>
    </row>
    <row r="2072" spans="1:19" x14ac:dyDescent="0.25">
      <c r="A2072" s="10"/>
      <c r="B2072" s="10"/>
      <c r="C2072" s="10"/>
      <c r="D2072" s="10"/>
      <c r="E2072" s="10"/>
      <c r="F2072" s="10"/>
      <c r="G2072" s="10"/>
      <c r="H2072" s="770"/>
      <c r="I2072" s="10"/>
      <c r="J2072" s="10"/>
      <c r="K2072" s="10"/>
      <c r="L2072" s="10"/>
      <c r="M2072" s="770"/>
      <c r="N2072" s="10"/>
      <c r="O2072" s="10"/>
      <c r="P2072" s="10"/>
      <c r="Q2072" s="10"/>
      <c r="R2072" s="10"/>
      <c r="S2072" s="10"/>
    </row>
    <row r="2073" spans="1:19" x14ac:dyDescent="0.25">
      <c r="A2073" s="10"/>
      <c r="B2073" s="10"/>
      <c r="C2073" s="10"/>
      <c r="D2073" s="10"/>
      <c r="E2073" s="10"/>
      <c r="F2073" s="10"/>
      <c r="G2073" s="10"/>
      <c r="H2073" s="770"/>
      <c r="I2073" s="10"/>
      <c r="J2073" s="10"/>
      <c r="K2073" s="10"/>
      <c r="L2073" s="10"/>
      <c r="M2073" s="770"/>
      <c r="N2073" s="10"/>
      <c r="O2073" s="10"/>
      <c r="P2073" s="10"/>
      <c r="Q2073" s="10"/>
      <c r="R2073" s="10"/>
      <c r="S2073" s="10"/>
    </row>
    <row r="2074" spans="1:19" x14ac:dyDescent="0.25">
      <c r="A2074" s="10"/>
      <c r="B2074" s="10"/>
      <c r="C2074" s="10"/>
      <c r="D2074" s="10"/>
      <c r="E2074" s="10"/>
      <c r="F2074" s="10"/>
      <c r="G2074" s="10"/>
      <c r="H2074" s="770"/>
      <c r="I2074" s="10"/>
      <c r="J2074" s="10"/>
      <c r="K2074" s="10"/>
      <c r="L2074" s="10"/>
      <c r="M2074" s="770"/>
      <c r="N2074" s="10"/>
      <c r="O2074" s="10"/>
      <c r="P2074" s="10"/>
      <c r="Q2074" s="10"/>
      <c r="R2074" s="10"/>
      <c r="S2074" s="10"/>
    </row>
    <row r="2075" spans="1:19" x14ac:dyDescent="0.25">
      <c r="A2075" s="10"/>
      <c r="B2075" s="10"/>
      <c r="C2075" s="10"/>
      <c r="D2075" s="10"/>
      <c r="E2075" s="10"/>
      <c r="F2075" s="10"/>
      <c r="G2075" s="10"/>
      <c r="H2075" s="770"/>
      <c r="I2075" s="10"/>
      <c r="J2075" s="10"/>
      <c r="K2075" s="10"/>
      <c r="L2075" s="10"/>
      <c r="M2075" s="770"/>
      <c r="N2075" s="10"/>
      <c r="O2075" s="10"/>
      <c r="P2075" s="10"/>
      <c r="Q2075" s="10"/>
      <c r="R2075" s="10"/>
      <c r="S2075" s="10"/>
    </row>
    <row r="2076" spans="1:19" x14ac:dyDescent="0.25">
      <c r="A2076" s="10"/>
      <c r="B2076" s="10"/>
      <c r="C2076" s="10"/>
      <c r="D2076" s="10"/>
      <c r="E2076" s="10"/>
      <c r="F2076" s="10"/>
      <c r="G2076" s="10"/>
      <c r="H2076" s="770"/>
      <c r="I2076" s="10"/>
      <c r="J2076" s="10"/>
      <c r="K2076" s="10"/>
      <c r="L2076" s="10"/>
      <c r="M2076" s="770"/>
      <c r="N2076" s="10"/>
      <c r="O2076" s="10"/>
      <c r="P2076" s="10"/>
      <c r="Q2076" s="10"/>
      <c r="R2076" s="10"/>
      <c r="S2076" s="10"/>
    </row>
    <row r="2077" spans="1:19" x14ac:dyDescent="0.25">
      <c r="A2077" s="10"/>
      <c r="B2077" s="10"/>
      <c r="C2077" s="10"/>
      <c r="D2077" s="10"/>
      <c r="E2077" s="10"/>
      <c r="F2077" s="10"/>
      <c r="G2077" s="10"/>
      <c r="H2077" s="770"/>
      <c r="I2077" s="10"/>
      <c r="J2077" s="10"/>
      <c r="K2077" s="10"/>
      <c r="L2077" s="10"/>
      <c r="M2077" s="770"/>
      <c r="N2077" s="10"/>
      <c r="O2077" s="10"/>
      <c r="P2077" s="10"/>
      <c r="Q2077" s="10"/>
      <c r="R2077" s="10"/>
      <c r="S2077" s="10"/>
    </row>
    <row r="2078" spans="1:19" x14ac:dyDescent="0.25">
      <c r="A2078" s="10"/>
      <c r="B2078" s="10"/>
      <c r="C2078" s="10"/>
      <c r="D2078" s="10"/>
      <c r="E2078" s="10"/>
      <c r="F2078" s="10"/>
      <c r="G2078" s="10"/>
      <c r="H2078" s="770"/>
      <c r="I2078" s="10"/>
      <c r="J2078" s="10"/>
      <c r="K2078" s="10"/>
      <c r="L2078" s="10"/>
      <c r="M2078" s="770"/>
      <c r="N2078" s="10"/>
      <c r="O2078" s="10"/>
      <c r="P2078" s="10"/>
      <c r="Q2078" s="10"/>
      <c r="R2078" s="10"/>
      <c r="S2078" s="10"/>
    </row>
    <row r="2079" spans="1:19" x14ac:dyDescent="0.25">
      <c r="A2079" s="10"/>
      <c r="B2079" s="10"/>
      <c r="C2079" s="10"/>
      <c r="D2079" s="10"/>
      <c r="E2079" s="10"/>
      <c r="F2079" s="10"/>
      <c r="G2079" s="10"/>
      <c r="H2079" s="770"/>
      <c r="I2079" s="10"/>
      <c r="J2079" s="10"/>
      <c r="K2079" s="10"/>
      <c r="L2079" s="10"/>
      <c r="M2079" s="770"/>
      <c r="N2079" s="10"/>
      <c r="O2079" s="10"/>
      <c r="P2079" s="10"/>
      <c r="Q2079" s="10"/>
      <c r="R2079" s="10"/>
      <c r="S2079" s="10"/>
    </row>
    <row r="2080" spans="1:19" x14ac:dyDescent="0.25">
      <c r="A2080" s="10"/>
      <c r="B2080" s="10"/>
      <c r="C2080" s="10"/>
      <c r="D2080" s="10"/>
      <c r="E2080" s="10"/>
      <c r="F2080" s="10"/>
      <c r="G2080" s="10"/>
      <c r="H2080" s="770"/>
      <c r="I2080" s="10"/>
      <c r="J2080" s="10"/>
      <c r="K2080" s="10"/>
      <c r="L2080" s="10"/>
      <c r="M2080" s="770"/>
      <c r="N2080" s="10"/>
      <c r="O2080" s="10"/>
      <c r="P2080" s="10"/>
      <c r="Q2080" s="10"/>
      <c r="R2080" s="10"/>
      <c r="S2080" s="10"/>
    </row>
    <row r="2081" spans="1:19" x14ac:dyDescent="0.25">
      <c r="A2081" s="10"/>
      <c r="B2081" s="10"/>
      <c r="C2081" s="10"/>
      <c r="D2081" s="10"/>
      <c r="E2081" s="10"/>
      <c r="F2081" s="10"/>
      <c r="G2081" s="10"/>
      <c r="H2081" s="770"/>
      <c r="I2081" s="10"/>
      <c r="J2081" s="10"/>
      <c r="K2081" s="10"/>
      <c r="L2081" s="10"/>
      <c r="M2081" s="770"/>
      <c r="N2081" s="10"/>
      <c r="O2081" s="10"/>
      <c r="P2081" s="10"/>
      <c r="Q2081" s="10"/>
      <c r="R2081" s="10"/>
      <c r="S2081" s="10"/>
    </row>
    <row r="2082" spans="1:19" x14ac:dyDescent="0.25">
      <c r="A2082" s="10"/>
      <c r="B2082" s="10"/>
      <c r="C2082" s="10"/>
      <c r="D2082" s="10"/>
      <c r="E2082" s="10"/>
      <c r="F2082" s="10"/>
      <c r="G2082" s="10"/>
      <c r="H2082" s="770"/>
      <c r="I2082" s="10"/>
      <c r="J2082" s="10"/>
      <c r="K2082" s="10"/>
      <c r="L2082" s="10"/>
      <c r="M2082" s="770"/>
      <c r="N2082" s="10"/>
      <c r="O2082" s="10"/>
      <c r="P2082" s="10"/>
      <c r="Q2082" s="10"/>
      <c r="R2082" s="10"/>
      <c r="S2082" s="10"/>
    </row>
    <row r="2083" spans="1:19" x14ac:dyDescent="0.25">
      <c r="A2083" s="10"/>
      <c r="B2083" s="10"/>
      <c r="C2083" s="10"/>
      <c r="D2083" s="10"/>
      <c r="E2083" s="10"/>
      <c r="F2083" s="10"/>
      <c r="G2083" s="10"/>
      <c r="H2083" s="770"/>
      <c r="I2083" s="10"/>
      <c r="J2083" s="10"/>
      <c r="K2083" s="10"/>
      <c r="L2083" s="10"/>
      <c r="M2083" s="770"/>
      <c r="N2083" s="10"/>
      <c r="O2083" s="10"/>
      <c r="P2083" s="10"/>
      <c r="Q2083" s="10"/>
      <c r="R2083" s="10"/>
      <c r="S2083" s="10"/>
    </row>
    <row r="2084" spans="1:19" x14ac:dyDescent="0.25">
      <c r="A2084" s="10"/>
      <c r="B2084" s="10"/>
      <c r="C2084" s="10"/>
      <c r="D2084" s="10"/>
      <c r="E2084" s="10"/>
      <c r="F2084" s="10"/>
      <c r="G2084" s="10"/>
      <c r="H2084" s="770"/>
      <c r="I2084" s="10"/>
      <c r="J2084" s="10"/>
      <c r="K2084" s="10"/>
      <c r="L2084" s="10"/>
      <c r="M2084" s="770"/>
      <c r="N2084" s="10"/>
      <c r="O2084" s="10"/>
      <c r="P2084" s="10"/>
      <c r="Q2084" s="10"/>
      <c r="R2084" s="10"/>
      <c r="S2084" s="10"/>
    </row>
    <row r="2085" spans="1:19" x14ac:dyDescent="0.25">
      <c r="A2085" s="10"/>
      <c r="B2085" s="10"/>
      <c r="C2085" s="10"/>
      <c r="D2085" s="10"/>
      <c r="E2085" s="10"/>
      <c r="F2085" s="10"/>
      <c r="G2085" s="10"/>
      <c r="H2085" s="770"/>
      <c r="I2085" s="10"/>
      <c r="J2085" s="10"/>
      <c r="K2085" s="10"/>
      <c r="L2085" s="10"/>
      <c r="M2085" s="770"/>
      <c r="N2085" s="10"/>
      <c r="O2085" s="10"/>
      <c r="P2085" s="10"/>
      <c r="Q2085" s="10"/>
      <c r="R2085" s="10"/>
      <c r="S2085" s="10"/>
    </row>
    <row r="2086" spans="1:19" x14ac:dyDescent="0.25">
      <c r="A2086" s="10"/>
      <c r="B2086" s="10"/>
      <c r="C2086" s="10"/>
      <c r="D2086" s="10"/>
      <c r="E2086" s="10"/>
      <c r="F2086" s="10"/>
      <c r="G2086" s="10"/>
      <c r="H2086" s="770"/>
      <c r="I2086" s="10"/>
      <c r="J2086" s="10"/>
      <c r="K2086" s="10"/>
      <c r="L2086" s="10"/>
      <c r="M2086" s="770"/>
      <c r="N2086" s="10"/>
      <c r="O2086" s="10"/>
      <c r="P2086" s="10"/>
      <c r="Q2086" s="10"/>
      <c r="R2086" s="10"/>
      <c r="S2086" s="10"/>
    </row>
    <row r="2087" spans="1:19" x14ac:dyDescent="0.25">
      <c r="A2087" s="10"/>
      <c r="B2087" s="10"/>
      <c r="C2087" s="10"/>
      <c r="D2087" s="10"/>
      <c r="E2087" s="10"/>
      <c r="F2087" s="10"/>
      <c r="G2087" s="10"/>
      <c r="H2087" s="770"/>
      <c r="I2087" s="10"/>
      <c r="J2087" s="10"/>
      <c r="K2087" s="10"/>
      <c r="L2087" s="10"/>
      <c r="M2087" s="770"/>
      <c r="N2087" s="10"/>
      <c r="O2087" s="10"/>
      <c r="P2087" s="10"/>
      <c r="Q2087" s="10"/>
      <c r="R2087" s="10"/>
      <c r="S2087" s="10"/>
    </row>
    <row r="2088" spans="1:19" x14ac:dyDescent="0.25">
      <c r="A2088" s="10"/>
      <c r="B2088" s="10"/>
      <c r="C2088" s="10"/>
      <c r="D2088" s="10"/>
      <c r="E2088" s="10"/>
      <c r="F2088" s="10"/>
      <c r="G2088" s="10"/>
      <c r="H2088" s="770"/>
      <c r="I2088" s="10"/>
      <c r="J2088" s="10"/>
      <c r="K2088" s="10"/>
      <c r="L2088" s="10"/>
      <c r="M2088" s="770"/>
      <c r="N2088" s="10"/>
      <c r="O2088" s="10"/>
      <c r="P2088" s="10"/>
      <c r="Q2088" s="10"/>
      <c r="R2088" s="10"/>
      <c r="S2088" s="10"/>
    </row>
    <row r="2089" spans="1:19" x14ac:dyDescent="0.25">
      <c r="A2089" s="10"/>
      <c r="B2089" s="10"/>
      <c r="C2089" s="10"/>
      <c r="D2089" s="10"/>
      <c r="E2089" s="10"/>
      <c r="F2089" s="10"/>
      <c r="G2089" s="10"/>
      <c r="H2089" s="770"/>
      <c r="I2089" s="10"/>
      <c r="J2089" s="10"/>
      <c r="K2089" s="10"/>
      <c r="L2089" s="10"/>
      <c r="M2089" s="770"/>
      <c r="N2089" s="10"/>
      <c r="O2089" s="10"/>
      <c r="P2089" s="10"/>
      <c r="Q2089" s="10"/>
      <c r="R2089" s="10"/>
      <c r="S2089" s="10"/>
    </row>
    <row r="2090" spans="1:19" x14ac:dyDescent="0.25">
      <c r="A2090" s="10"/>
      <c r="B2090" s="10"/>
      <c r="C2090" s="10"/>
      <c r="D2090" s="10"/>
      <c r="E2090" s="10"/>
      <c r="F2090" s="10"/>
      <c r="G2090" s="10"/>
      <c r="H2090" s="770"/>
      <c r="I2090" s="10"/>
      <c r="J2090" s="10"/>
      <c r="K2090" s="10"/>
      <c r="L2090" s="10"/>
      <c r="M2090" s="770"/>
      <c r="N2090" s="10"/>
      <c r="O2090" s="10"/>
      <c r="P2090" s="10"/>
      <c r="Q2090" s="10"/>
      <c r="R2090" s="10"/>
      <c r="S2090" s="10"/>
    </row>
    <row r="2091" spans="1:19" x14ac:dyDescent="0.25">
      <c r="A2091" s="10"/>
      <c r="B2091" s="10"/>
      <c r="C2091" s="10"/>
      <c r="D2091" s="10"/>
      <c r="E2091" s="10"/>
      <c r="F2091" s="10"/>
      <c r="G2091" s="10"/>
      <c r="H2091" s="770"/>
      <c r="I2091" s="10"/>
      <c r="J2091" s="10"/>
      <c r="K2091" s="10"/>
      <c r="L2091" s="10"/>
      <c r="M2091" s="770"/>
      <c r="N2091" s="10"/>
      <c r="O2091" s="10"/>
      <c r="P2091" s="10"/>
      <c r="Q2091" s="10"/>
      <c r="R2091" s="10"/>
      <c r="S2091" s="10"/>
    </row>
    <row r="2092" spans="1:19" x14ac:dyDescent="0.25">
      <c r="A2092" s="10"/>
      <c r="B2092" s="10"/>
      <c r="C2092" s="10"/>
      <c r="D2092" s="10"/>
      <c r="E2092" s="10"/>
      <c r="F2092" s="10"/>
      <c r="G2092" s="10"/>
      <c r="H2092" s="770"/>
      <c r="I2092" s="10"/>
      <c r="J2092" s="10"/>
      <c r="K2092" s="10"/>
      <c r="L2092" s="10"/>
      <c r="M2092" s="770"/>
      <c r="N2092" s="10"/>
      <c r="O2092" s="10"/>
      <c r="P2092" s="10"/>
      <c r="Q2092" s="10"/>
      <c r="R2092" s="10"/>
      <c r="S2092" s="10"/>
    </row>
    <row r="2093" spans="1:19" x14ac:dyDescent="0.25">
      <c r="A2093" s="10"/>
      <c r="B2093" s="10"/>
      <c r="C2093" s="10"/>
      <c r="D2093" s="10"/>
      <c r="E2093" s="10"/>
      <c r="F2093" s="10"/>
      <c r="G2093" s="10"/>
      <c r="H2093" s="770"/>
      <c r="I2093" s="10"/>
      <c r="J2093" s="10"/>
      <c r="K2093" s="10"/>
      <c r="L2093" s="10"/>
      <c r="M2093" s="770"/>
      <c r="N2093" s="10"/>
      <c r="O2093" s="10"/>
      <c r="P2093" s="10"/>
      <c r="Q2093" s="10"/>
      <c r="R2093" s="10"/>
      <c r="S2093" s="10"/>
    </row>
    <row r="2094" spans="1:19" x14ac:dyDescent="0.25">
      <c r="A2094" s="10"/>
      <c r="B2094" s="10"/>
      <c r="C2094" s="10"/>
      <c r="D2094" s="10"/>
      <c r="E2094" s="10"/>
      <c r="F2094" s="10"/>
      <c r="G2094" s="10"/>
      <c r="H2094" s="770"/>
      <c r="I2094" s="10"/>
      <c r="J2094" s="10"/>
      <c r="K2094" s="10"/>
      <c r="L2094" s="10"/>
      <c r="M2094" s="770"/>
      <c r="N2094" s="10"/>
      <c r="O2094" s="10"/>
      <c r="P2094" s="10"/>
      <c r="Q2094" s="10"/>
      <c r="R2094" s="10"/>
      <c r="S2094" s="10"/>
    </row>
    <row r="2095" spans="1:19" x14ac:dyDescent="0.25">
      <c r="A2095" s="10"/>
      <c r="B2095" s="10"/>
      <c r="C2095" s="10"/>
      <c r="D2095" s="10"/>
      <c r="E2095" s="10"/>
      <c r="F2095" s="10"/>
      <c r="G2095" s="10"/>
      <c r="H2095" s="770"/>
      <c r="I2095" s="10"/>
      <c r="J2095" s="10"/>
      <c r="K2095" s="10"/>
      <c r="L2095" s="10"/>
      <c r="M2095" s="770"/>
      <c r="N2095" s="10"/>
      <c r="O2095" s="10"/>
      <c r="P2095" s="10"/>
      <c r="Q2095" s="10"/>
      <c r="R2095" s="10"/>
      <c r="S2095" s="10"/>
    </row>
    <row r="2096" spans="1:19" x14ac:dyDescent="0.25">
      <c r="A2096" s="10"/>
      <c r="B2096" s="10"/>
      <c r="C2096" s="10"/>
      <c r="D2096" s="10"/>
      <c r="E2096" s="10"/>
      <c r="F2096" s="10"/>
      <c r="G2096" s="10"/>
      <c r="H2096" s="770"/>
      <c r="I2096" s="10"/>
      <c r="J2096" s="10"/>
      <c r="K2096" s="10"/>
      <c r="L2096" s="10"/>
      <c r="M2096" s="770"/>
      <c r="N2096" s="10"/>
      <c r="O2096" s="10"/>
      <c r="P2096" s="10"/>
      <c r="Q2096" s="10"/>
      <c r="R2096" s="10"/>
      <c r="S2096" s="10"/>
    </row>
    <row r="2097" spans="1:19" x14ac:dyDescent="0.25">
      <c r="A2097" s="10"/>
      <c r="B2097" s="10"/>
      <c r="C2097" s="10"/>
      <c r="D2097" s="10"/>
      <c r="E2097" s="10"/>
      <c r="F2097" s="10"/>
      <c r="G2097" s="10"/>
      <c r="H2097" s="770"/>
      <c r="I2097" s="10"/>
      <c r="J2097" s="10"/>
      <c r="K2097" s="10"/>
      <c r="L2097" s="10"/>
      <c r="M2097" s="770"/>
      <c r="N2097" s="10"/>
      <c r="O2097" s="10"/>
      <c r="P2097" s="10"/>
      <c r="Q2097" s="10"/>
      <c r="R2097" s="10"/>
      <c r="S2097" s="10"/>
    </row>
    <row r="2098" spans="1:19" x14ac:dyDescent="0.25">
      <c r="A2098" s="10"/>
      <c r="B2098" s="10"/>
      <c r="C2098" s="10"/>
      <c r="D2098" s="10"/>
      <c r="E2098" s="10"/>
      <c r="F2098" s="10"/>
      <c r="G2098" s="10"/>
      <c r="H2098" s="770"/>
      <c r="I2098" s="10"/>
      <c r="J2098" s="10"/>
      <c r="K2098" s="10"/>
      <c r="L2098" s="10"/>
      <c r="M2098" s="770"/>
      <c r="N2098" s="10"/>
      <c r="O2098" s="10"/>
      <c r="P2098" s="10"/>
      <c r="Q2098" s="10"/>
      <c r="R2098" s="10"/>
      <c r="S2098" s="10"/>
    </row>
    <row r="2099" spans="1:19" x14ac:dyDescent="0.25">
      <c r="A2099" s="10"/>
      <c r="B2099" s="10"/>
      <c r="C2099" s="10"/>
      <c r="D2099" s="10"/>
      <c r="E2099" s="10"/>
      <c r="F2099" s="10"/>
      <c r="G2099" s="10"/>
      <c r="H2099" s="770"/>
      <c r="I2099" s="10"/>
      <c r="J2099" s="10"/>
      <c r="K2099" s="10"/>
      <c r="L2099" s="10"/>
      <c r="M2099" s="770"/>
      <c r="N2099" s="10"/>
      <c r="O2099" s="10"/>
      <c r="P2099" s="10"/>
      <c r="Q2099" s="10"/>
      <c r="R2099" s="10"/>
      <c r="S2099" s="10"/>
    </row>
    <row r="2100" spans="1:19" x14ac:dyDescent="0.25">
      <c r="A2100" s="10"/>
      <c r="B2100" s="10"/>
      <c r="C2100" s="10"/>
      <c r="D2100" s="10"/>
      <c r="E2100" s="10"/>
      <c r="F2100" s="10"/>
      <c r="G2100" s="10"/>
      <c r="H2100" s="770"/>
      <c r="I2100" s="10"/>
      <c r="J2100" s="10"/>
      <c r="K2100" s="10"/>
      <c r="L2100" s="10"/>
      <c r="M2100" s="770"/>
      <c r="N2100" s="10"/>
      <c r="O2100" s="10"/>
      <c r="P2100" s="10"/>
      <c r="Q2100" s="10"/>
      <c r="R2100" s="10"/>
      <c r="S2100" s="10"/>
    </row>
    <row r="2101" spans="1:19" x14ac:dyDescent="0.25">
      <c r="A2101" s="10"/>
      <c r="B2101" s="10"/>
      <c r="C2101" s="10"/>
      <c r="D2101" s="10"/>
      <c r="E2101" s="10"/>
      <c r="F2101" s="10"/>
      <c r="G2101" s="10"/>
      <c r="H2101" s="770"/>
      <c r="I2101" s="10"/>
      <c r="J2101" s="10"/>
      <c r="K2101" s="10"/>
      <c r="L2101" s="10"/>
      <c r="M2101" s="770"/>
      <c r="N2101" s="10"/>
      <c r="O2101" s="10"/>
      <c r="P2101" s="10"/>
      <c r="Q2101" s="10"/>
      <c r="R2101" s="10"/>
      <c r="S2101" s="10"/>
    </row>
    <row r="2102" spans="1:19" x14ac:dyDescent="0.25">
      <c r="A2102" s="10"/>
      <c r="B2102" s="10"/>
      <c r="C2102" s="10"/>
      <c r="D2102" s="10"/>
      <c r="E2102" s="10"/>
      <c r="F2102" s="10"/>
      <c r="G2102" s="10"/>
      <c r="H2102" s="770"/>
      <c r="I2102" s="10"/>
      <c r="J2102" s="10"/>
      <c r="K2102" s="10"/>
      <c r="L2102" s="10"/>
      <c r="M2102" s="770"/>
      <c r="N2102" s="10"/>
      <c r="O2102" s="10"/>
      <c r="P2102" s="10"/>
      <c r="Q2102" s="10"/>
      <c r="R2102" s="10"/>
      <c r="S2102" s="10"/>
    </row>
    <row r="2103" spans="1:19" x14ac:dyDescent="0.25">
      <c r="A2103" s="10"/>
      <c r="B2103" s="10"/>
      <c r="C2103" s="10"/>
      <c r="D2103" s="10"/>
      <c r="E2103" s="10"/>
      <c r="F2103" s="10"/>
      <c r="G2103" s="10"/>
      <c r="H2103" s="770"/>
      <c r="I2103" s="10"/>
      <c r="J2103" s="10"/>
      <c r="K2103" s="10"/>
      <c r="L2103" s="10"/>
      <c r="M2103" s="770"/>
      <c r="N2103" s="10"/>
      <c r="O2103" s="10"/>
      <c r="P2103" s="10"/>
      <c r="Q2103" s="10"/>
      <c r="R2103" s="10"/>
      <c r="S2103" s="10"/>
    </row>
    <row r="2104" spans="1:19" x14ac:dyDescent="0.25">
      <c r="A2104" s="10"/>
      <c r="B2104" s="10"/>
      <c r="C2104" s="10"/>
      <c r="D2104" s="10"/>
      <c r="E2104" s="10"/>
      <c r="F2104" s="10"/>
      <c r="G2104" s="10"/>
      <c r="H2104" s="770"/>
      <c r="I2104" s="10"/>
      <c r="J2104" s="10"/>
      <c r="K2104" s="10"/>
      <c r="L2104" s="10"/>
      <c r="M2104" s="770"/>
      <c r="N2104" s="10"/>
      <c r="O2104" s="10"/>
      <c r="P2104" s="10"/>
      <c r="Q2104" s="10"/>
      <c r="R2104" s="10"/>
      <c r="S2104" s="10"/>
    </row>
    <row r="2105" spans="1:19" x14ac:dyDescent="0.25">
      <c r="A2105" s="10"/>
      <c r="B2105" s="10"/>
      <c r="C2105" s="10"/>
      <c r="D2105" s="10"/>
      <c r="E2105" s="10"/>
      <c r="F2105" s="10"/>
      <c r="G2105" s="10"/>
      <c r="H2105" s="770"/>
      <c r="I2105" s="10"/>
      <c r="J2105" s="10"/>
      <c r="K2105" s="10"/>
      <c r="L2105" s="10"/>
      <c r="M2105" s="770"/>
      <c r="N2105" s="10"/>
      <c r="O2105" s="10"/>
      <c r="P2105" s="10"/>
      <c r="Q2105" s="10"/>
      <c r="R2105" s="10"/>
      <c r="S2105" s="10"/>
    </row>
    <row r="2106" spans="1:19" x14ac:dyDescent="0.25">
      <c r="A2106" s="10"/>
      <c r="B2106" s="10"/>
      <c r="C2106" s="10"/>
      <c r="D2106" s="10"/>
      <c r="E2106" s="10"/>
      <c r="F2106" s="10"/>
      <c r="G2106" s="10"/>
      <c r="H2106" s="770"/>
      <c r="I2106" s="10"/>
      <c r="J2106" s="10"/>
      <c r="K2106" s="10"/>
      <c r="L2106" s="10"/>
      <c r="M2106" s="770"/>
      <c r="N2106" s="10"/>
      <c r="O2106" s="10"/>
      <c r="P2106" s="10"/>
      <c r="Q2106" s="10"/>
      <c r="R2106" s="10"/>
      <c r="S2106" s="10"/>
    </row>
    <row r="2107" spans="1:19" x14ac:dyDescent="0.25">
      <c r="A2107" s="10"/>
      <c r="B2107" s="10"/>
      <c r="C2107" s="10"/>
      <c r="D2107" s="10"/>
      <c r="E2107" s="10"/>
      <c r="F2107" s="10"/>
      <c r="G2107" s="10"/>
      <c r="H2107" s="770"/>
      <c r="I2107" s="10"/>
      <c r="J2107" s="10"/>
      <c r="K2107" s="10"/>
      <c r="L2107" s="10"/>
      <c r="M2107" s="770"/>
      <c r="N2107" s="10"/>
      <c r="O2107" s="10"/>
      <c r="P2107" s="10"/>
      <c r="Q2107" s="10"/>
      <c r="R2107" s="10"/>
      <c r="S2107" s="10"/>
    </row>
    <row r="2108" spans="1:19" x14ac:dyDescent="0.25">
      <c r="A2108" s="10"/>
      <c r="B2108" s="10"/>
      <c r="C2108" s="10"/>
      <c r="D2108" s="10"/>
      <c r="E2108" s="10"/>
      <c r="F2108" s="10"/>
      <c r="G2108" s="10"/>
      <c r="H2108" s="770"/>
      <c r="I2108" s="10"/>
      <c r="J2108" s="10"/>
      <c r="K2108" s="10"/>
      <c r="L2108" s="10"/>
      <c r="M2108" s="770"/>
      <c r="N2108" s="10"/>
      <c r="O2108" s="10"/>
      <c r="P2108" s="10"/>
      <c r="Q2108" s="10"/>
      <c r="R2108" s="10"/>
      <c r="S2108" s="10"/>
    </row>
    <row r="2109" spans="1:19" x14ac:dyDescent="0.25">
      <c r="A2109" s="10"/>
      <c r="B2109" s="10"/>
      <c r="C2109" s="10"/>
      <c r="D2109" s="10"/>
      <c r="E2109" s="10"/>
      <c r="F2109" s="10"/>
      <c r="G2109" s="10"/>
      <c r="H2109" s="770"/>
      <c r="I2109" s="10"/>
      <c r="J2109" s="10"/>
      <c r="K2109" s="10"/>
      <c r="L2109" s="10"/>
      <c r="M2109" s="770"/>
      <c r="N2109" s="10"/>
      <c r="O2109" s="10"/>
      <c r="P2109" s="10"/>
      <c r="Q2109" s="10"/>
      <c r="R2109" s="10"/>
      <c r="S2109" s="10"/>
    </row>
    <row r="2110" spans="1:19" x14ac:dyDescent="0.25">
      <c r="A2110" s="10"/>
      <c r="B2110" s="10"/>
      <c r="C2110" s="10"/>
      <c r="D2110" s="10"/>
      <c r="E2110" s="10"/>
      <c r="F2110" s="10"/>
      <c r="G2110" s="10"/>
      <c r="H2110" s="770"/>
      <c r="I2110" s="10"/>
      <c r="J2110" s="10"/>
      <c r="K2110" s="10"/>
      <c r="L2110" s="10"/>
      <c r="M2110" s="770"/>
      <c r="N2110" s="10"/>
      <c r="O2110" s="10"/>
      <c r="P2110" s="10"/>
      <c r="Q2110" s="10"/>
      <c r="R2110" s="10"/>
      <c r="S2110" s="10"/>
    </row>
    <row r="2111" spans="1:19" x14ac:dyDescent="0.25">
      <c r="A2111" s="10"/>
      <c r="B2111" s="10"/>
      <c r="C2111" s="10"/>
      <c r="D2111" s="10"/>
      <c r="E2111" s="10"/>
      <c r="F2111" s="10"/>
      <c r="G2111" s="10"/>
      <c r="H2111" s="770"/>
      <c r="I2111" s="10"/>
      <c r="J2111" s="10"/>
      <c r="K2111" s="10"/>
      <c r="L2111" s="10"/>
      <c r="M2111" s="770"/>
      <c r="N2111" s="10"/>
      <c r="O2111" s="10"/>
      <c r="P2111" s="10"/>
      <c r="Q2111" s="10"/>
      <c r="R2111" s="10"/>
      <c r="S2111" s="10"/>
    </row>
    <row r="2112" spans="1:19" x14ac:dyDescent="0.25">
      <c r="A2112" s="10"/>
      <c r="B2112" s="10"/>
      <c r="C2112" s="10"/>
      <c r="D2112" s="10"/>
      <c r="E2112" s="10"/>
      <c r="F2112" s="10"/>
      <c r="G2112" s="10"/>
      <c r="H2112" s="770"/>
      <c r="I2112" s="10"/>
      <c r="J2112" s="10"/>
      <c r="K2112" s="10"/>
      <c r="L2112" s="10"/>
      <c r="M2112" s="770"/>
      <c r="N2112" s="10"/>
      <c r="O2112" s="10"/>
      <c r="P2112" s="10"/>
      <c r="Q2112" s="10"/>
      <c r="R2112" s="10"/>
      <c r="S2112" s="10"/>
    </row>
    <row r="2113" spans="1:19" x14ac:dyDescent="0.25">
      <c r="A2113" s="10"/>
      <c r="B2113" s="10"/>
      <c r="C2113" s="10"/>
      <c r="D2113" s="10"/>
      <c r="E2113" s="10"/>
      <c r="F2113" s="10"/>
      <c r="G2113" s="10"/>
      <c r="H2113" s="770"/>
      <c r="I2113" s="10"/>
      <c r="J2113" s="10"/>
      <c r="K2113" s="10"/>
      <c r="L2113" s="10"/>
      <c r="M2113" s="770"/>
      <c r="N2113" s="10"/>
      <c r="O2113" s="10"/>
      <c r="P2113" s="10"/>
      <c r="Q2113" s="10"/>
      <c r="R2113" s="10"/>
      <c r="S2113" s="10"/>
    </row>
    <row r="2114" spans="1:19" x14ac:dyDescent="0.25">
      <c r="A2114" s="10"/>
      <c r="B2114" s="10"/>
      <c r="C2114" s="10"/>
      <c r="D2114" s="10"/>
      <c r="E2114" s="10"/>
      <c r="F2114" s="10"/>
      <c r="G2114" s="10"/>
      <c r="H2114" s="770"/>
      <c r="I2114" s="10"/>
      <c r="J2114" s="10"/>
      <c r="K2114" s="10"/>
      <c r="L2114" s="10"/>
      <c r="M2114" s="770"/>
      <c r="N2114" s="10"/>
      <c r="O2114" s="10"/>
      <c r="P2114" s="10"/>
      <c r="Q2114" s="10"/>
      <c r="R2114" s="10"/>
      <c r="S2114" s="10"/>
    </row>
    <row r="2115" spans="1:19" x14ac:dyDescent="0.25">
      <c r="A2115" s="10"/>
      <c r="B2115" s="10"/>
      <c r="C2115" s="10"/>
      <c r="D2115" s="10"/>
      <c r="E2115" s="10"/>
      <c r="F2115" s="10"/>
      <c r="G2115" s="10"/>
      <c r="H2115" s="770"/>
      <c r="I2115" s="10"/>
      <c r="J2115" s="10"/>
      <c r="K2115" s="10"/>
      <c r="L2115" s="10"/>
      <c r="M2115" s="770"/>
      <c r="N2115" s="10"/>
      <c r="O2115" s="10"/>
      <c r="P2115" s="10"/>
      <c r="Q2115" s="10"/>
      <c r="R2115" s="10"/>
      <c r="S2115" s="10"/>
    </row>
    <row r="2116" spans="1:19" x14ac:dyDescent="0.25">
      <c r="A2116" s="10"/>
      <c r="B2116" s="10"/>
      <c r="C2116" s="10"/>
      <c r="D2116" s="10"/>
      <c r="E2116" s="10"/>
      <c r="F2116" s="10"/>
      <c r="G2116" s="10"/>
      <c r="H2116" s="770"/>
      <c r="I2116" s="10"/>
      <c r="J2116" s="10"/>
      <c r="K2116" s="10"/>
      <c r="L2116" s="10"/>
      <c r="M2116" s="770"/>
      <c r="N2116" s="10"/>
      <c r="O2116" s="10"/>
      <c r="P2116" s="10"/>
      <c r="Q2116" s="10"/>
      <c r="R2116" s="10"/>
      <c r="S2116" s="10"/>
    </row>
    <row r="2117" spans="1:19" x14ac:dyDescent="0.25">
      <c r="A2117" s="10"/>
      <c r="B2117" s="10"/>
      <c r="C2117" s="10"/>
      <c r="D2117" s="10"/>
      <c r="E2117" s="10"/>
      <c r="F2117" s="10"/>
      <c r="G2117" s="10"/>
      <c r="H2117" s="770"/>
      <c r="I2117" s="10"/>
      <c r="J2117" s="10"/>
      <c r="K2117" s="10"/>
      <c r="L2117" s="10"/>
      <c r="M2117" s="770"/>
      <c r="N2117" s="10"/>
      <c r="O2117" s="10"/>
      <c r="P2117" s="10"/>
      <c r="Q2117" s="10"/>
      <c r="R2117" s="10"/>
      <c r="S2117" s="10"/>
    </row>
    <row r="2118" spans="1:19" x14ac:dyDescent="0.25">
      <c r="A2118" s="10"/>
      <c r="B2118" s="10"/>
      <c r="C2118" s="10"/>
      <c r="D2118" s="10"/>
      <c r="E2118" s="10"/>
      <c r="F2118" s="10"/>
      <c r="G2118" s="10"/>
      <c r="H2118" s="770"/>
      <c r="I2118" s="10"/>
      <c r="J2118" s="10"/>
      <c r="K2118" s="10"/>
      <c r="L2118" s="10"/>
      <c r="M2118" s="770"/>
      <c r="N2118" s="10"/>
      <c r="O2118" s="10"/>
      <c r="P2118" s="10"/>
      <c r="Q2118" s="10"/>
      <c r="R2118" s="10"/>
      <c r="S2118" s="10"/>
    </row>
    <row r="2119" spans="1:19" x14ac:dyDescent="0.25">
      <c r="A2119" s="10"/>
      <c r="B2119" s="10"/>
      <c r="C2119" s="10"/>
      <c r="D2119" s="10"/>
      <c r="E2119" s="10"/>
      <c r="F2119" s="10"/>
      <c r="G2119" s="10"/>
      <c r="H2119" s="770"/>
      <c r="I2119" s="10"/>
      <c r="J2119" s="10"/>
      <c r="K2119" s="10"/>
      <c r="L2119" s="10"/>
      <c r="M2119" s="770"/>
      <c r="N2119" s="10"/>
      <c r="O2119" s="10"/>
      <c r="P2119" s="10"/>
      <c r="Q2119" s="10"/>
      <c r="R2119" s="10"/>
      <c r="S2119" s="10"/>
    </row>
    <row r="2120" spans="1:19" x14ac:dyDescent="0.25">
      <c r="A2120" s="10"/>
      <c r="B2120" s="10"/>
      <c r="C2120" s="10"/>
      <c r="D2120" s="10"/>
      <c r="E2120" s="10"/>
      <c r="F2120" s="10"/>
      <c r="G2120" s="10"/>
      <c r="H2120" s="770"/>
      <c r="I2120" s="10"/>
      <c r="J2120" s="10"/>
      <c r="K2120" s="10"/>
      <c r="L2120" s="10"/>
      <c r="M2120" s="770"/>
      <c r="N2120" s="10"/>
      <c r="O2120" s="10"/>
      <c r="P2120" s="10"/>
      <c r="Q2120" s="10"/>
      <c r="R2120" s="10"/>
      <c r="S2120" s="10"/>
    </row>
    <row r="2121" spans="1:19" x14ac:dyDescent="0.25">
      <c r="A2121" s="10"/>
      <c r="B2121" s="10"/>
      <c r="C2121" s="10"/>
      <c r="D2121" s="10"/>
      <c r="E2121" s="10"/>
      <c r="F2121" s="10"/>
      <c r="G2121" s="10"/>
      <c r="H2121" s="770"/>
      <c r="I2121" s="10"/>
      <c r="J2121" s="10"/>
      <c r="K2121" s="10"/>
      <c r="L2121" s="10"/>
      <c r="M2121" s="770"/>
      <c r="N2121" s="10"/>
      <c r="O2121" s="10"/>
      <c r="P2121" s="10"/>
      <c r="Q2121" s="10"/>
      <c r="R2121" s="10"/>
      <c r="S2121" s="10"/>
    </row>
    <row r="2122" spans="1:19" x14ac:dyDescent="0.25">
      <c r="A2122" s="10"/>
      <c r="B2122" s="10"/>
      <c r="C2122" s="10"/>
      <c r="D2122" s="10"/>
      <c r="E2122" s="10"/>
      <c r="F2122" s="10"/>
      <c r="G2122" s="10"/>
      <c r="H2122" s="770"/>
      <c r="I2122" s="10"/>
      <c r="J2122" s="10"/>
      <c r="K2122" s="10"/>
      <c r="L2122" s="10"/>
      <c r="M2122" s="770"/>
      <c r="N2122" s="10"/>
      <c r="O2122" s="10"/>
      <c r="P2122" s="10"/>
      <c r="Q2122" s="10"/>
      <c r="R2122" s="10"/>
      <c r="S2122" s="10"/>
    </row>
    <row r="2123" spans="1:19" x14ac:dyDescent="0.25">
      <c r="A2123" s="10"/>
      <c r="B2123" s="10"/>
      <c r="C2123" s="10"/>
      <c r="D2123" s="10"/>
      <c r="E2123" s="10"/>
      <c r="F2123" s="10"/>
      <c r="G2123" s="10"/>
      <c r="H2123" s="770"/>
      <c r="I2123" s="10"/>
      <c r="J2123" s="10"/>
      <c r="K2123" s="10"/>
      <c r="L2123" s="10"/>
      <c r="M2123" s="770"/>
      <c r="N2123" s="10"/>
      <c r="O2123" s="10"/>
      <c r="P2123" s="10"/>
      <c r="Q2123" s="10"/>
      <c r="R2123" s="10"/>
      <c r="S2123" s="10"/>
    </row>
    <row r="2124" spans="1:19" x14ac:dyDescent="0.25">
      <c r="A2124" s="10"/>
      <c r="B2124" s="10"/>
      <c r="C2124" s="10"/>
      <c r="D2124" s="10"/>
      <c r="E2124" s="10"/>
      <c r="F2124" s="10"/>
      <c r="G2124" s="10"/>
      <c r="H2124" s="770"/>
      <c r="I2124" s="10"/>
      <c r="J2124" s="10"/>
      <c r="K2124" s="10"/>
      <c r="L2124" s="10"/>
      <c r="M2124" s="770"/>
      <c r="N2124" s="10"/>
      <c r="O2124" s="10"/>
      <c r="P2124" s="10"/>
      <c r="Q2124" s="10"/>
      <c r="R2124" s="10"/>
      <c r="S2124" s="10"/>
    </row>
    <row r="2125" spans="1:19" x14ac:dyDescent="0.25">
      <c r="A2125" s="10"/>
      <c r="B2125" s="10"/>
      <c r="C2125" s="10"/>
      <c r="D2125" s="10"/>
      <c r="E2125" s="10"/>
      <c r="F2125" s="10"/>
      <c r="G2125" s="10"/>
      <c r="H2125" s="770"/>
      <c r="I2125" s="10"/>
      <c r="J2125" s="10"/>
      <c r="K2125" s="10"/>
      <c r="L2125" s="10"/>
      <c r="M2125" s="770"/>
      <c r="N2125" s="10"/>
      <c r="O2125" s="10"/>
      <c r="P2125" s="10"/>
      <c r="Q2125" s="10"/>
      <c r="R2125" s="10"/>
      <c r="S2125" s="10"/>
    </row>
    <row r="2126" spans="1:19" x14ac:dyDescent="0.25">
      <c r="A2126" s="10"/>
      <c r="B2126" s="10"/>
      <c r="C2126" s="10"/>
      <c r="D2126" s="10"/>
      <c r="E2126" s="10"/>
      <c r="F2126" s="10"/>
      <c r="G2126" s="10"/>
      <c r="H2126" s="770"/>
      <c r="I2126" s="10"/>
      <c r="J2126" s="10"/>
      <c r="K2126" s="10"/>
      <c r="L2126" s="10"/>
      <c r="M2126" s="770"/>
      <c r="N2126" s="10"/>
      <c r="O2126" s="10"/>
      <c r="P2126" s="10"/>
      <c r="Q2126" s="10"/>
      <c r="R2126" s="10"/>
      <c r="S2126" s="10"/>
    </row>
    <row r="2127" spans="1:19" x14ac:dyDescent="0.25">
      <c r="A2127" s="10"/>
      <c r="B2127" s="10"/>
      <c r="C2127" s="10"/>
      <c r="D2127" s="10"/>
      <c r="E2127" s="10"/>
      <c r="F2127" s="10"/>
      <c r="G2127" s="10"/>
      <c r="H2127" s="770"/>
      <c r="I2127" s="10"/>
      <c r="J2127" s="10"/>
      <c r="K2127" s="10"/>
      <c r="L2127" s="10"/>
      <c r="M2127" s="770"/>
      <c r="N2127" s="10"/>
      <c r="O2127" s="10"/>
      <c r="P2127" s="10"/>
      <c r="Q2127" s="10"/>
      <c r="R2127" s="10"/>
      <c r="S2127" s="10"/>
    </row>
    <row r="2128" spans="1:19" x14ac:dyDescent="0.25">
      <c r="A2128" s="10"/>
      <c r="B2128" s="10"/>
      <c r="C2128" s="10"/>
      <c r="D2128" s="10"/>
      <c r="E2128" s="10"/>
      <c r="F2128" s="10"/>
      <c r="G2128" s="10"/>
      <c r="H2128" s="770"/>
      <c r="I2128" s="10"/>
      <c r="J2128" s="10"/>
      <c r="K2128" s="10"/>
      <c r="L2128" s="10"/>
      <c r="M2128" s="770"/>
      <c r="N2128" s="10"/>
      <c r="O2128" s="10"/>
      <c r="P2128" s="10"/>
      <c r="Q2128" s="10"/>
      <c r="R2128" s="10"/>
      <c r="S2128" s="10"/>
    </row>
    <row r="2129" spans="1:19" x14ac:dyDescent="0.25">
      <c r="A2129" s="10"/>
      <c r="B2129" s="10"/>
      <c r="C2129" s="10"/>
      <c r="D2129" s="10"/>
      <c r="E2129" s="10"/>
      <c r="F2129" s="10"/>
      <c r="G2129" s="10"/>
      <c r="H2129" s="770"/>
      <c r="I2129" s="10"/>
      <c r="J2129" s="10"/>
      <c r="K2129" s="10"/>
      <c r="L2129" s="10"/>
      <c r="M2129" s="770"/>
      <c r="N2129" s="10"/>
      <c r="O2129" s="10"/>
      <c r="P2129" s="10"/>
      <c r="Q2129" s="10"/>
      <c r="R2129" s="10"/>
      <c r="S2129" s="10"/>
    </row>
    <row r="2130" spans="1:19" x14ac:dyDescent="0.25">
      <c r="A2130" s="10"/>
      <c r="B2130" s="10"/>
      <c r="C2130" s="10"/>
      <c r="D2130" s="10"/>
      <c r="E2130" s="10"/>
      <c r="F2130" s="10"/>
      <c r="G2130" s="10"/>
      <c r="H2130" s="770"/>
      <c r="I2130" s="10"/>
      <c r="J2130" s="10"/>
      <c r="K2130" s="10"/>
      <c r="L2130" s="10"/>
      <c r="M2130" s="770"/>
      <c r="N2130" s="10"/>
      <c r="O2130" s="10"/>
      <c r="P2130" s="10"/>
      <c r="Q2130" s="10"/>
      <c r="R2130" s="10"/>
      <c r="S2130" s="10"/>
    </row>
    <row r="2131" spans="1:19" x14ac:dyDescent="0.25">
      <c r="A2131" s="10"/>
      <c r="B2131" s="10"/>
      <c r="C2131" s="10"/>
      <c r="D2131" s="10"/>
      <c r="E2131" s="10"/>
      <c r="F2131" s="10"/>
      <c r="G2131" s="10"/>
      <c r="H2131" s="770"/>
      <c r="I2131" s="10"/>
      <c r="J2131" s="10"/>
      <c r="K2131" s="10"/>
      <c r="L2131" s="10"/>
      <c r="M2131" s="770"/>
      <c r="N2131" s="10"/>
      <c r="O2131" s="10"/>
      <c r="P2131" s="10"/>
      <c r="Q2131" s="10"/>
      <c r="R2131" s="10"/>
      <c r="S2131" s="10"/>
    </row>
    <row r="2132" spans="1:19" x14ac:dyDescent="0.25">
      <c r="A2132" s="10"/>
      <c r="B2132" s="10"/>
      <c r="C2132" s="10"/>
      <c r="D2132" s="10"/>
      <c r="E2132" s="10"/>
      <c r="F2132" s="10"/>
      <c r="G2132" s="10"/>
      <c r="H2132" s="770"/>
      <c r="I2132" s="10"/>
      <c r="J2132" s="10"/>
      <c r="K2132" s="10"/>
      <c r="L2132" s="10"/>
      <c r="M2132" s="770"/>
      <c r="N2132" s="10"/>
      <c r="O2132" s="10"/>
      <c r="P2132" s="10"/>
      <c r="Q2132" s="10"/>
      <c r="R2132" s="10"/>
      <c r="S2132" s="10"/>
    </row>
    <row r="2133" spans="1:19" x14ac:dyDescent="0.25">
      <c r="A2133" s="10"/>
      <c r="B2133" s="10"/>
      <c r="C2133" s="10"/>
      <c r="D2133" s="10"/>
      <c r="E2133" s="10"/>
      <c r="F2133" s="10"/>
      <c r="G2133" s="10"/>
      <c r="H2133" s="770"/>
      <c r="I2133" s="10"/>
      <c r="J2133" s="10"/>
      <c r="K2133" s="10"/>
      <c r="L2133" s="10"/>
      <c r="M2133" s="770"/>
      <c r="N2133" s="10"/>
      <c r="O2133" s="10"/>
      <c r="P2133" s="10"/>
      <c r="Q2133" s="10"/>
      <c r="R2133" s="10"/>
      <c r="S2133" s="10"/>
    </row>
    <row r="2134" spans="1:19" x14ac:dyDescent="0.25">
      <c r="A2134" s="10"/>
      <c r="B2134" s="10"/>
      <c r="C2134" s="10"/>
      <c r="D2134" s="10"/>
      <c r="E2134" s="10"/>
      <c r="F2134" s="10"/>
      <c r="G2134" s="10"/>
      <c r="H2134" s="770"/>
      <c r="I2134" s="10"/>
      <c r="J2134" s="10"/>
      <c r="K2134" s="10"/>
      <c r="L2134" s="10"/>
      <c r="M2134" s="770"/>
      <c r="N2134" s="10"/>
      <c r="O2134" s="10"/>
      <c r="P2134" s="10"/>
      <c r="Q2134" s="10"/>
      <c r="R2134" s="10"/>
      <c r="S2134" s="10"/>
    </row>
    <row r="2135" spans="1:19" x14ac:dyDescent="0.25">
      <c r="A2135" s="10"/>
      <c r="B2135" s="10"/>
      <c r="C2135" s="10"/>
      <c r="D2135" s="10"/>
      <c r="E2135" s="10"/>
      <c r="F2135" s="10"/>
      <c r="G2135" s="10"/>
      <c r="H2135" s="770"/>
      <c r="I2135" s="10"/>
      <c r="J2135" s="10"/>
      <c r="K2135" s="10"/>
      <c r="L2135" s="10"/>
      <c r="M2135" s="770"/>
      <c r="N2135" s="10"/>
      <c r="O2135" s="10"/>
      <c r="P2135" s="10"/>
      <c r="Q2135" s="10"/>
      <c r="R2135" s="10"/>
      <c r="S2135" s="10"/>
    </row>
    <row r="2136" spans="1:19" x14ac:dyDescent="0.25">
      <c r="A2136" s="10"/>
      <c r="B2136" s="10"/>
      <c r="C2136" s="10"/>
      <c r="D2136" s="10"/>
      <c r="E2136" s="10"/>
      <c r="F2136" s="10"/>
      <c r="G2136" s="10"/>
      <c r="H2136" s="770"/>
      <c r="I2136" s="10"/>
      <c r="J2136" s="10"/>
      <c r="K2136" s="10"/>
      <c r="L2136" s="10"/>
      <c r="M2136" s="770"/>
      <c r="N2136" s="10"/>
      <c r="O2136" s="10"/>
      <c r="P2136" s="10"/>
      <c r="Q2136" s="10"/>
      <c r="R2136" s="10"/>
      <c r="S2136" s="10"/>
    </row>
    <row r="2137" spans="1:19" x14ac:dyDescent="0.25">
      <c r="A2137" s="10"/>
      <c r="B2137" s="10"/>
      <c r="C2137" s="10"/>
      <c r="D2137" s="10"/>
      <c r="E2137" s="10"/>
      <c r="F2137" s="10"/>
      <c r="G2137" s="10"/>
      <c r="H2137" s="770"/>
      <c r="I2137" s="10"/>
      <c r="J2137" s="10"/>
      <c r="K2137" s="10"/>
      <c r="L2137" s="10"/>
      <c r="M2137" s="770"/>
      <c r="N2137" s="10"/>
      <c r="O2137" s="10"/>
      <c r="P2137" s="10"/>
      <c r="Q2137" s="10"/>
      <c r="R2137" s="10"/>
      <c r="S2137" s="10"/>
    </row>
    <row r="2138" spans="1:19" x14ac:dyDescent="0.25">
      <c r="A2138" s="10"/>
      <c r="B2138" s="10"/>
      <c r="C2138" s="10"/>
      <c r="D2138" s="10"/>
      <c r="E2138" s="10"/>
      <c r="F2138" s="10"/>
      <c r="G2138" s="10"/>
      <c r="H2138" s="770"/>
      <c r="I2138" s="10"/>
      <c r="J2138" s="10"/>
      <c r="K2138" s="10"/>
      <c r="L2138" s="10"/>
      <c r="M2138" s="770"/>
      <c r="N2138" s="10"/>
      <c r="O2138" s="10"/>
      <c r="P2138" s="10"/>
      <c r="Q2138" s="10"/>
      <c r="R2138" s="10"/>
      <c r="S2138" s="10"/>
    </row>
    <row r="2139" spans="1:19" x14ac:dyDescent="0.25">
      <c r="A2139" s="10"/>
      <c r="B2139" s="10"/>
      <c r="C2139" s="10"/>
      <c r="D2139" s="10"/>
      <c r="E2139" s="10"/>
      <c r="F2139" s="10"/>
      <c r="G2139" s="10"/>
      <c r="H2139" s="770"/>
      <c r="I2139" s="10"/>
      <c r="J2139" s="10"/>
      <c r="K2139" s="10"/>
      <c r="L2139" s="10"/>
      <c r="M2139" s="770"/>
      <c r="N2139" s="10"/>
      <c r="O2139" s="10"/>
      <c r="P2139" s="10"/>
      <c r="Q2139" s="10"/>
      <c r="R2139" s="10"/>
      <c r="S2139" s="10"/>
    </row>
    <row r="2140" spans="1:19" x14ac:dyDescent="0.25">
      <c r="A2140" s="10"/>
      <c r="B2140" s="10"/>
      <c r="C2140" s="10"/>
      <c r="D2140" s="10"/>
      <c r="E2140" s="10"/>
      <c r="F2140" s="10"/>
      <c r="G2140" s="10"/>
      <c r="H2140" s="770"/>
      <c r="I2140" s="10"/>
      <c r="J2140" s="10"/>
      <c r="K2140" s="10"/>
      <c r="L2140" s="10"/>
      <c r="M2140" s="770"/>
      <c r="N2140" s="10"/>
      <c r="O2140" s="10"/>
      <c r="P2140" s="10"/>
      <c r="Q2140" s="10"/>
      <c r="R2140" s="10"/>
      <c r="S2140" s="10"/>
    </row>
    <row r="2141" spans="1:19" x14ac:dyDescent="0.25">
      <c r="A2141" s="10"/>
      <c r="B2141" s="10"/>
      <c r="C2141" s="10"/>
      <c r="D2141" s="10"/>
      <c r="E2141" s="10"/>
      <c r="F2141" s="10"/>
      <c r="G2141" s="10"/>
      <c r="H2141" s="770"/>
      <c r="I2141" s="10"/>
      <c r="J2141" s="10"/>
      <c r="K2141" s="10"/>
      <c r="L2141" s="10"/>
      <c r="M2141" s="770"/>
      <c r="N2141" s="10"/>
      <c r="O2141" s="10"/>
      <c r="P2141" s="10"/>
      <c r="Q2141" s="10"/>
      <c r="R2141" s="10"/>
      <c r="S2141" s="10"/>
    </row>
    <row r="2142" spans="1:19" x14ac:dyDescent="0.25">
      <c r="A2142" s="10"/>
      <c r="B2142" s="10"/>
      <c r="C2142" s="10"/>
      <c r="D2142" s="10"/>
      <c r="E2142" s="10"/>
      <c r="F2142" s="10"/>
      <c r="G2142" s="10"/>
      <c r="H2142" s="770"/>
      <c r="I2142" s="10"/>
      <c r="J2142" s="10"/>
      <c r="K2142" s="10"/>
      <c r="L2142" s="10"/>
      <c r="M2142" s="770"/>
      <c r="N2142" s="10"/>
      <c r="O2142" s="10"/>
      <c r="P2142" s="10"/>
      <c r="Q2142" s="10"/>
      <c r="R2142" s="10"/>
      <c r="S2142" s="10"/>
    </row>
    <row r="2143" spans="1:19" x14ac:dyDescent="0.25">
      <c r="A2143" s="10"/>
      <c r="B2143" s="10"/>
      <c r="C2143" s="10"/>
      <c r="D2143" s="10"/>
      <c r="E2143" s="10"/>
      <c r="F2143" s="10"/>
      <c r="G2143" s="10"/>
      <c r="H2143" s="770"/>
      <c r="I2143" s="10"/>
      <c r="J2143" s="10"/>
      <c r="K2143" s="10"/>
      <c r="L2143" s="10"/>
      <c r="M2143" s="770"/>
      <c r="N2143" s="10"/>
      <c r="O2143" s="10"/>
      <c r="P2143" s="10"/>
      <c r="Q2143" s="10"/>
      <c r="R2143" s="10"/>
      <c r="S2143" s="10"/>
    </row>
    <row r="2144" spans="1:19" x14ac:dyDescent="0.25">
      <c r="A2144" s="10"/>
      <c r="B2144" s="10"/>
      <c r="C2144" s="10"/>
      <c r="D2144" s="10"/>
      <c r="E2144" s="10"/>
      <c r="F2144" s="10"/>
      <c r="G2144" s="10"/>
      <c r="H2144" s="770"/>
      <c r="I2144" s="10"/>
      <c r="J2144" s="10"/>
      <c r="K2144" s="10"/>
      <c r="L2144" s="10"/>
      <c r="M2144" s="770"/>
      <c r="N2144" s="10"/>
      <c r="O2144" s="10"/>
      <c r="P2144" s="10"/>
      <c r="Q2144" s="10"/>
      <c r="R2144" s="10"/>
      <c r="S2144" s="10"/>
    </row>
    <row r="2145" spans="1:19" x14ac:dyDescent="0.25">
      <c r="A2145" s="10"/>
      <c r="B2145" s="10"/>
      <c r="C2145" s="10"/>
      <c r="D2145" s="10"/>
      <c r="E2145" s="10"/>
      <c r="F2145" s="10"/>
      <c r="G2145" s="10"/>
      <c r="H2145" s="770"/>
      <c r="I2145" s="10"/>
      <c r="J2145" s="10"/>
      <c r="K2145" s="10"/>
      <c r="L2145" s="10"/>
      <c r="M2145" s="770"/>
      <c r="N2145" s="10"/>
      <c r="O2145" s="10"/>
      <c r="P2145" s="10"/>
      <c r="Q2145" s="10"/>
      <c r="R2145" s="10"/>
      <c r="S2145" s="10"/>
    </row>
    <row r="2146" spans="1:19" x14ac:dyDescent="0.25">
      <c r="A2146" s="10"/>
      <c r="B2146" s="10"/>
      <c r="C2146" s="10"/>
      <c r="D2146" s="10"/>
      <c r="E2146" s="10"/>
      <c r="F2146" s="10"/>
      <c r="G2146" s="10"/>
      <c r="H2146" s="770"/>
      <c r="I2146" s="10"/>
      <c r="J2146" s="10"/>
      <c r="K2146" s="10"/>
      <c r="L2146" s="10"/>
      <c r="M2146" s="770"/>
      <c r="N2146" s="10"/>
      <c r="O2146" s="10"/>
      <c r="P2146" s="10"/>
      <c r="Q2146" s="10"/>
      <c r="R2146" s="10"/>
      <c r="S2146" s="10"/>
    </row>
    <row r="2147" spans="1:19" x14ac:dyDescent="0.25">
      <c r="A2147" s="10"/>
      <c r="B2147" s="10"/>
      <c r="C2147" s="10"/>
      <c r="D2147" s="10"/>
      <c r="E2147" s="10"/>
      <c r="F2147" s="10"/>
      <c r="G2147" s="10"/>
      <c r="H2147" s="770"/>
      <c r="I2147" s="10"/>
      <c r="J2147" s="10"/>
      <c r="K2147" s="10"/>
      <c r="L2147" s="10"/>
      <c r="M2147" s="770"/>
      <c r="N2147" s="10"/>
      <c r="O2147" s="10"/>
      <c r="P2147" s="10"/>
      <c r="Q2147" s="10"/>
      <c r="R2147" s="10"/>
      <c r="S2147" s="10"/>
    </row>
    <row r="2148" spans="1:19" x14ac:dyDescent="0.25">
      <c r="A2148" s="10"/>
      <c r="B2148" s="10"/>
      <c r="C2148" s="10"/>
      <c r="D2148" s="10"/>
      <c r="E2148" s="10"/>
      <c r="F2148" s="10"/>
      <c r="G2148" s="10"/>
      <c r="H2148" s="770"/>
      <c r="I2148" s="10"/>
      <c r="J2148" s="10"/>
      <c r="K2148" s="10"/>
      <c r="L2148" s="10"/>
      <c r="M2148" s="770"/>
      <c r="N2148" s="10"/>
      <c r="O2148" s="10"/>
      <c r="P2148" s="10"/>
      <c r="Q2148" s="10"/>
      <c r="R2148" s="10"/>
      <c r="S2148" s="10"/>
    </row>
    <row r="2149" spans="1:19" x14ac:dyDescent="0.25">
      <c r="A2149" s="10"/>
      <c r="B2149" s="10"/>
      <c r="C2149" s="10"/>
      <c r="D2149" s="10"/>
      <c r="E2149" s="10"/>
      <c r="F2149" s="10"/>
      <c r="G2149" s="10"/>
      <c r="H2149" s="770"/>
      <c r="I2149" s="10"/>
      <c r="J2149" s="10"/>
      <c r="K2149" s="10"/>
      <c r="L2149" s="10"/>
      <c r="M2149" s="770"/>
      <c r="N2149" s="10"/>
      <c r="O2149" s="10"/>
      <c r="P2149" s="10"/>
      <c r="Q2149" s="10"/>
      <c r="R2149" s="10"/>
      <c r="S2149" s="10"/>
    </row>
    <row r="2150" spans="1:19" x14ac:dyDescent="0.25">
      <c r="A2150" s="10"/>
      <c r="B2150" s="10"/>
      <c r="C2150" s="10"/>
      <c r="D2150" s="10"/>
      <c r="E2150" s="10"/>
      <c r="F2150" s="10"/>
      <c r="G2150" s="10"/>
      <c r="H2150" s="770"/>
      <c r="I2150" s="10"/>
      <c r="J2150" s="10"/>
      <c r="K2150" s="10"/>
      <c r="L2150" s="10"/>
      <c r="M2150" s="770"/>
      <c r="N2150" s="10"/>
      <c r="O2150" s="10"/>
      <c r="P2150" s="10"/>
      <c r="Q2150" s="10"/>
      <c r="R2150" s="10"/>
      <c r="S2150" s="10"/>
    </row>
    <row r="2151" spans="1:19" x14ac:dyDescent="0.25">
      <c r="A2151" s="10"/>
      <c r="B2151" s="10"/>
      <c r="C2151" s="10"/>
      <c r="D2151" s="10"/>
      <c r="E2151" s="10"/>
      <c r="F2151" s="10"/>
      <c r="G2151" s="10"/>
      <c r="H2151" s="770"/>
      <c r="I2151" s="10"/>
      <c r="J2151" s="10"/>
      <c r="K2151" s="10"/>
      <c r="L2151" s="10"/>
      <c r="M2151" s="770"/>
      <c r="N2151" s="10"/>
      <c r="O2151" s="10"/>
      <c r="P2151" s="10"/>
      <c r="Q2151" s="10"/>
      <c r="R2151" s="10"/>
      <c r="S2151" s="10"/>
    </row>
    <row r="2152" spans="1:19" x14ac:dyDescent="0.25">
      <c r="A2152" s="10"/>
      <c r="B2152" s="10"/>
      <c r="C2152" s="10"/>
      <c r="D2152" s="10"/>
      <c r="E2152" s="10"/>
      <c r="F2152" s="10"/>
      <c r="G2152" s="10"/>
      <c r="H2152" s="770"/>
      <c r="I2152" s="10"/>
      <c r="J2152" s="10"/>
      <c r="K2152" s="10"/>
      <c r="L2152" s="10"/>
      <c r="M2152" s="770"/>
      <c r="N2152" s="10"/>
      <c r="O2152" s="10"/>
      <c r="P2152" s="10"/>
      <c r="Q2152" s="10"/>
      <c r="R2152" s="10"/>
      <c r="S2152" s="10"/>
    </row>
    <row r="2153" spans="1:19" x14ac:dyDescent="0.25">
      <c r="A2153" s="10"/>
      <c r="B2153" s="10"/>
      <c r="C2153" s="10"/>
      <c r="D2153" s="10"/>
      <c r="E2153" s="10"/>
      <c r="F2153" s="10"/>
      <c r="G2153" s="10"/>
      <c r="H2153" s="770"/>
      <c r="I2153" s="10"/>
      <c r="J2153" s="10"/>
      <c r="K2153" s="10"/>
      <c r="L2153" s="10"/>
      <c r="M2153" s="770"/>
      <c r="N2153" s="10"/>
      <c r="O2153" s="10"/>
      <c r="P2153" s="10"/>
      <c r="Q2153" s="10"/>
      <c r="R2153" s="10"/>
      <c r="S2153" s="10"/>
    </row>
    <row r="2154" spans="1:19" x14ac:dyDescent="0.25">
      <c r="A2154" s="10"/>
      <c r="B2154" s="10"/>
      <c r="C2154" s="10"/>
      <c r="D2154" s="10"/>
      <c r="E2154" s="10"/>
      <c r="F2154" s="10"/>
      <c r="G2154" s="10"/>
      <c r="H2154" s="770"/>
      <c r="I2154" s="10"/>
      <c r="J2154" s="10"/>
      <c r="K2154" s="10"/>
      <c r="L2154" s="10"/>
      <c r="M2154" s="770"/>
      <c r="N2154" s="10"/>
      <c r="O2154" s="10"/>
      <c r="P2154" s="10"/>
      <c r="Q2154" s="10"/>
      <c r="R2154" s="10"/>
      <c r="S2154" s="10"/>
    </row>
    <row r="2155" spans="1:19" x14ac:dyDescent="0.25">
      <c r="A2155" s="10"/>
      <c r="B2155" s="10"/>
      <c r="C2155" s="10"/>
      <c r="D2155" s="10"/>
      <c r="E2155" s="10"/>
      <c r="F2155" s="10"/>
      <c r="G2155" s="10"/>
      <c r="H2155" s="770"/>
      <c r="I2155" s="10"/>
      <c r="J2155" s="10"/>
      <c r="K2155" s="10"/>
      <c r="L2155" s="10"/>
      <c r="M2155" s="770"/>
      <c r="N2155" s="10"/>
      <c r="O2155" s="10"/>
      <c r="P2155" s="10"/>
      <c r="Q2155" s="10"/>
      <c r="R2155" s="10"/>
      <c r="S2155" s="10"/>
    </row>
    <row r="2156" spans="1:19" x14ac:dyDescent="0.25">
      <c r="A2156" s="10"/>
      <c r="B2156" s="10"/>
      <c r="C2156" s="10"/>
      <c r="D2156" s="10"/>
      <c r="E2156" s="10"/>
      <c r="F2156" s="10"/>
      <c r="G2156" s="10"/>
      <c r="H2156" s="770"/>
      <c r="I2156" s="10"/>
      <c r="J2156" s="10"/>
      <c r="K2156" s="10"/>
      <c r="L2156" s="10"/>
      <c r="M2156" s="770"/>
      <c r="N2156" s="10"/>
      <c r="O2156" s="10"/>
      <c r="P2156" s="10"/>
      <c r="Q2156" s="10"/>
      <c r="R2156" s="10"/>
      <c r="S2156" s="10"/>
    </row>
    <row r="2157" spans="1:19" x14ac:dyDescent="0.25">
      <c r="A2157" s="10"/>
      <c r="B2157" s="10"/>
      <c r="C2157" s="10"/>
      <c r="D2157" s="10"/>
      <c r="E2157" s="10"/>
      <c r="F2157" s="10"/>
      <c r="G2157" s="10"/>
      <c r="H2157" s="770"/>
      <c r="I2157" s="10"/>
      <c r="J2157" s="10"/>
      <c r="K2157" s="10"/>
      <c r="L2157" s="10"/>
      <c r="M2157" s="770"/>
      <c r="N2157" s="10"/>
      <c r="O2157" s="10"/>
      <c r="P2157" s="10"/>
      <c r="Q2157" s="10"/>
      <c r="R2157" s="10"/>
      <c r="S2157" s="10"/>
    </row>
    <row r="2158" spans="1:19" x14ac:dyDescent="0.25">
      <c r="A2158" s="10"/>
      <c r="B2158" s="10"/>
      <c r="C2158" s="10"/>
      <c r="D2158" s="10"/>
      <c r="E2158" s="10"/>
      <c r="F2158" s="10"/>
      <c r="G2158" s="10"/>
      <c r="H2158" s="770"/>
      <c r="I2158" s="10"/>
      <c r="J2158" s="10"/>
      <c r="K2158" s="10"/>
      <c r="L2158" s="10"/>
      <c r="M2158" s="770"/>
      <c r="N2158" s="10"/>
      <c r="O2158" s="10"/>
      <c r="P2158" s="10"/>
      <c r="Q2158" s="10"/>
      <c r="R2158" s="10"/>
      <c r="S2158" s="10"/>
    </row>
    <row r="2159" spans="1:19" x14ac:dyDescent="0.25">
      <c r="A2159" s="10"/>
      <c r="B2159" s="10"/>
      <c r="C2159" s="10"/>
      <c r="D2159" s="10"/>
      <c r="E2159" s="10"/>
      <c r="F2159" s="10"/>
      <c r="G2159" s="10"/>
      <c r="H2159" s="770"/>
      <c r="I2159" s="10"/>
      <c r="J2159" s="10"/>
      <c r="K2159" s="10"/>
      <c r="L2159" s="10"/>
      <c r="M2159" s="770"/>
      <c r="N2159" s="10"/>
      <c r="O2159" s="10"/>
      <c r="P2159" s="10"/>
      <c r="Q2159" s="10"/>
      <c r="R2159" s="10"/>
      <c r="S2159" s="10"/>
    </row>
    <row r="2160" spans="1:19" x14ac:dyDescent="0.25">
      <c r="A2160" s="10"/>
      <c r="B2160" s="10"/>
      <c r="C2160" s="10"/>
      <c r="D2160" s="10"/>
      <c r="E2160" s="10"/>
      <c r="F2160" s="10"/>
      <c r="G2160" s="10"/>
      <c r="H2160" s="770"/>
      <c r="I2160" s="10"/>
      <c r="J2160" s="10"/>
      <c r="K2160" s="10"/>
      <c r="L2160" s="10"/>
      <c r="M2160" s="770"/>
      <c r="N2160" s="10"/>
      <c r="O2160" s="10"/>
      <c r="P2160" s="10"/>
      <c r="Q2160" s="10"/>
      <c r="R2160" s="10"/>
      <c r="S2160" s="10"/>
    </row>
    <row r="2161" spans="1:19" x14ac:dyDescent="0.25">
      <c r="A2161" s="10"/>
      <c r="B2161" s="10"/>
      <c r="C2161" s="10"/>
      <c r="D2161" s="10"/>
      <c r="E2161" s="10"/>
      <c r="F2161" s="10"/>
      <c r="G2161" s="10"/>
      <c r="H2161" s="770"/>
      <c r="I2161" s="10"/>
      <c r="J2161" s="10"/>
      <c r="K2161" s="10"/>
      <c r="L2161" s="10"/>
      <c r="M2161" s="770"/>
      <c r="N2161" s="10"/>
      <c r="O2161" s="10"/>
      <c r="P2161" s="10"/>
      <c r="Q2161" s="10"/>
      <c r="R2161" s="10"/>
      <c r="S2161" s="10"/>
    </row>
    <row r="2162" spans="1:19" x14ac:dyDescent="0.25">
      <c r="A2162" s="10"/>
      <c r="B2162" s="10"/>
      <c r="C2162" s="10"/>
      <c r="D2162" s="10"/>
      <c r="E2162" s="10"/>
      <c r="F2162" s="10"/>
      <c r="G2162" s="10"/>
      <c r="H2162" s="770"/>
      <c r="I2162" s="10"/>
      <c r="J2162" s="10"/>
      <c r="K2162" s="10"/>
      <c r="L2162" s="10"/>
      <c r="M2162" s="770"/>
      <c r="N2162" s="10"/>
      <c r="O2162" s="10"/>
      <c r="P2162" s="10"/>
      <c r="Q2162" s="10"/>
      <c r="R2162" s="10"/>
      <c r="S2162" s="10"/>
    </row>
    <row r="2163" spans="1:19" x14ac:dyDescent="0.25">
      <c r="A2163" s="10"/>
      <c r="B2163" s="10"/>
      <c r="C2163" s="10"/>
      <c r="D2163" s="10"/>
      <c r="E2163" s="10"/>
      <c r="F2163" s="10"/>
      <c r="G2163" s="10"/>
      <c r="H2163" s="770"/>
      <c r="I2163" s="10"/>
      <c r="J2163" s="10"/>
      <c r="K2163" s="10"/>
      <c r="L2163" s="10"/>
      <c r="M2163" s="770"/>
      <c r="N2163" s="10"/>
      <c r="O2163" s="10"/>
      <c r="P2163" s="10"/>
      <c r="Q2163" s="10"/>
      <c r="R2163" s="10"/>
      <c r="S2163" s="10"/>
    </row>
    <row r="2164" spans="1:19" x14ac:dyDescent="0.25">
      <c r="A2164" s="10"/>
      <c r="B2164" s="10"/>
      <c r="C2164" s="10"/>
      <c r="D2164" s="10"/>
      <c r="E2164" s="10"/>
      <c r="F2164" s="10"/>
      <c r="G2164" s="10"/>
      <c r="H2164" s="770"/>
      <c r="I2164" s="10"/>
      <c r="J2164" s="10"/>
      <c r="K2164" s="10"/>
      <c r="L2164" s="10"/>
      <c r="M2164" s="770"/>
      <c r="N2164" s="10"/>
      <c r="O2164" s="10"/>
      <c r="P2164" s="10"/>
      <c r="Q2164" s="10"/>
      <c r="R2164" s="10"/>
      <c r="S2164" s="10"/>
    </row>
    <row r="2165" spans="1:19" x14ac:dyDescent="0.25">
      <c r="A2165" s="10"/>
      <c r="B2165" s="10"/>
      <c r="C2165" s="10"/>
      <c r="D2165" s="10"/>
      <c r="E2165" s="10"/>
      <c r="F2165" s="10"/>
      <c r="G2165" s="10"/>
      <c r="H2165" s="770"/>
      <c r="I2165" s="10"/>
      <c r="J2165" s="10"/>
      <c r="K2165" s="10"/>
      <c r="L2165" s="10"/>
      <c r="M2165" s="770"/>
      <c r="N2165" s="10"/>
      <c r="O2165" s="10"/>
      <c r="P2165" s="10"/>
      <c r="Q2165" s="10"/>
      <c r="R2165" s="10"/>
      <c r="S2165" s="10"/>
    </row>
    <row r="2166" spans="1:19" x14ac:dyDescent="0.25">
      <c r="A2166" s="10"/>
      <c r="B2166" s="10"/>
      <c r="C2166" s="10"/>
      <c r="D2166" s="10"/>
      <c r="E2166" s="10"/>
      <c r="F2166" s="10"/>
      <c r="G2166" s="10"/>
      <c r="H2166" s="770"/>
      <c r="I2166" s="10"/>
      <c r="J2166" s="10"/>
      <c r="K2166" s="10"/>
      <c r="L2166" s="10"/>
      <c r="M2166" s="770"/>
      <c r="N2166" s="10"/>
      <c r="O2166" s="10"/>
      <c r="P2166" s="10"/>
      <c r="Q2166" s="10"/>
      <c r="R2166" s="10"/>
      <c r="S2166" s="10"/>
    </row>
    <row r="2167" spans="1:19" x14ac:dyDescent="0.25">
      <c r="A2167" s="10"/>
      <c r="B2167" s="10"/>
      <c r="C2167" s="10"/>
      <c r="D2167" s="10"/>
      <c r="E2167" s="10"/>
      <c r="F2167" s="10"/>
      <c r="G2167" s="10"/>
      <c r="H2167" s="770"/>
      <c r="I2167" s="10"/>
      <c r="J2167" s="10"/>
      <c r="K2167" s="10"/>
      <c r="L2167" s="10"/>
      <c r="M2167" s="770"/>
      <c r="N2167" s="10"/>
      <c r="O2167" s="10"/>
      <c r="P2167" s="10"/>
      <c r="Q2167" s="10"/>
      <c r="R2167" s="10"/>
      <c r="S2167" s="10"/>
    </row>
    <row r="2168" spans="1:19" x14ac:dyDescent="0.25">
      <c r="A2168" s="10"/>
      <c r="B2168" s="10"/>
      <c r="C2168" s="10"/>
      <c r="D2168" s="10"/>
      <c r="E2168" s="10"/>
      <c r="F2168" s="10"/>
      <c r="G2168" s="10"/>
      <c r="H2168" s="770"/>
      <c r="I2168" s="10"/>
      <c r="J2168" s="10"/>
      <c r="K2168" s="10"/>
      <c r="L2168" s="10"/>
      <c r="M2168" s="770"/>
      <c r="N2168" s="10"/>
      <c r="O2168" s="10"/>
      <c r="P2168" s="10"/>
      <c r="Q2168" s="10"/>
      <c r="R2168" s="10"/>
      <c r="S2168" s="10"/>
    </row>
    <row r="2169" spans="1:19" x14ac:dyDescent="0.25">
      <c r="A2169" s="10"/>
      <c r="B2169" s="10"/>
      <c r="C2169" s="10"/>
      <c r="D2169" s="10"/>
      <c r="E2169" s="10"/>
      <c r="F2169" s="10"/>
      <c r="G2169" s="10"/>
      <c r="H2169" s="770"/>
      <c r="I2169" s="10"/>
      <c r="J2169" s="10"/>
      <c r="K2169" s="10"/>
      <c r="L2169" s="10"/>
      <c r="M2169" s="770"/>
      <c r="N2169" s="10"/>
      <c r="O2169" s="10"/>
      <c r="P2169" s="10"/>
      <c r="Q2169" s="10"/>
      <c r="R2169" s="10"/>
      <c r="S2169" s="10"/>
    </row>
    <row r="2170" spans="1:19" x14ac:dyDescent="0.25">
      <c r="A2170" s="10"/>
      <c r="B2170" s="10"/>
      <c r="C2170" s="10"/>
      <c r="D2170" s="10"/>
      <c r="E2170" s="10"/>
      <c r="F2170" s="10"/>
      <c r="G2170" s="10"/>
      <c r="H2170" s="770"/>
      <c r="I2170" s="10"/>
      <c r="J2170" s="10"/>
      <c r="K2170" s="10"/>
      <c r="L2170" s="10"/>
      <c r="M2170" s="770"/>
      <c r="N2170" s="10"/>
      <c r="O2170" s="10"/>
      <c r="P2170" s="10"/>
      <c r="Q2170" s="10"/>
      <c r="R2170" s="10"/>
      <c r="S2170" s="10"/>
    </row>
    <row r="2171" spans="1:19" x14ac:dyDescent="0.25">
      <c r="A2171" s="10"/>
      <c r="B2171" s="10"/>
      <c r="C2171" s="10"/>
      <c r="D2171" s="10"/>
      <c r="E2171" s="10"/>
      <c r="F2171" s="10"/>
      <c r="G2171" s="10"/>
      <c r="H2171" s="770"/>
      <c r="I2171" s="10"/>
      <c r="J2171" s="10"/>
      <c r="K2171" s="10"/>
      <c r="L2171" s="10"/>
      <c r="M2171" s="770"/>
      <c r="N2171" s="10"/>
      <c r="O2171" s="10"/>
      <c r="P2171" s="10"/>
      <c r="Q2171" s="10"/>
      <c r="R2171" s="10"/>
      <c r="S2171" s="10"/>
    </row>
    <row r="2172" spans="1:19" x14ac:dyDescent="0.25">
      <c r="A2172" s="10"/>
      <c r="B2172" s="10"/>
      <c r="C2172" s="10"/>
      <c r="D2172" s="10"/>
      <c r="E2172" s="10"/>
      <c r="F2172" s="10"/>
      <c r="G2172" s="10"/>
      <c r="H2172" s="770"/>
      <c r="I2172" s="10"/>
      <c r="J2172" s="10"/>
      <c r="K2172" s="10"/>
      <c r="L2172" s="10"/>
      <c r="M2172" s="770"/>
      <c r="N2172" s="10"/>
      <c r="O2172" s="10"/>
      <c r="P2172" s="10"/>
      <c r="Q2172" s="10"/>
      <c r="R2172" s="10"/>
      <c r="S2172" s="10"/>
    </row>
    <row r="2173" spans="1:19" x14ac:dyDescent="0.25">
      <c r="A2173" s="10"/>
      <c r="B2173" s="10"/>
      <c r="C2173" s="10"/>
      <c r="D2173" s="10"/>
      <c r="E2173" s="10"/>
      <c r="F2173" s="10"/>
      <c r="G2173" s="10"/>
      <c r="H2173" s="770"/>
      <c r="I2173" s="10"/>
      <c r="J2173" s="10"/>
      <c r="K2173" s="10"/>
      <c r="L2173" s="10"/>
      <c r="M2173" s="770"/>
      <c r="N2173" s="10"/>
      <c r="O2173" s="10"/>
      <c r="P2173" s="10"/>
      <c r="Q2173" s="10"/>
      <c r="R2173" s="10"/>
      <c r="S2173" s="10"/>
    </row>
    <row r="2174" spans="1:19" x14ac:dyDescent="0.25">
      <c r="A2174" s="10"/>
      <c r="B2174" s="10"/>
      <c r="C2174" s="10"/>
      <c r="D2174" s="10"/>
      <c r="E2174" s="10"/>
      <c r="F2174" s="10"/>
      <c r="G2174" s="10"/>
      <c r="H2174" s="770"/>
      <c r="I2174" s="10"/>
      <c r="J2174" s="10"/>
      <c r="K2174" s="10"/>
      <c r="L2174" s="10"/>
      <c r="M2174" s="770"/>
      <c r="N2174" s="10"/>
      <c r="O2174" s="10"/>
      <c r="P2174" s="10"/>
      <c r="Q2174" s="10"/>
      <c r="R2174" s="10"/>
      <c r="S2174" s="10"/>
    </row>
    <row r="2175" spans="1:19" x14ac:dyDescent="0.25">
      <c r="A2175" s="10"/>
      <c r="B2175" s="10"/>
      <c r="C2175" s="10"/>
      <c r="D2175" s="10"/>
      <c r="E2175" s="10"/>
      <c r="F2175" s="10"/>
      <c r="G2175" s="10"/>
      <c r="H2175" s="770"/>
      <c r="I2175" s="10"/>
      <c r="J2175" s="10"/>
      <c r="K2175" s="10"/>
      <c r="L2175" s="10"/>
      <c r="M2175" s="770"/>
      <c r="N2175" s="10"/>
      <c r="O2175" s="10"/>
      <c r="P2175" s="10"/>
      <c r="Q2175" s="10"/>
      <c r="R2175" s="10"/>
      <c r="S2175" s="10"/>
    </row>
    <row r="2176" spans="1:19" x14ac:dyDescent="0.25">
      <c r="A2176" s="10"/>
      <c r="B2176" s="10"/>
      <c r="C2176" s="10"/>
      <c r="D2176" s="10"/>
      <c r="E2176" s="10"/>
      <c r="F2176" s="10"/>
      <c r="G2176" s="10"/>
      <c r="H2176" s="770"/>
      <c r="I2176" s="10"/>
      <c r="J2176" s="10"/>
      <c r="K2176" s="10"/>
      <c r="L2176" s="10"/>
      <c r="M2176" s="770"/>
      <c r="N2176" s="10"/>
      <c r="O2176" s="10"/>
      <c r="P2176" s="10"/>
      <c r="Q2176" s="10"/>
      <c r="R2176" s="10"/>
      <c r="S2176" s="10"/>
    </row>
    <row r="2177" spans="1:19" x14ac:dyDescent="0.25">
      <c r="A2177" s="10"/>
      <c r="B2177" s="10"/>
      <c r="C2177" s="10"/>
      <c r="D2177" s="10"/>
      <c r="E2177" s="10"/>
      <c r="F2177" s="10"/>
      <c r="G2177" s="10"/>
      <c r="H2177" s="770"/>
      <c r="I2177" s="10"/>
      <c r="J2177" s="10"/>
      <c r="K2177" s="10"/>
      <c r="L2177" s="10"/>
      <c r="M2177" s="770"/>
      <c r="N2177" s="10"/>
      <c r="O2177" s="10"/>
      <c r="P2177" s="10"/>
      <c r="Q2177" s="10"/>
      <c r="R2177" s="10"/>
      <c r="S2177" s="10"/>
    </row>
    <row r="2178" spans="1:19" x14ac:dyDescent="0.25">
      <c r="A2178" s="10"/>
      <c r="B2178" s="10"/>
      <c r="C2178" s="10"/>
      <c r="D2178" s="10"/>
      <c r="E2178" s="10"/>
      <c r="F2178" s="10"/>
      <c r="G2178" s="10"/>
      <c r="H2178" s="770"/>
      <c r="I2178" s="10"/>
      <c r="J2178" s="10"/>
      <c r="K2178" s="10"/>
      <c r="L2178" s="10"/>
      <c r="M2178" s="770"/>
      <c r="N2178" s="10"/>
      <c r="O2178" s="10"/>
      <c r="P2178" s="10"/>
      <c r="Q2178" s="10"/>
      <c r="R2178" s="10"/>
      <c r="S2178" s="10"/>
    </row>
    <row r="2179" spans="1:19" x14ac:dyDescent="0.25">
      <c r="I2179" s="10"/>
    </row>
    <row r="2180" spans="1:19" x14ac:dyDescent="0.25">
      <c r="I2180" s="10"/>
    </row>
    <row r="2181" spans="1:19" x14ac:dyDescent="0.25">
      <c r="I2181" s="10"/>
    </row>
  </sheetData>
  <mergeCells count="3">
    <mergeCell ref="D1:H1"/>
    <mergeCell ref="N1:R1"/>
    <mergeCell ref="I1:M1"/>
  </mergeCell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K226"/>
  <sheetViews>
    <sheetView topLeftCell="B1" workbookViewId="0">
      <pane ySplit="1" topLeftCell="A2" activePane="bottomLeft" state="frozen"/>
      <selection pane="bottomLeft" activeCell="J8" sqref="J8"/>
    </sheetView>
  </sheetViews>
  <sheetFormatPr defaultRowHeight="15" x14ac:dyDescent="0.25"/>
  <cols>
    <col min="7" max="7" width="10.7109375" style="247" customWidth="1"/>
    <col min="8" max="8" width="10.5703125" style="247" customWidth="1"/>
    <col min="9" max="11" width="11.5703125" style="247" customWidth="1"/>
  </cols>
  <sheetData>
    <row r="2" spans="7:11" x14ac:dyDescent="0.25">
      <c r="G2" s="585"/>
    </row>
    <row r="3" spans="7:11" x14ac:dyDescent="0.25">
      <c r="G3" s="585"/>
      <c r="K3" s="587"/>
    </row>
    <row r="4" spans="7:11" x14ac:dyDescent="0.25">
      <c r="G4" s="585"/>
    </row>
    <row r="5" spans="7:11" x14ac:dyDescent="0.25">
      <c r="G5" s="585"/>
    </row>
    <row r="6" spans="7:11" x14ac:dyDescent="0.25">
      <c r="G6" s="585"/>
    </row>
    <row r="7" spans="7:11" x14ac:dyDescent="0.25">
      <c r="G7" s="585"/>
    </row>
    <row r="8" spans="7:11" x14ac:dyDescent="0.25">
      <c r="G8" s="585"/>
    </row>
    <row r="9" spans="7:11" x14ac:dyDescent="0.25">
      <c r="G9" s="585"/>
    </row>
    <row r="10" spans="7:11" x14ac:dyDescent="0.25">
      <c r="G10" s="585"/>
    </row>
    <row r="11" spans="7:11" x14ac:dyDescent="0.25">
      <c r="G11" s="585"/>
    </row>
    <row r="12" spans="7:11" x14ac:dyDescent="0.25">
      <c r="G12" s="585"/>
    </row>
    <row r="13" spans="7:11" x14ac:dyDescent="0.25">
      <c r="G13" s="585"/>
    </row>
    <row r="14" spans="7:11" x14ac:dyDescent="0.25">
      <c r="G14" s="585"/>
    </row>
    <row r="15" spans="7:11" x14ac:dyDescent="0.25">
      <c r="G15" s="585"/>
    </row>
    <row r="16" spans="7:11" x14ac:dyDescent="0.25">
      <c r="G16" s="585"/>
    </row>
    <row r="17" spans="7:11" x14ac:dyDescent="0.25">
      <c r="G17" s="585"/>
    </row>
    <row r="18" spans="7:11" x14ac:dyDescent="0.25">
      <c r="G18" s="585"/>
      <c r="J18" s="586"/>
      <c r="K18" s="587"/>
    </row>
    <row r="19" spans="7:11" x14ac:dyDescent="0.25">
      <c r="G19" s="585"/>
      <c r="J19" s="586"/>
      <c r="K19" s="587"/>
    </row>
    <row r="20" spans="7:11" x14ac:dyDescent="0.25">
      <c r="G20" s="585"/>
    </row>
    <row r="21" spans="7:11" x14ac:dyDescent="0.25">
      <c r="G21" s="585"/>
    </row>
    <row r="22" spans="7:11" x14ac:dyDescent="0.25">
      <c r="G22" s="585"/>
    </row>
    <row r="23" spans="7:11" x14ac:dyDescent="0.25">
      <c r="G23" s="585"/>
    </row>
    <row r="24" spans="7:11" x14ac:dyDescent="0.25">
      <c r="G24" s="585"/>
    </row>
    <row r="25" spans="7:11" x14ac:dyDescent="0.25">
      <c r="G25" s="585"/>
    </row>
    <row r="26" spans="7:11" x14ac:dyDescent="0.25">
      <c r="G26" s="585"/>
    </row>
    <row r="27" spans="7:11" x14ac:dyDescent="0.25">
      <c r="G27" s="585"/>
    </row>
    <row r="28" spans="7:11" x14ac:dyDescent="0.25">
      <c r="G28" s="585"/>
    </row>
    <row r="29" spans="7:11" x14ac:dyDescent="0.25">
      <c r="G29" s="585"/>
    </row>
    <row r="30" spans="7:11" x14ac:dyDescent="0.25">
      <c r="G30" s="585"/>
    </row>
    <row r="31" spans="7:11" x14ac:dyDescent="0.25">
      <c r="G31" s="585"/>
    </row>
    <row r="32" spans="7:11" x14ac:dyDescent="0.25">
      <c r="G32" s="585"/>
    </row>
    <row r="33" spans="7:11" x14ac:dyDescent="0.25">
      <c r="G33" s="585"/>
    </row>
    <row r="34" spans="7:11" x14ac:dyDescent="0.25">
      <c r="G34" s="585"/>
      <c r="H34" s="584"/>
      <c r="K34" s="587"/>
    </row>
    <row r="35" spans="7:11" x14ac:dyDescent="0.25">
      <c r="G35" s="585"/>
      <c r="K35" s="587"/>
    </row>
    <row r="36" spans="7:11" x14ac:dyDescent="0.25">
      <c r="G36" s="585"/>
      <c r="K36" s="587"/>
    </row>
    <row r="37" spans="7:11" x14ac:dyDescent="0.25">
      <c r="G37" s="585"/>
      <c r="K37" s="587"/>
    </row>
    <row r="38" spans="7:11" x14ac:dyDescent="0.25">
      <c r="G38" s="585"/>
      <c r="K38" s="587"/>
    </row>
    <row r="39" spans="7:11" x14ac:dyDescent="0.25">
      <c r="G39" s="585"/>
      <c r="K39" s="587"/>
    </row>
    <row r="40" spans="7:11" x14ac:dyDescent="0.25">
      <c r="G40" s="585"/>
      <c r="H40" s="584"/>
      <c r="K40" s="587"/>
    </row>
    <row r="41" spans="7:11" x14ac:dyDescent="0.25">
      <c r="G41" s="585"/>
      <c r="K41" s="587"/>
    </row>
    <row r="42" spans="7:11" x14ac:dyDescent="0.25">
      <c r="G42" s="585"/>
      <c r="K42" s="587"/>
    </row>
    <row r="43" spans="7:11" x14ac:dyDescent="0.25">
      <c r="G43" s="585"/>
      <c r="K43" s="587"/>
    </row>
    <row r="44" spans="7:11" x14ac:dyDescent="0.25">
      <c r="G44" s="585"/>
      <c r="K44" s="587"/>
    </row>
    <row r="45" spans="7:11" x14ac:dyDescent="0.25">
      <c r="G45" s="585"/>
      <c r="K45" s="587"/>
    </row>
    <row r="46" spans="7:11" x14ac:dyDescent="0.25">
      <c r="G46" s="585"/>
      <c r="K46" s="587"/>
    </row>
    <row r="47" spans="7:11" x14ac:dyDescent="0.25">
      <c r="G47" s="585"/>
      <c r="K47" s="587"/>
    </row>
    <row r="48" spans="7:11" x14ac:dyDescent="0.25">
      <c r="G48" s="585"/>
      <c r="K48" s="587"/>
    </row>
    <row r="49" spans="7:11" x14ac:dyDescent="0.25">
      <c r="G49" s="585"/>
      <c r="K49" s="587"/>
    </row>
    <row r="50" spans="7:11" x14ac:dyDescent="0.25">
      <c r="G50" s="585"/>
      <c r="K50" s="587"/>
    </row>
    <row r="51" spans="7:11" x14ac:dyDescent="0.25">
      <c r="G51" s="585"/>
      <c r="K51" s="587"/>
    </row>
    <row r="52" spans="7:11" x14ac:dyDescent="0.25">
      <c r="G52" s="585"/>
      <c r="K52" s="587"/>
    </row>
    <row r="53" spans="7:11" x14ac:dyDescent="0.25">
      <c r="G53" s="585"/>
      <c r="K53" s="587"/>
    </row>
    <row r="54" spans="7:11" x14ac:dyDescent="0.25">
      <c r="G54" s="585"/>
      <c r="K54" s="587"/>
    </row>
    <row r="55" spans="7:11" x14ac:dyDescent="0.25">
      <c r="G55" s="585"/>
      <c r="K55" s="587"/>
    </row>
    <row r="56" spans="7:11" x14ac:dyDescent="0.25">
      <c r="G56" s="585"/>
      <c r="K56" s="587"/>
    </row>
    <row r="57" spans="7:11" x14ac:dyDescent="0.25">
      <c r="G57" s="585"/>
      <c r="K57" s="587"/>
    </row>
    <row r="58" spans="7:11" x14ac:dyDescent="0.25">
      <c r="G58" s="585"/>
      <c r="K58" s="587"/>
    </row>
    <row r="59" spans="7:11" x14ac:dyDescent="0.25">
      <c r="G59" s="585"/>
      <c r="K59" s="587"/>
    </row>
    <row r="60" spans="7:11" x14ac:dyDescent="0.25">
      <c r="G60" s="585"/>
      <c r="K60" s="587"/>
    </row>
    <row r="61" spans="7:11" x14ac:dyDescent="0.25">
      <c r="G61" s="585"/>
      <c r="K61" s="587"/>
    </row>
    <row r="62" spans="7:11" x14ac:dyDescent="0.25">
      <c r="G62" s="585"/>
      <c r="K62" s="587"/>
    </row>
    <row r="63" spans="7:11" x14ac:dyDescent="0.25">
      <c r="G63" s="585"/>
      <c r="K63" s="587"/>
    </row>
    <row r="64" spans="7:11" x14ac:dyDescent="0.25">
      <c r="G64" s="585"/>
      <c r="K64" s="587"/>
    </row>
    <row r="65" spans="7:11" x14ac:dyDescent="0.25">
      <c r="G65" s="585"/>
      <c r="K65" s="587"/>
    </row>
    <row r="66" spans="7:11" x14ac:dyDescent="0.25">
      <c r="G66" s="585"/>
      <c r="K66" s="587"/>
    </row>
    <row r="67" spans="7:11" x14ac:dyDescent="0.25">
      <c r="G67" s="585"/>
      <c r="K67" s="587"/>
    </row>
    <row r="68" spans="7:11" x14ac:dyDescent="0.25">
      <c r="G68" s="585"/>
      <c r="K68" s="587"/>
    </row>
    <row r="69" spans="7:11" x14ac:dyDescent="0.25">
      <c r="G69" s="585"/>
      <c r="K69" s="587"/>
    </row>
    <row r="70" spans="7:11" x14ac:dyDescent="0.25">
      <c r="G70" s="585"/>
      <c r="K70" s="587"/>
    </row>
    <row r="71" spans="7:11" x14ac:dyDescent="0.25">
      <c r="G71" s="585"/>
      <c r="K71" s="587"/>
    </row>
    <row r="72" spans="7:11" x14ac:dyDescent="0.25">
      <c r="G72" s="585"/>
      <c r="K72" s="587"/>
    </row>
    <row r="73" spans="7:11" x14ac:dyDescent="0.25">
      <c r="G73" s="585"/>
      <c r="K73" s="587"/>
    </row>
    <row r="74" spans="7:11" x14ac:dyDescent="0.25">
      <c r="G74" s="585"/>
      <c r="K74" s="587"/>
    </row>
    <row r="75" spans="7:11" x14ac:dyDescent="0.25">
      <c r="G75" s="585"/>
      <c r="K75" s="587"/>
    </row>
    <row r="76" spans="7:11" x14ac:dyDescent="0.25">
      <c r="G76" s="585"/>
      <c r="K76" s="587"/>
    </row>
    <row r="77" spans="7:11" x14ac:dyDescent="0.25">
      <c r="G77" s="585"/>
      <c r="K77" s="587"/>
    </row>
    <row r="78" spans="7:11" x14ac:dyDescent="0.25">
      <c r="G78" s="585"/>
      <c r="K78" s="587"/>
    </row>
    <row r="79" spans="7:11" x14ac:dyDescent="0.25">
      <c r="G79" s="585"/>
      <c r="K79" s="587"/>
    </row>
    <row r="80" spans="7:11" x14ac:dyDescent="0.25">
      <c r="G80" s="585"/>
      <c r="K80" s="587"/>
    </row>
    <row r="81" spans="7:11" x14ac:dyDescent="0.25">
      <c r="G81" s="585"/>
      <c r="K81" s="587"/>
    </row>
    <row r="82" spans="7:11" x14ac:dyDescent="0.25">
      <c r="G82" s="585"/>
      <c r="K82" s="587"/>
    </row>
    <row r="83" spans="7:11" x14ac:dyDescent="0.25">
      <c r="G83" s="585"/>
      <c r="K83" s="587"/>
    </row>
    <row r="84" spans="7:11" x14ac:dyDescent="0.25">
      <c r="G84" s="585"/>
      <c r="K84" s="587"/>
    </row>
    <row r="85" spans="7:11" x14ac:dyDescent="0.25">
      <c r="G85" s="585"/>
      <c r="K85" s="587"/>
    </row>
    <row r="86" spans="7:11" x14ac:dyDescent="0.25">
      <c r="G86" s="585"/>
      <c r="K86" s="587"/>
    </row>
    <row r="87" spans="7:11" x14ac:dyDescent="0.25">
      <c r="G87" s="585"/>
      <c r="K87" s="587"/>
    </row>
    <row r="88" spans="7:11" x14ac:dyDescent="0.25">
      <c r="G88" s="585"/>
      <c r="K88" s="587"/>
    </row>
    <row r="89" spans="7:11" x14ac:dyDescent="0.25">
      <c r="G89" s="585"/>
      <c r="K89" s="587"/>
    </row>
    <row r="90" spans="7:11" x14ac:dyDescent="0.25">
      <c r="G90" s="585"/>
      <c r="K90" s="587"/>
    </row>
    <row r="91" spans="7:11" x14ac:dyDescent="0.25">
      <c r="G91" s="585"/>
      <c r="K91" s="587"/>
    </row>
    <row r="92" spans="7:11" x14ac:dyDescent="0.25">
      <c r="G92" s="585"/>
      <c r="K92" s="587"/>
    </row>
    <row r="93" spans="7:11" x14ac:dyDescent="0.25">
      <c r="G93" s="585"/>
      <c r="K93" s="587"/>
    </row>
    <row r="94" spans="7:11" x14ac:dyDescent="0.25">
      <c r="G94" s="585"/>
      <c r="K94" s="587"/>
    </row>
    <row r="95" spans="7:11" x14ac:dyDescent="0.25">
      <c r="G95" s="585"/>
      <c r="K95" s="587"/>
    </row>
    <row r="96" spans="7:11" x14ac:dyDescent="0.25">
      <c r="G96" s="585"/>
      <c r="K96" s="587"/>
    </row>
    <row r="97" spans="7:11" x14ac:dyDescent="0.25">
      <c r="G97" s="585"/>
      <c r="K97" s="587"/>
    </row>
    <row r="98" spans="7:11" x14ac:dyDescent="0.25">
      <c r="G98" s="585"/>
      <c r="K98" s="587"/>
    </row>
    <row r="99" spans="7:11" x14ac:dyDescent="0.25">
      <c r="G99" s="585"/>
      <c r="K99" s="587"/>
    </row>
    <row r="100" spans="7:11" x14ac:dyDescent="0.25">
      <c r="G100" s="585"/>
      <c r="K100" s="587"/>
    </row>
    <row r="101" spans="7:11" x14ac:dyDescent="0.25">
      <c r="G101" s="585"/>
      <c r="K101" s="587"/>
    </row>
    <row r="102" spans="7:11" x14ac:dyDescent="0.25">
      <c r="G102" s="585"/>
      <c r="K102" s="587"/>
    </row>
    <row r="103" spans="7:11" x14ac:dyDescent="0.25">
      <c r="G103" s="585"/>
      <c r="K103" s="587"/>
    </row>
    <row r="104" spans="7:11" x14ac:dyDescent="0.25">
      <c r="G104" s="585"/>
      <c r="K104" s="587"/>
    </row>
    <row r="105" spans="7:11" x14ac:dyDescent="0.25">
      <c r="G105" s="585"/>
      <c r="K105" s="587"/>
    </row>
    <row r="106" spans="7:11" x14ac:dyDescent="0.25">
      <c r="G106" s="585"/>
      <c r="K106" s="587"/>
    </row>
    <row r="107" spans="7:11" x14ac:dyDescent="0.25">
      <c r="G107" s="585"/>
      <c r="K107" s="587"/>
    </row>
    <row r="108" spans="7:11" x14ac:dyDescent="0.25">
      <c r="G108" s="585"/>
      <c r="K108" s="587"/>
    </row>
    <row r="109" spans="7:11" x14ac:dyDescent="0.25">
      <c r="G109" s="585"/>
      <c r="K109" s="587"/>
    </row>
    <row r="110" spans="7:11" x14ac:dyDescent="0.25">
      <c r="G110" s="585"/>
      <c r="K110" s="587"/>
    </row>
    <row r="111" spans="7:11" x14ac:dyDescent="0.25">
      <c r="G111" s="585"/>
      <c r="K111" s="587"/>
    </row>
    <row r="112" spans="7:11" x14ac:dyDescent="0.25">
      <c r="G112" s="585"/>
      <c r="K112" s="587"/>
    </row>
    <row r="113" spans="7:11" x14ac:dyDescent="0.25">
      <c r="G113" s="585"/>
      <c r="K113" s="587"/>
    </row>
    <row r="114" spans="7:11" x14ac:dyDescent="0.25">
      <c r="G114" s="585"/>
      <c r="K114" s="587"/>
    </row>
    <row r="115" spans="7:11" x14ac:dyDescent="0.25">
      <c r="G115" s="585"/>
      <c r="K115" s="587"/>
    </row>
    <row r="116" spans="7:11" x14ac:dyDescent="0.25">
      <c r="G116" s="585"/>
      <c r="K116" s="587"/>
    </row>
    <row r="117" spans="7:11" x14ac:dyDescent="0.25">
      <c r="G117" s="585"/>
      <c r="K117" s="587"/>
    </row>
    <row r="118" spans="7:11" x14ac:dyDescent="0.25">
      <c r="G118" s="585"/>
      <c r="K118" s="587"/>
    </row>
    <row r="119" spans="7:11" x14ac:dyDescent="0.25">
      <c r="G119" s="585"/>
      <c r="K119" s="587"/>
    </row>
    <row r="120" spans="7:11" x14ac:dyDescent="0.25">
      <c r="G120" s="585"/>
      <c r="K120" s="587"/>
    </row>
    <row r="121" spans="7:11" x14ac:dyDescent="0.25">
      <c r="G121" s="585"/>
      <c r="K121" s="587"/>
    </row>
    <row r="122" spans="7:11" x14ac:dyDescent="0.25">
      <c r="G122" s="585"/>
      <c r="K122" s="587"/>
    </row>
    <row r="123" spans="7:11" x14ac:dyDescent="0.25">
      <c r="G123" s="585"/>
      <c r="K123" s="587"/>
    </row>
    <row r="124" spans="7:11" x14ac:dyDescent="0.25">
      <c r="G124" s="585"/>
      <c r="K124" s="587"/>
    </row>
    <row r="125" spans="7:11" x14ac:dyDescent="0.25">
      <c r="G125" s="585"/>
      <c r="K125" s="587"/>
    </row>
    <row r="126" spans="7:11" x14ac:dyDescent="0.25">
      <c r="G126" s="585"/>
      <c r="K126" s="587"/>
    </row>
    <row r="127" spans="7:11" x14ac:dyDescent="0.25">
      <c r="G127" s="585"/>
      <c r="K127" s="587"/>
    </row>
    <row r="128" spans="7:11" x14ac:dyDescent="0.25">
      <c r="G128" s="585"/>
      <c r="K128" s="587"/>
    </row>
    <row r="129" spans="7:11" x14ac:dyDescent="0.25">
      <c r="G129" s="585"/>
      <c r="K129" s="587"/>
    </row>
    <row r="130" spans="7:11" x14ac:dyDescent="0.25">
      <c r="G130" s="585"/>
      <c r="K130" s="587"/>
    </row>
    <row r="131" spans="7:11" x14ac:dyDescent="0.25">
      <c r="G131" s="585"/>
      <c r="K131" s="587"/>
    </row>
    <row r="132" spans="7:11" x14ac:dyDescent="0.25">
      <c r="G132" s="585"/>
      <c r="K132" s="587"/>
    </row>
    <row r="133" spans="7:11" x14ac:dyDescent="0.25">
      <c r="G133" s="585"/>
      <c r="K133" s="587"/>
    </row>
    <row r="134" spans="7:11" x14ac:dyDescent="0.25">
      <c r="G134" s="585"/>
      <c r="K134" s="587"/>
    </row>
    <row r="135" spans="7:11" x14ac:dyDescent="0.25">
      <c r="G135" s="585"/>
      <c r="K135" s="587"/>
    </row>
    <row r="136" spans="7:11" x14ac:dyDescent="0.25">
      <c r="G136" s="585"/>
      <c r="K136" s="587"/>
    </row>
    <row r="137" spans="7:11" x14ac:dyDescent="0.25">
      <c r="G137" s="585"/>
      <c r="K137" s="587"/>
    </row>
    <row r="138" spans="7:11" x14ac:dyDescent="0.25">
      <c r="G138" s="585"/>
      <c r="K138" s="587"/>
    </row>
    <row r="139" spans="7:11" x14ac:dyDescent="0.25">
      <c r="G139" s="585"/>
      <c r="K139" s="587"/>
    </row>
    <row r="140" spans="7:11" x14ac:dyDescent="0.25">
      <c r="G140" s="585"/>
      <c r="K140" s="587"/>
    </row>
    <row r="141" spans="7:11" x14ac:dyDescent="0.25">
      <c r="G141" s="585"/>
      <c r="K141" s="587"/>
    </row>
    <row r="142" spans="7:11" x14ac:dyDescent="0.25">
      <c r="G142" s="585"/>
      <c r="K142" s="587"/>
    </row>
    <row r="143" spans="7:11" x14ac:dyDescent="0.25">
      <c r="G143" s="585"/>
      <c r="K143" s="587"/>
    </row>
    <row r="144" spans="7:11" x14ac:dyDescent="0.25">
      <c r="G144" s="585"/>
      <c r="K144" s="587"/>
    </row>
    <row r="145" spans="7:11" x14ac:dyDescent="0.25">
      <c r="G145" s="585"/>
      <c r="K145" s="587"/>
    </row>
    <row r="146" spans="7:11" x14ac:dyDescent="0.25">
      <c r="G146" s="585"/>
      <c r="K146" s="587"/>
    </row>
    <row r="147" spans="7:11" x14ac:dyDescent="0.25">
      <c r="G147" s="585"/>
      <c r="K147" s="587"/>
    </row>
    <row r="148" spans="7:11" x14ac:dyDescent="0.25">
      <c r="G148" s="585"/>
      <c r="K148" s="587"/>
    </row>
    <row r="149" spans="7:11" x14ac:dyDescent="0.25">
      <c r="G149" s="585"/>
      <c r="K149" s="587"/>
    </row>
    <row r="150" spans="7:11" x14ac:dyDescent="0.25">
      <c r="G150" s="585"/>
      <c r="K150" s="587"/>
    </row>
    <row r="151" spans="7:11" x14ac:dyDescent="0.25">
      <c r="G151" s="585"/>
      <c r="K151" s="587"/>
    </row>
    <row r="152" spans="7:11" x14ac:dyDescent="0.25">
      <c r="G152" s="585"/>
      <c r="K152" s="587"/>
    </row>
    <row r="153" spans="7:11" x14ac:dyDescent="0.25">
      <c r="G153" s="585"/>
      <c r="K153" s="587"/>
    </row>
    <row r="154" spans="7:11" x14ac:dyDescent="0.25">
      <c r="G154" s="585"/>
      <c r="K154" s="587"/>
    </row>
    <row r="155" spans="7:11" x14ac:dyDescent="0.25">
      <c r="G155" s="585"/>
      <c r="K155" s="587"/>
    </row>
    <row r="156" spans="7:11" x14ac:dyDescent="0.25">
      <c r="G156" s="585"/>
      <c r="K156" s="587"/>
    </row>
    <row r="157" spans="7:11" x14ac:dyDescent="0.25">
      <c r="G157" s="585"/>
      <c r="K157" s="587"/>
    </row>
    <row r="158" spans="7:11" x14ac:dyDescent="0.25">
      <c r="G158" s="585"/>
      <c r="K158" s="587"/>
    </row>
    <row r="159" spans="7:11" x14ac:dyDescent="0.25">
      <c r="G159" s="585"/>
      <c r="K159" s="587"/>
    </row>
    <row r="160" spans="7:11" x14ac:dyDescent="0.25">
      <c r="G160" s="585"/>
      <c r="K160" s="587"/>
    </row>
    <row r="161" spans="7:11" x14ac:dyDescent="0.25">
      <c r="G161" s="585"/>
      <c r="K161" s="587"/>
    </row>
    <row r="162" spans="7:11" x14ac:dyDescent="0.25">
      <c r="G162" s="585"/>
      <c r="K162" s="587"/>
    </row>
    <row r="163" spans="7:11" x14ac:dyDescent="0.25">
      <c r="G163" s="585"/>
      <c r="K163" s="587"/>
    </row>
    <row r="164" spans="7:11" x14ac:dyDescent="0.25">
      <c r="G164" s="585"/>
      <c r="K164" s="587"/>
    </row>
    <row r="165" spans="7:11" x14ac:dyDescent="0.25">
      <c r="G165" s="585"/>
      <c r="K165" s="587"/>
    </row>
    <row r="166" spans="7:11" x14ac:dyDescent="0.25">
      <c r="G166" s="585"/>
      <c r="K166" s="587"/>
    </row>
    <row r="167" spans="7:11" x14ac:dyDescent="0.25">
      <c r="G167" s="585"/>
      <c r="K167" s="587"/>
    </row>
    <row r="168" spans="7:11" x14ac:dyDescent="0.25">
      <c r="G168" s="585"/>
      <c r="K168" s="587"/>
    </row>
    <row r="169" spans="7:11" x14ac:dyDescent="0.25">
      <c r="G169" s="585"/>
      <c r="K169" s="587"/>
    </row>
    <row r="170" spans="7:11" x14ac:dyDescent="0.25">
      <c r="G170" s="585"/>
      <c r="K170" s="587"/>
    </row>
    <row r="171" spans="7:11" x14ac:dyDescent="0.25">
      <c r="G171" s="585"/>
      <c r="K171" s="587"/>
    </row>
    <row r="172" spans="7:11" x14ac:dyDescent="0.25">
      <c r="G172" s="585"/>
      <c r="K172" s="587"/>
    </row>
    <row r="173" spans="7:11" x14ac:dyDescent="0.25">
      <c r="G173" s="585"/>
      <c r="K173" s="587"/>
    </row>
    <row r="174" spans="7:11" x14ac:dyDescent="0.25">
      <c r="G174" s="585"/>
      <c r="K174" s="587"/>
    </row>
    <row r="175" spans="7:11" x14ac:dyDescent="0.25">
      <c r="G175" s="585"/>
      <c r="K175" s="587"/>
    </row>
    <row r="176" spans="7:11" x14ac:dyDescent="0.25">
      <c r="G176" s="585"/>
      <c r="K176" s="587"/>
    </row>
    <row r="177" spans="7:11" x14ac:dyDescent="0.25">
      <c r="G177" s="585"/>
      <c r="K177" s="587"/>
    </row>
    <row r="178" spans="7:11" x14ac:dyDescent="0.25">
      <c r="G178" s="585"/>
      <c r="K178" s="587"/>
    </row>
    <row r="179" spans="7:11" x14ac:dyDescent="0.25">
      <c r="G179" s="585"/>
      <c r="K179" s="587"/>
    </row>
    <row r="180" spans="7:11" x14ac:dyDescent="0.25">
      <c r="G180" s="585"/>
      <c r="K180" s="587"/>
    </row>
    <row r="181" spans="7:11" x14ac:dyDescent="0.25">
      <c r="G181" s="585"/>
      <c r="K181" s="587"/>
    </row>
    <row r="182" spans="7:11" x14ac:dyDescent="0.25">
      <c r="G182" s="585"/>
      <c r="K182" s="587"/>
    </row>
    <row r="183" spans="7:11" x14ac:dyDescent="0.25">
      <c r="G183" s="585"/>
      <c r="K183" s="587"/>
    </row>
    <row r="184" spans="7:11" x14ac:dyDescent="0.25">
      <c r="G184" s="585"/>
      <c r="K184" s="587"/>
    </row>
    <row r="185" spans="7:11" x14ac:dyDescent="0.25">
      <c r="G185" s="585"/>
      <c r="K185" s="587"/>
    </row>
    <row r="186" spans="7:11" x14ac:dyDescent="0.25">
      <c r="G186" s="585"/>
      <c r="K186" s="587"/>
    </row>
    <row r="187" spans="7:11" x14ac:dyDescent="0.25">
      <c r="G187" s="585"/>
      <c r="K187" s="587"/>
    </row>
    <row r="188" spans="7:11" x14ac:dyDescent="0.25">
      <c r="G188" s="585"/>
      <c r="K188" s="587"/>
    </row>
    <row r="189" spans="7:11" x14ac:dyDescent="0.25">
      <c r="G189" s="585"/>
      <c r="K189" s="587"/>
    </row>
    <row r="190" spans="7:11" x14ac:dyDescent="0.25">
      <c r="G190" s="585"/>
      <c r="K190" s="587"/>
    </row>
    <row r="191" spans="7:11" x14ac:dyDescent="0.25">
      <c r="G191" s="585"/>
      <c r="K191" s="587"/>
    </row>
    <row r="192" spans="7:11" x14ac:dyDescent="0.25">
      <c r="G192" s="585"/>
      <c r="K192" s="587"/>
    </row>
    <row r="193" spans="7:11" x14ac:dyDescent="0.25">
      <c r="G193" s="585"/>
      <c r="K193" s="587"/>
    </row>
    <row r="194" spans="7:11" x14ac:dyDescent="0.25">
      <c r="G194" s="585"/>
      <c r="H194" s="627"/>
      <c r="I194" s="627"/>
      <c r="K194" s="587"/>
    </row>
    <row r="195" spans="7:11" x14ac:dyDescent="0.25">
      <c r="G195" s="585"/>
      <c r="H195" s="627"/>
      <c r="I195" s="627"/>
      <c r="K195" s="587"/>
    </row>
    <row r="196" spans="7:11" x14ac:dyDescent="0.25">
      <c r="G196" s="585"/>
      <c r="H196" s="627"/>
      <c r="I196" s="627"/>
      <c r="K196" s="587"/>
    </row>
    <row r="197" spans="7:11" x14ac:dyDescent="0.25">
      <c r="G197" s="585"/>
      <c r="H197" s="627"/>
      <c r="I197" s="627"/>
      <c r="K197" s="587"/>
    </row>
    <row r="198" spans="7:11" x14ac:dyDescent="0.25">
      <c r="G198" s="585"/>
      <c r="H198" s="627"/>
      <c r="I198" s="627"/>
      <c r="K198" s="587"/>
    </row>
    <row r="199" spans="7:11" x14ac:dyDescent="0.25">
      <c r="G199" s="585"/>
      <c r="H199" s="627"/>
      <c r="I199" s="627"/>
      <c r="K199" s="587"/>
    </row>
    <row r="200" spans="7:11" x14ac:dyDescent="0.25">
      <c r="G200" s="585"/>
      <c r="H200" s="627"/>
      <c r="I200" s="627"/>
      <c r="K200" s="587"/>
    </row>
    <row r="201" spans="7:11" x14ac:dyDescent="0.25">
      <c r="G201" s="585"/>
      <c r="H201" s="627"/>
      <c r="I201" s="627"/>
      <c r="K201" s="587"/>
    </row>
    <row r="202" spans="7:11" x14ac:dyDescent="0.25">
      <c r="G202" s="585"/>
      <c r="H202" s="627"/>
      <c r="I202" s="627"/>
      <c r="K202" s="587"/>
    </row>
    <row r="203" spans="7:11" x14ac:dyDescent="0.25">
      <c r="G203" s="585"/>
      <c r="H203" s="627"/>
      <c r="I203" s="627"/>
      <c r="K203" s="587"/>
    </row>
    <row r="204" spans="7:11" x14ac:dyDescent="0.25">
      <c r="G204" s="585"/>
      <c r="H204" s="627"/>
      <c r="I204" s="627"/>
      <c r="K204" s="587"/>
    </row>
    <row r="205" spans="7:11" x14ac:dyDescent="0.25">
      <c r="G205" s="585"/>
      <c r="H205" s="627"/>
      <c r="I205" s="627"/>
      <c r="K205" s="587"/>
    </row>
    <row r="206" spans="7:11" x14ac:dyDescent="0.25">
      <c r="G206" s="585"/>
      <c r="H206" s="627"/>
      <c r="I206" s="627"/>
      <c r="K206" s="587"/>
    </row>
    <row r="207" spans="7:11" x14ac:dyDescent="0.25">
      <c r="G207" s="585"/>
      <c r="H207" s="627"/>
      <c r="I207" s="627"/>
      <c r="K207" s="587"/>
    </row>
    <row r="208" spans="7:11" x14ac:dyDescent="0.25">
      <c r="G208" s="585"/>
      <c r="H208" s="627"/>
      <c r="I208" s="627"/>
      <c r="K208" s="587"/>
    </row>
    <row r="209" spans="7:11" x14ac:dyDescent="0.25">
      <c r="G209" s="585"/>
      <c r="H209" s="627"/>
      <c r="I209" s="627"/>
      <c r="K209" s="587"/>
    </row>
    <row r="210" spans="7:11" x14ac:dyDescent="0.25">
      <c r="G210" s="585"/>
      <c r="K210" s="587"/>
    </row>
    <row r="211" spans="7:11" x14ac:dyDescent="0.25">
      <c r="G211" s="585"/>
      <c r="K211" s="587"/>
    </row>
    <row r="212" spans="7:11" x14ac:dyDescent="0.25">
      <c r="G212" s="585"/>
      <c r="K212" s="587"/>
    </row>
    <row r="213" spans="7:11" x14ac:dyDescent="0.25">
      <c r="G213" s="585"/>
      <c r="K213" s="587"/>
    </row>
    <row r="214" spans="7:11" x14ac:dyDescent="0.25">
      <c r="G214" s="585"/>
      <c r="K214" s="587"/>
    </row>
    <row r="215" spans="7:11" x14ac:dyDescent="0.25">
      <c r="G215" s="585"/>
      <c r="K215" s="587"/>
    </row>
    <row r="216" spans="7:11" x14ac:dyDescent="0.25">
      <c r="G216" s="585"/>
      <c r="K216" s="587"/>
    </row>
    <row r="217" spans="7:11" x14ac:dyDescent="0.25">
      <c r="G217" s="585"/>
      <c r="K217" s="587"/>
    </row>
    <row r="218" spans="7:11" x14ac:dyDescent="0.25">
      <c r="G218" s="585"/>
      <c r="K218" s="587"/>
    </row>
    <row r="219" spans="7:11" x14ac:dyDescent="0.25">
      <c r="G219" s="585"/>
      <c r="K219" s="587"/>
    </row>
    <row r="220" spans="7:11" x14ac:dyDescent="0.25">
      <c r="G220" s="585"/>
      <c r="K220" s="587"/>
    </row>
    <row r="221" spans="7:11" x14ac:dyDescent="0.25">
      <c r="G221" s="585"/>
      <c r="K221" s="587"/>
    </row>
    <row r="222" spans="7:11" x14ac:dyDescent="0.25">
      <c r="G222" s="585"/>
      <c r="K222" s="587"/>
    </row>
    <row r="223" spans="7:11" x14ac:dyDescent="0.25">
      <c r="G223" s="585"/>
      <c r="K223" s="587"/>
    </row>
    <row r="224" spans="7:11" x14ac:dyDescent="0.25">
      <c r="G224" s="585"/>
      <c r="K224" s="587"/>
    </row>
    <row r="225" spans="7:11" x14ac:dyDescent="0.25">
      <c r="G225" s="585"/>
      <c r="K225" s="587"/>
    </row>
    <row r="226" spans="7:11" x14ac:dyDescent="0.25">
      <c r="H226" s="585"/>
      <c r="I226" s="585"/>
      <c r="J226" s="585"/>
      <c r="K226" s="585"/>
    </row>
  </sheetData>
  <sortState ref="A2:K226">
    <sortCondition ref="D2:D22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H19" sqref="H19"/>
    </sheetView>
  </sheetViews>
  <sheetFormatPr defaultRowHeight="15" x14ac:dyDescent="0.25"/>
  <cols>
    <col min="1" max="6" width="16.28515625" customWidth="1"/>
  </cols>
  <sheetData>
    <row r="1" spans="1:8" ht="15" customHeight="1" x14ac:dyDescent="0.25">
      <c r="A1" s="1053" t="s">
        <v>684</v>
      </c>
      <c r="B1" s="1053"/>
      <c r="C1" s="1053"/>
      <c r="D1" s="1053"/>
      <c r="E1" s="1053"/>
      <c r="F1" s="1053"/>
      <c r="G1" s="935"/>
      <c r="H1" s="935"/>
    </row>
    <row r="2" spans="1:8" x14ac:dyDescent="0.25">
      <c r="A2" s="1053"/>
      <c r="B2" s="1053"/>
      <c r="C2" s="1053"/>
      <c r="D2" s="1053"/>
      <c r="E2" s="1053"/>
      <c r="F2" s="1053"/>
      <c r="G2" s="935"/>
      <c r="H2" s="935"/>
    </row>
    <row r="3" spans="1:8" x14ac:dyDescent="0.25">
      <c r="A3" s="1053"/>
      <c r="B3" s="1053"/>
      <c r="C3" s="1053"/>
      <c r="D3" s="1053"/>
      <c r="E3" s="1053"/>
      <c r="F3" s="1053"/>
      <c r="G3" s="935"/>
      <c r="H3" s="935"/>
    </row>
    <row r="4" spans="1:8" x14ac:dyDescent="0.25">
      <c r="A4" s="1053"/>
      <c r="B4" s="1053"/>
      <c r="C4" s="1053"/>
      <c r="D4" s="1053"/>
      <c r="E4" s="1053"/>
      <c r="F4" s="1053"/>
      <c r="G4" s="935"/>
      <c r="H4" s="935"/>
    </row>
    <row r="5" spans="1:8" x14ac:dyDescent="0.25">
      <c r="A5" s="935"/>
      <c r="B5" s="935"/>
      <c r="C5" s="935"/>
      <c r="D5" s="935"/>
      <c r="E5" s="935"/>
      <c r="F5" s="935"/>
      <c r="G5" s="935"/>
      <c r="H5" s="935"/>
    </row>
    <row r="6" spans="1:8" x14ac:dyDescent="0.25">
      <c r="A6" s="935"/>
      <c r="B6" s="935"/>
      <c r="C6" s="935"/>
      <c r="D6" s="935"/>
      <c r="E6" s="935"/>
      <c r="F6" s="935"/>
      <c r="G6" s="935"/>
      <c r="H6" s="935"/>
    </row>
    <row r="7" spans="1:8" x14ac:dyDescent="0.25">
      <c r="A7" s="935"/>
      <c r="B7" s="935"/>
      <c r="C7" s="935"/>
      <c r="D7" s="935"/>
      <c r="E7" s="935"/>
      <c r="F7" s="935"/>
      <c r="G7" s="935"/>
      <c r="H7" s="935"/>
    </row>
    <row r="8" spans="1:8" x14ac:dyDescent="0.25">
      <c r="A8" s="935"/>
      <c r="B8" s="935"/>
      <c r="C8" s="935"/>
      <c r="D8" s="935"/>
      <c r="E8" s="935"/>
      <c r="F8" s="935"/>
      <c r="G8" s="935"/>
      <c r="H8" s="935"/>
    </row>
    <row r="9" spans="1:8" ht="15" customHeight="1" x14ac:dyDescent="0.25">
      <c r="A9" s="1053" t="s">
        <v>685</v>
      </c>
      <c r="B9" s="1053"/>
      <c r="C9" s="1053"/>
      <c r="D9" s="1053"/>
      <c r="E9" s="1053"/>
      <c r="F9" s="1053"/>
      <c r="G9" s="935"/>
      <c r="H9" s="935"/>
    </row>
    <row r="10" spans="1:8" x14ac:dyDescent="0.25">
      <c r="A10" s="1053"/>
      <c r="B10" s="1053"/>
      <c r="C10" s="1053"/>
      <c r="D10" s="1053"/>
      <c r="E10" s="1053"/>
      <c r="F10" s="1053"/>
      <c r="G10" s="935"/>
      <c r="H10" s="935"/>
    </row>
    <row r="11" spans="1:8" x14ac:dyDescent="0.25">
      <c r="A11" s="1053"/>
      <c r="B11" s="1053"/>
      <c r="C11" s="1053"/>
      <c r="D11" s="1053"/>
      <c r="E11" s="1053"/>
      <c r="F11" s="1053"/>
      <c r="G11" s="935"/>
      <c r="H11" s="935"/>
    </row>
    <row r="12" spans="1:8" x14ac:dyDescent="0.25">
      <c r="A12" s="1053"/>
      <c r="B12" s="1053"/>
      <c r="C12" s="1053"/>
      <c r="D12" s="1053"/>
      <c r="E12" s="1053"/>
      <c r="F12" s="1053"/>
      <c r="G12" s="935"/>
      <c r="H12" s="935"/>
    </row>
    <row r="13" spans="1:8" x14ac:dyDescent="0.25">
      <c r="A13" s="1053"/>
      <c r="B13" s="1053"/>
      <c r="C13" s="1053"/>
      <c r="D13" s="1053"/>
      <c r="E13" s="1053"/>
      <c r="F13" s="1053"/>
      <c r="G13" s="935"/>
      <c r="H13" s="935"/>
    </row>
    <row r="14" spans="1:8" x14ac:dyDescent="0.25">
      <c r="A14" s="1053"/>
      <c r="B14" s="1053"/>
      <c r="C14" s="1053"/>
      <c r="D14" s="1053"/>
      <c r="E14" s="1053"/>
      <c r="F14" s="1053"/>
      <c r="G14" s="935"/>
      <c r="H14" s="935"/>
    </row>
    <row r="15" spans="1:8" x14ac:dyDescent="0.25">
      <c r="A15" s="1053"/>
      <c r="B15" s="1053"/>
      <c r="C15" s="1053"/>
      <c r="D15" s="1053"/>
      <c r="E15" s="1053"/>
      <c r="F15" s="1053"/>
      <c r="G15" s="935"/>
      <c r="H15" s="935"/>
    </row>
    <row r="16" spans="1:8" x14ac:dyDescent="0.25">
      <c r="A16" s="1053"/>
      <c r="B16" s="1053"/>
      <c r="C16" s="1053"/>
      <c r="D16" s="1053"/>
      <c r="E16" s="1053"/>
      <c r="F16" s="1053"/>
      <c r="G16" s="935"/>
      <c r="H16" s="935"/>
    </row>
    <row r="17" spans="1:8" x14ac:dyDescent="0.25">
      <c r="A17" s="935"/>
      <c r="B17" s="935"/>
      <c r="C17" s="935"/>
      <c r="D17" s="935"/>
      <c r="E17" s="935"/>
      <c r="F17" s="935"/>
      <c r="G17" s="935"/>
      <c r="H17" s="935"/>
    </row>
    <row r="18" spans="1:8" x14ac:dyDescent="0.25">
      <c r="A18" s="935"/>
      <c r="B18" s="935"/>
      <c r="C18" s="935"/>
      <c r="D18" s="935"/>
      <c r="E18" s="935"/>
      <c r="F18" s="935"/>
      <c r="G18" s="935"/>
      <c r="H18" s="935"/>
    </row>
    <row r="19" spans="1:8" x14ac:dyDescent="0.25">
      <c r="A19" s="935"/>
      <c r="B19" s="935"/>
      <c r="C19" s="935"/>
      <c r="D19" s="935"/>
      <c r="E19" s="935"/>
      <c r="F19" s="935"/>
      <c r="G19" s="935"/>
      <c r="H19" s="935"/>
    </row>
    <row r="20" spans="1:8" x14ac:dyDescent="0.25">
      <c r="A20" s="935"/>
      <c r="B20" s="935"/>
      <c r="C20" s="935"/>
      <c r="D20" s="935"/>
      <c r="E20" s="935"/>
      <c r="F20" s="935"/>
      <c r="G20" s="935"/>
      <c r="H20" s="935"/>
    </row>
    <row r="21" spans="1:8" x14ac:dyDescent="0.25">
      <c r="A21" s="935"/>
      <c r="B21" s="935"/>
      <c r="C21" s="935"/>
      <c r="D21" s="935"/>
      <c r="E21" s="935"/>
      <c r="F21" s="935"/>
      <c r="G21" s="935"/>
      <c r="H21" s="935"/>
    </row>
    <row r="22" spans="1:8" x14ac:dyDescent="0.25">
      <c r="A22" s="935"/>
      <c r="B22" s="935"/>
      <c r="C22" s="935"/>
      <c r="D22" s="935"/>
      <c r="E22" s="935"/>
      <c r="F22" s="935"/>
      <c r="G22" s="935"/>
      <c r="H22" s="935"/>
    </row>
    <row r="23" spans="1:8" x14ac:dyDescent="0.25">
      <c r="A23" s="935"/>
      <c r="B23" s="935"/>
      <c r="C23" s="935"/>
      <c r="D23" s="935"/>
      <c r="E23" s="935"/>
      <c r="F23" s="935"/>
      <c r="G23" s="935"/>
      <c r="H23" s="935"/>
    </row>
    <row r="24" spans="1:8" x14ac:dyDescent="0.25">
      <c r="A24" s="935"/>
      <c r="B24" s="935"/>
      <c r="C24" s="935"/>
      <c r="D24" s="935"/>
      <c r="E24" s="935"/>
      <c r="F24" s="935"/>
    </row>
    <row r="25" spans="1:8" x14ac:dyDescent="0.25">
      <c r="A25" s="935"/>
      <c r="B25" s="935"/>
      <c r="C25" s="935"/>
      <c r="D25" s="935"/>
      <c r="E25" s="935"/>
      <c r="F25" s="935"/>
    </row>
    <row r="26" spans="1:8" x14ac:dyDescent="0.25">
      <c r="A26" s="935"/>
      <c r="B26" s="935"/>
      <c r="C26" s="935"/>
      <c r="D26" s="935"/>
      <c r="E26" s="935"/>
      <c r="F26" s="935"/>
    </row>
    <row r="27" spans="1:8" x14ac:dyDescent="0.25">
      <c r="A27" s="935"/>
      <c r="B27" s="935"/>
      <c r="C27" s="935"/>
      <c r="D27" s="935"/>
      <c r="E27" s="935"/>
      <c r="F27" s="935"/>
    </row>
    <row r="28" spans="1:8" x14ac:dyDescent="0.25">
      <c r="A28" s="935"/>
      <c r="B28" s="935"/>
      <c r="C28" s="935"/>
      <c r="D28" s="935"/>
      <c r="E28" s="935"/>
      <c r="F28" s="935"/>
    </row>
    <row r="29" spans="1:8" x14ac:dyDescent="0.25">
      <c r="A29" s="935"/>
      <c r="B29" s="935"/>
      <c r="C29" s="935"/>
      <c r="D29" s="935"/>
      <c r="E29" s="935"/>
      <c r="F29" s="935"/>
    </row>
    <row r="30" spans="1:8" x14ac:dyDescent="0.25">
      <c r="A30" s="935"/>
      <c r="B30" s="935"/>
      <c r="C30" s="935"/>
      <c r="D30" s="935"/>
      <c r="E30" s="935"/>
      <c r="F30" s="935"/>
    </row>
  </sheetData>
  <mergeCells count="2">
    <mergeCell ref="A9:F16"/>
    <mergeCell ref="A1:F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5"/>
  <sheetViews>
    <sheetView zoomScale="90" zoomScaleNormal="90" workbookViewId="0">
      <selection activeCell="E5" sqref="E5"/>
    </sheetView>
  </sheetViews>
  <sheetFormatPr defaultColWidth="6.42578125" defaultRowHeight="15" x14ac:dyDescent="0.25"/>
  <cols>
    <col min="1" max="1" width="5.5703125" style="10" customWidth="1"/>
    <col min="2" max="2" width="4" style="10" customWidth="1"/>
    <col min="3" max="3" width="6" style="10" customWidth="1"/>
    <col min="4" max="5" width="2" style="10" customWidth="1"/>
    <col min="6" max="6" width="2.7109375" style="10" customWidth="1"/>
    <col min="7" max="12" width="3" style="10" customWidth="1"/>
    <col min="13" max="13" width="3.5703125" style="10" customWidth="1"/>
    <col min="14" max="14" width="5.28515625" style="10" customWidth="1"/>
    <col min="15" max="19" width="3.42578125" style="10" customWidth="1"/>
    <col min="20" max="22" width="3.140625" style="10" customWidth="1"/>
    <col min="23" max="24" width="4.42578125" style="11" customWidth="1"/>
    <col min="25" max="25" width="3.85546875" style="10" customWidth="1"/>
    <col min="26" max="26" width="7.7109375" style="12" customWidth="1"/>
    <col min="27" max="27" width="7.85546875" style="12" customWidth="1"/>
    <col min="28" max="32" width="4.85546875" style="10" customWidth="1"/>
    <col min="33" max="37" width="5.85546875" style="10" customWidth="1"/>
    <col min="38" max="42" width="5.85546875" style="12" customWidth="1"/>
    <col min="43" max="43" width="7.5703125" style="11" customWidth="1"/>
    <col min="44" max="44" width="6.7109375" style="10" customWidth="1"/>
    <col min="45" max="45" width="5.28515625" style="10" customWidth="1"/>
    <col min="46" max="46" width="6.7109375" style="10" customWidth="1"/>
    <col min="47" max="47" width="8.7109375" style="10" customWidth="1"/>
    <col min="48" max="16384" width="6.42578125" style="10"/>
  </cols>
  <sheetData>
    <row r="1" spans="1:50" s="13" customFormat="1" ht="46.5" customHeight="1" x14ac:dyDescent="0.2">
      <c r="A1" s="20"/>
      <c r="B1" s="20"/>
      <c r="C1" s="20"/>
      <c r="D1" s="1344" t="s">
        <v>57</v>
      </c>
      <c r="E1" s="1344"/>
      <c r="F1" s="1344"/>
      <c r="G1" s="1344"/>
      <c r="H1" s="1344"/>
      <c r="I1" s="1344" t="s">
        <v>56</v>
      </c>
      <c r="J1" s="1344"/>
      <c r="K1" s="1344"/>
      <c r="L1" s="1344"/>
      <c r="M1" s="1344"/>
      <c r="N1" s="29"/>
      <c r="O1" s="1344" t="s">
        <v>55</v>
      </c>
      <c r="P1" s="1344"/>
      <c r="Q1" s="1344"/>
      <c r="R1" s="1344"/>
      <c r="S1" s="1344"/>
      <c r="T1" s="1344" t="s">
        <v>53</v>
      </c>
      <c r="U1" s="1344"/>
      <c r="V1" s="1344"/>
      <c r="W1" s="1344"/>
      <c r="X1" s="1344"/>
      <c r="Y1" s="298" t="s">
        <v>76</v>
      </c>
      <c r="Z1" s="299" t="s">
        <v>75</v>
      </c>
      <c r="AA1" s="299" t="s">
        <v>147</v>
      </c>
      <c r="AB1" s="1344" t="s">
        <v>52</v>
      </c>
      <c r="AC1" s="1344"/>
      <c r="AD1" s="1344"/>
      <c r="AE1" s="1344"/>
      <c r="AF1" s="1344"/>
      <c r="AG1" s="1344" t="s">
        <v>51</v>
      </c>
      <c r="AH1" s="1344"/>
      <c r="AI1" s="1344"/>
      <c r="AJ1" s="1344"/>
      <c r="AK1" s="1344"/>
      <c r="AL1" s="1345" t="s">
        <v>50</v>
      </c>
      <c r="AM1" s="1345"/>
      <c r="AN1" s="1345"/>
      <c r="AO1" s="1345"/>
      <c r="AP1" s="1345"/>
      <c r="AQ1" s="1346" t="s">
        <v>49</v>
      </c>
      <c r="AR1" s="1346"/>
      <c r="AS1" s="1346"/>
      <c r="AT1" s="1346"/>
      <c r="AU1" s="1347"/>
      <c r="AV1" s="1347"/>
      <c r="AW1" s="1347"/>
      <c r="AX1" s="1347"/>
    </row>
    <row r="2" spans="1:50" s="23" customFormat="1" ht="37.5" customHeight="1" x14ac:dyDescent="0.2">
      <c r="A2" s="29" t="s">
        <v>48</v>
      </c>
      <c r="B2" s="29" t="s">
        <v>47</v>
      </c>
      <c r="C2" s="29" t="s">
        <v>46</v>
      </c>
      <c r="D2" s="29">
        <v>1</v>
      </c>
      <c r="E2" s="29">
        <v>2</v>
      </c>
      <c r="F2" s="29">
        <v>3</v>
      </c>
      <c r="G2" s="29">
        <v>4</v>
      </c>
      <c r="H2" s="29">
        <v>5</v>
      </c>
      <c r="I2" s="29">
        <v>1</v>
      </c>
      <c r="J2" s="29">
        <v>2</v>
      </c>
      <c r="K2" s="29">
        <v>3</v>
      </c>
      <c r="L2" s="29">
        <v>4</v>
      </c>
      <c r="M2" s="29">
        <v>5</v>
      </c>
      <c r="N2" s="298" t="s">
        <v>45</v>
      </c>
      <c r="O2" s="29">
        <v>1</v>
      </c>
      <c r="P2" s="29">
        <v>2</v>
      </c>
      <c r="Q2" s="29">
        <v>3</v>
      </c>
      <c r="R2" s="29">
        <v>4</v>
      </c>
      <c r="S2" s="29">
        <v>5</v>
      </c>
      <c r="T2" s="29">
        <v>1</v>
      </c>
      <c r="U2" s="29">
        <v>2</v>
      </c>
      <c r="V2" s="29">
        <v>3</v>
      </c>
      <c r="W2" s="29">
        <v>4</v>
      </c>
      <c r="X2" s="29">
        <v>5</v>
      </c>
      <c r="Y2" s="29"/>
      <c r="Z2" s="299"/>
      <c r="AA2" s="299"/>
      <c r="AB2" s="29">
        <v>1</v>
      </c>
      <c r="AC2" s="29">
        <v>2</v>
      </c>
      <c r="AD2" s="29">
        <v>3</v>
      </c>
      <c r="AE2" s="29">
        <v>4</v>
      </c>
      <c r="AF2" s="29">
        <v>5</v>
      </c>
      <c r="AG2" s="29">
        <v>1</v>
      </c>
      <c r="AH2" s="29">
        <v>2</v>
      </c>
      <c r="AI2" s="29">
        <v>3</v>
      </c>
      <c r="AJ2" s="29">
        <v>4</v>
      </c>
      <c r="AK2" s="29">
        <v>5</v>
      </c>
      <c r="AL2" s="28">
        <v>1</v>
      </c>
      <c r="AM2" s="28">
        <v>2</v>
      </c>
      <c r="AN2" s="28">
        <v>3</v>
      </c>
      <c r="AO2" s="28">
        <v>4</v>
      </c>
      <c r="AP2" s="28">
        <v>5</v>
      </c>
      <c r="AQ2" s="300" t="s">
        <v>44</v>
      </c>
      <c r="AR2" s="298" t="s">
        <v>43</v>
      </c>
      <c r="AS2" s="298" t="s">
        <v>42</v>
      </c>
      <c r="AT2" s="298" t="s">
        <v>29</v>
      </c>
      <c r="AU2" s="29" t="s">
        <v>203</v>
      </c>
      <c r="AV2" s="24"/>
      <c r="AW2" s="24"/>
      <c r="AX2" s="24"/>
    </row>
    <row r="3" spans="1:50" s="13" customFormat="1" ht="12.75" x14ac:dyDescent="0.2">
      <c r="A3" s="20">
        <v>1</v>
      </c>
      <c r="B3" s="20">
        <v>1</v>
      </c>
      <c r="C3" s="20" t="s">
        <v>2</v>
      </c>
      <c r="D3" s="17"/>
      <c r="E3" s="17"/>
      <c r="F3" s="17"/>
      <c r="G3" s="17"/>
      <c r="H3" s="17"/>
      <c r="I3" s="17"/>
      <c r="J3" s="17"/>
      <c r="K3" s="17"/>
      <c r="L3" s="17"/>
      <c r="M3" s="17"/>
      <c r="N3" s="15"/>
      <c r="O3" s="15"/>
      <c r="P3" s="15"/>
      <c r="Q3" s="15"/>
      <c r="R3" s="15"/>
      <c r="S3" s="15"/>
      <c r="T3" s="18"/>
      <c r="U3" s="18"/>
      <c r="V3" s="18"/>
      <c r="W3" s="186"/>
      <c r="X3" s="186"/>
      <c r="Y3" s="18"/>
      <c r="Z3" s="16"/>
      <c r="AA3" s="212"/>
      <c r="AB3" s="15"/>
      <c r="AC3" s="18"/>
      <c r="AD3" s="18"/>
      <c r="AE3" s="18"/>
      <c r="AF3" s="18"/>
      <c r="AG3" s="15"/>
      <c r="AH3" s="18"/>
      <c r="AI3" s="18"/>
      <c r="AJ3" s="18"/>
      <c r="AK3" s="18"/>
      <c r="AL3" s="17"/>
      <c r="AM3" s="16"/>
      <c r="AN3" s="16"/>
      <c r="AO3" s="16"/>
      <c r="AP3" s="16"/>
      <c r="AQ3" s="17"/>
      <c r="AR3" s="17"/>
      <c r="AS3" s="17"/>
      <c r="AT3" s="17"/>
      <c r="AU3" s="22"/>
      <c r="AV3" s="22"/>
      <c r="AW3" s="22"/>
      <c r="AX3" s="22"/>
    </row>
    <row r="4" spans="1:50" s="13" customFormat="1" ht="12.75" x14ac:dyDescent="0.2">
      <c r="A4" s="20">
        <v>1</v>
      </c>
      <c r="B4" s="20">
        <v>1</v>
      </c>
      <c r="C4" s="20" t="s">
        <v>41</v>
      </c>
      <c r="D4" s="17"/>
      <c r="E4" s="17"/>
      <c r="F4" s="17"/>
      <c r="G4" s="17"/>
      <c r="H4" s="17"/>
      <c r="I4" s="17"/>
      <c r="J4" s="17"/>
      <c r="K4" s="17"/>
      <c r="L4" s="17"/>
      <c r="M4" s="17"/>
      <c r="N4" s="15"/>
      <c r="O4" s="15"/>
      <c r="P4" s="15"/>
      <c r="Q4" s="15"/>
      <c r="R4" s="15"/>
      <c r="S4" s="15"/>
      <c r="T4" s="18"/>
      <c r="U4" s="18"/>
      <c r="V4" s="18"/>
      <c r="W4" s="186"/>
      <c r="X4" s="186"/>
      <c r="Y4" s="18"/>
      <c r="Z4" s="16"/>
      <c r="AA4" s="31"/>
      <c r="AB4" s="15"/>
      <c r="AC4" s="18"/>
      <c r="AD4" s="18"/>
      <c r="AE4" s="18"/>
      <c r="AF4" s="18"/>
      <c r="AG4" s="15"/>
      <c r="AH4" s="18"/>
      <c r="AI4" s="18"/>
      <c r="AJ4" s="18"/>
      <c r="AK4" s="18"/>
      <c r="AL4" s="17"/>
      <c r="AM4" s="16"/>
      <c r="AN4" s="16"/>
      <c r="AO4" s="16"/>
      <c r="AP4" s="16"/>
      <c r="AQ4" s="17"/>
      <c r="AR4" s="17"/>
      <c r="AS4" s="17"/>
      <c r="AT4" s="17"/>
      <c r="AU4" s="22"/>
      <c r="AV4" s="22"/>
      <c r="AW4" s="22"/>
      <c r="AX4" s="22"/>
    </row>
    <row r="5" spans="1:50" s="13" customFormat="1" ht="12.75" x14ac:dyDescent="0.2">
      <c r="A5" s="20">
        <v>1</v>
      </c>
      <c r="B5" s="20">
        <v>1</v>
      </c>
      <c r="C5" s="20" t="s">
        <v>40</v>
      </c>
      <c r="D5" s="17">
        <f>Scenario!AN21</f>
        <v>1.9649930808034388</v>
      </c>
      <c r="E5" s="17">
        <f>Scenario!AO21</f>
        <v>4.4529522496511911</v>
      </c>
      <c r="F5" s="17">
        <f>Scenario!AP21</f>
        <v>7.8472726226809844</v>
      </c>
      <c r="G5" s="17">
        <f>Scenario!AQ21</f>
        <v>13.828957545974617</v>
      </c>
      <c r="H5" s="17">
        <f>Scenario!AR21</f>
        <v>31.338373766435872</v>
      </c>
      <c r="I5" s="17">
        <f>IF((D5+'Non travel METs'!C5)&gt;2.5,(D5+'Non travel METs'!C5),0.1)</f>
        <v>59.764993080803436</v>
      </c>
      <c r="J5" s="17">
        <f>IF((E5+'Non travel METs'!D5)&gt;2.5,(E5+'Non travel METs'!D5),0.1)</f>
        <v>45.45295224965119</v>
      </c>
      <c r="K5" s="17">
        <f>IF((F5+'Non travel METs'!E5)&gt;2.5,(F5+'Non travel METs'!E5),0.1)</f>
        <v>53.347272622680983</v>
      </c>
      <c r="L5" s="17">
        <f>IF((G5+'Non travel METs'!F5)&gt;2.5,(G5+'Non travel METs'!F5),0.1)</f>
        <v>51.753957545974615</v>
      </c>
      <c r="M5" s="17">
        <f>IF((H5+'Non travel METs'!G5)&gt;2.5,(H5+'Non travel METs'!G5),0.1)</f>
        <v>72.338373766435865</v>
      </c>
      <c r="N5" s="19">
        <f>'Phy activity RRs'!$O$4</f>
        <v>0.89073615217571622</v>
      </c>
      <c r="O5" s="15">
        <f>$N5^(I5^0.25)</f>
        <v>0.7249046943893247</v>
      </c>
      <c r="P5" s="15">
        <f t="shared" ref="P5:S10" si="0">$N5^(J5^0.25)</f>
        <v>0.74049618317219268</v>
      </c>
      <c r="Q5" s="15">
        <f t="shared" si="0"/>
        <v>0.73146411379966692</v>
      </c>
      <c r="R5" s="15">
        <f t="shared" si="0"/>
        <v>0.73319351513267739</v>
      </c>
      <c r="S5" s="15">
        <f t="shared" si="0"/>
        <v>0.71359183122355752</v>
      </c>
      <c r="T5" s="18">
        <f t="shared" ref="T5:X10" si="1">O5/$O5</f>
        <v>1</v>
      </c>
      <c r="U5" s="18">
        <f t="shared" si="1"/>
        <v>1.021508329168709</v>
      </c>
      <c r="V5" s="18">
        <f t="shared" si="1"/>
        <v>1.0090486645501282</v>
      </c>
      <c r="W5" s="186">
        <f t="shared" si="1"/>
        <v>1.0114343593130342</v>
      </c>
      <c r="X5" s="186">
        <f t="shared" si="1"/>
        <v>0.98439399930318094</v>
      </c>
      <c r="Y5" s="31">
        <f>1-Z5</f>
        <v>1.1833222190973935E-2</v>
      </c>
      <c r="Z5" s="344">
        <f t="shared" ref="Z5:Z10" si="2">SUM(O5:S5)/SUM(O22:S22)</f>
        <v>0.98816677780902606</v>
      </c>
      <c r="AA5" s="344">
        <v>1</v>
      </c>
      <c r="AB5" s="17">
        <f>Z5*AA5*GBDUS!O224/($T5+$U5+$X5+V5+W5)</f>
        <v>6.912129271266626E-2</v>
      </c>
      <c r="AC5" s="16">
        <f t="shared" ref="AC5:AF10" si="3">$AB5*U5</f>
        <v>7.0607976228896974E-2</v>
      </c>
      <c r="AD5" s="16">
        <f t="shared" si="3"/>
        <v>6.9746748103694398E-2</v>
      </c>
      <c r="AE5" s="16">
        <f t="shared" si="3"/>
        <v>6.9911650409724302E-2</v>
      </c>
      <c r="AF5" s="16">
        <f t="shared" si="3"/>
        <v>6.8042585770427363E-2</v>
      </c>
      <c r="AG5" s="17">
        <f>Z5*AA5*GBDUS!P224/($T5+$U5+$X5+V5+W5)</f>
        <v>2.0728811330374133</v>
      </c>
      <c r="AH5" s="16">
        <f t="shared" ref="AH5:AK10" si="4">$AG5*U5</f>
        <v>2.1174653427743886</v>
      </c>
      <c r="AI5" s="16">
        <f t="shared" si="4"/>
        <v>2.0916379390625583</v>
      </c>
      <c r="AJ5" s="16">
        <f t="shared" si="4"/>
        <v>2.0965832007257723</v>
      </c>
      <c r="AK5" s="16">
        <f t="shared" si="4"/>
        <v>2.0405317486308086</v>
      </c>
      <c r="AL5" s="17">
        <f t="shared" ref="AL5:AP10" si="5">AL22</f>
        <v>5.1510327762248522</v>
      </c>
      <c r="AM5" s="17">
        <f t="shared" si="5"/>
        <v>5.2796740379217066</v>
      </c>
      <c r="AN5" s="17">
        <f t="shared" si="5"/>
        <v>5.2312571823595464</v>
      </c>
      <c r="AO5" s="17">
        <f t="shared" si="5"/>
        <v>5.2814983444540822</v>
      </c>
      <c r="AP5" s="17">
        <f t="shared" si="5"/>
        <v>5.2092601621427255</v>
      </c>
      <c r="AQ5" s="17">
        <f>AB5+AC5+AF5+AD5+AE5-AD22-AE22-AB22-AC22-AF22</f>
        <v>-4.1604509224627273E-3</v>
      </c>
      <c r="AR5" s="17">
        <f>AG5+AH5+AK5+AI5+AJ5-AI22-AJ22-AH22-AK22-AG22</f>
        <v>-0.1247679243782529</v>
      </c>
      <c r="AS5" s="17">
        <f>AL5+AM5+AP5-AL22+AN5+AO5-AN22-AO22-AM22-AP22</f>
        <v>0</v>
      </c>
      <c r="AT5" s="17">
        <f t="shared" ref="AT5:AT10" si="6">AR5+AS5</f>
        <v>-0.1247679243782529</v>
      </c>
      <c r="AU5" s="22">
        <f>AT5/GBDUS!H224</f>
        <v>-4.1680745692503147E-6</v>
      </c>
      <c r="AV5" s="22"/>
      <c r="AW5" s="22"/>
      <c r="AX5" s="22"/>
    </row>
    <row r="6" spans="1:50" s="13" customFormat="1" ht="12.75" x14ac:dyDescent="0.2">
      <c r="A6" s="20">
        <v>1</v>
      </c>
      <c r="B6" s="20">
        <v>1</v>
      </c>
      <c r="C6" s="20" t="s">
        <v>39</v>
      </c>
      <c r="D6" s="17">
        <f>Scenario!AN22</f>
        <v>1.1398546847573734</v>
      </c>
      <c r="E6" s="17">
        <f>Scenario!AO22</f>
        <v>2.5830719366657791</v>
      </c>
      <c r="F6" s="17">
        <f>Scenario!AP22</f>
        <v>4.5520518870600304</v>
      </c>
      <c r="G6" s="17">
        <f>Scenario!AQ22</f>
        <v>8.0219122388181017</v>
      </c>
      <c r="H6" s="17">
        <f>Scenario!AR22</f>
        <v>18.178787752140046</v>
      </c>
      <c r="I6" s="17">
        <f>IF((D6+'Non travel METs'!C6)&gt;2.5,(D6+'Non travel METs'!C6),0.1)</f>
        <v>52.389854684757374</v>
      </c>
      <c r="J6" s="17">
        <f>IF((E6+'Non travel METs'!D6)&gt;2.5,(E6+'Non travel METs'!D6),0.1)</f>
        <v>53.833071936665782</v>
      </c>
      <c r="K6" s="17">
        <f>IF((F6+'Non travel METs'!E6)&gt;2.5,(F6+'Non travel METs'!E6),0.1)</f>
        <v>69.302051887060031</v>
      </c>
      <c r="L6" s="17">
        <f>IF((G6+'Non travel METs'!F6)&gt;2.5,(G6+'Non travel METs'!F6),0.1)</f>
        <v>54.146912238818103</v>
      </c>
      <c r="M6" s="17">
        <f>IF((H6+'Non travel METs'!G6)&gt;2.5,(H6+'Non travel METs'!G6),0.1)</f>
        <v>62.978787752140043</v>
      </c>
      <c r="N6" s="19">
        <f>'Phy activity RRs'!$O$4</f>
        <v>0.89073615217571622</v>
      </c>
      <c r="O6" s="15">
        <f t="shared" ref="O6:O35" si="7">$N6^(I6^0.25)</f>
        <v>0.7324980904531514</v>
      </c>
      <c r="P6" s="15">
        <f t="shared" si="0"/>
        <v>0.73094533326240729</v>
      </c>
      <c r="Q6" s="15">
        <f t="shared" si="0"/>
        <v>0.71616403099762072</v>
      </c>
      <c r="R6" s="15">
        <f t="shared" si="0"/>
        <v>0.73061224432108873</v>
      </c>
      <c r="S6" s="15">
        <f t="shared" si="0"/>
        <v>0.7218373233273474</v>
      </c>
      <c r="T6" s="18">
        <f t="shared" si="1"/>
        <v>1</v>
      </c>
      <c r="U6" s="18">
        <f t="shared" si="1"/>
        <v>0.99788018943532875</v>
      </c>
      <c r="V6" s="18">
        <f t="shared" si="1"/>
        <v>0.97770088459148641</v>
      </c>
      <c r="W6" s="186">
        <f t="shared" si="1"/>
        <v>0.99742545931976967</v>
      </c>
      <c r="X6" s="186">
        <f t="shared" si="1"/>
        <v>0.98544601376474739</v>
      </c>
      <c r="Y6" s="31">
        <f t="shared" ref="Y6:Y18" si="8">1-Z6</f>
        <v>6.7304167951672822E-3</v>
      </c>
      <c r="Z6" s="344">
        <f t="shared" si="2"/>
        <v>0.99326958320483272</v>
      </c>
      <c r="AA6" s="344">
        <f>'Inflammatory HD'!F6</f>
        <v>1</v>
      </c>
      <c r="AB6" s="17">
        <f>Z6*AA6*GBDUS!O226/($T6+$U6+$X6+V6+W6)</f>
        <v>0.12632005975543079</v>
      </c>
      <c r="AC6" s="16">
        <f t="shared" si="3"/>
        <v>0.12605228515823133</v>
      </c>
      <c r="AD6" s="16">
        <f t="shared" si="3"/>
        <v>0.1235032341645341</v>
      </c>
      <c r="AE6" s="16">
        <f t="shared" si="3"/>
        <v>0.12599484362286131</v>
      </c>
      <c r="AF6" s="16">
        <f t="shared" si="3"/>
        <v>0.12448159934451396</v>
      </c>
      <c r="AG6" s="17">
        <f>Z6*AA6*GBDUS!P226/($T6+$U6+$X6+V6+W6)</f>
        <v>3.0366470558998002</v>
      </c>
      <c r="AH6" s="16">
        <f t="shared" si="4"/>
        <v>3.0302099393895259</v>
      </c>
      <c r="AI6" s="16">
        <f t="shared" si="4"/>
        <v>2.9689325127453676</v>
      </c>
      <c r="AJ6" s="16">
        <f t="shared" si="4"/>
        <v>3.0288290845228847</v>
      </c>
      <c r="AK6" s="16">
        <f t="shared" si="4"/>
        <v>2.9924517364469141</v>
      </c>
      <c r="AL6" s="17">
        <f t="shared" si="5"/>
        <v>7.1049907164518853</v>
      </c>
      <c r="AM6" s="17">
        <f t="shared" si="5"/>
        <v>7.1002798879256588</v>
      </c>
      <c r="AN6" s="17">
        <f t="shared" si="5"/>
        <v>6.9652408203702016</v>
      </c>
      <c r="AO6" s="17">
        <f t="shared" si="5"/>
        <v>7.1379635139139124</v>
      </c>
      <c r="AP6" s="17">
        <f t="shared" si="5"/>
        <v>7.118161341150536</v>
      </c>
      <c r="AQ6" s="17">
        <f t="shared" ref="AQ6:AQ18" si="9">AB6+AC6+AF6+AD6+AE6-AD23-AE23-AB23-AC23-AF23</f>
        <v>-4.2441752371604191E-3</v>
      </c>
      <c r="AR6" s="17">
        <f t="shared" ref="AR6:AR18" si="10">AG6+AH6+AK6+AI6+AJ6-AI23-AJ23-AH23-AK23-AG23</f>
        <v>-0.10202704355585812</v>
      </c>
      <c r="AS6" s="17">
        <f t="shared" ref="AS6:AS18" si="11">AL6+AM6+AP6-AL23+AN6+AO6-AN23-AO23-AM23-AP23</f>
        <v>0</v>
      </c>
      <c r="AT6" s="17">
        <f t="shared" si="6"/>
        <v>-0.10202704355585812</v>
      </c>
      <c r="AU6" s="22">
        <f>AT6/GBDUS!H226</f>
        <v>-2.4152258148499455E-6</v>
      </c>
      <c r="AV6" s="22"/>
      <c r="AW6" s="22"/>
      <c r="AX6" s="22"/>
    </row>
    <row r="7" spans="1:50" s="13" customFormat="1" ht="12.75" x14ac:dyDescent="0.2">
      <c r="A7" s="20">
        <v>1</v>
      </c>
      <c r="B7" s="20">
        <v>1</v>
      </c>
      <c r="C7" s="20" t="s">
        <v>38</v>
      </c>
      <c r="D7" s="17">
        <f>Scenario!AN23</f>
        <v>1.1455500772835505</v>
      </c>
      <c r="E7" s="17">
        <f>Scenario!AO23</f>
        <v>2.5959785016862105</v>
      </c>
      <c r="F7" s="17">
        <f>Scenario!AP23</f>
        <v>4.5747966479870366</v>
      </c>
      <c r="G7" s="17">
        <f>Scenario!AQ23</f>
        <v>8.0619944875657499</v>
      </c>
      <c r="H7" s="17">
        <f>Scenario!AR23</f>
        <v>18.269619797034032</v>
      </c>
      <c r="I7" s="17">
        <f>IF((D7+'Non travel METs'!C7)&gt;2.5,(D7+'Non travel METs'!C7),0.1)</f>
        <v>59.420550077283551</v>
      </c>
      <c r="J7" s="17">
        <f>IF((E7+'Non travel METs'!D7)&gt;2.5,(E7+'Non travel METs'!D7),0.1)</f>
        <v>64.095978501686204</v>
      </c>
      <c r="K7" s="17">
        <f>IF((F7+'Non travel METs'!E7)&gt;2.5,(F7+'Non travel METs'!E7),0.1)</f>
        <v>58.299796647987037</v>
      </c>
      <c r="L7" s="17">
        <f>IF((G7+'Non travel METs'!F7)&gt;2.5,(G7+'Non travel METs'!F7),0.1)</f>
        <v>60.261994487565751</v>
      </c>
      <c r="M7" s="17">
        <f>IF((H7+'Non travel METs'!G7)&gt;2.5,(H7+'Non travel METs'!G7),0.1)</f>
        <v>64.969619797034028</v>
      </c>
      <c r="N7" s="19">
        <f>'Phy activity RRs'!$O$4</f>
        <v>0.89073615217571622</v>
      </c>
      <c r="O7" s="15">
        <f t="shared" si="7"/>
        <v>0.72524151951687355</v>
      </c>
      <c r="P7" s="15">
        <f t="shared" si="0"/>
        <v>0.72080148984771231</v>
      </c>
      <c r="Q7" s="15">
        <f t="shared" si="0"/>
        <v>0.72634882192761885</v>
      </c>
      <c r="R7" s="15">
        <f t="shared" si="0"/>
        <v>0.72442151497988172</v>
      </c>
      <c r="S7" s="15">
        <f t="shared" si="0"/>
        <v>0.72000188296011514</v>
      </c>
      <c r="T7" s="18">
        <f t="shared" si="1"/>
        <v>1</v>
      </c>
      <c r="U7" s="18">
        <f t="shared" si="1"/>
        <v>0.99387786061653083</v>
      </c>
      <c r="V7" s="18">
        <f t="shared" si="1"/>
        <v>1.0015268050448669</v>
      </c>
      <c r="W7" s="186">
        <f t="shared" si="1"/>
        <v>0.99886933591786353</v>
      </c>
      <c r="X7" s="186">
        <f t="shared" si="1"/>
        <v>0.99277532185381656</v>
      </c>
      <c r="Y7" s="31">
        <f t="shared" si="8"/>
        <v>6.5681226622599231E-3</v>
      </c>
      <c r="Z7" s="344">
        <f t="shared" si="2"/>
        <v>0.99343187733774008</v>
      </c>
      <c r="AA7" s="344">
        <f>'Inflammatory HD'!F7</f>
        <v>1</v>
      </c>
      <c r="AB7" s="17">
        <f>Z7*AA7*GBDUS!O228/($T7+$U7+$X7+V7+W7)</f>
        <v>0.68011843997783339</v>
      </c>
      <c r="AC7" s="16">
        <f t="shared" si="3"/>
        <v>0.67595466009102145</v>
      </c>
      <c r="AD7" s="16">
        <f t="shared" si="3"/>
        <v>0.68115684824309852</v>
      </c>
      <c r="AE7" s="16">
        <f t="shared" si="3"/>
        <v>0.6793494544861518</v>
      </c>
      <c r="AF7" s="16">
        <f t="shared" si="3"/>
        <v>0.67520480314770914</v>
      </c>
      <c r="AG7" s="17">
        <f>Z7*AA7*GBDUS!P228/($T7+$U7+$X7+V7+W7)</f>
        <v>11.351969105883992</v>
      </c>
      <c r="AH7" s="16">
        <f t="shared" si="4"/>
        <v>11.282470768740934</v>
      </c>
      <c r="AI7" s="16">
        <f t="shared" si="4"/>
        <v>11.369301349584029</v>
      </c>
      <c r="AJ7" s="16">
        <f t="shared" si="4"/>
        <v>11.339133842154446</v>
      </c>
      <c r="AK7" s="16">
        <f t="shared" si="4"/>
        <v>11.269954782768561</v>
      </c>
      <c r="AL7" s="17">
        <f t="shared" si="5"/>
        <v>15.059446786444434</v>
      </c>
      <c r="AM7" s="17">
        <f t="shared" si="5"/>
        <v>14.985877356419376</v>
      </c>
      <c r="AN7" s="17">
        <f t="shared" si="5"/>
        <v>15.133210222356659</v>
      </c>
      <c r="AO7" s="17">
        <f t="shared" si="5"/>
        <v>15.143087933250966</v>
      </c>
      <c r="AP7" s="17">
        <f t="shared" si="5"/>
        <v>15.195623510934743</v>
      </c>
      <c r="AQ7" s="17">
        <f t="shared" si="9"/>
        <v>-2.2424944494703558E-2</v>
      </c>
      <c r="AR7" s="17">
        <f t="shared" si="10"/>
        <v>-0.37429844883096308</v>
      </c>
      <c r="AS7" s="17">
        <f t="shared" si="11"/>
        <v>0</v>
      </c>
      <c r="AT7" s="17">
        <f t="shared" si="6"/>
        <v>-0.37429844883096308</v>
      </c>
      <c r="AU7" s="22">
        <f>AT7/GBDUS!H228</f>
        <v>-5.2030968928960537E-6</v>
      </c>
      <c r="AV7" s="22"/>
      <c r="AW7" s="22"/>
      <c r="AX7" s="22"/>
    </row>
    <row r="8" spans="1:50" s="13" customFormat="1" ht="12.75" x14ac:dyDescent="0.2">
      <c r="A8" s="20">
        <v>1</v>
      </c>
      <c r="B8" s="20">
        <v>1</v>
      </c>
      <c r="C8" s="20" t="s">
        <v>37</v>
      </c>
      <c r="D8" s="17">
        <f>Scenario!AN24</f>
        <v>1.038575484693584</v>
      </c>
      <c r="E8" s="17">
        <f>Scenario!AO24</f>
        <v>2.3535589443948219</v>
      </c>
      <c r="F8" s="17">
        <f>Scenario!AP24</f>
        <v>4.1475896517107627</v>
      </c>
      <c r="G8" s="17">
        <f>Scenario!AQ24</f>
        <v>7.3091434399581363</v>
      </c>
      <c r="H8" s="17">
        <f>Scenario!AR24</f>
        <v>16.563552839930118</v>
      </c>
      <c r="I8" s="17">
        <f>IF((D8+'Non travel METs'!C8)&gt;2.5,(D8+'Non travel METs'!C8),0.1)</f>
        <v>42.038575484693581</v>
      </c>
      <c r="J8" s="17">
        <f>IF((E8+'Non travel METs'!D8)&gt;2.5,(E8+'Non travel METs'!D8),0.1)</f>
        <v>33.60355894439482</v>
      </c>
      <c r="K8" s="17">
        <f>IF((F8+'Non travel METs'!E8)&gt;2.5,(F8+'Non travel METs'!E8),0.1)</f>
        <v>48.23092298504406</v>
      </c>
      <c r="L8" s="17">
        <f>IF((G8+'Non travel METs'!F8)&gt;2.5,(G8+'Non travel METs'!F8),0.1)</f>
        <v>49.809143439958135</v>
      </c>
      <c r="M8" s="17">
        <f>IF((H8+'Non travel METs'!G8)&gt;2.5,(H8+'Non travel METs'!G8),0.1)</f>
        <v>49.363552839930115</v>
      </c>
      <c r="N8" s="19">
        <f>'Phy activity RRs'!$O$4</f>
        <v>0.89073615217571622</v>
      </c>
      <c r="O8" s="15">
        <f t="shared" si="7"/>
        <v>0.74480977094502732</v>
      </c>
      <c r="P8" s="15">
        <f t="shared" si="0"/>
        <v>0.75685475677348391</v>
      </c>
      <c r="Q8" s="15">
        <f t="shared" si="0"/>
        <v>0.73717965829423382</v>
      </c>
      <c r="R8" s="15">
        <f t="shared" si="0"/>
        <v>0.73536518691224217</v>
      </c>
      <c r="S8" s="15">
        <f t="shared" si="0"/>
        <v>0.73587260848306191</v>
      </c>
      <c r="T8" s="18">
        <f t="shared" si="1"/>
        <v>1</v>
      </c>
      <c r="U8" s="18">
        <f t="shared" si="1"/>
        <v>1.0161718955608943</v>
      </c>
      <c r="V8" s="18">
        <f t="shared" si="1"/>
        <v>0.9897556222428282</v>
      </c>
      <c r="W8" s="186">
        <f t="shared" si="1"/>
        <v>0.98731946813640525</v>
      </c>
      <c r="X8" s="186">
        <f t="shared" si="1"/>
        <v>0.98800074487392153</v>
      </c>
      <c r="Y8" s="31">
        <f t="shared" si="8"/>
        <v>7.3827130398035345E-3</v>
      </c>
      <c r="Z8" s="344">
        <f t="shared" si="2"/>
        <v>0.99261728696019647</v>
      </c>
      <c r="AA8" s="344">
        <f>'Inflammatory HD'!F8</f>
        <v>1</v>
      </c>
      <c r="AB8" s="17">
        <f>Z8*AA8*GBDUS!O230/($T8+$U8+$X8+V8+W8)</f>
        <v>1.1280012669079056</v>
      </c>
      <c r="AC8" s="16">
        <f t="shared" si="3"/>
        <v>1.1462431855888966</v>
      </c>
      <c r="AD8" s="16">
        <f t="shared" si="3"/>
        <v>1.1164455958191326</v>
      </c>
      <c r="AE8" s="16">
        <f t="shared" si="3"/>
        <v>1.1136976109007046</v>
      </c>
      <c r="AF8" s="16">
        <f t="shared" si="3"/>
        <v>1.1144660919237379</v>
      </c>
      <c r="AG8" s="17">
        <f>Z8*AA8*GBDUS!P230/($T8+$U8+$X8+V8+W8)</f>
        <v>12.644391149851995</v>
      </c>
      <c r="AH8" s="16">
        <f t="shared" si="4"/>
        <v>12.848874922958498</v>
      </c>
      <c r="AI8" s="16">
        <f t="shared" si="4"/>
        <v>12.514857230403472</v>
      </c>
      <c r="AJ8" s="16">
        <f t="shared" si="4"/>
        <v>12.48405354498054</v>
      </c>
      <c r="AK8" s="16">
        <f t="shared" si="4"/>
        <v>12.492667874530992</v>
      </c>
      <c r="AL8" s="17">
        <f t="shared" si="5"/>
        <v>12.648987943250155</v>
      </c>
      <c r="AM8" s="17">
        <f t="shared" si="5"/>
        <v>12.88153277848385</v>
      </c>
      <c r="AN8" s="17">
        <f t="shared" si="5"/>
        <v>12.561789597111259</v>
      </c>
      <c r="AO8" s="17">
        <f t="shared" si="5"/>
        <v>12.574610584669646</v>
      </c>
      <c r="AP8" s="17">
        <f t="shared" si="5"/>
        <v>12.72891641043103</v>
      </c>
      <c r="AQ8" s="17">
        <f t="shared" si="9"/>
        <v>-4.1790915191823874E-2</v>
      </c>
      <c r="AR8" s="17">
        <f t="shared" si="10"/>
        <v>-0.46845752189997647</v>
      </c>
      <c r="AS8" s="17">
        <f t="shared" si="11"/>
        <v>0</v>
      </c>
      <c r="AT8" s="17">
        <f t="shared" si="6"/>
        <v>-0.46845752189997647</v>
      </c>
      <c r="AU8" s="22">
        <f>AT8/GBDUS!H230</f>
        <v>-9.438741020502272E-6</v>
      </c>
      <c r="AV8" s="22"/>
      <c r="AW8" s="22"/>
      <c r="AX8" s="22"/>
    </row>
    <row r="9" spans="1:50" s="13" customFormat="1" ht="12.75" x14ac:dyDescent="0.2">
      <c r="A9" s="20">
        <v>1</v>
      </c>
      <c r="B9" s="20">
        <v>1</v>
      </c>
      <c r="C9" s="20" t="s">
        <v>36</v>
      </c>
      <c r="D9" s="17">
        <f>Scenario!AN25</f>
        <v>0.98635345122951901</v>
      </c>
      <c r="E9" s="17">
        <f>Scenario!AO25</f>
        <v>2.2352164302827178</v>
      </c>
      <c r="F9" s="17">
        <f>Scenario!AP25</f>
        <v>3.939039027534657</v>
      </c>
      <c r="G9" s="17">
        <f>Scenario!AQ25</f>
        <v>6.9416224085641023</v>
      </c>
      <c r="H9" s="17">
        <f>Scenario!AR25</f>
        <v>15.730698200629787</v>
      </c>
      <c r="I9" s="17">
        <f>IF((D9+'Non travel METs'!C9)&gt;2.5,(D9+'Non travel METs'!C9),0.1)</f>
        <v>5.3613534512295189</v>
      </c>
      <c r="J9" s="17">
        <f>IF((E9+'Non travel METs'!D9)&gt;2.5,(E9+'Non travel METs'!D9),0.1)</f>
        <v>7.2352164302827173</v>
      </c>
      <c r="K9" s="17">
        <f>IF((F9+'Non travel METs'!E9)&gt;2.5,(F9+'Non travel METs'!E9),0.1)</f>
        <v>12.272372360867987</v>
      </c>
      <c r="L9" s="17">
        <f>IF((G9+'Non travel METs'!F9)&gt;2.5,(G9+'Non travel METs'!F9),0.1)</f>
        <v>10.691622408564102</v>
      </c>
      <c r="M9" s="17">
        <f>IF((H9+'Non travel METs'!G9)&gt;2.5,(H9+'Non travel METs'!G9),0.1)</f>
        <v>28.855698200629789</v>
      </c>
      <c r="N9" s="19">
        <f>'Phy activity RRs'!$O$4</f>
        <v>0.89073615217571622</v>
      </c>
      <c r="O9" s="15">
        <f t="shared" si="7"/>
        <v>0.83856167633279388</v>
      </c>
      <c r="P9" s="15">
        <f t="shared" si="0"/>
        <v>0.82715115056276123</v>
      </c>
      <c r="Q9" s="15">
        <f t="shared" si="0"/>
        <v>0.80527875519682157</v>
      </c>
      <c r="R9" s="15">
        <f t="shared" si="0"/>
        <v>0.8112099415377908</v>
      </c>
      <c r="S9" s="15">
        <f t="shared" si="0"/>
        <v>0.76477425538921961</v>
      </c>
      <c r="T9" s="18">
        <f t="shared" si="1"/>
        <v>1</v>
      </c>
      <c r="U9" s="18">
        <f t="shared" si="1"/>
        <v>0.98639274117566011</v>
      </c>
      <c r="V9" s="18">
        <f t="shared" si="1"/>
        <v>0.96030951321132929</v>
      </c>
      <c r="W9" s="186">
        <f t="shared" si="1"/>
        <v>0.96738256044013604</v>
      </c>
      <c r="X9" s="186">
        <f t="shared" si="1"/>
        <v>0.91200716294803486</v>
      </c>
      <c r="Y9" s="31">
        <f t="shared" si="8"/>
        <v>1.7504415164414699E-2</v>
      </c>
      <c r="Z9" s="344">
        <f t="shared" si="2"/>
        <v>0.9824955848355853</v>
      </c>
      <c r="AA9" s="344">
        <f>'Inflammatory HD'!F9</f>
        <v>1</v>
      </c>
      <c r="AB9" s="17">
        <f>Z9*AA9*GBDUS!O232/($T9+$U9+$X9+V9+W9)</f>
        <v>1.6936163904281507</v>
      </c>
      <c r="AC9" s="16">
        <f t="shared" si="3"/>
        <v>1.6705709138544507</v>
      </c>
      <c r="AD9" s="16">
        <f t="shared" si="3"/>
        <v>1.6263959314587859</v>
      </c>
      <c r="AE9" s="16">
        <f t="shared" si="3"/>
        <v>1.6383749601757656</v>
      </c>
      <c r="AF9" s="16">
        <f t="shared" si="3"/>
        <v>1.544590279356669</v>
      </c>
      <c r="AG9" s="17">
        <f>Z9*AA9*GBDUS!P232/($T9+$U9+$X9+V9+W9)</f>
        <v>11.505691803712502</v>
      </c>
      <c r="AH9" s="16">
        <f t="shared" si="4"/>
        <v>11.349130877386299</v>
      </c>
      <c r="AI9" s="16">
        <f t="shared" si="4"/>
        <v>11.049025295182734</v>
      </c>
      <c r="AJ9" s="16">
        <f t="shared" si="4"/>
        <v>11.130405596710487</v>
      </c>
      <c r="AK9" s="16">
        <f t="shared" si="4"/>
        <v>10.493273339658296</v>
      </c>
      <c r="AL9" s="17">
        <f t="shared" si="5"/>
        <v>10.056284477761247</v>
      </c>
      <c r="AM9" s="17">
        <f t="shared" si="5"/>
        <v>9.9710751577964754</v>
      </c>
      <c r="AN9" s="17">
        <f t="shared" si="5"/>
        <v>9.7279135624123203</v>
      </c>
      <c r="AO9" s="17">
        <f t="shared" si="5"/>
        <v>9.956068524697864</v>
      </c>
      <c r="AP9" s="17">
        <f t="shared" si="5"/>
        <v>9.3951268796568623</v>
      </c>
      <c r="AQ9" s="17">
        <f t="shared" si="9"/>
        <v>-0.14562221763226035</v>
      </c>
      <c r="AR9" s="17">
        <f t="shared" si="10"/>
        <v>-0.98929389519332034</v>
      </c>
      <c r="AS9" s="17">
        <f t="shared" si="11"/>
        <v>0</v>
      </c>
      <c r="AT9" s="17">
        <f t="shared" si="6"/>
        <v>-0.98929389519332034</v>
      </c>
      <c r="AU9" s="22">
        <f>AT9/GBDUS!H232</f>
        <v>-3.1564211965845522E-5</v>
      </c>
      <c r="AV9" s="22"/>
      <c r="AW9" s="22"/>
      <c r="AX9" s="22"/>
    </row>
    <row r="10" spans="1:50" s="13" customFormat="1" ht="12.75" x14ac:dyDescent="0.2">
      <c r="A10" s="20">
        <v>1</v>
      </c>
      <c r="B10" s="20">
        <v>1</v>
      </c>
      <c r="C10" s="20" t="s">
        <v>35</v>
      </c>
      <c r="D10" s="17">
        <f>Scenario!AN26</f>
        <v>0.79357227183824619</v>
      </c>
      <c r="E10" s="17">
        <f>Scenario!AO26</f>
        <v>1.7983470108190212</v>
      </c>
      <c r="F10" s="17">
        <f>Scenario!AP26</f>
        <v>3.1691602498512577</v>
      </c>
      <c r="G10" s="17">
        <f>Scenario!AQ26</f>
        <v>5.5848935877303978</v>
      </c>
      <c r="H10" s="17">
        <f>Scenario!AR26</f>
        <v>12.656158796945045</v>
      </c>
      <c r="I10" s="17">
        <f>IF((D10+'Non travel METs'!C10)&gt;2.5,(D10+'Non travel METs'!C10),0.1)</f>
        <v>0.1</v>
      </c>
      <c r="J10" s="17">
        <f>IF((E10+'Non travel METs'!D10)&gt;2.5,(E10+'Non travel METs'!D10),0.1)</f>
        <v>11.798347010819022</v>
      </c>
      <c r="K10" s="17">
        <f>IF((F10+'Non travel METs'!E10)&gt;2.5,(F10+'Non travel METs'!E10),0.1)</f>
        <v>6.9191602498512577</v>
      </c>
      <c r="L10" s="17">
        <f>IF((G10+'Non travel METs'!F10)&gt;2.5,(G10+'Non travel METs'!F10),0.1)</f>
        <v>10.793226921063727</v>
      </c>
      <c r="M10" s="17">
        <f>IF((H10+'Non travel METs'!G10)&gt;2.5,(H10+'Non travel METs'!G10),0.1)</f>
        <v>12.656158796945045</v>
      </c>
      <c r="N10" s="19">
        <f>'Phy activity RRs'!$O$4</f>
        <v>0.89073615217571622</v>
      </c>
      <c r="O10" s="15">
        <f t="shared" si="7"/>
        <v>0.93700483239712185</v>
      </c>
      <c r="P10" s="15">
        <f t="shared" si="0"/>
        <v>0.80698956209498263</v>
      </c>
      <c r="Q10" s="15">
        <f t="shared" si="0"/>
        <v>0.82889600162287191</v>
      </c>
      <c r="R10" s="15">
        <f t="shared" si="0"/>
        <v>0.8108082304537001</v>
      </c>
      <c r="S10" s="15">
        <f t="shared" si="0"/>
        <v>0.80393213629074423</v>
      </c>
      <c r="T10" s="18">
        <f t="shared" si="1"/>
        <v>1</v>
      </c>
      <c r="U10" s="18">
        <f t="shared" si="1"/>
        <v>0.86124375690835708</v>
      </c>
      <c r="V10" s="18">
        <f t="shared" si="1"/>
        <v>0.88462297414445867</v>
      </c>
      <c r="W10" s="186">
        <f t="shared" si="1"/>
        <v>0.86531915569680107</v>
      </c>
      <c r="X10" s="186">
        <f t="shared" si="1"/>
        <v>0.85798077928163907</v>
      </c>
      <c r="Y10" s="31">
        <f t="shared" si="8"/>
        <v>1.9499680924610852E-2</v>
      </c>
      <c r="Z10" s="344">
        <f t="shared" si="2"/>
        <v>0.98050031907538915</v>
      </c>
      <c r="AA10" s="344">
        <f>'Inflammatory HD'!F10</f>
        <v>1</v>
      </c>
      <c r="AB10" s="17">
        <f>Z10*AA10*GBDUS!O234/($T10+$U10+$X10+V10+W10)</f>
        <v>3.8571246320633223</v>
      </c>
      <c r="AC10" s="16">
        <f t="shared" si="3"/>
        <v>3.3219245089819802</v>
      </c>
      <c r="AD10" s="16">
        <f t="shared" si="3"/>
        <v>3.4121010636617073</v>
      </c>
      <c r="AE10" s="16">
        <f t="shared" si="3"/>
        <v>3.3376438300343687</v>
      </c>
      <c r="AF10" s="16">
        <f t="shared" si="3"/>
        <v>3.3093387976040947</v>
      </c>
      <c r="AG10" s="17">
        <f>Z10*AA10*GBDUS!P234/($T10+$U10+$X10+V10+W10)</f>
        <v>12.043708644238372</v>
      </c>
      <c r="AH10" s="16">
        <f t="shared" si="4"/>
        <v>10.37256887987351</v>
      </c>
      <c r="AI10" s="16">
        <f t="shared" si="4"/>
        <v>10.654141360595474</v>
      </c>
      <c r="AJ10" s="16">
        <f t="shared" si="4"/>
        <v>10.421651795490613</v>
      </c>
      <c r="AK10" s="16">
        <f t="shared" si="4"/>
        <v>10.33327052802465</v>
      </c>
      <c r="AL10" s="17">
        <f t="shared" si="5"/>
        <v>9.6194005521124168</v>
      </c>
      <c r="AM10" s="17">
        <f t="shared" si="5"/>
        <v>8.3337016405873818</v>
      </c>
      <c r="AN10" s="17">
        <f t="shared" si="5"/>
        <v>8.6562290031983888</v>
      </c>
      <c r="AO10" s="17">
        <f t="shared" si="5"/>
        <v>8.5093757820574965</v>
      </c>
      <c r="AP10" s="17">
        <f t="shared" si="5"/>
        <v>8.726974107843116</v>
      </c>
      <c r="AQ10" s="17">
        <f t="shared" si="9"/>
        <v>-0.34282302965874489</v>
      </c>
      <c r="AR10" s="17">
        <f t="shared" si="10"/>
        <v>-1.0704504208712553</v>
      </c>
      <c r="AS10" s="17">
        <f t="shared" si="11"/>
        <v>0</v>
      </c>
      <c r="AT10" s="17">
        <f t="shared" si="6"/>
        <v>-1.0704504208712553</v>
      </c>
      <c r="AU10" s="22">
        <f>AT10/GBDUS!H234</f>
        <v>-3.7855345734420974E-5</v>
      </c>
      <c r="AV10" s="22"/>
      <c r="AW10" s="22"/>
      <c r="AX10" s="22"/>
    </row>
    <row r="11" spans="1:50" s="13" customFormat="1" ht="12.75" x14ac:dyDescent="0.2">
      <c r="A11" s="20">
        <v>1</v>
      </c>
      <c r="B11" s="20">
        <v>2</v>
      </c>
      <c r="C11" s="20" t="s">
        <v>2</v>
      </c>
      <c r="D11" s="17"/>
      <c r="E11" s="17"/>
      <c r="F11" s="17"/>
      <c r="G11" s="17"/>
      <c r="H11" s="17"/>
      <c r="I11" s="17"/>
      <c r="J11" s="17"/>
      <c r="K11" s="17"/>
      <c r="L11" s="17"/>
      <c r="M11" s="17"/>
      <c r="N11" s="19"/>
      <c r="O11" s="15"/>
      <c r="P11" s="15"/>
      <c r="Q11" s="15"/>
      <c r="R11" s="15"/>
      <c r="S11" s="15"/>
      <c r="T11" s="18"/>
      <c r="U11" s="18"/>
      <c r="V11" s="18"/>
      <c r="W11" s="186"/>
      <c r="X11" s="186"/>
      <c r="Y11" s="31"/>
      <c r="Z11" s="344"/>
      <c r="AA11" s="212"/>
      <c r="AB11" s="17"/>
      <c r="AC11" s="16"/>
      <c r="AD11" s="16"/>
      <c r="AE11" s="16"/>
      <c r="AF11" s="16"/>
      <c r="AG11" s="17"/>
      <c r="AH11" s="16"/>
      <c r="AI11" s="16"/>
      <c r="AJ11" s="16"/>
      <c r="AK11" s="16"/>
      <c r="AL11" s="17"/>
      <c r="AM11" s="17"/>
      <c r="AN11" s="17"/>
      <c r="AO11" s="17"/>
      <c r="AP11" s="17"/>
      <c r="AQ11" s="17"/>
      <c r="AR11" s="17"/>
      <c r="AS11" s="17"/>
      <c r="AT11" s="17"/>
      <c r="AU11" s="22"/>
      <c r="AV11" s="22"/>
      <c r="AW11" s="22"/>
      <c r="AX11" s="22"/>
    </row>
    <row r="12" spans="1:50" s="13" customFormat="1" ht="12.75" x14ac:dyDescent="0.2">
      <c r="A12" s="20">
        <v>1</v>
      </c>
      <c r="B12" s="20">
        <v>2</v>
      </c>
      <c r="C12" s="20" t="s">
        <v>41</v>
      </c>
      <c r="D12" s="17"/>
      <c r="E12" s="17"/>
      <c r="F12" s="17"/>
      <c r="G12" s="17"/>
      <c r="H12" s="17"/>
      <c r="I12" s="17"/>
      <c r="J12" s="17"/>
      <c r="K12" s="17"/>
      <c r="L12" s="17"/>
      <c r="M12" s="17"/>
      <c r="N12" s="19"/>
      <c r="O12" s="15"/>
      <c r="P12" s="15"/>
      <c r="Q12" s="15"/>
      <c r="R12" s="15"/>
      <c r="S12" s="15"/>
      <c r="T12" s="18"/>
      <c r="U12" s="18"/>
      <c r="V12" s="18"/>
      <c r="W12" s="186"/>
      <c r="X12" s="186"/>
      <c r="Y12" s="31"/>
      <c r="Z12" s="344"/>
      <c r="AA12" s="212"/>
      <c r="AB12" s="17"/>
      <c r="AC12" s="16"/>
      <c r="AD12" s="16"/>
      <c r="AE12" s="16"/>
      <c r="AF12" s="16"/>
      <c r="AG12" s="17"/>
      <c r="AH12" s="16"/>
      <c r="AI12" s="16"/>
      <c r="AJ12" s="16"/>
      <c r="AK12" s="16"/>
      <c r="AL12" s="17"/>
      <c r="AM12" s="17"/>
      <c r="AN12" s="17"/>
      <c r="AO12" s="17"/>
      <c r="AP12" s="17"/>
      <c r="AQ12" s="17"/>
      <c r="AR12" s="17"/>
      <c r="AS12" s="17"/>
      <c r="AT12" s="17"/>
      <c r="AU12" s="22"/>
      <c r="AV12" s="22"/>
      <c r="AW12" s="22"/>
      <c r="AX12" s="22"/>
    </row>
    <row r="13" spans="1:50" s="13" customFormat="1" ht="12.75" x14ac:dyDescent="0.2">
      <c r="A13" s="20">
        <v>1</v>
      </c>
      <c r="B13" s="20">
        <v>2</v>
      </c>
      <c r="C13" s="20" t="s">
        <v>40</v>
      </c>
      <c r="D13" s="17">
        <f>Scenario!AN29</f>
        <v>2.5519209672247203</v>
      </c>
      <c r="E13" s="17">
        <f>Scenario!AO29</f>
        <v>5.783013855340938</v>
      </c>
      <c r="F13" s="17">
        <f>Scenario!AP29</f>
        <v>10.191190868295642</v>
      </c>
      <c r="G13" s="17">
        <f>Scenario!AQ29</f>
        <v>17.959557751726912</v>
      </c>
      <c r="H13" s="17">
        <f>Scenario!AR29</f>
        <v>40.698898064614944</v>
      </c>
      <c r="I13" s="17">
        <f>IF((D13+'Non travel METs'!C13)&gt;2.5,(D13+'Non travel METs'!C13),0.1)</f>
        <v>11.418587633891391</v>
      </c>
      <c r="J13" s="17">
        <f>IF((E13+'Non travel METs'!D13)&gt;2.5,(E13+'Non travel METs'!D13),0.1)</f>
        <v>30.383013855340941</v>
      </c>
      <c r="K13" s="17">
        <f>IF((F13+'Non travel METs'!E13)&gt;2.5,(F13+'Non travel METs'!E13),0.1)</f>
        <v>40.041190868295644</v>
      </c>
      <c r="L13" s="17">
        <f>IF((G13+'Non travel METs'!F13)&gt;2.5,(G13+'Non travel METs'!F13),0.1)</f>
        <v>48.359557751726911</v>
      </c>
      <c r="M13" s="17">
        <f>IF((H13+'Non travel METs'!G13)&gt;2.5,(H13+'Non travel METs'!G13),0.1)</f>
        <v>81.698898064614951</v>
      </c>
      <c r="N13" s="19">
        <f>'Phy activity RRs'!$O$4</f>
        <v>0.89073615217571622</v>
      </c>
      <c r="O13" s="15">
        <f t="shared" si="7"/>
        <v>0.80840047361199718</v>
      </c>
      <c r="P13" s="15">
        <f t="shared" ref="P13:P18" si="12">$N13^(J13^0.25)</f>
        <v>0.76211727875173108</v>
      </c>
      <c r="Q13" s="15">
        <f t="shared" ref="Q13:Q18" si="13">$N13^(K13^0.25)</f>
        <v>0.74746885808663888</v>
      </c>
      <c r="R13" s="15">
        <f t="shared" ref="R13:R18" si="14">$N13^(L13^0.25)</f>
        <v>0.73702994538760569</v>
      </c>
      <c r="S13" s="15">
        <f t="shared" ref="S13:S18" si="15">$N13^(M13^0.25)</f>
        <v>0.70619249396177963</v>
      </c>
      <c r="T13" s="18">
        <f t="shared" ref="T13:X18" si="16">O13/$O13</f>
        <v>1</v>
      </c>
      <c r="U13" s="18">
        <f t="shared" si="16"/>
        <v>0.94274719477405899</v>
      </c>
      <c r="V13" s="18">
        <f t="shared" si="16"/>
        <v>0.92462694232091303</v>
      </c>
      <c r="W13" s="186">
        <f t="shared" si="16"/>
        <v>0.9117138960773955</v>
      </c>
      <c r="X13" s="186">
        <f t="shared" si="16"/>
        <v>0.8735676400663841</v>
      </c>
      <c r="Y13" s="31">
        <f t="shared" si="8"/>
        <v>1.728221713867395E-2</v>
      </c>
      <c r="Z13" s="344">
        <f t="shared" ref="Z13:Z18" si="17">SUM(O13:S13)/SUM(O30:S30)</f>
        <v>0.98271778286132605</v>
      </c>
      <c r="AA13" s="344">
        <f>'Inflammatory HD'!F13</f>
        <v>1</v>
      </c>
      <c r="AB13" s="17">
        <f>Z13*AA13*GBDUS!O225/($T13+$U13+$X13+V13+W13)</f>
        <v>2.9117809287756674E-2</v>
      </c>
      <c r="AC13" s="16">
        <f t="shared" ref="AC13:AF18" si="18">$AB13*U13</f>
        <v>2.7450733023998645E-2</v>
      </c>
      <c r="AD13" s="16">
        <f t="shared" si="18"/>
        <v>2.6923110968821936E-2</v>
      </c>
      <c r="AE13" s="16">
        <f t="shared" si="18"/>
        <v>2.6547111350979209E-2</v>
      </c>
      <c r="AF13" s="16">
        <f t="shared" si="18"/>
        <v>2.5436375943408637E-2</v>
      </c>
      <c r="AG13" s="17">
        <f>Z13*AA13*GBDUS!P225/($T13+$U13+$X13+V13+W13)</f>
        <v>0.88396858469442419</v>
      </c>
      <c r="AH13" s="16">
        <f t="shared" ref="AH13:AK18" si="19">$AG13*U13</f>
        <v>0.83335890348906361</v>
      </c>
      <c r="AI13" s="16">
        <f t="shared" si="19"/>
        <v>0.81734116957375047</v>
      </c>
      <c r="AJ13" s="16">
        <f t="shared" si="19"/>
        <v>0.80592644236177469</v>
      </c>
      <c r="AK13" s="16">
        <f t="shared" si="19"/>
        <v>0.77220635042432972</v>
      </c>
      <c r="AL13" s="17">
        <f t="shared" ref="AL13:AP18" si="20">AL30</f>
        <v>6.6388509926790062</v>
      </c>
      <c r="AM13" s="17">
        <f t="shared" si="20"/>
        <v>6.262994078898215</v>
      </c>
      <c r="AN13" s="17">
        <f t="shared" si="20"/>
        <v>6.1693646219316696</v>
      </c>
      <c r="AO13" s="17">
        <f t="shared" si="20"/>
        <v>6.1326364232664075</v>
      </c>
      <c r="AP13" s="17">
        <f t="shared" si="20"/>
        <v>5.9533766392997247</v>
      </c>
      <c r="AQ13" s="17">
        <f t="shared" si="9"/>
        <v>-2.3824854267843545E-3</v>
      </c>
      <c r="AR13" s="17">
        <f t="shared" si="10"/>
        <v>-7.2328321473525303E-2</v>
      </c>
      <c r="AS13" s="17">
        <f t="shared" si="11"/>
        <v>0</v>
      </c>
      <c r="AT13" s="17">
        <f t="shared" ref="AT13:AT18" si="21">AR13+AS13</f>
        <v>-7.2328321473525303E-2</v>
      </c>
      <c r="AU13" s="22">
        <f>AT13/GBDUS!H225</f>
        <v>-2.6317761206567374E-6</v>
      </c>
      <c r="AV13" s="22"/>
      <c r="AW13" s="22"/>
      <c r="AX13" s="22"/>
    </row>
    <row r="14" spans="1:50" s="13" customFormat="1" ht="12.75" x14ac:dyDescent="0.2">
      <c r="A14" s="20">
        <v>1</v>
      </c>
      <c r="B14" s="20">
        <v>2</v>
      </c>
      <c r="C14" s="20" t="s">
        <v>39</v>
      </c>
      <c r="D14" s="17">
        <f>Scenario!AN30</f>
        <v>1.5370956980369832</v>
      </c>
      <c r="E14" s="17">
        <f>Scenario!AO30</f>
        <v>3.4832762585119914</v>
      </c>
      <c r="F14" s="17">
        <f>Scenario!AP30</f>
        <v>6.1384485815667444</v>
      </c>
      <c r="G14" s="17">
        <f>Scenario!AQ30</f>
        <v>10.817560305892991</v>
      </c>
      <c r="H14" s="17">
        <f>Scenario!AR30</f>
        <v>24.514121688493699</v>
      </c>
      <c r="I14" s="17">
        <f>IF((D14+'Non travel METs'!C14)&gt;2.5,(D14+'Non travel METs'!C14),0.1)</f>
        <v>42.537095698036985</v>
      </c>
      <c r="J14" s="17">
        <f>IF((E14+'Non travel METs'!D14)&gt;2.5,(E14+'Non travel METs'!D14),0.1)</f>
        <v>39.358276258511992</v>
      </c>
      <c r="K14" s="17">
        <f>IF((F14+'Non travel METs'!E14)&gt;2.5,(F14+'Non travel METs'!E14),0.1)</f>
        <v>44.988448581566743</v>
      </c>
      <c r="L14" s="17">
        <f>IF((G14+'Non travel METs'!F14)&gt;2.5,(G14+'Non travel METs'!F14),0.1)</f>
        <v>51.817560305892989</v>
      </c>
      <c r="M14" s="17">
        <f>IF((H14+'Non travel METs'!G14)&gt;2.5,(H14+'Non travel METs'!G14),0.1)</f>
        <v>66.780788355160396</v>
      </c>
      <c r="N14" s="19">
        <f>'Phy activity RRs'!$O$4</f>
        <v>0.89073615217571622</v>
      </c>
      <c r="O14" s="15">
        <f t="shared" si="7"/>
        <v>0.74416235894296634</v>
      </c>
      <c r="P14" s="15">
        <f t="shared" si="12"/>
        <v>0.74840307305056752</v>
      </c>
      <c r="Q14" s="15">
        <f t="shared" si="13"/>
        <v>0.74106697607425143</v>
      </c>
      <c r="R14" s="15">
        <f t="shared" si="14"/>
        <v>0.73312364108871475</v>
      </c>
      <c r="S14" s="15">
        <f t="shared" si="15"/>
        <v>0.71837229891887</v>
      </c>
      <c r="T14" s="18">
        <f t="shared" si="16"/>
        <v>1</v>
      </c>
      <c r="U14" s="18">
        <f t="shared" si="16"/>
        <v>1.0056986409708022</v>
      </c>
      <c r="V14" s="18">
        <f t="shared" si="16"/>
        <v>0.99584044687087947</v>
      </c>
      <c r="W14" s="186">
        <f t="shared" si="16"/>
        <v>0.98516625072258246</v>
      </c>
      <c r="X14" s="186">
        <f t="shared" si="16"/>
        <v>0.96534350372043887</v>
      </c>
      <c r="Y14" s="31">
        <f t="shared" si="8"/>
        <v>9.6912534854476373E-3</v>
      </c>
      <c r="Z14" s="344">
        <f t="shared" si="17"/>
        <v>0.99030874651455236</v>
      </c>
      <c r="AA14" s="344">
        <f>'Inflammatory HD'!F14</f>
        <v>1</v>
      </c>
      <c r="AB14" s="17">
        <f>Z14*AA14*GBDUS!O227/($T14+$U14+$X14+V14+W14)</f>
        <v>6.9868346452307398E-2</v>
      </c>
      <c r="AC14" s="16">
        <f t="shared" si="18"/>
        <v>7.026650107396272E-2</v>
      </c>
      <c r="AD14" s="16">
        <f t="shared" si="18"/>
        <v>6.957772535319523E-2</v>
      </c>
      <c r="AE14" s="16">
        <f t="shared" si="18"/>
        <v>6.8831936918606118E-2</v>
      </c>
      <c r="AF14" s="16">
        <f t="shared" si="18"/>
        <v>6.7446954363423919E-2</v>
      </c>
      <c r="AG14" s="17">
        <f>Z14*AA14*GBDUS!P227/($T14+$U14+$X14+V14+W14)</f>
        <v>1.708103392867224</v>
      </c>
      <c r="AH14" s="16">
        <f t="shared" si="19"/>
        <v>1.7178372608441834</v>
      </c>
      <c r="AI14" s="16">
        <f t="shared" si="19"/>
        <v>1.7009984460545617</v>
      </c>
      <c r="AJ14" s="16">
        <f t="shared" si="19"/>
        <v>1.6827658153975253</v>
      </c>
      <c r="AK14" s="16">
        <f t="shared" si="19"/>
        <v>1.6489065139872152</v>
      </c>
      <c r="AL14" s="17">
        <f t="shared" si="20"/>
        <v>7.8239608183857241</v>
      </c>
      <c r="AM14" s="17">
        <f t="shared" si="20"/>
        <v>7.8896843860583621</v>
      </c>
      <c r="AN14" s="17">
        <f t="shared" si="20"/>
        <v>7.8342580347908966</v>
      </c>
      <c r="AO14" s="17">
        <f t="shared" si="20"/>
        <v>7.7855945013487053</v>
      </c>
      <c r="AP14" s="17">
        <f t="shared" si="20"/>
        <v>7.7172826601657629</v>
      </c>
      <c r="AQ14" s="17">
        <f t="shared" si="9"/>
        <v>-3.3859046431647527E-3</v>
      </c>
      <c r="AR14" s="17">
        <f t="shared" si="10"/>
        <v>-8.2776758039669218E-2</v>
      </c>
      <c r="AS14" s="17">
        <f t="shared" si="11"/>
        <v>0</v>
      </c>
      <c r="AT14" s="17">
        <f t="shared" si="21"/>
        <v>-8.2776758039669218E-2</v>
      </c>
      <c r="AU14" s="22">
        <f>AT14/GBDUS!H227</f>
        <v>-2.093969157395611E-6</v>
      </c>
      <c r="AV14" s="22"/>
      <c r="AW14" s="22"/>
      <c r="AX14" s="22"/>
    </row>
    <row r="15" spans="1:50" s="13" customFormat="1" ht="12.75" x14ac:dyDescent="0.2">
      <c r="A15" s="20">
        <v>1</v>
      </c>
      <c r="B15" s="20">
        <v>2</v>
      </c>
      <c r="C15" s="20" t="s">
        <v>38</v>
      </c>
      <c r="D15" s="17">
        <f>Scenario!AN31</f>
        <v>1.2975056378007672</v>
      </c>
      <c r="E15" s="17">
        <f>Scenario!AO31</f>
        <v>2.9403312944072315</v>
      </c>
      <c r="F15" s="17">
        <f>Scenario!AP31</f>
        <v>5.1816368051153949</v>
      </c>
      <c r="G15" s="17">
        <f>Scenario!AQ31</f>
        <v>9.1314063932851113</v>
      </c>
      <c r="H15" s="17">
        <f>Scenario!AR31</f>
        <v>20.693058432975548</v>
      </c>
      <c r="I15" s="17">
        <f>IF((D15+'Non travel METs'!C15)&gt;2.5,(D15+'Non travel METs'!C15),0.1)</f>
        <v>42.947505637800766</v>
      </c>
      <c r="J15" s="17">
        <f>IF((E15+'Non travel METs'!D15)&gt;2.5,(E15+'Non travel METs'!D15),0.1)</f>
        <v>45.990331294407227</v>
      </c>
      <c r="K15" s="17">
        <f>IF((F15+'Non travel METs'!E15)&gt;2.5,(F15+'Non travel METs'!E15),0.1)</f>
        <v>51.248303471782094</v>
      </c>
      <c r="L15" s="17">
        <f>IF((G15+'Non travel METs'!F15)&gt;2.5,(G15+'Non travel METs'!F15),0.1)</f>
        <v>50.131406393285111</v>
      </c>
      <c r="M15" s="17">
        <f>IF((H15+'Non travel METs'!G15)&gt;2.5,(H15+'Non travel METs'!G15),0.1)</f>
        <v>61.693058432975548</v>
      </c>
      <c r="N15" s="19">
        <f>'Phy activity RRs'!$O$4</f>
        <v>0.89073615217571622</v>
      </c>
      <c r="O15" s="15">
        <f t="shared" si="7"/>
        <v>0.74363404770236363</v>
      </c>
      <c r="P15" s="15">
        <f t="shared" si="12"/>
        <v>0.73984181340130528</v>
      </c>
      <c r="Q15" s="15">
        <f t="shared" si="13"/>
        <v>0.7337515698566841</v>
      </c>
      <c r="R15" s="15">
        <f t="shared" si="14"/>
        <v>0.73500053990497771</v>
      </c>
      <c r="S15" s="15">
        <f t="shared" si="15"/>
        <v>0.72304850421765132</v>
      </c>
      <c r="T15" s="18">
        <f t="shared" si="16"/>
        <v>1</v>
      </c>
      <c r="U15" s="18">
        <f t="shared" si="16"/>
        <v>0.99490040253969625</v>
      </c>
      <c r="V15" s="18">
        <f t="shared" si="16"/>
        <v>0.98671056297621951</v>
      </c>
      <c r="W15" s="186">
        <f t="shared" si="16"/>
        <v>0.98839011228162399</v>
      </c>
      <c r="X15" s="186">
        <f t="shared" si="16"/>
        <v>0.97231764259810816</v>
      </c>
      <c r="Y15" s="31">
        <f t="shared" si="8"/>
        <v>8.2284040636776412E-3</v>
      </c>
      <c r="Z15" s="344">
        <f t="shared" si="17"/>
        <v>0.99177159593632236</v>
      </c>
      <c r="AA15" s="344">
        <f>'Inflammatory HD'!F15</f>
        <v>1</v>
      </c>
      <c r="AB15" s="17">
        <f>Z15*AA15*GBDUS!O229/($T15+$U15+$X15+V15+W15)</f>
        <v>0.37829578080697013</v>
      </c>
      <c r="AC15" s="16">
        <f t="shared" si="18"/>
        <v>0.37636662460392328</v>
      </c>
      <c r="AD15" s="16">
        <f t="shared" si="18"/>
        <v>0.37326844285157401</v>
      </c>
      <c r="AE15" s="16">
        <f t="shared" si="18"/>
        <v>0.3739038092674658</v>
      </c>
      <c r="AF15" s="16">
        <f t="shared" si="18"/>
        <v>0.36782366179904386</v>
      </c>
      <c r="AG15" s="17">
        <f>Z15*AA15*GBDUS!P229/($T15+$U15+$X15+V15+W15)</f>
        <v>6.6966227638751654</v>
      </c>
      <c r="AH15" s="16">
        <f t="shared" si="19"/>
        <v>6.6624726834358956</v>
      </c>
      <c r="AI15" s="16">
        <f t="shared" si="19"/>
        <v>6.6076284173826316</v>
      </c>
      <c r="AJ15" s="16">
        <f t="shared" si="19"/>
        <v>6.6188757254942541</v>
      </c>
      <c r="AK15" s="16">
        <f t="shared" si="19"/>
        <v>6.5112444591399283</v>
      </c>
      <c r="AL15" s="17">
        <f t="shared" si="20"/>
        <v>14.97793276142921</v>
      </c>
      <c r="AM15" s="17">
        <f t="shared" si="20"/>
        <v>14.928878922933469</v>
      </c>
      <c r="AN15" s="17">
        <f t="shared" si="20"/>
        <v>14.83826409032422</v>
      </c>
      <c r="AO15" s="17">
        <f t="shared" si="20"/>
        <v>14.932685938241672</v>
      </c>
      <c r="AP15" s="17">
        <f t="shared" si="20"/>
        <v>14.845548318011616</v>
      </c>
      <c r="AQ15" s="17">
        <f t="shared" si="9"/>
        <v>-1.5511942644345744E-2</v>
      </c>
      <c r="AR15" s="17">
        <f t="shared" si="10"/>
        <v>-0.27459367377151267</v>
      </c>
      <c r="AS15" s="17">
        <f t="shared" si="11"/>
        <v>0</v>
      </c>
      <c r="AT15" s="17">
        <f t="shared" si="21"/>
        <v>-0.27459367377151267</v>
      </c>
      <c r="AU15" s="22">
        <f>AT15/GBDUS!H229</f>
        <v>-4.0700587351220771E-6</v>
      </c>
      <c r="AV15" s="22"/>
      <c r="AW15" s="22"/>
      <c r="AX15" s="22"/>
    </row>
    <row r="16" spans="1:50" s="13" customFormat="1" ht="12.75" x14ac:dyDescent="0.2">
      <c r="A16" s="20">
        <v>1</v>
      </c>
      <c r="B16" s="20">
        <v>2</v>
      </c>
      <c r="C16" s="20" t="s">
        <v>37</v>
      </c>
      <c r="D16" s="17">
        <f>Scenario!AN32</f>
        <v>0.85341118968805019</v>
      </c>
      <c r="E16" s="17">
        <f>Scenario!AO32</f>
        <v>1.9339504622810642</v>
      </c>
      <c r="F16" s="17">
        <f>Scenario!AP32</f>
        <v>3.4081291838393759</v>
      </c>
      <c r="G16" s="17">
        <f>Scenario!AQ32</f>
        <v>6.0060196785172764</v>
      </c>
      <c r="H16" s="17">
        <f>Scenario!AR32</f>
        <v>13.610490082727217</v>
      </c>
      <c r="I16" s="17">
        <f>IF((D16+'Non travel METs'!C16)&gt;2.5,(D16+'Non travel METs'!C16),0.1)</f>
        <v>33.65341118968805</v>
      </c>
      <c r="J16" s="17">
        <f>IF((E16+'Non travel METs'!D16)&gt;2.5,(E16+'Non travel METs'!D16),0.1)</f>
        <v>19.933950462281064</v>
      </c>
      <c r="K16" s="17">
        <f>IF((F16+'Non travel METs'!E16)&gt;2.5,(F16+'Non travel METs'!E16),0.1)</f>
        <v>35.158129183839378</v>
      </c>
      <c r="L16" s="17">
        <f>IF((G16+'Non travel METs'!F16)&gt;2.5,(G16+'Non travel METs'!F16),0.1)</f>
        <v>26.506019678517276</v>
      </c>
      <c r="M16" s="17">
        <f>IF((H16+'Non travel METs'!G16)&gt;2.5,(H16+'Non travel METs'!G16),0.1)</f>
        <v>18.110490082727217</v>
      </c>
      <c r="N16" s="19">
        <f>'Phy activity RRs'!$O$4</f>
        <v>0.89073615217571622</v>
      </c>
      <c r="O16" s="15">
        <f t="shared" si="7"/>
        <v>0.75677660404589453</v>
      </c>
      <c r="P16" s="15">
        <f t="shared" si="12"/>
        <v>0.78310516176878675</v>
      </c>
      <c r="Q16" s="15">
        <f t="shared" si="13"/>
        <v>0.75446118672312334</v>
      </c>
      <c r="R16" s="15">
        <f t="shared" si="14"/>
        <v>0.76909543256442003</v>
      </c>
      <c r="S16" s="15">
        <f t="shared" si="15"/>
        <v>0.78765553910526187</v>
      </c>
      <c r="T16" s="18">
        <f t="shared" si="16"/>
        <v>1</v>
      </c>
      <c r="U16" s="18">
        <f t="shared" si="16"/>
        <v>1.0347903959796509</v>
      </c>
      <c r="V16" s="18">
        <f t="shared" si="16"/>
        <v>0.99694042163778263</v>
      </c>
      <c r="W16" s="186">
        <f t="shared" si="16"/>
        <v>1.0162780250508094</v>
      </c>
      <c r="X16" s="186">
        <f t="shared" si="16"/>
        <v>1.0408032369054245</v>
      </c>
      <c r="Y16" s="31">
        <f t="shared" si="8"/>
        <v>1.2473276343680673E-2</v>
      </c>
      <c r="Z16" s="344">
        <f t="shared" si="17"/>
        <v>0.98752672365631933</v>
      </c>
      <c r="AA16" s="344">
        <f>'Inflammatory HD'!F16</f>
        <v>1</v>
      </c>
      <c r="AB16" s="17">
        <f>Z16*AA16*GBDUS!O231/($T16+$U16+$X16+V16+W16)</f>
        <v>0.68118139097372687</v>
      </c>
      <c r="AC16" s="16">
        <f t="shared" si="18"/>
        <v>0.70487996129967223</v>
      </c>
      <c r="AD16" s="16">
        <f t="shared" si="18"/>
        <v>0.67909726312915852</v>
      </c>
      <c r="AE16" s="16">
        <f t="shared" si="18"/>
        <v>0.69226967872014245</v>
      </c>
      <c r="AF16" s="16">
        <f t="shared" si="18"/>
        <v>0.7089757966451945</v>
      </c>
      <c r="AG16" s="17">
        <f>Z16*AA16*GBDUS!P231/($T16+$U16+$X16+V16+W16)</f>
        <v>8.4402745296083683</v>
      </c>
      <c r="AH16" s="16">
        <f t="shared" si="19"/>
        <v>8.7339150226704056</v>
      </c>
      <c r="AI16" s="16">
        <f t="shared" si="19"/>
        <v>8.4144508482864033</v>
      </c>
      <c r="AJ16" s="16">
        <f t="shared" si="19"/>
        <v>8.5776655298370414</v>
      </c>
      <c r="AK16" s="16">
        <f t="shared" si="19"/>
        <v>8.7846650507867992</v>
      </c>
      <c r="AL16" s="17">
        <f t="shared" si="20"/>
        <v>11.882474824699301</v>
      </c>
      <c r="AM16" s="17">
        <f t="shared" si="20"/>
        <v>12.332634346568277</v>
      </c>
      <c r="AN16" s="17">
        <f t="shared" si="20"/>
        <v>11.889130168354363</v>
      </c>
      <c r="AO16" s="17">
        <f t="shared" si="20"/>
        <v>12.194159528854849</v>
      </c>
      <c r="AP16" s="17">
        <f t="shared" si="20"/>
        <v>12.857598890425516</v>
      </c>
      <c r="AQ16" s="17">
        <f t="shared" si="9"/>
        <v>-4.3783540340991856E-2</v>
      </c>
      <c r="AR16" s="17">
        <f t="shared" si="10"/>
        <v>-0.54250615952367376</v>
      </c>
      <c r="AS16" s="17">
        <f t="shared" si="11"/>
        <v>0</v>
      </c>
      <c r="AT16" s="17">
        <f t="shared" si="21"/>
        <v>-0.54250615952367376</v>
      </c>
      <c r="AU16" s="22">
        <f>AT16/GBDUS!H231</f>
        <v>-1.1661703892379929E-5</v>
      </c>
      <c r="AV16" s="22"/>
      <c r="AW16" s="22"/>
      <c r="AX16" s="22"/>
    </row>
    <row r="17" spans="1:50" s="13" customFormat="1" ht="12.75" x14ac:dyDescent="0.2">
      <c r="A17" s="20">
        <v>1</v>
      </c>
      <c r="B17" s="20">
        <v>2</v>
      </c>
      <c r="C17" s="20" t="s">
        <v>36</v>
      </c>
      <c r="D17" s="17">
        <f>Scenario!AN33</f>
        <v>0.77504695374177146</v>
      </c>
      <c r="E17" s="17">
        <f>Scenario!AO33</f>
        <v>1.7563660197920845</v>
      </c>
      <c r="F17" s="17">
        <f>Scenario!AP33</f>
        <v>3.0951787061272027</v>
      </c>
      <c r="G17" s="17">
        <f>Scenario!AQ33</f>
        <v>5.4545186566507038</v>
      </c>
      <c r="H17" s="17">
        <f>Scenario!AR33</f>
        <v>12.360710762892898</v>
      </c>
      <c r="I17" s="17">
        <f>IF((D17+'Non travel METs'!C17)&gt;2.5,(D17+'Non travel METs'!C17),0.1)</f>
        <v>6.6083802870751018</v>
      </c>
      <c r="J17" s="17">
        <f>IF((E17+'Non travel METs'!D17)&gt;2.5,(E17+'Non travel METs'!D17),0.1)</f>
        <v>6.7563660197920843</v>
      </c>
      <c r="K17" s="17">
        <f>IF((F17+'Non travel METs'!E17)&gt;2.5,(F17+'Non travel METs'!E17),0.1)</f>
        <v>5.5951787061272027</v>
      </c>
      <c r="L17" s="17">
        <f>IF((G17+'Non travel METs'!F17)&gt;2.5,(G17+'Non travel METs'!F17),0.1)</f>
        <v>9.2045186566507038</v>
      </c>
      <c r="M17" s="17">
        <f>IF((H17+'Non travel METs'!G17)&gt;2.5,(H17+'Non travel METs'!G17),0.1)</f>
        <v>12.360710762892898</v>
      </c>
      <c r="N17" s="19">
        <f>'Phy activity RRs'!$O$4</f>
        <v>0.89073615217571622</v>
      </c>
      <c r="O17" s="15">
        <f t="shared" si="7"/>
        <v>0.83067480059862009</v>
      </c>
      <c r="P17" s="15">
        <f t="shared" si="12"/>
        <v>0.82981965400708624</v>
      </c>
      <c r="Q17" s="15">
        <f t="shared" si="13"/>
        <v>0.83697905528720429</v>
      </c>
      <c r="R17" s="15">
        <f t="shared" si="14"/>
        <v>0.81747136052844793</v>
      </c>
      <c r="S17" s="15">
        <f t="shared" si="15"/>
        <v>0.80496582624601942</v>
      </c>
      <c r="T17" s="18">
        <f t="shared" si="16"/>
        <v>1</v>
      </c>
      <c r="U17" s="18">
        <f t="shared" si="16"/>
        <v>0.99897053986600104</v>
      </c>
      <c r="V17" s="18">
        <f t="shared" si="16"/>
        <v>1.0075893173646788</v>
      </c>
      <c r="W17" s="186">
        <f t="shared" si="16"/>
        <v>0.98410516358428446</v>
      </c>
      <c r="X17" s="186">
        <f t="shared" si="16"/>
        <v>0.96905049444852109</v>
      </c>
      <c r="Y17" s="31">
        <f t="shared" si="8"/>
        <v>2.2421759984030953E-2</v>
      </c>
      <c r="Z17" s="344">
        <f t="shared" si="17"/>
        <v>0.97757824001596905</v>
      </c>
      <c r="AA17" s="344">
        <f>'Inflammatory HD'!F17</f>
        <v>1</v>
      </c>
      <c r="AB17" s="17">
        <f>Z17*AA17*GBDUS!O233/($T17+$U17+$X17+V17+W17)</f>
        <v>1.1958951336897778</v>
      </c>
      <c r="AC17" s="16">
        <f t="shared" si="18"/>
        <v>1.1946640073252008</v>
      </c>
      <c r="AD17" s="16">
        <f t="shared" si="18"/>
        <v>1.2049711613942247</v>
      </c>
      <c r="AE17" s="16">
        <f t="shared" si="18"/>
        <v>1.1768865761694285</v>
      </c>
      <c r="AF17" s="16">
        <f t="shared" si="18"/>
        <v>1.1588827706106595</v>
      </c>
      <c r="AG17" s="17">
        <f>Z17*AA17*GBDUS!P233/($T17+$U17+$X17+V17+W17)</f>
        <v>9.2623952455858287</v>
      </c>
      <c r="AH17" s="16">
        <f t="shared" si="19"/>
        <v>9.252859978935156</v>
      </c>
      <c r="AI17" s="16">
        <f t="shared" si="19"/>
        <v>9.3326905026616718</v>
      </c>
      <c r="AJ17" s="16">
        <f t="shared" si="19"/>
        <v>9.1151709883395409</v>
      </c>
      <c r="AK17" s="16">
        <f t="shared" si="19"/>
        <v>8.975728692512579</v>
      </c>
      <c r="AL17" s="17">
        <f t="shared" si="20"/>
        <v>10.029150642070102</v>
      </c>
      <c r="AM17" s="17">
        <f t="shared" si="20"/>
        <v>10.070540322717259</v>
      </c>
      <c r="AN17" s="17">
        <f t="shared" si="20"/>
        <v>10.272092891927292</v>
      </c>
      <c r="AO17" s="17">
        <f t="shared" si="20"/>
        <v>10.079914759300427</v>
      </c>
      <c r="AP17" s="17">
        <f t="shared" si="20"/>
        <v>10.233309123822091</v>
      </c>
      <c r="AQ17" s="17">
        <f t="shared" si="9"/>
        <v>-0.13604044329517317</v>
      </c>
      <c r="AR17" s="17">
        <f t="shared" si="10"/>
        <v>-1.0536545552257994</v>
      </c>
      <c r="AS17" s="17">
        <f t="shared" si="11"/>
        <v>0</v>
      </c>
      <c r="AT17" s="17">
        <f t="shared" si="21"/>
        <v>-1.0536545552257994</v>
      </c>
      <c r="AU17" s="22">
        <f>AT17/GBDUS!H233</f>
        <v>-3.0353793599657359E-5</v>
      </c>
      <c r="AV17" s="22"/>
      <c r="AW17" s="22"/>
      <c r="AX17" s="22"/>
    </row>
    <row r="18" spans="1:50" s="13" customFormat="1" ht="12.75" x14ac:dyDescent="0.2">
      <c r="A18" s="20">
        <v>1</v>
      </c>
      <c r="B18" s="20">
        <v>2</v>
      </c>
      <c r="C18" s="20" t="s">
        <v>35</v>
      </c>
      <c r="D18" s="17">
        <f>Scenario!AN34</f>
        <v>0.40295615512215294</v>
      </c>
      <c r="E18" s="17">
        <f>Scenario!AO34</f>
        <v>0.91315564161087048</v>
      </c>
      <c r="F18" s="17">
        <f>Scenario!AP34</f>
        <v>1.6092203250598482</v>
      </c>
      <c r="G18" s="17">
        <f>Scenario!AQ34</f>
        <v>2.8358693048399783</v>
      </c>
      <c r="H18" s="17">
        <f>Scenario!AR34</f>
        <v>6.4264809500197613</v>
      </c>
      <c r="I18" s="17">
        <f>IF((D18+'Non travel METs'!C18)&gt;2.5,(D18+'Non travel METs'!C18),0.1)</f>
        <v>6.902956155122153</v>
      </c>
      <c r="J18" s="17">
        <f>IF((E18+'Non travel METs'!D18)&gt;2.5,(E18+'Non travel METs'!D18),0.1)</f>
        <v>4.0381556416108708</v>
      </c>
      <c r="K18" s="17">
        <f>IF((F18+'Non travel METs'!E18)&gt;2.5,(F18+'Non travel METs'!E18),0.1)</f>
        <v>0.1</v>
      </c>
      <c r="L18" s="17">
        <f>IF((G18+'Non travel METs'!F18)&gt;2.5,(G18+'Non travel METs'!F18),0.1)</f>
        <v>2.8358693048399783</v>
      </c>
      <c r="M18" s="17">
        <f>IF((H18+'Non travel METs'!G18)&gt;2.5,(H18+'Non travel METs'!G18),0.1)</f>
        <v>6.4264809500197613</v>
      </c>
      <c r="N18" s="19">
        <f>'Phy activity RRs'!$O$4</f>
        <v>0.89073615217571622</v>
      </c>
      <c r="O18" s="15">
        <f t="shared" si="7"/>
        <v>0.8289871586463472</v>
      </c>
      <c r="P18" s="15">
        <f t="shared" si="12"/>
        <v>0.84872226883827484</v>
      </c>
      <c r="Q18" s="15">
        <f t="shared" si="13"/>
        <v>0.93700483239712185</v>
      </c>
      <c r="R18" s="15">
        <f t="shared" si="14"/>
        <v>0.86057711604925724</v>
      </c>
      <c r="S18" s="15">
        <f t="shared" si="15"/>
        <v>0.83174706827338707</v>
      </c>
      <c r="T18" s="18">
        <f t="shared" si="16"/>
        <v>1</v>
      </c>
      <c r="U18" s="18">
        <f t="shared" si="16"/>
        <v>1.0238062917936546</v>
      </c>
      <c r="V18" s="18">
        <f t="shared" si="16"/>
        <v>1.1303007804453289</v>
      </c>
      <c r="W18" s="186">
        <f t="shared" si="16"/>
        <v>1.0381066908858918</v>
      </c>
      <c r="X18" s="186">
        <f t="shared" si="16"/>
        <v>1.0033292549809174</v>
      </c>
      <c r="Y18" s="31">
        <f t="shared" si="8"/>
        <v>4.2061027870140766E-2</v>
      </c>
      <c r="Z18" s="344">
        <f t="shared" si="17"/>
        <v>0.95793897212985923</v>
      </c>
      <c r="AA18" s="344">
        <f>'Inflammatory HD'!F18</f>
        <v>1</v>
      </c>
      <c r="AB18" s="17">
        <f>Z18*AA18*GBDUS!O235/($T18+$U18+$X18+V18+W18)</f>
        <v>2.2593605493290938</v>
      </c>
      <c r="AC18" s="16">
        <f t="shared" si="18"/>
        <v>2.3131475458334938</v>
      </c>
      <c r="AD18" s="16">
        <f t="shared" si="18"/>
        <v>2.5537569922140619</v>
      </c>
      <c r="AE18" s="16">
        <f t="shared" si="18"/>
        <v>2.3454573033821564</v>
      </c>
      <c r="AF18" s="16">
        <f t="shared" si="18"/>
        <v>2.2668825366916359</v>
      </c>
      <c r="AG18" s="17">
        <f>Z18*AA18*GBDUS!P235/($T18+$U18+$X18+V18+W18)</f>
        <v>7.4124759028510256</v>
      </c>
      <c r="AH18" s="16">
        <f t="shared" si="19"/>
        <v>7.5889394671077302</v>
      </c>
      <c r="AI18" s="16">
        <f t="shared" si="19"/>
        <v>8.3783272980247077</v>
      </c>
      <c r="AJ18" s="16">
        <f t="shared" si="19"/>
        <v>7.6949408307800917</v>
      </c>
      <c r="AK18" s="16">
        <f t="shared" si="19"/>
        <v>7.4371539251715229</v>
      </c>
      <c r="AL18" s="17">
        <f t="shared" si="20"/>
        <v>6.1019705359370722</v>
      </c>
      <c r="AM18" s="17">
        <f t="shared" si="20"/>
        <v>6.2780309285852427</v>
      </c>
      <c r="AN18" s="17">
        <f t="shared" si="20"/>
        <v>6.8837865111005048</v>
      </c>
      <c r="AO18" s="17">
        <f t="shared" si="20"/>
        <v>6.8837865111005048</v>
      </c>
      <c r="AP18" s="17">
        <f t="shared" si="20"/>
        <v>6.8837865111005048</v>
      </c>
      <c r="AQ18" s="17">
        <f t="shared" si="9"/>
        <v>-0.51541674717784858</v>
      </c>
      <c r="AR18" s="17">
        <f t="shared" si="10"/>
        <v>-1.6909714651413887</v>
      </c>
      <c r="AS18" s="17">
        <f t="shared" si="11"/>
        <v>0</v>
      </c>
      <c r="AT18" s="17">
        <f t="shared" si="21"/>
        <v>-1.6909714651413887</v>
      </c>
      <c r="AU18" s="22">
        <f>AT18/GBDUS!H235</f>
        <v>-3.8564050325063153E-5</v>
      </c>
      <c r="AV18" s="22"/>
      <c r="AW18" s="22"/>
      <c r="AX18" s="22"/>
    </row>
    <row r="19" spans="1:50" s="13" customFormat="1" ht="12.75" x14ac:dyDescent="0.2">
      <c r="A19" s="20"/>
      <c r="B19" s="20"/>
      <c r="C19" s="20"/>
      <c r="D19" s="17"/>
      <c r="E19" s="16"/>
      <c r="F19" s="17"/>
      <c r="G19" s="16"/>
      <c r="H19" s="17"/>
      <c r="I19" s="17"/>
      <c r="J19" s="17"/>
      <c r="K19" s="17"/>
      <c r="L19" s="17"/>
      <c r="M19" s="17"/>
      <c r="N19" s="19"/>
      <c r="O19" s="15"/>
      <c r="P19" s="15"/>
      <c r="Q19" s="15"/>
      <c r="R19" s="15"/>
      <c r="S19" s="15"/>
      <c r="T19" s="18"/>
      <c r="U19" s="18"/>
      <c r="V19" s="18"/>
      <c r="W19" s="186"/>
      <c r="X19" s="187"/>
      <c r="Y19" s="18"/>
      <c r="Z19" s="16"/>
      <c r="AA19" s="238"/>
      <c r="AB19" s="17"/>
      <c r="AC19" s="16"/>
      <c r="AD19" s="16"/>
      <c r="AE19" s="16"/>
      <c r="AF19" s="16"/>
      <c r="AG19" s="17"/>
      <c r="AH19" s="16"/>
      <c r="AI19" s="16"/>
      <c r="AJ19" s="16"/>
      <c r="AK19" s="16"/>
      <c r="AL19" s="17"/>
      <c r="AM19" s="16"/>
      <c r="AN19" s="16"/>
      <c r="AO19" s="16"/>
      <c r="AP19" s="16"/>
      <c r="AQ19" s="21">
        <f>SUM(AQ3:AQ18)</f>
        <v>-1.2775867966654642</v>
      </c>
      <c r="AR19" s="21">
        <f>SUM(AR3:AR18)</f>
        <v>-6.8461261879051953</v>
      </c>
      <c r="AS19" s="21">
        <f>SUM(AS3:AS18)</f>
        <v>0</v>
      </c>
      <c r="AT19" s="21">
        <f>SUM(AT3:AT18)</f>
        <v>-6.8461261879051953</v>
      </c>
      <c r="AU19" s="22"/>
      <c r="AV19" s="22"/>
      <c r="AW19" s="22"/>
      <c r="AX19" s="22"/>
    </row>
    <row r="20" spans="1:50" s="13" customFormat="1" ht="12.75" x14ac:dyDescent="0.2">
      <c r="A20" s="20">
        <v>0</v>
      </c>
      <c r="B20" s="20">
        <v>1</v>
      </c>
      <c r="C20" s="20" t="s">
        <v>2</v>
      </c>
      <c r="D20" s="17"/>
      <c r="E20" s="17"/>
      <c r="F20" s="17"/>
      <c r="G20" s="17"/>
      <c r="H20" s="17"/>
      <c r="I20" s="17"/>
      <c r="J20" s="17"/>
      <c r="K20" s="17"/>
      <c r="L20" s="17"/>
      <c r="M20" s="17"/>
      <c r="N20" s="19"/>
      <c r="O20" s="15"/>
      <c r="P20" s="15"/>
      <c r="Q20" s="15"/>
      <c r="R20" s="15"/>
      <c r="S20" s="15"/>
      <c r="T20" s="18"/>
      <c r="U20" s="18"/>
      <c r="V20" s="18"/>
      <c r="W20" s="186"/>
      <c r="X20" s="186"/>
      <c r="Y20" s="18"/>
      <c r="Z20" s="16"/>
      <c r="AA20" s="16"/>
      <c r="AB20" s="17"/>
      <c r="AC20" s="16"/>
      <c r="AD20" s="16"/>
      <c r="AE20" s="16"/>
      <c r="AF20" s="16"/>
      <c r="AG20" s="17"/>
      <c r="AH20" s="16"/>
      <c r="AI20" s="16"/>
      <c r="AJ20" s="16"/>
      <c r="AK20" s="16"/>
      <c r="AL20" s="17"/>
      <c r="AM20" s="16"/>
      <c r="AN20" s="16"/>
      <c r="AO20" s="16"/>
      <c r="AP20" s="16"/>
      <c r="AQ20" s="33">
        <f>AQ19/GBDUS!O236</f>
        <v>-2.1114914571849414E-2</v>
      </c>
      <c r="AR20" s="33">
        <f>AR19/GBDUS!P236</f>
        <v>-1.5368940467217429E-2</v>
      </c>
      <c r="AS20" s="33">
        <f>AS19/GBDUS!G236</f>
        <v>0</v>
      </c>
      <c r="AT20" s="33">
        <f>AT19/GBDUS!R236</f>
        <v>-6.5015618160934509E-3</v>
      </c>
      <c r="AU20" s="14"/>
      <c r="AV20" s="14"/>
      <c r="AW20" s="14"/>
      <c r="AX20" s="14"/>
    </row>
    <row r="21" spans="1:50" s="13" customFormat="1" ht="12.75" x14ac:dyDescent="0.2">
      <c r="A21" s="20">
        <v>0</v>
      </c>
      <c r="B21" s="20">
        <v>1</v>
      </c>
      <c r="C21" s="20" t="s">
        <v>41</v>
      </c>
      <c r="D21" s="17"/>
      <c r="E21" s="17"/>
      <c r="F21" s="17"/>
      <c r="G21" s="17"/>
      <c r="H21" s="17"/>
      <c r="I21" s="17"/>
      <c r="J21" s="17"/>
      <c r="K21" s="17"/>
      <c r="L21" s="17"/>
      <c r="M21" s="17"/>
      <c r="N21" s="19"/>
      <c r="O21" s="15"/>
      <c r="P21" s="15"/>
      <c r="Q21" s="15"/>
      <c r="R21" s="15"/>
      <c r="S21" s="15"/>
      <c r="T21" s="18"/>
      <c r="U21" s="18"/>
      <c r="V21" s="18"/>
      <c r="W21" s="186"/>
      <c r="X21" s="186"/>
      <c r="Y21" s="18"/>
      <c r="Z21" s="16"/>
      <c r="AA21" s="16"/>
      <c r="AB21" s="17"/>
      <c r="AC21" s="16"/>
      <c r="AD21" s="16"/>
      <c r="AE21" s="16"/>
      <c r="AF21" s="16"/>
      <c r="AG21" s="17"/>
      <c r="AH21" s="16"/>
      <c r="AI21" s="16"/>
      <c r="AJ21" s="16"/>
      <c r="AK21" s="16"/>
      <c r="AL21" s="17"/>
      <c r="AM21" s="16"/>
      <c r="AN21" s="16"/>
      <c r="AO21" s="16"/>
      <c r="AP21" s="16"/>
      <c r="AQ21" s="15"/>
      <c r="AR21" s="15"/>
      <c r="AS21" s="15"/>
      <c r="AT21" s="15"/>
      <c r="AU21" s="14"/>
      <c r="AV21" s="14"/>
      <c r="AW21" s="14"/>
      <c r="AX21" s="14"/>
    </row>
    <row r="22" spans="1:50" s="13" customFormat="1" ht="12.75" x14ac:dyDescent="0.2">
      <c r="A22" s="20">
        <v>0</v>
      </c>
      <c r="B22" s="20">
        <v>1</v>
      </c>
      <c r="C22" s="20" t="s">
        <v>40</v>
      </c>
      <c r="D22" s="17">
        <f>Baseline!AN21</f>
        <v>0.60295678095886318</v>
      </c>
      <c r="E22" s="17">
        <f>Baseline!AO21</f>
        <v>1.3663853478381727</v>
      </c>
      <c r="F22" s="17">
        <f>Baseline!AP21</f>
        <v>2.4079302294253959</v>
      </c>
      <c r="G22" s="17">
        <f>Baseline!AQ21</f>
        <v>4.2434061510935761</v>
      </c>
      <c r="H22" s="17">
        <f>Baseline!AR21</f>
        <v>9.6161585255912687</v>
      </c>
      <c r="I22" s="17">
        <f>IF((D22+'Non travel METs'!C22)&gt;2.5,(D22+'Non travel METs'!C22),0.1)</f>
        <v>58.40295678095886</v>
      </c>
      <c r="J22" s="17">
        <f>IF((E22+'Non travel METs'!D22)&gt;2.5,(E22+'Non travel METs'!D22),0.1)</f>
        <v>42.366385347838175</v>
      </c>
      <c r="K22" s="17">
        <f>IF((F22+'Non travel METs'!E22)&gt;2.5,(F22+'Non travel METs'!E22),0.1)</f>
        <v>47.907930229425396</v>
      </c>
      <c r="L22" s="17">
        <f>IF((G22+'Non travel METs'!F22)&gt;2.5,(G22+'Non travel METs'!F22),0.1)</f>
        <v>42.168406151093571</v>
      </c>
      <c r="M22" s="17">
        <f>IF((H22+'Non travel METs'!G22)&gt;2.5,(H22+'Non travel METs'!G22),0.1)</f>
        <v>50.616158525591267</v>
      </c>
      <c r="N22" s="19">
        <f>'Phy activity RRs'!$O$4</f>
        <v>0.89073615217571622</v>
      </c>
      <c r="O22" s="15">
        <f t="shared" si="7"/>
        <v>0.72624616508506146</v>
      </c>
      <c r="P22" s="15">
        <f t="shared" ref="P22:P27" si="22">$N22^(J22^0.25)</f>
        <v>0.74438334786717431</v>
      </c>
      <c r="Q22" s="15">
        <f t="shared" ref="Q22:Q27" si="23">$N22^(K22^0.25)</f>
        <v>0.73755703609533063</v>
      </c>
      <c r="R22" s="15">
        <f t="shared" ref="R22:R27" si="24">$N22^(L22^0.25)</f>
        <v>0.74464055757261294</v>
      </c>
      <c r="S22" s="15">
        <f t="shared" ref="S22:S27" si="25">$N22^(M22^0.25)</f>
        <v>0.73445566744368851</v>
      </c>
      <c r="T22" s="18">
        <f t="shared" ref="T22:X27" si="26">O22/$O22</f>
        <v>1</v>
      </c>
      <c r="U22" s="18">
        <f t="shared" si="26"/>
        <v>1.0249738775281361</v>
      </c>
      <c r="V22" s="18">
        <f t="shared" si="26"/>
        <v>1.0155744313072474</v>
      </c>
      <c r="W22" s="186">
        <f t="shared" si="26"/>
        <v>1.0253280407826966</v>
      </c>
      <c r="X22" s="186">
        <f t="shared" si="26"/>
        <v>1.011304021629726</v>
      </c>
      <c r="Y22" s="18"/>
      <c r="Z22" s="16"/>
      <c r="AA22" s="16"/>
      <c r="AB22" s="17">
        <f>GBDUS!O224/($T22+$U22+$X22+V22+W22)</f>
        <v>6.9249204960087407E-2</v>
      </c>
      <c r="AC22" s="16">
        <f t="shared" ref="AC22:AF27" si="27">$AB22*U22</f>
        <v>7.0978626123681429E-2</v>
      </c>
      <c r="AD22" s="16">
        <f t="shared" si="27"/>
        <v>7.0327721945819793E-2</v>
      </c>
      <c r="AE22" s="16">
        <f t="shared" si="27"/>
        <v>7.1003151647485815E-2</v>
      </c>
      <c r="AF22" s="16">
        <f t="shared" si="27"/>
        <v>7.0031999470797565E-2</v>
      </c>
      <c r="AG22" s="17">
        <f>GBDUS!P224/($T22+$U22+$X22+V22+W22)</f>
        <v>2.0767170983956698</v>
      </c>
      <c r="AH22" s="16">
        <f t="shared" ref="AH22:AH27" si="28">$AG22*U22</f>
        <v>2.1285807768715892</v>
      </c>
      <c r="AI22" s="16">
        <f t="shared" ref="AI22:AI27" si="29">$AG22*V22</f>
        <v>2.1090607861892194</v>
      </c>
      <c r="AJ22" s="16">
        <f t="shared" ref="AJ22:AJ27" si="30">$AG22*W22</f>
        <v>2.1293162737579587</v>
      </c>
      <c r="AK22" s="16">
        <f t="shared" ref="AK22:AK27" si="31">$AG22*X22</f>
        <v>2.1001923533947564</v>
      </c>
      <c r="AL22" s="17">
        <f>GBDUS!Q224/($T22+$U22+$X22+V22+W22)</f>
        <v>5.1510327762248522</v>
      </c>
      <c r="AM22" s="16">
        <f t="shared" ref="AM22:AM27" si="32">U22*$AL22</f>
        <v>5.2796740379217066</v>
      </c>
      <c r="AN22" s="16">
        <f t="shared" ref="AN22:AN27" si="33">V22*$AL22</f>
        <v>5.2312571823595464</v>
      </c>
      <c r="AO22" s="16">
        <f t="shared" ref="AO22:AO27" si="34">W22*$AL22</f>
        <v>5.2814983444540822</v>
      </c>
      <c r="AP22" s="16">
        <f t="shared" ref="AP22:AP27" si="35">X22*$AL22</f>
        <v>5.2092601621427255</v>
      </c>
      <c r="AQ22" s="15"/>
      <c r="AR22" s="15"/>
      <c r="AS22" s="15"/>
      <c r="AT22" s="15"/>
      <c r="AU22" s="14"/>
      <c r="AV22" s="14"/>
      <c r="AW22" s="14"/>
      <c r="AX22" s="14"/>
    </row>
    <row r="23" spans="1:50" s="13" customFormat="1" ht="12.75" x14ac:dyDescent="0.2">
      <c r="A23" s="20">
        <v>0</v>
      </c>
      <c r="B23" s="20">
        <v>1</v>
      </c>
      <c r="C23" s="20" t="s">
        <v>39</v>
      </c>
      <c r="D23" s="17">
        <f>Baseline!AN22</f>
        <v>0.34976362929541344</v>
      </c>
      <c r="E23" s="17">
        <f>Baseline!AO22</f>
        <v>0.79261385453854083</v>
      </c>
      <c r="F23" s="17">
        <f>Baseline!AP22</f>
        <v>1.396794003700613</v>
      </c>
      <c r="G23" s="17">
        <f>Baseline!AQ22</f>
        <v>2.4615182760208985</v>
      </c>
      <c r="H23" s="17">
        <f>Baseline!AR22</f>
        <v>5.5781485705196889</v>
      </c>
      <c r="I23" s="17">
        <f>IF((D23+'Non travel METs'!C23)&gt;2.5,(D23+'Non travel METs'!C23),0.1)</f>
        <v>51.599763629295417</v>
      </c>
      <c r="J23" s="17">
        <f>IF((E23+'Non travel METs'!D23)&gt;2.5,(E23+'Non travel METs'!D23),0.1)</f>
        <v>52.042613854538544</v>
      </c>
      <c r="K23" s="17">
        <f>IF((F23+'Non travel METs'!E23)&gt;2.5,(F23+'Non travel METs'!E23),0.1)</f>
        <v>66.14679400370062</v>
      </c>
      <c r="L23" s="17">
        <f>IF((G23+'Non travel METs'!F23)&gt;2.5,(G23+'Non travel METs'!F23),0.1)</f>
        <v>48.586518276020897</v>
      </c>
      <c r="M23" s="17">
        <f>IF((H23+'Non travel METs'!G23)&gt;2.5,(H23+'Non travel METs'!G23),0.1)</f>
        <v>50.378148570519684</v>
      </c>
      <c r="N23" s="19">
        <f>'Phy activity RRs'!$O$4</f>
        <v>0.89073615217571622</v>
      </c>
      <c r="O23" s="15">
        <f t="shared" si="7"/>
        <v>0.73336320814070921</v>
      </c>
      <c r="P23" s="15">
        <f t="shared" si="22"/>
        <v>0.73287696565864735</v>
      </c>
      <c r="Q23" s="15">
        <f t="shared" si="23"/>
        <v>0.71893849793095754</v>
      </c>
      <c r="R23" s="15">
        <f t="shared" si="24"/>
        <v>0.73676659563172087</v>
      </c>
      <c r="S23" s="15">
        <f t="shared" si="25"/>
        <v>0.73472265419316563</v>
      </c>
      <c r="T23" s="18">
        <f t="shared" si="26"/>
        <v>1</v>
      </c>
      <c r="U23" s="18">
        <f t="shared" si="26"/>
        <v>0.99933696908071701</v>
      </c>
      <c r="V23" s="18">
        <f t="shared" si="26"/>
        <v>0.98033074191665204</v>
      </c>
      <c r="W23" s="186">
        <f t="shared" si="26"/>
        <v>1.004640793883893</v>
      </c>
      <c r="X23" s="186">
        <f t="shared" si="26"/>
        <v>1.0018537145542152</v>
      </c>
      <c r="Y23" s="18"/>
      <c r="Z23" s="16"/>
      <c r="AA23" s="16"/>
      <c r="AB23" s="17">
        <f>GBDUS!O226/($T23+$U23+$X23+V23+W23)</f>
        <v>0.12646925020304026</v>
      </c>
      <c r="AC23" s="16">
        <f t="shared" si="27"/>
        <v>0.12638539717981712</v>
      </c>
      <c r="AD23" s="16">
        <f t="shared" si="27"/>
        <v>0.12398169388118915</v>
      </c>
      <c r="AE23" s="16">
        <f t="shared" si="27"/>
        <v>0.12705616792588306</v>
      </c>
      <c r="AF23" s="16">
        <f t="shared" si="27"/>
        <v>0.12670368809280233</v>
      </c>
      <c r="AG23" s="17">
        <f>GBDUS!P226/($T23+$U23+$X23+V23+W23)</f>
        <v>3.0402334912955626</v>
      </c>
      <c r="AH23" s="16">
        <f t="shared" si="28"/>
        <v>3.0382177224889939</v>
      </c>
      <c r="AI23" s="16">
        <f t="shared" si="29"/>
        <v>2.9804343541216323</v>
      </c>
      <c r="AJ23" s="16">
        <f t="shared" si="30"/>
        <v>3.0543425882875739</v>
      </c>
      <c r="AK23" s="16">
        <f t="shared" si="31"/>
        <v>3.0458692163665897</v>
      </c>
      <c r="AL23" s="17">
        <f>GBDUS!Q226/($T23+$U23+$X23+V23+W23)</f>
        <v>7.1049907164518853</v>
      </c>
      <c r="AM23" s="16">
        <f t="shared" si="32"/>
        <v>7.1002798879256588</v>
      </c>
      <c r="AN23" s="16">
        <f t="shared" si="33"/>
        <v>6.9652408203702016</v>
      </c>
      <c r="AO23" s="16">
        <f t="shared" si="34"/>
        <v>7.1379635139139124</v>
      </c>
      <c r="AP23" s="16">
        <f t="shared" si="35"/>
        <v>7.118161341150536</v>
      </c>
      <c r="AQ23" s="15"/>
      <c r="AR23" s="15"/>
      <c r="AS23" s="15"/>
      <c r="AT23" s="15"/>
      <c r="AU23" s="14"/>
      <c r="AV23" s="14"/>
      <c r="AW23" s="14"/>
      <c r="AX23" s="14"/>
    </row>
    <row r="24" spans="1:50" s="13" customFormat="1" ht="12.75" x14ac:dyDescent="0.2">
      <c r="A24" s="20">
        <v>0</v>
      </c>
      <c r="B24" s="20">
        <v>1</v>
      </c>
      <c r="C24" s="20" t="s">
        <v>38</v>
      </c>
      <c r="D24" s="17">
        <f>Baseline!AN23</f>
        <v>0.35151125659111732</v>
      </c>
      <c r="E24" s="17">
        <f>Baseline!AO23</f>
        <v>0.79657422517494758</v>
      </c>
      <c r="F24" s="17">
        <f>Baseline!AP23</f>
        <v>1.4037732180124616</v>
      </c>
      <c r="G24" s="17">
        <f>Baseline!AQ23</f>
        <v>2.4738174865955198</v>
      </c>
      <c r="H24" s="17">
        <f>Baseline!AR23</f>
        <v>5.6060203212816786</v>
      </c>
      <c r="I24" s="17">
        <f>IF((D24+'Non travel METs'!C24)&gt;2.5,(D24+'Non travel METs'!C24),0.1)</f>
        <v>58.626511256591115</v>
      </c>
      <c r="J24" s="17">
        <f>IF((E24+'Non travel METs'!D24)&gt;2.5,(E24+'Non travel METs'!D24),0.1)</f>
        <v>62.29657422517495</v>
      </c>
      <c r="K24" s="17">
        <f>IF((F24+'Non travel METs'!E24)&gt;2.5,(F24+'Non travel METs'!E24),0.1)</f>
        <v>55.128773218012462</v>
      </c>
      <c r="L24" s="17">
        <f>IF((G24+'Non travel METs'!F24)&gt;2.5,(G24+'Non travel METs'!F24),0.1)</f>
        <v>54.673817486595524</v>
      </c>
      <c r="M24" s="17">
        <f>IF((H24+'Non travel METs'!G24)&gt;2.5,(H24+'Non travel METs'!G24),0.1)</f>
        <v>52.306020321281679</v>
      </c>
      <c r="N24" s="19">
        <f>'Phy activity RRs'!$O$4</f>
        <v>0.89073615217571622</v>
      </c>
      <c r="O24" s="15">
        <f t="shared" si="7"/>
        <v>0.7260242166991745</v>
      </c>
      <c r="P24" s="15">
        <f t="shared" si="22"/>
        <v>0.72247739399284328</v>
      </c>
      <c r="Q24" s="15">
        <f t="shared" si="23"/>
        <v>0.72958039253608631</v>
      </c>
      <c r="R24" s="15">
        <f t="shared" si="24"/>
        <v>0.73005660241394688</v>
      </c>
      <c r="S24" s="15">
        <f t="shared" si="25"/>
        <v>0.73258937152409997</v>
      </c>
      <c r="T24" s="18">
        <f t="shared" si="26"/>
        <v>1</v>
      </c>
      <c r="U24" s="18">
        <f t="shared" si="26"/>
        <v>0.99511473222965396</v>
      </c>
      <c r="V24" s="18">
        <f t="shared" si="26"/>
        <v>1.0048981504406007</v>
      </c>
      <c r="W24" s="186">
        <f t="shared" si="26"/>
        <v>1.005554065032576</v>
      </c>
      <c r="X24" s="186">
        <f t="shared" si="26"/>
        <v>1.0090426113536179</v>
      </c>
      <c r="Y24" s="18"/>
      <c r="Z24" s="16"/>
      <c r="AA24" s="16"/>
      <c r="AB24" s="17">
        <f>GBDUS!O228/($T24+$U24+$X24+V24+W24)</f>
        <v>0.680852439303956</v>
      </c>
      <c r="AC24" s="16">
        <f t="shared" si="27"/>
        <v>0.67752629282586285</v>
      </c>
      <c r="AD24" s="16">
        <f t="shared" si="27"/>
        <v>0.68418735697951671</v>
      </c>
      <c r="AE24" s="16">
        <f t="shared" si="27"/>
        <v>0.68463393802943817</v>
      </c>
      <c r="AF24" s="16">
        <f t="shared" si="27"/>
        <v>0.68700912330174446</v>
      </c>
      <c r="AG24" s="17">
        <f>GBDUS!P228/($T24+$U24+$X24+V24+W24)</f>
        <v>11.364220409751232</v>
      </c>
      <c r="AH24" s="16">
        <f t="shared" si="28"/>
        <v>11.308703150048366</v>
      </c>
      <c r="AI24" s="16">
        <f t="shared" si="29"/>
        <v>11.419884070958338</v>
      </c>
      <c r="AJ24" s="16">
        <f t="shared" si="30"/>
        <v>11.427338028951517</v>
      </c>
      <c r="AK24" s="16">
        <f t="shared" si="31"/>
        <v>11.466982638253464</v>
      </c>
      <c r="AL24" s="17">
        <f>GBDUS!Q228/($T24+$U24+$X24+V24+W24)</f>
        <v>15.059446786444434</v>
      </c>
      <c r="AM24" s="16">
        <f t="shared" si="32"/>
        <v>14.985877356419376</v>
      </c>
      <c r="AN24" s="16">
        <f t="shared" si="33"/>
        <v>15.133210222356659</v>
      </c>
      <c r="AO24" s="16">
        <f t="shared" si="34"/>
        <v>15.143087933250966</v>
      </c>
      <c r="AP24" s="16">
        <f t="shared" si="35"/>
        <v>15.195623510934743</v>
      </c>
      <c r="AQ24" s="15"/>
      <c r="AR24" s="15"/>
      <c r="AS24" s="15"/>
      <c r="AT24" s="15"/>
      <c r="AU24" s="14"/>
      <c r="AV24" s="14"/>
      <c r="AW24" s="14"/>
      <c r="AX24" s="14"/>
    </row>
    <row r="25" spans="1:50" s="13" customFormat="1" ht="12.75" x14ac:dyDescent="0.2">
      <c r="A25" s="20">
        <v>0</v>
      </c>
      <c r="B25" s="20">
        <v>1</v>
      </c>
      <c r="C25" s="20" t="s">
        <v>37</v>
      </c>
      <c r="D25" s="17">
        <f>Baseline!AN24</f>
        <v>0.31868617612515476</v>
      </c>
      <c r="E25" s="17">
        <f>Baseline!AO24</f>
        <v>0.72218795006087733</v>
      </c>
      <c r="F25" s="17">
        <f>Baseline!AP24</f>
        <v>1.2726850438126185</v>
      </c>
      <c r="G25" s="17">
        <f>Baseline!AQ24</f>
        <v>2.2428056582885252</v>
      </c>
      <c r="H25" s="17">
        <f>Baseline!AR24</f>
        <v>5.0825148440333541</v>
      </c>
      <c r="I25" s="17">
        <f>IF((D25+'Non travel METs'!C25)&gt;2.5,(D25+'Non travel METs'!C25),0.1)</f>
        <v>41.318686176125155</v>
      </c>
      <c r="J25" s="17">
        <f>IF((E25+'Non travel METs'!D25)&gt;2.5,(E25+'Non travel METs'!D25),0.1)</f>
        <v>31.972187950060878</v>
      </c>
      <c r="K25" s="17">
        <f>IF((F25+'Non travel METs'!E25)&gt;2.5,(F25+'Non travel METs'!E25),0.1)</f>
        <v>45.356018377145915</v>
      </c>
      <c r="L25" s="17">
        <f>IF((G25+'Non travel METs'!F25)&gt;2.5,(G25+'Non travel METs'!F25),0.1)</f>
        <v>44.742805658288525</v>
      </c>
      <c r="M25" s="17">
        <f>IF((H25+'Non travel METs'!G25)&gt;2.5,(H25+'Non travel METs'!G25),0.1)</f>
        <v>37.882514844033352</v>
      </c>
      <c r="N25" s="19">
        <f>'Phy activity RRs'!$O$4</f>
        <v>0.89073615217571622</v>
      </c>
      <c r="O25" s="15">
        <f t="shared" si="7"/>
        <v>0.74575591771980332</v>
      </c>
      <c r="P25" s="15">
        <f t="shared" si="22"/>
        <v>0.75946623887662335</v>
      </c>
      <c r="Q25" s="15">
        <f t="shared" si="23"/>
        <v>0.74061489909126055</v>
      </c>
      <c r="R25" s="15">
        <f t="shared" si="24"/>
        <v>0.74137079571995346</v>
      </c>
      <c r="S25" s="15">
        <f t="shared" si="25"/>
        <v>0.75046832061415647</v>
      </c>
      <c r="T25" s="18">
        <f t="shared" si="26"/>
        <v>1</v>
      </c>
      <c r="U25" s="18">
        <f t="shared" si="26"/>
        <v>1.0183844617669817</v>
      </c>
      <c r="V25" s="18">
        <f t="shared" si="26"/>
        <v>0.99310629858055732</v>
      </c>
      <c r="W25" s="186">
        <f t="shared" si="26"/>
        <v>0.99411989647597077</v>
      </c>
      <c r="X25" s="186">
        <f t="shared" si="26"/>
        <v>1.0063189614488901</v>
      </c>
      <c r="Y25" s="18"/>
      <c r="Z25" s="16"/>
      <c r="AA25" s="16"/>
      <c r="AB25" s="17">
        <f>GBDUS!O230/($T25+$U25+$X25+V25+W25)</f>
        <v>1.129434189517492</v>
      </c>
      <c r="AC25" s="16">
        <f t="shared" si="27"/>
        <v>1.1501982291929982</v>
      </c>
      <c r="AD25" s="16">
        <f t="shared" si="27"/>
        <v>1.1216482074420482</v>
      </c>
      <c r="AE25" s="16">
        <f t="shared" si="27"/>
        <v>1.1227929995595511</v>
      </c>
      <c r="AF25" s="16">
        <f t="shared" si="27"/>
        <v>1.1365710406201115</v>
      </c>
      <c r="AG25" s="17">
        <f>GBDUS!P230/($T25+$U25+$X25+V25+W25)</f>
        <v>12.660453573268189</v>
      </c>
      <c r="AH25" s="16">
        <f t="shared" si="28"/>
        <v>12.893209197938585</v>
      </c>
      <c r="AI25" s="16">
        <f t="shared" si="29"/>
        <v>12.573176186499362</v>
      </c>
      <c r="AJ25" s="16">
        <f t="shared" si="30"/>
        <v>12.586008795596205</v>
      </c>
      <c r="AK25" s="16">
        <f t="shared" si="31"/>
        <v>12.740454491323133</v>
      </c>
      <c r="AL25" s="17">
        <f>GBDUS!Q230/($T25+$U25+$X25+V25+W25)</f>
        <v>12.648987943250155</v>
      </c>
      <c r="AM25" s="16">
        <f t="shared" si="32"/>
        <v>12.88153277848385</v>
      </c>
      <c r="AN25" s="16">
        <f t="shared" si="33"/>
        <v>12.561789597111259</v>
      </c>
      <c r="AO25" s="16">
        <f t="shared" si="34"/>
        <v>12.574610584669646</v>
      </c>
      <c r="AP25" s="16">
        <f t="shared" si="35"/>
        <v>12.72891641043103</v>
      </c>
      <c r="AQ25" s="15"/>
      <c r="AR25" s="15"/>
      <c r="AS25" s="15"/>
      <c r="AT25" s="15"/>
      <c r="AU25" s="14"/>
      <c r="AV25" s="14"/>
      <c r="AW25" s="14"/>
      <c r="AX25" s="14"/>
    </row>
    <row r="26" spans="1:50" s="13" customFormat="1" ht="12.75" x14ac:dyDescent="0.2">
      <c r="A26" s="20">
        <v>0</v>
      </c>
      <c r="B26" s="20">
        <v>1</v>
      </c>
      <c r="C26" s="20" t="s">
        <v>36</v>
      </c>
      <c r="D26" s="17">
        <f>Baseline!AN25</f>
        <v>0.30266188092522223</v>
      </c>
      <c r="E26" s="17">
        <f>Baseline!AO25</f>
        <v>0.68587463066209398</v>
      </c>
      <c r="F26" s="17">
        <f>Baseline!AP25</f>
        <v>1.2086914276270724</v>
      </c>
      <c r="G26" s="17">
        <f>Baseline!AQ25</f>
        <v>2.130032081531998</v>
      </c>
      <c r="H26" s="17">
        <f>Baseline!AR25</f>
        <v>4.8269539684124263</v>
      </c>
      <c r="I26" s="17">
        <f>IF((D26+'Non travel METs'!C26)&gt;2.5,(D26+'Non travel METs'!C26),0.1)</f>
        <v>4.6776618809252222</v>
      </c>
      <c r="J26" s="17">
        <f>IF((E26+'Non travel METs'!D26)&gt;2.5,(E26+'Non travel METs'!D26),0.1)</f>
        <v>5.6858746306620942</v>
      </c>
      <c r="K26" s="17">
        <f>IF((F26+'Non travel METs'!E26)&gt;2.5,(F26+'Non travel METs'!E26),0.1)</f>
        <v>9.5420247609604019</v>
      </c>
      <c r="L26" s="17">
        <f>IF((G26+'Non travel METs'!F26)&gt;2.5,(G26+'Non travel METs'!F26),0.1)</f>
        <v>5.880032081531998</v>
      </c>
      <c r="M26" s="17">
        <f>IF((H26+'Non travel METs'!G26)&gt;2.5,(H26+'Non travel METs'!G26),0.1)</f>
        <v>17.951953968412425</v>
      </c>
      <c r="N26" s="19">
        <f>'Phy activity RRs'!$O$4</f>
        <v>0.89073615217571622</v>
      </c>
      <c r="O26" s="15">
        <f t="shared" si="7"/>
        <v>0.84352672056040634</v>
      </c>
      <c r="P26" s="15">
        <f t="shared" si="22"/>
        <v>0.83637931553322997</v>
      </c>
      <c r="Q26" s="15">
        <f t="shared" si="23"/>
        <v>0.81598278602233298</v>
      </c>
      <c r="R26" s="15">
        <f t="shared" si="24"/>
        <v>0.83512055082422465</v>
      </c>
      <c r="S26" s="15">
        <f t="shared" si="25"/>
        <v>0.78806845446462226</v>
      </c>
      <c r="T26" s="18">
        <f t="shared" si="26"/>
        <v>1</v>
      </c>
      <c r="U26" s="18">
        <f t="shared" si="26"/>
        <v>0.99152675919687772</v>
      </c>
      <c r="V26" s="18">
        <f t="shared" si="26"/>
        <v>0.96734669588205313</v>
      </c>
      <c r="W26" s="186">
        <f t="shared" si="26"/>
        <v>0.99003449501801555</v>
      </c>
      <c r="X26" s="186">
        <f t="shared" si="26"/>
        <v>0.93425428650447517</v>
      </c>
      <c r="Y26" s="18"/>
      <c r="Z26" s="16"/>
      <c r="AA26" s="16"/>
      <c r="AB26" s="17">
        <f>GBDUS!O232/($T26+$U26+$X26+V26+W26)</f>
        <v>1.7036441325971694</v>
      </c>
      <c r="AC26" s="16">
        <f t="shared" si="27"/>
        <v>1.6892087456188472</v>
      </c>
      <c r="AD26" s="16">
        <f t="shared" si="27"/>
        <v>1.6480145226267182</v>
      </c>
      <c r="AE26" s="16">
        <f t="shared" si="27"/>
        <v>1.6866664585062436</v>
      </c>
      <c r="AF26" s="16">
        <f t="shared" si="27"/>
        <v>1.5916368335571041</v>
      </c>
      <c r="AG26" s="17">
        <f>GBDUS!P232/($T26+$U26+$X26+V26+W26)</f>
        <v>11.573815914659875</v>
      </c>
      <c r="AH26" s="16">
        <f t="shared" si="28"/>
        <v>11.475748185403953</v>
      </c>
      <c r="AI26" s="16">
        <f t="shared" si="29"/>
        <v>11.195892583793352</v>
      </c>
      <c r="AJ26" s="16">
        <f t="shared" si="30"/>
        <v>11.45847699450176</v>
      </c>
      <c r="AK26" s="16">
        <f t="shared" si="31"/>
        <v>10.8128871294847</v>
      </c>
      <c r="AL26" s="17">
        <f>GBDUS!Q232/($T26+$U26+$X26+V26+W26)</f>
        <v>10.056284477761247</v>
      </c>
      <c r="AM26" s="16">
        <f t="shared" si="32"/>
        <v>9.9710751577964754</v>
      </c>
      <c r="AN26" s="16">
        <f t="shared" si="33"/>
        <v>9.7279135624123203</v>
      </c>
      <c r="AO26" s="16">
        <f t="shared" si="34"/>
        <v>9.956068524697864</v>
      </c>
      <c r="AP26" s="16">
        <f t="shared" si="35"/>
        <v>9.3951268796568623</v>
      </c>
      <c r="AQ26" s="15"/>
      <c r="AR26" s="15"/>
      <c r="AS26" s="15"/>
      <c r="AT26" s="15"/>
      <c r="AU26" s="14"/>
      <c r="AV26" s="14"/>
      <c r="AW26" s="14"/>
      <c r="AX26" s="14"/>
    </row>
    <row r="27" spans="1:50" s="13" customFormat="1" ht="12.75" x14ac:dyDescent="0.2">
      <c r="A27" s="20">
        <v>0</v>
      </c>
      <c r="B27" s="20">
        <v>1</v>
      </c>
      <c r="C27" s="20" t="s">
        <v>35</v>
      </c>
      <c r="D27" s="17">
        <f>Baseline!AN26</f>
        <v>0.24350710807091377</v>
      </c>
      <c r="E27" s="17">
        <f>Baseline!AO26</f>
        <v>0.55182154852528853</v>
      </c>
      <c r="F27" s="17">
        <f>Baseline!AP26</f>
        <v>0.97245465200915271</v>
      </c>
      <c r="G27" s="17">
        <f>Baseline!AQ26</f>
        <v>1.7137207721254923</v>
      </c>
      <c r="H27" s="17">
        <f>Baseline!AR26</f>
        <v>3.8835336582406703</v>
      </c>
      <c r="I27" s="17">
        <f>IF((D27+'Non travel METs'!C27)&gt;2.5,(D27+'Non travel METs'!C27),0.1)</f>
        <v>0.1</v>
      </c>
      <c r="J27" s="17">
        <f>IF((E27+'Non travel METs'!D27)&gt;2.5,(E27+'Non travel METs'!D27),0.1)</f>
        <v>10.551821548525288</v>
      </c>
      <c r="K27" s="17">
        <f>IF((F27+'Non travel METs'!E27)&gt;2.5,(F27+'Non travel METs'!E27),0.1)</f>
        <v>4.7224546520091524</v>
      </c>
      <c r="L27" s="17">
        <f>IF((G27+'Non travel METs'!F27)&gt;2.5,(G27+'Non travel METs'!F27),0.1)</f>
        <v>6.9220541054588232</v>
      </c>
      <c r="M27" s="17">
        <f>IF((H27+'Non travel METs'!G27)&gt;2.5,(H27+'Non travel METs'!G27),0.1)</f>
        <v>3.8835336582406703</v>
      </c>
      <c r="N27" s="19">
        <f>'Phy activity RRs'!$O$4</f>
        <v>0.89073615217571622</v>
      </c>
      <c r="O27" s="15">
        <f t="shared" si="7"/>
        <v>0.93700483239712185</v>
      </c>
      <c r="P27" s="15">
        <f t="shared" si="22"/>
        <v>0.81176770492953509</v>
      </c>
      <c r="Q27" s="15">
        <f t="shared" si="23"/>
        <v>0.84318439204112938</v>
      </c>
      <c r="R27" s="15">
        <f t="shared" si="24"/>
        <v>0.82887973998753728</v>
      </c>
      <c r="S27" s="15">
        <f t="shared" si="25"/>
        <v>0.85007551842280316</v>
      </c>
      <c r="T27" s="18">
        <f t="shared" si="26"/>
        <v>1</v>
      </c>
      <c r="U27" s="18">
        <f t="shared" si="26"/>
        <v>0.86634313598234602</v>
      </c>
      <c r="V27" s="18">
        <f t="shared" si="26"/>
        <v>0.89987197812419661</v>
      </c>
      <c r="W27" s="186">
        <f t="shared" si="26"/>
        <v>0.88460561923360614</v>
      </c>
      <c r="X27" s="186">
        <f t="shared" si="26"/>
        <v>0.90722639737947874</v>
      </c>
      <c r="Y27" s="18"/>
      <c r="Z27" s="16"/>
      <c r="AA27" s="16"/>
      <c r="AB27" s="17">
        <f>GBDUS!O234/($T27+$U27+$X27+V27+W27)</f>
        <v>3.8571246320633215</v>
      </c>
      <c r="AC27" s="16">
        <f t="shared" si="27"/>
        <v>3.3415934496164903</v>
      </c>
      <c r="AD27" s="16">
        <f t="shared" si="27"/>
        <v>3.470918372526385</v>
      </c>
      <c r="AE27" s="16">
        <f t="shared" si="27"/>
        <v>3.4120341236075697</v>
      </c>
      <c r="AF27" s="16">
        <f t="shared" si="27"/>
        <v>3.4992852841904547</v>
      </c>
      <c r="AG27" s="17">
        <f>GBDUS!P234/($T27+$U27+$X27+V27+W27)</f>
        <v>12.04370864423837</v>
      </c>
      <c r="AH27" s="16">
        <f t="shared" si="28"/>
        <v>10.433984315707159</v>
      </c>
      <c r="AI27" s="16">
        <f t="shared" si="29"/>
        <v>10.837795921642268</v>
      </c>
      <c r="AJ27" s="16">
        <f t="shared" si="30"/>
        <v>10.653932343105618</v>
      </c>
      <c r="AK27" s="16">
        <f t="shared" si="31"/>
        <v>10.926370404400462</v>
      </c>
      <c r="AL27" s="17">
        <f>GBDUS!Q234/($T27+$U27+$X27+V27+W27)</f>
        <v>9.6194005521124168</v>
      </c>
      <c r="AM27" s="16">
        <f t="shared" si="32"/>
        <v>8.3337016405873818</v>
      </c>
      <c r="AN27" s="16">
        <f t="shared" si="33"/>
        <v>8.6562290031983888</v>
      </c>
      <c r="AO27" s="16">
        <f t="shared" si="34"/>
        <v>8.5093757820574965</v>
      </c>
      <c r="AP27" s="16">
        <f t="shared" si="35"/>
        <v>8.726974107843116</v>
      </c>
      <c r="AQ27" s="15"/>
      <c r="AR27" s="15"/>
      <c r="AS27" s="15"/>
      <c r="AT27" s="15"/>
      <c r="AU27" s="14"/>
      <c r="AV27" s="14"/>
      <c r="AW27" s="14"/>
      <c r="AX27" s="14"/>
    </row>
    <row r="28" spans="1:50" s="13" customFormat="1" ht="12.75" x14ac:dyDescent="0.2">
      <c r="A28" s="20">
        <v>0</v>
      </c>
      <c r="B28" s="20">
        <v>2</v>
      </c>
      <c r="C28" s="20" t="s">
        <v>2</v>
      </c>
      <c r="D28" s="17"/>
      <c r="E28" s="17"/>
      <c r="F28" s="17"/>
      <c r="G28" s="17"/>
      <c r="H28" s="17"/>
      <c r="I28" s="17"/>
      <c r="J28" s="17"/>
      <c r="K28" s="17"/>
      <c r="L28" s="17"/>
      <c r="M28" s="17"/>
      <c r="N28" s="19"/>
      <c r="O28" s="15"/>
      <c r="P28" s="15"/>
      <c r="Q28" s="15"/>
      <c r="R28" s="15"/>
      <c r="S28" s="15"/>
      <c r="T28" s="18"/>
      <c r="U28" s="18"/>
      <c r="V28" s="18"/>
      <c r="W28" s="186"/>
      <c r="X28" s="186"/>
      <c r="Y28" s="18"/>
      <c r="Z28" s="16"/>
      <c r="AA28" s="16"/>
      <c r="AB28" s="17"/>
      <c r="AC28" s="16"/>
      <c r="AD28" s="16"/>
      <c r="AE28" s="16"/>
      <c r="AF28" s="16"/>
      <c r="AG28" s="17"/>
      <c r="AH28" s="16"/>
      <c r="AI28" s="16"/>
      <c r="AJ28" s="16"/>
      <c r="AK28" s="16"/>
      <c r="AL28" s="17"/>
      <c r="AM28" s="16"/>
      <c r="AN28" s="16"/>
      <c r="AO28" s="16"/>
      <c r="AP28" s="16"/>
      <c r="AQ28" s="15"/>
      <c r="AR28" s="15"/>
      <c r="AS28" s="15"/>
      <c r="AT28" s="15"/>
      <c r="AU28" s="14"/>
      <c r="AV28" s="14"/>
      <c r="AW28" s="14"/>
      <c r="AX28" s="14"/>
    </row>
    <row r="29" spans="1:50" s="13" customFormat="1" ht="12.75" x14ac:dyDescent="0.2">
      <c r="A29" s="20">
        <v>0</v>
      </c>
      <c r="B29" s="20">
        <v>2</v>
      </c>
      <c r="C29" s="20" t="s">
        <v>41</v>
      </c>
      <c r="D29" s="17"/>
      <c r="E29" s="17"/>
      <c r="F29" s="17"/>
      <c r="G29" s="17"/>
      <c r="H29" s="17"/>
      <c r="I29" s="17"/>
      <c r="J29" s="17"/>
      <c r="K29" s="17"/>
      <c r="L29" s="17"/>
      <c r="M29" s="17"/>
      <c r="N29" s="19"/>
      <c r="O29" s="15"/>
      <c r="P29" s="15"/>
      <c r="Q29" s="15"/>
      <c r="R29" s="15"/>
      <c r="S29" s="15"/>
      <c r="T29" s="18"/>
      <c r="U29" s="18"/>
      <c r="V29" s="18"/>
      <c r="W29" s="186"/>
      <c r="X29" s="186"/>
      <c r="Y29" s="18"/>
      <c r="Z29" s="16"/>
      <c r="AA29" s="16"/>
      <c r="AB29" s="17"/>
      <c r="AC29" s="16"/>
      <c r="AD29" s="16"/>
      <c r="AE29" s="16"/>
      <c r="AF29" s="16"/>
      <c r="AG29" s="17"/>
      <c r="AH29" s="16"/>
      <c r="AI29" s="16"/>
      <c r="AJ29" s="16"/>
      <c r="AK29" s="16"/>
      <c r="AL29" s="17"/>
      <c r="AM29" s="16"/>
      <c r="AN29" s="16"/>
      <c r="AO29" s="16"/>
      <c r="AP29" s="16"/>
      <c r="AQ29" s="15"/>
      <c r="AR29" s="15"/>
      <c r="AS29" s="15"/>
      <c r="AT29" s="15"/>
      <c r="AU29" s="14"/>
      <c r="AV29" s="14"/>
      <c r="AW29" s="14"/>
      <c r="AX29" s="14"/>
    </row>
    <row r="30" spans="1:50" s="13" customFormat="1" ht="12.75" x14ac:dyDescent="0.2">
      <c r="A30" s="20">
        <v>0</v>
      </c>
      <c r="B30" s="20">
        <v>2</v>
      </c>
      <c r="C30" s="20" t="s">
        <v>40</v>
      </c>
      <c r="D30" s="17">
        <f>Baseline!AN29</f>
        <v>0.78305520090183223</v>
      </c>
      <c r="E30" s="17">
        <f>Baseline!AO29</f>
        <v>1.774513840542973</v>
      </c>
      <c r="F30" s="17">
        <f>Baseline!AP29</f>
        <v>3.1271599376688002</v>
      </c>
      <c r="G30" s="17">
        <f>Baseline!AQ29</f>
        <v>5.5108779950504481</v>
      </c>
      <c r="H30" s="17">
        <f>Baseline!AR29</f>
        <v>12.488428995169523</v>
      </c>
      <c r="I30" s="17">
        <f>IF((D30+'Non travel METs'!C30)&gt;2.5,(D30+'Non travel METs'!C30),0.1)</f>
        <v>9.6497218675685037</v>
      </c>
      <c r="J30" s="17">
        <f>IF((E30+'Non travel METs'!D30)&gt;2.5,(E30+'Non travel METs'!D30),0.1)</f>
        <v>26.374513840542974</v>
      </c>
      <c r="K30" s="17">
        <f>IF((F30+'Non travel METs'!E30)&gt;2.5,(F30+'Non travel METs'!E30),0.1)</f>
        <v>32.977159937668802</v>
      </c>
      <c r="L30" s="17">
        <f>IF((G30+'Non travel METs'!F30)&gt;2.5,(G30+'Non travel METs'!F30),0.1)</f>
        <v>35.910877995050448</v>
      </c>
      <c r="M30" s="17">
        <f>IF((H30+'Non travel METs'!G30)&gt;2.5,(H30+'Non travel METs'!G30),0.1)</f>
        <v>53.488428995169521</v>
      </c>
      <c r="N30" s="19">
        <f>'Phy activity RRs'!$O$4</f>
        <v>0.89073615217571622</v>
      </c>
      <c r="O30" s="15">
        <f t="shared" si="7"/>
        <v>0.81551666328020378</v>
      </c>
      <c r="P30" s="15">
        <f t="shared" ref="P30:P35" si="36">$N30^(J30^0.25)</f>
        <v>0.76934638825289581</v>
      </c>
      <c r="Q30" s="15">
        <f t="shared" ref="Q30:Q35" si="37">$N30^(K30^0.25)</f>
        <v>0.75784494283496184</v>
      </c>
      <c r="R30" s="15">
        <f t="shared" ref="R30:R35" si="38">$N30^(L30^0.25)</f>
        <v>0.75333324976385407</v>
      </c>
      <c r="S30" s="15">
        <f t="shared" ref="S30:S35" si="39">$N30^(M30^0.25)</f>
        <v>0.73131297230288228</v>
      </c>
      <c r="T30" s="18">
        <f t="shared" ref="T30:X35" si="40">O30/$O30</f>
        <v>1</v>
      </c>
      <c r="U30" s="18">
        <f t="shared" si="40"/>
        <v>0.9433852463031227</v>
      </c>
      <c r="V30" s="18">
        <f t="shared" si="40"/>
        <v>0.92928198399616702</v>
      </c>
      <c r="W30" s="186">
        <f t="shared" si="40"/>
        <v>0.92374967144603382</v>
      </c>
      <c r="X30" s="186">
        <f t="shared" si="40"/>
        <v>0.89674804357935001</v>
      </c>
      <c r="Y30" s="18"/>
      <c r="Z30" s="16"/>
      <c r="AA30" s="16"/>
      <c r="AB30" s="17">
        <f>GBDUS!O225/($T30+$U30+$X30+V30+W30)</f>
        <v>2.9374127610640042E-2</v>
      </c>
      <c r="AC30" s="16">
        <f t="shared" ref="AC30:AF35" si="41">$AB30*U30</f>
        <v>2.7711118610903012E-2</v>
      </c>
      <c r="AD30" s="16">
        <f t="shared" si="41"/>
        <v>2.7296847584172168E-2</v>
      </c>
      <c r="AE30" s="16">
        <f t="shared" si="41"/>
        <v>2.713434072934261E-2</v>
      </c>
      <c r="AF30" s="16">
        <f t="shared" si="41"/>
        <v>2.6341191466691626E-2</v>
      </c>
      <c r="AG30" s="17">
        <f>GBDUS!P225/($T30+$U30+$X30+V30+W30)</f>
        <v>0.89174998551587026</v>
      </c>
      <c r="AH30" s="16">
        <f t="shared" ref="AH30:AK35" si="42">$AG30*U30</f>
        <v>0.84126377972669542</v>
      </c>
      <c r="AI30" s="16">
        <f t="shared" si="42"/>
        <v>0.82868719576874106</v>
      </c>
      <c r="AJ30" s="16">
        <f t="shared" si="42"/>
        <v>0.82375375613229052</v>
      </c>
      <c r="AK30" s="16">
        <f t="shared" si="42"/>
        <v>0.7996750548732704</v>
      </c>
      <c r="AL30" s="17">
        <f>GBDUS!Q225/($T30+$U30+$X30+V30+W30)</f>
        <v>6.6388509926790062</v>
      </c>
      <c r="AM30" s="16">
        <f t="shared" ref="AM30:AP35" si="43">U30*$AL30</f>
        <v>6.262994078898215</v>
      </c>
      <c r="AN30" s="16">
        <f t="shared" si="43"/>
        <v>6.1693646219316696</v>
      </c>
      <c r="AO30" s="16">
        <f t="shared" si="43"/>
        <v>6.1326364232664075</v>
      </c>
      <c r="AP30" s="16">
        <f t="shared" si="43"/>
        <v>5.9533766392997247</v>
      </c>
      <c r="AQ30" s="15"/>
      <c r="AR30" s="15"/>
      <c r="AS30" s="15"/>
      <c r="AT30" s="15"/>
      <c r="AU30" s="14"/>
      <c r="AV30" s="14"/>
      <c r="AW30" s="14"/>
      <c r="AX30" s="14"/>
    </row>
    <row r="31" spans="1:50" s="13" customFormat="1" ht="12.75" x14ac:dyDescent="0.2">
      <c r="A31" s="20">
        <v>0</v>
      </c>
      <c r="B31" s="20">
        <v>2</v>
      </c>
      <c r="C31" s="20" t="s">
        <v>39</v>
      </c>
      <c r="D31" s="17">
        <f>Baseline!AN30</f>
        <v>0.47165676213737562</v>
      </c>
      <c r="E31" s="17">
        <f>Baseline!AO30</f>
        <v>1.0688409341187475</v>
      </c>
      <c r="F31" s="17">
        <f>Baseline!AP30</f>
        <v>1.8835787428369182</v>
      </c>
      <c r="G31" s="17">
        <f>Baseline!AQ30</f>
        <v>3.3193609705753828</v>
      </c>
      <c r="H31" s="17">
        <f>Baseline!AR30</f>
        <v>7.5221414496199817</v>
      </c>
      <c r="I31" s="17">
        <f>IF((D31+'Non travel METs'!C31)&gt;2.5,(D31+'Non travel METs'!C31),0.1)</f>
        <v>41.471656762137378</v>
      </c>
      <c r="J31" s="17">
        <f>IF((E31+'Non travel METs'!D31)&gt;2.5,(E31+'Non travel METs'!D31),0.1)</f>
        <v>36.943840934118747</v>
      </c>
      <c r="K31" s="17">
        <f>IF((F31+'Non travel METs'!E31)&gt;2.5,(F31+'Non travel METs'!E31),0.1)</f>
        <v>40.733578742836919</v>
      </c>
      <c r="L31" s="17">
        <f>IF((G31+'Non travel METs'!F31)&gt;2.5,(G31+'Non travel METs'!F31),0.1)</f>
        <v>44.319360970575381</v>
      </c>
      <c r="M31" s="17">
        <f>IF((H31+'Non travel METs'!G31)&gt;2.5,(H31+'Non travel METs'!G31),0.1)</f>
        <v>49.788808116286681</v>
      </c>
      <c r="N31" s="19">
        <f>'Phy activity RRs'!$O$4</f>
        <v>0.89073615217571622</v>
      </c>
      <c r="O31" s="15">
        <f t="shared" si="7"/>
        <v>0.74555373988422646</v>
      </c>
      <c r="P31" s="15">
        <f t="shared" si="36"/>
        <v>0.75181661016365353</v>
      </c>
      <c r="Q31" s="15">
        <f t="shared" si="37"/>
        <v>0.74653497284020354</v>
      </c>
      <c r="R31" s="15">
        <f t="shared" si="38"/>
        <v>0.7418977717861609</v>
      </c>
      <c r="S31" s="15">
        <f t="shared" si="39"/>
        <v>0.73538826210755437</v>
      </c>
      <c r="T31" s="18">
        <f t="shared" si="40"/>
        <v>1</v>
      </c>
      <c r="U31" s="18">
        <f t="shared" si="40"/>
        <v>1.008400293559522</v>
      </c>
      <c r="V31" s="18">
        <f t="shared" si="40"/>
        <v>1.0013161129821835</v>
      </c>
      <c r="W31" s="186">
        <f t="shared" si="40"/>
        <v>0.99509630506496649</v>
      </c>
      <c r="X31" s="186">
        <f t="shared" si="40"/>
        <v>0.98636519779479526</v>
      </c>
      <c r="Y31" s="18"/>
      <c r="Z31" s="16"/>
      <c r="AA31" s="16"/>
      <c r="AB31" s="17">
        <f>GBDUS!O227/($T31+$U31+$X31+V31+W31)</f>
        <v>6.9998981231778376E-2</v>
      </c>
      <c r="AC31" s="16">
        <f t="shared" si="41"/>
        <v>7.0586993222992778E-2</v>
      </c>
      <c r="AD31" s="16">
        <f t="shared" si="41"/>
        <v>7.0091107799717139E-2</v>
      </c>
      <c r="AE31" s="16">
        <f t="shared" si="41"/>
        <v>6.96557275820546E-2</v>
      </c>
      <c r="AF31" s="16">
        <f t="shared" si="41"/>
        <v>6.9044558968117245E-2</v>
      </c>
      <c r="AG31" s="17">
        <f>GBDUS!P227/($T31+$U31+$X31+V31+W31)</f>
        <v>1.7112970810160215</v>
      </c>
      <c r="AH31" s="16">
        <f t="shared" si="42"/>
        <v>1.7256724788641091</v>
      </c>
      <c r="AI31" s="16">
        <f t="shared" si="42"/>
        <v>1.7135493413207195</v>
      </c>
      <c r="AJ31" s="16">
        <f t="shared" si="42"/>
        <v>1.7029054021875056</v>
      </c>
      <c r="AK31" s="16">
        <f t="shared" si="42"/>
        <v>1.6879638838020239</v>
      </c>
      <c r="AL31" s="17">
        <f>GBDUS!Q227/($T31+$U31+$X31+V31+W31)</f>
        <v>7.8239608183857241</v>
      </c>
      <c r="AM31" s="16">
        <f t="shared" si="43"/>
        <v>7.8896843860583621</v>
      </c>
      <c r="AN31" s="16">
        <f t="shared" si="43"/>
        <v>7.8342580347908966</v>
      </c>
      <c r="AO31" s="16">
        <f t="shared" si="43"/>
        <v>7.7855945013487053</v>
      </c>
      <c r="AP31" s="16">
        <f t="shared" si="43"/>
        <v>7.7172826601657629</v>
      </c>
      <c r="AQ31" s="15"/>
      <c r="AR31" s="15"/>
      <c r="AS31" s="15"/>
      <c r="AT31" s="15"/>
      <c r="AU31" s="14"/>
      <c r="AV31" s="14"/>
      <c r="AW31" s="14"/>
      <c r="AX31" s="14"/>
    </row>
    <row r="32" spans="1:50" s="13" customFormat="1" ht="12.75" x14ac:dyDescent="0.2">
      <c r="A32" s="20">
        <v>0</v>
      </c>
      <c r="B32" s="20">
        <v>2</v>
      </c>
      <c r="C32" s="20" t="s">
        <v>38</v>
      </c>
      <c r="D32" s="17">
        <f>Baseline!AN31</f>
        <v>0.39813871625667402</v>
      </c>
      <c r="E32" s="17">
        <f>Baseline!AO31</f>
        <v>0.90223864376331542</v>
      </c>
      <c r="F32" s="17">
        <f>Baseline!AP31</f>
        <v>1.5899817045833551</v>
      </c>
      <c r="G32" s="17">
        <f>Baseline!AQ31</f>
        <v>2.8019657973915968</v>
      </c>
      <c r="H32" s="17">
        <f>Baseline!AR31</f>
        <v>6.3496508068308559</v>
      </c>
      <c r="I32" s="17">
        <f>IF((D32+'Non travel METs'!C32)&gt;2.5,(D32+'Non travel METs'!C32),0.1)</f>
        <v>42.048138716256673</v>
      </c>
      <c r="J32" s="17">
        <f>IF((E32+'Non travel METs'!D32)&gt;2.5,(E32+'Non travel METs'!D32),0.1)</f>
        <v>43.952238643763316</v>
      </c>
      <c r="K32" s="17">
        <f>IF((F32+'Non travel METs'!E32)&gt;2.5,(F32+'Non travel METs'!E32),0.1)</f>
        <v>47.656648371250057</v>
      </c>
      <c r="L32" s="17">
        <f>IF((G32+'Non travel METs'!F32)&gt;2.5,(G32+'Non travel METs'!F32),0.1)</f>
        <v>43.801965797391595</v>
      </c>
      <c r="M32" s="17">
        <f>IF((H32+'Non travel METs'!G32)&gt;2.5,(H32+'Non travel METs'!G32),0.1)</f>
        <v>47.349650806830859</v>
      </c>
      <c r="N32" s="19">
        <f>'Phy activity RRs'!$O$4</f>
        <v>0.89073615217571622</v>
      </c>
      <c r="O32" s="15">
        <f t="shared" si="7"/>
        <v>0.74479729213765145</v>
      </c>
      <c r="P32" s="15">
        <f t="shared" si="36"/>
        <v>0.74235802587424093</v>
      </c>
      <c r="Q32" s="15">
        <f t="shared" si="37"/>
        <v>0.73785208483218512</v>
      </c>
      <c r="R32" s="15">
        <f t="shared" si="38"/>
        <v>0.74254733468860401</v>
      </c>
      <c r="S32" s="15">
        <f t="shared" si="39"/>
        <v>0.73821430257900655</v>
      </c>
      <c r="T32" s="18">
        <f t="shared" si="40"/>
        <v>1</v>
      </c>
      <c r="U32" s="18">
        <f t="shared" si="40"/>
        <v>0.9967249259776314</v>
      </c>
      <c r="V32" s="18">
        <f t="shared" si="40"/>
        <v>0.99067503684723024</v>
      </c>
      <c r="W32" s="186">
        <f t="shared" si="40"/>
        <v>0.996979100927462</v>
      </c>
      <c r="X32" s="186">
        <f t="shared" si="40"/>
        <v>0.99116136749134653</v>
      </c>
      <c r="Y32" s="18"/>
      <c r="Z32" s="16"/>
      <c r="AA32" s="16"/>
      <c r="AB32" s="17">
        <f>GBDUS!O229/($T32+$U32+$X32+V32+W32)</f>
        <v>0.37888753754978766</v>
      </c>
      <c r="AC32" s="16">
        <f t="shared" si="41"/>
        <v>0.37764665281815912</v>
      </c>
      <c r="AD32" s="16">
        <f t="shared" si="41"/>
        <v>0.3753544252230922</v>
      </c>
      <c r="AE32" s="16">
        <f t="shared" si="41"/>
        <v>0.3777429565390073</v>
      </c>
      <c r="AF32" s="16">
        <f t="shared" si="41"/>
        <v>0.37553868984327643</v>
      </c>
      <c r="AG32" s="17">
        <f>GBDUS!P229/($T32+$U32+$X32+V32+W32)</f>
        <v>6.7070980899974266</v>
      </c>
      <c r="AH32" s="16">
        <f t="shared" si="42"/>
        <v>6.6851318472773977</v>
      </c>
      <c r="AI32" s="16">
        <f t="shared" si="42"/>
        <v>6.6445546474461885</v>
      </c>
      <c r="AJ32" s="16">
        <f t="shared" si="42"/>
        <v>6.686836623597932</v>
      </c>
      <c r="AK32" s="16">
        <f t="shared" si="42"/>
        <v>6.6478165147804482</v>
      </c>
      <c r="AL32" s="17">
        <f>GBDUS!Q229/($T32+$U32+$X32+V32+W32)</f>
        <v>14.97793276142921</v>
      </c>
      <c r="AM32" s="16">
        <f t="shared" si="43"/>
        <v>14.928878922933469</v>
      </c>
      <c r="AN32" s="16">
        <f t="shared" si="43"/>
        <v>14.83826409032422</v>
      </c>
      <c r="AO32" s="16">
        <f t="shared" si="43"/>
        <v>14.932685938241672</v>
      </c>
      <c r="AP32" s="16">
        <f t="shared" si="43"/>
        <v>14.845548318011616</v>
      </c>
      <c r="AQ32" s="15"/>
      <c r="AR32" s="15"/>
      <c r="AS32" s="15"/>
      <c r="AT32" s="15"/>
      <c r="AU32" s="14"/>
      <c r="AV32" s="14"/>
      <c r="AW32" s="14"/>
      <c r="AX32" s="14"/>
    </row>
    <row r="33" spans="1:50" s="13" customFormat="1" ht="12.75" x14ac:dyDescent="0.2">
      <c r="A33" s="20">
        <v>0</v>
      </c>
      <c r="B33" s="20">
        <v>2</v>
      </c>
      <c r="C33" s="20" t="s">
        <v>37</v>
      </c>
      <c r="D33" s="17">
        <f>Baseline!AN32</f>
        <v>0.26186863902756607</v>
      </c>
      <c r="E33" s="17">
        <f>Baseline!AO32</f>
        <v>0.59343137472733987</v>
      </c>
      <c r="F33" s="17">
        <f>Baseline!AP32</f>
        <v>1.0457821057260546</v>
      </c>
      <c r="G33" s="17">
        <f>Baseline!AQ32</f>
        <v>1.8429430246409162</v>
      </c>
      <c r="H33" s="17">
        <f>Baseline!AR32</f>
        <v>4.1763695596313646</v>
      </c>
      <c r="I33" s="17">
        <f>IF((D33+'Non travel METs'!C33)&gt;2.5,(D33+'Non travel METs'!C33),0.1)</f>
        <v>33.061868639027566</v>
      </c>
      <c r="J33" s="17">
        <f>IF((E33+'Non travel METs'!D33)&gt;2.5,(E33+'Non travel METs'!D33),0.1)</f>
        <v>18.593431374727341</v>
      </c>
      <c r="K33" s="17">
        <f>IF((F33+'Non travel METs'!E33)&gt;2.5,(F33+'Non travel METs'!E33),0.1)</f>
        <v>32.795782105726055</v>
      </c>
      <c r="L33" s="17">
        <f>IF((G33+'Non travel METs'!F33)&gt;2.5,(G33+'Non travel METs'!F33),0.1)</f>
        <v>22.342943024640917</v>
      </c>
      <c r="M33" s="17">
        <f>IF((H33+'Non travel METs'!G33)&gt;2.5,(H33+'Non travel METs'!G33),0.1)</f>
        <v>8.6763695596313646</v>
      </c>
      <c r="N33" s="19">
        <f>'Phy activity RRs'!$O$4</f>
        <v>0.89073615217571622</v>
      </c>
      <c r="O33" s="15">
        <f t="shared" si="7"/>
        <v>0.75771014229884048</v>
      </c>
      <c r="P33" s="15">
        <f t="shared" si="36"/>
        <v>0.78641547855282679</v>
      </c>
      <c r="Q33" s="15">
        <f t="shared" si="37"/>
        <v>0.75813453380501405</v>
      </c>
      <c r="R33" s="15">
        <f t="shared" si="38"/>
        <v>0.77758535053805078</v>
      </c>
      <c r="S33" s="15">
        <f t="shared" si="39"/>
        <v>0.8198909089741977</v>
      </c>
      <c r="T33" s="18">
        <f t="shared" si="40"/>
        <v>1</v>
      </c>
      <c r="U33" s="18">
        <f t="shared" si="40"/>
        <v>1.0378843236371316</v>
      </c>
      <c r="V33" s="18">
        <f t="shared" si="40"/>
        <v>1.0005600974336784</v>
      </c>
      <c r="W33" s="186">
        <f t="shared" si="40"/>
        <v>1.026230621882545</v>
      </c>
      <c r="X33" s="186">
        <f t="shared" si="40"/>
        <v>1.0820640548464946</v>
      </c>
      <c r="Y33" s="18"/>
      <c r="Z33" s="16"/>
      <c r="AA33" s="16"/>
      <c r="AB33" s="17">
        <f>GBDUS!O231/($T33+$U33+$X33+V33+W33)</f>
        <v>0.68202167710607997</v>
      </c>
      <c r="AC33" s="16">
        <f t="shared" si="41"/>
        <v>0.707859607049106</v>
      </c>
      <c r="AD33" s="16">
        <f t="shared" si="41"/>
        <v>0.68240367569714011</v>
      </c>
      <c r="AE33" s="16">
        <f t="shared" si="41"/>
        <v>0.69991152983394878</v>
      </c>
      <c r="AF33" s="16">
        <f t="shared" si="41"/>
        <v>0.73799114142261157</v>
      </c>
      <c r="AG33" s="17">
        <f>GBDUS!P231/($T33+$U33+$X33+V33+W33)</f>
        <v>8.4506862139768231</v>
      </c>
      <c r="AH33" s="16">
        <f t="shared" si="42"/>
        <v>8.7708347454629667</v>
      </c>
      <c r="AI33" s="16">
        <f t="shared" si="42"/>
        <v>8.4554194216380925</v>
      </c>
      <c r="AJ33" s="16">
        <f t="shared" si="42"/>
        <v>8.6723529687036844</v>
      </c>
      <c r="AK33" s="16">
        <f t="shared" si="42"/>
        <v>9.1441837909311321</v>
      </c>
      <c r="AL33" s="17">
        <f>GBDUS!Q231/($T33+$U33+$X33+V33+W33)</f>
        <v>11.882474824699301</v>
      </c>
      <c r="AM33" s="16">
        <f t="shared" si="43"/>
        <v>12.332634346568277</v>
      </c>
      <c r="AN33" s="16">
        <f t="shared" si="43"/>
        <v>11.889130168354363</v>
      </c>
      <c r="AO33" s="16">
        <f t="shared" si="43"/>
        <v>12.194159528854849</v>
      </c>
      <c r="AP33" s="16">
        <f t="shared" si="43"/>
        <v>12.857598890425516</v>
      </c>
      <c r="AQ33" s="15"/>
      <c r="AR33" s="15"/>
      <c r="AS33" s="15"/>
      <c r="AT33" s="15"/>
      <c r="AU33" s="14"/>
      <c r="AV33" s="14"/>
      <c r="AW33" s="14"/>
      <c r="AX33" s="14"/>
    </row>
    <row r="34" spans="1:50" s="13" customFormat="1" ht="12.75" x14ac:dyDescent="0.2">
      <c r="A34" s="20">
        <v>0</v>
      </c>
      <c r="B34" s="20">
        <v>2</v>
      </c>
      <c r="C34" s="20" t="s">
        <v>36</v>
      </c>
      <c r="D34" s="17">
        <f>Baseline!AN33</f>
        <v>0.23782262690158459</v>
      </c>
      <c r="E34" s="17">
        <f>Baseline!AO33</f>
        <v>0.53893971018277653</v>
      </c>
      <c r="F34" s="17">
        <f>Baseline!AP33</f>
        <v>0.94975346598971733</v>
      </c>
      <c r="G34" s="17">
        <f>Baseline!AQ33</f>
        <v>1.6737153138215863</v>
      </c>
      <c r="H34" s="17">
        <f>Baseline!AR33</f>
        <v>3.7928756313534393</v>
      </c>
      <c r="I34" s="17">
        <f>IF((D34+'Non travel METs'!C34)&gt;2.5,(D34+'Non travel METs'!C34),0.1)</f>
        <v>6.0711559602349148</v>
      </c>
      <c r="J34" s="17">
        <f>IF((E34+'Non travel METs'!D34)&gt;2.5,(E34+'Non travel METs'!D34),0.1)</f>
        <v>5.5389397101827766</v>
      </c>
      <c r="K34" s="17">
        <f>IF((F34+'Non travel METs'!E34)&gt;2.5,(F34+'Non travel METs'!E34),0.1)</f>
        <v>3.4497534659897173</v>
      </c>
      <c r="L34" s="17">
        <f>IF((G34+'Non travel METs'!F34)&gt;2.5,(G34+'Non travel METs'!F34),0.1)</f>
        <v>5.4237153138215861</v>
      </c>
      <c r="M34" s="17">
        <f>IF((H34+'Non travel METs'!G34)&gt;2.5,(H34+'Non travel METs'!G34),0.1)</f>
        <v>3.7928756313534393</v>
      </c>
      <c r="N34" s="19">
        <f>'Phy activity RRs'!$O$4</f>
        <v>0.89073615217571622</v>
      </c>
      <c r="O34" s="15">
        <f t="shared" si="7"/>
        <v>0.83391332577807764</v>
      </c>
      <c r="P34" s="15">
        <f t="shared" si="36"/>
        <v>0.83735483418424095</v>
      </c>
      <c r="Q34" s="15">
        <f t="shared" si="37"/>
        <v>0.85411371829193472</v>
      </c>
      <c r="R34" s="15">
        <f t="shared" si="38"/>
        <v>0.83813430872474426</v>
      </c>
      <c r="S34" s="15">
        <f t="shared" si="39"/>
        <v>0.85088888877235958</v>
      </c>
      <c r="T34" s="18">
        <f t="shared" si="40"/>
        <v>1</v>
      </c>
      <c r="U34" s="18">
        <f t="shared" si="40"/>
        <v>1.0041269377761199</v>
      </c>
      <c r="V34" s="18">
        <f t="shared" si="40"/>
        <v>1.0242236116025718</v>
      </c>
      <c r="W34" s="186">
        <f t="shared" si="40"/>
        <v>1.0050616566688491</v>
      </c>
      <c r="X34" s="186">
        <f t="shared" si="40"/>
        <v>1.0203565076483734</v>
      </c>
      <c r="Y34" s="18"/>
      <c r="Z34" s="16"/>
      <c r="AA34" s="16"/>
      <c r="AB34" s="17">
        <f>GBDUS!O233/($T34+$U34+$X34+V34+W34)</f>
        <v>1.2005575316578561</v>
      </c>
      <c r="AC34" s="16">
        <f t="shared" si="41"/>
        <v>1.2055121578876602</v>
      </c>
      <c r="AD34" s="16">
        <f t="shared" si="41"/>
        <v>1.2296393710112783</v>
      </c>
      <c r="AE34" s="16">
        <f t="shared" si="41"/>
        <v>1.2066343416943091</v>
      </c>
      <c r="AF34" s="16">
        <f t="shared" si="41"/>
        <v>1.2249966902333616</v>
      </c>
      <c r="AG34" s="17">
        <f>GBDUS!P233/($T34+$U34+$X34+V34+W34)</f>
        <v>9.2985062485960306</v>
      </c>
      <c r="AH34" s="16">
        <f t="shared" si="42"/>
        <v>9.3368806052948496</v>
      </c>
      <c r="AI34" s="16">
        <f t="shared" si="42"/>
        <v>9.5237496524461083</v>
      </c>
      <c r="AJ34" s="16">
        <f t="shared" si="42"/>
        <v>9.3455720947595715</v>
      </c>
      <c r="AK34" s="16">
        <f t="shared" si="42"/>
        <v>9.4877913621640229</v>
      </c>
      <c r="AL34" s="17">
        <f>GBDUS!Q233/($T34+$U34+$X34+V34+W34)</f>
        <v>10.029150642070102</v>
      </c>
      <c r="AM34" s="16">
        <f t="shared" si="43"/>
        <v>10.070540322717259</v>
      </c>
      <c r="AN34" s="16">
        <f t="shared" si="43"/>
        <v>10.272092891927292</v>
      </c>
      <c r="AO34" s="16">
        <f t="shared" si="43"/>
        <v>10.079914759300427</v>
      </c>
      <c r="AP34" s="16">
        <f t="shared" si="43"/>
        <v>10.233309123822091</v>
      </c>
      <c r="AQ34" s="15"/>
      <c r="AR34" s="15"/>
      <c r="AS34" s="15"/>
      <c r="AT34" s="15"/>
      <c r="AU34" s="14"/>
      <c r="AV34" s="14"/>
      <c r="AW34" s="14"/>
      <c r="AX34" s="14"/>
    </row>
    <row r="35" spans="1:50" s="13" customFormat="1" ht="12.75" x14ac:dyDescent="0.2">
      <c r="A35" s="20">
        <v>0</v>
      </c>
      <c r="B35" s="20">
        <v>2</v>
      </c>
      <c r="C35" s="20" t="s">
        <v>35</v>
      </c>
      <c r="D35" s="17">
        <f>Baseline!AN34</f>
        <v>0.12364682020186614</v>
      </c>
      <c r="E35" s="17">
        <f>Baseline!AO34</f>
        <v>0.28020118317922604</v>
      </c>
      <c r="F35" s="17">
        <f>Baseline!AP34</f>
        <v>0.49378815453891239</v>
      </c>
      <c r="G35" s="17">
        <f>Baseline!AQ34</f>
        <v>0.87018455381391113</v>
      </c>
      <c r="H35" s="17">
        <f>Baseline!AR34</f>
        <v>1.9719612778142819</v>
      </c>
      <c r="I35" s="17">
        <f>IF((D35+'Non travel METs'!C35)&gt;2.5,(D35+'Non travel METs'!C35),0.1)</f>
        <v>6.6236468202018663</v>
      </c>
      <c r="J35" s="17">
        <f>IF((E35+'Non travel METs'!D35)&gt;2.5,(E35+'Non travel METs'!D35),0.1)</f>
        <v>3.4052011831792259</v>
      </c>
      <c r="K35" s="17">
        <f>IF((F35+'Non travel METs'!E35)&gt;2.5,(F35+'Non travel METs'!E35),0.1)</f>
        <v>0.1</v>
      </c>
      <c r="L35" s="17">
        <f>IF((G35+'Non travel METs'!F35)&gt;2.5,(G35+'Non travel METs'!F35),0.1)</f>
        <v>0.1</v>
      </c>
      <c r="M35" s="17">
        <f>IF((H35+'Non travel METs'!G35)&gt;2.5,(H35+'Non travel METs'!G35),0.1)</f>
        <v>0.1</v>
      </c>
      <c r="N35" s="19">
        <f>'Phy activity RRs'!$O$4</f>
        <v>0.89073615217571622</v>
      </c>
      <c r="O35" s="15">
        <f t="shared" si="7"/>
        <v>0.83058588032879432</v>
      </c>
      <c r="P35" s="15">
        <f t="shared" si="36"/>
        <v>0.85455080696314711</v>
      </c>
      <c r="Q35" s="15">
        <f t="shared" si="37"/>
        <v>0.93700483239712185</v>
      </c>
      <c r="R35" s="15">
        <f t="shared" si="38"/>
        <v>0.93700483239712185</v>
      </c>
      <c r="S35" s="15">
        <f t="shared" si="39"/>
        <v>0.93700483239712185</v>
      </c>
      <c r="T35" s="18">
        <f t="shared" si="40"/>
        <v>1</v>
      </c>
      <c r="U35" s="18">
        <f t="shared" si="40"/>
        <v>1.0288530388030026</v>
      </c>
      <c r="V35" s="18">
        <f t="shared" si="40"/>
        <v>1.1281251639218821</v>
      </c>
      <c r="W35" s="186">
        <f t="shared" si="40"/>
        <v>1.1281251639218821</v>
      </c>
      <c r="X35" s="186">
        <f t="shared" si="40"/>
        <v>1.1281251639218821</v>
      </c>
      <c r="Y35" s="18"/>
      <c r="Z35" s="16"/>
      <c r="AA35" s="16"/>
      <c r="AB35" s="17">
        <f>GBDUS!O235/($T35+$U35+$X35+V35+W35)</f>
        <v>2.2637177805129594</v>
      </c>
      <c r="AC35" s="16">
        <f t="shared" si="41"/>
        <v>2.3290329174731466</v>
      </c>
      <c r="AD35" s="16">
        <f t="shared" si="41"/>
        <v>2.5537569922140615</v>
      </c>
      <c r="AE35" s="16">
        <f t="shared" si="41"/>
        <v>2.5537569922140615</v>
      </c>
      <c r="AF35" s="16">
        <f t="shared" si="41"/>
        <v>2.5537569922140615</v>
      </c>
      <c r="AG35" s="17">
        <f>GBDUS!P235/($T35+$U35+$X35+V35+W35)</f>
        <v>7.4267710409878527</v>
      </c>
      <c r="AH35" s="16">
        <f t="shared" si="42"/>
        <v>7.6410559540144911</v>
      </c>
      <c r="AI35" s="16">
        <f t="shared" si="42"/>
        <v>8.3783272980247077</v>
      </c>
      <c r="AJ35" s="16">
        <f t="shared" si="42"/>
        <v>8.3783272980247077</v>
      </c>
      <c r="AK35" s="16">
        <f t="shared" si="42"/>
        <v>8.3783272980247077</v>
      </c>
      <c r="AL35" s="17">
        <f>GBDUS!Q235/($T35+$U35+$X35+V35+W35)</f>
        <v>6.1019705359370722</v>
      </c>
      <c r="AM35" s="16">
        <f t="shared" si="43"/>
        <v>6.2780309285852427</v>
      </c>
      <c r="AN35" s="16">
        <f t="shared" si="43"/>
        <v>6.8837865111005048</v>
      </c>
      <c r="AO35" s="16">
        <f t="shared" si="43"/>
        <v>6.8837865111005048</v>
      </c>
      <c r="AP35" s="16">
        <f t="shared" si="43"/>
        <v>6.8837865111005048</v>
      </c>
      <c r="AQ35" s="15"/>
      <c r="AR35" s="15"/>
      <c r="AS35" s="15"/>
      <c r="AT35" s="15"/>
      <c r="AU35" s="14"/>
      <c r="AV35" s="14"/>
      <c r="AW35" s="14"/>
      <c r="AX35" s="14"/>
    </row>
  </sheetData>
  <mergeCells count="9">
    <mergeCell ref="AG1:AK1"/>
    <mergeCell ref="AL1:AP1"/>
    <mergeCell ref="AQ1:AT1"/>
    <mergeCell ref="AU1:AX1"/>
    <mergeCell ref="D1:H1"/>
    <mergeCell ref="I1:M1"/>
    <mergeCell ref="O1:S1"/>
    <mergeCell ref="T1:X1"/>
    <mergeCell ref="AB1:AF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zoomScale="80" zoomScaleNormal="80" workbookViewId="0"/>
  </sheetViews>
  <sheetFormatPr defaultColWidth="9.140625" defaultRowHeight="15" x14ac:dyDescent="0.25"/>
  <cols>
    <col min="1" max="2" width="11.140625" style="10" customWidth="1"/>
    <col min="3" max="3" width="10.5703125" style="10" customWidth="1"/>
    <col min="4" max="4" width="13" style="10" customWidth="1"/>
    <col min="5" max="6" width="16" style="10" customWidth="1"/>
    <col min="7" max="7" width="8.85546875" style="12" customWidth="1"/>
    <col min="8" max="8" width="12.140625" style="10" customWidth="1"/>
    <col min="9" max="9" width="11" style="10" customWidth="1"/>
    <col min="10" max="10" width="13" style="12" customWidth="1"/>
    <col min="11" max="11" width="12.42578125" style="10" customWidth="1"/>
    <col min="12" max="12" width="5.42578125" style="10" customWidth="1"/>
    <col min="13" max="13" width="4.5703125" style="10" customWidth="1"/>
    <col min="14" max="14" width="6" style="10" customWidth="1"/>
    <col min="15" max="16384" width="9.140625" style="10"/>
  </cols>
  <sheetData>
    <row r="1" spans="1:14" s="13" customFormat="1" ht="46.5" customHeight="1" x14ac:dyDescent="0.2">
      <c r="A1" s="20"/>
      <c r="B1" s="20"/>
      <c r="C1" s="20"/>
      <c r="D1" s="227" t="s">
        <v>148</v>
      </c>
      <c r="E1" s="29"/>
      <c r="F1" s="224" t="s">
        <v>54</v>
      </c>
      <c r="G1" s="225" t="s">
        <v>75</v>
      </c>
      <c r="H1" s="224" t="s">
        <v>152</v>
      </c>
      <c r="I1" s="224" t="s">
        <v>150</v>
      </c>
      <c r="J1" s="225" t="s">
        <v>151</v>
      </c>
      <c r="K1" s="225" t="s">
        <v>153</v>
      </c>
      <c r="L1" s="23"/>
      <c r="M1" s="23"/>
      <c r="N1" s="23"/>
    </row>
    <row r="2" spans="1:14" s="23" customFormat="1" ht="44.25" customHeight="1" x14ac:dyDescent="0.2">
      <c r="A2" s="29" t="s">
        <v>48</v>
      </c>
      <c r="B2" s="29" t="s">
        <v>47</v>
      </c>
      <c r="C2" s="29" t="s">
        <v>46</v>
      </c>
      <c r="D2" s="20"/>
      <c r="E2" s="224" t="s">
        <v>149</v>
      </c>
      <c r="F2" s="224"/>
      <c r="G2" s="225"/>
      <c r="H2" s="224"/>
      <c r="I2" s="224"/>
      <c r="J2" s="224"/>
      <c r="K2" s="224"/>
    </row>
    <row r="3" spans="1:14" s="13" customFormat="1" ht="12.75" x14ac:dyDescent="0.2">
      <c r="A3" s="20">
        <v>1</v>
      </c>
      <c r="B3" s="20">
        <v>1</v>
      </c>
      <c r="C3" s="20" t="s">
        <v>2</v>
      </c>
      <c r="D3" s="20">
        <f>'Resp diseases'!D3</f>
        <v>9.4</v>
      </c>
      <c r="E3" s="236">
        <v>9.7580328338864094E-3</v>
      </c>
      <c r="F3" s="19">
        <f>EXP(E3*(D3-D20))</f>
        <v>1</v>
      </c>
      <c r="G3" s="31">
        <f>1-F3</f>
        <v>0</v>
      </c>
      <c r="H3" s="301">
        <f>$G3*GBDUS!O159</f>
        <v>0</v>
      </c>
      <c r="I3" s="301">
        <f>$G3*GBDUS!P159</f>
        <v>0</v>
      </c>
      <c r="J3" s="301">
        <v>0</v>
      </c>
      <c r="K3" s="301">
        <f>$G3*GBDUS!R159</f>
        <v>0</v>
      </c>
      <c r="L3" s="23"/>
      <c r="M3" s="23"/>
      <c r="N3" s="23"/>
    </row>
    <row r="4" spans="1:14" s="13" customFormat="1" ht="12.75" x14ac:dyDescent="0.2">
      <c r="A4" s="20">
        <v>1</v>
      </c>
      <c r="B4" s="20">
        <v>1</v>
      </c>
      <c r="C4" s="20" t="s">
        <v>41</v>
      </c>
      <c r="D4" s="20">
        <f>'Resp diseases'!D4</f>
        <v>0</v>
      </c>
      <c r="E4" s="19"/>
      <c r="F4" s="19"/>
      <c r="G4" s="31"/>
      <c r="H4" s="301"/>
      <c r="I4" s="301"/>
      <c r="J4" s="301"/>
      <c r="K4" s="301"/>
      <c r="L4" s="23"/>
      <c r="M4" s="23"/>
      <c r="N4" s="23"/>
    </row>
    <row r="5" spans="1:14" s="13" customFormat="1" ht="12.75" x14ac:dyDescent="0.2">
      <c r="A5" s="20">
        <v>1</v>
      </c>
      <c r="B5" s="20">
        <v>1</v>
      </c>
      <c r="C5" s="20" t="s">
        <v>40</v>
      </c>
      <c r="D5" s="20">
        <f>'Resp diseases'!D5</f>
        <v>0</v>
      </c>
      <c r="E5" s="19"/>
      <c r="F5" s="19"/>
      <c r="G5" s="31"/>
      <c r="H5" s="301"/>
      <c r="I5" s="301"/>
      <c r="J5" s="301"/>
      <c r="K5" s="301"/>
      <c r="L5" s="23"/>
      <c r="M5" s="23"/>
      <c r="N5" s="23"/>
    </row>
    <row r="6" spans="1:14" s="13" customFormat="1" ht="12.75" x14ac:dyDescent="0.2">
      <c r="A6" s="20">
        <v>1</v>
      </c>
      <c r="B6" s="20">
        <v>1</v>
      </c>
      <c r="C6" s="20" t="s">
        <v>39</v>
      </c>
      <c r="D6" s="20">
        <f>'Resp diseases'!D6</f>
        <v>9.4</v>
      </c>
      <c r="E6" s="19"/>
      <c r="F6" s="19"/>
      <c r="G6" s="31"/>
      <c r="H6" s="301"/>
      <c r="I6" s="301"/>
      <c r="J6" s="301"/>
      <c r="K6" s="301"/>
      <c r="L6" s="23"/>
      <c r="M6" s="23"/>
      <c r="N6" s="23"/>
    </row>
    <row r="7" spans="1:14" s="13" customFormat="1" ht="12.75" x14ac:dyDescent="0.2">
      <c r="A7" s="20">
        <v>1</v>
      </c>
      <c r="B7" s="20">
        <v>1</v>
      </c>
      <c r="C7" s="20" t="s">
        <v>38</v>
      </c>
      <c r="D7" s="20">
        <f>'Resp diseases'!D7</f>
        <v>9.4</v>
      </c>
      <c r="E7" s="19"/>
      <c r="F7" s="19"/>
      <c r="G7" s="31"/>
      <c r="H7" s="301"/>
      <c r="I7" s="301"/>
      <c r="J7" s="301"/>
      <c r="K7" s="301"/>
      <c r="L7" s="23"/>
      <c r="M7" s="23"/>
      <c r="N7" s="23"/>
    </row>
    <row r="8" spans="1:14" s="13" customFormat="1" ht="12.75" x14ac:dyDescent="0.2">
      <c r="A8" s="20">
        <v>1</v>
      </c>
      <c r="B8" s="20">
        <v>1</v>
      </c>
      <c r="C8" s="20" t="s">
        <v>37</v>
      </c>
      <c r="D8" s="20">
        <f>'Resp diseases'!D8</f>
        <v>9.4</v>
      </c>
      <c r="E8" s="19"/>
      <c r="F8" s="19"/>
      <c r="G8" s="31"/>
      <c r="H8" s="301"/>
      <c r="I8" s="301"/>
      <c r="J8" s="301"/>
      <c r="K8" s="301"/>
      <c r="L8" s="23"/>
      <c r="M8" s="23"/>
      <c r="N8" s="23"/>
    </row>
    <row r="9" spans="1:14" s="13" customFormat="1" ht="12.75" x14ac:dyDescent="0.2">
      <c r="A9" s="20">
        <v>1</v>
      </c>
      <c r="B9" s="20">
        <v>1</v>
      </c>
      <c r="C9" s="20" t="s">
        <v>36</v>
      </c>
      <c r="D9" s="20">
        <f>'Resp diseases'!D9</f>
        <v>9.4</v>
      </c>
      <c r="E9" s="19"/>
      <c r="F9" s="19"/>
      <c r="G9" s="31"/>
      <c r="H9" s="301"/>
      <c r="I9" s="301"/>
      <c r="J9" s="301"/>
      <c r="K9" s="301"/>
      <c r="L9" s="23"/>
      <c r="M9" s="23"/>
      <c r="N9" s="23"/>
    </row>
    <row r="10" spans="1:14" s="13" customFormat="1" ht="12.75" x14ac:dyDescent="0.2">
      <c r="A10" s="20">
        <v>1</v>
      </c>
      <c r="B10" s="20">
        <v>1</v>
      </c>
      <c r="C10" s="20" t="s">
        <v>35</v>
      </c>
      <c r="D10" s="20">
        <f>'Resp diseases'!D10</f>
        <v>9.4</v>
      </c>
      <c r="E10" s="19"/>
      <c r="F10" s="19"/>
      <c r="G10" s="31"/>
      <c r="H10" s="301"/>
      <c r="I10" s="301"/>
      <c r="J10" s="301"/>
      <c r="K10" s="301"/>
      <c r="L10" s="23"/>
      <c r="M10" s="23"/>
      <c r="N10" s="23"/>
    </row>
    <row r="11" spans="1:14" s="13" customFormat="1" ht="12.75" x14ac:dyDescent="0.2">
      <c r="A11" s="20">
        <v>1</v>
      </c>
      <c r="B11" s="20">
        <v>2</v>
      </c>
      <c r="C11" s="20" t="s">
        <v>2</v>
      </c>
      <c r="D11" s="20">
        <f>'Resp diseases'!D11</f>
        <v>9.4</v>
      </c>
      <c r="E11" s="236">
        <f>E3</f>
        <v>9.7580328338864094E-3</v>
      </c>
      <c r="F11" s="301">
        <f>EXP(E11*(D11-D28))</f>
        <v>1</v>
      </c>
      <c r="G11" s="31">
        <f>1-F11</f>
        <v>0</v>
      </c>
      <c r="H11" s="301">
        <f>$G11*GBDUS!O160</f>
        <v>0</v>
      </c>
      <c r="I11" s="301">
        <f>$G11*GBDUS!P160</f>
        <v>0</v>
      </c>
      <c r="J11" s="301">
        <v>0</v>
      </c>
      <c r="K11" s="301">
        <f>$G11*GBDUS!R160</f>
        <v>0</v>
      </c>
      <c r="L11" s="23"/>
      <c r="M11" s="23"/>
      <c r="N11" s="23"/>
    </row>
    <row r="12" spans="1:14" s="13" customFormat="1" ht="12.75" x14ac:dyDescent="0.2">
      <c r="A12" s="20">
        <v>1</v>
      </c>
      <c r="B12" s="20">
        <v>2</v>
      </c>
      <c r="C12" s="20" t="s">
        <v>41</v>
      </c>
      <c r="D12" s="20">
        <f>'Resp diseases'!D12</f>
        <v>0</v>
      </c>
      <c r="E12" s="19"/>
      <c r="F12" s="19"/>
      <c r="G12" s="31"/>
      <c r="H12" s="301"/>
      <c r="I12" s="301"/>
      <c r="J12" s="301"/>
      <c r="K12" s="301"/>
      <c r="L12" s="23"/>
      <c r="M12" s="23"/>
      <c r="N12" s="23"/>
    </row>
    <row r="13" spans="1:14" s="13" customFormat="1" ht="12.75" x14ac:dyDescent="0.2">
      <c r="A13" s="20">
        <v>1</v>
      </c>
      <c r="B13" s="20">
        <v>2</v>
      </c>
      <c r="C13" s="20" t="s">
        <v>40</v>
      </c>
      <c r="D13" s="20">
        <f>'Resp diseases'!D13</f>
        <v>0</v>
      </c>
      <c r="E13" s="19"/>
      <c r="F13" s="19"/>
      <c r="G13" s="31"/>
      <c r="H13" s="301"/>
      <c r="I13" s="301"/>
      <c r="J13" s="301"/>
      <c r="K13" s="301"/>
      <c r="L13" s="23"/>
      <c r="M13" s="23"/>
      <c r="N13" s="23"/>
    </row>
    <row r="14" spans="1:14" s="13" customFormat="1" ht="12.75" x14ac:dyDescent="0.2">
      <c r="A14" s="20">
        <v>1</v>
      </c>
      <c r="B14" s="20">
        <v>2</v>
      </c>
      <c r="C14" s="20" t="s">
        <v>39</v>
      </c>
      <c r="D14" s="20">
        <f>'Resp diseases'!D14</f>
        <v>9.4</v>
      </c>
      <c r="E14" s="19"/>
      <c r="F14" s="19"/>
      <c r="G14" s="31"/>
      <c r="H14" s="301"/>
      <c r="I14" s="301"/>
      <c r="J14" s="301"/>
      <c r="K14" s="301"/>
      <c r="L14" s="23"/>
      <c r="M14" s="23"/>
      <c r="N14" s="23"/>
    </row>
    <row r="15" spans="1:14" s="13" customFormat="1" ht="12.75" x14ac:dyDescent="0.2">
      <c r="A15" s="20">
        <v>1</v>
      </c>
      <c r="B15" s="20">
        <v>2</v>
      </c>
      <c r="C15" s="20" t="s">
        <v>38</v>
      </c>
      <c r="D15" s="20">
        <f>'Resp diseases'!D15</f>
        <v>9.4</v>
      </c>
      <c r="E15" s="19"/>
      <c r="F15" s="19"/>
      <c r="G15" s="31"/>
      <c r="H15" s="301"/>
      <c r="I15" s="301"/>
      <c r="J15" s="301"/>
      <c r="K15" s="301"/>
      <c r="L15" s="23"/>
      <c r="M15" s="23"/>
      <c r="N15" s="23"/>
    </row>
    <row r="16" spans="1:14" s="13" customFormat="1" ht="12.75" x14ac:dyDescent="0.2">
      <c r="A16" s="20">
        <v>1</v>
      </c>
      <c r="B16" s="20">
        <v>2</v>
      </c>
      <c r="C16" s="20" t="s">
        <v>37</v>
      </c>
      <c r="D16" s="20">
        <f>'Resp diseases'!D16</f>
        <v>9.4</v>
      </c>
      <c r="E16" s="19"/>
      <c r="F16" s="19"/>
      <c r="G16" s="31"/>
      <c r="H16" s="301"/>
      <c r="I16" s="301"/>
      <c r="J16" s="301"/>
      <c r="K16" s="301"/>
      <c r="L16" s="23"/>
      <c r="M16" s="23"/>
      <c r="N16" s="23"/>
    </row>
    <row r="17" spans="1:14" s="13" customFormat="1" ht="12.75" x14ac:dyDescent="0.2">
      <c r="A17" s="20">
        <v>1</v>
      </c>
      <c r="B17" s="20">
        <v>2</v>
      </c>
      <c r="C17" s="20" t="s">
        <v>36</v>
      </c>
      <c r="D17" s="20">
        <f>'Resp diseases'!D17</f>
        <v>9.4</v>
      </c>
      <c r="E17" s="19"/>
      <c r="F17" s="19"/>
      <c r="G17" s="31"/>
      <c r="H17" s="301"/>
      <c r="I17" s="301"/>
      <c r="J17" s="301"/>
      <c r="K17" s="301"/>
      <c r="L17" s="23"/>
      <c r="M17" s="23"/>
      <c r="N17" s="23"/>
    </row>
    <row r="18" spans="1:14" s="13" customFormat="1" ht="12.75" x14ac:dyDescent="0.2">
      <c r="A18" s="20">
        <v>1</v>
      </c>
      <c r="B18" s="20">
        <v>2</v>
      </c>
      <c r="C18" s="20" t="s">
        <v>35</v>
      </c>
      <c r="D18" s="20">
        <f>'Resp diseases'!D18</f>
        <v>9.4</v>
      </c>
      <c r="E18" s="19"/>
      <c r="F18" s="19"/>
      <c r="G18" s="31"/>
      <c r="H18" s="301"/>
      <c r="I18" s="301"/>
      <c r="J18" s="301"/>
      <c r="K18" s="301"/>
      <c r="L18" s="23"/>
      <c r="M18" s="23"/>
      <c r="N18" s="23"/>
    </row>
    <row r="19" spans="1:14" s="13" customFormat="1" ht="12.75" x14ac:dyDescent="0.2">
      <c r="A19" s="20"/>
      <c r="B19" s="20"/>
      <c r="C19" s="20"/>
      <c r="D19" s="20">
        <f>'Resp diseases'!D19</f>
        <v>0</v>
      </c>
      <c r="E19" s="15"/>
      <c r="F19" s="15"/>
      <c r="G19" s="16"/>
      <c r="H19" s="301">
        <f>H3+H11</f>
        <v>0</v>
      </c>
      <c r="I19" s="301">
        <f>I3+I11</f>
        <v>0</v>
      </c>
      <c r="J19" s="301">
        <v>0</v>
      </c>
      <c r="K19" s="301">
        <f>K3+K11</f>
        <v>0</v>
      </c>
      <c r="L19" s="23"/>
      <c r="M19" s="23"/>
      <c r="N19" s="23"/>
    </row>
    <row r="20" spans="1:14" s="13" customFormat="1" ht="12.75" x14ac:dyDescent="0.2">
      <c r="A20" s="20">
        <v>0</v>
      </c>
      <c r="B20" s="20">
        <v>1</v>
      </c>
      <c r="C20" s="20" t="s">
        <v>2</v>
      </c>
      <c r="D20" s="20">
        <f>'Resp diseases'!D20</f>
        <v>9.4</v>
      </c>
      <c r="E20" s="19"/>
      <c r="F20" s="19"/>
      <c r="G20" s="16"/>
      <c r="H20" s="33">
        <f>H19/GBDUS!O161</f>
        <v>0</v>
      </c>
      <c r="I20" s="33">
        <f>I19/GBDUS!P161</f>
        <v>0</v>
      </c>
      <c r="J20" s="33">
        <f>J19/GBDUS!Q161</f>
        <v>0</v>
      </c>
      <c r="K20" s="33">
        <f>K19/GBDUS!R161</f>
        <v>0</v>
      </c>
      <c r="L20" s="23"/>
      <c r="M20" s="23"/>
      <c r="N20" s="23"/>
    </row>
    <row r="21" spans="1:14" s="13" customFormat="1" ht="12.75" x14ac:dyDescent="0.2">
      <c r="A21" s="20">
        <v>0</v>
      </c>
      <c r="B21" s="20">
        <v>1</v>
      </c>
      <c r="C21" s="20" t="s">
        <v>41</v>
      </c>
      <c r="D21" s="20">
        <f>'Resp diseases'!D21</f>
        <v>9.4</v>
      </c>
      <c r="E21" s="19"/>
      <c r="F21" s="19"/>
      <c r="G21" s="16"/>
      <c r="H21" s="17"/>
      <c r="I21" s="17"/>
      <c r="J21" s="17"/>
      <c r="K21" s="23"/>
      <c r="L21" s="23"/>
      <c r="M21" s="23"/>
      <c r="N21" s="23"/>
    </row>
    <row r="22" spans="1:14" s="13" customFormat="1" ht="12.75" x14ac:dyDescent="0.2">
      <c r="A22" s="20">
        <v>0</v>
      </c>
      <c r="B22" s="20">
        <v>1</v>
      </c>
      <c r="C22" s="20" t="s">
        <v>40</v>
      </c>
      <c r="D22" s="20">
        <f>'Resp diseases'!D22</f>
        <v>0</v>
      </c>
      <c r="E22" s="19"/>
      <c r="F22" s="19"/>
      <c r="G22" s="16"/>
      <c r="H22" s="17"/>
      <c r="I22" s="17"/>
      <c r="J22" s="17"/>
      <c r="K22" s="23"/>
      <c r="L22" s="23"/>
      <c r="M22" s="23"/>
      <c r="N22" s="23"/>
    </row>
    <row r="23" spans="1:14" s="13" customFormat="1" ht="12.75" x14ac:dyDescent="0.2">
      <c r="A23" s="20">
        <v>0</v>
      </c>
      <c r="B23" s="20">
        <v>1</v>
      </c>
      <c r="C23" s="20" t="s">
        <v>39</v>
      </c>
      <c r="D23" s="20">
        <f>'Resp diseases'!D23</f>
        <v>9.4</v>
      </c>
      <c r="E23" s="19"/>
      <c r="F23" s="19"/>
      <c r="G23" s="16"/>
      <c r="H23" s="17"/>
      <c r="I23" s="17"/>
      <c r="J23" s="17"/>
      <c r="K23" s="23"/>
      <c r="L23" s="23"/>
      <c r="M23" s="23"/>
      <c r="N23" s="23"/>
    </row>
    <row r="24" spans="1:14" s="13" customFormat="1" ht="12.75" x14ac:dyDescent="0.2">
      <c r="A24" s="20">
        <v>0</v>
      </c>
      <c r="B24" s="20">
        <v>1</v>
      </c>
      <c r="C24" s="20" t="s">
        <v>38</v>
      </c>
      <c r="D24" s="20">
        <f>'Resp diseases'!D24</f>
        <v>9.4</v>
      </c>
      <c r="E24" s="19"/>
      <c r="F24" s="19"/>
      <c r="G24" s="16"/>
      <c r="H24" s="17"/>
      <c r="I24" s="17"/>
      <c r="J24" s="17"/>
      <c r="K24" s="23"/>
      <c r="L24" s="23"/>
      <c r="M24" s="23"/>
      <c r="N24" s="23"/>
    </row>
    <row r="25" spans="1:14" s="13" customFormat="1" ht="12.75" x14ac:dyDescent="0.2">
      <c r="A25" s="20">
        <v>0</v>
      </c>
      <c r="B25" s="20">
        <v>1</v>
      </c>
      <c r="C25" s="20" t="s">
        <v>37</v>
      </c>
      <c r="D25" s="20">
        <f>'Resp diseases'!D25</f>
        <v>9.4</v>
      </c>
      <c r="E25" s="19"/>
      <c r="F25" s="19"/>
      <c r="G25" s="16"/>
      <c r="H25" s="17"/>
      <c r="I25" s="17"/>
      <c r="J25" s="17"/>
      <c r="K25" s="23"/>
      <c r="L25" s="23"/>
      <c r="M25" s="23"/>
      <c r="N25" s="23"/>
    </row>
    <row r="26" spans="1:14" s="13" customFormat="1" ht="12.75" x14ac:dyDescent="0.2">
      <c r="A26" s="20">
        <v>0</v>
      </c>
      <c r="B26" s="20">
        <v>1</v>
      </c>
      <c r="C26" s="20" t="s">
        <v>36</v>
      </c>
      <c r="D26" s="20">
        <f>'Resp diseases'!D26</f>
        <v>9.4</v>
      </c>
      <c r="E26" s="19"/>
      <c r="F26" s="19"/>
      <c r="G26" s="16"/>
      <c r="H26" s="17"/>
      <c r="I26" s="17"/>
      <c r="J26" s="17"/>
      <c r="K26" s="23"/>
      <c r="L26" s="23"/>
      <c r="M26" s="23"/>
      <c r="N26" s="23"/>
    </row>
    <row r="27" spans="1:14" s="13" customFormat="1" ht="12.75" x14ac:dyDescent="0.2">
      <c r="A27" s="20">
        <v>0</v>
      </c>
      <c r="B27" s="20">
        <v>1</v>
      </c>
      <c r="C27" s="20" t="s">
        <v>35</v>
      </c>
      <c r="D27" s="20">
        <f>'Resp diseases'!D27</f>
        <v>9.4</v>
      </c>
      <c r="E27" s="19"/>
      <c r="F27" s="19"/>
      <c r="G27" s="16"/>
      <c r="H27" s="17"/>
      <c r="I27" s="17"/>
      <c r="J27" s="17"/>
      <c r="K27" s="23"/>
      <c r="L27" s="23"/>
      <c r="M27" s="23"/>
      <c r="N27" s="23"/>
    </row>
    <row r="28" spans="1:14" s="13" customFormat="1" ht="12.75" x14ac:dyDescent="0.2">
      <c r="A28" s="20">
        <v>0</v>
      </c>
      <c r="B28" s="20">
        <v>2</v>
      </c>
      <c r="C28" s="20" t="s">
        <v>2</v>
      </c>
      <c r="D28" s="20">
        <f>'Resp diseases'!D28</f>
        <v>9.4</v>
      </c>
      <c r="E28" s="19"/>
      <c r="F28" s="19"/>
      <c r="G28" s="16"/>
      <c r="H28" s="17"/>
      <c r="I28" s="17"/>
      <c r="J28" s="17"/>
      <c r="K28" s="23"/>
      <c r="L28" s="23"/>
      <c r="M28" s="23"/>
      <c r="N28" s="23"/>
    </row>
    <row r="29" spans="1:14" s="13" customFormat="1" ht="12.75" x14ac:dyDescent="0.2">
      <c r="A29" s="20">
        <v>0</v>
      </c>
      <c r="B29" s="20">
        <v>2</v>
      </c>
      <c r="C29" s="20" t="s">
        <v>41</v>
      </c>
      <c r="D29" s="20">
        <f>'Resp diseases'!D29</f>
        <v>0</v>
      </c>
      <c r="E29" s="19"/>
      <c r="F29" s="19"/>
      <c r="G29" s="16"/>
      <c r="H29" s="17"/>
      <c r="I29" s="17"/>
      <c r="J29" s="17"/>
      <c r="K29" s="23"/>
      <c r="L29" s="23"/>
      <c r="M29" s="23"/>
      <c r="N29" s="23"/>
    </row>
    <row r="30" spans="1:14" s="13" customFormat="1" ht="12.75" x14ac:dyDescent="0.2">
      <c r="A30" s="20">
        <v>0</v>
      </c>
      <c r="B30" s="20">
        <v>2</v>
      </c>
      <c r="C30" s="20" t="s">
        <v>40</v>
      </c>
      <c r="D30" s="20">
        <f>'Resp diseases'!D30</f>
        <v>0</v>
      </c>
      <c r="E30" s="19"/>
      <c r="F30" s="19"/>
      <c r="G30" s="16"/>
      <c r="H30" s="17"/>
      <c r="I30" s="17"/>
      <c r="J30" s="17"/>
      <c r="K30" s="23"/>
      <c r="L30" s="23"/>
      <c r="M30" s="23"/>
      <c r="N30" s="23"/>
    </row>
    <row r="31" spans="1:14" s="13" customFormat="1" ht="12.75" x14ac:dyDescent="0.2">
      <c r="A31" s="20">
        <v>0</v>
      </c>
      <c r="B31" s="20">
        <v>2</v>
      </c>
      <c r="C31" s="20" t="s">
        <v>39</v>
      </c>
      <c r="D31" s="20">
        <f>'Resp diseases'!D31</f>
        <v>9.4</v>
      </c>
      <c r="E31" s="19"/>
      <c r="F31" s="19"/>
      <c r="G31" s="16"/>
      <c r="H31" s="17"/>
      <c r="I31" s="17"/>
      <c r="J31" s="17"/>
      <c r="K31" s="23"/>
      <c r="L31" s="23"/>
      <c r="M31" s="23"/>
      <c r="N31" s="23"/>
    </row>
    <row r="32" spans="1:14" s="13" customFormat="1" ht="12.75" x14ac:dyDescent="0.2">
      <c r="A32" s="20">
        <v>0</v>
      </c>
      <c r="B32" s="20">
        <v>2</v>
      </c>
      <c r="C32" s="20" t="s">
        <v>38</v>
      </c>
      <c r="D32" s="20">
        <f>'Resp diseases'!D32</f>
        <v>9.4</v>
      </c>
      <c r="E32" s="19"/>
      <c r="F32" s="19"/>
      <c r="G32" s="16"/>
      <c r="H32" s="17"/>
      <c r="I32" s="17"/>
      <c r="J32" s="17"/>
      <c r="K32" s="23"/>
      <c r="L32" s="23"/>
      <c r="M32" s="23"/>
      <c r="N32" s="23"/>
    </row>
    <row r="33" spans="1:14" s="13" customFormat="1" ht="12.75" x14ac:dyDescent="0.2">
      <c r="A33" s="20">
        <v>0</v>
      </c>
      <c r="B33" s="20">
        <v>2</v>
      </c>
      <c r="C33" s="20" t="s">
        <v>37</v>
      </c>
      <c r="D33" s="20">
        <f>'Resp diseases'!D33</f>
        <v>9.4</v>
      </c>
      <c r="E33" s="19"/>
      <c r="F33" s="19"/>
      <c r="G33" s="16"/>
      <c r="H33" s="17"/>
      <c r="I33" s="17"/>
      <c r="J33" s="17"/>
      <c r="K33" s="23"/>
      <c r="L33" s="23"/>
      <c r="M33" s="23"/>
      <c r="N33" s="23"/>
    </row>
    <row r="34" spans="1:14" s="13" customFormat="1" ht="12.75" x14ac:dyDescent="0.2">
      <c r="A34" s="20">
        <v>0</v>
      </c>
      <c r="B34" s="20">
        <v>2</v>
      </c>
      <c r="C34" s="20" t="s">
        <v>36</v>
      </c>
      <c r="D34" s="20">
        <f>'Resp diseases'!D34</f>
        <v>9.4</v>
      </c>
      <c r="E34" s="19"/>
      <c r="F34" s="19"/>
      <c r="G34" s="16"/>
      <c r="H34" s="17"/>
      <c r="I34" s="17"/>
      <c r="J34" s="17"/>
      <c r="K34" s="23"/>
      <c r="L34" s="23"/>
      <c r="M34" s="23"/>
      <c r="N34" s="23"/>
    </row>
    <row r="35" spans="1:14" s="13" customFormat="1" ht="12.75" x14ac:dyDescent="0.2">
      <c r="A35" s="20">
        <v>0</v>
      </c>
      <c r="B35" s="20">
        <v>2</v>
      </c>
      <c r="C35" s="20" t="s">
        <v>35</v>
      </c>
      <c r="D35" s="20">
        <f>'Resp diseases'!D35</f>
        <v>9.4</v>
      </c>
      <c r="E35" s="19"/>
      <c r="F35" s="19"/>
      <c r="G35" s="16"/>
      <c r="H35" s="17"/>
      <c r="I35" s="17"/>
      <c r="J35" s="17"/>
      <c r="K35" s="23"/>
      <c r="L35" s="23"/>
      <c r="M35" s="23"/>
      <c r="N35" s="23"/>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
  <sheetViews>
    <sheetView zoomScaleNormal="100" workbookViewId="0">
      <selection activeCell="O18" sqref="O18"/>
    </sheetView>
  </sheetViews>
  <sheetFormatPr defaultColWidth="9.140625" defaultRowHeight="15" x14ac:dyDescent="0.25"/>
  <cols>
    <col min="1" max="1" width="5" style="10" customWidth="1"/>
    <col min="2" max="2" width="4" style="10" customWidth="1"/>
    <col min="3" max="3" width="6" style="10" customWidth="1"/>
    <col min="4" max="6" width="3.7109375" style="10" customWidth="1"/>
    <col min="7" max="7" width="4.28515625" style="10" customWidth="1"/>
    <col min="8" max="8" width="3.5703125" style="10" customWidth="1"/>
    <col min="9" max="11" width="3.85546875" style="10" customWidth="1"/>
    <col min="12" max="12" width="4" style="10" customWidth="1"/>
    <col min="13" max="13" width="3.85546875" style="10" customWidth="1"/>
    <col min="14" max="14" width="10" style="10" customWidth="1"/>
    <col min="15" max="15" width="4.7109375" style="10" customWidth="1"/>
    <col min="16" max="17" width="4.140625" style="10" customWidth="1"/>
    <col min="18" max="18" width="4" style="10" customWidth="1"/>
    <col min="19" max="19" width="4.140625" style="10" customWidth="1"/>
    <col min="20" max="22" width="4.42578125" style="10" customWidth="1"/>
    <col min="23" max="23" width="3.7109375" style="10" customWidth="1"/>
    <col min="24" max="24" width="3.140625" style="10" customWidth="1"/>
    <col min="25" max="25" width="4.7109375" style="10" customWidth="1"/>
    <col min="26" max="26" width="7.140625" style="12" customWidth="1"/>
    <col min="27" max="29" width="4.85546875" style="10" customWidth="1"/>
    <col min="30" max="30" width="5.5703125" style="10" customWidth="1"/>
    <col min="31" max="31" width="4.5703125" style="10" customWidth="1"/>
    <col min="32" max="34" width="5.5703125" style="10" customWidth="1"/>
    <col min="35" max="35" width="6.5703125" style="10" customWidth="1"/>
    <col min="36" max="36" width="5.28515625" style="10" customWidth="1"/>
    <col min="37" max="41" width="5.140625" style="12" customWidth="1"/>
    <col min="42" max="42" width="6.5703125" style="11" customWidth="1"/>
    <col min="43" max="43" width="5.140625" style="10" customWidth="1"/>
    <col min="44" max="44" width="7.85546875" style="10" customWidth="1"/>
    <col min="45" max="45" width="6" style="10" customWidth="1"/>
    <col min="46" max="46" width="5.140625" style="10" customWidth="1"/>
    <col min="47" max="47" width="5.42578125" style="10" customWidth="1"/>
    <col min="48" max="48" width="4.5703125" style="10" customWidth="1"/>
    <col min="49" max="49" width="6" style="10" customWidth="1"/>
    <col min="50" max="16384" width="9.140625" style="10"/>
  </cols>
  <sheetData>
    <row r="1" spans="1:49" s="13" customFormat="1" ht="46.5" customHeight="1" x14ac:dyDescent="0.2">
      <c r="A1" s="20"/>
      <c r="B1" s="20"/>
      <c r="C1" s="20"/>
      <c r="D1" s="1344" t="s">
        <v>57</v>
      </c>
      <c r="E1" s="1344"/>
      <c r="F1" s="1344"/>
      <c r="G1" s="1344"/>
      <c r="H1" s="1344"/>
      <c r="I1" s="1344" t="s">
        <v>56</v>
      </c>
      <c r="J1" s="1344"/>
      <c r="K1" s="1344"/>
      <c r="L1" s="1344"/>
      <c r="M1" s="1344"/>
      <c r="N1" s="29"/>
      <c r="O1" s="1344" t="s">
        <v>55</v>
      </c>
      <c r="P1" s="1344"/>
      <c r="Q1" s="1344"/>
      <c r="R1" s="1344"/>
      <c r="S1" s="1344"/>
      <c r="T1" s="1344" t="s">
        <v>53</v>
      </c>
      <c r="U1" s="1344"/>
      <c r="V1" s="1344"/>
      <c r="W1" s="1344"/>
      <c r="X1" s="1344"/>
      <c r="Y1" s="25" t="s">
        <v>76</v>
      </c>
      <c r="Z1" s="27" t="s">
        <v>75</v>
      </c>
      <c r="AA1" s="1344" t="s">
        <v>52</v>
      </c>
      <c r="AB1" s="1344"/>
      <c r="AC1" s="1344"/>
      <c r="AD1" s="1344"/>
      <c r="AE1" s="1344"/>
      <c r="AF1" s="1344" t="s">
        <v>51</v>
      </c>
      <c r="AG1" s="1344"/>
      <c r="AH1" s="1344"/>
      <c r="AI1" s="1344"/>
      <c r="AJ1" s="1344"/>
      <c r="AK1" s="1345" t="s">
        <v>50</v>
      </c>
      <c r="AL1" s="1345"/>
      <c r="AM1" s="1345"/>
      <c r="AN1" s="1345"/>
      <c r="AO1" s="1345"/>
      <c r="AP1" s="1346" t="s">
        <v>49</v>
      </c>
      <c r="AQ1" s="1346"/>
      <c r="AR1" s="1346"/>
      <c r="AS1" s="1346"/>
      <c r="AT1" s="23"/>
      <c r="AU1" s="23"/>
      <c r="AV1" s="23"/>
      <c r="AW1" s="23"/>
    </row>
    <row r="2" spans="1:49" s="23" customFormat="1" ht="37.5" customHeight="1" x14ac:dyDescent="0.2">
      <c r="A2" s="29" t="s">
        <v>48</v>
      </c>
      <c r="B2" s="29" t="s">
        <v>47</v>
      </c>
      <c r="C2" s="29" t="s">
        <v>46</v>
      </c>
      <c r="D2" s="25">
        <v>1</v>
      </c>
      <c r="E2" s="148">
        <v>2</v>
      </c>
      <c r="F2" s="148">
        <v>3</v>
      </c>
      <c r="G2" s="25">
        <v>4</v>
      </c>
      <c r="H2" s="25">
        <v>5</v>
      </c>
      <c r="I2" s="148">
        <v>1</v>
      </c>
      <c r="J2" s="148">
        <v>2</v>
      </c>
      <c r="K2" s="148">
        <v>3</v>
      </c>
      <c r="L2" s="148">
        <v>4</v>
      </c>
      <c r="M2" s="148">
        <v>5</v>
      </c>
      <c r="N2" s="25" t="s">
        <v>45</v>
      </c>
      <c r="O2" s="29">
        <v>1</v>
      </c>
      <c r="P2" s="29">
        <v>2</v>
      </c>
      <c r="Q2" s="29">
        <v>3</v>
      </c>
      <c r="R2" s="29">
        <v>4</v>
      </c>
      <c r="S2" s="29">
        <v>5</v>
      </c>
      <c r="T2" s="148">
        <v>1</v>
      </c>
      <c r="U2" s="148">
        <v>2</v>
      </c>
      <c r="V2" s="148">
        <v>3</v>
      </c>
      <c r="W2" s="148">
        <v>4</v>
      </c>
      <c r="X2" s="148">
        <v>5</v>
      </c>
      <c r="Y2" s="29"/>
      <c r="Z2" s="27"/>
      <c r="AA2" s="148">
        <v>1</v>
      </c>
      <c r="AB2" s="148">
        <v>2</v>
      </c>
      <c r="AC2" s="148">
        <v>3</v>
      </c>
      <c r="AD2" s="148">
        <v>4</v>
      </c>
      <c r="AE2" s="148">
        <v>5</v>
      </c>
      <c r="AF2" s="148">
        <v>1</v>
      </c>
      <c r="AG2" s="148">
        <v>2</v>
      </c>
      <c r="AH2" s="148">
        <v>3</v>
      </c>
      <c r="AI2" s="148">
        <v>4</v>
      </c>
      <c r="AJ2" s="148">
        <v>5</v>
      </c>
      <c r="AK2" s="148">
        <v>1</v>
      </c>
      <c r="AL2" s="148">
        <v>2</v>
      </c>
      <c r="AM2" s="148">
        <v>3</v>
      </c>
      <c r="AN2" s="148">
        <v>4</v>
      </c>
      <c r="AO2" s="148">
        <v>5</v>
      </c>
      <c r="AP2" s="26" t="s">
        <v>44</v>
      </c>
      <c r="AQ2" s="25" t="s">
        <v>43</v>
      </c>
      <c r="AR2" s="25" t="s">
        <v>42</v>
      </c>
      <c r="AS2" s="25" t="s">
        <v>29</v>
      </c>
    </row>
    <row r="3" spans="1:49" s="13" customFormat="1" ht="12.75" x14ac:dyDescent="0.2">
      <c r="A3" s="20">
        <v>1</v>
      </c>
      <c r="B3" s="20">
        <v>1</v>
      </c>
      <c r="C3" s="20" t="s">
        <v>2</v>
      </c>
      <c r="D3" s="17"/>
      <c r="E3" s="17"/>
      <c r="F3" s="17"/>
      <c r="G3" s="17"/>
      <c r="H3" s="17"/>
      <c r="I3" s="17"/>
      <c r="J3" s="17"/>
      <c r="K3" s="17"/>
      <c r="L3" s="17"/>
      <c r="M3" s="17"/>
      <c r="N3" s="15"/>
      <c r="O3" s="15"/>
      <c r="P3" s="15"/>
      <c r="Q3" s="15"/>
      <c r="R3" s="15"/>
      <c r="S3" s="15"/>
      <c r="T3" s="18"/>
      <c r="U3" s="18"/>
      <c r="V3" s="18"/>
      <c r="W3" s="18"/>
      <c r="X3" s="18"/>
      <c r="Y3" s="18"/>
      <c r="Z3" s="16"/>
      <c r="AA3" s="15"/>
      <c r="AB3" s="15"/>
      <c r="AC3" s="15"/>
      <c r="AD3" s="18"/>
      <c r="AE3" s="18"/>
      <c r="AF3" s="15"/>
      <c r="AG3" s="15"/>
      <c r="AH3" s="15"/>
      <c r="AI3" s="18"/>
      <c r="AJ3" s="18"/>
      <c r="AK3" s="17"/>
      <c r="AL3" s="17"/>
      <c r="AM3" s="17"/>
      <c r="AN3" s="16"/>
      <c r="AO3" s="16"/>
      <c r="AP3" s="17"/>
      <c r="AQ3" s="17"/>
      <c r="AR3" s="17"/>
      <c r="AS3" s="17"/>
      <c r="AT3" s="23"/>
      <c r="AU3" s="23"/>
      <c r="AV3" s="23"/>
      <c r="AW3" s="23"/>
    </row>
    <row r="4" spans="1:49" s="13" customFormat="1" ht="12.75" x14ac:dyDescent="0.2">
      <c r="A4" s="20">
        <v>1</v>
      </c>
      <c r="B4" s="20">
        <v>1</v>
      </c>
      <c r="C4" s="20" t="s">
        <v>41</v>
      </c>
      <c r="D4" s="17"/>
      <c r="E4" s="17"/>
      <c r="F4" s="17"/>
      <c r="G4" s="17"/>
      <c r="H4" s="17"/>
      <c r="I4" s="17"/>
      <c r="J4" s="17"/>
      <c r="K4" s="17"/>
      <c r="L4" s="17"/>
      <c r="M4" s="17"/>
      <c r="N4" s="15"/>
      <c r="O4" s="15"/>
      <c r="P4" s="15"/>
      <c r="Q4" s="15"/>
      <c r="R4" s="15"/>
      <c r="S4" s="15"/>
      <c r="T4" s="18"/>
      <c r="U4" s="18"/>
      <c r="V4" s="18"/>
      <c r="W4" s="18"/>
      <c r="X4" s="18"/>
      <c r="Y4" s="18"/>
      <c r="Z4" s="16"/>
      <c r="AA4" s="15"/>
      <c r="AB4" s="15"/>
      <c r="AC4" s="15"/>
      <c r="AD4" s="18"/>
      <c r="AE4" s="18"/>
      <c r="AF4" s="15"/>
      <c r="AG4" s="15"/>
      <c r="AH4" s="15"/>
      <c r="AI4" s="18"/>
      <c r="AJ4" s="18"/>
      <c r="AK4" s="17"/>
      <c r="AL4" s="17"/>
      <c r="AM4" s="17"/>
      <c r="AN4" s="16"/>
      <c r="AO4" s="16"/>
      <c r="AP4" s="17"/>
      <c r="AQ4" s="17"/>
      <c r="AR4" s="17"/>
      <c r="AS4" s="17"/>
      <c r="AT4" s="23"/>
      <c r="AU4" s="23"/>
      <c r="AV4" s="23"/>
      <c r="AW4" s="23"/>
    </row>
    <row r="5" spans="1:49" s="13" customFormat="1" ht="12.75" x14ac:dyDescent="0.2">
      <c r="A5" s="20">
        <v>1</v>
      </c>
      <c r="B5" s="20">
        <v>1</v>
      </c>
      <c r="C5" s="20" t="s">
        <v>40</v>
      </c>
      <c r="D5" s="17">
        <f>Scenario!AN21</f>
        <v>1.9649930808034388</v>
      </c>
      <c r="E5" s="17">
        <f>Scenario!AO21</f>
        <v>4.4529522496511911</v>
      </c>
      <c r="F5" s="17">
        <f>Scenario!AP21</f>
        <v>7.8472726226809844</v>
      </c>
      <c r="G5" s="17">
        <f>Scenario!AQ21</f>
        <v>13.828957545974617</v>
      </c>
      <c r="H5" s="17">
        <f>Scenario!AR21</f>
        <v>31.338373766435872</v>
      </c>
      <c r="I5" s="17">
        <f>IF((D5+'Non travel METs'!C5)&gt;2.5,(D5+'Non travel METs'!C5),0.1)</f>
        <v>59.764993080803436</v>
      </c>
      <c r="J5" s="17">
        <f>IF((E5+'Non travel METs'!D5)&gt;2.5,(E5+'Non travel METs'!D5),0.1)</f>
        <v>45.45295224965119</v>
      </c>
      <c r="K5" s="17">
        <f>IF((F5+'Non travel METs'!E5)&gt;2.5,(F5+'Non travel METs'!E5),0.1)</f>
        <v>53.347272622680983</v>
      </c>
      <c r="L5" s="17">
        <f>IF((G5+'Non travel METs'!F5)&gt;2.5,(G5+'Non travel METs'!F5),0.1)</f>
        <v>51.753957545974615</v>
      </c>
      <c r="M5" s="17">
        <f>IF((H5+'Non travel METs'!G5)&gt;2.5,(H5+'Non travel METs'!G5),0.1)</f>
        <v>72.338373766435865</v>
      </c>
      <c r="N5" s="19">
        <v>1</v>
      </c>
      <c r="O5" s="15">
        <f>IF(('user page'!$N$39=0),$N5^(I5^0.25),IF(('user page'!$N$39=1),$N5^(I5^0.5),IF(('user page'!$N$39=2),$N5^(I5^0.375),IF(('user page'!$N$39=4),$N5^(I5),IF(('user page'!$N$39=3),$N5^(LN(1+I5)),"")))))</f>
        <v>1</v>
      </c>
      <c r="P5" s="15">
        <f>IF(('user page'!$N$39=0),$N5^(J5^0.25),IF(('user page'!$N$39=1),$N5^(J5^0.5),IF(('user page'!$N$39=2),$N5^(J5^0.375),IF(('user page'!$N$39=4),$N5^(J5),IF(('user page'!$N$39=3),$N5^(LN(1+J5)),"")))))</f>
        <v>1</v>
      </c>
      <c r="Q5" s="15">
        <f>IF(('user page'!$N$39=0),$N5^(K5^0.25),IF(('user page'!$N$39=1),$N5^(K5^0.5),IF(('user page'!$N$39=2),$N5^(K5^0.375),IF(('user page'!$N$39=4),$N5^(K5),IF(('user page'!$N$39=3),$N5^(LN(1+K5)),"")))))</f>
        <v>1</v>
      </c>
      <c r="R5" s="15">
        <f>IF(('user page'!$N$39=0),$N5^(L5^0.25),IF(('user page'!$N$39=1),$N5^(L5^0.5),IF(('user page'!$N$39=2),$N5^(L5^0.375),IF(('user page'!$N$39=4),$N5^(L5),IF(('user page'!$N$39=3),$N5^(LN(1+L5)),"")))))</f>
        <v>1</v>
      </c>
      <c r="S5" s="15">
        <f>IF(('user page'!$N$39=0),$N5^(M5^0.25),IF(('user page'!$N$39=1),$N5^(M5^0.5),IF(('user page'!$N$39=2),$N5^(M5^0.375),IF(('user page'!$N$39=4),$N5^(M5),IF(('user page'!$N$39=3),$N5^(LN(1+M5)),"")))))</f>
        <v>1</v>
      </c>
      <c r="T5" s="18">
        <f t="shared" ref="T5:X10" si="0">O5/$O5</f>
        <v>1</v>
      </c>
      <c r="U5" s="18">
        <f t="shared" si="0"/>
        <v>1</v>
      </c>
      <c r="V5" s="18">
        <f t="shared" si="0"/>
        <v>1</v>
      </c>
      <c r="W5" s="18">
        <f t="shared" si="0"/>
        <v>1</v>
      </c>
      <c r="X5" s="18">
        <f t="shared" si="0"/>
        <v>1</v>
      </c>
      <c r="Y5" s="31">
        <f>1-Z5</f>
        <v>0</v>
      </c>
      <c r="Z5" s="344">
        <f t="shared" ref="Z5:Z10" si="1">SUM(O5:S5)/SUM(O22:S22)</f>
        <v>1</v>
      </c>
      <c r="AA5" s="17">
        <f>Z5*GBDUS!$O5/($T5+$W5+$X5+U5+V5)</f>
        <v>0</v>
      </c>
      <c r="AB5" s="16">
        <f t="shared" ref="AB5:AE10" si="2">$AA5*U5</f>
        <v>0</v>
      </c>
      <c r="AC5" s="16">
        <f t="shared" si="2"/>
        <v>0</v>
      </c>
      <c r="AD5" s="16">
        <f t="shared" si="2"/>
        <v>0</v>
      </c>
      <c r="AE5" s="16">
        <f t="shared" si="2"/>
        <v>0</v>
      </c>
      <c r="AF5" s="17">
        <f>Z5*GBDUS!$P5/($T5+$W5+$X5+U5+V5)</f>
        <v>0</v>
      </c>
      <c r="AG5" s="16">
        <f t="shared" ref="AG5:AJ10" si="3">$AF5*U5</f>
        <v>0</v>
      </c>
      <c r="AH5" s="16">
        <f t="shared" si="3"/>
        <v>0</v>
      </c>
      <c r="AI5" s="16">
        <f t="shared" si="3"/>
        <v>0</v>
      </c>
      <c r="AJ5" s="16">
        <f t="shared" si="3"/>
        <v>0</v>
      </c>
      <c r="AK5" s="17">
        <f>Z5*GBDUS!$Q5/($T5+$W5+$X5+U5+V5)</f>
        <v>0</v>
      </c>
      <c r="AL5" s="16">
        <f t="shared" ref="AL5:AO10" si="4">$AK5*U5</f>
        <v>0</v>
      </c>
      <c r="AM5" s="16">
        <f t="shared" si="4"/>
        <v>0</v>
      </c>
      <c r="AN5" s="16">
        <f t="shared" si="4"/>
        <v>0</v>
      </c>
      <c r="AO5" s="16">
        <f t="shared" si="4"/>
        <v>0</v>
      </c>
      <c r="AP5" s="17">
        <f>AA5+AB5+AE5+AC5+AD5-AC22-AD22-AA22-AB22-AE22</f>
        <v>0</v>
      </c>
      <c r="AQ5" s="17">
        <f>AF5+AG5+AJ5+AH5+AI5-AH22-AI22-AG22-AJ22-AF22</f>
        <v>0</v>
      </c>
      <c r="AR5" s="17">
        <f>AK5+AL5+AO5-AK22+AM5+AN5-AM22-AN22-AL22-AO22</f>
        <v>0</v>
      </c>
      <c r="AS5" s="17">
        <f t="shared" ref="AS5:AS10" si="5">AQ5+AR5</f>
        <v>0</v>
      </c>
      <c r="AT5" s="23"/>
      <c r="AU5" s="23"/>
      <c r="AV5" s="23"/>
      <c r="AW5" s="23"/>
    </row>
    <row r="6" spans="1:49" s="13" customFormat="1" ht="12.75" x14ac:dyDescent="0.2">
      <c r="A6" s="20">
        <v>1</v>
      </c>
      <c r="B6" s="20">
        <v>1</v>
      </c>
      <c r="C6" s="20" t="s">
        <v>39</v>
      </c>
      <c r="D6" s="17">
        <f>Scenario!AN22</f>
        <v>1.1398546847573734</v>
      </c>
      <c r="E6" s="17">
        <f>Scenario!AO22</f>
        <v>2.5830719366657791</v>
      </c>
      <c r="F6" s="17">
        <f>Scenario!AP22</f>
        <v>4.5520518870600304</v>
      </c>
      <c r="G6" s="17">
        <f>Scenario!AQ22</f>
        <v>8.0219122388181017</v>
      </c>
      <c r="H6" s="17">
        <f>Scenario!AR22</f>
        <v>18.178787752140046</v>
      </c>
      <c r="I6" s="17">
        <f>IF((D6+'Non travel METs'!C6)&gt;2.5,(D6+'Non travel METs'!C6),0.1)</f>
        <v>52.389854684757374</v>
      </c>
      <c r="J6" s="17">
        <f>IF((E6+'Non travel METs'!D6)&gt;2.5,(E6+'Non travel METs'!D6),0.1)</f>
        <v>53.833071936665782</v>
      </c>
      <c r="K6" s="17">
        <f>IF((F6+'Non travel METs'!E6)&gt;2.5,(F6+'Non travel METs'!E6),0.1)</f>
        <v>69.302051887060031</v>
      </c>
      <c r="L6" s="17">
        <f>IF((G6+'Non travel METs'!F6)&gt;2.5,(G6+'Non travel METs'!F6),0.1)</f>
        <v>54.146912238818103</v>
      </c>
      <c r="M6" s="17">
        <f>IF((H6+'Non travel METs'!G6)&gt;2.5,(H6+'Non travel METs'!G6),0.1)</f>
        <v>62.978787752140043</v>
      </c>
      <c r="N6" s="19">
        <v>1</v>
      </c>
      <c r="O6" s="15">
        <f>IF(('user page'!$N$39=0),$N6^(I6^0.25),IF(('user page'!$N$39=1),$N6^(I6^0.5),IF(('user page'!$N$39=2),$N6^(I6^0.375),IF(('user page'!$N$39=4),$N6^(I6),IF(('user page'!$N$39=3),$N6^(LN(1+I6)),"")))))</f>
        <v>1</v>
      </c>
      <c r="P6" s="15">
        <f>IF(('user page'!$N$39=0),$N6^(J6^0.25),IF(('user page'!$N$39=1),$N6^(J6^0.5),IF(('user page'!$N$39=2),$N6^(J6^0.375),IF(('user page'!$N$39=4),$N6^(J6),IF(('user page'!$N$39=3),$N6^(LN(1+J6)),"")))))</f>
        <v>1</v>
      </c>
      <c r="Q6" s="15">
        <f>IF(('user page'!$N$39=0),$N6^(K6^0.25),IF(('user page'!$N$39=1),$N6^(K6^0.5),IF(('user page'!$N$39=2),$N6^(K6^0.375),IF(('user page'!$N$39=4),$N6^(K6),IF(('user page'!$N$39=3),$N6^(LN(1+K6)),"")))))</f>
        <v>1</v>
      </c>
      <c r="R6" s="15">
        <f>IF(('user page'!$N$39=0),$N6^(L6^0.25),IF(('user page'!$N$39=1),$N6^(L6^0.5),IF(('user page'!$N$39=2),$N6^(L6^0.375),IF(('user page'!$N$39=4),$N6^(L6),IF(('user page'!$N$39=3),$N6^(LN(1+L6)),"")))))</f>
        <v>1</v>
      </c>
      <c r="S6" s="15">
        <f>IF(('user page'!$N$39=0),$N6^(M6^0.25),IF(('user page'!$N$39=1),$N6^(M6^0.5),IF(('user page'!$N$39=2),$N6^(M6^0.375),IF(('user page'!$N$39=4),$N6^(M6),IF(('user page'!$N$39=3),$N6^(LN(1+M6)),"")))))</f>
        <v>1</v>
      </c>
      <c r="T6" s="18">
        <f t="shared" si="0"/>
        <v>1</v>
      </c>
      <c r="U6" s="18">
        <f t="shared" si="0"/>
        <v>1</v>
      </c>
      <c r="V6" s="18">
        <f t="shared" si="0"/>
        <v>1</v>
      </c>
      <c r="W6" s="18">
        <f t="shared" si="0"/>
        <v>1</v>
      </c>
      <c r="X6" s="18">
        <f t="shared" si="0"/>
        <v>1</v>
      </c>
      <c r="Y6" s="31">
        <f t="shared" ref="Y6:Y18" si="6">1-Z6</f>
        <v>0</v>
      </c>
      <c r="Z6" s="344">
        <f t="shared" si="1"/>
        <v>1</v>
      </c>
      <c r="AA6" s="17">
        <f>Z6*GBDUS!$O6/($T6+$W6+$X6+U6+V6)</f>
        <v>0</v>
      </c>
      <c r="AB6" s="16">
        <f t="shared" si="2"/>
        <v>0</v>
      </c>
      <c r="AC6" s="16">
        <f t="shared" si="2"/>
        <v>0</v>
      </c>
      <c r="AD6" s="16">
        <f t="shared" si="2"/>
        <v>0</v>
      </c>
      <c r="AE6" s="16">
        <f t="shared" si="2"/>
        <v>0</v>
      </c>
      <c r="AF6" s="17">
        <f>Z6*GBDUS!$P6/($T6+$W6+$X6+U6+V6)</f>
        <v>0</v>
      </c>
      <c r="AG6" s="16">
        <f t="shared" si="3"/>
        <v>0</v>
      </c>
      <c r="AH6" s="16">
        <f t="shared" si="3"/>
        <v>0</v>
      </c>
      <c r="AI6" s="16">
        <f t="shared" si="3"/>
        <v>0</v>
      </c>
      <c r="AJ6" s="16">
        <f t="shared" si="3"/>
        <v>0</v>
      </c>
      <c r="AK6" s="17">
        <f>Z6*GBDUS!$Q6/($T6+$W6+$X6+U6+V6)</f>
        <v>0</v>
      </c>
      <c r="AL6" s="16">
        <f t="shared" si="4"/>
        <v>0</v>
      </c>
      <c r="AM6" s="16">
        <f t="shared" si="4"/>
        <v>0</v>
      </c>
      <c r="AN6" s="16">
        <f t="shared" si="4"/>
        <v>0</v>
      </c>
      <c r="AO6" s="16">
        <f t="shared" si="4"/>
        <v>0</v>
      </c>
      <c r="AP6" s="17">
        <f t="shared" ref="AP6:AP18" si="7">AA6+AB6+AE6+AC6+AD6-AC23-AD23-AA23-AB23-AE23</f>
        <v>0</v>
      </c>
      <c r="AQ6" s="17">
        <f t="shared" ref="AQ6:AQ18" si="8">AF6+AG6+AJ6+AH6+AI6-AH23-AI23-AG23-AJ23-AF23</f>
        <v>0</v>
      </c>
      <c r="AR6" s="17">
        <f t="shared" ref="AR6:AR18" si="9">AK6+AL6+AO6-AK23+AM6+AN6-AM23-AN23-AL23-AO23</f>
        <v>0</v>
      </c>
      <c r="AS6" s="17">
        <f t="shared" si="5"/>
        <v>0</v>
      </c>
      <c r="AT6" s="23"/>
      <c r="AU6" s="23"/>
      <c r="AV6" s="23"/>
      <c r="AW6" s="23"/>
    </row>
    <row r="7" spans="1:49" s="13" customFormat="1" ht="12.75" x14ac:dyDescent="0.2">
      <c r="A7" s="20">
        <v>1</v>
      </c>
      <c r="B7" s="20">
        <v>1</v>
      </c>
      <c r="C7" s="20" t="s">
        <v>38</v>
      </c>
      <c r="D7" s="17">
        <f>Scenario!AN23</f>
        <v>1.1455500772835505</v>
      </c>
      <c r="E7" s="17">
        <f>Scenario!AO23</f>
        <v>2.5959785016862105</v>
      </c>
      <c r="F7" s="17">
        <f>Scenario!AP23</f>
        <v>4.5747966479870366</v>
      </c>
      <c r="G7" s="17">
        <f>Scenario!AQ23</f>
        <v>8.0619944875657499</v>
      </c>
      <c r="H7" s="17">
        <f>Scenario!AR23</f>
        <v>18.269619797034032</v>
      </c>
      <c r="I7" s="17">
        <f>IF((D7+'Non travel METs'!C7)&gt;2.5,(D7+'Non travel METs'!C7),0.1)</f>
        <v>59.420550077283551</v>
      </c>
      <c r="J7" s="17">
        <f>IF((E7+'Non travel METs'!D7)&gt;2.5,(E7+'Non travel METs'!D7),0.1)</f>
        <v>64.095978501686204</v>
      </c>
      <c r="K7" s="17">
        <f>IF((F7+'Non travel METs'!E7)&gt;2.5,(F7+'Non travel METs'!E7),0.1)</f>
        <v>58.299796647987037</v>
      </c>
      <c r="L7" s="17">
        <f>IF((G7+'Non travel METs'!F7)&gt;2.5,(G7+'Non travel METs'!F7),0.1)</f>
        <v>60.261994487565751</v>
      </c>
      <c r="M7" s="17">
        <f>IF((H7+'Non travel METs'!G7)&gt;2.5,(H7+'Non travel METs'!G7),0.1)</f>
        <v>64.969619797034028</v>
      </c>
      <c r="N7" s="19">
        <v>1</v>
      </c>
      <c r="O7" s="15">
        <f>IF(('user page'!$N$39=0),$N7^(I7^0.25),IF(('user page'!$N$39=1),$N7^(I7^0.5),IF(('user page'!$N$39=2),$N7^(I7^0.375),IF(('user page'!$N$39=4),$N7^(I7),IF(('user page'!$N$39=3),$N7^(LN(1+I7)),"")))))</f>
        <v>1</v>
      </c>
      <c r="P7" s="15">
        <f>IF(('user page'!$N$39=0),$N7^(J7^0.25),IF(('user page'!$N$39=1),$N7^(J7^0.5),IF(('user page'!$N$39=2),$N7^(J7^0.375),IF(('user page'!$N$39=4),$N7^(J7),IF(('user page'!$N$39=3),$N7^(LN(1+J7)),"")))))</f>
        <v>1</v>
      </c>
      <c r="Q7" s="15">
        <f>IF(('user page'!$N$39=0),$N7^(K7^0.25),IF(('user page'!$N$39=1),$N7^(K7^0.5),IF(('user page'!$N$39=2),$N7^(K7^0.375),IF(('user page'!$N$39=4),$N7^(K7),IF(('user page'!$N$39=3),$N7^(LN(1+K7)),"")))))</f>
        <v>1</v>
      </c>
      <c r="R7" s="15">
        <f>IF(('user page'!$N$39=0),$N7^(L7^0.25),IF(('user page'!$N$39=1),$N7^(L7^0.5),IF(('user page'!$N$39=2),$N7^(L7^0.375),IF(('user page'!$N$39=4),$N7^(L7),IF(('user page'!$N$39=3),$N7^(LN(1+L7)),"")))))</f>
        <v>1</v>
      </c>
      <c r="S7" s="15">
        <f>IF(('user page'!$N$39=0),$N7^(M7^0.25),IF(('user page'!$N$39=1),$N7^(M7^0.5),IF(('user page'!$N$39=2),$N7^(M7^0.375),IF(('user page'!$N$39=4),$N7^(M7),IF(('user page'!$N$39=3),$N7^(LN(1+M7)),"")))))</f>
        <v>1</v>
      </c>
      <c r="T7" s="18">
        <f t="shared" si="0"/>
        <v>1</v>
      </c>
      <c r="U7" s="18">
        <f t="shared" si="0"/>
        <v>1</v>
      </c>
      <c r="V7" s="18">
        <f t="shared" si="0"/>
        <v>1</v>
      </c>
      <c r="W7" s="18">
        <f t="shared" si="0"/>
        <v>1</v>
      </c>
      <c r="X7" s="18">
        <f t="shared" si="0"/>
        <v>1</v>
      </c>
      <c r="Y7" s="31">
        <f t="shared" si="6"/>
        <v>0</v>
      </c>
      <c r="Z7" s="344">
        <f t="shared" si="1"/>
        <v>1</v>
      </c>
      <c r="AA7" s="17">
        <f>Z7*GBDUS!$O7/($T7+$W7+$X7+U7+V7)</f>
        <v>3.3071493624772319E-4</v>
      </c>
      <c r="AB7" s="16">
        <f t="shared" si="2"/>
        <v>3.3071493624772319E-4</v>
      </c>
      <c r="AC7" s="16">
        <f t="shared" si="2"/>
        <v>3.3071493624772319E-4</v>
      </c>
      <c r="AD7" s="16">
        <f t="shared" si="2"/>
        <v>3.3071493624772319E-4</v>
      </c>
      <c r="AE7" s="16">
        <f t="shared" si="2"/>
        <v>3.3071493624772319E-4</v>
      </c>
      <c r="AF7" s="17">
        <f>Z7*GBDUS!$P7/($T7+$W7+$X7+U7+V7)</f>
        <v>4.9320671475690612E-3</v>
      </c>
      <c r="AG7" s="16">
        <f t="shared" si="3"/>
        <v>4.9320671475690612E-3</v>
      </c>
      <c r="AH7" s="16">
        <f t="shared" si="3"/>
        <v>4.9320671475690612E-3</v>
      </c>
      <c r="AI7" s="16">
        <f t="shared" si="3"/>
        <v>4.9320671475690612E-3</v>
      </c>
      <c r="AJ7" s="16">
        <f t="shared" si="3"/>
        <v>4.9320671475690612E-3</v>
      </c>
      <c r="AK7" s="17">
        <f>Z7*GBDUS!$Q7/($T7+$W7+$X7+U7+V7)</f>
        <v>0</v>
      </c>
      <c r="AL7" s="16">
        <f t="shared" si="4"/>
        <v>0</v>
      </c>
      <c r="AM7" s="16">
        <f t="shared" si="4"/>
        <v>0</v>
      </c>
      <c r="AN7" s="16">
        <f t="shared" si="4"/>
        <v>0</v>
      </c>
      <c r="AO7" s="16">
        <f t="shared" si="4"/>
        <v>0</v>
      </c>
      <c r="AP7" s="17">
        <f t="shared" si="7"/>
        <v>0</v>
      </c>
      <c r="AQ7" s="17">
        <f t="shared" si="8"/>
        <v>0</v>
      </c>
      <c r="AR7" s="17">
        <f t="shared" si="9"/>
        <v>0</v>
      </c>
      <c r="AS7" s="17">
        <f t="shared" si="5"/>
        <v>0</v>
      </c>
      <c r="AT7" s="23"/>
      <c r="AU7" s="23"/>
      <c r="AV7" s="23"/>
      <c r="AW7" s="23"/>
    </row>
    <row r="8" spans="1:49" s="13" customFormat="1" ht="12.75" x14ac:dyDescent="0.2">
      <c r="A8" s="20">
        <v>1</v>
      </c>
      <c r="B8" s="20">
        <v>1</v>
      </c>
      <c r="C8" s="20" t="s">
        <v>37</v>
      </c>
      <c r="D8" s="17">
        <f>Scenario!AN24</f>
        <v>1.038575484693584</v>
      </c>
      <c r="E8" s="17">
        <f>Scenario!AO24</f>
        <v>2.3535589443948219</v>
      </c>
      <c r="F8" s="17">
        <f>Scenario!AP24</f>
        <v>4.1475896517107627</v>
      </c>
      <c r="G8" s="17">
        <f>Scenario!AQ24</f>
        <v>7.3091434399581363</v>
      </c>
      <c r="H8" s="17">
        <f>Scenario!AR24</f>
        <v>16.563552839930118</v>
      </c>
      <c r="I8" s="17">
        <f>IF((D8+'Non travel METs'!C8)&gt;2.5,(D8+'Non travel METs'!C8),0.1)</f>
        <v>42.038575484693581</v>
      </c>
      <c r="J8" s="17">
        <f>IF((E8+'Non travel METs'!D8)&gt;2.5,(E8+'Non travel METs'!D8),0.1)</f>
        <v>33.60355894439482</v>
      </c>
      <c r="K8" s="17">
        <f>IF((F8+'Non travel METs'!E8)&gt;2.5,(F8+'Non travel METs'!E8),0.1)</f>
        <v>48.23092298504406</v>
      </c>
      <c r="L8" s="17">
        <f>IF((G8+'Non travel METs'!F8)&gt;2.5,(G8+'Non travel METs'!F8),0.1)</f>
        <v>49.809143439958135</v>
      </c>
      <c r="M8" s="17">
        <f>IF((H8+'Non travel METs'!G8)&gt;2.5,(H8+'Non travel METs'!G8),0.1)</f>
        <v>49.363552839930115</v>
      </c>
      <c r="N8" s="19">
        <v>1</v>
      </c>
      <c r="O8" s="15">
        <f>IF(('user page'!$N$39=0),$N8^(I8^0.25),IF(('user page'!$N$39=1),$N8^(I8^0.5),IF(('user page'!$N$39=2),$N8^(I8^0.375),IF(('user page'!$N$39=4),$N8^(I8),IF(('user page'!$N$39=3),$N8^(LN(1+I8)),"")))))</f>
        <v>1</v>
      </c>
      <c r="P8" s="15">
        <f>IF(('user page'!$N$39=0),$N8^(J8^0.25),IF(('user page'!$N$39=1),$N8^(J8^0.5),IF(('user page'!$N$39=2),$N8^(J8^0.375),IF(('user page'!$N$39=4),$N8^(J8),IF(('user page'!$N$39=3),$N8^(LN(1+J8)),"")))))</f>
        <v>1</v>
      </c>
      <c r="Q8" s="15">
        <f>IF(('user page'!$N$39=0),$N8^(K8^0.25),IF(('user page'!$N$39=1),$N8^(K8^0.5),IF(('user page'!$N$39=2),$N8^(K8^0.375),IF(('user page'!$N$39=4),$N8^(K8),IF(('user page'!$N$39=3),$N8^(LN(1+K8)),"")))))</f>
        <v>1</v>
      </c>
      <c r="R8" s="15">
        <f>IF(('user page'!$N$39=0),$N8^(L8^0.25),IF(('user page'!$N$39=1),$N8^(L8^0.5),IF(('user page'!$N$39=2),$N8^(L8^0.375),IF(('user page'!$N$39=4),$N8^(L8),IF(('user page'!$N$39=3),$N8^(LN(1+L8)),"")))))</f>
        <v>1</v>
      </c>
      <c r="S8" s="15">
        <f>IF(('user page'!$N$39=0),$N8^(M8^0.25),IF(('user page'!$N$39=1),$N8^(M8^0.5),IF(('user page'!$N$39=2),$N8^(M8^0.375),IF(('user page'!$N$39=4),$N8^(M8),IF(('user page'!$N$39=3),$N8^(LN(1+M8)),"")))))</f>
        <v>1</v>
      </c>
      <c r="T8" s="18">
        <f t="shared" si="0"/>
        <v>1</v>
      </c>
      <c r="U8" s="18">
        <f t="shared" si="0"/>
        <v>1</v>
      </c>
      <c r="V8" s="18">
        <f t="shared" si="0"/>
        <v>1</v>
      </c>
      <c r="W8" s="18">
        <f t="shared" si="0"/>
        <v>1</v>
      </c>
      <c r="X8" s="18">
        <f t="shared" si="0"/>
        <v>1</v>
      </c>
      <c r="Y8" s="31">
        <f t="shared" si="6"/>
        <v>0</v>
      </c>
      <c r="Z8" s="344">
        <f t="shared" si="1"/>
        <v>1</v>
      </c>
      <c r="AA8" s="17">
        <f>Z8*GBDUS!$O8/($T8+$W8+$X8+U8+V8)</f>
        <v>0</v>
      </c>
      <c r="AB8" s="16">
        <f t="shared" si="2"/>
        <v>0</v>
      </c>
      <c r="AC8" s="16">
        <f t="shared" si="2"/>
        <v>0</v>
      </c>
      <c r="AD8" s="16">
        <f t="shared" si="2"/>
        <v>0</v>
      </c>
      <c r="AE8" s="16">
        <f t="shared" si="2"/>
        <v>0</v>
      </c>
      <c r="AF8" s="17">
        <f>Z8*GBDUS!$P8/($T8+$W8+$X8+U8+V8)</f>
        <v>0</v>
      </c>
      <c r="AG8" s="16">
        <f t="shared" si="3"/>
        <v>0</v>
      </c>
      <c r="AH8" s="16">
        <f t="shared" si="3"/>
        <v>0</v>
      </c>
      <c r="AI8" s="16">
        <f t="shared" si="3"/>
        <v>0</v>
      </c>
      <c r="AJ8" s="16">
        <f t="shared" si="3"/>
        <v>0</v>
      </c>
      <c r="AK8" s="17">
        <f>Z8*GBDUS!$Q8/($T8+$W8+$X8+U8+V8)</f>
        <v>0</v>
      </c>
      <c r="AL8" s="16">
        <f t="shared" si="4"/>
        <v>0</v>
      </c>
      <c r="AM8" s="16">
        <f t="shared" si="4"/>
        <v>0</v>
      </c>
      <c r="AN8" s="16">
        <f t="shared" si="4"/>
        <v>0</v>
      </c>
      <c r="AO8" s="16">
        <f t="shared" si="4"/>
        <v>0</v>
      </c>
      <c r="AP8" s="17">
        <f t="shared" si="7"/>
        <v>0</v>
      </c>
      <c r="AQ8" s="17">
        <f t="shared" si="8"/>
        <v>0</v>
      </c>
      <c r="AR8" s="17">
        <f t="shared" si="9"/>
        <v>0</v>
      </c>
      <c r="AS8" s="17">
        <f t="shared" si="5"/>
        <v>0</v>
      </c>
      <c r="AT8" s="23"/>
      <c r="AU8" s="23"/>
      <c r="AV8" s="23"/>
      <c r="AW8" s="23"/>
    </row>
    <row r="9" spans="1:49" s="13" customFormat="1" ht="12.75" x14ac:dyDescent="0.2">
      <c r="A9" s="20">
        <v>1</v>
      </c>
      <c r="B9" s="20">
        <v>1</v>
      </c>
      <c r="C9" s="20" t="s">
        <v>36</v>
      </c>
      <c r="D9" s="17">
        <f>Scenario!AN25</f>
        <v>0.98635345122951901</v>
      </c>
      <c r="E9" s="17">
        <f>Scenario!AO25</f>
        <v>2.2352164302827178</v>
      </c>
      <c r="F9" s="17">
        <f>Scenario!AP25</f>
        <v>3.939039027534657</v>
      </c>
      <c r="G9" s="17">
        <f>Scenario!AQ25</f>
        <v>6.9416224085641023</v>
      </c>
      <c r="H9" s="17">
        <f>Scenario!AR25</f>
        <v>15.730698200629787</v>
      </c>
      <c r="I9" s="17">
        <f>IF((D9+'Non travel METs'!C9)&gt;2.5,(D9+'Non travel METs'!C9),0.1)</f>
        <v>5.3613534512295189</v>
      </c>
      <c r="J9" s="17">
        <f>IF((E9+'Non travel METs'!D9)&gt;2.5,(E9+'Non travel METs'!D9),0.1)</f>
        <v>7.2352164302827173</v>
      </c>
      <c r="K9" s="17">
        <f>IF((F9+'Non travel METs'!E9)&gt;2.5,(F9+'Non travel METs'!E9),0.1)</f>
        <v>12.272372360867987</v>
      </c>
      <c r="L9" s="17">
        <f>IF((G9+'Non travel METs'!F9)&gt;2.5,(G9+'Non travel METs'!F9),0.1)</f>
        <v>10.691622408564102</v>
      </c>
      <c r="M9" s="17">
        <f>IF((H9+'Non travel METs'!G9)&gt;2.5,(H9+'Non travel METs'!G9),0.1)</f>
        <v>28.855698200629789</v>
      </c>
      <c r="N9" s="19">
        <v>1</v>
      </c>
      <c r="O9" s="15">
        <f>IF(('user page'!$N$39=0),$N9^(I9^0.25),IF(('user page'!$N$39=1),$N9^(I9^0.5),IF(('user page'!$N$39=2),$N9^(I9^0.375),IF(('user page'!$N$39=4),$N9^(I9),IF(('user page'!$N$39=3),$N9^(LN(1+I9)),"")))))</f>
        <v>1</v>
      </c>
      <c r="P9" s="15">
        <f>IF(('user page'!$N$39=0),$N9^(J9^0.25),IF(('user page'!$N$39=1),$N9^(J9^0.5),IF(('user page'!$N$39=2),$N9^(J9^0.375),IF(('user page'!$N$39=4),$N9^(J9),IF(('user page'!$N$39=3),$N9^(LN(1+J9)),"")))))</f>
        <v>1</v>
      </c>
      <c r="Q9" s="15">
        <f>IF(('user page'!$N$39=0),$N9^(K9^0.25),IF(('user page'!$N$39=1),$N9^(K9^0.5),IF(('user page'!$N$39=2),$N9^(K9^0.375),IF(('user page'!$N$39=4),$N9^(K9),IF(('user page'!$N$39=3),$N9^(LN(1+K9)),"")))))</f>
        <v>1</v>
      </c>
      <c r="R9" s="15">
        <f>IF(('user page'!$N$39=0),$N9^(L9^0.25),IF(('user page'!$N$39=1),$N9^(L9^0.5),IF(('user page'!$N$39=2),$N9^(L9^0.375),IF(('user page'!$N$39=4),$N9^(L9),IF(('user page'!$N$39=3),$N9^(LN(1+L9)),"")))))</f>
        <v>1</v>
      </c>
      <c r="S9" s="15">
        <f>IF(('user page'!$N$39=0),$N9^(M9^0.25),IF(('user page'!$N$39=1),$N9^(M9^0.5),IF(('user page'!$N$39=2),$N9^(M9^0.375),IF(('user page'!$N$39=4),$N9^(M9),IF(('user page'!$N$39=3),$N9^(LN(1+M9)),"")))))</f>
        <v>1</v>
      </c>
      <c r="T9" s="18">
        <f t="shared" si="0"/>
        <v>1</v>
      </c>
      <c r="U9" s="18">
        <f t="shared" si="0"/>
        <v>1</v>
      </c>
      <c r="V9" s="18">
        <f t="shared" si="0"/>
        <v>1</v>
      </c>
      <c r="W9" s="18">
        <f t="shared" si="0"/>
        <v>1</v>
      </c>
      <c r="X9" s="18">
        <f t="shared" si="0"/>
        <v>1</v>
      </c>
      <c r="Y9" s="31">
        <f t="shared" si="6"/>
        <v>0</v>
      </c>
      <c r="Z9" s="344">
        <f t="shared" si="1"/>
        <v>1</v>
      </c>
      <c r="AA9" s="17">
        <f>Z9*GBDUS!$O9/($T9+$W9+$X9+U9+V9)</f>
        <v>4.2089639925171229E-4</v>
      </c>
      <c r="AB9" s="16">
        <f t="shared" si="2"/>
        <v>4.2089639925171229E-4</v>
      </c>
      <c r="AC9" s="16">
        <f t="shared" si="2"/>
        <v>4.2089639925171229E-4</v>
      </c>
      <c r="AD9" s="16">
        <f t="shared" si="2"/>
        <v>4.2089639925171229E-4</v>
      </c>
      <c r="AE9" s="16">
        <f t="shared" si="2"/>
        <v>4.2089639925171229E-4</v>
      </c>
      <c r="AF9" s="17">
        <f>Z9*GBDUS!$P9/($T9+$W9+$X9+U9+V9)</f>
        <v>3.2925637539317478E-3</v>
      </c>
      <c r="AG9" s="16">
        <f t="shared" si="3"/>
        <v>3.2925637539317478E-3</v>
      </c>
      <c r="AH9" s="16">
        <f t="shared" si="3"/>
        <v>3.2925637539317478E-3</v>
      </c>
      <c r="AI9" s="16">
        <f t="shared" si="3"/>
        <v>3.2925637539317478E-3</v>
      </c>
      <c r="AJ9" s="16">
        <f t="shared" si="3"/>
        <v>3.2925637539317478E-3</v>
      </c>
      <c r="AK9" s="17">
        <f>Z9*GBDUS!$Q9/($T9+$W9+$X9+U9+V9)</f>
        <v>0</v>
      </c>
      <c r="AL9" s="16">
        <f t="shared" si="4"/>
        <v>0</v>
      </c>
      <c r="AM9" s="16">
        <f t="shared" si="4"/>
        <v>0</v>
      </c>
      <c r="AN9" s="16">
        <f t="shared" si="4"/>
        <v>0</v>
      </c>
      <c r="AO9" s="16">
        <f t="shared" si="4"/>
        <v>0</v>
      </c>
      <c r="AP9" s="17">
        <f t="shared" si="7"/>
        <v>0</v>
      </c>
      <c r="AQ9" s="17">
        <f t="shared" si="8"/>
        <v>0</v>
      </c>
      <c r="AR9" s="17">
        <f t="shared" si="9"/>
        <v>0</v>
      </c>
      <c r="AS9" s="17">
        <f t="shared" si="5"/>
        <v>0</v>
      </c>
      <c r="AT9" s="23"/>
      <c r="AU9" s="23"/>
      <c r="AV9" s="23"/>
      <c r="AW9" s="23"/>
    </row>
    <row r="10" spans="1:49" s="13" customFormat="1" ht="12.75" x14ac:dyDescent="0.2">
      <c r="A10" s="20">
        <v>1</v>
      </c>
      <c r="B10" s="20">
        <v>1</v>
      </c>
      <c r="C10" s="20" t="s">
        <v>35</v>
      </c>
      <c r="D10" s="17">
        <f>Scenario!AN26</f>
        <v>0.79357227183824619</v>
      </c>
      <c r="E10" s="17">
        <f>Scenario!AO26</f>
        <v>1.7983470108190212</v>
      </c>
      <c r="F10" s="17">
        <f>Scenario!AP26</f>
        <v>3.1691602498512577</v>
      </c>
      <c r="G10" s="17">
        <f>Scenario!AQ26</f>
        <v>5.5848935877303978</v>
      </c>
      <c r="H10" s="17">
        <f>Scenario!AR26</f>
        <v>12.656158796945045</v>
      </c>
      <c r="I10" s="17">
        <f>IF((D10+'Non travel METs'!C10)&gt;2.5,(D10+'Non travel METs'!C10),0.1)</f>
        <v>0.1</v>
      </c>
      <c r="J10" s="17">
        <f>IF((E10+'Non travel METs'!D10)&gt;2.5,(E10+'Non travel METs'!D10),0.1)</f>
        <v>11.798347010819022</v>
      </c>
      <c r="K10" s="17">
        <f>IF((F10+'Non travel METs'!E10)&gt;2.5,(F10+'Non travel METs'!E10),0.1)</f>
        <v>6.9191602498512577</v>
      </c>
      <c r="L10" s="17">
        <f>IF((G10+'Non travel METs'!F10)&gt;2.5,(G10+'Non travel METs'!F10),0.1)</f>
        <v>10.793226921063727</v>
      </c>
      <c r="M10" s="17">
        <f>IF((H10+'Non travel METs'!G10)&gt;2.5,(H10+'Non travel METs'!G10),0.1)</f>
        <v>12.656158796945045</v>
      </c>
      <c r="N10" s="19">
        <v>1</v>
      </c>
      <c r="O10" s="15">
        <f>IF(('user page'!$N$39=0),$N10^(I10^0.25),IF(('user page'!$N$39=1),$N10^(I10^0.5),IF(('user page'!$N$39=2),$N10^(I10^0.375),IF(('user page'!$N$39=4),$N10^(I10),IF(('user page'!$N$39=3),$N10^(LN(1+I10)),"")))))</f>
        <v>1</v>
      </c>
      <c r="P10" s="15">
        <f>IF(('user page'!$N$39=0),$N10^(J10^0.25),IF(('user page'!$N$39=1),$N10^(J10^0.5),IF(('user page'!$N$39=2),$N10^(J10^0.375),IF(('user page'!$N$39=4),$N10^(J10),IF(('user page'!$N$39=3),$N10^(LN(1+J10)),"")))))</f>
        <v>1</v>
      </c>
      <c r="Q10" s="15">
        <f>IF(('user page'!$N$39=0),$N10^(K10^0.25),IF(('user page'!$N$39=1),$N10^(K10^0.5),IF(('user page'!$N$39=2),$N10^(K10^0.375),IF(('user page'!$N$39=4),$N10^(K10),IF(('user page'!$N$39=3),$N10^(LN(1+K10)),"")))))</f>
        <v>1</v>
      </c>
      <c r="R10" s="15">
        <f>IF(('user page'!$N$39=0),$N10^(L10^0.25),IF(('user page'!$N$39=1),$N10^(L10^0.5),IF(('user page'!$N$39=2),$N10^(L10^0.375),IF(('user page'!$N$39=4),$N10^(L10),IF(('user page'!$N$39=3),$N10^(LN(1+L10)),"")))))</f>
        <v>1</v>
      </c>
      <c r="S10" s="15">
        <f>IF(('user page'!$N$39=0),$N10^(M10^0.25),IF(('user page'!$N$39=1),$N10^(M10^0.5),IF(('user page'!$N$39=2),$N10^(M10^0.375),IF(('user page'!$N$39=4),$N10^(M10),IF(('user page'!$N$39=3),$N10^(LN(1+M10)),"")))))</f>
        <v>1</v>
      </c>
      <c r="T10" s="18">
        <f t="shared" si="0"/>
        <v>1</v>
      </c>
      <c r="U10" s="18">
        <f t="shared" si="0"/>
        <v>1</v>
      </c>
      <c r="V10" s="18">
        <f t="shared" si="0"/>
        <v>1</v>
      </c>
      <c r="W10" s="18">
        <f t="shared" si="0"/>
        <v>1</v>
      </c>
      <c r="X10" s="18">
        <f t="shared" si="0"/>
        <v>1</v>
      </c>
      <c r="Y10" s="31">
        <f t="shared" si="6"/>
        <v>0</v>
      </c>
      <c r="Z10" s="344">
        <f t="shared" si="1"/>
        <v>1</v>
      </c>
      <c r="AA10" s="17">
        <f>Z10*GBDUS!$O10/($T10+$W10+$X10+U10+V10)</f>
        <v>4.8768333308210621E-4</v>
      </c>
      <c r="AB10" s="16">
        <f t="shared" si="2"/>
        <v>4.8768333308210621E-4</v>
      </c>
      <c r="AC10" s="16">
        <f t="shared" si="2"/>
        <v>4.8768333308210621E-4</v>
      </c>
      <c r="AD10" s="16">
        <f t="shared" si="2"/>
        <v>4.8768333308210621E-4</v>
      </c>
      <c r="AE10" s="16">
        <f t="shared" si="2"/>
        <v>4.8768333308210621E-4</v>
      </c>
      <c r="AF10" s="17">
        <f>Z10*GBDUS!$P10/($T10+$W10+$X10+U10+V10)</f>
        <v>2.0709922908874936E-3</v>
      </c>
      <c r="AG10" s="16">
        <f t="shared" si="3"/>
        <v>2.0709922908874936E-3</v>
      </c>
      <c r="AH10" s="16">
        <f t="shared" si="3"/>
        <v>2.0709922908874936E-3</v>
      </c>
      <c r="AI10" s="16">
        <f t="shared" si="3"/>
        <v>2.0709922908874936E-3</v>
      </c>
      <c r="AJ10" s="16">
        <f t="shared" si="3"/>
        <v>2.0709922908874936E-3</v>
      </c>
      <c r="AK10" s="17">
        <f>Z10*GBDUS!$Q10/($T10+$W10+$X10+U10+V10)</f>
        <v>0</v>
      </c>
      <c r="AL10" s="16">
        <f t="shared" si="4"/>
        <v>0</v>
      </c>
      <c r="AM10" s="16">
        <f t="shared" si="4"/>
        <v>0</v>
      </c>
      <c r="AN10" s="16">
        <f t="shared" si="4"/>
        <v>0</v>
      </c>
      <c r="AO10" s="16">
        <f t="shared" si="4"/>
        <v>0</v>
      </c>
      <c r="AP10" s="17">
        <f t="shared" si="7"/>
        <v>0</v>
      </c>
      <c r="AQ10" s="17">
        <f t="shared" si="8"/>
        <v>0</v>
      </c>
      <c r="AR10" s="17">
        <f t="shared" si="9"/>
        <v>0</v>
      </c>
      <c r="AS10" s="17">
        <f t="shared" si="5"/>
        <v>0</v>
      </c>
      <c r="AT10" s="23"/>
      <c r="AU10" s="23"/>
      <c r="AV10" s="23"/>
      <c r="AW10" s="23"/>
    </row>
    <row r="11" spans="1:49" s="13" customFormat="1" ht="12.75" x14ac:dyDescent="0.2">
      <c r="A11" s="20">
        <v>1</v>
      </c>
      <c r="B11" s="20">
        <v>2</v>
      </c>
      <c r="C11" s="20" t="s">
        <v>2</v>
      </c>
      <c r="D11" s="17"/>
      <c r="E11" s="17"/>
      <c r="F11" s="17"/>
      <c r="G11" s="17"/>
      <c r="H11" s="17"/>
      <c r="I11" s="17"/>
      <c r="J11" s="17"/>
      <c r="K11" s="17"/>
      <c r="L11" s="17"/>
      <c r="M11" s="17"/>
      <c r="N11" s="19"/>
      <c r="O11" s="15"/>
      <c r="P11" s="15"/>
      <c r="Q11" s="15"/>
      <c r="R11" s="15"/>
      <c r="S11" s="15"/>
      <c r="T11" s="18"/>
      <c r="U11" s="18"/>
      <c r="V11" s="18"/>
      <c r="W11" s="18"/>
      <c r="X11" s="18"/>
      <c r="Y11" s="31"/>
      <c r="Z11" s="344"/>
      <c r="AA11" s="17"/>
      <c r="AB11" s="16"/>
      <c r="AC11" s="16"/>
      <c r="AD11" s="16"/>
      <c r="AE11" s="16"/>
      <c r="AF11" s="17"/>
      <c r="AG11" s="16"/>
      <c r="AH11" s="16"/>
      <c r="AI11" s="16"/>
      <c r="AJ11" s="16"/>
      <c r="AK11" s="17"/>
      <c r="AL11" s="16"/>
      <c r="AM11" s="16"/>
      <c r="AN11" s="16"/>
      <c r="AO11" s="16"/>
      <c r="AP11" s="17"/>
      <c r="AQ11" s="17"/>
      <c r="AR11" s="17"/>
      <c r="AS11" s="17"/>
      <c r="AT11" s="23"/>
      <c r="AU11" s="23"/>
      <c r="AV11" s="23"/>
      <c r="AW11" s="23"/>
    </row>
    <row r="12" spans="1:49" s="13" customFormat="1" ht="12.75" x14ac:dyDescent="0.2">
      <c r="A12" s="20">
        <v>1</v>
      </c>
      <c r="B12" s="20">
        <v>2</v>
      </c>
      <c r="C12" s="20" t="s">
        <v>41</v>
      </c>
      <c r="D12" s="17"/>
      <c r="E12" s="17"/>
      <c r="F12" s="17"/>
      <c r="G12" s="17"/>
      <c r="H12" s="17"/>
      <c r="I12" s="17"/>
      <c r="J12" s="17"/>
      <c r="K12" s="17"/>
      <c r="L12" s="17"/>
      <c r="M12" s="17"/>
      <c r="N12" s="19"/>
      <c r="O12" s="15"/>
      <c r="P12" s="15"/>
      <c r="Q12" s="15"/>
      <c r="R12" s="15"/>
      <c r="S12" s="15"/>
      <c r="T12" s="18"/>
      <c r="U12" s="18"/>
      <c r="V12" s="18"/>
      <c r="W12" s="18"/>
      <c r="X12" s="18"/>
      <c r="Y12" s="31"/>
      <c r="Z12" s="344"/>
      <c r="AA12" s="17"/>
      <c r="AB12" s="16"/>
      <c r="AC12" s="16"/>
      <c r="AD12" s="16"/>
      <c r="AE12" s="16"/>
      <c r="AF12" s="17"/>
      <c r="AG12" s="16"/>
      <c r="AH12" s="16"/>
      <c r="AI12" s="16"/>
      <c r="AJ12" s="16"/>
      <c r="AK12" s="17"/>
      <c r="AL12" s="16"/>
      <c r="AM12" s="16"/>
      <c r="AN12" s="16"/>
      <c r="AO12" s="16"/>
      <c r="AP12" s="17"/>
      <c r="AQ12" s="17"/>
      <c r="AR12" s="17"/>
      <c r="AS12" s="17"/>
      <c r="AT12" s="23"/>
      <c r="AU12" s="23"/>
      <c r="AV12" s="23"/>
      <c r="AW12" s="23"/>
    </row>
    <row r="13" spans="1:49" s="13" customFormat="1" ht="12.75" x14ac:dyDescent="0.2">
      <c r="A13" s="20">
        <v>1</v>
      </c>
      <c r="B13" s="20">
        <v>2</v>
      </c>
      <c r="C13" s="20" t="s">
        <v>40</v>
      </c>
      <c r="D13" s="17">
        <f>Scenario!AN29</f>
        <v>2.5519209672247203</v>
      </c>
      <c r="E13" s="17">
        <f>Scenario!AO29</f>
        <v>5.783013855340938</v>
      </c>
      <c r="F13" s="17">
        <f>Scenario!AP29</f>
        <v>10.191190868295642</v>
      </c>
      <c r="G13" s="17">
        <f>Scenario!AQ29</f>
        <v>17.959557751726912</v>
      </c>
      <c r="H13" s="17">
        <f>Scenario!AR29</f>
        <v>40.698898064614944</v>
      </c>
      <c r="I13" s="17">
        <f>IF((D13+'Non travel METs'!C13)&gt;2.5,(D13+'Non travel METs'!C13),0.1)</f>
        <v>11.418587633891391</v>
      </c>
      <c r="J13" s="17">
        <f>IF((E13+'Non travel METs'!D13)&gt;2.5,(E13+'Non travel METs'!D13),0.1)</f>
        <v>30.383013855340941</v>
      </c>
      <c r="K13" s="17">
        <f>IF((F13+'Non travel METs'!E13)&gt;2.5,(F13+'Non travel METs'!E13),0.1)</f>
        <v>40.041190868295644</v>
      </c>
      <c r="L13" s="17">
        <f>IF((G13+'Non travel METs'!F13)&gt;2.5,(G13+'Non travel METs'!F13),0.1)</f>
        <v>48.359557751726911</v>
      </c>
      <c r="M13" s="17">
        <f>IF((H13+'Non travel METs'!G13)&gt;2.5,(H13+'Non travel METs'!G13),0.1)</f>
        <v>81.698898064614951</v>
      </c>
      <c r="N13" s="19">
        <f>'Phy activity RRs'!$C$4</f>
        <v>0.97319906938028322</v>
      </c>
      <c r="O13" s="15">
        <f>IF(('user page'!$N$39=0),$N13^(I13^0.25),IF(('user page'!$N$39=1),$N13^(I13^0.5),IF(('user page'!$N$39=2),$N13^(I13^0.375),IF(('user page'!$N$39=4),$N13^(I13),IF(('user page'!$N$39=3),$N13^(LN(1+I13)),"")))))</f>
        <v>0.91228774491725739</v>
      </c>
      <c r="P13" s="15">
        <f>IF(('user page'!$N$39=0),$N13^(J13^0.25),IF(('user page'!$N$39=1),$N13^(J13^0.5),IF(('user page'!$N$39=2),$N13^(J13^0.375),IF(('user page'!$N$39=4),$N13^(J13),IF(('user page'!$N$39=3),$N13^(LN(1+J13)),"")))))</f>
        <v>0.86092784925764565</v>
      </c>
      <c r="Q13" s="15">
        <f>IF(('user page'!$N$39=0),$N13^(K13^0.25),IF(('user page'!$N$39=1),$N13^(K13^0.5),IF(('user page'!$N$39=2),$N13^(K13^0.375),IF(('user page'!$N$39=4),$N13^(K13),IF(('user page'!$N$39=3),$N13^(LN(1+K13)),"")))))</f>
        <v>0.84205894465048792</v>
      </c>
      <c r="R13" s="15">
        <f>IF(('user page'!$N$39=0),$N13^(L13^0.25),IF(('user page'!$N$39=1),$N13^(L13^0.5),IF(('user page'!$N$39=2),$N13^(L13^0.375),IF(('user page'!$N$39=4),$N13^(L13),IF(('user page'!$N$39=3),$N13^(LN(1+L13)),"")))))</f>
        <v>0.82785312823479895</v>
      </c>
      <c r="S13" s="15">
        <f>IF(('user page'!$N$39=0),$N13^(M13^0.25),IF(('user page'!$N$39=1),$N13^(M13^0.5),IF(('user page'!$N$39=2),$N13^(M13^0.375),IF(('user page'!$N$39=4),$N13^(M13),IF(('user page'!$N$39=3),$N13^(LN(1+M13)),"")))))</f>
        <v>0.78227247154346002</v>
      </c>
      <c r="T13" s="18">
        <f t="shared" ref="T13:X18" si="10">O13/$O13</f>
        <v>1</v>
      </c>
      <c r="U13" s="18">
        <f t="shared" si="10"/>
        <v>0.94370208747650119</v>
      </c>
      <c r="V13" s="18">
        <f t="shared" si="10"/>
        <v>0.92301902479996689</v>
      </c>
      <c r="W13" s="18">
        <f t="shared" si="10"/>
        <v>0.90744738471728947</v>
      </c>
      <c r="X13" s="18">
        <f t="shared" si="10"/>
        <v>0.85748435830891334</v>
      </c>
      <c r="Y13" s="31">
        <f t="shared" si="6"/>
        <v>2.0532072237114396E-2</v>
      </c>
      <c r="Z13" s="344">
        <f t="shared" ref="Z13:Z18" si="11">SUM(O13:S13)/SUM(O30:S30)</f>
        <v>0.9794679277628856</v>
      </c>
      <c r="AA13" s="17">
        <f>Z13*GBDUS!$O13/($T13+$W13+$X13+U13+V13)</f>
        <v>0</v>
      </c>
      <c r="AB13" s="16">
        <f t="shared" ref="AB13:AE18" si="12">$AA13*U13</f>
        <v>0</v>
      </c>
      <c r="AC13" s="16">
        <f t="shared" si="12"/>
        <v>0</v>
      </c>
      <c r="AD13" s="16">
        <f t="shared" si="12"/>
        <v>0</v>
      </c>
      <c r="AE13" s="16">
        <f t="shared" si="12"/>
        <v>0</v>
      </c>
      <c r="AF13" s="17">
        <f>Z13*GBDUS!$P13/($T13+$W13+$X13+U13+V13)</f>
        <v>0</v>
      </c>
      <c r="AG13" s="16">
        <f t="shared" ref="AG13:AJ18" si="13">$AF13*U13</f>
        <v>0</v>
      </c>
      <c r="AH13" s="16">
        <f t="shared" si="13"/>
        <v>0</v>
      </c>
      <c r="AI13" s="16">
        <f t="shared" si="13"/>
        <v>0</v>
      </c>
      <c r="AJ13" s="16">
        <f t="shared" si="13"/>
        <v>0</v>
      </c>
      <c r="AK13" s="17">
        <f>Z13*GBDUS!$Q13/($T13+$W13+$X13+U13+V13)</f>
        <v>8.3556674257010224E-4</v>
      </c>
      <c r="AL13" s="16">
        <f t="shared" ref="AL13:AO18" si="14">$AK13*U13</f>
        <v>7.8852607918934573E-4</v>
      </c>
      <c r="AM13" s="16">
        <f t="shared" si="14"/>
        <v>7.7124399988234079E-4</v>
      </c>
      <c r="AN13" s="16">
        <f t="shared" si="14"/>
        <v>7.5823285530198393E-4</v>
      </c>
      <c r="AO13" s="16">
        <f t="shared" si="14"/>
        <v>7.1648541207699307E-4</v>
      </c>
      <c r="AP13" s="17">
        <f t="shared" si="7"/>
        <v>0</v>
      </c>
      <c r="AQ13" s="17">
        <f t="shared" si="8"/>
        <v>0</v>
      </c>
      <c r="AR13" s="17">
        <f t="shared" si="9"/>
        <v>-8.1125934190488889E-5</v>
      </c>
      <c r="AS13" s="17">
        <f t="shared" ref="AS13:AS18" si="15">AQ13+AR13</f>
        <v>-8.1125934190488889E-5</v>
      </c>
      <c r="AT13" s="23"/>
      <c r="AU13" s="23"/>
      <c r="AV13" s="23"/>
      <c r="AW13" s="23"/>
    </row>
    <row r="14" spans="1:49" s="13" customFormat="1" ht="12.75" x14ac:dyDescent="0.2">
      <c r="A14" s="20">
        <v>1</v>
      </c>
      <c r="B14" s="20">
        <v>2</v>
      </c>
      <c r="C14" s="20" t="s">
        <v>39</v>
      </c>
      <c r="D14" s="17">
        <f>Scenario!AN30</f>
        <v>1.5370956980369832</v>
      </c>
      <c r="E14" s="17">
        <f>Scenario!AO30</f>
        <v>3.4832762585119914</v>
      </c>
      <c r="F14" s="17">
        <f>Scenario!AP30</f>
        <v>6.1384485815667444</v>
      </c>
      <c r="G14" s="17">
        <f>Scenario!AQ30</f>
        <v>10.817560305892991</v>
      </c>
      <c r="H14" s="17">
        <f>Scenario!AR30</f>
        <v>24.514121688493699</v>
      </c>
      <c r="I14" s="17">
        <f>IF((D14+'Non travel METs'!C14)&gt;2.5,(D14+'Non travel METs'!C14),0.1)</f>
        <v>42.537095698036985</v>
      </c>
      <c r="J14" s="17">
        <f>IF((E14+'Non travel METs'!D14)&gt;2.5,(E14+'Non travel METs'!D14),0.1)</f>
        <v>39.358276258511992</v>
      </c>
      <c r="K14" s="17">
        <f>IF((F14+'Non travel METs'!E14)&gt;2.5,(F14+'Non travel METs'!E14),0.1)</f>
        <v>44.988448581566743</v>
      </c>
      <c r="L14" s="17">
        <f>IF((G14+'Non travel METs'!F14)&gt;2.5,(G14+'Non travel METs'!F14),0.1)</f>
        <v>51.817560305892989</v>
      </c>
      <c r="M14" s="17">
        <f>IF((H14+'Non travel METs'!G14)&gt;2.5,(H14+'Non travel METs'!G14),0.1)</f>
        <v>66.780788355160396</v>
      </c>
      <c r="N14" s="19">
        <f>'Phy activity RRs'!$C$4</f>
        <v>0.97319906938028322</v>
      </c>
      <c r="O14" s="15">
        <f>IF(('user page'!$N$39=0),$N14^(I14^0.25),IF(('user page'!$N$39=1),$N14^(I14^0.5),IF(('user page'!$N$39=2),$N14^(I14^0.375),IF(('user page'!$N$39=4),$N14^(I14),IF(('user page'!$N$39=3),$N14^(LN(1+I14)),"")))))</f>
        <v>0.83762732432700859</v>
      </c>
      <c r="P14" s="15">
        <f>IF(('user page'!$N$39=0),$N14^(J14^0.25),IF(('user page'!$N$39=1),$N14^(J14^0.5),IF(('user page'!$N$39=2),$N14^(J14^0.375),IF(('user page'!$N$39=4),$N14^(J14),IF(('user page'!$N$39=3),$N14^(LN(1+J14)),"")))))</f>
        <v>0.84329958109152714</v>
      </c>
      <c r="Q14" s="15">
        <f>IF(('user page'!$N$39=0),$N14^(K14^0.25),IF(('user page'!$N$39=1),$N14^(K14^0.5),IF(('user page'!$N$39=2),$N14^(K14^0.375),IF(('user page'!$N$39=4),$N14^(K14),IF(('user page'!$N$39=3),$N14^(LN(1+K14)),"")))))</f>
        <v>0.83342141502132316</v>
      </c>
      <c r="R14" s="15">
        <f>IF(('user page'!$N$39=0),$N14^(L14^0.25),IF(('user page'!$N$39=1),$N14^(L14^0.5),IF(('user page'!$N$39=2),$N14^(L14^0.375),IF(('user page'!$N$39=4),$N14^(L14),IF(('user page'!$N$39=3),$N14^(LN(1+L14)),"")))))</f>
        <v>0.82237617363744608</v>
      </c>
      <c r="S14" s="15">
        <f>IF(('user page'!$N$39=0),$N14^(M14^0.25),IF(('user page'!$N$39=1),$N14^(M14^0.5),IF(('user page'!$N$39=2),$N14^(M14^0.375),IF(('user page'!$N$39=4),$N14^(M14),IF(('user page'!$N$39=3),$N14^(LN(1+M14)),"")))))</f>
        <v>0.80091189522582396</v>
      </c>
      <c r="T14" s="18">
        <f t="shared" si="10"/>
        <v>1</v>
      </c>
      <c r="U14" s="18">
        <f t="shared" si="10"/>
        <v>1.0067718143854438</v>
      </c>
      <c r="V14" s="18">
        <f t="shared" si="10"/>
        <v>0.99497878211045154</v>
      </c>
      <c r="W14" s="18">
        <f t="shared" si="10"/>
        <v>0.98179243889659873</v>
      </c>
      <c r="X14" s="18">
        <f t="shared" si="10"/>
        <v>0.95616734550692506</v>
      </c>
      <c r="Y14" s="31">
        <f t="shared" si="6"/>
        <v>1.2077816092465166E-2</v>
      </c>
      <c r="Z14" s="344">
        <f t="shared" si="11"/>
        <v>0.98792218390753483</v>
      </c>
      <c r="AA14" s="17">
        <f>Z14*GBDUS!$O14/($T14+$W14+$X14+U14+V14)</f>
        <v>2.3724279872150915E-2</v>
      </c>
      <c r="AB14" s="16">
        <f t="shared" si="12"/>
        <v>2.3884936291873441E-2</v>
      </c>
      <c r="AC14" s="16">
        <f t="shared" si="12"/>
        <v>2.3605155093640216E-2</v>
      </c>
      <c r="AD14" s="16">
        <f t="shared" si="12"/>
        <v>2.3292318596744535E-2</v>
      </c>
      <c r="AE14" s="16">
        <f t="shared" si="12"/>
        <v>2.2684381709417913E-2</v>
      </c>
      <c r="AF14" s="17">
        <f>Z14*GBDUS!$P14/($T14+$W14+$X14+U14+V14)</f>
        <v>0.57897985139249886</v>
      </c>
      <c r="AG14" s="16">
        <f t="shared" si="13"/>
        <v>0.58290059547904072</v>
      </c>
      <c r="AH14" s="16">
        <f t="shared" si="13"/>
        <v>0.57607266740499874</v>
      </c>
      <c r="AI14" s="16">
        <f t="shared" si="13"/>
        <v>0.56843804037063173</v>
      </c>
      <c r="AJ14" s="16">
        <f t="shared" si="13"/>
        <v>0.55360162760795961</v>
      </c>
      <c r="AK14" s="17">
        <f>Z14*GBDUS!$Q14/($T14+$W14+$X14+U14+V14)</f>
        <v>0.10155761084579215</v>
      </c>
      <c r="AL14" s="16">
        <f t="shared" si="14"/>
        <v>0.10224534013586899</v>
      </c>
      <c r="AM14" s="16">
        <f t="shared" si="14"/>
        <v>0.10104766795339346</v>
      </c>
      <c r="AN14" s="16">
        <f t="shared" si="14"/>
        <v>9.9708494440801945E-2</v>
      </c>
      <c r="AO14" s="16">
        <f t="shared" si="14"/>
        <v>9.7106071178446385E-2</v>
      </c>
      <c r="AP14" s="17">
        <f t="shared" si="7"/>
        <v>-1.432716293937656E-3</v>
      </c>
      <c r="AQ14" s="17">
        <f t="shared" si="8"/>
        <v>-3.4964764849422347E-2</v>
      </c>
      <c r="AR14" s="17">
        <f t="shared" si="9"/>
        <v>-6.1330942231443142E-3</v>
      </c>
      <c r="AS14" s="17">
        <f t="shared" si="15"/>
        <v>-4.1097859072566661E-2</v>
      </c>
      <c r="AT14" s="23"/>
      <c r="AU14" s="23"/>
      <c r="AV14" s="23"/>
      <c r="AW14" s="23"/>
    </row>
    <row r="15" spans="1:49" s="13" customFormat="1" ht="12.75" x14ac:dyDescent="0.2">
      <c r="A15" s="20">
        <v>1</v>
      </c>
      <c r="B15" s="20">
        <v>2</v>
      </c>
      <c r="C15" s="20" t="s">
        <v>38</v>
      </c>
      <c r="D15" s="17">
        <f>Scenario!AN31</f>
        <v>1.2975056378007672</v>
      </c>
      <c r="E15" s="17">
        <f>Scenario!AO31</f>
        <v>2.9403312944072315</v>
      </c>
      <c r="F15" s="17">
        <f>Scenario!AP31</f>
        <v>5.1816368051153949</v>
      </c>
      <c r="G15" s="17">
        <f>Scenario!AQ31</f>
        <v>9.1314063932851113</v>
      </c>
      <c r="H15" s="17">
        <f>Scenario!AR31</f>
        <v>20.693058432975548</v>
      </c>
      <c r="I15" s="17">
        <f>IF((D15+'Non travel METs'!C15)&gt;2.5,(D15+'Non travel METs'!C15),0.1)</f>
        <v>42.947505637800766</v>
      </c>
      <c r="J15" s="17">
        <f>IF((E15+'Non travel METs'!D15)&gt;2.5,(E15+'Non travel METs'!D15),0.1)</f>
        <v>45.990331294407227</v>
      </c>
      <c r="K15" s="17">
        <f>IF((F15+'Non travel METs'!E15)&gt;2.5,(F15+'Non travel METs'!E15),0.1)</f>
        <v>51.248303471782094</v>
      </c>
      <c r="L15" s="17">
        <f>IF((G15+'Non travel METs'!F15)&gt;2.5,(G15+'Non travel METs'!F15),0.1)</f>
        <v>50.131406393285111</v>
      </c>
      <c r="M15" s="17">
        <f>IF((H15+'Non travel METs'!G15)&gt;2.5,(H15+'Non travel METs'!G15),0.1)</f>
        <v>61.693058432975548</v>
      </c>
      <c r="N15" s="19">
        <f>'Phy activity RRs'!$C$4</f>
        <v>0.97319906938028322</v>
      </c>
      <c r="O15" s="15">
        <f>IF(('user page'!$N$39=0),$N15^(I15^0.25),IF(('user page'!$N$39=1),$N15^(I15^0.5),IF(('user page'!$N$39=2),$N15^(I15^0.375),IF(('user page'!$N$39=4),$N15^(I15),IF(('user page'!$N$39=3),$N15^(LN(1+I15)),"")))))</f>
        <v>0.83691338460864606</v>
      </c>
      <c r="P15" s="15">
        <f>IF(('user page'!$N$39=0),$N15^(J15^0.25),IF(('user page'!$N$39=1),$N15^(J15^0.5),IF(('user page'!$N$39=2),$N15^(J15^0.375),IF(('user page'!$N$39=4),$N15^(J15),IF(('user page'!$N$39=3),$N15^(LN(1+J15)),"")))))</f>
        <v>0.83174144835153085</v>
      </c>
      <c r="Q15" s="15">
        <f>IF(('user page'!$N$39=0),$N15^(K15^0.25),IF(('user page'!$N$39=1),$N15^(K15^0.5),IF(('user page'!$N$39=2),$N15^(K15^0.375),IF(('user page'!$N$39=4),$N15^(K15),IF(('user page'!$N$39=3),$N15^(LN(1+K15)),"")))))</f>
        <v>0.82326246721762619</v>
      </c>
      <c r="R15" s="15">
        <f>IF(('user page'!$N$39=0),$N15^(L15^0.25),IF(('user page'!$N$39=1),$N15^(L15^0.5),IF(('user page'!$N$39=2),$N15^(L15^0.375),IF(('user page'!$N$39=4),$N15^(L15),IF(('user page'!$N$39=3),$N15^(LN(1+L15)),"")))))</f>
        <v>0.82501863506187079</v>
      </c>
      <c r="S15" s="15">
        <f>IF(('user page'!$N$39=0),$N15^(M15^0.25),IF(('user page'!$N$39=1),$N15^(M15^0.5),IF(('user page'!$N$39=2),$N15^(M15^0.375),IF(('user page'!$N$39=4),$N15^(M15),IF(('user page'!$N$39=3),$N15^(LN(1+M15)),"")))))</f>
        <v>0.80784904989441231</v>
      </c>
      <c r="T15" s="18">
        <f t="shared" si="10"/>
        <v>1</v>
      </c>
      <c r="U15" s="18">
        <f t="shared" si="10"/>
        <v>0.99382022518431379</v>
      </c>
      <c r="V15" s="18">
        <f t="shared" si="10"/>
        <v>0.98368897230935881</v>
      </c>
      <c r="W15" s="18">
        <f t="shared" si="10"/>
        <v>0.98578735892443947</v>
      </c>
      <c r="X15" s="18">
        <f t="shared" si="10"/>
        <v>0.96527199200210578</v>
      </c>
      <c r="Y15" s="31">
        <f t="shared" si="6"/>
        <v>1.0272467501756033E-2</v>
      </c>
      <c r="Z15" s="344">
        <f t="shared" si="11"/>
        <v>0.98972753249824397</v>
      </c>
      <c r="AA15" s="17">
        <f>Z15*GBDUS!$O15/($T15+$W15+$X15+U15+V15)</f>
        <v>2.8495144119410884E-2</v>
      </c>
      <c r="AB15" s="16">
        <f t="shared" si="12"/>
        <v>2.8319050545412401E-2</v>
      </c>
      <c r="AC15" s="16">
        <f t="shared" si="12"/>
        <v>2.8030359034630362E-2</v>
      </c>
      <c r="AD15" s="16">
        <f t="shared" si="12"/>
        <v>2.8090152863645329E-2</v>
      </c>
      <c r="AE15" s="16">
        <f t="shared" si="12"/>
        <v>2.7505564526530836E-2</v>
      </c>
      <c r="AF15" s="17">
        <f>Z15*GBDUS!$P15/($T15+$W15+$X15+U15+V15)</f>
        <v>0.4995979047893761</v>
      </c>
      <c r="AG15" s="16">
        <f t="shared" si="13"/>
        <v>0.49651050223938914</v>
      </c>
      <c r="AH15" s="16">
        <f t="shared" si="13"/>
        <v>0.49144894953017026</v>
      </c>
      <c r="AI15" s="16">
        <f t="shared" si="13"/>
        <v>0.49249729908650264</v>
      </c>
      <c r="AJ15" s="16">
        <f t="shared" si="13"/>
        <v>0.48224786475611947</v>
      </c>
      <c r="AK15" s="17">
        <f>Z15*GBDUS!$Q15/($T15+$W15+$X15+U15+V15)</f>
        <v>0.1128710714063844</v>
      </c>
      <c r="AL15" s="16">
        <f t="shared" si="14"/>
        <v>0.1121735536018877</v>
      </c>
      <c r="AM15" s="16">
        <f t="shared" si="14"/>
        <v>0.11103002823520253</v>
      </c>
      <c r="AN15" s="16">
        <f t="shared" si="14"/>
        <v>0.1112668753806715</v>
      </c>
      <c r="AO15" s="16">
        <f t="shared" si="14"/>
        <v>0.1089512839358526</v>
      </c>
      <c r="AP15" s="17">
        <f t="shared" si="7"/>
        <v>-1.4576416976745804E-3</v>
      </c>
      <c r="AQ15" s="17">
        <f t="shared" si="8"/>
        <v>-2.5556450426786115E-2</v>
      </c>
      <c r="AR15" s="17">
        <f t="shared" si="9"/>
        <v>-5.7738111256323971E-3</v>
      </c>
      <c r="AS15" s="17">
        <f t="shared" si="15"/>
        <v>-3.1330261552418512E-2</v>
      </c>
      <c r="AT15" s="23"/>
      <c r="AU15" s="23"/>
      <c r="AV15" s="23"/>
      <c r="AW15" s="23"/>
    </row>
    <row r="16" spans="1:49" s="13" customFormat="1" ht="12.75" x14ac:dyDescent="0.2">
      <c r="A16" s="20">
        <v>1</v>
      </c>
      <c r="B16" s="20">
        <v>2</v>
      </c>
      <c r="C16" s="20" t="s">
        <v>37</v>
      </c>
      <c r="D16" s="17">
        <f>Scenario!AN32</f>
        <v>0.85341118968805019</v>
      </c>
      <c r="E16" s="17">
        <f>Scenario!AO32</f>
        <v>1.9339504622810642</v>
      </c>
      <c r="F16" s="17">
        <f>Scenario!AP32</f>
        <v>3.4081291838393759</v>
      </c>
      <c r="G16" s="17">
        <f>Scenario!AQ32</f>
        <v>6.0060196785172764</v>
      </c>
      <c r="H16" s="17">
        <f>Scenario!AR32</f>
        <v>13.610490082727217</v>
      </c>
      <c r="I16" s="17">
        <f>IF((D16+'Non travel METs'!C16)&gt;2.5,(D16+'Non travel METs'!C16),0.1)</f>
        <v>33.65341118968805</v>
      </c>
      <c r="J16" s="17">
        <f>IF((E16+'Non travel METs'!D16)&gt;2.5,(E16+'Non travel METs'!D16),0.1)</f>
        <v>19.933950462281064</v>
      </c>
      <c r="K16" s="17">
        <f>IF((F16+'Non travel METs'!E16)&gt;2.5,(F16+'Non travel METs'!E16),0.1)</f>
        <v>35.158129183839378</v>
      </c>
      <c r="L16" s="17">
        <f>IF((G16+'Non travel METs'!F16)&gt;2.5,(G16+'Non travel METs'!F16),0.1)</f>
        <v>26.506019678517276</v>
      </c>
      <c r="M16" s="17">
        <f>IF((H16+'Non travel METs'!G16)&gt;2.5,(H16+'Non travel METs'!G16),0.1)</f>
        <v>18.110490082727217</v>
      </c>
      <c r="N16" s="19">
        <f>'Phy activity RRs'!$C$4</f>
        <v>0.97319906938028322</v>
      </c>
      <c r="O16" s="15">
        <f>IF(('user page'!$N$39=0),$N16^(I16^0.25),IF(('user page'!$N$39=1),$N16^(I16^0.5),IF(('user page'!$N$39=2),$N16^(I16^0.375),IF(('user page'!$N$39=4),$N16^(I16),IF(('user page'!$N$39=3),$N16^(LN(1+I16)),"")))))</f>
        <v>0.85419324698263044</v>
      </c>
      <c r="P16" s="15">
        <f>IF(('user page'!$N$39=0),$N16^(J16^0.25),IF(('user page'!$N$39=1),$N16^(J16^0.5),IF(('user page'!$N$39=2),$N16^(J16^0.375),IF(('user page'!$N$39=4),$N16^(J16),IF(('user page'!$N$39=3),$N16^(LN(1+J16)),"")))))</f>
        <v>0.88577522420352217</v>
      </c>
      <c r="Q16" s="15">
        <f>IF(('user page'!$N$39=0),$N16^(K16^0.25),IF(('user page'!$N$39=1),$N16^(K16^0.5),IF(('user page'!$N$39=2),$N16^(K16^0.375),IF(('user page'!$N$39=4),$N16^(K16),IF(('user page'!$N$39=3),$N16^(LN(1+K16)),"")))))</f>
        <v>0.85122178096723133</v>
      </c>
      <c r="R16" s="15">
        <f>IF(('user page'!$N$39=0),$N16^(L16^0.25),IF(('user page'!$N$39=1),$N16^(L16^0.5),IF(('user page'!$N$39=2),$N16^(L16^0.375),IF(('user page'!$N$39=4),$N16^(L16),IF(('user page'!$N$39=3),$N16^(LN(1+L16)),"")))))</f>
        <v>0.86947591878251107</v>
      </c>
      <c r="S16" s="15">
        <f>IF(('user page'!$N$39=0),$N16^(M16^0.25),IF(('user page'!$N$39=1),$N16^(M16^0.5),IF(('user page'!$N$39=2),$N16^(M16^0.375),IF(('user page'!$N$39=4),$N16^(M16),IF(('user page'!$N$39=3),$N16^(LN(1+M16)),"")))))</f>
        <v>0.89082130119910652</v>
      </c>
      <c r="T16" s="18">
        <f t="shared" si="10"/>
        <v>1</v>
      </c>
      <c r="U16" s="18">
        <f t="shared" si="10"/>
        <v>1.0369728715749658</v>
      </c>
      <c r="V16" s="18">
        <f t="shared" si="10"/>
        <v>0.99652131876961614</v>
      </c>
      <c r="W16" s="18">
        <f t="shared" si="10"/>
        <v>1.0178913516980677</v>
      </c>
      <c r="X16" s="18">
        <f t="shared" si="10"/>
        <v>1.0428802900817371</v>
      </c>
      <c r="Y16" s="31">
        <f t="shared" si="6"/>
        <v>1.1777919648697677E-2</v>
      </c>
      <c r="Z16" s="344">
        <f t="shared" si="11"/>
        <v>0.98822208035130232</v>
      </c>
      <c r="AA16" s="17">
        <f>Z16*GBDUS!$O16/($T16+$W16+$X16+U16+V16)</f>
        <v>4.9579050871137037E-2</v>
      </c>
      <c r="AB16" s="16">
        <f t="shared" si="12"/>
        <v>5.1412130751804279E-2</v>
      </c>
      <c r="AC16" s="16">
        <f t="shared" si="12"/>
        <v>4.9406581157451362E-2</v>
      </c>
      <c r="AD16" s="16">
        <f t="shared" si="12"/>
        <v>5.0466087107128937E-2</v>
      </c>
      <c r="AE16" s="16">
        <f t="shared" si="12"/>
        <v>5.1705014954468595E-2</v>
      </c>
      <c r="AF16" s="17">
        <f>Z16*GBDUS!$P16/($T16+$W16+$X16+U16+V16)</f>
        <v>0.61699526472779309</v>
      </c>
      <c r="AG16" s="16">
        <f t="shared" si="13"/>
        <v>0.63980735141293577</v>
      </c>
      <c r="AH16" s="16">
        <f t="shared" si="13"/>
        <v>0.61484893488114878</v>
      </c>
      <c r="AI16" s="16">
        <f t="shared" si="13"/>
        <v>0.6280341440050804</v>
      </c>
      <c r="AJ16" s="16">
        <f t="shared" si="13"/>
        <v>0.64345220065837905</v>
      </c>
      <c r="AK16" s="17">
        <f>Z16*GBDUS!$Q16/($T16+$W16+$X16+U16+V16)</f>
        <v>0.20665182652418032</v>
      </c>
      <c r="AL16" s="16">
        <f t="shared" si="14"/>
        <v>0.21429233796699093</v>
      </c>
      <c r="AM16" s="16">
        <f t="shared" si="14"/>
        <v>0.20593295069402612</v>
      </c>
      <c r="AN16" s="16">
        <f t="shared" si="14"/>
        <v>0.2103491070315725</v>
      </c>
      <c r="AO16" s="16">
        <f t="shared" si="14"/>
        <v>0.21551311679145799</v>
      </c>
      <c r="AP16" s="17">
        <f t="shared" si="7"/>
        <v>-3.0101895667159831E-3</v>
      </c>
      <c r="AQ16" s="17">
        <f t="shared" si="8"/>
        <v>-3.7460836300074241E-2</v>
      </c>
      <c r="AR16" s="17">
        <f t="shared" si="9"/>
        <v>-1.2546855198230955E-2</v>
      </c>
      <c r="AS16" s="17">
        <f t="shared" si="15"/>
        <v>-5.0007691498305196E-2</v>
      </c>
      <c r="AT16" s="23"/>
      <c r="AU16" s="23"/>
      <c r="AV16" s="23"/>
      <c r="AW16" s="23"/>
    </row>
    <row r="17" spans="1:49" s="13" customFormat="1" ht="12.75" x14ac:dyDescent="0.2">
      <c r="A17" s="20">
        <v>1</v>
      </c>
      <c r="B17" s="20">
        <v>2</v>
      </c>
      <c r="C17" s="20" t="s">
        <v>36</v>
      </c>
      <c r="D17" s="17">
        <f>Scenario!AN33</f>
        <v>0.77504695374177146</v>
      </c>
      <c r="E17" s="17">
        <f>Scenario!AO33</f>
        <v>1.7563660197920845</v>
      </c>
      <c r="F17" s="17">
        <f>Scenario!AP33</f>
        <v>3.0951787061272027</v>
      </c>
      <c r="G17" s="17">
        <f>Scenario!AQ33</f>
        <v>5.4545186566507038</v>
      </c>
      <c r="H17" s="17">
        <f>Scenario!AR33</f>
        <v>12.360710762892898</v>
      </c>
      <c r="I17" s="17">
        <f>IF((D17+'Non travel METs'!C17)&gt;2.5,(D17+'Non travel METs'!C17),0.1)</f>
        <v>6.6083802870751018</v>
      </c>
      <c r="J17" s="17">
        <f>IF((E17+'Non travel METs'!D17)&gt;2.5,(E17+'Non travel METs'!D17),0.1)</f>
        <v>6.7563660197920843</v>
      </c>
      <c r="K17" s="17">
        <f>IF((F17+'Non travel METs'!E17)&gt;2.5,(F17+'Non travel METs'!E17),0.1)</f>
        <v>5.5951787061272027</v>
      </c>
      <c r="L17" s="17">
        <f>IF((G17+'Non travel METs'!F17)&gt;2.5,(G17+'Non travel METs'!F17),0.1)</f>
        <v>9.2045186566507038</v>
      </c>
      <c r="M17" s="17">
        <f>IF((H17+'Non travel METs'!G17)&gt;2.5,(H17+'Non travel METs'!G17),0.1)</f>
        <v>12.360710762892898</v>
      </c>
      <c r="N17" s="19">
        <f>'Phy activity RRs'!$C$4</f>
        <v>0.97319906938028322</v>
      </c>
      <c r="O17" s="15">
        <f>IF(('user page'!$N$39=0),$N17^(I17^0.25),IF(('user page'!$N$39=1),$N17^(I17^0.5),IF(('user page'!$N$39=2),$N17^(I17^0.375),IF(('user page'!$N$39=4),$N17^(I17),IF(('user page'!$N$39=3),$N17^(LN(1+I17)),"")))))</f>
        <v>0.93254617005588358</v>
      </c>
      <c r="P17" s="15">
        <f>IF(('user page'!$N$39=0),$N17^(J17^0.25),IF(('user page'!$N$39=1),$N17^(J17^0.5),IF(('user page'!$N$39=2),$N17^(J17^0.375),IF(('user page'!$N$39=4),$N17^(J17),IF(('user page'!$N$39=3),$N17^(LN(1+J17)),"")))))</f>
        <v>0.93182128638125605</v>
      </c>
      <c r="Q17" s="15">
        <f>IF(('user page'!$N$39=0),$N17^(K17^0.25),IF(('user page'!$N$39=1),$N17^(K17^0.5),IF(('user page'!$N$39=2),$N17^(K17^0.375),IF(('user page'!$N$39=4),$N17^(K17),IF(('user page'!$N$39=3),$N17^(LN(1+K17)),"")))))</f>
        <v>0.93776088117493417</v>
      </c>
      <c r="R17" s="15">
        <f>IF(('user page'!$N$39=0),$N17^(L17^0.25),IF(('user page'!$N$39=1),$N17^(L17^0.5),IF(('user page'!$N$39=2),$N17^(L17^0.375),IF(('user page'!$N$39=4),$N17^(L17),IF(('user page'!$N$39=3),$N17^(LN(1+L17)),"")))))</f>
        <v>0.92088447515862926</v>
      </c>
      <c r="S17" s="15">
        <f>IF(('user page'!$N$39=0),$N17^(M17^0.25),IF(('user page'!$N$39=1),$N17^(M17^0.5),IF(('user page'!$N$39=2),$N17^(M17^0.375),IF(('user page'!$N$39=4),$N17^(M17),IF(('user page'!$N$39=3),$N17^(LN(1+M17)),"")))))</f>
        <v>0.90890756264827255</v>
      </c>
      <c r="T17" s="18">
        <f t="shared" si="10"/>
        <v>1</v>
      </c>
      <c r="U17" s="18">
        <f t="shared" si="10"/>
        <v>0.99922268333954545</v>
      </c>
      <c r="V17" s="18">
        <f t="shared" si="10"/>
        <v>1.0055919066385079</v>
      </c>
      <c r="W17" s="18">
        <f t="shared" si="10"/>
        <v>0.98749478012809222</v>
      </c>
      <c r="X17" s="18">
        <f t="shared" si="10"/>
        <v>0.97465154201834914</v>
      </c>
      <c r="Y17" s="31">
        <f t="shared" si="6"/>
        <v>1.6842746006492715E-2</v>
      </c>
      <c r="Z17" s="344">
        <f t="shared" si="11"/>
        <v>0.98315725399350729</v>
      </c>
      <c r="AA17" s="17">
        <f>Z17*GBDUS!$O17/($T17+$W17+$X17+U17+V17)</f>
        <v>4.8887354395877151E-2</v>
      </c>
      <c r="AB17" s="16">
        <f t="shared" si="12"/>
        <v>4.8849353440819691E-2</v>
      </c>
      <c r="AC17" s="16">
        <f t="shared" si="12"/>
        <v>4.9160727917462545E-2</v>
      </c>
      <c r="AD17" s="16">
        <f t="shared" si="12"/>
        <v>4.8276007280200831E-2</v>
      </c>
      <c r="AE17" s="16">
        <f t="shared" si="12"/>
        <v>4.7648135347139187E-2</v>
      </c>
      <c r="AF17" s="17">
        <f>Z17*GBDUS!$P17/($T17+$W17+$X17+U17+V17)</f>
        <v>0.392822003421337</v>
      </c>
      <c r="AG17" s="16">
        <f t="shared" si="13"/>
        <v>0.39251665633348448</v>
      </c>
      <c r="AH17" s="16">
        <f t="shared" si="13"/>
        <v>0.39501862739002075</v>
      </c>
      <c r="AI17" s="16">
        <f t="shared" si="13"/>
        <v>0.38790967789802988</v>
      </c>
      <c r="AJ17" s="16">
        <f t="shared" si="13"/>
        <v>0.38286457137334334</v>
      </c>
      <c r="AK17" s="17">
        <f>Z17*GBDUS!$Q17/($T17+$W17+$X17+U17+V17)</f>
        <v>0.20333084907558191</v>
      </c>
      <c r="AL17" s="16">
        <f t="shared" si="14"/>
        <v>0.20317279661901108</v>
      </c>
      <c r="AM17" s="16">
        <f t="shared" si="14"/>
        <v>0.20446785620034111</v>
      </c>
      <c r="AN17" s="16">
        <f t="shared" si="14"/>
        <v>0.20078815210115006</v>
      </c>
      <c r="AO17" s="16">
        <f t="shared" si="14"/>
        <v>0.19817672559141614</v>
      </c>
      <c r="AP17" s="17">
        <f t="shared" si="7"/>
        <v>-4.1598453888865364E-3</v>
      </c>
      <c r="AQ17" s="17">
        <f t="shared" si="8"/>
        <v>-3.3425388217023289E-2</v>
      </c>
      <c r="AR17" s="17">
        <f t="shared" si="9"/>
        <v>-1.7301506808819339E-2</v>
      </c>
      <c r="AS17" s="17">
        <f t="shared" si="15"/>
        <v>-5.0726895025842628E-2</v>
      </c>
      <c r="AT17" s="23"/>
      <c r="AU17" s="23"/>
      <c r="AV17" s="23"/>
      <c r="AW17" s="23"/>
    </row>
    <row r="18" spans="1:49" s="13" customFormat="1" ht="12.75" x14ac:dyDescent="0.2">
      <c r="A18" s="20">
        <v>1</v>
      </c>
      <c r="B18" s="20">
        <v>2</v>
      </c>
      <c r="C18" s="20" t="s">
        <v>35</v>
      </c>
      <c r="D18" s="17">
        <f>Scenario!AN34</f>
        <v>0.40295615512215294</v>
      </c>
      <c r="E18" s="17">
        <f>Scenario!AO34</f>
        <v>0.91315564161087048</v>
      </c>
      <c r="F18" s="17">
        <f>Scenario!AP34</f>
        <v>1.6092203250598482</v>
      </c>
      <c r="G18" s="17">
        <f>Scenario!AQ34</f>
        <v>2.8358693048399783</v>
      </c>
      <c r="H18" s="17">
        <f>Scenario!AR34</f>
        <v>6.4264809500197613</v>
      </c>
      <c r="I18" s="17">
        <f>IF((D18+'Non travel METs'!C18)&gt;2.5,(D18+'Non travel METs'!C18),0.1)</f>
        <v>6.902956155122153</v>
      </c>
      <c r="J18" s="17">
        <f>IF((E18+'Non travel METs'!D18)&gt;2.5,(E18+'Non travel METs'!D18),0.1)</f>
        <v>4.0381556416108708</v>
      </c>
      <c r="K18" s="17">
        <f>IF((F18+'Non travel METs'!E18)&gt;2.5,(F18+'Non travel METs'!E18),0.1)</f>
        <v>0.1</v>
      </c>
      <c r="L18" s="17">
        <f>IF((G18+'Non travel METs'!F18)&gt;2.5,(G18+'Non travel METs'!F18),0.1)</f>
        <v>2.8358693048399783</v>
      </c>
      <c r="M18" s="17">
        <f>IF((H18+'Non travel METs'!G18)&gt;2.5,(H18+'Non travel METs'!G18),0.1)</f>
        <v>6.4264809500197613</v>
      </c>
      <c r="N18" s="19">
        <f>'Phy activity RRs'!$C$4</f>
        <v>0.97319906938028322</v>
      </c>
      <c r="O18" s="15">
        <f>IF(('user page'!$N$39=0),$N18^(I18^0.25),IF(('user page'!$N$39=1),$N18^(I18^0.5),IF(('user page'!$N$39=2),$N18^(I18^0.375),IF(('user page'!$N$39=4),$N18^(I18),IF(('user page'!$N$39=3),$N18^(LN(1+I18)),"")))))</f>
        <v>0.93111157088279917</v>
      </c>
      <c r="P18" s="15">
        <f>IF(('user page'!$N$39=0),$N18^(J18^0.25),IF(('user page'!$N$39=1),$N18^(J18^0.5),IF(('user page'!$N$39=2),$N18^(J18^0.375),IF(('user page'!$N$39=4),$N18^(J18),IF(('user page'!$N$39=3),$N18^(LN(1+J18)),"")))))</f>
        <v>0.94687160706573659</v>
      </c>
      <c r="Q18" s="15">
        <f>IF(('user page'!$N$39=0),$N18^(K18^0.25),IF(('user page'!$N$39=1),$N18^(K18^0.5),IF(('user page'!$N$39=2),$N18^(K18^0.375),IF(('user page'!$N$39=4),$N18^(K18),IF(('user page'!$N$39=3),$N18^(LN(1+K18)),"")))))</f>
        <v>0.99144595491037002</v>
      </c>
      <c r="R18" s="15">
        <f>IF(('user page'!$N$39=0),$N18^(L18^0.25),IF(('user page'!$N$39=1),$N18^(L18^0.5),IF(('user page'!$N$39=2),$N18^(L18^0.375),IF(('user page'!$N$39=4),$N18^(L18),IF(('user page'!$N$39=3),$N18^(LN(1+L18)),"")))))</f>
        <v>0.95528199184061202</v>
      </c>
      <c r="S18" s="15">
        <f>IF(('user page'!$N$39=0),$N18^(M18^0.25),IF(('user page'!$N$39=1),$N18^(M18^0.5),IF(('user page'!$N$39=2),$N18^(M18^0.375),IF(('user page'!$N$39=4),$N18^(M18),IF(('user page'!$N$39=3),$N18^(LN(1+M18)),"")))))</f>
        <v>0.93344917408487738</v>
      </c>
      <c r="T18" s="18">
        <f t="shared" si="10"/>
        <v>1</v>
      </c>
      <c r="U18" s="18">
        <f t="shared" si="10"/>
        <v>1.0169260448218844</v>
      </c>
      <c r="V18" s="18">
        <f t="shared" si="10"/>
        <v>1.0647982324721483</v>
      </c>
      <c r="W18" s="18">
        <f t="shared" si="10"/>
        <v>1.0259586731747909</v>
      </c>
      <c r="X18" s="18">
        <f t="shared" si="10"/>
        <v>1.0025105511253198</v>
      </c>
      <c r="Y18" s="31">
        <f t="shared" si="6"/>
        <v>2.0534185982259423E-2</v>
      </c>
      <c r="Z18" s="344">
        <f t="shared" si="11"/>
        <v>0.97946581401774058</v>
      </c>
      <c r="AA18" s="17">
        <f>Z18*GBDUS!$O18/($T18+$W18+$X18+U18+V18)</f>
        <v>3.219561863995235E-2</v>
      </c>
      <c r="AB18" s="16">
        <f t="shared" si="12"/>
        <v>3.2740563124120478E-2</v>
      </c>
      <c r="AC18" s="16">
        <f t="shared" si="12"/>
        <v>3.4281837821168615E-2</v>
      </c>
      <c r="AD18" s="16">
        <f t="shared" si="12"/>
        <v>3.3031374181887084E-2</v>
      </c>
      <c r="AE18" s="16">
        <f t="shared" si="12"/>
        <v>3.227644738655925E-2</v>
      </c>
      <c r="AF18" s="17">
        <f>Z18*GBDUS!$P18/($T18+$W18+$X18+U18+V18)</f>
        <v>0.11311219093119596</v>
      </c>
      <c r="AG18" s="16">
        <f t="shared" si="13"/>
        <v>0.11502673294479893</v>
      </c>
      <c r="AH18" s="16">
        <f t="shared" si="13"/>
        <v>0.12044166097458962</v>
      </c>
      <c r="AI18" s="16">
        <f t="shared" si="13"/>
        <v>0.11604843332766342</v>
      </c>
      <c r="AJ18" s="16">
        <f t="shared" si="13"/>
        <v>0.11339616486942566</v>
      </c>
      <c r="AK18" s="17">
        <f>Z18*GBDUS!$Q18/($T18+$W18+$X18+U18+V18)</f>
        <v>0.10052876260528068</v>
      </c>
      <c r="AL18" s="16">
        <f t="shared" si="14"/>
        <v>0.10223031694702624</v>
      </c>
      <c r="AM18" s="16">
        <f t="shared" si="14"/>
        <v>0.10704284873471508</v>
      </c>
      <c r="AN18" s="16">
        <f t="shared" si="14"/>
        <v>0.10313835589841731</v>
      </c>
      <c r="AO18" s="16">
        <f t="shared" si="14"/>
        <v>0.10078114520336638</v>
      </c>
      <c r="AP18" s="17">
        <f t="shared" si="7"/>
        <v>-3.4492313797858526E-3</v>
      </c>
      <c r="AQ18" s="17">
        <f t="shared" si="8"/>
        <v>-1.2118112180396504E-2</v>
      </c>
      <c r="AR18" s="17">
        <f t="shared" si="9"/>
        <v>-1.0770004652710302E-2</v>
      </c>
      <c r="AS18" s="17">
        <f t="shared" si="15"/>
        <v>-2.2888116833106806E-2</v>
      </c>
      <c r="AT18" s="23"/>
      <c r="AU18" s="23"/>
      <c r="AV18" s="23"/>
      <c r="AW18" s="23"/>
    </row>
    <row r="19" spans="1:49" s="13" customFormat="1" ht="12.75" x14ac:dyDescent="0.2">
      <c r="A19" s="20"/>
      <c r="B19" s="20"/>
      <c r="C19" s="20"/>
      <c r="D19" s="17"/>
      <c r="E19" s="17"/>
      <c r="F19" s="17"/>
      <c r="G19" s="17"/>
      <c r="H19" s="17"/>
      <c r="I19" s="17"/>
      <c r="J19" s="17"/>
      <c r="K19" s="17"/>
      <c r="L19" s="17"/>
      <c r="M19" s="17"/>
      <c r="N19" s="15"/>
      <c r="O19" s="15"/>
      <c r="P19" s="15"/>
      <c r="Q19" s="15"/>
      <c r="R19" s="15"/>
      <c r="S19" s="15"/>
      <c r="T19" s="18"/>
      <c r="U19" s="18"/>
      <c r="V19" s="18"/>
      <c r="W19" s="18"/>
      <c r="X19" s="18"/>
      <c r="Y19" s="18"/>
      <c r="Z19" s="16"/>
      <c r="AA19" s="17"/>
      <c r="AB19" s="16"/>
      <c r="AC19" s="16"/>
      <c r="AD19" s="16"/>
      <c r="AE19" s="16"/>
      <c r="AF19" s="17"/>
      <c r="AG19" s="16"/>
      <c r="AH19" s="16"/>
      <c r="AI19" s="16"/>
      <c r="AJ19" s="16"/>
      <c r="AK19" s="17"/>
      <c r="AL19" s="16"/>
      <c r="AM19" s="16"/>
      <c r="AN19" s="16"/>
      <c r="AO19" s="16"/>
      <c r="AP19" s="21">
        <f>SUM(AP3:AP18)</f>
        <v>-1.3509624327000608E-2</v>
      </c>
      <c r="AQ19" s="21">
        <f>SUM(AQ3:AQ18)</f>
        <v>-0.14352555197370248</v>
      </c>
      <c r="AR19" s="21">
        <f>SUM(AR3:AR18)</f>
        <v>-5.2606397942727798E-2</v>
      </c>
      <c r="AS19" s="21">
        <f>SUM(AS3:AS18)</f>
        <v>-0.19613194991643029</v>
      </c>
      <c r="AT19" s="23"/>
      <c r="AU19" s="23"/>
      <c r="AV19" s="23"/>
      <c r="AW19" s="23"/>
    </row>
    <row r="20" spans="1:49" s="13" customFormat="1" ht="12.75" x14ac:dyDescent="0.2">
      <c r="A20" s="20">
        <v>0</v>
      </c>
      <c r="B20" s="20">
        <v>1</v>
      </c>
      <c r="C20" s="20" t="s">
        <v>2</v>
      </c>
      <c r="D20" s="17"/>
      <c r="E20" s="17"/>
      <c r="F20" s="17"/>
      <c r="G20" s="17"/>
      <c r="H20" s="17"/>
      <c r="I20" s="17"/>
      <c r="J20" s="17"/>
      <c r="K20" s="17"/>
      <c r="L20" s="17"/>
      <c r="M20" s="17"/>
      <c r="N20" s="15"/>
      <c r="O20" s="15"/>
      <c r="P20" s="15"/>
      <c r="Q20" s="15"/>
      <c r="R20" s="15"/>
      <c r="S20" s="15"/>
      <c r="T20" s="18"/>
      <c r="U20" s="18"/>
      <c r="V20" s="18"/>
      <c r="W20" s="18"/>
      <c r="X20" s="18"/>
      <c r="Y20" s="18"/>
      <c r="Z20" s="16"/>
      <c r="AA20" s="17"/>
      <c r="AB20" s="16"/>
      <c r="AC20" s="16"/>
      <c r="AD20" s="16"/>
      <c r="AE20" s="16"/>
      <c r="AF20" s="17"/>
      <c r="AG20" s="16"/>
      <c r="AH20" s="16"/>
      <c r="AI20" s="16"/>
      <c r="AJ20" s="16"/>
      <c r="AK20" s="17"/>
      <c r="AL20" s="16"/>
      <c r="AM20" s="16"/>
      <c r="AN20" s="16"/>
      <c r="AO20" s="16"/>
      <c r="AP20" s="33">
        <f>AP19/GBDUS!O19</f>
        <v>-1.4414052428884189E-2</v>
      </c>
      <c r="AQ20" s="33">
        <f>AQ19/GBDUS!P19</f>
        <v>-1.2826699278568188E-2</v>
      </c>
      <c r="AR20" s="33">
        <f>AR19/GBDUS!Q19</f>
        <v>-1.4253264215406923E-2</v>
      </c>
      <c r="AS20" s="33">
        <f>AS19/GBDUS!R19</f>
        <v>-5.6793278556041056E-2</v>
      </c>
      <c r="AT20" s="23"/>
      <c r="AU20" s="23"/>
      <c r="AV20" s="23"/>
      <c r="AW20" s="23"/>
    </row>
    <row r="21" spans="1:49" s="13" customFormat="1" ht="12.75" x14ac:dyDescent="0.2">
      <c r="A21" s="20">
        <v>0</v>
      </c>
      <c r="B21" s="20">
        <v>1</v>
      </c>
      <c r="C21" s="20" t="s">
        <v>41</v>
      </c>
      <c r="D21" s="17"/>
      <c r="E21" s="17"/>
      <c r="F21" s="17"/>
      <c r="G21" s="17"/>
      <c r="H21" s="17"/>
      <c r="I21" s="17"/>
      <c r="J21" s="17"/>
      <c r="K21" s="17"/>
      <c r="L21" s="17"/>
      <c r="M21" s="17"/>
      <c r="N21" s="15"/>
      <c r="O21" s="15"/>
      <c r="P21" s="15"/>
      <c r="Q21" s="15"/>
      <c r="R21" s="15"/>
      <c r="S21" s="15"/>
      <c r="T21" s="18"/>
      <c r="U21" s="18"/>
      <c r="V21" s="18"/>
      <c r="W21" s="18"/>
      <c r="X21" s="18"/>
      <c r="Y21" s="18"/>
      <c r="Z21" s="16"/>
      <c r="AA21" s="17"/>
      <c r="AB21" s="16"/>
      <c r="AC21" s="16"/>
      <c r="AD21" s="16"/>
      <c r="AE21" s="16"/>
      <c r="AF21" s="17"/>
      <c r="AG21" s="16"/>
      <c r="AH21" s="16"/>
      <c r="AI21" s="16"/>
      <c r="AJ21" s="16"/>
      <c r="AK21" s="17"/>
      <c r="AL21" s="16"/>
      <c r="AM21" s="16"/>
      <c r="AN21" s="16"/>
      <c r="AO21" s="16"/>
      <c r="AP21" s="15"/>
      <c r="AQ21" s="15"/>
      <c r="AR21" s="15"/>
      <c r="AS21" s="15"/>
      <c r="AT21" s="23"/>
      <c r="AU21" s="23"/>
      <c r="AV21" s="23"/>
      <c r="AW21" s="23"/>
    </row>
    <row r="22" spans="1:49" s="13" customFormat="1" ht="12.75" x14ac:dyDescent="0.2">
      <c r="A22" s="20">
        <v>0</v>
      </c>
      <c r="B22" s="20">
        <v>1</v>
      </c>
      <c r="C22" s="20" t="s">
        <v>40</v>
      </c>
      <c r="D22" s="17">
        <f>Baseline!AN21</f>
        <v>0.60295678095886318</v>
      </c>
      <c r="E22" s="17">
        <f>Baseline!AO21</f>
        <v>1.3663853478381727</v>
      </c>
      <c r="F22" s="17">
        <f>Baseline!AP21</f>
        <v>2.4079302294253959</v>
      </c>
      <c r="G22" s="17">
        <f>Baseline!AQ21</f>
        <v>4.2434061510935761</v>
      </c>
      <c r="H22" s="17">
        <f>Baseline!AR21</f>
        <v>9.6161585255912687</v>
      </c>
      <c r="I22" s="17">
        <f>IF((D22+'Non travel METs'!C22)&gt;2.5,(D22+'Non travel METs'!C22),0.1)</f>
        <v>58.40295678095886</v>
      </c>
      <c r="J22" s="17">
        <f>IF((E22+'Non travel METs'!D22)&gt;2.5,(E22+'Non travel METs'!D22),0.1)</f>
        <v>42.366385347838175</v>
      </c>
      <c r="K22" s="17">
        <f>IF((F22+'Non travel METs'!E22)&gt;2.5,(F22+'Non travel METs'!E22),0.1)</f>
        <v>47.907930229425396</v>
      </c>
      <c r="L22" s="17">
        <f>IF((G22+'Non travel METs'!F22)&gt;2.5,(G22+'Non travel METs'!F22),0.1)</f>
        <v>42.168406151093571</v>
      </c>
      <c r="M22" s="17">
        <f>IF((H22+'Non travel METs'!G22)&gt;2.5,(H22+'Non travel METs'!G22),0.1)</f>
        <v>50.616158525591267</v>
      </c>
      <c r="N22" s="19">
        <f t="shared" ref="N22:N27" si="16">N5</f>
        <v>1</v>
      </c>
      <c r="O22" s="15">
        <f>IF(('user page'!$N$39=0),$N22^(I22^0.25),IF(('user page'!$N$39=1),$N22^(I22^0.5),IF(('user page'!$N$39=2),$N22^(I22^0.375),IF(('user page'!$N$39=4),$N22^(I22),IF(('user page'!$N$39=3),$N22^(LN(1+I22)),"")))))</f>
        <v>1</v>
      </c>
      <c r="P22" s="15">
        <f>IF(('user page'!$N$39=0),$N22^(J22^0.25),IF(('user page'!$N$39=1),$N22^(J22^0.5),IF(('user page'!$N$39=2),$N22^(J22^0.375),IF(('user page'!$N$39=4),$N22^(J22),IF(('user page'!$N$39=3),$N22^(LN(1+J22)),"")))))</f>
        <v>1</v>
      </c>
      <c r="Q22" s="15">
        <f>IF(('user page'!$N$39=0),$N22^(K22^0.25),IF(('user page'!$N$39=1),$N22^(K22^0.5),IF(('user page'!$N$39=2),$N22^(K22^0.375),IF(('user page'!$N$39=4),$N22^(K22),IF(('user page'!$N$39=3),$N22^(LN(1+K22)),"")))))</f>
        <v>1</v>
      </c>
      <c r="R22" s="15">
        <f>IF(('user page'!$N$39=0),$N22^(L22^0.25),IF(('user page'!$N$39=1),$N22^(L22^0.5),IF(('user page'!$N$39=2),$N22^(L22^0.375),IF(('user page'!$N$39=4),$N22^(L22),IF(('user page'!$N$39=3),$N22^(LN(1+L22)),"")))))</f>
        <v>1</v>
      </c>
      <c r="S22" s="15">
        <f>IF(('user page'!$N$39=0),$N22^(M22^0.25),IF(('user page'!$N$39=1),$N22^(M22^0.5),IF(('user page'!$N$39=2),$N22^(M22^0.375),IF(('user page'!$N$39=4),$N22^(M22),IF(('user page'!$N$39=3),$N22^(LN(1+M22)),"")))))</f>
        <v>1</v>
      </c>
      <c r="T22" s="18">
        <f t="shared" ref="T22:X27" si="17">O22/$O22</f>
        <v>1</v>
      </c>
      <c r="U22" s="18">
        <f t="shared" si="17"/>
        <v>1</v>
      </c>
      <c r="V22" s="18">
        <f t="shared" si="17"/>
        <v>1</v>
      </c>
      <c r="W22" s="18">
        <f t="shared" si="17"/>
        <v>1</v>
      </c>
      <c r="X22" s="18">
        <f t="shared" si="17"/>
        <v>1</v>
      </c>
      <c r="Y22" s="18"/>
      <c r="Z22" s="16"/>
      <c r="AA22" s="17">
        <f>GBDUS!O5/($T22+$W22+$X22+U22+V22)</f>
        <v>0</v>
      </c>
      <c r="AB22" s="16">
        <f t="shared" ref="AB22:AE27" si="18">$AA22*U22</f>
        <v>0</v>
      </c>
      <c r="AC22" s="16">
        <f t="shared" si="18"/>
        <v>0</v>
      </c>
      <c r="AD22" s="16">
        <f t="shared" si="18"/>
        <v>0</v>
      </c>
      <c r="AE22" s="16">
        <f t="shared" si="18"/>
        <v>0</v>
      </c>
      <c r="AF22" s="17">
        <f>GBDUS!P5/($T22+$W22+$X22+U22+V22)</f>
        <v>0</v>
      </c>
      <c r="AG22" s="16">
        <f t="shared" ref="AG22:AG35" si="19">$AF22*U22</f>
        <v>0</v>
      </c>
      <c r="AH22" s="16">
        <f t="shared" ref="AH22:AH35" si="20">$AF22*V22</f>
        <v>0</v>
      </c>
      <c r="AI22" s="16">
        <f t="shared" ref="AI22:AI35" si="21">$AF22*W22</f>
        <v>0</v>
      </c>
      <c r="AJ22" s="16">
        <f t="shared" ref="AJ22:AJ35" si="22">$AF22*X22</f>
        <v>0</v>
      </c>
      <c r="AK22" s="17">
        <f>GBDUS!Q5/($T22+$W22+$X22+U22+V22)</f>
        <v>0</v>
      </c>
      <c r="AL22" s="16">
        <f t="shared" ref="AL22:AO27" si="23">U22*$AK22</f>
        <v>0</v>
      </c>
      <c r="AM22" s="16">
        <f t="shared" si="23"/>
        <v>0</v>
      </c>
      <c r="AN22" s="16">
        <f t="shared" si="23"/>
        <v>0</v>
      </c>
      <c r="AO22" s="16">
        <f t="shared" si="23"/>
        <v>0</v>
      </c>
      <c r="AP22" s="15"/>
      <c r="AQ22" s="15"/>
      <c r="AR22" s="15"/>
      <c r="AS22" s="15"/>
      <c r="AT22" s="23"/>
      <c r="AU22" s="23"/>
      <c r="AV22" s="23"/>
      <c r="AW22" s="23"/>
    </row>
    <row r="23" spans="1:49" s="13" customFormat="1" ht="12.75" x14ac:dyDescent="0.2">
      <c r="A23" s="20">
        <v>0</v>
      </c>
      <c r="B23" s="20">
        <v>1</v>
      </c>
      <c r="C23" s="20" t="s">
        <v>39</v>
      </c>
      <c r="D23" s="17">
        <f>Baseline!AN22</f>
        <v>0.34976362929541344</v>
      </c>
      <c r="E23" s="17">
        <f>Baseline!AO22</f>
        <v>0.79261385453854083</v>
      </c>
      <c r="F23" s="17">
        <f>Baseline!AP22</f>
        <v>1.396794003700613</v>
      </c>
      <c r="G23" s="17">
        <f>Baseline!AQ22</f>
        <v>2.4615182760208985</v>
      </c>
      <c r="H23" s="17">
        <f>Baseline!AR22</f>
        <v>5.5781485705196889</v>
      </c>
      <c r="I23" s="17">
        <f>IF((D23+'Non travel METs'!C23)&gt;2.5,(D23+'Non travel METs'!C23),0.1)</f>
        <v>51.599763629295417</v>
      </c>
      <c r="J23" s="17">
        <f>IF((E23+'Non travel METs'!D23)&gt;2.5,(E23+'Non travel METs'!D23),0.1)</f>
        <v>52.042613854538544</v>
      </c>
      <c r="K23" s="17">
        <f>IF((F23+'Non travel METs'!E23)&gt;2.5,(F23+'Non travel METs'!E23),0.1)</f>
        <v>66.14679400370062</v>
      </c>
      <c r="L23" s="17">
        <f>IF((G23+'Non travel METs'!F23)&gt;2.5,(G23+'Non travel METs'!F23),0.1)</f>
        <v>48.586518276020897</v>
      </c>
      <c r="M23" s="17">
        <f>IF((H23+'Non travel METs'!G23)&gt;2.5,(H23+'Non travel METs'!G23),0.1)</f>
        <v>50.378148570519684</v>
      </c>
      <c r="N23" s="19">
        <f t="shared" si="16"/>
        <v>1</v>
      </c>
      <c r="O23" s="15">
        <f>IF(('user page'!$N$39=0),$N23^(I23^0.25),IF(('user page'!$N$39=1),$N23^(I23^0.5),IF(('user page'!$N$39=2),$N23^(I23^0.375),IF(('user page'!$N$39=4),$N23^(I23),IF(('user page'!$N$39=3),$N23^(LN(1+I23)),"")))))</f>
        <v>1</v>
      </c>
      <c r="P23" s="15">
        <f>IF(('user page'!$N$39=0),$N23^(J23^0.25),IF(('user page'!$N$39=1),$N23^(J23^0.5),IF(('user page'!$N$39=2),$N23^(J23^0.375),IF(('user page'!$N$39=4),$N23^(J23),IF(('user page'!$N$39=3),$N23^(LN(1+J23)),"")))))</f>
        <v>1</v>
      </c>
      <c r="Q23" s="15">
        <f>IF(('user page'!$N$39=0),$N23^(K23^0.25),IF(('user page'!$N$39=1),$N23^(K23^0.5),IF(('user page'!$N$39=2),$N23^(K23^0.375),IF(('user page'!$N$39=4),$N23^(K23),IF(('user page'!$N$39=3),$N23^(LN(1+K23)),"")))))</f>
        <v>1</v>
      </c>
      <c r="R23" s="15">
        <f>IF(('user page'!$N$39=0),$N23^(L23^0.25),IF(('user page'!$N$39=1),$N23^(L23^0.5),IF(('user page'!$N$39=2),$N23^(L23^0.375),IF(('user page'!$N$39=4),$N23^(L23),IF(('user page'!$N$39=3),$N23^(LN(1+L23)),"")))))</f>
        <v>1</v>
      </c>
      <c r="S23" s="15">
        <f>IF(('user page'!$N$39=0),$N23^(M23^0.25),IF(('user page'!$N$39=1),$N23^(M23^0.5),IF(('user page'!$N$39=2),$N23^(M23^0.375),IF(('user page'!$N$39=4),$N23^(M23),IF(('user page'!$N$39=3),$N23^(LN(1+M23)),"")))))</f>
        <v>1</v>
      </c>
      <c r="T23" s="18">
        <f t="shared" si="17"/>
        <v>1</v>
      </c>
      <c r="U23" s="18">
        <f t="shared" si="17"/>
        <v>1</v>
      </c>
      <c r="V23" s="18">
        <f t="shared" si="17"/>
        <v>1</v>
      </c>
      <c r="W23" s="18">
        <f t="shared" si="17"/>
        <v>1</v>
      </c>
      <c r="X23" s="18">
        <f t="shared" si="17"/>
        <v>1</v>
      </c>
      <c r="Y23" s="18"/>
      <c r="Z23" s="16"/>
      <c r="AA23" s="17">
        <f>GBDUS!O6/($T23+$W23+$X23+U23+V23)</f>
        <v>0</v>
      </c>
      <c r="AB23" s="16">
        <f t="shared" si="18"/>
        <v>0</v>
      </c>
      <c r="AC23" s="16">
        <f t="shared" si="18"/>
        <v>0</v>
      </c>
      <c r="AD23" s="16">
        <f t="shared" si="18"/>
        <v>0</v>
      </c>
      <c r="AE23" s="16">
        <f t="shared" si="18"/>
        <v>0</v>
      </c>
      <c r="AF23" s="17">
        <f>GBDUS!P6/($T23+$W23+$X23+U23+V23)</f>
        <v>0</v>
      </c>
      <c r="AG23" s="16">
        <f t="shared" si="19"/>
        <v>0</v>
      </c>
      <c r="AH23" s="16">
        <f t="shared" si="20"/>
        <v>0</v>
      </c>
      <c r="AI23" s="16">
        <f t="shared" si="21"/>
        <v>0</v>
      </c>
      <c r="AJ23" s="16">
        <f t="shared" si="22"/>
        <v>0</v>
      </c>
      <c r="AK23" s="17">
        <f>GBDUS!Q6/($T23+$W23+$X23+U23+V23)</f>
        <v>0</v>
      </c>
      <c r="AL23" s="16">
        <f t="shared" si="23"/>
        <v>0</v>
      </c>
      <c r="AM23" s="16">
        <f t="shared" si="23"/>
        <v>0</v>
      </c>
      <c r="AN23" s="16">
        <f t="shared" si="23"/>
        <v>0</v>
      </c>
      <c r="AO23" s="16">
        <f t="shared" si="23"/>
        <v>0</v>
      </c>
      <c r="AP23" s="15"/>
      <c r="AQ23" s="15"/>
      <c r="AR23" s="15"/>
      <c r="AS23" s="15"/>
      <c r="AT23" s="23"/>
      <c r="AU23" s="23"/>
      <c r="AV23" s="23"/>
      <c r="AW23" s="23"/>
    </row>
    <row r="24" spans="1:49" s="13" customFormat="1" ht="12.75" x14ac:dyDescent="0.2">
      <c r="A24" s="20">
        <v>0</v>
      </c>
      <c r="B24" s="20">
        <v>1</v>
      </c>
      <c r="C24" s="20" t="s">
        <v>38</v>
      </c>
      <c r="D24" s="17">
        <f>Baseline!AN23</f>
        <v>0.35151125659111732</v>
      </c>
      <c r="E24" s="17">
        <f>Baseline!AO23</f>
        <v>0.79657422517494758</v>
      </c>
      <c r="F24" s="17">
        <f>Baseline!AP23</f>
        <v>1.4037732180124616</v>
      </c>
      <c r="G24" s="17">
        <f>Baseline!AQ23</f>
        <v>2.4738174865955198</v>
      </c>
      <c r="H24" s="17">
        <f>Baseline!AR23</f>
        <v>5.6060203212816786</v>
      </c>
      <c r="I24" s="17">
        <f>IF((D24+'Non travel METs'!C24)&gt;2.5,(D24+'Non travel METs'!C24),0.1)</f>
        <v>58.626511256591115</v>
      </c>
      <c r="J24" s="17">
        <f>IF((E24+'Non travel METs'!D24)&gt;2.5,(E24+'Non travel METs'!D24),0.1)</f>
        <v>62.29657422517495</v>
      </c>
      <c r="K24" s="17">
        <f>IF((F24+'Non travel METs'!E24)&gt;2.5,(F24+'Non travel METs'!E24),0.1)</f>
        <v>55.128773218012462</v>
      </c>
      <c r="L24" s="17">
        <f>IF((G24+'Non travel METs'!F24)&gt;2.5,(G24+'Non travel METs'!F24),0.1)</f>
        <v>54.673817486595524</v>
      </c>
      <c r="M24" s="17">
        <f>IF((H24+'Non travel METs'!G24)&gt;2.5,(H24+'Non travel METs'!G24),0.1)</f>
        <v>52.306020321281679</v>
      </c>
      <c r="N24" s="19">
        <f t="shared" si="16"/>
        <v>1</v>
      </c>
      <c r="O24" s="15">
        <f>IF(('user page'!$N$39=0),$N24^(I24^0.25),IF(('user page'!$N$39=1),$N24^(I24^0.5),IF(('user page'!$N$39=2),$N24^(I24^0.375),IF(('user page'!$N$39=4),$N24^(I24),IF(('user page'!$N$39=3),$N24^(LN(1+I24)),"")))))</f>
        <v>1</v>
      </c>
      <c r="P24" s="15">
        <f>IF(('user page'!$N$39=0),$N24^(J24^0.25),IF(('user page'!$N$39=1),$N24^(J24^0.5),IF(('user page'!$N$39=2),$N24^(J24^0.375),IF(('user page'!$N$39=4),$N24^(J24),IF(('user page'!$N$39=3),$N24^(LN(1+J24)),"")))))</f>
        <v>1</v>
      </c>
      <c r="Q24" s="15">
        <f>IF(('user page'!$N$39=0),$N24^(K24^0.25),IF(('user page'!$N$39=1),$N24^(K24^0.5),IF(('user page'!$N$39=2),$N24^(K24^0.375),IF(('user page'!$N$39=4),$N24^(K24),IF(('user page'!$N$39=3),$N24^(LN(1+K24)),"")))))</f>
        <v>1</v>
      </c>
      <c r="R24" s="15">
        <f>IF(('user page'!$N$39=0),$N24^(L24^0.25),IF(('user page'!$N$39=1),$N24^(L24^0.5),IF(('user page'!$N$39=2),$N24^(L24^0.375),IF(('user page'!$N$39=4),$N24^(L24),IF(('user page'!$N$39=3),$N24^(LN(1+L24)),"")))))</f>
        <v>1</v>
      </c>
      <c r="S24" s="15">
        <f>IF(('user page'!$N$39=0),$N24^(M24^0.25),IF(('user page'!$N$39=1),$N24^(M24^0.5),IF(('user page'!$N$39=2),$N24^(M24^0.375),IF(('user page'!$N$39=4),$N24^(M24),IF(('user page'!$N$39=3),$N24^(LN(1+M24)),"")))))</f>
        <v>1</v>
      </c>
      <c r="T24" s="18">
        <f t="shared" si="17"/>
        <v>1</v>
      </c>
      <c r="U24" s="18">
        <f t="shared" si="17"/>
        <v>1</v>
      </c>
      <c r="V24" s="18">
        <f t="shared" si="17"/>
        <v>1</v>
      </c>
      <c r="W24" s="18">
        <f t="shared" si="17"/>
        <v>1</v>
      </c>
      <c r="X24" s="18">
        <f t="shared" si="17"/>
        <v>1</v>
      </c>
      <c r="Y24" s="18"/>
      <c r="Z24" s="16"/>
      <c r="AA24" s="17">
        <f>GBDUS!O7/($T24+$W24+$X24+U24+V24)</f>
        <v>3.3071493624772319E-4</v>
      </c>
      <c r="AB24" s="16">
        <f t="shared" si="18"/>
        <v>3.3071493624772319E-4</v>
      </c>
      <c r="AC24" s="16">
        <f t="shared" si="18"/>
        <v>3.3071493624772319E-4</v>
      </c>
      <c r="AD24" s="16">
        <f t="shared" si="18"/>
        <v>3.3071493624772319E-4</v>
      </c>
      <c r="AE24" s="16">
        <f t="shared" si="18"/>
        <v>3.3071493624772319E-4</v>
      </c>
      <c r="AF24" s="17">
        <f>GBDUS!P7/($T24+$W24+$X24+U24+V24)</f>
        <v>4.9320671475690612E-3</v>
      </c>
      <c r="AG24" s="16">
        <f t="shared" si="19"/>
        <v>4.9320671475690612E-3</v>
      </c>
      <c r="AH24" s="16">
        <f t="shared" si="20"/>
        <v>4.9320671475690612E-3</v>
      </c>
      <c r="AI24" s="16">
        <f t="shared" si="21"/>
        <v>4.9320671475690612E-3</v>
      </c>
      <c r="AJ24" s="16">
        <f t="shared" si="22"/>
        <v>4.9320671475690612E-3</v>
      </c>
      <c r="AK24" s="17">
        <f>GBDUS!Q7/($T24+$W24+$X24+U24+V24)</f>
        <v>0</v>
      </c>
      <c r="AL24" s="16">
        <f t="shared" si="23"/>
        <v>0</v>
      </c>
      <c r="AM24" s="16">
        <f t="shared" si="23"/>
        <v>0</v>
      </c>
      <c r="AN24" s="16">
        <f t="shared" si="23"/>
        <v>0</v>
      </c>
      <c r="AO24" s="16">
        <f t="shared" si="23"/>
        <v>0</v>
      </c>
      <c r="AP24" s="15"/>
      <c r="AQ24" s="15"/>
      <c r="AR24" s="15"/>
      <c r="AS24" s="15"/>
      <c r="AT24" s="23"/>
      <c r="AU24" s="23"/>
      <c r="AV24" s="23"/>
      <c r="AW24" s="23"/>
    </row>
    <row r="25" spans="1:49" s="13" customFormat="1" ht="12.75" x14ac:dyDescent="0.2">
      <c r="A25" s="20">
        <v>0</v>
      </c>
      <c r="B25" s="20">
        <v>1</v>
      </c>
      <c r="C25" s="20" t="s">
        <v>37</v>
      </c>
      <c r="D25" s="17">
        <f>Baseline!AN24</f>
        <v>0.31868617612515476</v>
      </c>
      <c r="E25" s="17">
        <f>Baseline!AO24</f>
        <v>0.72218795006087733</v>
      </c>
      <c r="F25" s="17">
        <f>Baseline!AP24</f>
        <v>1.2726850438126185</v>
      </c>
      <c r="G25" s="17">
        <f>Baseline!AQ24</f>
        <v>2.2428056582885252</v>
      </c>
      <c r="H25" s="17">
        <f>Baseline!AR24</f>
        <v>5.0825148440333541</v>
      </c>
      <c r="I25" s="17">
        <f>IF((D25+'Non travel METs'!C25)&gt;2.5,(D25+'Non travel METs'!C25),0.1)</f>
        <v>41.318686176125155</v>
      </c>
      <c r="J25" s="17">
        <f>IF((E25+'Non travel METs'!D25)&gt;2.5,(E25+'Non travel METs'!D25),0.1)</f>
        <v>31.972187950060878</v>
      </c>
      <c r="K25" s="17">
        <f>IF((F25+'Non travel METs'!E25)&gt;2.5,(F25+'Non travel METs'!E25),0.1)</f>
        <v>45.356018377145915</v>
      </c>
      <c r="L25" s="17">
        <f>IF((G25+'Non travel METs'!F25)&gt;2.5,(G25+'Non travel METs'!F25),0.1)</f>
        <v>44.742805658288525</v>
      </c>
      <c r="M25" s="17">
        <f>IF((H25+'Non travel METs'!G25)&gt;2.5,(H25+'Non travel METs'!G25),0.1)</f>
        <v>37.882514844033352</v>
      </c>
      <c r="N25" s="19">
        <f t="shared" si="16"/>
        <v>1</v>
      </c>
      <c r="O25" s="15">
        <f>IF(('user page'!$N$39=0),$N25^(I25^0.25),IF(('user page'!$N$39=1),$N25^(I25^0.5),IF(('user page'!$N$39=2),$N25^(I25^0.375),IF(('user page'!$N$39=4),$N25^(I25),IF(('user page'!$N$39=3),$N25^(LN(1+I25)),"")))))</f>
        <v>1</v>
      </c>
      <c r="P25" s="15">
        <f>IF(('user page'!$N$39=0),$N25^(J25^0.25),IF(('user page'!$N$39=1),$N25^(J25^0.5),IF(('user page'!$N$39=2),$N25^(J25^0.375),IF(('user page'!$N$39=4),$N25^(J25),IF(('user page'!$N$39=3),$N25^(LN(1+J25)),"")))))</f>
        <v>1</v>
      </c>
      <c r="Q25" s="15">
        <f>IF(('user page'!$N$39=0),$N25^(K25^0.25),IF(('user page'!$N$39=1),$N25^(K25^0.5),IF(('user page'!$N$39=2),$N25^(K25^0.375),IF(('user page'!$N$39=4),$N25^(K25),IF(('user page'!$N$39=3),$N25^(LN(1+K25)),"")))))</f>
        <v>1</v>
      </c>
      <c r="R25" s="15">
        <f>IF(('user page'!$N$39=0),$N25^(L25^0.25),IF(('user page'!$N$39=1),$N25^(L25^0.5),IF(('user page'!$N$39=2),$N25^(L25^0.375),IF(('user page'!$N$39=4),$N25^(L25),IF(('user page'!$N$39=3),$N25^(LN(1+L25)),"")))))</f>
        <v>1</v>
      </c>
      <c r="S25" s="15">
        <f>IF(('user page'!$N$39=0),$N25^(M25^0.25),IF(('user page'!$N$39=1),$N25^(M25^0.5),IF(('user page'!$N$39=2),$N25^(M25^0.375),IF(('user page'!$N$39=4),$N25^(M25),IF(('user page'!$N$39=3),$N25^(LN(1+M25)),"")))))</f>
        <v>1</v>
      </c>
      <c r="T25" s="18">
        <f t="shared" si="17"/>
        <v>1</v>
      </c>
      <c r="U25" s="18">
        <f t="shared" si="17"/>
        <v>1</v>
      </c>
      <c r="V25" s="18">
        <f t="shared" si="17"/>
        <v>1</v>
      </c>
      <c r="W25" s="18">
        <f t="shared" si="17"/>
        <v>1</v>
      </c>
      <c r="X25" s="18">
        <f t="shared" si="17"/>
        <v>1</v>
      </c>
      <c r="Y25" s="18"/>
      <c r="Z25" s="16"/>
      <c r="AA25" s="17">
        <f>GBDUS!O8/($T25+$W25+$X25+U25+V25)</f>
        <v>0</v>
      </c>
      <c r="AB25" s="16">
        <f t="shared" si="18"/>
        <v>0</v>
      </c>
      <c r="AC25" s="16">
        <f t="shared" si="18"/>
        <v>0</v>
      </c>
      <c r="AD25" s="16">
        <f t="shared" si="18"/>
        <v>0</v>
      </c>
      <c r="AE25" s="16">
        <f t="shared" si="18"/>
        <v>0</v>
      </c>
      <c r="AF25" s="17">
        <f>GBDUS!P8/($T25+$W25+$X25+U25+V25)</f>
        <v>0</v>
      </c>
      <c r="AG25" s="16">
        <f t="shared" si="19"/>
        <v>0</v>
      </c>
      <c r="AH25" s="16">
        <f t="shared" si="20"/>
        <v>0</v>
      </c>
      <c r="AI25" s="16">
        <f t="shared" si="21"/>
        <v>0</v>
      </c>
      <c r="AJ25" s="16">
        <f t="shared" si="22"/>
        <v>0</v>
      </c>
      <c r="AK25" s="17">
        <f>GBDUS!Q8/($T25+$W25+$X25+U25+V25)</f>
        <v>0</v>
      </c>
      <c r="AL25" s="16">
        <f t="shared" si="23"/>
        <v>0</v>
      </c>
      <c r="AM25" s="16">
        <f t="shared" si="23"/>
        <v>0</v>
      </c>
      <c r="AN25" s="16">
        <f t="shared" si="23"/>
        <v>0</v>
      </c>
      <c r="AO25" s="16">
        <f t="shared" si="23"/>
        <v>0</v>
      </c>
      <c r="AP25" s="15"/>
      <c r="AQ25" s="15"/>
      <c r="AR25" s="15"/>
      <c r="AS25" s="15"/>
      <c r="AT25" s="23"/>
      <c r="AU25" s="23"/>
      <c r="AV25" s="23"/>
      <c r="AW25" s="23"/>
    </row>
    <row r="26" spans="1:49" s="13" customFormat="1" ht="12.75" x14ac:dyDescent="0.2">
      <c r="A26" s="20">
        <v>0</v>
      </c>
      <c r="B26" s="20">
        <v>1</v>
      </c>
      <c r="C26" s="20" t="s">
        <v>36</v>
      </c>
      <c r="D26" s="17">
        <f>Baseline!AN25</f>
        <v>0.30266188092522223</v>
      </c>
      <c r="E26" s="17">
        <f>Baseline!AO25</f>
        <v>0.68587463066209398</v>
      </c>
      <c r="F26" s="17">
        <f>Baseline!AP25</f>
        <v>1.2086914276270724</v>
      </c>
      <c r="G26" s="17">
        <f>Baseline!AQ25</f>
        <v>2.130032081531998</v>
      </c>
      <c r="H26" s="17">
        <f>Baseline!AR25</f>
        <v>4.8269539684124263</v>
      </c>
      <c r="I26" s="17">
        <f>IF((D26+'Non travel METs'!C26)&gt;2.5,(D26+'Non travel METs'!C26),0.1)</f>
        <v>4.6776618809252222</v>
      </c>
      <c r="J26" s="17">
        <f>IF((E26+'Non travel METs'!D26)&gt;2.5,(E26+'Non travel METs'!D26),0.1)</f>
        <v>5.6858746306620942</v>
      </c>
      <c r="K26" s="17">
        <f>IF((F26+'Non travel METs'!E26)&gt;2.5,(F26+'Non travel METs'!E26),0.1)</f>
        <v>9.5420247609604019</v>
      </c>
      <c r="L26" s="17">
        <f>IF((G26+'Non travel METs'!F26)&gt;2.5,(G26+'Non travel METs'!F26),0.1)</f>
        <v>5.880032081531998</v>
      </c>
      <c r="M26" s="17">
        <f>IF((H26+'Non travel METs'!G26)&gt;2.5,(H26+'Non travel METs'!G26),0.1)</f>
        <v>17.951953968412425</v>
      </c>
      <c r="N26" s="19">
        <f t="shared" si="16"/>
        <v>1</v>
      </c>
      <c r="O26" s="15">
        <f>IF(('user page'!$N$39=0),$N26^(I26^0.25),IF(('user page'!$N$39=1),$N26^(I26^0.5),IF(('user page'!$N$39=2),$N26^(I26^0.375),IF(('user page'!$N$39=4),$N26^(I26),IF(('user page'!$N$39=3),$N26^(LN(1+I26)),"")))))</f>
        <v>1</v>
      </c>
      <c r="P26" s="15">
        <f>IF(('user page'!$N$39=0),$N26^(J26^0.25),IF(('user page'!$N$39=1),$N26^(J26^0.5),IF(('user page'!$N$39=2),$N26^(J26^0.375),IF(('user page'!$N$39=4),$N26^(J26),IF(('user page'!$N$39=3),$N26^(LN(1+J26)),"")))))</f>
        <v>1</v>
      </c>
      <c r="Q26" s="15">
        <f>IF(('user page'!$N$39=0),$N26^(K26^0.25),IF(('user page'!$N$39=1),$N26^(K26^0.5),IF(('user page'!$N$39=2),$N26^(K26^0.375),IF(('user page'!$N$39=4),$N26^(K26),IF(('user page'!$N$39=3),$N26^(LN(1+K26)),"")))))</f>
        <v>1</v>
      </c>
      <c r="R26" s="15">
        <f>IF(('user page'!$N$39=0),$N26^(L26^0.25),IF(('user page'!$N$39=1),$N26^(L26^0.5),IF(('user page'!$N$39=2),$N26^(L26^0.375),IF(('user page'!$N$39=4),$N26^(L26),IF(('user page'!$N$39=3),$N26^(LN(1+L26)),"")))))</f>
        <v>1</v>
      </c>
      <c r="S26" s="15">
        <f>IF(('user page'!$N$39=0),$N26^(M26^0.25),IF(('user page'!$N$39=1),$N26^(M26^0.5),IF(('user page'!$N$39=2),$N26^(M26^0.375),IF(('user page'!$N$39=4),$N26^(M26),IF(('user page'!$N$39=3),$N26^(LN(1+M26)),"")))))</f>
        <v>1</v>
      </c>
      <c r="T26" s="18">
        <f t="shared" si="17"/>
        <v>1</v>
      </c>
      <c r="U26" s="18">
        <f t="shared" si="17"/>
        <v>1</v>
      </c>
      <c r="V26" s="18">
        <f t="shared" si="17"/>
        <v>1</v>
      </c>
      <c r="W26" s="18">
        <f t="shared" si="17"/>
        <v>1</v>
      </c>
      <c r="X26" s="18">
        <f t="shared" si="17"/>
        <v>1</v>
      </c>
      <c r="Y26" s="18"/>
      <c r="Z26" s="16"/>
      <c r="AA26" s="17">
        <f>GBDUS!O9/($T26+$W26+$X26+U26+V26)</f>
        <v>4.2089639925171229E-4</v>
      </c>
      <c r="AB26" s="16">
        <f t="shared" si="18"/>
        <v>4.2089639925171229E-4</v>
      </c>
      <c r="AC26" s="16">
        <f t="shared" si="18"/>
        <v>4.2089639925171229E-4</v>
      </c>
      <c r="AD26" s="16">
        <f t="shared" si="18"/>
        <v>4.2089639925171229E-4</v>
      </c>
      <c r="AE26" s="16">
        <f t="shared" si="18"/>
        <v>4.2089639925171229E-4</v>
      </c>
      <c r="AF26" s="17">
        <f>GBDUS!P9/($T26+$W26+$X26+U26+V26)</f>
        <v>3.2925637539317478E-3</v>
      </c>
      <c r="AG26" s="16">
        <f t="shared" si="19"/>
        <v>3.2925637539317478E-3</v>
      </c>
      <c r="AH26" s="16">
        <f t="shared" si="20"/>
        <v>3.2925637539317478E-3</v>
      </c>
      <c r="AI26" s="16">
        <f t="shared" si="21"/>
        <v>3.2925637539317478E-3</v>
      </c>
      <c r="AJ26" s="16">
        <f t="shared" si="22"/>
        <v>3.2925637539317478E-3</v>
      </c>
      <c r="AK26" s="17">
        <f>GBDUS!Q9/($T26+$W26+$X26+U26+V26)</f>
        <v>0</v>
      </c>
      <c r="AL26" s="16">
        <f t="shared" si="23"/>
        <v>0</v>
      </c>
      <c r="AM26" s="16">
        <f t="shared" si="23"/>
        <v>0</v>
      </c>
      <c r="AN26" s="16">
        <f t="shared" si="23"/>
        <v>0</v>
      </c>
      <c r="AO26" s="16">
        <f t="shared" si="23"/>
        <v>0</v>
      </c>
      <c r="AP26" s="15"/>
      <c r="AQ26" s="15"/>
      <c r="AR26" s="15"/>
      <c r="AS26" s="15"/>
      <c r="AT26" s="23"/>
      <c r="AU26" s="23"/>
      <c r="AV26" s="23"/>
      <c r="AW26" s="23"/>
    </row>
    <row r="27" spans="1:49" s="13" customFormat="1" ht="12.75" x14ac:dyDescent="0.2">
      <c r="A27" s="20">
        <v>0</v>
      </c>
      <c r="B27" s="20">
        <v>1</v>
      </c>
      <c r="C27" s="20" t="s">
        <v>35</v>
      </c>
      <c r="D27" s="17">
        <f>Baseline!AN26</f>
        <v>0.24350710807091377</v>
      </c>
      <c r="E27" s="17">
        <f>Baseline!AO26</f>
        <v>0.55182154852528853</v>
      </c>
      <c r="F27" s="17">
        <f>Baseline!AP26</f>
        <v>0.97245465200915271</v>
      </c>
      <c r="G27" s="17">
        <f>Baseline!AQ26</f>
        <v>1.7137207721254923</v>
      </c>
      <c r="H27" s="17">
        <f>Baseline!AR26</f>
        <v>3.8835336582406703</v>
      </c>
      <c r="I27" s="17">
        <f>IF((D27+'Non travel METs'!C27)&gt;2.5,(D27+'Non travel METs'!C27),0.1)</f>
        <v>0.1</v>
      </c>
      <c r="J27" s="17">
        <f>IF((E27+'Non travel METs'!D27)&gt;2.5,(E27+'Non travel METs'!D27),0.1)</f>
        <v>10.551821548525288</v>
      </c>
      <c r="K27" s="17">
        <f>IF((F27+'Non travel METs'!E27)&gt;2.5,(F27+'Non travel METs'!E27),0.1)</f>
        <v>4.7224546520091524</v>
      </c>
      <c r="L27" s="17">
        <f>IF((G27+'Non travel METs'!F27)&gt;2.5,(G27+'Non travel METs'!F27),0.1)</f>
        <v>6.9220541054588232</v>
      </c>
      <c r="M27" s="17">
        <f>IF((H27+'Non travel METs'!G27)&gt;2.5,(H27+'Non travel METs'!G27),0.1)</f>
        <v>3.8835336582406703</v>
      </c>
      <c r="N27" s="19">
        <f t="shared" si="16"/>
        <v>1</v>
      </c>
      <c r="O27" s="15">
        <f>IF(('user page'!$N$39=0),$N27^(I27^0.25),IF(('user page'!$N$39=1),$N27^(I27^0.5),IF(('user page'!$N$39=2),$N27^(I27^0.375),IF(('user page'!$N$39=4),$N27^(I27),IF(('user page'!$N$39=3),$N27^(LN(1+I27)),"")))))</f>
        <v>1</v>
      </c>
      <c r="P27" s="15">
        <f>IF(('user page'!$N$39=0),$N27^(J27^0.25),IF(('user page'!$N$39=1),$N27^(J27^0.5),IF(('user page'!$N$39=2),$N27^(J27^0.375),IF(('user page'!$N$39=4),$N27^(J27),IF(('user page'!$N$39=3),$N27^(LN(1+J27)),"")))))</f>
        <v>1</v>
      </c>
      <c r="Q27" s="15">
        <f>IF(('user page'!$N$39=0),$N27^(K27^0.25),IF(('user page'!$N$39=1),$N27^(K27^0.5),IF(('user page'!$N$39=2),$N27^(K27^0.375),IF(('user page'!$N$39=4),$N27^(K27),IF(('user page'!$N$39=3),$N27^(LN(1+K27)),"")))))</f>
        <v>1</v>
      </c>
      <c r="R27" s="15">
        <f>IF(('user page'!$N$39=0),$N27^(L27^0.25),IF(('user page'!$N$39=1),$N27^(L27^0.5),IF(('user page'!$N$39=2),$N27^(L27^0.375),IF(('user page'!$N$39=4),$N27^(L27),IF(('user page'!$N$39=3),$N27^(LN(1+L27)),"")))))</f>
        <v>1</v>
      </c>
      <c r="S27" s="15">
        <f>IF(('user page'!$N$39=0),$N27^(M27^0.25),IF(('user page'!$N$39=1),$N27^(M27^0.5),IF(('user page'!$N$39=2),$N27^(M27^0.375),IF(('user page'!$N$39=4),$N27^(M27),IF(('user page'!$N$39=3),$N27^(LN(1+M27)),"")))))</f>
        <v>1</v>
      </c>
      <c r="T27" s="18">
        <f t="shared" si="17"/>
        <v>1</v>
      </c>
      <c r="U27" s="18">
        <f t="shared" si="17"/>
        <v>1</v>
      </c>
      <c r="V27" s="18">
        <f t="shared" si="17"/>
        <v>1</v>
      </c>
      <c r="W27" s="18">
        <f t="shared" si="17"/>
        <v>1</v>
      </c>
      <c r="X27" s="18">
        <f t="shared" si="17"/>
        <v>1</v>
      </c>
      <c r="Y27" s="18"/>
      <c r="Z27" s="16"/>
      <c r="AA27" s="17">
        <f>GBDUS!O10/($T27+$W27+$X27+U27+V27)</f>
        <v>4.8768333308210621E-4</v>
      </c>
      <c r="AB27" s="16">
        <f t="shared" si="18"/>
        <v>4.8768333308210621E-4</v>
      </c>
      <c r="AC27" s="16">
        <f t="shared" si="18"/>
        <v>4.8768333308210621E-4</v>
      </c>
      <c r="AD27" s="16">
        <f t="shared" si="18"/>
        <v>4.8768333308210621E-4</v>
      </c>
      <c r="AE27" s="16">
        <f t="shared" si="18"/>
        <v>4.8768333308210621E-4</v>
      </c>
      <c r="AF27" s="17">
        <f>GBDUS!P10/($T27+$W27+$X27+U27+V27)</f>
        <v>2.0709922908874936E-3</v>
      </c>
      <c r="AG27" s="16">
        <f t="shared" si="19"/>
        <v>2.0709922908874936E-3</v>
      </c>
      <c r="AH27" s="16">
        <f t="shared" si="20"/>
        <v>2.0709922908874936E-3</v>
      </c>
      <c r="AI27" s="16">
        <f t="shared" si="21"/>
        <v>2.0709922908874936E-3</v>
      </c>
      <c r="AJ27" s="16">
        <f t="shared" si="22"/>
        <v>2.0709922908874936E-3</v>
      </c>
      <c r="AK27" s="17">
        <f>GBDUS!Q10/($T27+$W27+$X27+U27+V27)</f>
        <v>0</v>
      </c>
      <c r="AL27" s="16">
        <f t="shared" si="23"/>
        <v>0</v>
      </c>
      <c r="AM27" s="16">
        <f t="shared" si="23"/>
        <v>0</v>
      </c>
      <c r="AN27" s="16">
        <f t="shared" si="23"/>
        <v>0</v>
      </c>
      <c r="AO27" s="16">
        <f t="shared" si="23"/>
        <v>0</v>
      </c>
      <c r="AP27" s="15"/>
      <c r="AQ27" s="15"/>
      <c r="AR27" s="15"/>
      <c r="AS27" s="15"/>
      <c r="AT27" s="23"/>
      <c r="AU27" s="23"/>
      <c r="AV27" s="23"/>
      <c r="AW27" s="23"/>
    </row>
    <row r="28" spans="1:49" s="13" customFormat="1" ht="12.75" x14ac:dyDescent="0.2">
      <c r="A28" s="20">
        <v>0</v>
      </c>
      <c r="B28" s="20">
        <v>2</v>
      </c>
      <c r="C28" s="20" t="s">
        <v>2</v>
      </c>
      <c r="D28" s="17">
        <f>Baseline!AN27</f>
        <v>0.24306329430858828</v>
      </c>
      <c r="E28" s="17">
        <f>Baseline!AO27</f>
        <v>0.55081580376685635</v>
      </c>
      <c r="F28" s="17">
        <f>Baseline!AP27</f>
        <v>0.97068226531696034</v>
      </c>
      <c r="G28" s="17">
        <f>Baseline!AQ27</f>
        <v>1.7105973607824818</v>
      </c>
      <c r="H28" s="17">
        <f>Baseline!AR27</f>
        <v>3.8764555663622224</v>
      </c>
      <c r="I28" s="17"/>
      <c r="J28" s="17"/>
      <c r="K28" s="17"/>
      <c r="L28" s="17"/>
      <c r="M28" s="17"/>
      <c r="N28" s="19"/>
      <c r="O28" s="15"/>
      <c r="P28" s="15"/>
      <c r="Q28" s="15"/>
      <c r="R28" s="15"/>
      <c r="S28" s="15"/>
      <c r="T28" s="18"/>
      <c r="U28" s="18"/>
      <c r="V28" s="18"/>
      <c r="W28" s="18"/>
      <c r="X28" s="18"/>
      <c r="Y28" s="18"/>
      <c r="Z28" s="16"/>
      <c r="AA28" s="17"/>
      <c r="AB28" s="16"/>
      <c r="AC28" s="16"/>
      <c r="AD28" s="16"/>
      <c r="AE28" s="16"/>
      <c r="AF28" s="17"/>
      <c r="AG28" s="16">
        <f t="shared" si="19"/>
        <v>0</v>
      </c>
      <c r="AH28" s="16">
        <f t="shared" si="20"/>
        <v>0</v>
      </c>
      <c r="AI28" s="16">
        <f t="shared" si="21"/>
        <v>0</v>
      </c>
      <c r="AJ28" s="16">
        <f t="shared" si="22"/>
        <v>0</v>
      </c>
      <c r="AK28" s="17"/>
      <c r="AL28" s="16"/>
      <c r="AM28" s="16"/>
      <c r="AN28" s="16"/>
      <c r="AO28" s="16"/>
      <c r="AP28" s="15"/>
      <c r="AQ28" s="15"/>
      <c r="AR28" s="15"/>
      <c r="AS28" s="15"/>
      <c r="AT28" s="23"/>
      <c r="AU28" s="23"/>
      <c r="AV28" s="23"/>
      <c r="AW28" s="23"/>
    </row>
    <row r="29" spans="1:49" s="13" customFormat="1" ht="12.75" x14ac:dyDescent="0.2">
      <c r="A29" s="20">
        <v>0</v>
      </c>
      <c r="B29" s="20">
        <v>2</v>
      </c>
      <c r="C29" s="20" t="s">
        <v>41</v>
      </c>
      <c r="D29" s="17">
        <f>Baseline!AN28</f>
        <v>0.56789896032052078</v>
      </c>
      <c r="E29" s="17">
        <f>Baseline!AO28</f>
        <v>1.2869393676947998</v>
      </c>
      <c r="F29" s="17">
        <f>Baseline!AP28</f>
        <v>2.26792552467924</v>
      </c>
      <c r="G29" s="17">
        <f>Baseline!AQ28</f>
        <v>3.9966810516526148</v>
      </c>
      <c r="H29" s="17">
        <f>Baseline!AR28</f>
        <v>9.0570445534688684</v>
      </c>
      <c r="I29" s="17"/>
      <c r="J29" s="17"/>
      <c r="K29" s="17"/>
      <c r="L29" s="17"/>
      <c r="M29" s="17"/>
      <c r="N29" s="19"/>
      <c r="O29" s="15"/>
      <c r="P29" s="15"/>
      <c r="Q29" s="15"/>
      <c r="R29" s="15"/>
      <c r="S29" s="15"/>
      <c r="T29" s="18"/>
      <c r="U29" s="18"/>
      <c r="V29" s="18"/>
      <c r="W29" s="18"/>
      <c r="X29" s="18"/>
      <c r="Y29" s="18"/>
      <c r="Z29" s="16"/>
      <c r="AA29" s="17"/>
      <c r="AB29" s="16"/>
      <c r="AC29" s="16"/>
      <c r="AD29" s="16"/>
      <c r="AE29" s="16"/>
      <c r="AF29" s="17"/>
      <c r="AG29" s="16">
        <f t="shared" si="19"/>
        <v>0</v>
      </c>
      <c r="AH29" s="16">
        <f t="shared" si="20"/>
        <v>0</v>
      </c>
      <c r="AI29" s="16">
        <f t="shared" si="21"/>
        <v>0</v>
      </c>
      <c r="AJ29" s="16">
        <f t="shared" si="22"/>
        <v>0</v>
      </c>
      <c r="AK29" s="17"/>
      <c r="AL29" s="16"/>
      <c r="AM29" s="16"/>
      <c r="AN29" s="16"/>
      <c r="AO29" s="16"/>
      <c r="AP29" s="15"/>
      <c r="AQ29" s="15"/>
      <c r="AR29" s="15"/>
      <c r="AS29" s="15"/>
      <c r="AT29" s="23"/>
      <c r="AU29" s="23"/>
      <c r="AV29" s="23"/>
      <c r="AW29" s="23"/>
    </row>
    <row r="30" spans="1:49" s="13" customFormat="1" ht="12.75" x14ac:dyDescent="0.2">
      <c r="A30" s="20">
        <v>0</v>
      </c>
      <c r="B30" s="20">
        <v>2</v>
      </c>
      <c r="C30" s="20" t="s">
        <v>40</v>
      </c>
      <c r="D30" s="17">
        <f>Baseline!AN29</f>
        <v>0.78305520090183223</v>
      </c>
      <c r="E30" s="17">
        <f>Baseline!AO29</f>
        <v>1.774513840542973</v>
      </c>
      <c r="F30" s="17">
        <f>Baseline!AP29</f>
        <v>3.1271599376688002</v>
      </c>
      <c r="G30" s="17">
        <f>Baseline!AQ29</f>
        <v>5.5108779950504481</v>
      </c>
      <c r="H30" s="17">
        <f>Baseline!AR29</f>
        <v>12.488428995169523</v>
      </c>
      <c r="I30" s="17">
        <f>IF((D30+'Non travel METs'!C30)&gt;2.5,(D30+'Non travel METs'!C30),0.1)</f>
        <v>9.6497218675685037</v>
      </c>
      <c r="J30" s="17">
        <f>IF((E30+'Non travel METs'!D30)&gt;2.5,(E30+'Non travel METs'!D30),0.1)</f>
        <v>26.374513840542974</v>
      </c>
      <c r="K30" s="17">
        <f>IF((F30+'Non travel METs'!E30)&gt;2.5,(F30+'Non travel METs'!E30),0.1)</f>
        <v>32.977159937668802</v>
      </c>
      <c r="L30" s="17">
        <f>IF((G30+'Non travel METs'!F30)&gt;2.5,(G30+'Non travel METs'!F30),0.1)</f>
        <v>35.910877995050448</v>
      </c>
      <c r="M30" s="17">
        <f>IF((H30+'Non travel METs'!G30)&gt;2.5,(H30+'Non travel METs'!G30),0.1)</f>
        <v>53.488428995169521</v>
      </c>
      <c r="N30" s="19">
        <f t="shared" ref="N30:N35" si="24">N13</f>
        <v>0.97319906938028322</v>
      </c>
      <c r="O30" s="15">
        <f>IF(('user page'!$N$39=0),$N30^(I30^0.25),IF(('user page'!$N$39=1),$N30^(I30^0.5),IF(('user page'!$N$39=2),$N30^(I30^0.375),IF(('user page'!$N$39=4),$N30^(I30),IF(('user page'!$N$39=3),$N30^(LN(1+I30)),"")))))</f>
        <v>0.9190723748985048</v>
      </c>
      <c r="P30" s="15">
        <f>IF(('user page'!$N$39=0),$N30^(J30^0.25),IF(('user page'!$N$39=1),$N30^(J30^0.5),IF(('user page'!$N$39=2),$N30^(J30^0.375),IF(('user page'!$N$39=4),$N30^(J30),IF(('user page'!$N$39=3),$N30^(LN(1+J30)),"")))))</f>
        <v>0.86977801906346863</v>
      </c>
      <c r="Q30" s="15">
        <f>IF(('user page'!$N$39=0),$N30^(K30^0.25),IF(('user page'!$N$39=1),$N30^(K30^0.5),IF(('user page'!$N$39=2),$N30^(K30^0.375),IF(('user page'!$N$39=4),$N30^(K30),IF(('user page'!$N$39=3),$N30^(LN(1+K30)),"")))))</f>
        <v>0.85555374949400276</v>
      </c>
      <c r="R30" s="15">
        <f>IF(('user page'!$N$39=0),$N30^(L30^0.25),IF(('user page'!$N$39=1),$N30^(L30^0.5),IF(('user page'!$N$39=2),$N30^(L30^0.375),IF(('user page'!$N$39=4),$N30^(L30),IF(('user page'!$N$39=3),$N30^(LN(1+L30)),"")))))</f>
        <v>0.8497629430757645</v>
      </c>
      <c r="S30" s="15">
        <f>IF(('user page'!$N$39=0),$N30^(M30^0.25),IF(('user page'!$N$39=1),$N30^(M30^0.5),IF(('user page'!$N$39=2),$N30^(M30^0.375),IF(('user page'!$N$39=4),$N30^(M30),IF(('user page'!$N$39=3),$N30^(LN(1+M30)),"")))))</f>
        <v>0.81980789808516752</v>
      </c>
      <c r="T30" s="18">
        <f t="shared" ref="T30:X35" si="25">O30/$O30</f>
        <v>1</v>
      </c>
      <c r="U30" s="18">
        <f t="shared" si="25"/>
        <v>0.94636509900487453</v>
      </c>
      <c r="V30" s="18">
        <f t="shared" si="25"/>
        <v>0.93088833138792082</v>
      </c>
      <c r="W30" s="18">
        <f t="shared" si="25"/>
        <v>0.92458762365652181</v>
      </c>
      <c r="X30" s="18">
        <f t="shared" si="25"/>
        <v>0.89199492931740088</v>
      </c>
      <c r="Y30" s="18"/>
      <c r="Z30" s="16"/>
      <c r="AA30" s="17">
        <f>GBDUS!O13/($T30+$W30+$X30+U30+V30)</f>
        <v>0</v>
      </c>
      <c r="AB30" s="16">
        <f t="shared" ref="AB30:AE35" si="26">$AA30*U30</f>
        <v>0</v>
      </c>
      <c r="AC30" s="16">
        <f t="shared" si="26"/>
        <v>0</v>
      </c>
      <c r="AD30" s="16">
        <f t="shared" si="26"/>
        <v>0</v>
      </c>
      <c r="AE30" s="16">
        <f t="shared" si="26"/>
        <v>0</v>
      </c>
      <c r="AF30" s="17">
        <f>GBDUS!P13/($T30+$W30+$X30+U30+V30)</f>
        <v>0</v>
      </c>
      <c r="AG30" s="16">
        <f t="shared" si="19"/>
        <v>0</v>
      </c>
      <c r="AH30" s="16">
        <f t="shared" si="20"/>
        <v>0</v>
      </c>
      <c r="AI30" s="16">
        <f t="shared" si="21"/>
        <v>0</v>
      </c>
      <c r="AJ30" s="16">
        <f t="shared" si="22"/>
        <v>0</v>
      </c>
      <c r="AK30" s="17">
        <f>GBDUS!Q13/($T30+$W30+$X30+U30+V30)</f>
        <v>8.4178080299627687E-4</v>
      </c>
      <c r="AL30" s="16">
        <f t="shared" ref="AL30:AO35" si="27">U30*$AK30</f>
        <v>7.9663197296797432E-4</v>
      </c>
      <c r="AM30" s="16">
        <f t="shared" si="27"/>
        <v>7.8360392709558825E-4</v>
      </c>
      <c r="AN30" s="16">
        <f t="shared" si="27"/>
        <v>7.7830011228200639E-4</v>
      </c>
      <c r="AO30" s="16">
        <f t="shared" si="27"/>
        <v>7.5086420786940893E-4</v>
      </c>
      <c r="AP30" s="15"/>
      <c r="AQ30" s="15"/>
      <c r="AR30" s="15"/>
      <c r="AS30" s="15"/>
      <c r="AT30" s="23"/>
      <c r="AU30" s="23"/>
      <c r="AV30" s="23"/>
      <c r="AW30" s="23"/>
    </row>
    <row r="31" spans="1:49" s="13" customFormat="1" ht="12.75" x14ac:dyDescent="0.2">
      <c r="A31" s="20">
        <v>0</v>
      </c>
      <c r="B31" s="20">
        <v>2</v>
      </c>
      <c r="C31" s="20" t="s">
        <v>39</v>
      </c>
      <c r="D31" s="17">
        <f>Baseline!AN30</f>
        <v>0.47165676213737562</v>
      </c>
      <c r="E31" s="17">
        <f>Baseline!AO30</f>
        <v>1.0688409341187475</v>
      </c>
      <c r="F31" s="17">
        <f>Baseline!AP30</f>
        <v>1.8835787428369182</v>
      </c>
      <c r="G31" s="17">
        <f>Baseline!AQ30</f>
        <v>3.3193609705753828</v>
      </c>
      <c r="H31" s="17">
        <f>Baseline!AR30</f>
        <v>7.5221414496199817</v>
      </c>
      <c r="I31" s="17">
        <f>IF((D31+'Non travel METs'!C31)&gt;2.5,(D31+'Non travel METs'!C31),0.1)</f>
        <v>41.471656762137378</v>
      </c>
      <c r="J31" s="17">
        <f>IF((E31+'Non travel METs'!D31)&gt;2.5,(E31+'Non travel METs'!D31),0.1)</f>
        <v>36.943840934118747</v>
      </c>
      <c r="K31" s="17">
        <f>IF((F31+'Non travel METs'!E31)&gt;2.5,(F31+'Non travel METs'!E31),0.1)</f>
        <v>40.733578742836919</v>
      </c>
      <c r="L31" s="17">
        <f>IF((G31+'Non travel METs'!F31)&gt;2.5,(G31+'Non travel METs'!F31),0.1)</f>
        <v>44.319360970575381</v>
      </c>
      <c r="M31" s="17">
        <f>IF((H31+'Non travel METs'!G31)&gt;2.5,(H31+'Non travel METs'!G31),0.1)</f>
        <v>49.788808116286681</v>
      </c>
      <c r="N31" s="19">
        <f t="shared" si="24"/>
        <v>0.97319906938028322</v>
      </c>
      <c r="O31" s="15">
        <f>IF(('user page'!$N$39=0),$N31^(I31^0.25),IF(('user page'!$N$39=1),$N31^(I31^0.5),IF(('user page'!$N$39=2),$N31^(I31^0.375),IF(('user page'!$N$39=4),$N31^(I31),IF(('user page'!$N$39=3),$N31^(LN(1+I31)),"")))))</f>
        <v>0.83949986617200045</v>
      </c>
      <c r="P31" s="15">
        <f>IF(('user page'!$N$39=0),$N31^(J31^0.25),IF(('user page'!$N$39=1),$N31^(J31^0.5),IF(('user page'!$N$39=2),$N31^(J31^0.375),IF(('user page'!$N$39=4),$N31^(J31),IF(('user page'!$N$39=3),$N31^(LN(1+J31)),"")))))</f>
        <v>0.84778970017220978</v>
      </c>
      <c r="Q31" s="15">
        <f>IF(('user page'!$N$39=0),$N31^(K31^0.25),IF(('user page'!$N$39=1),$N31^(K31^0.5),IF(('user page'!$N$39=2),$N31^(K31^0.375),IF(('user page'!$N$39=4),$N31^(K31),IF(('user page'!$N$39=3),$N31^(LN(1+K31)),"")))))</f>
        <v>0.84081369212320323</v>
      </c>
      <c r="R31" s="15">
        <f>IF(('user page'!$N$39=0),$N31^(L31^0.25),IF(('user page'!$N$39=1),$N31^(L31^0.5),IF(('user page'!$N$39=2),$N31^(L31^0.375),IF(('user page'!$N$39=4),$N31^(L31),IF(('user page'!$N$39=3),$N31^(LN(1+L31)),"")))))</f>
        <v>0.83455569958278442</v>
      </c>
      <c r="S31" s="15">
        <f>IF(('user page'!$N$39=0),$N31^(M31^0.25),IF(('user page'!$N$39=1),$N31^(M31^0.5),IF(('user page'!$N$39=2),$N31^(M31^0.375),IF(('user page'!$N$39=4),$N31^(M31),IF(('user page'!$N$39=3),$N31^(LN(1+M31)),"")))))</f>
        <v>0.82556199366232441</v>
      </c>
      <c r="T31" s="18">
        <f t="shared" si="25"/>
        <v>1</v>
      </c>
      <c r="U31" s="18">
        <f t="shared" si="25"/>
        <v>1.0098747293885939</v>
      </c>
      <c r="V31" s="18">
        <f t="shared" si="25"/>
        <v>1.0015650103164324</v>
      </c>
      <c r="W31" s="18">
        <f t="shared" si="25"/>
        <v>0.99411058084885617</v>
      </c>
      <c r="X31" s="18">
        <f t="shared" si="25"/>
        <v>0.98339740949187904</v>
      </c>
      <c r="Y31" s="18"/>
      <c r="Z31" s="16"/>
      <c r="AA31" s="17">
        <f>GBDUS!O14/($T31+$W31+$X31+U31+V31)</f>
        <v>2.3777316235116499E-2</v>
      </c>
      <c r="AB31" s="16">
        <f t="shared" si="26"/>
        <v>2.4012110798525294E-2</v>
      </c>
      <c r="AC31" s="16">
        <f t="shared" si="26"/>
        <v>2.3814527980321531E-2</v>
      </c>
      <c r="AD31" s="16">
        <f t="shared" si="26"/>
        <v>2.36372816535186E-2</v>
      </c>
      <c r="AE31" s="16">
        <f t="shared" si="26"/>
        <v>2.3382551190282763E-2</v>
      </c>
      <c r="AF31" s="17">
        <f>GBDUS!P14/($T31+$W31+$X31+U31+V31)</f>
        <v>0.58027417879521415</v>
      </c>
      <c r="AG31" s="16">
        <f t="shared" si="19"/>
        <v>0.58600422928200546</v>
      </c>
      <c r="AH31" s="16">
        <f t="shared" si="20"/>
        <v>0.58118231387138797</v>
      </c>
      <c r="AI31" s="16">
        <f t="shared" si="21"/>
        <v>0.57685670093370334</v>
      </c>
      <c r="AJ31" s="16">
        <f t="shared" si="22"/>
        <v>0.57064012422224109</v>
      </c>
      <c r="AK31" s="17">
        <f>GBDUS!Q14/($T31+$W31+$X31+U31+V31)</f>
        <v>0.10178464603251905</v>
      </c>
      <c r="AL31" s="16">
        <f t="shared" si="27"/>
        <v>0.10278974186800399</v>
      </c>
      <c r="AM31" s="16">
        <f t="shared" si="27"/>
        <v>0.10194394005361436</v>
      </c>
      <c r="AN31" s="16">
        <f t="shared" si="27"/>
        <v>0.10118519358888274</v>
      </c>
      <c r="AO31" s="16">
        <f t="shared" si="27"/>
        <v>0.1000947572344271</v>
      </c>
      <c r="AP31" s="15"/>
      <c r="AQ31" s="15"/>
      <c r="AR31" s="15"/>
      <c r="AS31" s="15"/>
      <c r="AT31" s="23"/>
      <c r="AU31" s="23"/>
      <c r="AV31" s="23"/>
      <c r="AW31" s="23"/>
    </row>
    <row r="32" spans="1:49" s="13" customFormat="1" ht="12.75" x14ac:dyDescent="0.2">
      <c r="A32" s="20">
        <v>0</v>
      </c>
      <c r="B32" s="20">
        <v>2</v>
      </c>
      <c r="C32" s="20" t="s">
        <v>38</v>
      </c>
      <c r="D32" s="17">
        <f>Baseline!AN31</f>
        <v>0.39813871625667402</v>
      </c>
      <c r="E32" s="17">
        <f>Baseline!AO31</f>
        <v>0.90223864376331542</v>
      </c>
      <c r="F32" s="17">
        <f>Baseline!AP31</f>
        <v>1.5899817045833551</v>
      </c>
      <c r="G32" s="17">
        <f>Baseline!AQ31</f>
        <v>2.8019657973915968</v>
      </c>
      <c r="H32" s="17">
        <f>Baseline!AR31</f>
        <v>6.3496508068308559</v>
      </c>
      <c r="I32" s="17">
        <f>IF((D32+'Non travel METs'!C32)&gt;2.5,(D32+'Non travel METs'!C32),0.1)</f>
        <v>42.048138716256673</v>
      </c>
      <c r="J32" s="17">
        <f>IF((E32+'Non travel METs'!D32)&gt;2.5,(E32+'Non travel METs'!D32),0.1)</f>
        <v>43.952238643763316</v>
      </c>
      <c r="K32" s="17">
        <f>IF((F32+'Non travel METs'!E32)&gt;2.5,(F32+'Non travel METs'!E32),0.1)</f>
        <v>47.656648371250057</v>
      </c>
      <c r="L32" s="17">
        <f>IF((G32+'Non travel METs'!F32)&gt;2.5,(G32+'Non travel METs'!F32),0.1)</f>
        <v>43.801965797391595</v>
      </c>
      <c r="M32" s="17">
        <f>IF((H32+'Non travel METs'!G32)&gt;2.5,(H32+'Non travel METs'!G32),0.1)</f>
        <v>47.349650806830859</v>
      </c>
      <c r="N32" s="19">
        <f t="shared" si="24"/>
        <v>0.97319906938028322</v>
      </c>
      <c r="O32" s="15">
        <f>IF(('user page'!$N$39=0),$N32^(I32^0.25),IF(('user page'!$N$39=1),$N32^(I32^0.5),IF(('user page'!$N$39=2),$N32^(I32^0.375),IF(('user page'!$N$39=4),$N32^(I32),IF(('user page'!$N$39=3),$N32^(LN(1+I32)),"")))))</f>
        <v>0.83848321538694193</v>
      </c>
      <c r="P32" s="15">
        <f>IF(('user page'!$N$39=0),$N32^(J32^0.25),IF(('user page'!$N$39=1),$N32^(J32^0.5),IF(('user page'!$N$39=2),$N32^(J32^0.375),IF(('user page'!$N$39=4),$N32^(J32),IF(('user page'!$N$39=3),$N32^(LN(1+J32)),"")))))</f>
        <v>0.83518237152491726</v>
      </c>
      <c r="Q32" s="15">
        <f>IF(('user page'!$N$39=0),$N32^(K32^0.25),IF(('user page'!$N$39=1),$N32^(K32^0.5),IF(('user page'!$N$39=2),$N32^(K32^0.375),IF(('user page'!$N$39=4),$N32^(K32),IF(('user page'!$N$39=3),$N32^(LN(1+K32)),"")))))</f>
        <v>0.82899469999123176</v>
      </c>
      <c r="R32" s="15">
        <f>IF(('user page'!$N$39=0),$N32^(L32^0.25),IF(('user page'!$N$39=1),$N32^(L32^0.5),IF(('user page'!$N$39=2),$N32^(L32^0.375),IF(('user page'!$N$39=4),$N32^(L32),IF(('user page'!$N$39=3),$N32^(LN(1+L32)),"")))))</f>
        <v>0.83543977571949357</v>
      </c>
      <c r="S32" s="15">
        <f>IF(('user page'!$N$39=0),$N32^(M32^0.25),IF(('user page'!$N$39=1),$N32^(M32^0.5),IF(('user page'!$N$39=2),$N32^(M32^0.375),IF(('user page'!$N$39=4),$N32^(M32),IF(('user page'!$N$39=3),$N32^(LN(1+M32)),"")))))</f>
        <v>0.82949642195980644</v>
      </c>
      <c r="T32" s="18">
        <f t="shared" si="25"/>
        <v>1</v>
      </c>
      <c r="U32" s="18">
        <f t="shared" si="25"/>
        <v>0.99606331551848493</v>
      </c>
      <c r="V32" s="18">
        <f t="shared" si="25"/>
        <v>0.98868371456746285</v>
      </c>
      <c r="W32" s="18">
        <f t="shared" si="25"/>
        <v>0.99637030341025501</v>
      </c>
      <c r="X32" s="18">
        <f t="shared" si="25"/>
        <v>0.98928208309693089</v>
      </c>
      <c r="Y32" s="18"/>
      <c r="Z32" s="16"/>
      <c r="AA32" s="17">
        <f>GBDUS!O15/($T32+$W32+$X32+U32+V32)</f>
        <v>2.8548593562439623E-2</v>
      </c>
      <c r="AB32" s="16">
        <f t="shared" si="26"/>
        <v>2.8436206757193286E-2</v>
      </c>
      <c r="AC32" s="16">
        <f t="shared" si="26"/>
        <v>2.8225529528989563E-2</v>
      </c>
      <c r="AD32" s="16">
        <f t="shared" si="26"/>
        <v>2.844497082974402E-2</v>
      </c>
      <c r="AE32" s="16">
        <f t="shared" si="26"/>
        <v>2.8242612108937901E-2</v>
      </c>
      <c r="AF32" s="17">
        <f>GBDUS!P15/($T32+$W32+$X32+U32+V32)</f>
        <v>0.50053501988651039</v>
      </c>
      <c r="AG32" s="16">
        <f t="shared" si="19"/>
        <v>0.49856457144126831</v>
      </c>
      <c r="AH32" s="16">
        <f t="shared" si="20"/>
        <v>0.494870822732494</v>
      </c>
      <c r="AI32" s="16">
        <f t="shared" si="21"/>
        <v>0.49871822963178036</v>
      </c>
      <c r="AJ32" s="16">
        <f t="shared" si="22"/>
        <v>0.49517032713629072</v>
      </c>
      <c r="AK32" s="17">
        <f>GBDUS!Q15/($T32+$W32+$X32+U32+V32)</f>
        <v>0.11308278803696002</v>
      </c>
      <c r="AL32" s="16">
        <f t="shared" si="27"/>
        <v>0.11263761678016847</v>
      </c>
      <c r="AM32" s="16">
        <f t="shared" si="27"/>
        <v>0.11180311093002668</v>
      </c>
      <c r="AN32" s="16">
        <f t="shared" si="27"/>
        <v>0.11267233182686341</v>
      </c>
      <c r="AO32" s="16">
        <f t="shared" si="27"/>
        <v>0.1118707761116125</v>
      </c>
      <c r="AP32" s="15"/>
      <c r="AQ32" s="15"/>
      <c r="AR32" s="15"/>
      <c r="AS32" s="15"/>
      <c r="AT32" s="23"/>
      <c r="AU32" s="23"/>
      <c r="AV32" s="23"/>
      <c r="AW32" s="23"/>
    </row>
    <row r="33" spans="1:49" s="13" customFormat="1" ht="12.75" x14ac:dyDescent="0.2">
      <c r="A33" s="20">
        <v>0</v>
      </c>
      <c r="B33" s="20">
        <v>2</v>
      </c>
      <c r="C33" s="20" t="s">
        <v>37</v>
      </c>
      <c r="D33" s="17">
        <f>Baseline!AN32</f>
        <v>0.26186863902756607</v>
      </c>
      <c r="E33" s="17">
        <f>Baseline!AO32</f>
        <v>0.59343137472733987</v>
      </c>
      <c r="F33" s="17">
        <f>Baseline!AP32</f>
        <v>1.0457821057260546</v>
      </c>
      <c r="G33" s="17">
        <f>Baseline!AQ32</f>
        <v>1.8429430246409162</v>
      </c>
      <c r="H33" s="17">
        <f>Baseline!AR32</f>
        <v>4.1763695596313646</v>
      </c>
      <c r="I33" s="17">
        <f>IF((D33+'Non travel METs'!C33)&gt;2.5,(D33+'Non travel METs'!C33),0.1)</f>
        <v>33.061868639027566</v>
      </c>
      <c r="J33" s="17">
        <f>IF((E33+'Non travel METs'!D33)&gt;2.5,(E33+'Non travel METs'!D33),0.1)</f>
        <v>18.593431374727341</v>
      </c>
      <c r="K33" s="17">
        <f>IF((F33+'Non travel METs'!E33)&gt;2.5,(F33+'Non travel METs'!E33),0.1)</f>
        <v>32.795782105726055</v>
      </c>
      <c r="L33" s="17">
        <f>IF((G33+'Non travel METs'!F33)&gt;2.5,(G33+'Non travel METs'!F33),0.1)</f>
        <v>22.342943024640917</v>
      </c>
      <c r="M33" s="17">
        <f>IF((H33+'Non travel METs'!G33)&gt;2.5,(H33+'Non travel METs'!G33),0.1)</f>
        <v>8.6763695596313646</v>
      </c>
      <c r="N33" s="19">
        <f t="shared" si="24"/>
        <v>0.97319906938028322</v>
      </c>
      <c r="O33" s="15">
        <f>IF(('user page'!$N$39=0),$N33^(I33^0.25),IF(('user page'!$N$39=1),$N33^(I33^0.5),IF(('user page'!$N$39=2),$N33^(I33^0.375),IF(('user page'!$N$39=4),$N33^(I33),IF(('user page'!$N$39=3),$N33^(LN(1+I33)),"")))))</f>
        <v>0.85538245150182168</v>
      </c>
      <c r="P33" s="15">
        <f>IF(('user page'!$N$39=0),$N33^(J33^0.25),IF(('user page'!$N$39=1),$N33^(J33^0.5),IF(('user page'!$N$39=2),$N33^(J33^0.375),IF(('user page'!$N$39=4),$N33^(J33),IF(('user page'!$N$39=3),$N33^(LN(1+J33)),"")))))</f>
        <v>0.88945820565970679</v>
      </c>
      <c r="Q33" s="15">
        <f>IF(('user page'!$N$39=0),$N33^(K33^0.25),IF(('user page'!$N$39=1),$N33^(K33^0.5),IF(('user page'!$N$39=2),$N33^(K33^0.375),IF(('user page'!$N$39=4),$N33^(K33),IF(('user page'!$N$39=3),$N33^(LN(1+K33)),"")))))</f>
        <v>0.85592138907010396</v>
      </c>
      <c r="R33" s="15">
        <f>IF(('user page'!$N$39=0),$N33^(L33^0.25),IF(('user page'!$N$39=1),$N33^(L33^0.5),IF(('user page'!$N$39=2),$N33^(L33^0.375),IF(('user page'!$N$39=4),$N33^(L33),IF(('user page'!$N$39=3),$N33^(LN(1+L33)),"")))))</f>
        <v>0.87949088765005812</v>
      </c>
      <c r="S33" s="15">
        <f>IF(('user page'!$N$39=0),$N33^(M33^0.25),IF(('user page'!$N$39=1),$N33^(M33^0.5),IF(('user page'!$N$39=2),$N33^(M33^0.375),IF(('user page'!$N$39=4),$N33^(M33),IF(('user page'!$N$39=3),$N33^(LN(1+M33)),"")))))</f>
        <v>0.92309683805225928</v>
      </c>
      <c r="T33" s="18">
        <f t="shared" si="25"/>
        <v>1</v>
      </c>
      <c r="U33" s="18">
        <f t="shared" si="25"/>
        <v>1.0398368637304369</v>
      </c>
      <c r="V33" s="18">
        <f t="shared" si="25"/>
        <v>1.0006300545064211</v>
      </c>
      <c r="W33" s="18">
        <f t="shared" si="25"/>
        <v>1.0281843941337685</v>
      </c>
      <c r="X33" s="18">
        <f t="shared" si="25"/>
        <v>1.0791627025216022</v>
      </c>
      <c r="Y33" s="18"/>
      <c r="Z33" s="16"/>
      <c r="AA33" s="17">
        <f>GBDUS!O16/($T33+$W33+$X33+U33+V33)</f>
        <v>4.9648074633103625E-2</v>
      </c>
      <c r="AB33" s="16">
        <f t="shared" si="26"/>
        <v>5.1625898216741135E-2</v>
      </c>
      <c r="AC33" s="16">
        <f t="shared" si="26"/>
        <v>4.9679355626261343E-2</v>
      </c>
      <c r="AD33" s="16">
        <f t="shared" si="26"/>
        <v>5.1047375536545772E-2</v>
      </c>
      <c r="AE33" s="16">
        <f t="shared" si="26"/>
        <v>5.3578350396054311E-2</v>
      </c>
      <c r="AF33" s="17">
        <f>GBDUS!P16/($T33+$W33+$X33+U33+V33)</f>
        <v>0.61785424313780268</v>
      </c>
      <c r="AG33" s="16">
        <f t="shared" si="19"/>
        <v>0.64246761842695554</v>
      </c>
      <c r="AH33" s="16">
        <f t="shared" si="20"/>
        <v>0.61824352498800306</v>
      </c>
      <c r="AI33" s="16">
        <f t="shared" si="21"/>
        <v>0.63526809064361978</v>
      </c>
      <c r="AJ33" s="16">
        <f t="shared" si="22"/>
        <v>0.66676525478903026</v>
      </c>
      <c r="AK33" s="17">
        <f>GBDUS!Q16/($T33+$W33+$X33+U33+V33)</f>
        <v>0.20693952639405153</v>
      </c>
      <c r="AL33" s="16">
        <f t="shared" si="27"/>
        <v>0.21518334810745252</v>
      </c>
      <c r="AM33" s="16">
        <f t="shared" si="27"/>
        <v>0.20706990957521273</v>
      </c>
      <c r="AN33" s="16">
        <f t="shared" si="27"/>
        <v>0.21277199156779686</v>
      </c>
      <c r="AO33" s="16">
        <f t="shared" si="27"/>
        <v>0.22332141856194507</v>
      </c>
      <c r="AP33" s="15"/>
      <c r="AQ33" s="15"/>
      <c r="AR33" s="15"/>
      <c r="AS33" s="15"/>
      <c r="AT33" s="23"/>
      <c r="AU33" s="23"/>
      <c r="AV33" s="23"/>
      <c r="AW33" s="23"/>
    </row>
    <row r="34" spans="1:49" s="13" customFormat="1" ht="12.75" x14ac:dyDescent="0.2">
      <c r="A34" s="20">
        <v>0</v>
      </c>
      <c r="B34" s="20">
        <v>2</v>
      </c>
      <c r="C34" s="20" t="s">
        <v>36</v>
      </c>
      <c r="D34" s="17">
        <f>Baseline!AN33</f>
        <v>0.23782262690158459</v>
      </c>
      <c r="E34" s="17">
        <f>Baseline!AO33</f>
        <v>0.53893971018277653</v>
      </c>
      <c r="F34" s="17">
        <f>Baseline!AP33</f>
        <v>0.94975346598971733</v>
      </c>
      <c r="G34" s="17">
        <f>Baseline!AQ33</f>
        <v>1.6737153138215863</v>
      </c>
      <c r="H34" s="17">
        <f>Baseline!AR33</f>
        <v>3.7928756313534393</v>
      </c>
      <c r="I34" s="17">
        <f>IF((D34+'Non travel METs'!C34)&gt;2.5,(D34+'Non travel METs'!C34),0.1)</f>
        <v>6.0711559602349148</v>
      </c>
      <c r="J34" s="17">
        <f>IF((E34+'Non travel METs'!D34)&gt;2.5,(E34+'Non travel METs'!D34),0.1)</f>
        <v>5.5389397101827766</v>
      </c>
      <c r="K34" s="17">
        <f>IF((F34+'Non travel METs'!E34)&gt;2.5,(F34+'Non travel METs'!E34),0.1)</f>
        <v>3.4497534659897173</v>
      </c>
      <c r="L34" s="17">
        <f>IF((G34+'Non travel METs'!F34)&gt;2.5,(G34+'Non travel METs'!F34),0.1)</f>
        <v>5.4237153138215861</v>
      </c>
      <c r="M34" s="17">
        <f>IF((H34+'Non travel METs'!G34)&gt;2.5,(H34+'Non travel METs'!G34),0.1)</f>
        <v>3.7928756313534393</v>
      </c>
      <c r="N34" s="19">
        <f t="shared" si="24"/>
        <v>0.97319906938028322</v>
      </c>
      <c r="O34" s="15">
        <f>IF(('user page'!$N$39=0),$N34^(I34^0.25),IF(('user page'!$N$39=1),$N34^(I34^0.5),IF(('user page'!$N$39=2),$N34^(I34^0.375),IF(('user page'!$N$39=4),$N34^(I34),IF(('user page'!$N$39=3),$N34^(LN(1+I34)),"")))))</f>
        <v>0.93525338133820091</v>
      </c>
      <c r="P34" s="15">
        <f>IF(('user page'!$N$39=0),$N34^(J34^0.25),IF(('user page'!$N$39=1),$N34^(J34^0.5),IF(('user page'!$N$39=2),$N34^(J34^0.375),IF(('user page'!$N$39=4),$N34^(J34),IF(('user page'!$N$39=3),$N34^(LN(1+J34)),"")))))</f>
        <v>0.93806454574500908</v>
      </c>
      <c r="Q34" s="15">
        <f>IF(('user page'!$N$39=0),$N34^(K34^0.25),IF(('user page'!$N$39=1),$N34^(K34^0.5),IF(('user page'!$N$39=2),$N34^(K34^0.375),IF(('user page'!$N$39=4),$N34^(K34),IF(('user page'!$N$39=3),$N34^(LN(1+K34)),"")))))</f>
        <v>0.95079389713694118</v>
      </c>
      <c r="R34" s="15">
        <f>IF(('user page'!$N$39=0),$N34^(L34^0.25),IF(('user page'!$N$39=1),$N34^(L34^0.5),IF(('user page'!$N$39=2),$N34^(L34^0.375),IF(('user page'!$N$39=4),$N34^(L34),IF(('user page'!$N$39=3),$N34^(LN(1+L34)),"")))))</f>
        <v>0.9386918686450213</v>
      </c>
      <c r="S34" s="15">
        <f>IF(('user page'!$N$39=0),$N34^(M34^0.25),IF(('user page'!$N$39=1),$N34^(M34^0.5),IF(('user page'!$N$39=2),$N34^(M34^0.375),IF(('user page'!$N$39=4),$N34^(M34),IF(('user page'!$N$39=3),$N34^(LN(1+M34)),"")))))</f>
        <v>0.94846742536589457</v>
      </c>
      <c r="T34" s="18">
        <f t="shared" si="25"/>
        <v>1</v>
      </c>
      <c r="U34" s="18">
        <f t="shared" si="25"/>
        <v>1.0030057783942847</v>
      </c>
      <c r="V34" s="18">
        <f t="shared" si="25"/>
        <v>1.0166163695409518</v>
      </c>
      <c r="W34" s="18">
        <f t="shared" si="25"/>
        <v>1.0036765302060715</v>
      </c>
      <c r="X34" s="18">
        <f t="shared" si="25"/>
        <v>1.0141288385493847</v>
      </c>
      <c r="Y34" s="18"/>
      <c r="Z34" s="16"/>
      <c r="AA34" s="17">
        <f>GBDUS!O17/($T34+$W34+$X34+U34+V34)</f>
        <v>4.9029275945321964E-2</v>
      </c>
      <c r="AB34" s="16">
        <f t="shared" si="26"/>
        <v>4.9176647083645837E-2</v>
      </c>
      <c r="AC34" s="16">
        <f t="shared" si="26"/>
        <v>4.9843964512754732E-2</v>
      </c>
      <c r="AD34" s="16">
        <f t="shared" si="26"/>
        <v>4.9209533559316752E-2</v>
      </c>
      <c r="AE34" s="16">
        <f t="shared" si="26"/>
        <v>4.9722002669346649E-2</v>
      </c>
      <c r="AF34" s="17">
        <f>GBDUS!P17/($T34+$W34+$X34+U34+V34)</f>
        <v>0.39396237822931129</v>
      </c>
      <c r="AG34" s="16">
        <f t="shared" si="19"/>
        <v>0.39514654183395398</v>
      </c>
      <c r="AH34" s="16">
        <f t="shared" si="20"/>
        <v>0.40050860269120175</v>
      </c>
      <c r="AI34" s="16">
        <f t="shared" si="21"/>
        <v>0.39541079281292713</v>
      </c>
      <c r="AJ34" s="16">
        <f t="shared" si="22"/>
        <v>0.39952860906584486</v>
      </c>
      <c r="AK34" s="17">
        <f>GBDUS!Q17/($T34+$W34+$X34+U34+V34)</f>
        <v>0.2039211250172305</v>
      </c>
      <c r="AL34" s="16">
        <f t="shared" si="27"/>
        <v>0.20453406672894553</v>
      </c>
      <c r="AM34" s="16">
        <f t="shared" si="27"/>
        <v>0.20730955378772345</v>
      </c>
      <c r="AN34" s="16">
        <f t="shared" si="27"/>
        <v>0.20467084719301243</v>
      </c>
      <c r="AO34" s="16">
        <f t="shared" si="27"/>
        <v>0.20680229366940786</v>
      </c>
      <c r="AP34" s="15"/>
      <c r="AQ34" s="15"/>
      <c r="AR34" s="15"/>
      <c r="AS34" s="15"/>
      <c r="AT34" s="23"/>
      <c r="AU34" s="23"/>
      <c r="AV34" s="23"/>
      <c r="AW34" s="23"/>
    </row>
    <row r="35" spans="1:49" s="13" customFormat="1" ht="12.75" x14ac:dyDescent="0.2">
      <c r="A35" s="20">
        <v>0</v>
      </c>
      <c r="B35" s="20">
        <v>2</v>
      </c>
      <c r="C35" s="20" t="s">
        <v>35</v>
      </c>
      <c r="D35" s="17">
        <f>Baseline!AN34</f>
        <v>0.12364682020186614</v>
      </c>
      <c r="E35" s="17">
        <f>Baseline!AO34</f>
        <v>0.28020118317922604</v>
      </c>
      <c r="F35" s="17">
        <f>Baseline!AP34</f>
        <v>0.49378815453891239</v>
      </c>
      <c r="G35" s="17">
        <f>Baseline!AQ34</f>
        <v>0.87018455381391113</v>
      </c>
      <c r="H35" s="17">
        <f>Baseline!AR34</f>
        <v>1.9719612778142819</v>
      </c>
      <c r="I35" s="17">
        <f>IF((D35+'Non travel METs'!C35)&gt;2.5,(D35+'Non travel METs'!C35),0.1)</f>
        <v>6.6236468202018663</v>
      </c>
      <c r="J35" s="17">
        <f>IF((E35+'Non travel METs'!D35)&gt;2.5,(E35+'Non travel METs'!D35),0.1)</f>
        <v>3.4052011831792259</v>
      </c>
      <c r="K35" s="17">
        <f>IF((F35+'Non travel METs'!E35)&gt;2.5,(F35+'Non travel METs'!E35),0.1)</f>
        <v>0.1</v>
      </c>
      <c r="L35" s="17">
        <f>IF((G35+'Non travel METs'!F35)&gt;2.5,(G35+'Non travel METs'!F35),0.1)</f>
        <v>0.1</v>
      </c>
      <c r="M35" s="17">
        <f>IF((H35+'Non travel METs'!G35)&gt;2.5,(H35+'Non travel METs'!G35),0.1)</f>
        <v>0.1</v>
      </c>
      <c r="N35" s="19">
        <f t="shared" si="24"/>
        <v>0.97319906938028322</v>
      </c>
      <c r="O35" s="15">
        <f>IF(('user page'!$N$39=0),$N35^(I35^0.25),IF(('user page'!$N$39=1),$N35^(I35^0.5),IF(('user page'!$N$39=2),$N35^(I35^0.375),IF(('user page'!$N$39=4),$N35^(I35),IF(('user page'!$N$39=3),$N35^(LN(1+I35)),"")))))</f>
        <v>0.93247099031556746</v>
      </c>
      <c r="P35" s="15">
        <f>IF(('user page'!$N$39=0),$N35^(J35^0.25),IF(('user page'!$N$39=1),$N35^(J35^0.5),IF(('user page'!$N$39=2),$N35^(J35^0.375),IF(('user page'!$N$39=4),$N35^(J35),IF(('user page'!$N$39=3),$N35^(LN(1+J35)),"")))))</f>
        <v>0.9511047450886444</v>
      </c>
      <c r="Q35" s="15">
        <f>IF(('user page'!$N$39=0),$N35^(K35^0.25),IF(('user page'!$N$39=1),$N35^(K35^0.5),IF(('user page'!$N$39=2),$N35^(K35^0.375),IF(('user page'!$N$39=4),$N35^(K35),IF(('user page'!$N$39=3),$N35^(LN(1+K35)),"")))))</f>
        <v>0.99144595491037002</v>
      </c>
      <c r="R35" s="15">
        <f>IF(('user page'!$N$39=0),$N35^(L35^0.25),IF(('user page'!$N$39=1),$N35^(L35^0.5),IF(('user page'!$N$39=2),$N35^(L35^0.375),IF(('user page'!$N$39=4),$N35^(L35),IF(('user page'!$N$39=3),$N35^(LN(1+L35)),"")))))</f>
        <v>0.99144595491037002</v>
      </c>
      <c r="S35" s="15">
        <f>IF(('user page'!$N$39=0),$N35^(M35^0.25),IF(('user page'!$N$39=1),$N35^(M35^0.5),IF(('user page'!$N$39=2),$N35^(M35^0.375),IF(('user page'!$N$39=4),$N35^(M35),IF(('user page'!$N$39=3),$N35^(LN(1+M35)),"")))))</f>
        <v>0.99144595491037002</v>
      </c>
      <c r="T35" s="18">
        <f t="shared" si="25"/>
        <v>1</v>
      </c>
      <c r="U35" s="18">
        <f t="shared" si="25"/>
        <v>1.0199832005141209</v>
      </c>
      <c r="V35" s="18">
        <f t="shared" si="25"/>
        <v>1.0632458974137569</v>
      </c>
      <c r="W35" s="18">
        <f t="shared" si="25"/>
        <v>1.0632458974137569</v>
      </c>
      <c r="X35" s="18">
        <f t="shared" si="25"/>
        <v>1.0632458974137569</v>
      </c>
      <c r="Y35" s="18"/>
      <c r="Z35" s="16"/>
      <c r="AA35" s="17">
        <f>GBDUS!O18/($T35+$W35+$X35+U35+V35)</f>
        <v>3.2242624123503205E-2</v>
      </c>
      <c r="AB35" s="16">
        <f t="shared" si="26"/>
        <v>3.2886934946464601E-2</v>
      </c>
      <c r="AC35" s="16">
        <f t="shared" si="26"/>
        <v>3.4281837821168608E-2</v>
      </c>
      <c r="AD35" s="16">
        <f t="shared" si="26"/>
        <v>3.4281837821168608E-2</v>
      </c>
      <c r="AE35" s="16">
        <f t="shared" si="26"/>
        <v>3.4281837821168608E-2</v>
      </c>
      <c r="AF35" s="17">
        <f>GBDUS!P18/($T35+$W35+$X35+U35+V35)</f>
        <v>0.1132773343095443</v>
      </c>
      <c r="AG35" s="16">
        <f t="shared" si="19"/>
        <v>0.11554097799475703</v>
      </c>
      <c r="AH35" s="16">
        <f t="shared" si="20"/>
        <v>0.12044166097458958</v>
      </c>
      <c r="AI35" s="16">
        <f t="shared" si="21"/>
        <v>0.12044166097458958</v>
      </c>
      <c r="AJ35" s="16">
        <f t="shared" si="22"/>
        <v>0.12044166097458958</v>
      </c>
      <c r="AK35" s="17">
        <f>GBDUS!Q18/($T35+$W35+$X35+U35+V35)</f>
        <v>0.10067553422504281</v>
      </c>
      <c r="AL35" s="16">
        <f t="shared" si="27"/>
        <v>0.10268735361232809</v>
      </c>
      <c r="AM35" s="16">
        <f t="shared" si="27"/>
        <v>0.10704284873471503</v>
      </c>
      <c r="AN35" s="16">
        <f t="shared" si="27"/>
        <v>0.10704284873471503</v>
      </c>
      <c r="AO35" s="16">
        <f t="shared" si="27"/>
        <v>0.10704284873471503</v>
      </c>
      <c r="AP35" s="15"/>
      <c r="AQ35" s="15"/>
      <c r="AR35" s="15"/>
      <c r="AS35" s="15"/>
      <c r="AT35" s="23"/>
      <c r="AU35" s="23"/>
      <c r="AV35" s="23"/>
      <c r="AW35" s="23"/>
    </row>
  </sheetData>
  <mergeCells count="8">
    <mergeCell ref="AF1:AJ1"/>
    <mergeCell ref="AK1:AO1"/>
    <mergeCell ref="AP1:AS1"/>
    <mergeCell ref="D1:H1"/>
    <mergeCell ref="I1:M1"/>
    <mergeCell ref="O1:S1"/>
    <mergeCell ref="T1:X1"/>
    <mergeCell ref="AA1:AE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8"/>
  <sheetViews>
    <sheetView zoomScaleNormal="100" workbookViewId="0">
      <pane xSplit="3" ySplit="2" topLeftCell="D3" activePane="bottomRight" state="frozen"/>
      <selection pane="topRight" activeCell="D1" sqref="D1"/>
      <selection pane="bottomLeft" activeCell="A3" sqref="A3"/>
      <selection pane="bottomRight" activeCell="R36" sqref="R36"/>
    </sheetView>
  </sheetViews>
  <sheetFormatPr defaultColWidth="9.140625" defaultRowHeight="15" x14ac:dyDescent="0.25"/>
  <cols>
    <col min="1" max="1" width="5.28515625" style="10" customWidth="1"/>
    <col min="2" max="2" width="3.7109375" style="10" customWidth="1"/>
    <col min="3" max="3" width="5.42578125" style="10" customWidth="1"/>
    <col min="4" max="5" width="1.85546875" style="10" customWidth="1"/>
    <col min="6" max="6" width="2.7109375" style="10" customWidth="1"/>
    <col min="7" max="8" width="4.85546875" style="11" customWidth="1"/>
    <col min="9" max="10" width="1.85546875" style="10" customWidth="1"/>
    <col min="11" max="11" width="2.7109375" style="10" customWidth="1"/>
    <col min="12" max="12" width="4.85546875" style="11" customWidth="1"/>
    <col min="13" max="13" width="2.7109375" style="10" customWidth="1"/>
    <col min="14" max="14" width="8" style="492" customWidth="1"/>
    <col min="15" max="22" width="3.140625" style="10" customWidth="1"/>
    <col min="23" max="23" width="4" style="11" customWidth="1"/>
    <col min="24" max="24" width="6.5703125" style="11" customWidth="1"/>
    <col min="25" max="25" width="4.140625" style="10" customWidth="1"/>
    <col min="26" max="26" width="6.7109375" style="12" customWidth="1"/>
    <col min="27" max="27" width="7.140625" style="12" customWidth="1"/>
    <col min="28" max="32" width="4.42578125" style="10" customWidth="1"/>
    <col min="33" max="35" width="5.28515625" style="10" customWidth="1"/>
    <col min="36" max="37" width="4.42578125" style="10" customWidth="1"/>
    <col min="38" max="42" width="3.5703125" style="12" customWidth="1"/>
    <col min="43" max="43" width="7.7109375" style="11" customWidth="1"/>
    <col min="44" max="44" width="5.85546875" style="10" customWidth="1"/>
    <col min="45" max="45" width="5.28515625" style="10" customWidth="1"/>
    <col min="46" max="46" width="6.140625" style="10" customWidth="1"/>
    <col min="47" max="47" width="5.140625" style="10" customWidth="1"/>
    <col min="48" max="48" width="5.42578125" style="10" customWidth="1"/>
    <col min="49" max="49" width="4.5703125" style="10" customWidth="1"/>
    <col min="50" max="50" width="6" style="10" customWidth="1"/>
    <col min="51" max="16384" width="9.140625" style="10"/>
  </cols>
  <sheetData>
    <row r="1" spans="1:50" s="13" customFormat="1" ht="46.5" customHeight="1" x14ac:dyDescent="0.2">
      <c r="A1" s="20"/>
      <c r="B1" s="20"/>
      <c r="C1" s="20"/>
      <c r="D1" s="1344" t="s">
        <v>57</v>
      </c>
      <c r="E1" s="1344"/>
      <c r="F1" s="1344"/>
      <c r="G1" s="1344"/>
      <c r="H1" s="1344"/>
      <c r="I1" s="1344" t="s">
        <v>56</v>
      </c>
      <c r="J1" s="1344"/>
      <c r="K1" s="1344"/>
      <c r="L1" s="1344"/>
      <c r="M1" s="1344"/>
      <c r="N1" s="490"/>
      <c r="O1" s="1344" t="s">
        <v>55</v>
      </c>
      <c r="P1" s="1344"/>
      <c r="Q1" s="1344"/>
      <c r="R1" s="1344"/>
      <c r="S1" s="1344"/>
      <c r="T1" s="1344" t="s">
        <v>53</v>
      </c>
      <c r="U1" s="1344"/>
      <c r="V1" s="1344"/>
      <c r="W1" s="1344"/>
      <c r="X1" s="1344"/>
      <c r="Y1" s="224" t="s">
        <v>76</v>
      </c>
      <c r="Z1" s="225" t="s">
        <v>75</v>
      </c>
      <c r="AA1" s="225" t="s">
        <v>147</v>
      </c>
      <c r="AB1" s="1344" t="s">
        <v>52</v>
      </c>
      <c r="AC1" s="1344"/>
      <c r="AD1" s="1344"/>
      <c r="AE1" s="1344"/>
      <c r="AF1" s="1344"/>
      <c r="AG1" s="1344" t="s">
        <v>51</v>
      </c>
      <c r="AH1" s="1344"/>
      <c r="AI1" s="1344"/>
      <c r="AJ1" s="1344"/>
      <c r="AK1" s="1344"/>
      <c r="AL1" s="1345" t="s">
        <v>50</v>
      </c>
      <c r="AM1" s="1345"/>
      <c r="AN1" s="1345"/>
      <c r="AO1" s="1345"/>
      <c r="AP1" s="1345"/>
      <c r="AQ1" s="1346" t="s">
        <v>49</v>
      </c>
      <c r="AR1" s="1346"/>
      <c r="AS1" s="1346"/>
      <c r="AT1" s="1346"/>
      <c r="AU1" s="1347"/>
      <c r="AV1" s="1347"/>
      <c r="AW1" s="1347"/>
      <c r="AX1" s="1347"/>
    </row>
    <row r="2" spans="1:50" s="23" customFormat="1" ht="37.5" customHeight="1" x14ac:dyDescent="0.2">
      <c r="A2" s="29" t="s">
        <v>48</v>
      </c>
      <c r="B2" s="29" t="s">
        <v>47</v>
      </c>
      <c r="C2" s="29" t="s">
        <v>46</v>
      </c>
      <c r="D2" s="29">
        <v>1</v>
      </c>
      <c r="E2" s="29">
        <v>2</v>
      </c>
      <c r="F2" s="29">
        <v>3</v>
      </c>
      <c r="G2" s="489">
        <v>4</v>
      </c>
      <c r="H2" s="489">
        <v>5</v>
      </c>
      <c r="I2" s="29">
        <v>1</v>
      </c>
      <c r="J2" s="29">
        <v>2</v>
      </c>
      <c r="K2" s="29">
        <v>3</v>
      </c>
      <c r="L2" s="489">
        <v>4</v>
      </c>
      <c r="M2" s="29">
        <v>5</v>
      </c>
      <c r="N2" s="491" t="s">
        <v>45</v>
      </c>
      <c r="O2" s="29">
        <v>1</v>
      </c>
      <c r="P2" s="29">
        <v>2</v>
      </c>
      <c r="Q2" s="29">
        <v>3</v>
      </c>
      <c r="R2" s="29">
        <v>4</v>
      </c>
      <c r="S2" s="29">
        <v>5</v>
      </c>
      <c r="T2" s="29">
        <v>1</v>
      </c>
      <c r="U2" s="29">
        <v>2</v>
      </c>
      <c r="V2" s="29">
        <v>3</v>
      </c>
      <c r="W2" s="29">
        <v>4</v>
      </c>
      <c r="X2" s="29">
        <v>5</v>
      </c>
      <c r="Y2" s="29"/>
      <c r="Z2" s="225"/>
      <c r="AA2" s="225"/>
      <c r="AB2" s="29">
        <v>1</v>
      </c>
      <c r="AC2" s="29">
        <v>2</v>
      </c>
      <c r="AD2" s="29">
        <v>3</v>
      </c>
      <c r="AE2" s="29">
        <v>4</v>
      </c>
      <c r="AF2" s="29">
        <v>5</v>
      </c>
      <c r="AG2" s="29">
        <v>1</v>
      </c>
      <c r="AH2" s="29">
        <v>2</v>
      </c>
      <c r="AI2" s="29">
        <v>3</v>
      </c>
      <c r="AJ2" s="29">
        <v>4</v>
      </c>
      <c r="AK2" s="29">
        <v>5</v>
      </c>
      <c r="AL2" s="28">
        <v>1</v>
      </c>
      <c r="AM2" s="28">
        <v>2</v>
      </c>
      <c r="AN2" s="28">
        <v>3</v>
      </c>
      <c r="AO2" s="28">
        <v>4</v>
      </c>
      <c r="AP2" s="28">
        <v>5</v>
      </c>
      <c r="AQ2" s="226" t="s">
        <v>44</v>
      </c>
      <c r="AR2" s="224" t="s">
        <v>43</v>
      </c>
      <c r="AS2" s="224" t="s">
        <v>42</v>
      </c>
      <c r="AT2" s="224" t="s">
        <v>29</v>
      </c>
      <c r="AU2" s="24"/>
      <c r="AV2" s="24"/>
      <c r="AW2" s="24"/>
      <c r="AX2" s="24"/>
    </row>
    <row r="3" spans="1:50" s="13" customFormat="1" ht="12.75" x14ac:dyDescent="0.2">
      <c r="A3" s="20">
        <v>1</v>
      </c>
      <c r="B3" s="20">
        <v>1</v>
      </c>
      <c r="C3" s="20" t="s">
        <v>2</v>
      </c>
      <c r="D3" s="17"/>
      <c r="E3" s="17"/>
      <c r="F3" s="17"/>
      <c r="G3" s="19"/>
      <c r="H3" s="19"/>
      <c r="I3" s="17"/>
      <c r="J3" s="17"/>
      <c r="K3" s="17"/>
      <c r="L3" s="19"/>
      <c r="M3" s="17"/>
      <c r="N3" s="237"/>
      <c r="O3" s="15"/>
      <c r="P3" s="15"/>
      <c r="Q3" s="15"/>
      <c r="R3" s="15"/>
      <c r="S3" s="15"/>
      <c r="T3" s="18"/>
      <c r="U3" s="18"/>
      <c r="V3" s="18"/>
      <c r="W3" s="186"/>
      <c r="X3" s="186"/>
      <c r="Y3" s="18"/>
      <c r="Z3" s="16"/>
      <c r="AA3" s="212">
        <f>'Inflammatory HD'!F3</f>
        <v>1</v>
      </c>
      <c r="AB3" s="15"/>
      <c r="AC3" s="18"/>
      <c r="AD3" s="18"/>
      <c r="AE3" s="18"/>
      <c r="AF3" s="18"/>
      <c r="AG3" s="15"/>
      <c r="AH3" s="18"/>
      <c r="AI3" s="18"/>
      <c r="AJ3" s="18"/>
      <c r="AK3" s="18"/>
      <c r="AL3" s="17"/>
      <c r="AM3" s="16"/>
      <c r="AN3" s="16"/>
      <c r="AO3" s="16"/>
      <c r="AP3" s="16"/>
      <c r="AQ3" s="17"/>
      <c r="AR3" s="17"/>
      <c r="AS3" s="17"/>
      <c r="AT3" s="17"/>
      <c r="AU3" s="22"/>
      <c r="AV3" s="22"/>
      <c r="AW3" s="22"/>
      <c r="AX3" s="22"/>
    </row>
    <row r="4" spans="1:50" s="13" customFormat="1" ht="12.75" x14ac:dyDescent="0.2">
      <c r="A4" s="20">
        <v>1</v>
      </c>
      <c r="B4" s="20">
        <v>1</v>
      </c>
      <c r="C4" s="20" t="s">
        <v>41</v>
      </c>
      <c r="D4" s="17"/>
      <c r="E4" s="17"/>
      <c r="F4" s="17"/>
      <c r="G4" s="19"/>
      <c r="H4" s="19"/>
      <c r="I4" s="17"/>
      <c r="J4" s="17"/>
      <c r="K4" s="17"/>
      <c r="L4" s="19"/>
      <c r="M4" s="17"/>
      <c r="N4" s="237"/>
      <c r="O4" s="15"/>
      <c r="P4" s="15"/>
      <c r="Q4" s="15"/>
      <c r="R4" s="15"/>
      <c r="S4" s="15"/>
      <c r="T4" s="18"/>
      <c r="U4" s="18"/>
      <c r="V4" s="18"/>
      <c r="W4" s="186"/>
      <c r="X4" s="186"/>
      <c r="Y4" s="18"/>
      <c r="Z4" s="16"/>
      <c r="AA4" s="31">
        <f>'Inflammatory HD'!F4</f>
        <v>1</v>
      </c>
      <c r="AB4" s="15"/>
      <c r="AC4" s="18"/>
      <c r="AD4" s="18"/>
      <c r="AE4" s="18"/>
      <c r="AF4" s="18"/>
      <c r="AG4" s="15"/>
      <c r="AH4" s="18"/>
      <c r="AI4" s="18"/>
      <c r="AJ4" s="18"/>
      <c r="AK4" s="18"/>
      <c r="AL4" s="17"/>
      <c r="AM4" s="16"/>
      <c r="AN4" s="16"/>
      <c r="AO4" s="16"/>
      <c r="AP4" s="16"/>
      <c r="AQ4" s="17"/>
      <c r="AR4" s="17"/>
      <c r="AS4" s="17"/>
      <c r="AT4" s="17"/>
      <c r="AU4" s="22"/>
      <c r="AV4" s="22"/>
      <c r="AW4" s="22"/>
      <c r="AX4" s="22"/>
    </row>
    <row r="5" spans="1:50" s="13" customFormat="1" ht="12.75" x14ac:dyDescent="0.2">
      <c r="A5" s="20">
        <v>1</v>
      </c>
      <c r="B5" s="20">
        <v>1</v>
      </c>
      <c r="C5" s="20" t="s">
        <v>40</v>
      </c>
      <c r="D5" s="17">
        <f>Scenario!AN21</f>
        <v>1.9649930808034388</v>
      </c>
      <c r="E5" s="17">
        <f>Scenario!AO21</f>
        <v>4.4529522496511911</v>
      </c>
      <c r="F5" s="17">
        <f>Scenario!AP21</f>
        <v>7.8472726226809844</v>
      </c>
      <c r="G5" s="19">
        <f>Scenario!AQ21</f>
        <v>13.828957545974617</v>
      </c>
      <c r="H5" s="19">
        <f>Scenario!AR21</f>
        <v>31.338373766435872</v>
      </c>
      <c r="I5" s="17">
        <f t="shared" ref="I5:I10" si="0">IF(D5&gt;2.5,D5,0.1)</f>
        <v>0.1</v>
      </c>
      <c r="J5" s="17">
        <f t="shared" ref="J5:M18" si="1">IF(E5&gt;2.5,E5,0.1)</f>
        <v>4.4529522496511911</v>
      </c>
      <c r="K5" s="17">
        <f t="shared" si="1"/>
        <v>7.8472726226809844</v>
      </c>
      <c r="L5" s="19">
        <f t="shared" si="1"/>
        <v>13.828957545974617</v>
      </c>
      <c r="M5" s="17">
        <f t="shared" si="1"/>
        <v>31.338373766435872</v>
      </c>
      <c r="N5" s="237">
        <f>'Phy activity RRs'!$G$4</f>
        <v>0.93831941951583364</v>
      </c>
      <c r="O5" s="15">
        <f>IF(('user page'!$N$39=0),$N5^(I5^0.25),IF(('user page'!$N$39=1),$N5^(I5^0.5),IF(('user page'!$N$39=2),$N5^(I5^0.375),IF(('user page'!$N$39=4),$N5^(I5),IF(('user page'!$N$39=3),$N5^(LN(1+I5)),"")))))</f>
        <v>0.98006871247951299</v>
      </c>
      <c r="P5" s="15">
        <f>IF(('user page'!$N$39=0),$N5^(J5^0.25),IF(('user page'!$N$39=1),$N5^(J5^0.5),IF(('user page'!$N$39=2),$N5^(J5^0.375),IF(('user page'!$N$39=4),$N5^(J5),IF(('user page'!$N$39=3),$N5^(LN(1+J5)),"")))))</f>
        <v>0.87428776955884879</v>
      </c>
      <c r="Q5" s="15">
        <f>IF(('user page'!$N$39=0),$N5^(K5^0.25),IF(('user page'!$N$39=1),$N5^(K5^0.5),IF(('user page'!$N$39=2),$N5^(K5^0.375),IF(('user page'!$N$39=4),$N5^(K5),IF(('user page'!$N$39=3),$N5^(LN(1+K5)),"")))))</f>
        <v>0.83665435026880242</v>
      </c>
      <c r="R5" s="15">
        <f>IF(('user page'!$N$39=0),$N5^(L5^0.25),IF(('user page'!$N$39=1),$N5^(L5^0.5),IF(('user page'!$N$39=2),$N5^(L5^0.375),IF(('user page'!$N$39=4),$N5^(L5),IF(('user page'!$N$39=3),$N5^(LN(1+L5)),"")))))</f>
        <v>0.78918662834694109</v>
      </c>
      <c r="S5" s="15">
        <f>IF(('user page'!$N$39=0),$N5^(M5^0.25),IF(('user page'!$N$39=1),$N5^(M5^0.5),IF(('user page'!$N$39=2),$N5^(M5^0.375),IF(('user page'!$N$39=4),$N5^(M5),IF(('user page'!$N$39=3),$N5^(LN(1+M5)),"")))))</f>
        <v>0.70019232074059201</v>
      </c>
      <c r="T5" s="18">
        <f t="shared" ref="T5:X10" si="2">O5/$O5</f>
        <v>1</v>
      </c>
      <c r="U5" s="18">
        <f t="shared" si="2"/>
        <v>0.89206782996567147</v>
      </c>
      <c r="V5" s="18">
        <f t="shared" si="2"/>
        <v>0.85366907403065528</v>
      </c>
      <c r="W5" s="186">
        <f t="shared" si="2"/>
        <v>0.80523601896273977</v>
      </c>
      <c r="X5" s="186">
        <f t="shared" si="2"/>
        <v>0.71443186770971279</v>
      </c>
      <c r="Y5" s="31">
        <f>1-Z5</f>
        <v>9.8692161513802112E-2</v>
      </c>
      <c r="Z5" s="344">
        <f t="shared" ref="Z5:Z10" si="3">SUM(O5:S5)/SUM(O22:S22)</f>
        <v>0.90130783848619789</v>
      </c>
      <c r="AA5" s="344">
        <v>1</v>
      </c>
      <c r="AB5" s="17">
        <f>Z5*AA5*GBDUS!$O56/($T5+$U5+$X5+V5+W5)</f>
        <v>6.7140674125175978E-4</v>
      </c>
      <c r="AC5" s="16">
        <f t="shared" ref="AC5:AF10" si="4">$AB5*U5</f>
        <v>5.9894035469278042E-4</v>
      </c>
      <c r="AD5" s="16">
        <f t="shared" si="4"/>
        <v>5.7315917110232952E-4</v>
      </c>
      <c r="AE5" s="16">
        <f t="shared" si="4"/>
        <v>5.4064089143031336E-4</v>
      </c>
      <c r="AF5" s="16">
        <f t="shared" si="4"/>
        <v>4.7967437214538658E-4</v>
      </c>
      <c r="AG5" s="17">
        <f>Z5*AA5*GBDUS!$P56/($T5+$U5+$X5+V5+W5)</f>
        <v>1.9731200522170169E-2</v>
      </c>
      <c r="AH5" s="16">
        <f t="shared" ref="AH5:AK10" si="5">$AG5*U5</f>
        <v>1.7601569232429868E-2</v>
      </c>
      <c r="AI5" s="16">
        <f t="shared" si="5"/>
        <v>1.684391567927419E-2</v>
      </c>
      <c r="AJ5" s="16">
        <f t="shared" si="5"/>
        <v>1.5888273357827838E-2</v>
      </c>
      <c r="AK5" s="16">
        <f t="shared" si="5"/>
        <v>1.4096598441208894E-2</v>
      </c>
      <c r="AL5" s="17">
        <f>Z5*GBDUS!$Q56/($T5+$U5+$X5+V5+W5)</f>
        <v>1.6074902677703267E-2</v>
      </c>
      <c r="AM5" s="16">
        <f t="shared" ref="AM5:AP10" si="6">$AL5*U5</f>
        <v>1.4339903548608115E-2</v>
      </c>
      <c r="AN5" s="16">
        <f t="shared" si="6"/>
        <v>1.3722647284007849E-2</v>
      </c>
      <c r="AO5" s="16">
        <f t="shared" si="6"/>
        <v>1.2944090637407264E-2</v>
      </c>
      <c r="AP5" s="16">
        <f t="shared" si="6"/>
        <v>1.1484422743283408E-2</v>
      </c>
      <c r="AQ5" s="17">
        <f>AB5+AC5+AF5+AD5+AE5-AD22-AE22-AB22-AC22-AF22</f>
        <v>-3.135851314924903E-4</v>
      </c>
      <c r="AR5" s="17">
        <f>AG5+AH5+AK5+AI5+AJ5-AI22-AJ22-AH22-AK22-AG22</f>
        <v>-9.21559276976237E-3</v>
      </c>
      <c r="AS5" s="17">
        <f>AL5+AM5+AP5-AL22+AN5+AO5-AN22-AO22-AM22-AP22</f>
        <v>-7.5078937404150763E-3</v>
      </c>
      <c r="AT5" s="17">
        <f t="shared" ref="AT5:AT10" si="7">AR5+AS5</f>
        <v>-1.6723486510177445E-2</v>
      </c>
      <c r="AU5" s="22"/>
      <c r="AV5" s="22"/>
      <c r="AW5" s="22"/>
      <c r="AX5" s="22"/>
    </row>
    <row r="6" spans="1:50" s="13" customFormat="1" ht="12.75" x14ac:dyDescent="0.2">
      <c r="A6" s="20">
        <v>1</v>
      </c>
      <c r="B6" s="20">
        <v>1</v>
      </c>
      <c r="C6" s="20" t="s">
        <v>39</v>
      </c>
      <c r="D6" s="17">
        <f>Scenario!AN22</f>
        <v>1.1398546847573734</v>
      </c>
      <c r="E6" s="17">
        <f>Scenario!AO22</f>
        <v>2.5830719366657791</v>
      </c>
      <c r="F6" s="17">
        <f>Scenario!AP22</f>
        <v>4.5520518870600304</v>
      </c>
      <c r="G6" s="19">
        <f>Scenario!AQ22</f>
        <v>8.0219122388181017</v>
      </c>
      <c r="H6" s="19">
        <f>Scenario!AR22</f>
        <v>18.178787752140046</v>
      </c>
      <c r="I6" s="17">
        <f t="shared" si="0"/>
        <v>0.1</v>
      </c>
      <c r="J6" s="17">
        <f t="shared" si="1"/>
        <v>2.5830719366657791</v>
      </c>
      <c r="K6" s="17">
        <f t="shared" si="1"/>
        <v>4.5520518870600304</v>
      </c>
      <c r="L6" s="19">
        <f t="shared" si="1"/>
        <v>8.0219122388181017</v>
      </c>
      <c r="M6" s="17">
        <f t="shared" si="1"/>
        <v>18.178787752140046</v>
      </c>
      <c r="N6" s="237">
        <f>'Phy activity RRs'!$G$4</f>
        <v>0.93831941951583364</v>
      </c>
      <c r="O6" s="15">
        <f>IF(('user page'!$N$39=0),$N6^(I6^0.25),IF(('user page'!$N$39=1),$N6^(I6^0.5),IF(('user page'!$N$39=2),$N6^(I6^0.375),IF(('user page'!$N$39=4),$N6^(I6),IF(('user page'!$N$39=3),$N6^(LN(1+I6)),"")))))</f>
        <v>0.98006871247951299</v>
      </c>
      <c r="P6" s="15">
        <f>IF(('user page'!$N$39=0),$N6^(J6^0.25),IF(('user page'!$N$39=1),$N6^(J6^0.5),IF(('user page'!$N$39=2),$N6^(J6^0.375),IF(('user page'!$N$39=4),$N6^(J6),IF(('user page'!$N$39=3),$N6^(LN(1+J6)),"")))))</f>
        <v>0.90273903834961544</v>
      </c>
      <c r="Q6" s="15">
        <f>IF(('user page'!$N$39=0),$N6^(K6^0.25),IF(('user page'!$N$39=1),$N6^(K6^0.5),IF(('user page'!$N$39=2),$N6^(K6^0.375),IF(('user page'!$N$39=4),$N6^(K6),IF(('user page'!$N$39=3),$N6^(LN(1+K6)),"")))))</f>
        <v>0.87298893734063387</v>
      </c>
      <c r="R6" s="15">
        <f>IF(('user page'!$N$39=0),$N6^(L6^0.25),IF(('user page'!$N$39=1),$N6^(L6^0.5),IF(('user page'!$N$39=2),$N6^(L6^0.375),IF(('user page'!$N$39=4),$N6^(L6),IF(('user page'!$N$39=3),$N6^(LN(1+L6)),"")))))</f>
        <v>0.83500476649049371</v>
      </c>
      <c r="S6" s="15">
        <f>IF(('user page'!$N$39=0),$N6^(M6^0.25),IF(('user page'!$N$39=1),$N6^(M6^0.5),IF(('user page'!$N$39=2),$N6^(M6^0.375),IF(('user page'!$N$39=4),$N6^(M6),IF(('user page'!$N$39=3),$N6^(LN(1+M6)),"")))))</f>
        <v>0.76227703117299805</v>
      </c>
      <c r="T6" s="18">
        <f t="shared" si="2"/>
        <v>1</v>
      </c>
      <c r="U6" s="18">
        <f t="shared" si="2"/>
        <v>0.92109770147211589</v>
      </c>
      <c r="V6" s="18">
        <f t="shared" si="2"/>
        <v>0.8907425838868237</v>
      </c>
      <c r="W6" s="186">
        <f t="shared" si="2"/>
        <v>0.8519859432896123</v>
      </c>
      <c r="X6" s="483">
        <f t="shared" si="2"/>
        <v>0.77777917146695208</v>
      </c>
      <c r="Y6" s="31">
        <f t="shared" ref="Y6:Y18" si="8">1-Z6</f>
        <v>8.9441623428461403E-2</v>
      </c>
      <c r="Z6" s="344">
        <f t="shared" si="3"/>
        <v>0.9105583765715386</v>
      </c>
      <c r="AA6" s="344">
        <f>'Inflammatory HD'!F6</f>
        <v>1</v>
      </c>
      <c r="AB6" s="17">
        <f>Z6*AA6*GBDUS!$O57/($T6+$U6+$X6+V6+W6)</f>
        <v>4.8507052908533965E-2</v>
      </c>
      <c r="AC6" s="16">
        <f t="shared" si="4"/>
        <v>4.4679734939236951E-2</v>
      </c>
      <c r="AD6" s="16">
        <f t="shared" si="4"/>
        <v>4.3207297644482411E-2</v>
      </c>
      <c r="AE6" s="16">
        <f t="shared" si="4"/>
        <v>4.1327327228476443E-2</v>
      </c>
      <c r="AF6" s="16">
        <f t="shared" si="4"/>
        <v>3.7727775421503157E-2</v>
      </c>
      <c r="AG6" s="17">
        <f>Z6*AA6*GBDUS!$P57/($T6+$U6+$X6+V6+W6)</f>
        <v>1.1388151982573105</v>
      </c>
      <c r="AH6" s="16">
        <f t="shared" si="5"/>
        <v>1.0489600615163206</v>
      </c>
      <c r="AI6" s="16">
        <f t="shared" si="5"/>
        <v>1.0143911922653022</v>
      </c>
      <c r="AJ6" s="16">
        <f t="shared" si="5"/>
        <v>0.97025454091980157</v>
      </c>
      <c r="AK6" s="16">
        <f t="shared" si="5"/>
        <v>0.88574674135454368</v>
      </c>
      <c r="AL6" s="17">
        <f>Z6*GBDUS!$Q57/($T6+$U6+$X6+V6+W6)</f>
        <v>0.22974557939755608</v>
      </c>
      <c r="AM6" s="16">
        <f t="shared" si="6"/>
        <v>0.21161812510646841</v>
      </c>
      <c r="AN6" s="16">
        <f t="shared" si="6"/>
        <v>0.2046441710291545</v>
      </c>
      <c r="AO6" s="16">
        <f t="shared" si="6"/>
        <v>0.19574000417964532</v>
      </c>
      <c r="AP6" s="16">
        <f t="shared" si="6"/>
        <v>0.17869132639202603</v>
      </c>
      <c r="AQ6" s="17">
        <f t="shared" ref="AQ6:AQ18" si="9">AB6+AC6+AF6+AD6+AE6-AD23-AE23-AB23-AC23-AF23</f>
        <v>-2.1162976092034602E-2</v>
      </c>
      <c r="AR6" s="17">
        <f t="shared" ref="AR6:AR18" si="10">AG6+AH6+AK6+AI6+AJ6-AI23-AJ23-AH23-AK23-AG23</f>
        <v>-0.49684978511083622</v>
      </c>
      <c r="AS6" s="17">
        <f t="shared" ref="AS6:AS18" si="11">AL6+AM6+AP6-AL23+AN6+AO6-AN23-AO23-AM23-AP23</f>
        <v>-0.10023491250250199</v>
      </c>
      <c r="AT6" s="17">
        <f t="shared" si="7"/>
        <v>-0.59708469761333816</v>
      </c>
      <c r="AU6" s="22"/>
      <c r="AV6" s="22"/>
      <c r="AW6" s="22"/>
      <c r="AX6" s="22"/>
    </row>
    <row r="7" spans="1:50" s="13" customFormat="1" ht="12.75" x14ac:dyDescent="0.2">
      <c r="A7" s="20">
        <v>1</v>
      </c>
      <c r="B7" s="20">
        <v>1</v>
      </c>
      <c r="C7" s="20" t="s">
        <v>38</v>
      </c>
      <c r="D7" s="17">
        <f>Scenario!AN23</f>
        <v>1.1455500772835505</v>
      </c>
      <c r="E7" s="17">
        <f>Scenario!AO23</f>
        <v>2.5959785016862105</v>
      </c>
      <c r="F7" s="17">
        <f>Scenario!AP23</f>
        <v>4.5747966479870366</v>
      </c>
      <c r="G7" s="19">
        <f>Scenario!AQ23</f>
        <v>8.0619944875657499</v>
      </c>
      <c r="H7" s="19">
        <f>Scenario!AR23</f>
        <v>18.269619797034032</v>
      </c>
      <c r="I7" s="17">
        <f t="shared" si="0"/>
        <v>0.1</v>
      </c>
      <c r="J7" s="17">
        <f t="shared" si="1"/>
        <v>2.5959785016862105</v>
      </c>
      <c r="K7" s="17">
        <f t="shared" si="1"/>
        <v>4.5747966479870366</v>
      </c>
      <c r="L7" s="19">
        <f t="shared" si="1"/>
        <v>8.0619944875657499</v>
      </c>
      <c r="M7" s="17">
        <f t="shared" si="1"/>
        <v>18.269619797034032</v>
      </c>
      <c r="N7" s="237">
        <f>'Phy activity RRs'!$G$4</f>
        <v>0.93831941951583364</v>
      </c>
      <c r="O7" s="15">
        <f>IF(('user page'!$N$39=0),$N7^(I7^0.25),IF(('user page'!$N$39=1),$N7^(I7^0.5),IF(('user page'!$N$39=2),$N7^(I7^0.375),IF(('user page'!$N$39=4),$N7^(I7),IF(('user page'!$N$39=3),$N7^(LN(1+I7)),"")))))</f>
        <v>0.98006871247951299</v>
      </c>
      <c r="P7" s="15">
        <f>IF(('user page'!$N$39=0),$N7^(J7^0.25),IF(('user page'!$N$39=1),$N7^(J7^0.5),IF(('user page'!$N$39=2),$N7^(J7^0.375),IF(('user page'!$N$39=4),$N7^(J7),IF(('user page'!$N$39=3),$N7^(LN(1+J7)),"")))))</f>
        <v>0.90250858794004163</v>
      </c>
      <c r="Q7" s="15">
        <f>IF(('user page'!$N$39=0),$N7^(K7^0.25),IF(('user page'!$N$39=1),$N7^(K7^0.5),IF(('user page'!$N$39=2),$N7^(K7^0.375),IF(('user page'!$N$39=4),$N7^(K7),IF(('user page'!$N$39=3),$N7^(LN(1+K7)),"")))))</f>
        <v>0.87269310803348576</v>
      </c>
      <c r="R7" s="15">
        <f>IF(('user page'!$N$39=0),$N7^(L7^0.25),IF(('user page'!$N$39=1),$N7^(L7^0.5),IF(('user page'!$N$39=2),$N7^(L7^0.375),IF(('user page'!$N$39=4),$N7^(L7),IF(('user page'!$N$39=3),$N7^(LN(1+L7)),"")))))</f>
        <v>0.83462916037009038</v>
      </c>
      <c r="S7" s="15">
        <f>IF(('user page'!$N$39=0),$N7^(M7^0.25),IF(('user page'!$N$39=1),$N7^(M7^0.5),IF(('user page'!$N$39=2),$N7^(M7^0.375),IF(('user page'!$N$39=4),$N7^(M7),IF(('user page'!$N$39=3),$N7^(LN(1+M7)),"")))))</f>
        <v>0.76176091118829981</v>
      </c>
      <c r="T7" s="18">
        <f t="shared" si="2"/>
        <v>1</v>
      </c>
      <c r="U7" s="18">
        <f t="shared" si="2"/>
        <v>0.92086256447953629</v>
      </c>
      <c r="V7" s="18">
        <f t="shared" si="2"/>
        <v>0.89044073841070426</v>
      </c>
      <c r="W7" s="186">
        <f t="shared" si="2"/>
        <v>0.85160269860929483</v>
      </c>
      <c r="X7" s="483">
        <f t="shared" si="2"/>
        <v>0.77725255534491244</v>
      </c>
      <c r="Y7" s="31">
        <f t="shared" si="8"/>
        <v>8.9676778948713287E-2</v>
      </c>
      <c r="Z7" s="344">
        <f t="shared" si="3"/>
        <v>0.91032322105128671</v>
      </c>
      <c r="AA7" s="344">
        <f>'Inflammatory HD'!F7</f>
        <v>1</v>
      </c>
      <c r="AB7" s="17">
        <f>Z7*AA7*GBDUS!$O58/($T7+$U7+$X7+V7+W7)</f>
        <v>8.1591022214444087E-2</v>
      </c>
      <c r="AC7" s="16">
        <f t="shared" si="4"/>
        <v>7.5134117954899798E-2</v>
      </c>
      <c r="AD7" s="16">
        <f t="shared" si="4"/>
        <v>7.2651970068313768E-2</v>
      </c>
      <c r="AE7" s="16">
        <f t="shared" si="4"/>
        <v>6.9483134700111512E-2</v>
      </c>
      <c r="AF7" s="16">
        <f t="shared" si="4"/>
        <v>6.3416830509380184E-2</v>
      </c>
      <c r="AG7" s="17">
        <f>Z7*AA7*GBDUS!$P58/($T7+$U7+$X7+V7+W7)</f>
        <v>1.353014250058419</v>
      </c>
      <c r="AH7" s="16">
        <f t="shared" si="5"/>
        <v>1.2459401720861523</v>
      </c>
      <c r="AI7" s="16">
        <f t="shared" si="5"/>
        <v>1.2047790079022238</v>
      </c>
      <c r="AJ7" s="16">
        <f t="shared" si="5"/>
        <v>1.152230586606581</v>
      </c>
      <c r="AK7" s="16">
        <f t="shared" si="5"/>
        <v>1.0516337832759866</v>
      </c>
      <c r="AL7" s="17">
        <f>Z7*GBDUS!$Q58/($T7+$U7+$X7+V7+W7)</f>
        <v>0.20504098078631663</v>
      </c>
      <c r="AM7" s="16">
        <f t="shared" si="6"/>
        <v>0.18881456339028688</v>
      </c>
      <c r="AN7" s="16">
        <f t="shared" si="6"/>
        <v>0.1825768423358228</v>
      </c>
      <c r="AO7" s="16">
        <f t="shared" si="6"/>
        <v>0.17461345256312383</v>
      </c>
      <c r="AP7" s="16">
        <f t="shared" si="6"/>
        <v>0.15936862626659171</v>
      </c>
      <c r="AQ7" s="17">
        <f t="shared" si="9"/>
        <v>-3.5688248373519138E-2</v>
      </c>
      <c r="AR7" s="17">
        <f t="shared" si="10"/>
        <v>-0.59181399250134081</v>
      </c>
      <c r="AS7" s="17">
        <f t="shared" si="11"/>
        <v>-8.9685767507844794E-2</v>
      </c>
      <c r="AT7" s="17">
        <f t="shared" si="7"/>
        <v>-0.68149976000918566</v>
      </c>
      <c r="AU7" s="22"/>
      <c r="AV7" s="22"/>
      <c r="AW7" s="22"/>
      <c r="AX7" s="22"/>
    </row>
    <row r="8" spans="1:50" s="13" customFormat="1" ht="12.75" x14ac:dyDescent="0.2">
      <c r="A8" s="20">
        <v>1</v>
      </c>
      <c r="B8" s="20">
        <v>1</v>
      </c>
      <c r="C8" s="20" t="s">
        <v>37</v>
      </c>
      <c r="D8" s="17">
        <f>Scenario!AN24</f>
        <v>1.038575484693584</v>
      </c>
      <c r="E8" s="17">
        <f>Scenario!AO24</f>
        <v>2.3535589443948219</v>
      </c>
      <c r="F8" s="17">
        <f>Scenario!AP24</f>
        <v>4.1475896517107627</v>
      </c>
      <c r="G8" s="19">
        <f>Scenario!AQ24</f>
        <v>7.3091434399581363</v>
      </c>
      <c r="H8" s="19">
        <f>Scenario!AR24</f>
        <v>16.563552839930118</v>
      </c>
      <c r="I8" s="17">
        <f t="shared" si="0"/>
        <v>0.1</v>
      </c>
      <c r="J8" s="17">
        <f t="shared" si="1"/>
        <v>0.1</v>
      </c>
      <c r="K8" s="17">
        <f t="shared" si="1"/>
        <v>4.1475896517107627</v>
      </c>
      <c r="L8" s="19">
        <f t="shared" si="1"/>
        <v>7.3091434399581363</v>
      </c>
      <c r="M8" s="17">
        <f t="shared" si="1"/>
        <v>16.563552839930118</v>
      </c>
      <c r="N8" s="237">
        <f>'Phy activity RRs'!$G$4</f>
        <v>0.93831941951583364</v>
      </c>
      <c r="O8" s="15">
        <f>IF(('user page'!$N$39=0),$N8^(I8^0.25),IF(('user page'!$N$39=1),$N8^(I8^0.5),IF(('user page'!$N$39=2),$N8^(I8^0.375),IF(('user page'!$N$39=4),$N8^(I8),IF(('user page'!$N$39=3),$N8^(LN(1+I8)),"")))))</f>
        <v>0.98006871247951299</v>
      </c>
      <c r="P8" s="15">
        <f>IF(('user page'!$N$39=0),$N8^(J8^0.25),IF(('user page'!$N$39=1),$N8^(J8^0.5),IF(('user page'!$N$39=2),$N8^(J8^0.375),IF(('user page'!$N$39=4),$N8^(J8),IF(('user page'!$N$39=3),$N8^(LN(1+J8)),"")))))</f>
        <v>0.98006871247951299</v>
      </c>
      <c r="Q8" s="15">
        <f>IF(('user page'!$N$39=0),$N8^(K8^0.25),IF(('user page'!$N$39=1),$N8^(K8^0.5),IF(('user page'!$N$39=2),$N8^(K8^0.375),IF(('user page'!$N$39=4),$N8^(K8),IF(('user page'!$N$39=3),$N8^(LN(1+K8)),"")))))</f>
        <v>0.87839622887140656</v>
      </c>
      <c r="R8" s="15">
        <f>IF(('user page'!$N$39=0),$N8^(L8^0.25),IF(('user page'!$N$39=1),$N8^(L8^0.5),IF(('user page'!$N$39=2),$N8^(L8^0.375),IF(('user page'!$N$39=4),$N8^(L8),IF(('user page'!$N$39=3),$N8^(LN(1+L8)),"")))))</f>
        <v>0.8418775871559625</v>
      </c>
      <c r="S8" s="15">
        <f>IF(('user page'!$N$39=0),$N8^(M8^0.25),IF(('user page'!$N$39=1),$N8^(M8^0.5),IF(('user page'!$N$39=2),$N8^(M8^0.375),IF(('user page'!$N$39=4),$N8^(M8),IF(('user page'!$N$39=3),$N8^(LN(1+M8)),"")))))</f>
        <v>0.77174165800399952</v>
      </c>
      <c r="T8" s="18">
        <f t="shared" si="2"/>
        <v>1</v>
      </c>
      <c r="U8" s="18">
        <f t="shared" si="2"/>
        <v>1</v>
      </c>
      <c r="V8" s="18">
        <f t="shared" si="2"/>
        <v>0.89625984146470572</v>
      </c>
      <c r="W8" s="186">
        <f t="shared" si="2"/>
        <v>0.85899853391510117</v>
      </c>
      <c r="X8" s="483">
        <f t="shared" si="2"/>
        <v>0.78743627684179518</v>
      </c>
      <c r="Y8" s="31">
        <f t="shared" si="8"/>
        <v>6.9865842183824856E-2</v>
      </c>
      <c r="Z8" s="344">
        <f t="shared" si="3"/>
        <v>0.93013415781617514</v>
      </c>
      <c r="AA8" s="344">
        <f>'Inflammatory HD'!F8</f>
        <v>1</v>
      </c>
      <c r="AB8" s="17">
        <f>Z8*AA8*GBDUS!$O59/($T8+$U8+$X8+V8+W8)</f>
        <v>0.1521398518405831</v>
      </c>
      <c r="AC8" s="16">
        <f t="shared" si="4"/>
        <v>0.1521398518405831</v>
      </c>
      <c r="AD8" s="16">
        <f t="shared" si="4"/>
        <v>0.13635683949110483</v>
      </c>
      <c r="AE8" s="16">
        <f t="shared" si="4"/>
        <v>0.13068790968112159</v>
      </c>
      <c r="AF8" s="16">
        <f t="shared" si="4"/>
        <v>0.11980043849261109</v>
      </c>
      <c r="AG8" s="17">
        <f>Z8*AA8*GBDUS!$P59/($T8+$U8+$X8+V8+W8)</f>
        <v>1.6988414109079906</v>
      </c>
      <c r="AH8" s="16">
        <f t="shared" si="5"/>
        <v>1.6988414109079906</v>
      </c>
      <c r="AI8" s="16">
        <f t="shared" si="5"/>
        <v>1.5226033336140725</v>
      </c>
      <c r="AJ8" s="16">
        <f t="shared" si="5"/>
        <v>1.4593022813242258</v>
      </c>
      <c r="AK8" s="16">
        <f t="shared" si="5"/>
        <v>1.3377293555500505</v>
      </c>
      <c r="AL8" s="17">
        <f>Z8*GBDUS!$Q59/($T8+$U8+$X8+V8+W8)</f>
        <v>0.29999308733743429</v>
      </c>
      <c r="AM8" s="16">
        <f t="shared" si="6"/>
        <v>0.29999308733743429</v>
      </c>
      <c r="AN8" s="16">
        <f t="shared" si="6"/>
        <v>0.26887175689755649</v>
      </c>
      <c r="AO8" s="16">
        <f t="shared" si="6"/>
        <v>0.25769362220752096</v>
      </c>
      <c r="AP8" s="16">
        <f t="shared" si="6"/>
        <v>0.23622543977126476</v>
      </c>
      <c r="AQ8" s="17">
        <f t="shared" si="9"/>
        <v>-5.1912965653752335E-2</v>
      </c>
      <c r="AR8" s="17">
        <f t="shared" si="10"/>
        <v>-0.57967649336249427</v>
      </c>
      <c r="AS8" s="17">
        <f t="shared" si="11"/>
        <v>-0.10236325756140363</v>
      </c>
      <c r="AT8" s="17">
        <f t="shared" si="7"/>
        <v>-0.6820397509238979</v>
      </c>
      <c r="AU8" s="22"/>
      <c r="AV8" s="22"/>
      <c r="AW8" s="22"/>
      <c r="AX8" s="22"/>
    </row>
    <row r="9" spans="1:50" s="13" customFormat="1" ht="12.75" x14ac:dyDescent="0.2">
      <c r="A9" s="20">
        <v>1</v>
      </c>
      <c r="B9" s="20">
        <v>1</v>
      </c>
      <c r="C9" s="20" t="s">
        <v>36</v>
      </c>
      <c r="D9" s="17">
        <f>Scenario!AN25</f>
        <v>0.98635345122951901</v>
      </c>
      <c r="E9" s="17">
        <f>Scenario!AO25</f>
        <v>2.2352164302827178</v>
      </c>
      <c r="F9" s="17">
        <f>Scenario!AP25</f>
        <v>3.939039027534657</v>
      </c>
      <c r="G9" s="19">
        <f>Scenario!AQ25</f>
        <v>6.9416224085641023</v>
      </c>
      <c r="H9" s="19">
        <f>Scenario!AR25</f>
        <v>15.730698200629787</v>
      </c>
      <c r="I9" s="17">
        <f t="shared" si="0"/>
        <v>0.1</v>
      </c>
      <c r="J9" s="17">
        <f t="shared" si="1"/>
        <v>0.1</v>
      </c>
      <c r="K9" s="17">
        <f t="shared" si="1"/>
        <v>3.939039027534657</v>
      </c>
      <c r="L9" s="19">
        <f t="shared" si="1"/>
        <v>6.9416224085641023</v>
      </c>
      <c r="M9" s="17">
        <f t="shared" si="1"/>
        <v>15.730698200629787</v>
      </c>
      <c r="N9" s="237">
        <f>'Phy activity RRs'!$G$4</f>
        <v>0.93831941951583364</v>
      </c>
      <c r="O9" s="15">
        <f>IF(('user page'!$N$39=0),$N9^(I9^0.25),IF(('user page'!$N$39=1),$N9^(I9^0.5),IF(('user page'!$N$39=2),$N9^(I9^0.375),IF(('user page'!$N$39=4),$N9^(I9),IF(('user page'!$N$39=3),$N9^(LN(1+I9)),"")))))</f>
        <v>0.98006871247951299</v>
      </c>
      <c r="P9" s="15">
        <f>IF(('user page'!$N$39=0),$N9^(J9^0.25),IF(('user page'!$N$39=1),$N9^(J9^0.5),IF(('user page'!$N$39=2),$N9^(J9^0.375),IF(('user page'!$N$39=4),$N9^(J9),IF(('user page'!$N$39=3),$N9^(LN(1+J9)),"")))))</f>
        <v>0.98006871247951299</v>
      </c>
      <c r="Q9" s="15">
        <f>IF(('user page'!$N$39=0),$N9^(K9^0.25),IF(('user page'!$N$39=1),$N9^(K9^0.5),IF(('user page'!$N$39=2),$N9^(K9^0.375),IF(('user page'!$N$39=4),$N9^(K9),IF(('user page'!$N$39=3),$N9^(LN(1+K9)),"")))))</f>
        <v>0.88130129652499667</v>
      </c>
      <c r="R9" s="15">
        <f>IF(('user page'!$N$39=0),$N9^(L9^0.25),IF(('user page'!$N$39=1),$N9^(L9^0.5),IF(('user page'!$N$39=2),$N9^(L9^0.375),IF(('user page'!$N$39=4),$N9^(L9),IF(('user page'!$N$39=3),$N9^(LN(1+L9)),"")))))</f>
        <v>0.84557574163115468</v>
      </c>
      <c r="S9" s="15">
        <f>IF(('user page'!$N$39=0),$N9^(M9^0.25),IF(('user page'!$N$39=1),$N9^(M9^0.5),IF(('user page'!$N$39=2),$N9^(M9^0.375),IF(('user page'!$N$39=4),$N9^(M9),IF(('user page'!$N$39=3),$N9^(LN(1+M9)),"")))))</f>
        <v>0.77685062379126013</v>
      </c>
      <c r="T9" s="18">
        <f t="shared" si="2"/>
        <v>1</v>
      </c>
      <c r="U9" s="18">
        <f t="shared" si="2"/>
        <v>1</v>
      </c>
      <c r="V9" s="18">
        <f t="shared" si="2"/>
        <v>0.89922398838277273</v>
      </c>
      <c r="W9" s="186">
        <f t="shared" si="2"/>
        <v>0.86277189636214435</v>
      </c>
      <c r="X9" s="483">
        <f t="shared" si="2"/>
        <v>0.79264914173810963</v>
      </c>
      <c r="Y9" s="31">
        <f t="shared" si="8"/>
        <v>6.8036581816262487E-2</v>
      </c>
      <c r="Z9" s="344">
        <f t="shared" si="3"/>
        <v>0.93196341818373751</v>
      </c>
      <c r="AA9" s="344">
        <f>'Inflammatory HD'!F9</f>
        <v>1</v>
      </c>
      <c r="AB9" s="17">
        <f>Z9*AA9*GBDUS!$O60/($T9+$U9+$X9+V9+W9)</f>
        <v>0.2111763944192685</v>
      </c>
      <c r="AC9" s="16">
        <f t="shared" si="4"/>
        <v>0.2111763944192685</v>
      </c>
      <c r="AD9" s="16">
        <f t="shared" si="4"/>
        <v>0.18989487964198812</v>
      </c>
      <c r="AE9" s="16">
        <f t="shared" si="4"/>
        <v>0.18219705828003244</v>
      </c>
      <c r="AF9" s="16">
        <f t="shared" si="4"/>
        <v>0.16738878779178171</v>
      </c>
      <c r="AG9" s="17">
        <f>Z9*AA9*GBDUS!$P60/($T9+$U9+$X9+V9+W9)</f>
        <v>1.4345655794048022</v>
      </c>
      <c r="AH9" s="16">
        <f t="shared" si="5"/>
        <v>1.4345655794048022</v>
      </c>
      <c r="AI9" s="16">
        <f t="shared" si="5"/>
        <v>1.2899957819090295</v>
      </c>
      <c r="AJ9" s="16">
        <f t="shared" si="5"/>
        <v>1.2377028653989397</v>
      </c>
      <c r="AK9" s="16">
        <f t="shared" si="5"/>
        <v>1.1371071752822504</v>
      </c>
      <c r="AL9" s="17">
        <f>Z9*GBDUS!$Q60/($T9+$U9+$X9+V9+W9)</f>
        <v>0.27490886371322476</v>
      </c>
      <c r="AM9" s="16">
        <f t="shared" si="6"/>
        <v>0.27490886371322476</v>
      </c>
      <c r="AN9" s="16">
        <f t="shared" si="6"/>
        <v>0.24720464486998209</v>
      </c>
      <c r="AO9" s="16">
        <f t="shared" si="6"/>
        <v>0.23718364167262121</v>
      </c>
      <c r="AP9" s="16">
        <f t="shared" si="6"/>
        <v>0.21790627487848654</v>
      </c>
      <c r="AQ9" s="17">
        <f t="shared" si="9"/>
        <v>-7.0217203089362135E-2</v>
      </c>
      <c r="AR9" s="17">
        <f t="shared" si="10"/>
        <v>-0.47700020123501163</v>
      </c>
      <c r="AS9" s="17">
        <f t="shared" si="11"/>
        <v>-9.1408566603767644E-2</v>
      </c>
      <c r="AT9" s="17">
        <f t="shared" si="7"/>
        <v>-0.56840876783877925</v>
      </c>
      <c r="AU9" s="22"/>
      <c r="AV9" s="22"/>
      <c r="AW9" s="22"/>
      <c r="AX9" s="22"/>
    </row>
    <row r="10" spans="1:50" s="13" customFormat="1" ht="12.75" x14ac:dyDescent="0.2">
      <c r="A10" s="20">
        <v>1</v>
      </c>
      <c r="B10" s="20">
        <v>1</v>
      </c>
      <c r="C10" s="20" t="s">
        <v>35</v>
      </c>
      <c r="D10" s="17">
        <f>Scenario!AN26</f>
        <v>0.79357227183824619</v>
      </c>
      <c r="E10" s="17">
        <f>Scenario!AO26</f>
        <v>1.7983470108190212</v>
      </c>
      <c r="F10" s="17">
        <f>Scenario!AP26</f>
        <v>3.1691602498512577</v>
      </c>
      <c r="G10" s="19">
        <f>Scenario!AQ26</f>
        <v>5.5848935877303978</v>
      </c>
      <c r="H10" s="19">
        <f>Scenario!AR26</f>
        <v>12.656158796945045</v>
      </c>
      <c r="I10" s="17">
        <f t="shared" si="0"/>
        <v>0.1</v>
      </c>
      <c r="J10" s="17">
        <f t="shared" si="1"/>
        <v>0.1</v>
      </c>
      <c r="K10" s="17">
        <f t="shared" si="1"/>
        <v>3.1691602498512577</v>
      </c>
      <c r="L10" s="19">
        <f t="shared" si="1"/>
        <v>5.5848935877303978</v>
      </c>
      <c r="M10" s="17">
        <f t="shared" si="1"/>
        <v>12.656158796945045</v>
      </c>
      <c r="N10" s="237">
        <f>'Phy activity RRs'!$G$4</f>
        <v>0.93831941951583364</v>
      </c>
      <c r="O10" s="15">
        <f>IF(('user page'!$N$39=0),$N10^(I10^0.25),IF(('user page'!$N$39=1),$N10^(I10^0.5),IF(('user page'!$N$39=2),$N10^(I10^0.375),IF(('user page'!$N$39=4),$N10^(I10),IF(('user page'!$N$39=3),$N10^(LN(1+I10)),"")))))</f>
        <v>0.98006871247951299</v>
      </c>
      <c r="P10" s="15">
        <f>IF(('user page'!$N$39=0),$N10^(J10^0.25),IF(('user page'!$N$39=1),$N10^(J10^0.5),IF(('user page'!$N$39=2),$N10^(J10^0.375),IF(('user page'!$N$39=4),$N10^(J10),IF(('user page'!$N$39=3),$N10^(LN(1+J10)),"")))))</f>
        <v>0.98006871247951299</v>
      </c>
      <c r="Q10" s="15">
        <f>IF(('user page'!$N$39=0),$N10^(K10^0.25),IF(('user page'!$N$39=1),$N10^(K10^0.5),IF(('user page'!$N$39=2),$N10^(K10^0.375),IF(('user page'!$N$39=4),$N10^(K10),IF(('user page'!$N$39=3),$N10^(LN(1+K10)),"")))))</f>
        <v>0.89284968543197785</v>
      </c>
      <c r="R10" s="15">
        <f>IF(('user page'!$N$39=0),$N10^(L10^0.25),IF(('user page'!$N$39=1),$N10^(L10^0.5),IF(('user page'!$N$39=2),$N10^(L10^0.375),IF(('user page'!$N$39=4),$N10^(L10),IF(('user page'!$N$39=3),$N10^(LN(1+L10)),"")))))</f>
        <v>0.86031626949656848</v>
      </c>
      <c r="S10" s="15">
        <f>IF(('user page'!$N$39=0),$N10^(M10^0.25),IF(('user page'!$N$39=1),$N10^(M10^0.5),IF(('user page'!$N$39=2),$N10^(M10^0.375),IF(('user page'!$N$39=4),$N10^(M10),IF(('user page'!$N$39=3),$N10^(LN(1+M10)),"")))))</f>
        <v>0.79732661574446073</v>
      </c>
      <c r="T10" s="18">
        <f t="shared" si="2"/>
        <v>1</v>
      </c>
      <c r="U10" s="18">
        <f t="shared" si="2"/>
        <v>1</v>
      </c>
      <c r="V10" s="18">
        <f t="shared" si="2"/>
        <v>0.9110072325165075</v>
      </c>
      <c r="W10" s="186">
        <f t="shared" si="2"/>
        <v>0.87781219677957245</v>
      </c>
      <c r="X10" s="483">
        <f t="shared" si="2"/>
        <v>0.81354154621187114</v>
      </c>
      <c r="Y10" s="31">
        <f t="shared" si="8"/>
        <v>6.0747971021361757E-2</v>
      </c>
      <c r="Z10" s="344">
        <f t="shared" si="3"/>
        <v>0.93925202897863824</v>
      </c>
      <c r="AA10" s="344">
        <f>'Inflammatory HD'!F10</f>
        <v>1</v>
      </c>
      <c r="AB10" s="17">
        <f>Z10*AA10*GBDUS!$O61/($T10+$U10+$X10+V10+W10)</f>
        <v>0.49113222845318205</v>
      </c>
      <c r="AC10" s="16">
        <f t="shared" si="4"/>
        <v>0.49113222845318205</v>
      </c>
      <c r="AD10" s="16">
        <f t="shared" si="4"/>
        <v>0.44742501224279851</v>
      </c>
      <c r="AE10" s="16">
        <f t="shared" si="4"/>
        <v>0.43112186036773459</v>
      </c>
      <c r="AF10" s="16">
        <f t="shared" si="4"/>
        <v>0.39955647253028365</v>
      </c>
      <c r="AG10" s="17">
        <f>Z10*AA10*GBDUS!$P61/($T10+$U10+$X10+V10+W10)</f>
        <v>1.5239178452368367</v>
      </c>
      <c r="AH10" s="16">
        <f t="shared" si="5"/>
        <v>1.5239178452368367</v>
      </c>
      <c r="AI10" s="16">
        <f t="shared" si="5"/>
        <v>1.38830017877173</v>
      </c>
      <c r="AJ10" s="16">
        <f t="shared" si="5"/>
        <v>1.3377136714389402</v>
      </c>
      <c r="AK10" s="16">
        <f t="shared" si="5"/>
        <v>1.2397704801138392</v>
      </c>
      <c r="AL10" s="17">
        <f>Z10*GBDUS!$Q61/($T10+$U10+$X10+V10+W10)</f>
        <v>0.2606907443453042</v>
      </c>
      <c r="AM10" s="16">
        <f t="shared" si="6"/>
        <v>0.2606907443453042</v>
      </c>
      <c r="AN10" s="16">
        <f t="shared" si="6"/>
        <v>0.23749115354868397</v>
      </c>
      <c r="AO10" s="16">
        <f t="shared" si="6"/>
        <v>0.22883751497385338</v>
      </c>
      <c r="AP10" s="16">
        <f t="shared" si="6"/>
        <v>0.21208275123780237</v>
      </c>
      <c r="AQ10" s="17">
        <f t="shared" si="9"/>
        <v>-0.1461937302235034</v>
      </c>
      <c r="AR10" s="17">
        <f t="shared" si="10"/>
        <v>-0.45361965972179075</v>
      </c>
      <c r="AS10" s="17">
        <f t="shared" si="11"/>
        <v>-7.7598964479714844E-2</v>
      </c>
      <c r="AT10" s="17">
        <f t="shared" si="7"/>
        <v>-0.53121862420150556</v>
      </c>
      <c r="AU10" s="22"/>
      <c r="AV10" s="22"/>
      <c r="AW10" s="22"/>
      <c r="AX10" s="22"/>
    </row>
    <row r="11" spans="1:50" s="13" customFormat="1" ht="12.75" x14ac:dyDescent="0.2">
      <c r="A11" s="20">
        <v>1</v>
      </c>
      <c r="B11" s="20">
        <v>2</v>
      </c>
      <c r="C11" s="20" t="s">
        <v>2</v>
      </c>
      <c r="D11" s="17"/>
      <c r="E11" s="17"/>
      <c r="F11" s="17"/>
      <c r="G11" s="19"/>
      <c r="H11" s="19"/>
      <c r="I11" s="17"/>
      <c r="J11" s="17"/>
      <c r="K11" s="17"/>
      <c r="L11" s="19"/>
      <c r="M11" s="17"/>
      <c r="N11" s="237"/>
      <c r="O11" s="15"/>
      <c r="P11" s="15"/>
      <c r="Q11" s="15"/>
      <c r="R11" s="15"/>
      <c r="S11" s="15"/>
      <c r="T11" s="18"/>
      <c r="U11" s="18"/>
      <c r="V11" s="18"/>
      <c r="W11" s="186"/>
      <c r="X11" s="483"/>
      <c r="Y11" s="31"/>
      <c r="Z11" s="344"/>
      <c r="AA11" s="212"/>
      <c r="AB11" s="17"/>
      <c r="AC11" s="16"/>
      <c r="AD11" s="16"/>
      <c r="AE11" s="16"/>
      <c r="AF11" s="16"/>
      <c r="AG11" s="17"/>
      <c r="AH11" s="16"/>
      <c r="AI11" s="16"/>
      <c r="AJ11" s="16"/>
      <c r="AK11" s="16"/>
      <c r="AL11" s="17"/>
      <c r="AM11" s="16"/>
      <c r="AN11" s="16"/>
      <c r="AO11" s="16"/>
      <c r="AP11" s="16"/>
      <c r="AQ11" s="17"/>
      <c r="AR11" s="17"/>
      <c r="AS11" s="17"/>
      <c r="AT11" s="17"/>
      <c r="AU11" s="22"/>
      <c r="AV11" s="22"/>
      <c r="AW11" s="22"/>
      <c r="AX11" s="22"/>
    </row>
    <row r="12" spans="1:50" s="13" customFormat="1" ht="12.75" x14ac:dyDescent="0.2">
      <c r="A12" s="20">
        <v>1</v>
      </c>
      <c r="B12" s="20">
        <v>2</v>
      </c>
      <c r="C12" s="20" t="s">
        <v>41</v>
      </c>
      <c r="D12" s="17"/>
      <c r="E12" s="17"/>
      <c r="F12" s="17"/>
      <c r="G12" s="19"/>
      <c r="H12" s="19"/>
      <c r="I12" s="17"/>
      <c r="J12" s="17"/>
      <c r="K12" s="17"/>
      <c r="L12" s="19"/>
      <c r="M12" s="17"/>
      <c r="N12" s="237"/>
      <c r="O12" s="15"/>
      <c r="P12" s="15"/>
      <c r="Q12" s="15"/>
      <c r="R12" s="15"/>
      <c r="S12" s="15"/>
      <c r="T12" s="18"/>
      <c r="U12" s="18"/>
      <c r="V12" s="18"/>
      <c r="W12" s="186"/>
      <c r="X12" s="483"/>
      <c r="Y12" s="31"/>
      <c r="Z12" s="344"/>
      <c r="AA12" s="212"/>
      <c r="AB12" s="17"/>
      <c r="AC12" s="16"/>
      <c r="AD12" s="16"/>
      <c r="AE12" s="16"/>
      <c r="AF12" s="16"/>
      <c r="AG12" s="17"/>
      <c r="AH12" s="16"/>
      <c r="AI12" s="16"/>
      <c r="AJ12" s="16"/>
      <c r="AK12" s="16"/>
      <c r="AL12" s="17"/>
      <c r="AM12" s="16"/>
      <c r="AN12" s="16"/>
      <c r="AO12" s="16"/>
      <c r="AP12" s="16"/>
      <c r="AQ12" s="17"/>
      <c r="AR12" s="17"/>
      <c r="AS12" s="17"/>
      <c r="AT12" s="17"/>
      <c r="AU12" s="22"/>
      <c r="AV12" s="22"/>
      <c r="AW12" s="22"/>
      <c r="AX12" s="22"/>
    </row>
    <row r="13" spans="1:50" s="13" customFormat="1" ht="12.75" x14ac:dyDescent="0.2">
      <c r="A13" s="20">
        <v>1</v>
      </c>
      <c r="B13" s="20">
        <v>2</v>
      </c>
      <c r="C13" s="20" t="s">
        <v>40</v>
      </c>
      <c r="D13" s="17">
        <f>Scenario!AN29</f>
        <v>2.5519209672247203</v>
      </c>
      <c r="E13" s="17">
        <f>Scenario!AO29</f>
        <v>5.783013855340938</v>
      </c>
      <c r="F13" s="17">
        <f>Scenario!AP29</f>
        <v>10.191190868295642</v>
      </c>
      <c r="G13" s="19">
        <f>Scenario!AQ29</f>
        <v>17.959557751726912</v>
      </c>
      <c r="H13" s="19">
        <f>Scenario!AR29</f>
        <v>40.698898064614944</v>
      </c>
      <c r="I13" s="17">
        <f t="shared" ref="I13:I18" si="12">IF(D13&gt;2.5,D13,0.1)</f>
        <v>2.5519209672247203</v>
      </c>
      <c r="J13" s="17">
        <f t="shared" si="1"/>
        <v>5.783013855340938</v>
      </c>
      <c r="K13" s="17">
        <f t="shared" si="1"/>
        <v>10.191190868295642</v>
      </c>
      <c r="L13" s="19">
        <f t="shared" si="1"/>
        <v>17.959557751726912</v>
      </c>
      <c r="M13" s="17">
        <f t="shared" si="1"/>
        <v>40.698898064614944</v>
      </c>
      <c r="N13" s="237">
        <f>'Phy activity RRs'!$G$4</f>
        <v>0.93831941951583364</v>
      </c>
      <c r="O13" s="15">
        <f>IF(('user page'!$N$39=0),$N13^(I13^0.25),IF(('user page'!$N$39=1),$N13^(I13^0.5),IF(('user page'!$N$39=2),$N13^(I13^0.375),IF(('user page'!$N$39=4),$N13^(I13),IF(('user page'!$N$39=3),$N13^(LN(1+I13)),"")))))</f>
        <v>0.90329787517010907</v>
      </c>
      <c r="P13" s="15">
        <f>IF(('user page'!$N$39=0),$N13^(J13^0.25),IF(('user page'!$N$39=1),$N13^(J13^0.5),IF(('user page'!$N$39=2),$N13^(J13^0.375),IF(('user page'!$N$39=4),$N13^(J13),IF(('user page'!$N$39=3),$N13^(LN(1+J13)),"")))))</f>
        <v>0.85804340411074909</v>
      </c>
      <c r="Q13" s="15">
        <f>IF(('user page'!$N$39=0),$N13^(K13^0.25),IF(('user page'!$N$39=1),$N13^(K13^0.5),IF(('user page'!$N$39=2),$N13^(K13^0.375),IF(('user page'!$N$39=4),$N13^(K13),IF(('user page'!$N$39=3),$N13^(LN(1+K13)),"")))))</f>
        <v>0.8160811976920439</v>
      </c>
      <c r="R13" s="15">
        <f>IF(('user page'!$N$39=0),$N13^(L13^0.25),IF(('user page'!$N$39=1),$N13^(L13^0.5),IF(('user page'!$N$39=2),$N13^(L13^0.375),IF(('user page'!$N$39=4),$N13^(L13),IF(('user page'!$N$39=3),$N13^(LN(1+L13)),"")))))</f>
        <v>0.76352951460432195</v>
      </c>
      <c r="S13" s="15">
        <f>IF(('user page'!$N$39=0),$N13^(M13^0.25),IF(('user page'!$N$39=1),$N13^(M13^0.5),IF(('user page'!$N$39=2),$N13^(M13^0.375),IF(('user page'!$N$39=4),$N13^(M13),IF(('user page'!$N$39=3),$N13^(LN(1+M13)),"")))))</f>
        <v>0.66620734691542394</v>
      </c>
      <c r="T13" s="18">
        <f t="shared" ref="T13:X18" si="13">O13/$O13</f>
        <v>1</v>
      </c>
      <c r="U13" s="18">
        <f t="shared" si="13"/>
        <v>0.9499008330437646</v>
      </c>
      <c r="V13" s="18">
        <f t="shared" si="13"/>
        <v>0.90344638255498999</v>
      </c>
      <c r="W13" s="186">
        <f t="shared" si="13"/>
        <v>0.84526880400392179</v>
      </c>
      <c r="X13" s="483">
        <f t="shared" si="13"/>
        <v>0.73752785789511988</v>
      </c>
      <c r="Y13" s="31">
        <f t="shared" si="8"/>
        <v>0.11215715464911169</v>
      </c>
      <c r="Z13" s="344">
        <f t="shared" ref="Z13:Z18" si="14">SUM(O13:S13)/SUM(O30:S30)</f>
        <v>0.88784284535088831</v>
      </c>
      <c r="AA13" s="344">
        <f>'Inflammatory HD'!F13</f>
        <v>1</v>
      </c>
      <c r="AB13" s="17">
        <f>Z13*AA13*GBDUS!$O64/($T13+$U13+$X13+V13+W13)</f>
        <v>1.5332979871918431E-4</v>
      </c>
      <c r="AC13" s="16">
        <f t="shared" ref="AC13:AF18" si="15">$AB13*U13</f>
        <v>1.4564810353378591E-4</v>
      </c>
      <c r="AD13" s="16">
        <f t="shared" si="15"/>
        <v>1.3852525199073179E-4</v>
      </c>
      <c r="AE13" s="16">
        <f t="shared" si="15"/>
        <v>1.2960489558152698E-4</v>
      </c>
      <c r="AF13" s="16">
        <f t="shared" si="15"/>
        <v>1.1308499800084989E-4</v>
      </c>
      <c r="AG13" s="17">
        <f>Z13*AA13*GBDUS!$P64/($T13+$U13+$X13+V13+W13)</f>
        <v>4.4828413619644285E-3</v>
      </c>
      <c r="AH13" s="16">
        <f t="shared" ref="AH13:AK18" si="16">$AG13*U13</f>
        <v>4.258254744133055E-3</v>
      </c>
      <c r="AI13" s="16">
        <f t="shared" si="16"/>
        <v>4.0500068120346471E-3</v>
      </c>
      <c r="AJ13" s="16">
        <f t="shared" si="16"/>
        <v>3.7892059565669844E-3</v>
      </c>
      <c r="AK13" s="16">
        <f t="shared" si="16"/>
        <v>3.3062203869732667E-3</v>
      </c>
      <c r="AL13" s="17">
        <f>Z13*GBDUS!$Q64/($T13+$U13+$X13+V13+W13)</f>
        <v>1.0629493848916337E-2</v>
      </c>
      <c r="AM13" s="16">
        <f t="shared" ref="AM13:AP18" si="17">$AL13*U13</f>
        <v>1.00969650619192E-2</v>
      </c>
      <c r="AN13" s="16">
        <f t="shared" si="17"/>
        <v>9.6031777661939825E-3</v>
      </c>
      <c r="AO13" s="16">
        <f t="shared" si="17"/>
        <v>8.9847795528405546E-3</v>
      </c>
      <c r="AP13" s="16">
        <f t="shared" si="17"/>
        <v>7.8395478289006188E-3</v>
      </c>
      <c r="AQ13" s="17">
        <f t="shared" si="9"/>
        <v>-8.5925698737967539E-5</v>
      </c>
      <c r="AR13" s="17">
        <f t="shared" si="10"/>
        <v>-2.5121749299607003E-3</v>
      </c>
      <c r="AS13" s="17">
        <f t="shared" si="11"/>
        <v>-5.9567461369450497E-3</v>
      </c>
      <c r="AT13" s="17">
        <f t="shared" ref="AT13:AT18" si="18">AR13+AS13</f>
        <v>-8.4689210669057491E-3</v>
      </c>
      <c r="AU13" s="22"/>
      <c r="AV13" s="22"/>
      <c r="AW13" s="22"/>
      <c r="AX13" s="22"/>
    </row>
    <row r="14" spans="1:50" s="13" customFormat="1" ht="12.75" x14ac:dyDescent="0.2">
      <c r="A14" s="20">
        <v>1</v>
      </c>
      <c r="B14" s="20">
        <v>2</v>
      </c>
      <c r="C14" s="20" t="s">
        <v>39</v>
      </c>
      <c r="D14" s="17">
        <f>Scenario!AN30</f>
        <v>1.5370956980369832</v>
      </c>
      <c r="E14" s="17">
        <f>Scenario!AO30</f>
        <v>3.4832762585119914</v>
      </c>
      <c r="F14" s="17">
        <f>Scenario!AP30</f>
        <v>6.1384485815667444</v>
      </c>
      <c r="G14" s="19">
        <f>Scenario!AQ30</f>
        <v>10.817560305892991</v>
      </c>
      <c r="H14" s="19">
        <f>Scenario!AR30</f>
        <v>24.514121688493699</v>
      </c>
      <c r="I14" s="17">
        <f t="shared" si="12"/>
        <v>0.1</v>
      </c>
      <c r="J14" s="17">
        <f t="shared" si="1"/>
        <v>3.4832762585119914</v>
      </c>
      <c r="K14" s="17">
        <f t="shared" si="1"/>
        <v>6.1384485815667444</v>
      </c>
      <c r="L14" s="19">
        <f t="shared" si="1"/>
        <v>10.817560305892991</v>
      </c>
      <c r="M14" s="17">
        <f t="shared" si="1"/>
        <v>24.514121688493699</v>
      </c>
      <c r="N14" s="237">
        <f>'Phy activity RRs'!$G$4</f>
        <v>0.93831941951583364</v>
      </c>
      <c r="O14" s="15">
        <f>IF(('user page'!$N$39=0),$N14^(I14^0.25),IF(('user page'!$N$39=1),$N14^(I14^0.5),IF(('user page'!$N$39=2),$N14^(I14^0.375),IF(('user page'!$N$39=4),$N14^(I14),IF(('user page'!$N$39=3),$N14^(LN(1+I14)),"")))))</f>
        <v>0.98006871247951299</v>
      </c>
      <c r="P14" s="15">
        <f>IF(('user page'!$N$39=0),$N14^(J14^0.25),IF(('user page'!$N$39=1),$N14^(J14^0.5),IF(('user page'!$N$39=2),$N14^(J14^0.375),IF(('user page'!$N$39=4),$N14^(J14),IF(('user page'!$N$39=3),$N14^(LN(1+J14)),"")))))</f>
        <v>0.88796660774428982</v>
      </c>
      <c r="Q14" s="15">
        <f>IF(('user page'!$N$39=0),$N14^(K14^0.25),IF(('user page'!$N$39=1),$N14^(K14^0.5),IF(('user page'!$N$39=2),$N14^(K14^0.375),IF(('user page'!$N$39=4),$N14^(K14),IF(('user page'!$N$39=3),$N14^(LN(1+K14)),"")))))</f>
        <v>0.8540757725213638</v>
      </c>
      <c r="R14" s="15">
        <f>IF(('user page'!$N$39=0),$N14^(L14^0.25),IF(('user page'!$N$39=1),$N14^(L14^0.5),IF(('user page'!$N$39=2),$N14^(L14^0.375),IF(('user page'!$N$39=4),$N14^(L14),IF(('user page'!$N$39=3),$N14^(LN(1+L14)),"")))))</f>
        <v>0.81107553600232762</v>
      </c>
      <c r="S14" s="15">
        <f>IF(('user page'!$N$39=0),$N14^(M14^0.25),IF(('user page'!$N$39=1),$N14^(M14^0.5),IF(('user page'!$N$39=2),$N14^(M14^0.375),IF(('user page'!$N$39=4),$N14^(M14),IF(('user page'!$N$39=3),$N14^(LN(1+M14)),"")))))</f>
        <v>0.7296314304722521</v>
      </c>
      <c r="T14" s="18">
        <f t="shared" si="13"/>
        <v>1</v>
      </c>
      <c r="U14" s="18">
        <f t="shared" si="13"/>
        <v>0.90602484952079476</v>
      </c>
      <c r="V14" s="18">
        <f t="shared" si="13"/>
        <v>0.87144478917259294</v>
      </c>
      <c r="W14" s="186">
        <f t="shared" si="13"/>
        <v>0.82757007307207764</v>
      </c>
      <c r="X14" s="483">
        <f t="shared" si="13"/>
        <v>0.74446966950544713</v>
      </c>
      <c r="Y14" s="31">
        <f t="shared" si="8"/>
        <v>8.7283386093505833E-2</v>
      </c>
      <c r="Z14" s="344">
        <f t="shared" si="14"/>
        <v>0.91271661390649417</v>
      </c>
      <c r="AA14" s="344">
        <f>'Inflammatory HD'!F14</f>
        <v>1</v>
      </c>
      <c r="AB14" s="17">
        <f>Z14*AA14*GBDUS!$O65/($T14+$U14+$X14+V14+W14)</f>
        <v>1.1863989191435829E-2</v>
      </c>
      <c r="AC14" s="16">
        <f t="shared" si="15"/>
        <v>1.0749069021886982E-2</v>
      </c>
      <c r="AD14" s="16">
        <f t="shared" si="15"/>
        <v>1.0338811559676718E-2</v>
      </c>
      <c r="AE14" s="16">
        <f t="shared" si="15"/>
        <v>9.8182824020828889E-3</v>
      </c>
      <c r="AF14" s="16">
        <f t="shared" si="15"/>
        <v>8.8323801123644293E-3</v>
      </c>
      <c r="AG14" s="17">
        <f>Z14*AA14*GBDUS!$P65/($T14+$U14+$X14+V14+W14)</f>
        <v>0.28315758258184565</v>
      </c>
      <c r="AH14" s="16">
        <f t="shared" si="16"/>
        <v>0.25654780614938871</v>
      </c>
      <c r="AI14" s="16">
        <f t="shared" si="16"/>
        <v>0.24675619985565755</v>
      </c>
      <c r="AJ14" s="16">
        <f t="shared" si="16"/>
        <v>0.23433274130817086</v>
      </c>
      <c r="AK14" s="16">
        <f t="shared" si="16"/>
        <v>0.21080223192266798</v>
      </c>
      <c r="AL14" s="17">
        <f>Z14*GBDUS!$Q65/($T14+$U14+$X14+V14+W14)</f>
        <v>0.38439526614369818</v>
      </c>
      <c r="AM14" s="16">
        <f t="shared" si="17"/>
        <v>0.34827166316434999</v>
      </c>
      <c r="AN14" s="16">
        <f t="shared" si="17"/>
        <v>0.33497925166353781</v>
      </c>
      <c r="AO14" s="16">
        <f t="shared" si="17"/>
        <v>0.31811401849110105</v>
      </c>
      <c r="AP14" s="16">
        <f t="shared" si="17"/>
        <v>0.28617061674545735</v>
      </c>
      <c r="AQ14" s="17">
        <f t="shared" si="9"/>
        <v>-4.934766914968464E-3</v>
      </c>
      <c r="AR14" s="17">
        <f t="shared" si="10"/>
        <v>-0.11777797903389958</v>
      </c>
      <c r="AS14" s="17">
        <f t="shared" si="11"/>
        <v>-0.15988728673199731</v>
      </c>
      <c r="AT14" s="17">
        <f t="shared" si="18"/>
        <v>-0.2776652657658969</v>
      </c>
      <c r="AU14" s="22"/>
      <c r="AV14" s="22"/>
      <c r="AW14" s="22"/>
      <c r="AX14" s="22"/>
    </row>
    <row r="15" spans="1:50" s="13" customFormat="1" ht="12.75" x14ac:dyDescent="0.2">
      <c r="A15" s="20">
        <v>1</v>
      </c>
      <c r="B15" s="20">
        <v>2</v>
      </c>
      <c r="C15" s="20" t="s">
        <v>38</v>
      </c>
      <c r="D15" s="17">
        <f>Scenario!AN31</f>
        <v>1.2975056378007672</v>
      </c>
      <c r="E15" s="17">
        <f>Scenario!AO31</f>
        <v>2.9403312944072315</v>
      </c>
      <c r="F15" s="17">
        <f>Scenario!AP31</f>
        <v>5.1816368051153949</v>
      </c>
      <c r="G15" s="19">
        <f>Scenario!AQ31</f>
        <v>9.1314063932851113</v>
      </c>
      <c r="H15" s="19">
        <f>Scenario!AR31</f>
        <v>20.693058432975548</v>
      </c>
      <c r="I15" s="17">
        <f t="shared" si="12"/>
        <v>0.1</v>
      </c>
      <c r="J15" s="17">
        <f t="shared" si="1"/>
        <v>2.9403312944072315</v>
      </c>
      <c r="K15" s="17">
        <f t="shared" si="1"/>
        <v>5.1816368051153949</v>
      </c>
      <c r="L15" s="19">
        <f t="shared" si="1"/>
        <v>9.1314063932851113</v>
      </c>
      <c r="M15" s="17">
        <f t="shared" si="1"/>
        <v>20.693058432975548</v>
      </c>
      <c r="N15" s="237">
        <f>'Phy activity RRs'!$G$4</f>
        <v>0.93831941951583364</v>
      </c>
      <c r="O15" s="15">
        <f>IF(('user page'!$N$39=0),$N15^(I15^0.25),IF(('user page'!$N$39=1),$N15^(I15^0.5),IF(('user page'!$N$39=2),$N15^(I15^0.375),IF(('user page'!$N$39=4),$N15^(I15),IF(('user page'!$N$39=3),$N15^(LN(1+I15)),"")))))</f>
        <v>0.98006871247951299</v>
      </c>
      <c r="P15" s="15">
        <f>IF(('user page'!$N$39=0),$N15^(J15^0.25),IF(('user page'!$N$39=1),$N15^(J15^0.5),IF(('user page'!$N$39=2),$N15^(J15^0.375),IF(('user page'!$N$39=4),$N15^(J15),IF(('user page'!$N$39=3),$N15^(LN(1+J15)),"")))))</f>
        <v>0.89657920783922018</v>
      </c>
      <c r="Q15" s="15">
        <f>IF(('user page'!$N$39=0),$N15^(K15^0.25),IF(('user page'!$N$39=1),$N15^(K15^0.5),IF(('user page'!$N$39=2),$N15^(K15^0.375),IF(('user page'!$N$39=4),$N15^(K15),IF(('user page'!$N$39=3),$N15^(LN(1+K15)),"")))))</f>
        <v>0.86509007849558839</v>
      </c>
      <c r="R15" s="15">
        <f>IF(('user page'!$N$39=0),$N15^(L15^0.25),IF(('user page'!$N$39=1),$N15^(L15^0.5),IF(('user page'!$N$39=2),$N15^(L15^0.375),IF(('user page'!$N$39=4),$N15^(L15),IF(('user page'!$N$39=3),$N15^(LN(1+L15)),"")))))</f>
        <v>0.82499014210779475</v>
      </c>
      <c r="S15" s="15">
        <f>IF(('user page'!$N$39=0),$N15^(M15^0.25),IF(('user page'!$N$39=1),$N15^(M15^0.5),IF(('user page'!$N$39=2),$N15^(M15^0.375),IF(('user page'!$N$39=4),$N15^(M15),IF(('user page'!$N$39=3),$N15^(LN(1+M15)),"")))))</f>
        <v>0.74855617332045343</v>
      </c>
      <c r="T15" s="18">
        <f t="shared" si="13"/>
        <v>1</v>
      </c>
      <c r="U15" s="18">
        <f t="shared" si="13"/>
        <v>0.91481260081339655</v>
      </c>
      <c r="V15" s="18">
        <f t="shared" si="13"/>
        <v>0.88268308893053449</v>
      </c>
      <c r="W15" s="186">
        <f t="shared" si="13"/>
        <v>0.84176765527043595</v>
      </c>
      <c r="X15" s="483">
        <f t="shared" si="13"/>
        <v>0.7637792777066138</v>
      </c>
      <c r="Y15" s="31">
        <f t="shared" si="8"/>
        <v>8.0073261307696209E-2</v>
      </c>
      <c r="Z15" s="344">
        <f t="shared" si="14"/>
        <v>0.91992673869230379</v>
      </c>
      <c r="AA15" s="344">
        <f>'Inflammatory HD'!F15</f>
        <v>1</v>
      </c>
      <c r="AB15" s="17">
        <f>Z15*AA15*GBDUS!$O66/($T15+$U15+$X15+V15+W15)</f>
        <v>1.8426590666362631E-2</v>
      </c>
      <c r="AC15" s="16">
        <f t="shared" si="15"/>
        <v>1.6856877331619058E-2</v>
      </c>
      <c r="AD15" s="16">
        <f t="shared" si="15"/>
        <v>1.6264839967843524E-2</v>
      </c>
      <c r="AE15" s="16">
        <f t="shared" si="15"/>
        <v>1.5510908019852172E-2</v>
      </c>
      <c r="AF15" s="16">
        <f t="shared" si="15"/>
        <v>1.4073848109749883E-2</v>
      </c>
      <c r="AG15" s="17">
        <f>Z15*AA15*GBDUS!$P66/($T15+$U15+$X15+V15+W15)</f>
        <v>0.32294485285912033</v>
      </c>
      <c r="AH15" s="16">
        <f t="shared" si="16"/>
        <v>0.29543402076335151</v>
      </c>
      <c r="AI15" s="16">
        <f t="shared" si="16"/>
        <v>0.2850579602759053</v>
      </c>
      <c r="AJ15" s="16">
        <f t="shared" si="16"/>
        <v>0.27184453157287769</v>
      </c>
      <c r="AK15" s="16">
        <f t="shared" si="16"/>
        <v>0.2466585864558076</v>
      </c>
      <c r="AL15" s="17">
        <f>Z15*GBDUS!$Q66/($T15+$U15+$X15+V15+W15)</f>
        <v>9.809808925604889E-2</v>
      </c>
      <c r="AM15" s="16">
        <f t="shared" si="17"/>
        <v>8.9741368167150795E-2</v>
      </c>
      <c r="AN15" s="16">
        <f t="shared" si="17"/>
        <v>8.6589524442712507E-2</v>
      </c>
      <c r="AO15" s="16">
        <f t="shared" si="17"/>
        <v>8.2575798579574214E-2</v>
      </c>
      <c r="AP15" s="16">
        <f t="shared" si="17"/>
        <v>7.4925287756383949E-2</v>
      </c>
      <c r="AQ15" s="17">
        <f t="shared" si="9"/>
        <v>-7.0620721941861177E-3</v>
      </c>
      <c r="AR15" s="17">
        <f t="shared" si="10"/>
        <v>-0.12377004009728232</v>
      </c>
      <c r="AS15" s="17">
        <f t="shared" si="11"/>
        <v>-3.7596525639578951E-2</v>
      </c>
      <c r="AT15" s="17">
        <f t="shared" si="18"/>
        <v>-0.16136656573686126</v>
      </c>
      <c r="AU15" s="22"/>
      <c r="AV15" s="22"/>
      <c r="AW15" s="22"/>
      <c r="AX15" s="22"/>
    </row>
    <row r="16" spans="1:50" s="13" customFormat="1" ht="12.75" x14ac:dyDescent="0.2">
      <c r="A16" s="20">
        <v>1</v>
      </c>
      <c r="B16" s="20">
        <v>2</v>
      </c>
      <c r="C16" s="20" t="s">
        <v>37</v>
      </c>
      <c r="D16" s="17">
        <f>Scenario!AN32</f>
        <v>0.85341118968805019</v>
      </c>
      <c r="E16" s="17">
        <f>Scenario!AO32</f>
        <v>1.9339504622810642</v>
      </c>
      <c r="F16" s="17">
        <f>Scenario!AP32</f>
        <v>3.4081291838393759</v>
      </c>
      <c r="G16" s="19">
        <f>Scenario!AQ32</f>
        <v>6.0060196785172764</v>
      </c>
      <c r="H16" s="19">
        <f>Scenario!AR32</f>
        <v>13.610490082727217</v>
      </c>
      <c r="I16" s="17">
        <f t="shared" si="12"/>
        <v>0.1</v>
      </c>
      <c r="J16" s="17">
        <f t="shared" si="1"/>
        <v>0.1</v>
      </c>
      <c r="K16" s="17">
        <f t="shared" si="1"/>
        <v>3.4081291838393759</v>
      </c>
      <c r="L16" s="19">
        <f t="shared" si="1"/>
        <v>6.0060196785172764</v>
      </c>
      <c r="M16" s="17">
        <f t="shared" si="1"/>
        <v>13.610490082727217</v>
      </c>
      <c r="N16" s="237">
        <f>'Phy activity RRs'!$G$4</f>
        <v>0.93831941951583364</v>
      </c>
      <c r="O16" s="15">
        <f>IF(('user page'!$N$39=0),$N16^(I16^0.25),IF(('user page'!$N$39=1),$N16^(I16^0.5),IF(('user page'!$N$39=2),$N16^(I16^0.375),IF(('user page'!$N$39=4),$N16^(I16),IF(('user page'!$N$39=3),$N16^(LN(1+I16)),"")))))</f>
        <v>0.98006871247951299</v>
      </c>
      <c r="P16" s="15">
        <f>IF(('user page'!$N$39=0),$N16^(J16^0.25),IF(('user page'!$N$39=1),$N16^(J16^0.5),IF(('user page'!$N$39=2),$N16^(J16^0.375),IF(('user page'!$N$39=4),$N16^(J16),IF(('user page'!$N$39=3),$N16^(LN(1+J16)),"")))))</f>
        <v>0.98006871247951299</v>
      </c>
      <c r="Q16" s="15">
        <f>IF(('user page'!$N$39=0),$N16^(K16^0.25),IF(('user page'!$N$39=1),$N16^(K16^0.5),IF(('user page'!$N$39=2),$N16^(K16^0.375),IF(('user page'!$N$39=4),$N16^(K16),IF(('user page'!$N$39=3),$N16^(LN(1+K16)),"")))))</f>
        <v>0.88911166154691845</v>
      </c>
      <c r="R16" s="15">
        <f>IF(('user page'!$N$39=0),$N16^(L16^0.25),IF(('user page'!$N$39=1),$N16^(L16^0.5),IF(('user page'!$N$39=2),$N16^(L16^0.375),IF(('user page'!$N$39=4),$N16^(L16),IF(('user page'!$N$39=3),$N16^(LN(1+L16)),"")))))</f>
        <v>0.85553812707815702</v>
      </c>
      <c r="S16" s="15">
        <f>IF(('user page'!$N$39=0),$N16^(M16^0.25),IF(('user page'!$N$39=1),$N16^(M16^0.5),IF(('user page'!$N$39=2),$N16^(M16^0.375),IF(('user page'!$N$39=4),$N16^(M16),IF(('user page'!$N$39=3),$N16^(LN(1+M16)),"")))))</f>
        <v>0.7906697431408154</v>
      </c>
      <c r="T16" s="18">
        <f t="shared" si="13"/>
        <v>1</v>
      </c>
      <c r="U16" s="18">
        <f t="shared" si="13"/>
        <v>1</v>
      </c>
      <c r="V16" s="18">
        <f t="shared" si="13"/>
        <v>0.90719318985045561</v>
      </c>
      <c r="W16" s="186">
        <f t="shared" si="13"/>
        <v>0.87293688308210415</v>
      </c>
      <c r="X16" s="483">
        <f t="shared" si="13"/>
        <v>0.80674929530243855</v>
      </c>
      <c r="Y16" s="31">
        <f t="shared" si="8"/>
        <v>6.3110106265750643E-2</v>
      </c>
      <c r="Z16" s="344">
        <f t="shared" si="14"/>
        <v>0.93688989373424936</v>
      </c>
      <c r="AA16" s="344">
        <f>'Inflammatory HD'!F16</f>
        <v>1</v>
      </c>
      <c r="AB16" s="17">
        <f>Z16*AA16*GBDUS!$O67/($T16+$U16+$X16+V16+W16)</f>
        <v>4.7910541911245039E-2</v>
      </c>
      <c r="AC16" s="16">
        <f t="shared" si="15"/>
        <v>4.7910541911245039E-2</v>
      </c>
      <c r="AD16" s="16">
        <f t="shared" si="15"/>
        <v>4.3464117343926328E-2</v>
      </c>
      <c r="AE16" s="16">
        <f t="shared" si="15"/>
        <v>4.1822879122776761E-2</v>
      </c>
      <c r="AF16" s="16">
        <f t="shared" si="15"/>
        <v>3.8651795924454883E-2</v>
      </c>
      <c r="AG16" s="17">
        <f>Z16*AA16*GBDUS!$P67/($T16+$U16+$X16+V16+W16)</f>
        <v>0.58850099529627553</v>
      </c>
      <c r="AH16" s="16">
        <f t="shared" si="16"/>
        <v>0.58850099529627553</v>
      </c>
      <c r="AI16" s="16">
        <f t="shared" si="16"/>
        <v>0.53388409515299617</v>
      </c>
      <c r="AJ16" s="16">
        <f t="shared" si="16"/>
        <v>0.51372422452464683</v>
      </c>
      <c r="AK16" s="16">
        <f t="shared" si="16"/>
        <v>0.47477276324005396</v>
      </c>
      <c r="AL16" s="17">
        <f>Z16*GBDUS!$Q67/($T16+$U16+$X16+V16+W16)</f>
        <v>0.14800469417453352</v>
      </c>
      <c r="AM16" s="16">
        <f t="shared" si="17"/>
        <v>0.14800469417453352</v>
      </c>
      <c r="AN16" s="16">
        <f t="shared" si="17"/>
        <v>0.13426885062103622</v>
      </c>
      <c r="AO16" s="16">
        <f t="shared" si="17"/>
        <v>0.12919875641423734</v>
      </c>
      <c r="AP16" s="16">
        <f t="shared" si="17"/>
        <v>0.11940268272675784</v>
      </c>
      <c r="AQ16" s="17">
        <f t="shared" si="9"/>
        <v>-1.4803307446846568E-2</v>
      </c>
      <c r="AR16" s="17">
        <f t="shared" si="10"/>
        <v>-0.18183391000428839</v>
      </c>
      <c r="AS16" s="17">
        <f t="shared" si="11"/>
        <v>-4.5730206840509408E-2</v>
      </c>
      <c r="AT16" s="17">
        <f t="shared" si="18"/>
        <v>-0.2275641168447978</v>
      </c>
      <c r="AU16" s="22"/>
      <c r="AV16" s="22"/>
      <c r="AW16" s="22"/>
      <c r="AX16" s="22"/>
    </row>
    <row r="17" spans="1:50" s="13" customFormat="1" ht="12.75" x14ac:dyDescent="0.2">
      <c r="A17" s="20">
        <v>1</v>
      </c>
      <c r="B17" s="20">
        <v>2</v>
      </c>
      <c r="C17" s="20" t="s">
        <v>36</v>
      </c>
      <c r="D17" s="17">
        <f>Scenario!AN33</f>
        <v>0.77504695374177146</v>
      </c>
      <c r="E17" s="17">
        <f>Scenario!AO33</f>
        <v>1.7563660197920845</v>
      </c>
      <c r="F17" s="17">
        <f>Scenario!AP33</f>
        <v>3.0951787061272027</v>
      </c>
      <c r="G17" s="19">
        <f>Scenario!AQ33</f>
        <v>5.4545186566507038</v>
      </c>
      <c r="H17" s="19">
        <f>Scenario!AR33</f>
        <v>12.360710762892898</v>
      </c>
      <c r="I17" s="17">
        <f t="shared" si="12"/>
        <v>0.1</v>
      </c>
      <c r="J17" s="17">
        <f t="shared" si="1"/>
        <v>0.1</v>
      </c>
      <c r="K17" s="17">
        <f t="shared" si="1"/>
        <v>3.0951787061272027</v>
      </c>
      <c r="L17" s="19">
        <f t="shared" si="1"/>
        <v>5.4545186566507038</v>
      </c>
      <c r="M17" s="17">
        <f t="shared" si="1"/>
        <v>12.360710762892898</v>
      </c>
      <c r="N17" s="237">
        <f>'Phy activity RRs'!$G$4</f>
        <v>0.93831941951583364</v>
      </c>
      <c r="O17" s="15">
        <f>IF(('user page'!$N$39=0),$N17^(I17^0.25),IF(('user page'!$N$39=1),$N17^(I17^0.5),IF(('user page'!$N$39=2),$N17^(I17^0.375),IF(('user page'!$N$39=4),$N17^(I17),IF(('user page'!$N$39=3),$N17^(LN(1+I17)),"")))))</f>
        <v>0.98006871247951299</v>
      </c>
      <c r="P17" s="15">
        <f>IF(('user page'!$N$39=0),$N17^(J17^0.25),IF(('user page'!$N$39=1),$N17^(J17^0.5),IF(('user page'!$N$39=2),$N17^(J17^0.375),IF(('user page'!$N$39=4),$N17^(J17),IF(('user page'!$N$39=3),$N17^(LN(1+J17)),"")))))</f>
        <v>0.98006871247951299</v>
      </c>
      <c r="Q17" s="15">
        <f>IF(('user page'!$N$39=0),$N17^(K17^0.25),IF(('user page'!$N$39=1),$N17^(K17^0.5),IF(('user page'!$N$39=2),$N17^(K17^0.375),IF(('user page'!$N$39=4),$N17^(K17),IF(('user page'!$N$39=3),$N17^(LN(1+K17)),"")))))</f>
        <v>0.89403858572624817</v>
      </c>
      <c r="R17" s="15">
        <f>IF(('user page'!$N$39=0),$N17^(L17^0.25),IF(('user page'!$N$39=1),$N17^(L17^0.5),IF(('user page'!$N$39=2),$N17^(L17^0.375),IF(('user page'!$N$39=4),$N17^(L17),IF(('user page'!$N$39=3),$N17^(LN(1+L17)),"")))))</f>
        <v>0.861837360614092</v>
      </c>
      <c r="S17" s="15">
        <f>IF(('user page'!$N$39=0),$N17^(M17^0.25),IF(('user page'!$N$39=1),$N17^(M17^0.5),IF(('user page'!$N$39=2),$N17^(M17^0.375),IF(('user page'!$N$39=4),$N17^(M17),IF(('user page'!$N$39=3),$N17^(LN(1+M17)),"")))))</f>
        <v>0.79944971740092752</v>
      </c>
      <c r="T17" s="18">
        <f t="shared" si="13"/>
        <v>1</v>
      </c>
      <c r="U17" s="18">
        <f t="shared" si="13"/>
        <v>1</v>
      </c>
      <c r="V17" s="18">
        <f t="shared" si="13"/>
        <v>0.91222031102736256</v>
      </c>
      <c r="W17" s="186">
        <f t="shared" si="13"/>
        <v>0.87936422175308193</v>
      </c>
      <c r="X17" s="483">
        <f t="shared" si="13"/>
        <v>0.8157078245854511</v>
      </c>
      <c r="Y17" s="31">
        <f t="shared" si="8"/>
        <v>5.9996094910016007E-2</v>
      </c>
      <c r="Z17" s="344">
        <f t="shared" si="14"/>
        <v>0.94000390508998399</v>
      </c>
      <c r="AA17" s="344">
        <f>'Inflammatory HD'!F17</f>
        <v>1</v>
      </c>
      <c r="AB17" s="17">
        <f>Z17*AA17*GBDUS!$O68/($T17+$U17+$X17+V17+W17)</f>
        <v>8.5877637517537547E-2</v>
      </c>
      <c r="AC17" s="16">
        <f t="shared" si="15"/>
        <v>8.5877637517537547E-2</v>
      </c>
      <c r="AD17" s="16">
        <f t="shared" si="15"/>
        <v>7.8339325206543201E-2</v>
      </c>
      <c r="AE17" s="16">
        <f t="shared" si="15"/>
        <v>7.5517721881602676E-2</v>
      </c>
      <c r="AF17" s="16">
        <f t="shared" si="15"/>
        <v>7.0051060879968471E-2</v>
      </c>
      <c r="AG17" s="17">
        <f>Z17*AA17*GBDUS!$P68/($T17+$U17+$X17+V17+W17)</f>
        <v>0.66173422884797595</v>
      </c>
      <c r="AH17" s="16">
        <f t="shared" si="16"/>
        <v>0.66173422884797595</v>
      </c>
      <c r="AI17" s="16">
        <f t="shared" si="16"/>
        <v>0.60364740405715256</v>
      </c>
      <c r="AJ17" s="16">
        <f t="shared" si="16"/>
        <v>0.58190540515827616</v>
      </c>
      <c r="AK17" s="16">
        <f t="shared" si="16"/>
        <v>0.53978178826731349</v>
      </c>
      <c r="AL17" s="17">
        <f>Z17*GBDUS!$Q68/($T17+$U17+$X17+V17+W17)</f>
        <v>0.13175958168625967</v>
      </c>
      <c r="AM17" s="16">
        <f t="shared" si="17"/>
        <v>0.13175958168625967</v>
      </c>
      <c r="AN17" s="16">
        <f t="shared" si="17"/>
        <v>0.12019376658667498</v>
      </c>
      <c r="AO17" s="16">
        <f t="shared" si="17"/>
        <v>0.11586466200804936</v>
      </c>
      <c r="AP17" s="16">
        <f t="shared" si="17"/>
        <v>0.10747732174558793</v>
      </c>
      <c r="AQ17" s="17">
        <f t="shared" si="9"/>
        <v>-2.5253360917479498E-2</v>
      </c>
      <c r="AR17" s="17">
        <f t="shared" si="10"/>
        <v>-0.19459097613316678</v>
      </c>
      <c r="AS17" s="17">
        <f t="shared" si="11"/>
        <v>-3.8745503100032774E-2</v>
      </c>
      <c r="AT17" s="17">
        <f t="shared" si="18"/>
        <v>-0.23333647923319956</v>
      </c>
      <c r="AU17" s="22"/>
      <c r="AV17" s="22"/>
      <c r="AW17" s="22"/>
      <c r="AX17" s="22"/>
    </row>
    <row r="18" spans="1:50" s="13" customFormat="1" ht="12.75" x14ac:dyDescent="0.2">
      <c r="A18" s="20">
        <v>1</v>
      </c>
      <c r="B18" s="20">
        <v>2</v>
      </c>
      <c r="C18" s="20" t="s">
        <v>35</v>
      </c>
      <c r="D18" s="17">
        <f>Scenario!AN34</f>
        <v>0.40295615512215294</v>
      </c>
      <c r="E18" s="17">
        <f>Scenario!AO34</f>
        <v>0.91315564161087048</v>
      </c>
      <c r="F18" s="17">
        <f>Scenario!AP34</f>
        <v>1.6092203250598482</v>
      </c>
      <c r="G18" s="19">
        <f>Scenario!AQ34</f>
        <v>2.8358693048399783</v>
      </c>
      <c r="H18" s="19">
        <f>Scenario!AR34</f>
        <v>6.4264809500197613</v>
      </c>
      <c r="I18" s="17">
        <f t="shared" si="12"/>
        <v>0.1</v>
      </c>
      <c r="J18" s="17">
        <f t="shared" si="1"/>
        <v>0.1</v>
      </c>
      <c r="K18" s="17">
        <f t="shared" si="1"/>
        <v>0.1</v>
      </c>
      <c r="L18" s="19">
        <f t="shared" si="1"/>
        <v>2.8358693048399783</v>
      </c>
      <c r="M18" s="17">
        <f t="shared" si="1"/>
        <v>6.4264809500197613</v>
      </c>
      <c r="N18" s="237">
        <f>'Phy activity RRs'!$G$4</f>
        <v>0.93831941951583364</v>
      </c>
      <c r="O18" s="15">
        <f>IF(('user page'!$N$39=0),$N18^(I18^0.25),IF(('user page'!$N$39=1),$N18^(I18^0.5),IF(('user page'!$N$39=2),$N18^(I18^0.375),IF(('user page'!$N$39=4),$N18^(I18),IF(('user page'!$N$39=3),$N18^(LN(1+I18)),"")))))</f>
        <v>0.98006871247951299</v>
      </c>
      <c r="P18" s="15">
        <f>IF(('user page'!$N$39=0),$N18^(J18^0.25),IF(('user page'!$N$39=1),$N18^(J18^0.5),IF(('user page'!$N$39=2),$N18^(J18^0.375),IF(('user page'!$N$39=4),$N18^(J18),IF(('user page'!$N$39=3),$N18^(LN(1+J18)),"")))))</f>
        <v>0.98006871247951299</v>
      </c>
      <c r="Q18" s="15">
        <f>IF(('user page'!$N$39=0),$N18^(K18^0.25),IF(('user page'!$N$39=1),$N18^(K18^0.5),IF(('user page'!$N$39=2),$N18^(K18^0.375),IF(('user page'!$N$39=4),$N18^(K18),IF(('user page'!$N$39=3),$N18^(LN(1+K18)),"")))))</f>
        <v>0.98006871247951299</v>
      </c>
      <c r="R18" s="15">
        <f>IF(('user page'!$N$39=0),$N18^(L18^0.25),IF(('user page'!$N$39=1),$N18^(L18^0.5),IF(('user page'!$N$39=2),$N18^(L18^0.375),IF(('user page'!$N$39=4),$N18^(L18),IF(('user page'!$N$39=3),$N18^(LN(1+L18)),"")))))</f>
        <v>0.89833532430771834</v>
      </c>
      <c r="S18" s="15">
        <f>IF(('user page'!$N$39=0),$N18^(M18^0.25),IF(('user page'!$N$39=1),$N18^(M18^0.5),IF(('user page'!$N$39=2),$N18^(M18^0.375),IF(('user page'!$N$39=4),$N18^(M18),IF(('user page'!$N$39=3),$N18^(LN(1+M18)),"")))))</f>
        <v>0.85095704938262029</v>
      </c>
      <c r="T18" s="18">
        <f t="shared" si="13"/>
        <v>1</v>
      </c>
      <c r="U18" s="18">
        <f t="shared" si="13"/>
        <v>1</v>
      </c>
      <c r="V18" s="18">
        <f t="shared" si="13"/>
        <v>1</v>
      </c>
      <c r="W18" s="186">
        <f t="shared" si="13"/>
        <v>0.91660443075974307</v>
      </c>
      <c r="X18" s="483">
        <f t="shared" si="13"/>
        <v>0.86826264173840606</v>
      </c>
      <c r="Y18" s="31">
        <f t="shared" si="8"/>
        <v>4.3026585500370307E-2</v>
      </c>
      <c r="Z18" s="344">
        <f t="shared" si="14"/>
        <v>0.95697341449962969</v>
      </c>
      <c r="AA18" s="344">
        <f>'Inflammatory HD'!F18</f>
        <v>1</v>
      </c>
      <c r="AB18" s="17">
        <f>Z18*AA18*GBDUS!$O69/($T18+$U18+$X18+V18+W18)</f>
        <v>0.22058394620186914</v>
      </c>
      <c r="AC18" s="16">
        <f t="shared" si="15"/>
        <v>0.22058394620186914</v>
      </c>
      <c r="AD18" s="16">
        <f t="shared" si="15"/>
        <v>0.22058394620186914</v>
      </c>
      <c r="AE18" s="16">
        <f t="shared" si="15"/>
        <v>0.20218822244310206</v>
      </c>
      <c r="AF18" s="16">
        <f t="shared" si="15"/>
        <v>0.19152479985431733</v>
      </c>
      <c r="AG18" s="17">
        <f>Z18*AA18*GBDUS!$P69/($T18+$U18+$X18+V18+W18)</f>
        <v>0.71556285014409138</v>
      </c>
      <c r="AH18" s="16">
        <f t="shared" si="16"/>
        <v>0.71556285014409138</v>
      </c>
      <c r="AI18" s="16">
        <f t="shared" si="16"/>
        <v>0.71556285014409138</v>
      </c>
      <c r="AJ18" s="16">
        <f t="shared" si="16"/>
        <v>0.65588807892914425</v>
      </c>
      <c r="AK18" s="16">
        <f t="shared" si="16"/>
        <v>0.62129649059597192</v>
      </c>
      <c r="AL18" s="17">
        <f>Z18*GBDUS!$Q69/($T18+$U18+$X18+V18+W18)</f>
        <v>9.3197992695368007E-2</v>
      </c>
      <c r="AM18" s="16">
        <f t="shared" si="17"/>
        <v>9.3197992695368007E-2</v>
      </c>
      <c r="AN18" s="16">
        <f t="shared" si="17"/>
        <v>9.3197992695368007E-2</v>
      </c>
      <c r="AO18" s="16">
        <f t="shared" si="17"/>
        <v>8.5425693042488482E-2</v>
      </c>
      <c r="AP18" s="16">
        <f t="shared" si="17"/>
        <v>8.0920335342396899E-2</v>
      </c>
      <c r="AQ18" s="17">
        <f t="shared" si="9"/>
        <v>-4.7454870106319047E-2</v>
      </c>
      <c r="AR18" s="17">
        <f t="shared" si="10"/>
        <v>-0.15394113076306692</v>
      </c>
      <c r="AS18" s="17">
        <f t="shared" si="11"/>
        <v>-2.0049957005850633E-2</v>
      </c>
      <c r="AT18" s="17">
        <f t="shared" si="18"/>
        <v>-0.17399108776891756</v>
      </c>
      <c r="AU18" s="22"/>
      <c r="AV18" s="22"/>
      <c r="AW18" s="22"/>
      <c r="AX18" s="22"/>
    </row>
    <row r="19" spans="1:50" s="13" customFormat="1" ht="12.75" x14ac:dyDescent="0.2">
      <c r="A19" s="20"/>
      <c r="B19" s="20"/>
      <c r="C19" s="20"/>
      <c r="D19" s="17"/>
      <c r="E19" s="16"/>
      <c r="F19" s="17"/>
      <c r="G19" s="186"/>
      <c r="H19" s="19"/>
      <c r="I19" s="17"/>
      <c r="J19" s="17"/>
      <c r="K19" s="17"/>
      <c r="L19" s="19"/>
      <c r="M19" s="17"/>
      <c r="N19" s="237"/>
      <c r="O19" s="15"/>
      <c r="P19" s="15"/>
      <c r="Q19" s="15"/>
      <c r="R19" s="15"/>
      <c r="S19" s="15"/>
      <c r="T19" s="18"/>
      <c r="U19" s="18"/>
      <c r="V19" s="18"/>
      <c r="W19" s="186"/>
      <c r="X19" s="484"/>
      <c r="Y19" s="18"/>
      <c r="Z19" s="16"/>
      <c r="AA19" s="238"/>
      <c r="AB19" s="17"/>
      <c r="AC19" s="16"/>
      <c r="AD19" s="16"/>
      <c r="AE19" s="16"/>
      <c r="AF19" s="16"/>
      <c r="AG19" s="17"/>
      <c r="AH19" s="16"/>
      <c r="AI19" s="16"/>
      <c r="AJ19" s="16"/>
      <c r="AK19" s="16"/>
      <c r="AL19" s="17"/>
      <c r="AM19" s="16"/>
      <c r="AN19" s="16"/>
      <c r="AO19" s="16"/>
      <c r="AP19" s="16"/>
      <c r="AQ19" s="21">
        <f>SUM(AQ3:AQ18)</f>
        <v>-0.42508301184220171</v>
      </c>
      <c r="AR19" s="21">
        <f>SUM(AR3:AR18)</f>
        <v>-3.3826019356629002</v>
      </c>
      <c r="AS19" s="21">
        <f>SUM(AS3:AS18)</f>
        <v>-0.77676558785056204</v>
      </c>
      <c r="AT19" s="21">
        <f>SUM(AT3:AT18)</f>
        <v>-4.1593675235134615</v>
      </c>
      <c r="AU19" s="22"/>
      <c r="AV19" s="22"/>
      <c r="AW19" s="22"/>
      <c r="AX19" s="22"/>
    </row>
    <row r="20" spans="1:50" s="13" customFormat="1" ht="12.75" x14ac:dyDescent="0.2">
      <c r="A20" s="20">
        <v>0</v>
      </c>
      <c r="B20" s="20">
        <v>1</v>
      </c>
      <c r="C20" s="20" t="s">
        <v>2</v>
      </c>
      <c r="D20" s="17"/>
      <c r="E20" s="17"/>
      <c r="F20" s="17"/>
      <c r="G20" s="19"/>
      <c r="H20" s="19"/>
      <c r="I20" s="17"/>
      <c r="J20" s="17"/>
      <c r="K20" s="17"/>
      <c r="L20" s="19"/>
      <c r="M20" s="17"/>
      <c r="N20" s="237"/>
      <c r="O20" s="15"/>
      <c r="P20" s="15"/>
      <c r="Q20" s="15"/>
      <c r="R20" s="15"/>
      <c r="S20" s="15"/>
      <c r="T20" s="18"/>
      <c r="U20" s="18"/>
      <c r="V20" s="18"/>
      <c r="W20" s="186"/>
      <c r="X20" s="483"/>
      <c r="Y20" s="18"/>
      <c r="Z20" s="16"/>
      <c r="AA20" s="16"/>
      <c r="AB20" s="17"/>
      <c r="AC20" s="16"/>
      <c r="AD20" s="16"/>
      <c r="AE20" s="16"/>
      <c r="AF20" s="16"/>
      <c r="AG20" s="17"/>
      <c r="AH20" s="16"/>
      <c r="AI20" s="16"/>
      <c r="AJ20" s="16"/>
      <c r="AK20" s="16"/>
      <c r="AL20" s="17"/>
      <c r="AM20" s="16"/>
      <c r="AN20" s="16"/>
      <c r="AO20" s="16"/>
      <c r="AP20" s="16"/>
      <c r="AQ20" s="33">
        <f>AQ19/GBDUS!O70</f>
        <v>-6.3222692328956318E-2</v>
      </c>
      <c r="AR20" s="33">
        <f>AR19/GBDUS!P70</f>
        <v>-7.0985093593111948E-2</v>
      </c>
      <c r="AS20" s="33">
        <f>AS19/GBDUS!Q70</f>
        <v>-7.4121326118377309E-2</v>
      </c>
      <c r="AT20" s="33">
        <f>AT19/GBDUS!R70</f>
        <v>-7.155047336439746E-2</v>
      </c>
      <c r="AU20" s="14"/>
      <c r="AV20" s="14"/>
      <c r="AW20" s="14"/>
      <c r="AX20" s="14"/>
    </row>
    <row r="21" spans="1:50" s="13" customFormat="1" ht="12.75" x14ac:dyDescent="0.2">
      <c r="A21" s="20">
        <v>0</v>
      </c>
      <c r="B21" s="20">
        <v>1</v>
      </c>
      <c r="C21" s="20" t="s">
        <v>41</v>
      </c>
      <c r="D21" s="17"/>
      <c r="E21" s="17"/>
      <c r="F21" s="17"/>
      <c r="G21" s="19"/>
      <c r="H21" s="19"/>
      <c r="I21" s="17"/>
      <c r="J21" s="17"/>
      <c r="K21" s="17"/>
      <c r="L21" s="19"/>
      <c r="M21" s="17"/>
      <c r="N21" s="237"/>
      <c r="O21" s="15"/>
      <c r="P21" s="15"/>
      <c r="Q21" s="15"/>
      <c r="R21" s="15"/>
      <c r="S21" s="15"/>
      <c r="T21" s="18"/>
      <c r="U21" s="18"/>
      <c r="V21" s="18"/>
      <c r="W21" s="186"/>
      <c r="X21" s="483"/>
      <c r="Y21" s="18"/>
      <c r="Z21" s="16"/>
      <c r="AA21" s="16"/>
      <c r="AB21" s="17"/>
      <c r="AC21" s="16"/>
      <c r="AD21" s="16"/>
      <c r="AE21" s="16"/>
      <c r="AF21" s="16"/>
      <c r="AG21" s="17"/>
      <c r="AH21" s="16"/>
      <c r="AI21" s="16"/>
      <c r="AJ21" s="16"/>
      <c r="AK21" s="16"/>
      <c r="AL21" s="17"/>
      <c r="AM21" s="16"/>
      <c r="AN21" s="16"/>
      <c r="AO21" s="16"/>
      <c r="AP21" s="16"/>
      <c r="AQ21" s="15"/>
      <c r="AR21" s="15"/>
      <c r="AS21" s="15"/>
      <c r="AT21" s="15"/>
      <c r="AU21" s="14"/>
      <c r="AV21" s="14"/>
      <c r="AW21" s="14"/>
      <c r="AX21" s="14"/>
    </row>
    <row r="22" spans="1:50" s="13" customFormat="1" ht="12.75" x14ac:dyDescent="0.2">
      <c r="A22" s="20">
        <v>0</v>
      </c>
      <c r="B22" s="20">
        <v>1</v>
      </c>
      <c r="C22" s="20" t="s">
        <v>40</v>
      </c>
      <c r="D22" s="17">
        <f>Baseline!AN21</f>
        <v>0.60295678095886318</v>
      </c>
      <c r="E22" s="17">
        <f>Baseline!AO21</f>
        <v>1.3663853478381727</v>
      </c>
      <c r="F22" s="17">
        <f>Baseline!AP21</f>
        <v>2.4079302294253959</v>
      </c>
      <c r="G22" s="19">
        <f>Baseline!AQ21</f>
        <v>4.2434061510935761</v>
      </c>
      <c r="H22" s="19">
        <f>Baseline!AR21</f>
        <v>9.6161585255912687</v>
      </c>
      <c r="I22" s="17">
        <f t="shared" ref="I22:M27" si="19">IF(D22&gt;2.5,D22,0.1)</f>
        <v>0.1</v>
      </c>
      <c r="J22" s="17">
        <f t="shared" si="19"/>
        <v>0.1</v>
      </c>
      <c r="K22" s="17">
        <f t="shared" si="19"/>
        <v>0.1</v>
      </c>
      <c r="L22" s="19">
        <f t="shared" si="19"/>
        <v>4.2434061510935761</v>
      </c>
      <c r="M22" s="17">
        <f t="shared" si="19"/>
        <v>9.6161585255912687</v>
      </c>
      <c r="N22" s="237">
        <f>'Phy activity RRs'!$G$4</f>
        <v>0.93831941951583364</v>
      </c>
      <c r="O22" s="15">
        <f>IF(('user page'!$N$39=0),$N22^(I22^0.25),IF(('user page'!$N$39=1),$N22^(I22^0.5),IF(('user page'!$N$39=2),$N22^(I22^0.375),IF(('user page'!$N$39=4),$N22^(I22),IF(('user page'!$N$39=3),$N22^(LN(1+I22)),"")))))</f>
        <v>0.98006871247951299</v>
      </c>
      <c r="P22" s="15">
        <f>IF(('user page'!$N$39=0),$N22^(J22^0.25),IF(('user page'!$N$39=1),$N22^(J22^0.5),IF(('user page'!$N$39=2),$N22^(J22^0.375),IF(('user page'!$N$39=4),$N22^(J22),IF(('user page'!$N$39=3),$N22^(LN(1+J22)),"")))))</f>
        <v>0.98006871247951299</v>
      </c>
      <c r="Q22" s="15">
        <f>IF(('user page'!$N$39=0),$N22^(K22^0.25),IF(('user page'!$N$39=1),$N22^(K22^0.5),IF(('user page'!$N$39=2),$N22^(K22^0.375),IF(('user page'!$N$39=4),$N22^(K22),IF(('user page'!$N$39=3),$N22^(LN(1+K22)),"")))))</f>
        <v>0.98006871247951299</v>
      </c>
      <c r="R22" s="15">
        <f>IF(('user page'!$N$39=0),$N22^(L22^0.25),IF(('user page'!$N$39=1),$N22^(L22^0.5),IF(('user page'!$N$39=2),$N22^(L22^0.375),IF(('user page'!$N$39=4),$N22^(L22),IF(('user page'!$N$39=3),$N22^(LN(1+L22)),"")))))</f>
        <v>0.87708917787065044</v>
      </c>
      <c r="S22" s="15">
        <f>IF(('user page'!$N$39=0),$N22^(M22^0.25),IF(('user page'!$N$39=1),$N22^(M22^0.5),IF(('user page'!$N$39=2),$N22^(M22^0.375),IF(('user page'!$N$39=4),$N22^(M22),IF(('user page'!$N$39=3),$N22^(LN(1+M22)),"")))))</f>
        <v>0.8208422919437548</v>
      </c>
      <c r="T22" s="18">
        <f t="shared" ref="T22:X27" si="20">O22/$O22</f>
        <v>1</v>
      </c>
      <c r="U22" s="18">
        <f t="shared" si="20"/>
        <v>1</v>
      </c>
      <c r="V22" s="18">
        <f t="shared" si="20"/>
        <v>1</v>
      </c>
      <c r="W22" s="186">
        <f t="shared" si="20"/>
        <v>0.89492620946103796</v>
      </c>
      <c r="X22" s="483">
        <f t="shared" si="20"/>
        <v>0.83753545184303946</v>
      </c>
      <c r="Y22" s="18"/>
      <c r="Z22" s="16"/>
      <c r="AA22" s="16"/>
      <c r="AB22" s="17">
        <f>GBDUS!O56/($T22+$U22+$X22+V22+W22)</f>
        <v>6.7140674125175989E-4</v>
      </c>
      <c r="AC22" s="16">
        <f t="shared" ref="AC22:AF27" si="21">$AB22*U22</f>
        <v>6.7140674125175989E-4</v>
      </c>
      <c r="AD22" s="16">
        <f t="shared" si="21"/>
        <v>6.7140674125175989E-4</v>
      </c>
      <c r="AE22" s="16">
        <f t="shared" si="21"/>
        <v>6.0085948995502536E-4</v>
      </c>
      <c r="AF22" s="16">
        <f t="shared" si="21"/>
        <v>5.6232694840475537E-4</v>
      </c>
      <c r="AG22" s="17">
        <f>GBDUS!P56/($T22+$U22+$X22+V22+W22)</f>
        <v>1.9731200522170173E-2</v>
      </c>
      <c r="AH22" s="16">
        <f t="shared" ref="AH22:AK27" si="22">$AG22*U22</f>
        <v>1.9731200522170173E-2</v>
      </c>
      <c r="AI22" s="16">
        <f t="shared" si="22"/>
        <v>1.9731200522170173E-2</v>
      </c>
      <c r="AJ22" s="16">
        <f t="shared" si="22"/>
        <v>1.7657968491421407E-2</v>
      </c>
      <c r="AK22" s="16">
        <f t="shared" si="22"/>
        <v>1.6525579944741412E-2</v>
      </c>
      <c r="AL22" s="17">
        <f>GBDUS!Q56/($T22+$U22+$X22+V22+W22)</f>
        <v>1.6074902677703271E-2</v>
      </c>
      <c r="AM22" s="16">
        <f t="shared" ref="AM22:AP27" si="23">U22*$AL22</f>
        <v>1.6074902677703271E-2</v>
      </c>
      <c r="AN22" s="16">
        <f t="shared" si="23"/>
        <v>1.6074902677703271E-2</v>
      </c>
      <c r="AO22" s="16">
        <f t="shared" si="23"/>
        <v>1.4385851720812077E-2</v>
      </c>
      <c r="AP22" s="16">
        <f t="shared" si="23"/>
        <v>1.3463300877503094E-2</v>
      </c>
      <c r="AQ22" s="15"/>
      <c r="AR22" s="15"/>
      <c r="AS22" s="15"/>
      <c r="AT22" s="15"/>
      <c r="AU22" s="14"/>
      <c r="AV22" s="14"/>
      <c r="AW22" s="14"/>
      <c r="AX22" s="14"/>
    </row>
    <row r="23" spans="1:50" s="13" customFormat="1" ht="12.75" x14ac:dyDescent="0.2">
      <c r="A23" s="20">
        <v>0</v>
      </c>
      <c r="B23" s="20">
        <v>1</v>
      </c>
      <c r="C23" s="20" t="s">
        <v>39</v>
      </c>
      <c r="D23" s="17">
        <f>Baseline!AN22</f>
        <v>0.34976362929541344</v>
      </c>
      <c r="E23" s="17">
        <f>Baseline!AO22</f>
        <v>0.79261385453854083</v>
      </c>
      <c r="F23" s="17">
        <f>Baseline!AP22</f>
        <v>1.396794003700613</v>
      </c>
      <c r="G23" s="19">
        <f>Baseline!AQ22</f>
        <v>2.4615182760208985</v>
      </c>
      <c r="H23" s="19">
        <f>Baseline!AR22</f>
        <v>5.5781485705196889</v>
      </c>
      <c r="I23" s="17">
        <f t="shared" si="19"/>
        <v>0.1</v>
      </c>
      <c r="J23" s="17">
        <f t="shared" si="19"/>
        <v>0.1</v>
      </c>
      <c r="K23" s="17">
        <f t="shared" si="19"/>
        <v>0.1</v>
      </c>
      <c r="L23" s="19">
        <f t="shared" si="19"/>
        <v>0.1</v>
      </c>
      <c r="M23" s="17">
        <f t="shared" si="19"/>
        <v>5.5781485705196889</v>
      </c>
      <c r="N23" s="237">
        <f>'Phy activity RRs'!$G$4</f>
        <v>0.93831941951583364</v>
      </c>
      <c r="O23" s="15">
        <f>IF(('user page'!$N$39=0),$N23^(I23^0.25),IF(('user page'!$N$39=1),$N23^(I23^0.5),IF(('user page'!$N$39=2),$N23^(I23^0.375),IF(('user page'!$N$39=4),$N23^(I23),IF(('user page'!$N$39=3),$N23^(LN(1+I23)),"")))))</f>
        <v>0.98006871247951299</v>
      </c>
      <c r="P23" s="15">
        <f>IF(('user page'!$N$39=0),$N23^(J23^0.25),IF(('user page'!$N$39=1),$N23^(J23^0.5),IF(('user page'!$N$39=2),$N23^(J23^0.375),IF(('user page'!$N$39=4),$N23^(J23),IF(('user page'!$N$39=3),$N23^(LN(1+J23)),"")))))</f>
        <v>0.98006871247951299</v>
      </c>
      <c r="Q23" s="15">
        <f>IF(('user page'!$N$39=0),$N23^(K23^0.25),IF(('user page'!$N$39=1),$N23^(K23^0.5),IF(('user page'!$N$39=2),$N23^(K23^0.375),IF(('user page'!$N$39=4),$N23^(K23),IF(('user page'!$N$39=3),$N23^(LN(1+K23)),"")))))</f>
        <v>0.98006871247951299</v>
      </c>
      <c r="R23" s="15">
        <f>IF(('user page'!$N$39=0),$N23^(L23^0.25),IF(('user page'!$N$39=1),$N23^(L23^0.5),IF(('user page'!$N$39=2),$N23^(L23^0.375),IF(('user page'!$N$39=4),$N23^(L23),IF(('user page'!$N$39=3),$N23^(LN(1+L23)),"")))))</f>
        <v>0.98006871247951299</v>
      </c>
      <c r="S23" s="15">
        <f>IF(('user page'!$N$39=0),$N23^(M23^0.25),IF(('user page'!$N$39=1),$N23^(M23^0.5),IF(('user page'!$N$39=2),$N23^(M23^0.375),IF(('user page'!$N$39=4),$N23^(M23),IF(('user page'!$N$39=3),$N23^(LN(1+M23)),"")))))</f>
        <v>0.86039446007566256</v>
      </c>
      <c r="T23" s="18">
        <f t="shared" si="20"/>
        <v>1</v>
      </c>
      <c r="U23" s="18">
        <f t="shared" si="20"/>
        <v>1</v>
      </c>
      <c r="V23" s="18">
        <f t="shared" si="20"/>
        <v>1</v>
      </c>
      <c r="W23" s="186">
        <f t="shared" si="20"/>
        <v>1</v>
      </c>
      <c r="X23" s="483">
        <f t="shared" si="20"/>
        <v>0.87789197749096382</v>
      </c>
      <c r="Y23" s="18"/>
      <c r="Z23" s="16"/>
      <c r="AA23" s="16"/>
      <c r="AB23" s="17">
        <f>GBDUS!O57/($T23+$U23+$X23+V23+W23)</f>
        <v>4.8507052908533972E-2</v>
      </c>
      <c r="AC23" s="16">
        <f t="shared" si="21"/>
        <v>4.8507052908533972E-2</v>
      </c>
      <c r="AD23" s="16">
        <f t="shared" si="21"/>
        <v>4.8507052908533972E-2</v>
      </c>
      <c r="AE23" s="16">
        <f t="shared" si="21"/>
        <v>4.8507052908533972E-2</v>
      </c>
      <c r="AF23" s="16">
        <f t="shared" si="21"/>
        <v>4.2583952600131696E-2</v>
      </c>
      <c r="AG23" s="17">
        <f>GBDUS!P57/($T23+$U23+$X23+V23+W23)</f>
        <v>1.1388151982573105</v>
      </c>
      <c r="AH23" s="16">
        <f t="shared" si="22"/>
        <v>1.1388151982573105</v>
      </c>
      <c r="AI23" s="16">
        <f t="shared" si="22"/>
        <v>1.1388151982573105</v>
      </c>
      <c r="AJ23" s="16">
        <f t="shared" si="22"/>
        <v>1.1388151982573105</v>
      </c>
      <c r="AK23" s="16">
        <f t="shared" si="22"/>
        <v>0.99975672639487434</v>
      </c>
      <c r="AL23" s="17">
        <f>GBDUS!Q57/($T23+$U23+$X23+V23+W23)</f>
        <v>0.2297455793975561</v>
      </c>
      <c r="AM23" s="16">
        <f t="shared" si="23"/>
        <v>0.2297455793975561</v>
      </c>
      <c r="AN23" s="16">
        <f t="shared" si="23"/>
        <v>0.2297455793975561</v>
      </c>
      <c r="AO23" s="16">
        <f t="shared" si="23"/>
        <v>0.2297455793975561</v>
      </c>
      <c r="AP23" s="16">
        <f t="shared" si="23"/>
        <v>0.20169180101712778</v>
      </c>
      <c r="AQ23" s="15"/>
      <c r="AR23" s="15"/>
      <c r="AS23" s="15"/>
      <c r="AT23" s="15"/>
      <c r="AU23" s="14"/>
      <c r="AV23" s="14"/>
      <c r="AW23" s="14"/>
      <c r="AX23" s="14"/>
    </row>
    <row r="24" spans="1:50" s="13" customFormat="1" ht="12.75" x14ac:dyDescent="0.2">
      <c r="A24" s="20">
        <v>0</v>
      </c>
      <c r="B24" s="20">
        <v>1</v>
      </c>
      <c r="C24" s="20" t="s">
        <v>38</v>
      </c>
      <c r="D24" s="17">
        <f>Baseline!AN23</f>
        <v>0.35151125659111732</v>
      </c>
      <c r="E24" s="17">
        <f>Baseline!AO23</f>
        <v>0.79657422517494758</v>
      </c>
      <c r="F24" s="17">
        <f>Baseline!AP23</f>
        <v>1.4037732180124616</v>
      </c>
      <c r="G24" s="19">
        <f>Baseline!AQ23</f>
        <v>2.4738174865955198</v>
      </c>
      <c r="H24" s="19">
        <f>Baseline!AR23</f>
        <v>5.6060203212816786</v>
      </c>
      <c r="I24" s="17">
        <f t="shared" si="19"/>
        <v>0.1</v>
      </c>
      <c r="J24" s="17">
        <f t="shared" si="19"/>
        <v>0.1</v>
      </c>
      <c r="K24" s="17">
        <f t="shared" si="19"/>
        <v>0.1</v>
      </c>
      <c r="L24" s="19">
        <f t="shared" si="19"/>
        <v>0.1</v>
      </c>
      <c r="M24" s="17">
        <f t="shared" si="19"/>
        <v>5.6060203212816786</v>
      </c>
      <c r="N24" s="237">
        <f>'Phy activity RRs'!$G$4</f>
        <v>0.93831941951583364</v>
      </c>
      <c r="O24" s="15">
        <f>IF(('user page'!$N$39=0),$N24^(I24^0.25),IF(('user page'!$N$39=1),$N24^(I24^0.5),IF(('user page'!$N$39=2),$N24^(I24^0.375),IF(('user page'!$N$39=4),$N24^(I24),IF(('user page'!$N$39=3),$N24^(LN(1+I24)),"")))))</f>
        <v>0.98006871247951299</v>
      </c>
      <c r="P24" s="15">
        <f>IF(('user page'!$N$39=0),$N24^(J24^0.25),IF(('user page'!$N$39=1),$N24^(J24^0.5),IF(('user page'!$N$39=2),$N24^(J24^0.375),IF(('user page'!$N$39=4),$N24^(J24),IF(('user page'!$N$39=3),$N24^(LN(1+J24)),"")))))</f>
        <v>0.98006871247951299</v>
      </c>
      <c r="Q24" s="15">
        <f>IF(('user page'!$N$39=0),$N24^(K24^0.25),IF(('user page'!$N$39=1),$N24^(K24^0.5),IF(('user page'!$N$39=2),$N24^(K24^0.375),IF(('user page'!$N$39=4),$N24^(K24),IF(('user page'!$N$39=3),$N24^(LN(1+K24)),"")))))</f>
        <v>0.98006871247951299</v>
      </c>
      <c r="R24" s="15">
        <f>IF(('user page'!$N$39=0),$N24^(L24^0.25),IF(('user page'!$N$39=1),$N24^(L24^0.5),IF(('user page'!$N$39=2),$N24^(L24^0.375),IF(('user page'!$N$39=4),$N24^(L24),IF(('user page'!$N$39=3),$N24^(LN(1+L24)),"")))))</f>
        <v>0.98006871247951299</v>
      </c>
      <c r="S24" s="15">
        <f>IF(('user page'!$N$39=0),$N24^(M24^0.25),IF(('user page'!$N$39=1),$N24^(M24^0.5),IF(('user page'!$N$39=2),$N24^(M24^0.375),IF(('user page'!$N$39=4),$N24^(M24),IF(('user page'!$N$39=3),$N24^(LN(1+M24)),"")))))</f>
        <v>0.86007171202718313</v>
      </c>
      <c r="T24" s="18">
        <f t="shared" si="20"/>
        <v>1</v>
      </c>
      <c r="U24" s="18">
        <f t="shared" si="20"/>
        <v>1</v>
      </c>
      <c r="V24" s="18">
        <f t="shared" si="20"/>
        <v>1</v>
      </c>
      <c r="W24" s="186">
        <f t="shared" si="20"/>
        <v>1</v>
      </c>
      <c r="X24" s="483">
        <f t="shared" si="20"/>
        <v>0.87756266583722997</v>
      </c>
      <c r="Y24" s="18"/>
      <c r="Z24" s="16"/>
      <c r="AA24" s="16"/>
      <c r="AB24" s="17">
        <f>GBDUS!O58/($T24+$U24+$X24+V24+W24)</f>
        <v>8.1591022214444073E-2</v>
      </c>
      <c r="AC24" s="16">
        <f t="shared" si="21"/>
        <v>8.1591022214444073E-2</v>
      </c>
      <c r="AD24" s="16">
        <f t="shared" si="21"/>
        <v>8.1591022214444073E-2</v>
      </c>
      <c r="AE24" s="16">
        <f t="shared" si="21"/>
        <v>8.1591022214444073E-2</v>
      </c>
      <c r="AF24" s="16">
        <f t="shared" si="21"/>
        <v>7.1601234962892196E-2</v>
      </c>
      <c r="AG24" s="17">
        <f>GBDUS!P58/($T24+$U24+$X24+V24+W24)</f>
        <v>1.353014250058419</v>
      </c>
      <c r="AH24" s="16">
        <f t="shared" si="22"/>
        <v>1.353014250058419</v>
      </c>
      <c r="AI24" s="16">
        <f t="shared" si="22"/>
        <v>1.353014250058419</v>
      </c>
      <c r="AJ24" s="16">
        <f t="shared" si="22"/>
        <v>1.353014250058419</v>
      </c>
      <c r="AK24" s="16">
        <f t="shared" si="22"/>
        <v>1.1873547921970267</v>
      </c>
      <c r="AL24" s="17">
        <f>GBDUS!Q58/($T24+$U24+$X24+V24+W24)</f>
        <v>0.20504098078631661</v>
      </c>
      <c r="AM24" s="16">
        <f t="shared" si="23"/>
        <v>0.20504098078631661</v>
      </c>
      <c r="AN24" s="16">
        <f t="shared" si="23"/>
        <v>0.20504098078631661</v>
      </c>
      <c r="AO24" s="16">
        <f t="shared" si="23"/>
        <v>0.20504098078631661</v>
      </c>
      <c r="AP24" s="16">
        <f t="shared" si="23"/>
        <v>0.17993630970472024</v>
      </c>
      <c r="AQ24" s="15"/>
      <c r="AR24" s="15"/>
      <c r="AS24" s="15"/>
      <c r="AT24" s="15"/>
      <c r="AU24" s="14"/>
      <c r="AV24" s="14"/>
      <c r="AW24" s="14"/>
      <c r="AX24" s="14"/>
    </row>
    <row r="25" spans="1:50" s="13" customFormat="1" ht="12.75" x14ac:dyDescent="0.2">
      <c r="A25" s="20">
        <v>0</v>
      </c>
      <c r="B25" s="20">
        <v>1</v>
      </c>
      <c r="C25" s="20" t="s">
        <v>37</v>
      </c>
      <c r="D25" s="17">
        <f>Baseline!AN24</f>
        <v>0.31868617612515476</v>
      </c>
      <c r="E25" s="17">
        <f>Baseline!AO24</f>
        <v>0.72218795006087733</v>
      </c>
      <c r="F25" s="17">
        <f>Baseline!AP24</f>
        <v>1.2726850438126185</v>
      </c>
      <c r="G25" s="19">
        <f>Baseline!AQ24</f>
        <v>2.2428056582885252</v>
      </c>
      <c r="H25" s="19">
        <f>Baseline!AR24</f>
        <v>5.0825148440333541</v>
      </c>
      <c r="I25" s="17">
        <f t="shared" si="19"/>
        <v>0.1</v>
      </c>
      <c r="J25" s="17">
        <f t="shared" si="19"/>
        <v>0.1</v>
      </c>
      <c r="K25" s="17">
        <f t="shared" si="19"/>
        <v>0.1</v>
      </c>
      <c r="L25" s="19">
        <f t="shared" si="19"/>
        <v>0.1</v>
      </c>
      <c r="M25" s="17">
        <f t="shared" si="19"/>
        <v>5.0825148440333541</v>
      </c>
      <c r="N25" s="237">
        <f>'Phy activity RRs'!$G$4</f>
        <v>0.93831941951583364</v>
      </c>
      <c r="O25" s="15">
        <f>IF(('user page'!$N$39=0),$N25^(I25^0.25),IF(('user page'!$N$39=1),$N25^(I25^0.5),IF(('user page'!$N$39=2),$N25^(I25^0.375),IF(('user page'!$N$39=4),$N25^(I25),IF(('user page'!$N$39=3),$N25^(LN(1+I25)),"")))))</f>
        <v>0.98006871247951299</v>
      </c>
      <c r="P25" s="15">
        <f>IF(('user page'!$N$39=0),$N25^(J25^0.25),IF(('user page'!$N$39=1),$N25^(J25^0.5),IF(('user page'!$N$39=2),$N25^(J25^0.375),IF(('user page'!$N$39=4),$N25^(J25),IF(('user page'!$N$39=3),$N25^(LN(1+J25)),"")))))</f>
        <v>0.98006871247951299</v>
      </c>
      <c r="Q25" s="15">
        <f>IF(('user page'!$N$39=0),$N25^(K25^0.25),IF(('user page'!$N$39=1),$N25^(K25^0.5),IF(('user page'!$N$39=2),$N25^(K25^0.375),IF(('user page'!$N$39=4),$N25^(K25),IF(('user page'!$N$39=3),$N25^(LN(1+K25)),"")))))</f>
        <v>0.98006871247951299</v>
      </c>
      <c r="R25" s="15">
        <f>IF(('user page'!$N$39=0),$N25^(L25^0.25),IF(('user page'!$N$39=1),$N25^(L25^0.5),IF(('user page'!$N$39=2),$N25^(L25^0.375),IF(('user page'!$N$39=4),$N25^(L25),IF(('user page'!$N$39=3),$N25^(LN(1+L25)),"")))))</f>
        <v>0.98006871247951299</v>
      </c>
      <c r="S25" s="15">
        <f>IF(('user page'!$N$39=0),$N25^(M25^0.25),IF(('user page'!$N$39=1),$N25^(M25^0.5),IF(('user page'!$N$39=2),$N25^(M25^0.375),IF(('user page'!$N$39=4),$N25^(M25),IF(('user page'!$N$39=3),$N25^(LN(1+M25)),"")))))</f>
        <v>0.86629584160824002</v>
      </c>
      <c r="T25" s="18">
        <f t="shared" si="20"/>
        <v>1</v>
      </c>
      <c r="U25" s="18">
        <f t="shared" si="20"/>
        <v>1</v>
      </c>
      <c r="V25" s="18">
        <f t="shared" si="20"/>
        <v>1</v>
      </c>
      <c r="W25" s="186">
        <f t="shared" si="20"/>
        <v>1</v>
      </c>
      <c r="X25" s="483">
        <f t="shared" si="20"/>
        <v>0.88391337319254415</v>
      </c>
      <c r="Y25" s="18"/>
      <c r="Z25" s="16"/>
      <c r="AA25" s="16"/>
      <c r="AB25" s="17">
        <f>GBDUS!O59/($T25+$U25+$X25+V25+W25)</f>
        <v>0.1521398518405831</v>
      </c>
      <c r="AC25" s="16">
        <f t="shared" si="21"/>
        <v>0.1521398518405831</v>
      </c>
      <c r="AD25" s="16">
        <f t="shared" si="21"/>
        <v>0.1521398518405831</v>
      </c>
      <c r="AE25" s="16">
        <f t="shared" si="21"/>
        <v>0.1521398518405831</v>
      </c>
      <c r="AF25" s="16">
        <f t="shared" si="21"/>
        <v>0.1344784496374237</v>
      </c>
      <c r="AG25" s="17">
        <f>GBDUS!P59/($T25+$U25+$X25+V25+W25)</f>
        <v>1.6988414109079906</v>
      </c>
      <c r="AH25" s="16">
        <f t="shared" si="22"/>
        <v>1.6988414109079906</v>
      </c>
      <c r="AI25" s="16">
        <f t="shared" si="22"/>
        <v>1.6988414109079906</v>
      </c>
      <c r="AJ25" s="16">
        <f t="shared" si="22"/>
        <v>1.6988414109079906</v>
      </c>
      <c r="AK25" s="16">
        <f t="shared" si="22"/>
        <v>1.501628642034863</v>
      </c>
      <c r="AL25" s="17">
        <f>GBDUS!Q59/($T25+$U25+$X25+V25+W25)</f>
        <v>0.29999308733743435</v>
      </c>
      <c r="AM25" s="16">
        <f t="shared" si="23"/>
        <v>0.29999308733743435</v>
      </c>
      <c r="AN25" s="16">
        <f t="shared" si="23"/>
        <v>0.29999308733743435</v>
      </c>
      <c r="AO25" s="16">
        <f t="shared" si="23"/>
        <v>0.29999308733743435</v>
      </c>
      <c r="AP25" s="16">
        <f t="shared" si="23"/>
        <v>0.26516790176287708</v>
      </c>
      <c r="AQ25" s="15"/>
      <c r="AR25" s="15"/>
      <c r="AS25" s="15"/>
      <c r="AT25" s="15"/>
      <c r="AU25" s="14"/>
      <c r="AV25" s="14"/>
      <c r="AW25" s="14"/>
      <c r="AX25" s="14"/>
    </row>
    <row r="26" spans="1:50" s="13" customFormat="1" ht="12.75" x14ac:dyDescent="0.2">
      <c r="A26" s="20">
        <v>0</v>
      </c>
      <c r="B26" s="20">
        <v>1</v>
      </c>
      <c r="C26" s="20" t="s">
        <v>36</v>
      </c>
      <c r="D26" s="17">
        <f>Baseline!AN25</f>
        <v>0.30266188092522223</v>
      </c>
      <c r="E26" s="17">
        <f>Baseline!AO25</f>
        <v>0.68587463066209398</v>
      </c>
      <c r="F26" s="17">
        <f>Baseline!AP25</f>
        <v>1.2086914276270724</v>
      </c>
      <c r="G26" s="19">
        <f>Baseline!AQ25</f>
        <v>2.130032081531998</v>
      </c>
      <c r="H26" s="19">
        <f>Baseline!AR25</f>
        <v>4.8269539684124263</v>
      </c>
      <c r="I26" s="17">
        <f t="shared" si="19"/>
        <v>0.1</v>
      </c>
      <c r="J26" s="17">
        <f t="shared" si="19"/>
        <v>0.1</v>
      </c>
      <c r="K26" s="17">
        <f t="shared" si="19"/>
        <v>0.1</v>
      </c>
      <c r="L26" s="19">
        <f t="shared" si="19"/>
        <v>0.1</v>
      </c>
      <c r="M26" s="17">
        <f t="shared" si="19"/>
        <v>4.8269539684124263</v>
      </c>
      <c r="N26" s="237">
        <f>'Phy activity RRs'!$G$4</f>
        <v>0.93831941951583364</v>
      </c>
      <c r="O26" s="15">
        <f>IF(('user page'!$N$39=0),$N26^(I26^0.25),IF(('user page'!$N$39=1),$N26^(I26^0.5),IF(('user page'!$N$39=2),$N26^(I26^0.375),IF(('user page'!$N$39=4),$N26^(I26),IF(('user page'!$N$39=3),$N26^(LN(1+I26)),"")))))</f>
        <v>0.98006871247951299</v>
      </c>
      <c r="P26" s="15">
        <f>IF(('user page'!$N$39=0),$N26^(J26^0.25),IF(('user page'!$N$39=1),$N26^(J26^0.5),IF(('user page'!$N$39=2),$N26^(J26^0.375),IF(('user page'!$N$39=4),$N26^(J26),IF(('user page'!$N$39=3),$N26^(LN(1+J26)),"")))))</f>
        <v>0.98006871247951299</v>
      </c>
      <c r="Q26" s="15">
        <f>IF(('user page'!$N$39=0),$N26^(K26^0.25),IF(('user page'!$N$39=1),$N26^(K26^0.5),IF(('user page'!$N$39=2),$N26^(K26^0.375),IF(('user page'!$N$39=4),$N26^(K26),IF(('user page'!$N$39=3),$N26^(LN(1+K26)),"")))))</f>
        <v>0.98006871247951299</v>
      </c>
      <c r="R26" s="15">
        <f>IF(('user page'!$N$39=0),$N26^(L26^0.25),IF(('user page'!$N$39=1),$N26^(L26^0.5),IF(('user page'!$N$39=2),$N26^(L26^0.375),IF(('user page'!$N$39=4),$N26^(L26),IF(('user page'!$N$39=3),$N26^(LN(1+L26)),"")))))</f>
        <v>0.98006871247951299</v>
      </c>
      <c r="S26" s="15">
        <f>IF(('user page'!$N$39=0),$N26^(M26^0.25),IF(('user page'!$N$39=1),$N26^(M26^0.5),IF(('user page'!$N$39=2),$N26^(M26^0.375),IF(('user page'!$N$39=4),$N26^(M26),IF(('user page'!$N$39=3),$N26^(LN(1+M26)),"")))))</f>
        <v>0.86946796595970866</v>
      </c>
      <c r="T26" s="18">
        <f t="shared" si="20"/>
        <v>1</v>
      </c>
      <c r="U26" s="18">
        <f t="shared" si="20"/>
        <v>1</v>
      </c>
      <c r="V26" s="18">
        <f t="shared" si="20"/>
        <v>1</v>
      </c>
      <c r="W26" s="186">
        <f t="shared" si="20"/>
        <v>1</v>
      </c>
      <c r="X26" s="483">
        <f t="shared" si="20"/>
        <v>0.88715000783976528</v>
      </c>
      <c r="Y26" s="18"/>
      <c r="Z26" s="16"/>
      <c r="AA26" s="16"/>
      <c r="AB26" s="17">
        <f>GBDUS!O60/($T26+$U26+$X26+V26+W26)</f>
        <v>0.21117639441926847</v>
      </c>
      <c r="AC26" s="16">
        <f t="shared" si="21"/>
        <v>0.21117639441926847</v>
      </c>
      <c r="AD26" s="16">
        <f t="shared" si="21"/>
        <v>0.21117639441926847</v>
      </c>
      <c r="AE26" s="16">
        <f t="shared" si="21"/>
        <v>0.21117639441926847</v>
      </c>
      <c r="AF26" s="16">
        <f t="shared" si="21"/>
        <v>0.1873451399646274</v>
      </c>
      <c r="AG26" s="17">
        <f>GBDUS!P60/($T26+$U26+$X26+V26+W26)</f>
        <v>1.434565579404802</v>
      </c>
      <c r="AH26" s="16">
        <f t="shared" si="22"/>
        <v>1.434565579404802</v>
      </c>
      <c r="AI26" s="16">
        <f t="shared" si="22"/>
        <v>1.434565579404802</v>
      </c>
      <c r="AJ26" s="16">
        <f t="shared" si="22"/>
        <v>1.434565579404802</v>
      </c>
      <c r="AK26" s="16">
        <f t="shared" si="22"/>
        <v>1.2726748650156274</v>
      </c>
      <c r="AL26" s="17">
        <f>GBDUS!Q60/($T26+$U26+$X26+V26+W26)</f>
        <v>0.2749088637132247</v>
      </c>
      <c r="AM26" s="16">
        <f t="shared" si="23"/>
        <v>0.2749088637132247</v>
      </c>
      <c r="AN26" s="16">
        <f t="shared" si="23"/>
        <v>0.2749088637132247</v>
      </c>
      <c r="AO26" s="16">
        <f t="shared" si="23"/>
        <v>0.2749088637132247</v>
      </c>
      <c r="AP26" s="16">
        <f t="shared" si="23"/>
        <v>0.24388540059840827</v>
      </c>
      <c r="AQ26" s="15"/>
      <c r="AR26" s="15"/>
      <c r="AS26" s="15"/>
      <c r="AT26" s="15"/>
      <c r="AU26" s="14"/>
      <c r="AV26" s="14"/>
      <c r="AW26" s="14"/>
      <c r="AX26" s="14"/>
    </row>
    <row r="27" spans="1:50" s="13" customFormat="1" ht="12.75" x14ac:dyDescent="0.2">
      <c r="A27" s="20">
        <v>0</v>
      </c>
      <c r="B27" s="20">
        <v>1</v>
      </c>
      <c r="C27" s="20" t="s">
        <v>35</v>
      </c>
      <c r="D27" s="17">
        <f>Baseline!AN26</f>
        <v>0.24350710807091377</v>
      </c>
      <c r="E27" s="17">
        <f>Baseline!AO26</f>
        <v>0.55182154852528853</v>
      </c>
      <c r="F27" s="17">
        <f>Baseline!AP26</f>
        <v>0.97245465200915271</v>
      </c>
      <c r="G27" s="19">
        <f>Baseline!AQ26</f>
        <v>1.7137207721254923</v>
      </c>
      <c r="H27" s="19">
        <f>Baseline!AR26</f>
        <v>3.8835336582406703</v>
      </c>
      <c r="I27" s="17">
        <f t="shared" si="19"/>
        <v>0.1</v>
      </c>
      <c r="J27" s="17">
        <f t="shared" si="19"/>
        <v>0.1</v>
      </c>
      <c r="K27" s="17">
        <f t="shared" si="19"/>
        <v>0.1</v>
      </c>
      <c r="L27" s="19">
        <f t="shared" si="19"/>
        <v>0.1</v>
      </c>
      <c r="M27" s="17">
        <f t="shared" si="19"/>
        <v>3.8835336582406703</v>
      </c>
      <c r="N27" s="237">
        <f>'Phy activity RRs'!$G$4</f>
        <v>0.93831941951583364</v>
      </c>
      <c r="O27" s="15">
        <f>IF(('user page'!$N$39=0),$N27^(I27^0.25),IF(('user page'!$N$39=1),$N27^(I27^0.5),IF(('user page'!$N$39=2),$N27^(I27^0.375),IF(('user page'!$N$39=4),$N27^(I27),IF(('user page'!$N$39=3),$N27^(LN(1+I27)),"")))))</f>
        <v>0.98006871247951299</v>
      </c>
      <c r="P27" s="15">
        <f>IF(('user page'!$N$39=0),$N27^(J27^0.25),IF(('user page'!$N$39=1),$N27^(J27^0.5),IF(('user page'!$N$39=2),$N27^(J27^0.375),IF(('user page'!$N$39=4),$N27^(J27),IF(('user page'!$N$39=3),$N27^(LN(1+J27)),"")))))</f>
        <v>0.98006871247951299</v>
      </c>
      <c r="Q27" s="15">
        <f>IF(('user page'!$N$39=0),$N27^(K27^0.25),IF(('user page'!$N$39=1),$N27^(K27^0.5),IF(('user page'!$N$39=2),$N27^(K27^0.375),IF(('user page'!$N$39=4),$N27^(K27),IF(('user page'!$N$39=3),$N27^(LN(1+K27)),"")))))</f>
        <v>0.98006871247951299</v>
      </c>
      <c r="R27" s="15">
        <f>IF(('user page'!$N$39=0),$N27^(L27^0.25),IF(('user page'!$N$39=1),$N27^(L27^0.5),IF(('user page'!$N$39=2),$N27^(L27^0.375),IF(('user page'!$N$39=4),$N27^(L27),IF(('user page'!$N$39=3),$N27^(LN(1+L27)),"")))))</f>
        <v>0.98006871247951299</v>
      </c>
      <c r="S27" s="15">
        <f>IF(('user page'!$N$39=0),$N27^(M27^0.25),IF(('user page'!$N$39=1),$N27^(M27^0.5),IF(('user page'!$N$39=2),$N27^(M27^0.375),IF(('user page'!$N$39=4),$N27^(M27),IF(('user page'!$N$39=3),$N27^(LN(1+M27)),"")))))</f>
        <v>0.88208900607167995</v>
      </c>
      <c r="T27" s="18">
        <f t="shared" si="20"/>
        <v>1</v>
      </c>
      <c r="U27" s="18">
        <f t="shared" si="20"/>
        <v>1</v>
      </c>
      <c r="V27" s="18">
        <f t="shared" si="20"/>
        <v>1</v>
      </c>
      <c r="W27" s="186">
        <f t="shared" si="20"/>
        <v>1</v>
      </c>
      <c r="X27" s="483">
        <f t="shared" si="20"/>
        <v>0.90002771728121955</v>
      </c>
      <c r="Y27" s="18"/>
      <c r="Z27" s="16"/>
      <c r="AA27" s="16"/>
      <c r="AB27" s="17">
        <f>GBDUS!O61/($T27+$U27+$X27+V27+W27)</f>
        <v>0.49113222845318205</v>
      </c>
      <c r="AC27" s="16">
        <f t="shared" si="21"/>
        <v>0.49113222845318205</v>
      </c>
      <c r="AD27" s="16">
        <f t="shared" si="21"/>
        <v>0.49113222845318205</v>
      </c>
      <c r="AE27" s="16">
        <f t="shared" si="21"/>
        <v>0.49113222845318205</v>
      </c>
      <c r="AF27" s="16">
        <f t="shared" si="21"/>
        <v>0.44203261845795588</v>
      </c>
      <c r="AG27" s="17">
        <f>GBDUS!P61/($T27+$U27+$X27+V27+W27)</f>
        <v>1.5239178452368369</v>
      </c>
      <c r="AH27" s="16">
        <f t="shared" si="22"/>
        <v>1.5239178452368369</v>
      </c>
      <c r="AI27" s="16">
        <f t="shared" si="22"/>
        <v>1.5239178452368369</v>
      </c>
      <c r="AJ27" s="16">
        <f t="shared" si="22"/>
        <v>1.5239178452368369</v>
      </c>
      <c r="AK27" s="16">
        <f t="shared" si="22"/>
        <v>1.3715682995726253</v>
      </c>
      <c r="AL27" s="17">
        <f>GBDUS!Q61/($T27+$U27+$X27+V27+W27)</f>
        <v>0.2606907443453042</v>
      </c>
      <c r="AM27" s="16">
        <f t="shared" si="23"/>
        <v>0.2606907443453042</v>
      </c>
      <c r="AN27" s="16">
        <f t="shared" si="23"/>
        <v>0.2606907443453042</v>
      </c>
      <c r="AO27" s="16">
        <f t="shared" si="23"/>
        <v>0.2606907443453042</v>
      </c>
      <c r="AP27" s="16">
        <f t="shared" si="23"/>
        <v>0.23462889554944613</v>
      </c>
      <c r="AQ27" s="15"/>
      <c r="AR27" s="15"/>
      <c r="AS27" s="15"/>
      <c r="AT27" s="15"/>
      <c r="AU27" s="14"/>
      <c r="AV27" s="14"/>
      <c r="AW27" s="14"/>
      <c r="AX27" s="14"/>
    </row>
    <row r="28" spans="1:50" s="13" customFormat="1" ht="12.75" x14ac:dyDescent="0.2">
      <c r="A28" s="20">
        <v>0</v>
      </c>
      <c r="B28" s="20">
        <v>2</v>
      </c>
      <c r="C28" s="20" t="s">
        <v>2</v>
      </c>
      <c r="D28" s="17"/>
      <c r="E28" s="17"/>
      <c r="F28" s="17"/>
      <c r="G28" s="19"/>
      <c r="H28" s="19"/>
      <c r="I28" s="17"/>
      <c r="J28" s="17"/>
      <c r="K28" s="17"/>
      <c r="L28" s="19"/>
      <c r="M28" s="17"/>
      <c r="N28" s="237"/>
      <c r="O28" s="15"/>
      <c r="P28" s="15"/>
      <c r="Q28" s="15"/>
      <c r="R28" s="15"/>
      <c r="S28" s="15"/>
      <c r="T28" s="18"/>
      <c r="U28" s="18"/>
      <c r="V28" s="18"/>
      <c r="W28" s="186"/>
      <c r="X28" s="186"/>
      <c r="Y28" s="18"/>
      <c r="Z28" s="16"/>
      <c r="AA28" s="16"/>
      <c r="AB28" s="17"/>
      <c r="AC28" s="16"/>
      <c r="AD28" s="16"/>
      <c r="AE28" s="16"/>
      <c r="AF28" s="16"/>
      <c r="AG28" s="17"/>
      <c r="AH28" s="16"/>
      <c r="AI28" s="16"/>
      <c r="AJ28" s="16"/>
      <c r="AK28" s="16"/>
      <c r="AL28" s="17"/>
      <c r="AM28" s="16"/>
      <c r="AN28" s="16"/>
      <c r="AO28" s="16"/>
      <c r="AP28" s="16"/>
      <c r="AQ28" s="15"/>
      <c r="AR28" s="15"/>
      <c r="AS28" s="15"/>
      <c r="AT28" s="15"/>
      <c r="AU28" s="14"/>
      <c r="AV28" s="14"/>
      <c r="AW28" s="14"/>
      <c r="AX28" s="14"/>
    </row>
    <row r="29" spans="1:50" s="13" customFormat="1" ht="12.75" x14ac:dyDescent="0.2">
      <c r="A29" s="20">
        <v>0</v>
      </c>
      <c r="B29" s="20">
        <v>2</v>
      </c>
      <c r="C29" s="20" t="s">
        <v>41</v>
      </c>
      <c r="D29" s="17"/>
      <c r="E29" s="17"/>
      <c r="F29" s="17"/>
      <c r="G29" s="19"/>
      <c r="H29" s="19"/>
      <c r="I29" s="17"/>
      <c r="J29" s="17"/>
      <c r="K29" s="17"/>
      <c r="L29" s="19"/>
      <c r="M29" s="17"/>
      <c r="N29" s="237"/>
      <c r="O29" s="15"/>
      <c r="P29" s="15"/>
      <c r="Q29" s="15"/>
      <c r="R29" s="15"/>
      <c r="S29" s="15"/>
      <c r="T29" s="18"/>
      <c r="U29" s="18"/>
      <c r="V29" s="18"/>
      <c r="W29" s="186"/>
      <c r="X29" s="186"/>
      <c r="Y29" s="18"/>
      <c r="Z29" s="16"/>
      <c r="AA29" s="16"/>
      <c r="AB29" s="17"/>
      <c r="AC29" s="16"/>
      <c r="AD29" s="16"/>
      <c r="AE29" s="16"/>
      <c r="AF29" s="16"/>
      <c r="AG29" s="17"/>
      <c r="AH29" s="16"/>
      <c r="AI29" s="16"/>
      <c r="AJ29" s="16"/>
      <c r="AK29" s="16"/>
      <c r="AL29" s="17"/>
      <c r="AM29" s="16"/>
      <c r="AN29" s="16"/>
      <c r="AO29" s="16"/>
      <c r="AP29" s="16"/>
      <c r="AQ29" s="15"/>
      <c r="AR29" s="15"/>
      <c r="AS29" s="15"/>
      <c r="AT29" s="15"/>
      <c r="AU29" s="14"/>
      <c r="AV29" s="14"/>
      <c r="AW29" s="14"/>
      <c r="AX29" s="14"/>
    </row>
    <row r="30" spans="1:50" s="13" customFormat="1" ht="12.75" x14ac:dyDescent="0.2">
      <c r="A30" s="20">
        <v>0</v>
      </c>
      <c r="B30" s="20">
        <v>2</v>
      </c>
      <c r="C30" s="20" t="s">
        <v>40</v>
      </c>
      <c r="D30" s="17">
        <f>Baseline!AN29</f>
        <v>0.78305520090183223</v>
      </c>
      <c r="E30" s="17">
        <f>Baseline!AO29</f>
        <v>1.774513840542973</v>
      </c>
      <c r="F30" s="17">
        <f>Baseline!AP29</f>
        <v>3.1271599376688002</v>
      </c>
      <c r="G30" s="19">
        <f>Baseline!AQ29</f>
        <v>5.5108779950504481</v>
      </c>
      <c r="H30" s="19">
        <f>Baseline!AR29</f>
        <v>12.488428995169523</v>
      </c>
      <c r="I30" s="17">
        <f t="shared" ref="I30:M35" si="24">IF(D30&gt;2.5,D30,0.1)</f>
        <v>0.1</v>
      </c>
      <c r="J30" s="17">
        <f t="shared" si="24"/>
        <v>0.1</v>
      </c>
      <c r="K30" s="17">
        <f t="shared" si="24"/>
        <v>3.1271599376688002</v>
      </c>
      <c r="L30" s="19">
        <f t="shared" si="24"/>
        <v>5.5108779950504481</v>
      </c>
      <c r="M30" s="17">
        <f t="shared" si="24"/>
        <v>12.488428995169523</v>
      </c>
      <c r="N30" s="237">
        <f>'Phy activity RRs'!$G$4</f>
        <v>0.93831941951583364</v>
      </c>
      <c r="O30" s="15">
        <f>IF(('user page'!$N$39=0),$N30^(I30^0.25),IF(('user page'!$N$39=1),$N30^(I30^0.5),IF(('user page'!$N$39=2),$N30^(I30^0.375),IF(('user page'!$N$39=4),$N30^(I30),IF(('user page'!$N$39=3),$N30^(LN(1+I30)),"")))))</f>
        <v>0.98006871247951299</v>
      </c>
      <c r="P30" s="15">
        <f>IF(('user page'!$N$39=0),$N30^(J30^0.25),IF(('user page'!$N$39=1),$N30^(J30^0.5),IF(('user page'!$N$39=2),$N30^(J30^0.375),IF(('user page'!$N$39=4),$N30^(J30),IF(('user page'!$N$39=3),$N30^(LN(1+J30)),"")))))</f>
        <v>0.98006871247951299</v>
      </c>
      <c r="Q30" s="15">
        <f>IF(('user page'!$N$39=0),$N30^(K30^0.25),IF(('user page'!$N$39=1),$N30^(K30^0.5),IF(('user page'!$N$39=2),$N30^(K30^0.375),IF(('user page'!$N$39=4),$N30^(K30),IF(('user page'!$N$39=3),$N30^(LN(1+K30)),"")))))</f>
        <v>0.89352272140340971</v>
      </c>
      <c r="R30" s="15">
        <f>IF(('user page'!$N$39=0),$N30^(L30^0.25),IF(('user page'!$N$39=1),$N30^(L30^0.5),IF(('user page'!$N$39=2),$N30^(L30^0.375),IF(('user page'!$N$39=4),$N30^(L30),IF(('user page'!$N$39=3),$N30^(LN(1+L30)),"")))))</f>
        <v>0.86117727714476722</v>
      </c>
      <c r="S30" s="15">
        <f>IF(('user page'!$N$39=0),$N30^(M30^0.25),IF(('user page'!$N$39=1),$N30^(M30^0.5),IF(('user page'!$N$39=2),$N30^(M30^0.375),IF(('user page'!$N$39=4),$N30^(M30),IF(('user page'!$N$39=3),$N30^(LN(1+M30)),"")))))</f>
        <v>0.79852815630885332</v>
      </c>
      <c r="T30" s="18">
        <f t="shared" ref="T30:X35" si="25">O30/$O30</f>
        <v>1</v>
      </c>
      <c r="U30" s="18">
        <f t="shared" si="25"/>
        <v>1</v>
      </c>
      <c r="V30" s="18">
        <f t="shared" si="25"/>
        <v>0.9116939557664816</v>
      </c>
      <c r="W30" s="186">
        <f t="shared" si="25"/>
        <v>0.87869071441536195</v>
      </c>
      <c r="X30" s="485">
        <f t="shared" si="25"/>
        <v>0.81476752205325143</v>
      </c>
      <c r="Y30" s="18"/>
      <c r="Z30" s="16"/>
      <c r="AA30" s="16"/>
      <c r="AB30" s="17">
        <f>GBDUS!O64/($T30+$U30+$X30+V30+W30)</f>
        <v>1.6636122207987512E-4</v>
      </c>
      <c r="AC30" s="16">
        <f t="shared" ref="AC30:AF35" si="26">$AB30*U30</f>
        <v>1.6636122207987512E-4</v>
      </c>
      <c r="AD30" s="16">
        <f t="shared" si="26"/>
        <v>1.5167052064414749E-4</v>
      </c>
      <c r="AE30" s="16">
        <f t="shared" si="26"/>
        <v>1.4618006108037815E-4</v>
      </c>
      <c r="AF30" s="16">
        <f t="shared" si="26"/>
        <v>1.3554572067977052E-4</v>
      </c>
      <c r="AG30" s="17">
        <f>GBDUS!P64/($T30+$U30+$X30+V30+W30)</f>
        <v>4.863835820540373E-3</v>
      </c>
      <c r="AH30" s="16">
        <f t="shared" ref="AH30:AK35" si="27">$AG30*U30</f>
        <v>4.863835820540373E-3</v>
      </c>
      <c r="AI30" s="16">
        <f t="shared" si="27"/>
        <v>4.4343297194271636E-3</v>
      </c>
      <c r="AJ30" s="16">
        <f t="shared" si="27"/>
        <v>4.2738073719496483E-3</v>
      </c>
      <c r="AK30" s="16">
        <f t="shared" si="27"/>
        <v>3.9628954591755224E-3</v>
      </c>
      <c r="AL30" s="17">
        <f>GBDUS!Q64/($T30+$U30+$X30+V30+W30)</f>
        <v>1.1532889246367911E-2</v>
      </c>
      <c r="AM30" s="16">
        <f t="shared" ref="AM30:AP35" si="28">U30*$AL30</f>
        <v>1.1532889246367911E-2</v>
      </c>
      <c r="AN30" s="16">
        <f t="shared" si="28"/>
        <v>1.0514465418437879E-2</v>
      </c>
      <c r="AO30" s="16">
        <f t="shared" si="28"/>
        <v>1.0133842691164265E-2</v>
      </c>
      <c r="AP30" s="16">
        <f t="shared" si="28"/>
        <v>9.3966235933777738E-3</v>
      </c>
      <c r="AQ30" s="15"/>
      <c r="AR30" s="15"/>
      <c r="AS30" s="15"/>
      <c r="AT30" s="15"/>
      <c r="AU30" s="14"/>
      <c r="AV30" s="14"/>
      <c r="AW30" s="14"/>
      <c r="AX30" s="14"/>
    </row>
    <row r="31" spans="1:50" s="13" customFormat="1" ht="12.75" x14ac:dyDescent="0.2">
      <c r="A31" s="20">
        <v>0</v>
      </c>
      <c r="B31" s="20">
        <v>2</v>
      </c>
      <c r="C31" s="20" t="s">
        <v>39</v>
      </c>
      <c r="D31" s="17">
        <f>Baseline!AN30</f>
        <v>0.47165676213737562</v>
      </c>
      <c r="E31" s="17">
        <f>Baseline!AO30</f>
        <v>1.0688409341187475</v>
      </c>
      <c r="F31" s="17">
        <f>Baseline!AP30</f>
        <v>1.8835787428369182</v>
      </c>
      <c r="G31" s="19">
        <f>Baseline!AQ30</f>
        <v>3.3193609705753828</v>
      </c>
      <c r="H31" s="19">
        <f>Baseline!AR30</f>
        <v>7.5221414496199817</v>
      </c>
      <c r="I31" s="17">
        <f t="shared" si="24"/>
        <v>0.1</v>
      </c>
      <c r="J31" s="17">
        <f t="shared" si="24"/>
        <v>0.1</v>
      </c>
      <c r="K31" s="17">
        <f t="shared" si="24"/>
        <v>0.1</v>
      </c>
      <c r="L31" s="19">
        <f t="shared" si="24"/>
        <v>3.3193609705753828</v>
      </c>
      <c r="M31" s="17">
        <f t="shared" si="24"/>
        <v>7.5221414496199817</v>
      </c>
      <c r="N31" s="237">
        <f>'Phy activity RRs'!$G$4</f>
        <v>0.93831941951583364</v>
      </c>
      <c r="O31" s="15">
        <f>IF(('user page'!$N$39=0),$N31^(I31^0.25),IF(('user page'!$N$39=1),$N31^(I31^0.5),IF(('user page'!$N$39=2),$N31^(I31^0.375),IF(('user page'!$N$39=4),$N31^(I31),IF(('user page'!$N$39=3),$N31^(LN(1+I31)),"")))))</f>
        <v>0.98006871247951299</v>
      </c>
      <c r="P31" s="15">
        <f>IF(('user page'!$N$39=0),$N31^(J31^0.25),IF(('user page'!$N$39=1),$N31^(J31^0.5),IF(('user page'!$N$39=2),$N31^(J31^0.375),IF(('user page'!$N$39=4),$N31^(J31),IF(('user page'!$N$39=3),$N31^(LN(1+J31)),"")))))</f>
        <v>0.98006871247951299</v>
      </c>
      <c r="Q31" s="15">
        <f>IF(('user page'!$N$39=0),$N31^(K31^0.25),IF(('user page'!$N$39=1),$N31^(K31^0.5),IF(('user page'!$N$39=2),$N31^(K31^0.375),IF(('user page'!$N$39=4),$N31^(K31),IF(('user page'!$N$39=3),$N31^(LN(1+K31)),"")))))</f>
        <v>0.98006871247951299</v>
      </c>
      <c r="R31" s="15">
        <f>IF(('user page'!$N$39=0),$N31^(L31^0.25),IF(('user page'!$N$39=1),$N31^(L31^0.5),IF(('user page'!$N$39=2),$N31^(L31^0.375),IF(('user page'!$N$39=4),$N31^(L31),IF(('user page'!$N$39=3),$N31^(LN(1+L31)),"")))))</f>
        <v>0.89048259403404628</v>
      </c>
      <c r="S31" s="15">
        <f>IF(('user page'!$N$39=0),$N31^(M31^0.25),IF(('user page'!$N$39=1),$N31^(M31^0.5),IF(('user page'!$N$39=2),$N31^(M31^0.375),IF(('user page'!$N$39=4),$N31^(M31),IF(('user page'!$N$39=3),$N31^(LN(1+M31)),"")))))</f>
        <v>0.83978400263770103</v>
      </c>
      <c r="T31" s="18">
        <f t="shared" si="25"/>
        <v>1</v>
      </c>
      <c r="U31" s="18">
        <f t="shared" si="25"/>
        <v>1</v>
      </c>
      <c r="V31" s="18">
        <f t="shared" si="25"/>
        <v>1</v>
      </c>
      <c r="W31" s="186">
        <f t="shared" si="25"/>
        <v>0.90859200247417404</v>
      </c>
      <c r="X31" s="485">
        <f t="shared" si="25"/>
        <v>0.85686237295862622</v>
      </c>
      <c r="Y31" s="18"/>
      <c r="Z31" s="16"/>
      <c r="AA31" s="16"/>
      <c r="AB31" s="17">
        <f>GBDUS!O65/($T31+$U31+$X31+V31+W31)</f>
        <v>1.1863989191435827E-2</v>
      </c>
      <c r="AC31" s="16">
        <f t="shared" si="26"/>
        <v>1.1863989191435827E-2</v>
      </c>
      <c r="AD31" s="16">
        <f t="shared" si="26"/>
        <v>1.1863989191435827E-2</v>
      </c>
      <c r="AE31" s="16">
        <f t="shared" si="26"/>
        <v>1.0779525696778635E-2</v>
      </c>
      <c r="AF31" s="16">
        <f t="shared" si="26"/>
        <v>1.0165805931329196E-2</v>
      </c>
      <c r="AG31" s="17">
        <f>GBDUS!P65/($T31+$U31+$X31+V31+W31)</f>
        <v>0.28315758258184559</v>
      </c>
      <c r="AH31" s="16">
        <f t="shared" si="27"/>
        <v>0.28315758258184559</v>
      </c>
      <c r="AI31" s="16">
        <f t="shared" si="27"/>
        <v>0.28315758258184559</v>
      </c>
      <c r="AJ31" s="16">
        <f t="shared" si="27"/>
        <v>0.2572747149737854</v>
      </c>
      <c r="AK31" s="16">
        <f t="shared" si="27"/>
        <v>0.24262707813230838</v>
      </c>
      <c r="AL31" s="17">
        <f>GBDUS!Q65/($T31+$U31+$X31+V31+W31)</f>
        <v>0.38439526614369807</v>
      </c>
      <c r="AM31" s="16">
        <f t="shared" si="28"/>
        <v>0.38439526614369807</v>
      </c>
      <c r="AN31" s="16">
        <f t="shared" si="28"/>
        <v>0.38439526614369807</v>
      </c>
      <c r="AO31" s="16">
        <f t="shared" si="28"/>
        <v>0.3492584646070957</v>
      </c>
      <c r="AP31" s="16">
        <f t="shared" si="28"/>
        <v>0.32937383990195179</v>
      </c>
      <c r="AQ31" s="15"/>
      <c r="AR31" s="15"/>
      <c r="AS31" s="15"/>
      <c r="AT31" s="15"/>
      <c r="AU31" s="14"/>
      <c r="AV31" s="14"/>
      <c r="AW31" s="14"/>
      <c r="AX31" s="14"/>
    </row>
    <row r="32" spans="1:50" s="13" customFormat="1" ht="12.75" x14ac:dyDescent="0.2">
      <c r="A32" s="20">
        <v>0</v>
      </c>
      <c r="B32" s="20">
        <v>2</v>
      </c>
      <c r="C32" s="20" t="s">
        <v>38</v>
      </c>
      <c r="D32" s="17">
        <f>Baseline!AN31</f>
        <v>0.39813871625667402</v>
      </c>
      <c r="E32" s="17">
        <f>Baseline!AO31</f>
        <v>0.90223864376331542</v>
      </c>
      <c r="F32" s="17">
        <f>Baseline!AP31</f>
        <v>1.5899817045833551</v>
      </c>
      <c r="G32" s="19">
        <f>Baseline!AQ31</f>
        <v>2.8019657973915968</v>
      </c>
      <c r="H32" s="19">
        <f>Baseline!AR31</f>
        <v>6.3496508068308559</v>
      </c>
      <c r="I32" s="17">
        <f t="shared" si="24"/>
        <v>0.1</v>
      </c>
      <c r="J32" s="17">
        <f t="shared" si="24"/>
        <v>0.1</v>
      </c>
      <c r="K32" s="17">
        <f t="shared" si="24"/>
        <v>0.1</v>
      </c>
      <c r="L32" s="19">
        <f t="shared" si="24"/>
        <v>2.8019657973915968</v>
      </c>
      <c r="M32" s="17">
        <f t="shared" si="24"/>
        <v>6.3496508068308559</v>
      </c>
      <c r="N32" s="237">
        <f>'Phy activity RRs'!$G$4</f>
        <v>0.93831941951583364</v>
      </c>
      <c r="O32" s="15">
        <f>IF(('user page'!$N$39=0),$N32^(I32^0.25),IF(('user page'!$N$39=1),$N32^(I32^0.5),IF(('user page'!$N$39=2),$N32^(I32^0.375),IF(('user page'!$N$39=4),$N32^(I32),IF(('user page'!$N$39=3),$N32^(LN(1+I32)),"")))))</f>
        <v>0.98006871247951299</v>
      </c>
      <c r="P32" s="15">
        <f>IF(('user page'!$N$39=0),$N32^(J32^0.25),IF(('user page'!$N$39=1),$N32^(J32^0.5),IF(('user page'!$N$39=2),$N32^(J32^0.375),IF(('user page'!$N$39=4),$N32^(J32),IF(('user page'!$N$39=3),$N32^(LN(1+J32)),"")))))</f>
        <v>0.98006871247951299</v>
      </c>
      <c r="Q32" s="15">
        <f>IF(('user page'!$N$39=0),$N32^(K32^0.25),IF(('user page'!$N$39=1),$N32^(K32^0.5),IF(('user page'!$N$39=2),$N32^(K32^0.375),IF(('user page'!$N$39=4),$N32^(K32),IF(('user page'!$N$39=3),$N32^(LN(1+K32)),"")))))</f>
        <v>0.98006871247951299</v>
      </c>
      <c r="R32" s="15">
        <f>IF(('user page'!$N$39=0),$N32^(L32^0.25),IF(('user page'!$N$39=1),$N32^(L32^0.5),IF(('user page'!$N$39=2),$N32^(L32^0.375),IF(('user page'!$N$39=4),$N32^(L32),IF(('user page'!$N$39=3),$N32^(LN(1+L32)),"")))))</f>
        <v>0.89891295895461276</v>
      </c>
      <c r="S32" s="15">
        <f>IF(('user page'!$N$39=0),$N32^(M32^0.25),IF(('user page'!$N$39=1),$N32^(M32^0.5),IF(('user page'!$N$39=2),$N32^(M32^0.375),IF(('user page'!$N$39=4),$N32^(M32),IF(('user page'!$N$39=3),$N32^(LN(1+M32)),"")))))</f>
        <v>0.85178087720348661</v>
      </c>
      <c r="T32" s="18">
        <f t="shared" si="25"/>
        <v>1</v>
      </c>
      <c r="U32" s="18">
        <f t="shared" si="25"/>
        <v>1</v>
      </c>
      <c r="V32" s="18">
        <f t="shared" si="25"/>
        <v>1</v>
      </c>
      <c r="W32" s="186">
        <f t="shared" si="25"/>
        <v>0.91719381254444776</v>
      </c>
      <c r="X32" s="485">
        <f t="shared" si="25"/>
        <v>0.86910322343474655</v>
      </c>
      <c r="Y32" s="18"/>
      <c r="Z32" s="16"/>
      <c r="AA32" s="16"/>
      <c r="AB32" s="17">
        <f>GBDUS!O66/($T32+$U32+$X32+V32+W32)</f>
        <v>1.8426590666362635E-2</v>
      </c>
      <c r="AC32" s="16">
        <f t="shared" si="26"/>
        <v>1.8426590666362635E-2</v>
      </c>
      <c r="AD32" s="16">
        <f t="shared" si="26"/>
        <v>1.8426590666362635E-2</v>
      </c>
      <c r="AE32" s="16">
        <f t="shared" si="26"/>
        <v>1.6900754945477083E-2</v>
      </c>
      <c r="AF32" s="16">
        <f t="shared" si="26"/>
        <v>1.6014609345048381E-2</v>
      </c>
      <c r="AG32" s="17">
        <f>GBDUS!P66/($T32+$U32+$X32+V32+W32)</f>
        <v>0.32294485285912033</v>
      </c>
      <c r="AH32" s="16">
        <f t="shared" si="27"/>
        <v>0.32294485285912033</v>
      </c>
      <c r="AI32" s="16">
        <f t="shared" si="27"/>
        <v>0.32294485285912033</v>
      </c>
      <c r="AJ32" s="16">
        <f t="shared" si="27"/>
        <v>0.29620302083546229</v>
      </c>
      <c r="AK32" s="16">
        <f t="shared" si="27"/>
        <v>0.28067241261152143</v>
      </c>
      <c r="AL32" s="17">
        <f>GBDUS!Q66/($T32+$U32+$X32+V32+W32)</f>
        <v>9.8098089256048904E-2</v>
      </c>
      <c r="AM32" s="16">
        <f t="shared" si="28"/>
        <v>9.8098089256048904E-2</v>
      </c>
      <c r="AN32" s="16">
        <f t="shared" si="28"/>
        <v>9.8098089256048904E-2</v>
      </c>
      <c r="AO32" s="16">
        <f t="shared" si="28"/>
        <v>8.9974960488081027E-2</v>
      </c>
      <c r="AP32" s="16">
        <f t="shared" si="28"/>
        <v>8.5257365585221581E-2</v>
      </c>
      <c r="AQ32" s="15"/>
      <c r="AR32" s="15"/>
      <c r="AS32" s="15"/>
      <c r="AT32" s="15"/>
      <c r="AU32" s="14"/>
      <c r="AV32" s="14"/>
      <c r="AW32" s="14"/>
      <c r="AX32" s="14"/>
    </row>
    <row r="33" spans="1:50" s="13" customFormat="1" ht="12.75" x14ac:dyDescent="0.2">
      <c r="A33" s="20">
        <v>0</v>
      </c>
      <c r="B33" s="20">
        <v>2</v>
      </c>
      <c r="C33" s="20" t="s">
        <v>37</v>
      </c>
      <c r="D33" s="17">
        <f>Baseline!AN32</f>
        <v>0.26186863902756607</v>
      </c>
      <c r="E33" s="17">
        <f>Baseline!AO32</f>
        <v>0.59343137472733987</v>
      </c>
      <c r="F33" s="17">
        <f>Baseline!AP32</f>
        <v>1.0457821057260546</v>
      </c>
      <c r="G33" s="19">
        <f>Baseline!AQ32</f>
        <v>1.8429430246409162</v>
      </c>
      <c r="H33" s="19">
        <f>Baseline!AR32</f>
        <v>4.1763695596313646</v>
      </c>
      <c r="I33" s="17">
        <f t="shared" si="24"/>
        <v>0.1</v>
      </c>
      <c r="J33" s="17">
        <f t="shared" si="24"/>
        <v>0.1</v>
      </c>
      <c r="K33" s="17">
        <f t="shared" si="24"/>
        <v>0.1</v>
      </c>
      <c r="L33" s="19">
        <f t="shared" si="24"/>
        <v>0.1</v>
      </c>
      <c r="M33" s="17">
        <f t="shared" si="24"/>
        <v>4.1763695596313646</v>
      </c>
      <c r="N33" s="237">
        <f>'Phy activity RRs'!$G$4</f>
        <v>0.93831941951583364</v>
      </c>
      <c r="O33" s="15">
        <f>IF(('user page'!$N$39=0),$N33^(I33^0.25),IF(('user page'!$N$39=1),$N33^(I33^0.5),IF(('user page'!$N$39=2),$N33^(I33^0.375),IF(('user page'!$N$39=4),$N33^(I33),IF(('user page'!$N$39=3),$N33^(LN(1+I33)),"")))))</f>
        <v>0.98006871247951299</v>
      </c>
      <c r="P33" s="15">
        <f>IF(('user page'!$N$39=0),$N33^(J33^0.25),IF(('user page'!$N$39=1),$N33^(J33^0.5),IF(('user page'!$N$39=2),$N33^(J33^0.375),IF(('user page'!$N$39=4),$N33^(J33),IF(('user page'!$N$39=3),$N33^(LN(1+J33)),"")))))</f>
        <v>0.98006871247951299</v>
      </c>
      <c r="Q33" s="15">
        <f>IF(('user page'!$N$39=0),$N33^(K33^0.25),IF(('user page'!$N$39=1),$N33^(K33^0.5),IF(('user page'!$N$39=2),$N33^(K33^0.375),IF(('user page'!$N$39=4),$N33^(K33),IF(('user page'!$N$39=3),$N33^(LN(1+K33)),"")))))</f>
        <v>0.98006871247951299</v>
      </c>
      <c r="R33" s="15">
        <f>IF(('user page'!$N$39=0),$N33^(L33^0.25),IF(('user page'!$N$39=1),$N33^(L33^0.5),IF(('user page'!$N$39=2),$N33^(L33^0.375),IF(('user page'!$N$39=4),$N33^(L33),IF(('user page'!$N$39=3),$N33^(LN(1+L33)),"")))))</f>
        <v>0.98006871247951299</v>
      </c>
      <c r="S33" s="15">
        <f>IF(('user page'!$N$39=0),$N33^(M33^0.25),IF(('user page'!$N$39=1),$N33^(M33^0.5),IF(('user page'!$N$39=2),$N33^(M33^0.375),IF(('user page'!$N$39=4),$N33^(M33),IF(('user page'!$N$39=3),$N33^(LN(1+M33)),"")))))</f>
        <v>0.87800185985299239</v>
      </c>
      <c r="T33" s="18">
        <f t="shared" si="25"/>
        <v>1</v>
      </c>
      <c r="U33" s="18">
        <f t="shared" si="25"/>
        <v>1</v>
      </c>
      <c r="V33" s="18">
        <f t="shared" si="25"/>
        <v>1</v>
      </c>
      <c r="W33" s="186">
        <f t="shared" si="25"/>
        <v>1</v>
      </c>
      <c r="X33" s="485">
        <f t="shared" si="25"/>
        <v>0.89585745231240188</v>
      </c>
      <c r="Y33" s="18"/>
      <c r="Z33" s="16"/>
      <c r="AA33" s="16"/>
      <c r="AB33" s="17">
        <f>GBDUS!O67/($T33+$U33+$X33+V33+W33)</f>
        <v>4.7910541911245032E-2</v>
      </c>
      <c r="AC33" s="16">
        <f t="shared" si="26"/>
        <v>4.7910541911245032E-2</v>
      </c>
      <c r="AD33" s="16">
        <f t="shared" si="26"/>
        <v>4.7910541911245032E-2</v>
      </c>
      <c r="AE33" s="16">
        <f t="shared" si="26"/>
        <v>4.7910541911245032E-2</v>
      </c>
      <c r="AF33" s="16">
        <f t="shared" si="26"/>
        <v>4.2921016015514526E-2</v>
      </c>
      <c r="AG33" s="17">
        <f>GBDUS!P67/($T33+$U33+$X33+V33+W33)</f>
        <v>0.58850099529627553</v>
      </c>
      <c r="AH33" s="16">
        <f t="shared" si="27"/>
        <v>0.58850099529627553</v>
      </c>
      <c r="AI33" s="16">
        <f t="shared" si="27"/>
        <v>0.58850099529627553</v>
      </c>
      <c r="AJ33" s="16">
        <f t="shared" si="27"/>
        <v>0.58850099529627553</v>
      </c>
      <c r="AK33" s="16">
        <f t="shared" si="27"/>
        <v>0.52721300232943424</v>
      </c>
      <c r="AL33" s="17">
        <f>GBDUS!Q67/($T33+$U33+$X33+V33+W33)</f>
        <v>0.14800469417453352</v>
      </c>
      <c r="AM33" s="16">
        <f t="shared" si="28"/>
        <v>0.14800469417453352</v>
      </c>
      <c r="AN33" s="16">
        <f t="shared" si="28"/>
        <v>0.14800469417453352</v>
      </c>
      <c r="AO33" s="16">
        <f t="shared" si="28"/>
        <v>0.14800469417453352</v>
      </c>
      <c r="AP33" s="16">
        <f t="shared" si="28"/>
        <v>0.13259110825347378</v>
      </c>
      <c r="AQ33" s="15"/>
      <c r="AR33" s="15"/>
      <c r="AS33" s="15"/>
      <c r="AT33" s="15"/>
      <c r="AU33" s="14"/>
      <c r="AV33" s="14"/>
      <c r="AW33" s="14"/>
      <c r="AX33" s="14"/>
    </row>
    <row r="34" spans="1:50" s="13" customFormat="1" ht="12.75" x14ac:dyDescent="0.2">
      <c r="A34" s="20">
        <v>0</v>
      </c>
      <c r="B34" s="20">
        <v>2</v>
      </c>
      <c r="C34" s="20" t="s">
        <v>36</v>
      </c>
      <c r="D34" s="17">
        <f>Baseline!AN33</f>
        <v>0.23782262690158459</v>
      </c>
      <c r="E34" s="17">
        <f>Baseline!AO33</f>
        <v>0.53893971018277653</v>
      </c>
      <c r="F34" s="17">
        <f>Baseline!AP33</f>
        <v>0.94975346598971733</v>
      </c>
      <c r="G34" s="19">
        <f>Baseline!AQ33</f>
        <v>1.6737153138215863</v>
      </c>
      <c r="H34" s="19">
        <f>Baseline!AR33</f>
        <v>3.7928756313534393</v>
      </c>
      <c r="I34" s="17">
        <f t="shared" si="24"/>
        <v>0.1</v>
      </c>
      <c r="J34" s="17">
        <f t="shared" si="24"/>
        <v>0.1</v>
      </c>
      <c r="K34" s="17">
        <f t="shared" si="24"/>
        <v>0.1</v>
      </c>
      <c r="L34" s="19">
        <f t="shared" si="24"/>
        <v>0.1</v>
      </c>
      <c r="M34" s="17">
        <f t="shared" si="24"/>
        <v>3.7928756313534393</v>
      </c>
      <c r="N34" s="237">
        <f>'Phy activity RRs'!$G$4</f>
        <v>0.93831941951583364</v>
      </c>
      <c r="O34" s="15">
        <f>IF(('user page'!$N$39=0),$N34^(I34^0.25),IF(('user page'!$N$39=1),$N34^(I34^0.5),IF(('user page'!$N$39=2),$N34^(I34^0.375),IF(('user page'!$N$39=4),$N34^(I34),IF(('user page'!$N$39=3),$N34^(LN(1+I34)),"")))))</f>
        <v>0.98006871247951299</v>
      </c>
      <c r="P34" s="15">
        <f>IF(('user page'!$N$39=0),$N34^(J34^0.25),IF(('user page'!$N$39=1),$N34^(J34^0.5),IF(('user page'!$N$39=2),$N34^(J34^0.375),IF(('user page'!$N$39=4),$N34^(J34),IF(('user page'!$N$39=3),$N34^(LN(1+J34)),"")))))</f>
        <v>0.98006871247951299</v>
      </c>
      <c r="Q34" s="15">
        <f>IF(('user page'!$N$39=0),$N34^(K34^0.25),IF(('user page'!$N$39=1),$N34^(K34^0.5),IF(('user page'!$N$39=2),$N34^(K34^0.375),IF(('user page'!$N$39=4),$N34^(K34),IF(('user page'!$N$39=3),$N34^(LN(1+K34)),"")))))</f>
        <v>0.98006871247951299</v>
      </c>
      <c r="R34" s="15">
        <f>IF(('user page'!$N$39=0),$N34^(L34^0.25),IF(('user page'!$N$39=1),$N34^(L34^0.5),IF(('user page'!$N$39=2),$N34^(L34^0.375),IF(('user page'!$N$39=4),$N34^(L34),IF(('user page'!$N$39=3),$N34^(LN(1+L34)),"")))))</f>
        <v>0.98006871247951299</v>
      </c>
      <c r="S34" s="15">
        <f>IF(('user page'!$N$39=0),$N34^(M34^0.25),IF(('user page'!$N$39=1),$N34^(M34^0.5),IF(('user page'!$N$39=2),$N34^(M34^0.375),IF(('user page'!$N$39=4),$N34^(M34),IF(('user page'!$N$39=3),$N34^(LN(1+M34)),"")))))</f>
        <v>0.88338933088983584</v>
      </c>
      <c r="T34" s="18">
        <f t="shared" si="25"/>
        <v>1</v>
      </c>
      <c r="U34" s="18">
        <f t="shared" si="25"/>
        <v>1</v>
      </c>
      <c r="V34" s="18">
        <f t="shared" si="25"/>
        <v>1</v>
      </c>
      <c r="W34" s="186">
        <f t="shared" si="25"/>
        <v>1</v>
      </c>
      <c r="X34" s="485">
        <f t="shared" si="25"/>
        <v>0.90135448631445003</v>
      </c>
      <c r="Y34" s="18"/>
      <c r="Z34" s="16"/>
      <c r="AA34" s="16"/>
      <c r="AB34" s="17">
        <f>GBDUS!O68/($T34+$U34+$X34+V34+W34)</f>
        <v>8.5877637517537575E-2</v>
      </c>
      <c r="AC34" s="16">
        <f t="shared" si="26"/>
        <v>8.5877637517537575E-2</v>
      </c>
      <c r="AD34" s="16">
        <f t="shared" si="26"/>
        <v>8.5877637517537575E-2</v>
      </c>
      <c r="AE34" s="16">
        <f t="shared" si="26"/>
        <v>8.5877637517537575E-2</v>
      </c>
      <c r="AF34" s="16">
        <f t="shared" si="26"/>
        <v>7.7406193850518626E-2</v>
      </c>
      <c r="AG34" s="17">
        <f>GBDUS!P68/($T34+$U34+$X34+V34+W34)</f>
        <v>0.66173422884797606</v>
      </c>
      <c r="AH34" s="16">
        <f t="shared" si="27"/>
        <v>0.66173422884797606</v>
      </c>
      <c r="AI34" s="16">
        <f t="shared" si="27"/>
        <v>0.66173422884797606</v>
      </c>
      <c r="AJ34" s="16">
        <f t="shared" si="27"/>
        <v>0.66173422884797606</v>
      </c>
      <c r="AK34" s="16">
        <f t="shared" si="27"/>
        <v>0.5964571159199562</v>
      </c>
      <c r="AL34" s="17">
        <f>GBDUS!Q68/($T34+$U34+$X34+V34+W34)</f>
        <v>0.13175958168625973</v>
      </c>
      <c r="AM34" s="16">
        <f t="shared" si="28"/>
        <v>0.13175958168625973</v>
      </c>
      <c r="AN34" s="16">
        <f t="shared" si="28"/>
        <v>0.13175958168625973</v>
      </c>
      <c r="AO34" s="16">
        <f t="shared" si="28"/>
        <v>0.13175958168625973</v>
      </c>
      <c r="AP34" s="16">
        <f t="shared" si="28"/>
        <v>0.11876209006782545</v>
      </c>
      <c r="AQ34" s="15"/>
      <c r="AR34" s="15"/>
      <c r="AS34" s="15"/>
      <c r="AT34" s="15"/>
      <c r="AU34" s="14"/>
      <c r="AV34" s="14"/>
      <c r="AW34" s="14"/>
      <c r="AX34" s="14"/>
    </row>
    <row r="35" spans="1:50" s="13" customFormat="1" ht="12.75" x14ac:dyDescent="0.2">
      <c r="A35" s="20">
        <v>0</v>
      </c>
      <c r="B35" s="20">
        <v>2</v>
      </c>
      <c r="C35" s="20" t="s">
        <v>35</v>
      </c>
      <c r="D35" s="17">
        <f>Baseline!AN34</f>
        <v>0.12364682020186614</v>
      </c>
      <c r="E35" s="17">
        <f>Baseline!AO34</f>
        <v>0.28020118317922604</v>
      </c>
      <c r="F35" s="17">
        <f>Baseline!AP34</f>
        <v>0.49378815453891239</v>
      </c>
      <c r="G35" s="19">
        <f>Baseline!AQ34</f>
        <v>0.87018455381391113</v>
      </c>
      <c r="H35" s="19">
        <f>Baseline!AR34</f>
        <v>1.9719612778142819</v>
      </c>
      <c r="I35" s="17">
        <f t="shared" si="24"/>
        <v>0.1</v>
      </c>
      <c r="J35" s="17">
        <f t="shared" si="24"/>
        <v>0.1</v>
      </c>
      <c r="K35" s="17">
        <f t="shared" si="24"/>
        <v>0.1</v>
      </c>
      <c r="L35" s="19">
        <f t="shared" si="24"/>
        <v>0.1</v>
      </c>
      <c r="M35" s="17">
        <f t="shared" si="24"/>
        <v>0.1</v>
      </c>
      <c r="N35" s="237">
        <f>'Phy activity RRs'!$G$4</f>
        <v>0.93831941951583364</v>
      </c>
      <c r="O35" s="15">
        <f>IF(('user page'!$N$39=0),$N35^(I35^0.25),IF(('user page'!$N$39=1),$N35^(I35^0.5),IF(('user page'!$N$39=2),$N35^(I35^0.375),IF(('user page'!$N$39=4),$N35^(I35),IF(('user page'!$N$39=3),$N35^(LN(1+I35)),"")))))</f>
        <v>0.98006871247951299</v>
      </c>
      <c r="P35" s="15">
        <f>IF(('user page'!$N$39=0),$N35^(J35^0.25),IF(('user page'!$N$39=1),$N35^(J35^0.5),IF(('user page'!$N$39=2),$N35^(J35^0.375),IF(('user page'!$N$39=4),$N35^(J35),IF(('user page'!$N$39=3),$N35^(LN(1+J35)),"")))))</f>
        <v>0.98006871247951299</v>
      </c>
      <c r="Q35" s="15">
        <f>IF(('user page'!$N$39=0),$N35^(K35^0.25),IF(('user page'!$N$39=1),$N35^(K35^0.5),IF(('user page'!$N$39=2),$N35^(K35^0.375),IF(('user page'!$N$39=4),$N35^(K35),IF(('user page'!$N$39=3),$N35^(LN(1+K35)),"")))))</f>
        <v>0.98006871247951299</v>
      </c>
      <c r="R35" s="15">
        <f>IF(('user page'!$N$39=0),$N35^(L35^0.25),IF(('user page'!$N$39=1),$N35^(L35^0.5),IF(('user page'!$N$39=2),$N35^(L35^0.375),IF(('user page'!$N$39=4),$N35^(L35),IF(('user page'!$N$39=3),$N35^(LN(1+L35)),"")))))</f>
        <v>0.98006871247951299</v>
      </c>
      <c r="S35" s="15">
        <f>IF(('user page'!$N$39=0),$N35^(M35^0.25),IF(('user page'!$N$39=1),$N35^(M35^0.5),IF(('user page'!$N$39=2),$N35^(M35^0.375),IF(('user page'!$N$39=4),$N35^(M35),IF(('user page'!$N$39=3),$N35^(LN(1+M35)),"")))))</f>
        <v>0.98006871247951299</v>
      </c>
      <c r="T35" s="18">
        <f t="shared" si="25"/>
        <v>1</v>
      </c>
      <c r="U35" s="18">
        <f t="shared" si="25"/>
        <v>1</v>
      </c>
      <c r="V35" s="18">
        <f t="shared" si="25"/>
        <v>1</v>
      </c>
      <c r="W35" s="186">
        <f t="shared" si="25"/>
        <v>1</v>
      </c>
      <c r="X35" s="485">
        <f t="shared" si="25"/>
        <v>1</v>
      </c>
      <c r="Y35" s="18"/>
      <c r="Z35" s="16"/>
      <c r="AA35" s="16"/>
      <c r="AB35" s="17">
        <f>GBDUS!O69/($T35+$U35+$X35+V35+W35)</f>
        <v>0.22058394620186919</v>
      </c>
      <c r="AC35" s="16">
        <f t="shared" si="26"/>
        <v>0.22058394620186919</v>
      </c>
      <c r="AD35" s="16">
        <f t="shared" si="26"/>
        <v>0.22058394620186919</v>
      </c>
      <c r="AE35" s="16">
        <f t="shared" si="26"/>
        <v>0.22058394620186919</v>
      </c>
      <c r="AF35" s="16">
        <f t="shared" si="26"/>
        <v>0.22058394620186919</v>
      </c>
      <c r="AG35" s="17">
        <f>GBDUS!P69/($T35+$U35+$X35+V35+W35)</f>
        <v>0.71556285014409149</v>
      </c>
      <c r="AH35" s="16">
        <f t="shared" si="27"/>
        <v>0.71556285014409149</v>
      </c>
      <c r="AI35" s="16">
        <f t="shared" si="27"/>
        <v>0.71556285014409149</v>
      </c>
      <c r="AJ35" s="16">
        <f t="shared" si="27"/>
        <v>0.71556285014409149</v>
      </c>
      <c r="AK35" s="16">
        <f t="shared" si="27"/>
        <v>0.71556285014409149</v>
      </c>
      <c r="AL35" s="17">
        <f>GBDUS!Q69/($T35+$U35+$X35+V35+W35)</f>
        <v>9.319799269536802E-2</v>
      </c>
      <c r="AM35" s="16">
        <f t="shared" si="28"/>
        <v>9.319799269536802E-2</v>
      </c>
      <c r="AN35" s="16">
        <f t="shared" si="28"/>
        <v>9.319799269536802E-2</v>
      </c>
      <c r="AO35" s="16">
        <f t="shared" si="28"/>
        <v>9.319799269536802E-2</v>
      </c>
      <c r="AP35" s="16">
        <f t="shared" si="28"/>
        <v>9.319799269536802E-2</v>
      </c>
      <c r="AQ35" s="15"/>
      <c r="AR35" s="15"/>
      <c r="AS35" s="15"/>
      <c r="AT35" s="15"/>
      <c r="AU35" s="14"/>
      <c r="AV35" s="14"/>
      <c r="AW35" s="14"/>
      <c r="AX35" s="14"/>
    </row>
    <row r="37" spans="1:50" x14ac:dyDescent="0.25">
      <c r="AB37" s="214"/>
    </row>
    <row r="38" spans="1:50" x14ac:dyDescent="0.25">
      <c r="AB38" s="369"/>
    </row>
  </sheetData>
  <mergeCells count="9">
    <mergeCell ref="AG1:AK1"/>
    <mergeCell ref="AL1:AP1"/>
    <mergeCell ref="AQ1:AT1"/>
    <mergeCell ref="AU1:AX1"/>
    <mergeCell ref="D1:H1"/>
    <mergeCell ref="I1:M1"/>
    <mergeCell ref="O1:S1"/>
    <mergeCell ref="T1:X1"/>
    <mergeCell ref="AB1:AF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5"/>
  <sheetViews>
    <sheetView zoomScale="110" zoomScaleNormal="110" workbookViewId="0"/>
  </sheetViews>
  <sheetFormatPr defaultColWidth="9.140625" defaultRowHeight="15" x14ac:dyDescent="0.25"/>
  <cols>
    <col min="1" max="1" width="4.42578125" style="10" customWidth="1"/>
    <col min="2" max="2" width="3.7109375" style="10" customWidth="1"/>
    <col min="3" max="3" width="5.42578125" style="10" customWidth="1"/>
    <col min="4" max="7" width="1.85546875" style="10" customWidth="1"/>
    <col min="8" max="13" width="2.7109375" style="10" customWidth="1"/>
    <col min="14" max="14" width="4.28515625" style="10" customWidth="1"/>
    <col min="15" max="21" width="3.140625" style="10" customWidth="1"/>
    <col min="22" max="22" width="5" style="10" customWidth="1"/>
    <col min="23" max="24" width="3.140625" style="10" customWidth="1"/>
    <col min="25" max="25" width="3.28515625" style="10" customWidth="1"/>
    <col min="26" max="26" width="7.28515625" style="12" customWidth="1"/>
    <col min="27" max="31" width="2.7109375" style="10" customWidth="1"/>
    <col min="32" max="36" width="4.5703125" style="10" customWidth="1"/>
    <col min="37" max="41" width="3.7109375" style="12" customWidth="1"/>
    <col min="42" max="42" width="6.42578125" style="11" customWidth="1"/>
    <col min="43" max="43" width="4.85546875" style="10" customWidth="1"/>
    <col min="44" max="44" width="5.28515625" style="10" customWidth="1"/>
    <col min="45" max="46" width="5.140625" style="10" customWidth="1"/>
    <col min="47" max="47" width="5.42578125" style="10" customWidth="1"/>
    <col min="48" max="48" width="4.5703125" style="10" customWidth="1"/>
    <col min="49" max="49" width="6" style="10" customWidth="1"/>
    <col min="50" max="16384" width="9.140625" style="10"/>
  </cols>
  <sheetData>
    <row r="1" spans="1:50" s="13" customFormat="1" ht="46.5" customHeight="1" x14ac:dyDescent="0.2">
      <c r="A1" s="20"/>
      <c r="B1" s="20"/>
      <c r="C1" s="20"/>
      <c r="D1" s="1344" t="s">
        <v>57</v>
      </c>
      <c r="E1" s="1344"/>
      <c r="F1" s="1344"/>
      <c r="G1" s="1344"/>
      <c r="H1" s="1344"/>
      <c r="I1" s="1344" t="s">
        <v>56</v>
      </c>
      <c r="J1" s="1344"/>
      <c r="K1" s="1344"/>
      <c r="L1" s="1344"/>
      <c r="M1" s="1344"/>
      <c r="N1" s="29"/>
      <c r="O1" s="1344" t="s">
        <v>55</v>
      </c>
      <c r="P1" s="1344"/>
      <c r="Q1" s="1344"/>
      <c r="R1" s="1344"/>
      <c r="S1" s="1344"/>
      <c r="T1" s="1344" t="s">
        <v>53</v>
      </c>
      <c r="U1" s="1344"/>
      <c r="V1" s="1344"/>
      <c r="W1" s="1344"/>
      <c r="X1" s="1344"/>
      <c r="Y1" s="25" t="s">
        <v>76</v>
      </c>
      <c r="Z1" s="27" t="s">
        <v>75</v>
      </c>
      <c r="AA1" s="1344" t="s">
        <v>52</v>
      </c>
      <c r="AB1" s="1344"/>
      <c r="AC1" s="1344"/>
      <c r="AD1" s="1344"/>
      <c r="AE1" s="1344"/>
      <c r="AF1" s="1344" t="s">
        <v>51</v>
      </c>
      <c r="AG1" s="1344"/>
      <c r="AH1" s="1344"/>
      <c r="AI1" s="1344"/>
      <c r="AJ1" s="1344"/>
      <c r="AK1" s="1345" t="s">
        <v>50</v>
      </c>
      <c r="AL1" s="1345"/>
      <c r="AM1" s="1345"/>
      <c r="AN1" s="1345"/>
      <c r="AO1" s="1345"/>
      <c r="AP1" s="1346" t="s">
        <v>49</v>
      </c>
      <c r="AQ1" s="1346"/>
      <c r="AR1" s="1346"/>
      <c r="AS1" s="1346"/>
    </row>
    <row r="2" spans="1:50" s="23" customFormat="1" ht="37.5" customHeight="1" x14ac:dyDescent="0.2">
      <c r="A2" s="29" t="s">
        <v>48</v>
      </c>
      <c r="B2" s="29" t="s">
        <v>47</v>
      </c>
      <c r="C2" s="29" t="s">
        <v>46</v>
      </c>
      <c r="D2" s="25">
        <v>1</v>
      </c>
      <c r="E2" s="148">
        <v>2</v>
      </c>
      <c r="F2" s="148">
        <v>3</v>
      </c>
      <c r="G2" s="25">
        <v>4</v>
      </c>
      <c r="H2" s="25">
        <v>5</v>
      </c>
      <c r="I2" s="195">
        <v>1</v>
      </c>
      <c r="J2" s="195">
        <v>2</v>
      </c>
      <c r="K2" s="195">
        <v>3</v>
      </c>
      <c r="L2" s="195">
        <v>4</v>
      </c>
      <c r="M2" s="195">
        <v>5</v>
      </c>
      <c r="N2" s="25" t="s">
        <v>45</v>
      </c>
      <c r="O2" s="29">
        <v>1</v>
      </c>
      <c r="P2" s="29">
        <v>2</v>
      </c>
      <c r="Q2" s="29">
        <v>3</v>
      </c>
      <c r="R2" s="29">
        <v>4</v>
      </c>
      <c r="S2" s="29">
        <v>5</v>
      </c>
      <c r="T2" s="29">
        <v>1</v>
      </c>
      <c r="U2" s="29">
        <v>2</v>
      </c>
      <c r="V2" s="29">
        <v>3</v>
      </c>
      <c r="W2" s="29">
        <v>4</v>
      </c>
      <c r="X2" s="29">
        <v>5</v>
      </c>
      <c r="Y2" s="29"/>
      <c r="Z2" s="27"/>
      <c r="AA2" s="29">
        <v>1</v>
      </c>
      <c r="AB2" s="29">
        <v>2</v>
      </c>
      <c r="AC2" s="29">
        <v>3</v>
      </c>
      <c r="AD2" s="29">
        <v>4</v>
      </c>
      <c r="AE2" s="25">
        <v>5</v>
      </c>
      <c r="AF2" s="29">
        <v>1</v>
      </c>
      <c r="AG2" s="29">
        <v>2</v>
      </c>
      <c r="AH2" s="29">
        <v>3</v>
      </c>
      <c r="AI2" s="29">
        <v>4</v>
      </c>
      <c r="AJ2" s="29">
        <v>5</v>
      </c>
      <c r="AK2" s="28">
        <v>1</v>
      </c>
      <c r="AL2" s="28"/>
      <c r="AM2" s="28"/>
      <c r="AN2" s="28">
        <v>2</v>
      </c>
      <c r="AO2" s="27">
        <v>3</v>
      </c>
      <c r="AP2" s="26" t="s">
        <v>44</v>
      </c>
      <c r="AQ2" s="25" t="s">
        <v>43</v>
      </c>
      <c r="AR2" s="25" t="s">
        <v>42</v>
      </c>
      <c r="AS2" s="25" t="s">
        <v>29</v>
      </c>
      <c r="AT2" s="13"/>
      <c r="AU2" s="13"/>
      <c r="AV2" s="13"/>
      <c r="AW2" s="13"/>
      <c r="AX2" s="13"/>
    </row>
    <row r="3" spans="1:50" s="13" customFormat="1" ht="12.75" x14ac:dyDescent="0.2">
      <c r="A3" s="20">
        <v>1</v>
      </c>
      <c r="B3" s="20">
        <v>1</v>
      </c>
      <c r="C3" s="20" t="s">
        <v>2</v>
      </c>
      <c r="D3" s="17"/>
      <c r="E3" s="17"/>
      <c r="F3" s="17"/>
      <c r="G3" s="17"/>
      <c r="H3" s="17"/>
      <c r="I3" s="17"/>
      <c r="J3" s="17"/>
      <c r="K3" s="17"/>
      <c r="L3" s="17"/>
      <c r="M3" s="17"/>
      <c r="N3" s="15"/>
      <c r="O3" s="15"/>
      <c r="P3" s="15"/>
      <c r="Q3" s="15"/>
      <c r="R3" s="15"/>
      <c r="S3" s="15"/>
      <c r="T3" s="18"/>
      <c r="U3" s="18"/>
      <c r="V3" s="18"/>
      <c r="W3" s="18"/>
      <c r="X3" s="18"/>
      <c r="Y3" s="18"/>
      <c r="Z3" s="16"/>
      <c r="AA3" s="15"/>
      <c r="AB3" s="15"/>
      <c r="AC3" s="15"/>
      <c r="AD3" s="18"/>
      <c r="AE3" s="18"/>
      <c r="AF3" s="15"/>
      <c r="AG3" s="15"/>
      <c r="AH3" s="15"/>
      <c r="AI3" s="18"/>
      <c r="AJ3" s="18"/>
      <c r="AK3" s="17"/>
      <c r="AL3" s="17"/>
      <c r="AM3" s="17"/>
      <c r="AN3" s="16"/>
      <c r="AO3" s="16"/>
      <c r="AP3" s="17"/>
      <c r="AQ3" s="17"/>
      <c r="AR3" s="17"/>
      <c r="AS3" s="17"/>
    </row>
    <row r="4" spans="1:50" s="13" customFormat="1" ht="12.75" x14ac:dyDescent="0.2">
      <c r="A4" s="20">
        <v>1</v>
      </c>
      <c r="B4" s="20">
        <v>1</v>
      </c>
      <c r="C4" s="20" t="s">
        <v>41</v>
      </c>
      <c r="D4" s="17"/>
      <c r="E4" s="17"/>
      <c r="F4" s="17"/>
      <c r="G4" s="17"/>
      <c r="H4" s="17"/>
      <c r="I4" s="17"/>
      <c r="J4" s="17"/>
      <c r="K4" s="17"/>
      <c r="L4" s="17"/>
      <c r="M4" s="17"/>
      <c r="N4" s="15"/>
      <c r="O4" s="15"/>
      <c r="P4" s="15"/>
      <c r="Q4" s="15"/>
      <c r="R4" s="15"/>
      <c r="S4" s="15"/>
      <c r="T4" s="18"/>
      <c r="U4" s="18"/>
      <c r="V4" s="18"/>
      <c r="W4" s="18"/>
      <c r="X4" s="18"/>
      <c r="Y4" s="18"/>
      <c r="Z4" s="16"/>
      <c r="AA4" s="15"/>
      <c r="AB4" s="15"/>
      <c r="AC4" s="15"/>
      <c r="AD4" s="18"/>
      <c r="AE4" s="18"/>
      <c r="AF4" s="15"/>
      <c r="AG4" s="15"/>
      <c r="AH4" s="15"/>
      <c r="AI4" s="18"/>
      <c r="AJ4" s="18"/>
      <c r="AK4" s="17"/>
      <c r="AL4" s="17"/>
      <c r="AM4" s="17"/>
      <c r="AN4" s="16"/>
      <c r="AO4" s="16"/>
      <c r="AP4" s="17"/>
      <c r="AQ4" s="17"/>
      <c r="AR4" s="17"/>
      <c r="AS4" s="17"/>
    </row>
    <row r="5" spans="1:50" s="13" customFormat="1" ht="12.75" x14ac:dyDescent="0.2">
      <c r="A5" s="20">
        <v>1</v>
      </c>
      <c r="B5" s="20">
        <v>1</v>
      </c>
      <c r="C5" s="20" t="s">
        <v>40</v>
      </c>
      <c r="D5" s="17">
        <f>Scenario!AN21</f>
        <v>1.9649930808034388</v>
      </c>
      <c r="E5" s="17">
        <f>Scenario!AO21</f>
        <v>4.4529522496511911</v>
      </c>
      <c r="F5" s="17">
        <f>Scenario!AP21</f>
        <v>7.8472726226809844</v>
      </c>
      <c r="G5" s="17">
        <f>Scenario!AQ21</f>
        <v>13.828957545974617</v>
      </c>
      <c r="H5" s="17">
        <f>Scenario!AR21</f>
        <v>31.338373766435872</v>
      </c>
      <c r="I5" s="17">
        <f>IF((D5+'Non travel METs'!C5)&gt;2.5,(D5+'Non travel METs'!C5),0.1)</f>
        <v>59.764993080803436</v>
      </c>
      <c r="J5" s="17">
        <f>IF((E5+'Non travel METs'!D5)&gt;2.5,(E5+'Non travel METs'!D5),0.1)</f>
        <v>45.45295224965119</v>
      </c>
      <c r="K5" s="17">
        <f>IF((F5+'Non travel METs'!E5)&gt;2.5,(F5+'Non travel METs'!E5),0.1)</f>
        <v>53.347272622680983</v>
      </c>
      <c r="L5" s="17">
        <f>IF((G5+'Non travel METs'!F5)&gt;2.5,(G5+'Non travel METs'!F5),0.1)</f>
        <v>51.753957545974615</v>
      </c>
      <c r="M5" s="17">
        <f>IF((H5+'Non travel METs'!G5)&gt;2.5,(H5+'Non travel METs'!G5),0.1)</f>
        <v>72.338373766435865</v>
      </c>
      <c r="N5" s="19">
        <f>'Phy activity RRs'!$E$4</f>
        <v>0.96065247560449929</v>
      </c>
      <c r="O5" s="15">
        <f>IF(('user page'!$N$39=0),$N5^(I5^0.25),IF(('user page'!$N$39=1),$N5^(I5^0.5),IF(('user page'!$N$39=2),$N5^(I5^0.375),IF(('user page'!$N$39=4),$N5^(I5),IF(('user page'!$N$39=3),$N5^(LN(1+I5)),"")))))</f>
        <v>0.73320245629841396</v>
      </c>
      <c r="P5" s="15">
        <f>IF(('user page'!$N$39=0),$N5^(J5^0.25),IF(('user page'!$N$39=1),$N5^(J5^0.5),IF(('user page'!$N$39=2),$N5^(J5^0.375),IF(('user page'!$N$39=4),$N5^(J5),IF(('user page'!$N$39=3),$N5^(LN(1+J5)),"")))))</f>
        <v>0.76289386206534415</v>
      </c>
      <c r="Q5" s="15">
        <f>IF(('user page'!$N$39=0),$N5^(K5^0.25),IF(('user page'!$N$39=1),$N5^(K5^0.5),IF(('user page'!$N$39=2),$N5^(K5^0.375),IF(('user page'!$N$39=4),$N5^(K5),IF(('user page'!$N$39=3),$N5^(LN(1+K5)),"")))))</f>
        <v>0.74587433826923033</v>
      </c>
      <c r="R5" s="15">
        <f>IF(('user page'!$N$39=0),$N5^(L5^0.25),IF(('user page'!$N$39=1),$N5^(L5^0.5),IF(('user page'!$N$39=2),$N5^(L5^0.375),IF(('user page'!$N$39=4),$N5^(L5),IF(('user page'!$N$39=3),$N5^(LN(1+L5)),"")))))</f>
        <v>0.74917213846997044</v>
      </c>
      <c r="S5" s="15">
        <f>IF(('user page'!$N$39=0),$N5^(M5^0.25),IF(('user page'!$N$39=1),$N5^(M5^0.5),IF(('user page'!$N$39=2),$N5^(M5^0.375),IF(('user page'!$N$39=4),$N5^(M5),IF(('user page'!$N$39=3),$N5^(LN(1+M5)),"")))))</f>
        <v>0.71076003927894649</v>
      </c>
      <c r="T5" s="18">
        <f t="shared" ref="T5:X10" si="0">O5/$O5</f>
        <v>1</v>
      </c>
      <c r="U5" s="18">
        <f t="shared" si="0"/>
        <v>1.0404955077712474</v>
      </c>
      <c r="V5" s="18">
        <f t="shared" si="0"/>
        <v>1.0172829235117278</v>
      </c>
      <c r="W5" s="18">
        <f t="shared" si="0"/>
        <v>1.0217807265024448</v>
      </c>
      <c r="X5" s="18">
        <f t="shared" si="0"/>
        <v>0.96939124135948962</v>
      </c>
      <c r="Y5" s="31">
        <f>1-Z5</f>
        <v>2.2054024114940951E-2</v>
      </c>
      <c r="Z5" s="344">
        <f t="shared" ref="Z5:Z10" si="1">SUM(O5:S5)/SUM(O22:S22)</f>
        <v>0.97794597588505905</v>
      </c>
      <c r="AA5" s="17">
        <f>Z5*GBDUS!$O22/($T5+$W5+$X5+U5+V5)</f>
        <v>7.2398054080527946E-5</v>
      </c>
      <c r="AB5" s="16">
        <f t="shared" ref="AB5:AE10" si="2">$AA5*U5</f>
        <v>7.5329850042169151E-5</v>
      </c>
      <c r="AC5" s="16">
        <f t="shared" si="2"/>
        <v>7.3649304111599644E-5</v>
      </c>
      <c r="AD5" s="16">
        <f t="shared" si="2"/>
        <v>7.3974936295765129E-5</v>
      </c>
      <c r="AE5" s="16">
        <f t="shared" si="2"/>
        <v>7.0182039517134451E-5</v>
      </c>
      <c r="AF5" s="17">
        <f>Z5*GBDUS!$P22/($T5+$W5+$X5+U5+V5)</f>
        <v>2.0871210669507977E-3</v>
      </c>
      <c r="AG5" s="16">
        <f t="shared" ref="AG5:AJ10" si="3">$AF5*U5</f>
        <v>2.171640094337038E-3</v>
      </c>
      <c r="AH5" s="16">
        <f t="shared" si="3"/>
        <v>2.1231926207106238E-3</v>
      </c>
      <c r="AI5" s="16">
        <f t="shared" si="3"/>
        <v>2.1325800800875436E-3</v>
      </c>
      <c r="AJ5" s="16">
        <f t="shared" si="3"/>
        <v>2.0232368819589762E-3</v>
      </c>
      <c r="AK5" s="17">
        <f>Z5*GBDUS!$Q22/($T5+$W5+$X5+U5+V5)</f>
        <v>4.8175168596606069E-5</v>
      </c>
      <c r="AL5" s="16">
        <f t="shared" ref="AL5:AO10" si="4">$AK5*U5</f>
        <v>5.0126046510891087E-5</v>
      </c>
      <c r="AM5" s="16">
        <f t="shared" si="4"/>
        <v>4.9007776350625802E-5</v>
      </c>
      <c r="AN5" s="16">
        <f t="shared" si="4"/>
        <v>4.9224458768017914E-5</v>
      </c>
      <c r="AO5" s="16">
        <f t="shared" si="4"/>
        <v>4.6700586488566659E-5</v>
      </c>
      <c r="AP5" s="17">
        <f>AA5+AB5+AE5+AC5+AD5-AC22-AD22-AA22-AB22-AE22</f>
        <v>-8.2432975937309441E-6</v>
      </c>
      <c r="AQ5" s="17">
        <f>AF5+AG5+AJ5+AH5+AI5-AH22-AI22-AG22-AJ22-AF22</f>
        <v>-2.3764119474653208E-4</v>
      </c>
      <c r="AR5" s="17">
        <f>AK5+AL5+AO5-AK22+AM5+AN5-AM22-AN22-AL22-AO22</f>
        <v>-5.4852613984384638E-6</v>
      </c>
      <c r="AS5" s="17">
        <f t="shared" ref="AS5:AS10" si="5">AQ5+AR5</f>
        <v>-2.4312645614497054E-4</v>
      </c>
    </row>
    <row r="6" spans="1:50" s="13" customFormat="1" ht="12.75" x14ac:dyDescent="0.2">
      <c r="A6" s="20">
        <v>1</v>
      </c>
      <c r="B6" s="20">
        <v>1</v>
      </c>
      <c r="C6" s="20" t="s">
        <v>39</v>
      </c>
      <c r="D6" s="17">
        <f>Scenario!AN22</f>
        <v>1.1398546847573734</v>
      </c>
      <c r="E6" s="17">
        <f>Scenario!AO22</f>
        <v>2.5830719366657791</v>
      </c>
      <c r="F6" s="17">
        <f>Scenario!AP22</f>
        <v>4.5520518870600304</v>
      </c>
      <c r="G6" s="17">
        <f>Scenario!AQ22</f>
        <v>8.0219122388181017</v>
      </c>
      <c r="H6" s="17">
        <f>Scenario!AR22</f>
        <v>18.178787752140046</v>
      </c>
      <c r="I6" s="17">
        <f>IF((D6+'Non travel METs'!C6)&gt;2.5,(D6+'Non travel METs'!C6),0.1)</f>
        <v>52.389854684757374</v>
      </c>
      <c r="J6" s="17">
        <f>IF((E6+'Non travel METs'!D6)&gt;2.5,(E6+'Non travel METs'!D6),0.1)</f>
        <v>53.833071936665782</v>
      </c>
      <c r="K6" s="17">
        <f>IF((F6+'Non travel METs'!E6)&gt;2.5,(F6+'Non travel METs'!E6),0.1)</f>
        <v>69.302051887060031</v>
      </c>
      <c r="L6" s="17">
        <f>IF((G6+'Non travel METs'!F6)&gt;2.5,(G6+'Non travel METs'!F6),0.1)</f>
        <v>54.146912238818103</v>
      </c>
      <c r="M6" s="17">
        <f>IF((H6+'Non travel METs'!G6)&gt;2.5,(H6+'Non travel METs'!G6),0.1)</f>
        <v>62.978787752140043</v>
      </c>
      <c r="N6" s="19">
        <f>'Phy activity RRs'!$E$4</f>
        <v>0.96065247560449929</v>
      </c>
      <c r="O6" s="15">
        <f>IF(('user page'!$N$39=0),$N6^(I6^0.25),IF(('user page'!$N$39=1),$N6^(I6^0.5),IF(('user page'!$N$39=2),$N6^(I6^0.375),IF(('user page'!$N$39=4),$N6^(I6),IF(('user page'!$N$39=3),$N6^(LN(1+I6)),"")))))</f>
        <v>0.74784822420657771</v>
      </c>
      <c r="P6" s="15">
        <f>IF(('user page'!$N$39=0),$N6^(J6^0.25),IF(('user page'!$N$39=1),$N6^(J6^0.5),IF(('user page'!$N$39=2),$N6^(J6^0.375),IF(('user page'!$N$39=4),$N6^(J6),IF(('user page'!$N$39=3),$N6^(LN(1+J6)),"")))))</f>
        <v>0.74488152629231275</v>
      </c>
      <c r="Q6" s="15">
        <f>IF(('user page'!$N$39=0),$N6^(K6^0.25),IF(('user page'!$N$39=1),$N6^(K6^0.5),IF(('user page'!$N$39=2),$N6^(K6^0.375),IF(('user page'!$N$39=4),$N6^(K6),IF(('user page'!$N$39=3),$N6^(LN(1+K6)),"")))))</f>
        <v>0.71592617513220258</v>
      </c>
      <c r="R6" s="15">
        <f>IF(('user page'!$N$39=0),$N6^(L6^0.25),IF(('user page'!$N$39=1),$N6^(L6^0.5),IF(('user page'!$N$39=2),$N6^(L6^0.375),IF(('user page'!$N$39=4),$N6^(L6),IF(('user page'!$N$39=3),$N6^(LN(1+L6)),"")))))</f>
        <v>0.7442432206199765</v>
      </c>
      <c r="S6" s="15">
        <f>IF(('user page'!$N$39=0),$N6^(M6^0.25),IF(('user page'!$N$39=1),$N6^(M6^0.5),IF(('user page'!$N$39=2),$N6^(M6^0.375),IF(('user page'!$N$39=4),$N6^(M6),IF(('user page'!$N$39=3),$N6^(LN(1+M6)),"")))))</f>
        <v>0.7271895738812546</v>
      </c>
      <c r="T6" s="18">
        <f t="shared" si="0"/>
        <v>1</v>
      </c>
      <c r="U6" s="18">
        <f t="shared" si="0"/>
        <v>0.99603302138289829</v>
      </c>
      <c r="V6" s="18">
        <f t="shared" si="0"/>
        <v>0.95731480260150048</v>
      </c>
      <c r="W6" s="18">
        <f t="shared" si="0"/>
        <v>0.9951794983662281</v>
      </c>
      <c r="X6" s="18">
        <f t="shared" si="0"/>
        <v>0.97237587834451211</v>
      </c>
      <c r="Y6" s="31">
        <f t="shared" ref="Y6:Y18" si="6">1-Z6</f>
        <v>1.2725181395852436E-2</v>
      </c>
      <c r="Z6" s="344">
        <f t="shared" si="1"/>
        <v>0.98727481860414756</v>
      </c>
      <c r="AA6" s="17">
        <f>Z6*GBDUS!$O23/($T6+$W6+$X6+U6+V6)</f>
        <v>2.2224487508625329E-3</v>
      </c>
      <c r="AB6" s="16">
        <f t="shared" si="2"/>
        <v>2.2136323441902567E-3</v>
      </c>
      <c r="AC6" s="16">
        <f t="shared" si="2"/>
        <v>2.1275830872239171E-3</v>
      </c>
      <c r="AD6" s="16">
        <f t="shared" si="2"/>
        <v>2.2117354330280256E-3</v>
      </c>
      <c r="AE6" s="16">
        <f t="shared" si="2"/>
        <v>2.1610555561956193E-3</v>
      </c>
      <c r="AF6" s="17">
        <f>Z6*GBDUS!$P23/($T6+$W6+$X6+U6+V6)</f>
        <v>4.9305955958542404E-2</v>
      </c>
      <c r="AG6" s="16">
        <f t="shared" si="3"/>
        <v>4.911036028555911E-2</v>
      </c>
      <c r="AH6" s="16">
        <f t="shared" si="3"/>
        <v>4.7201321495530295E-2</v>
      </c>
      <c r="AI6" s="16">
        <f t="shared" si="3"/>
        <v>4.9068276517289566E-2</v>
      </c>
      <c r="AJ6" s="16">
        <f t="shared" si="3"/>
        <v>4.7943922232803499E-2</v>
      </c>
      <c r="AK6" s="17">
        <f>Z6*GBDUS!$Q23/($T6+$W6+$X6+U6+V6)</f>
        <v>6.5151392674233427E-3</v>
      </c>
      <c r="AL6" s="16">
        <f t="shared" si="4"/>
        <v>6.489293849262035E-3</v>
      </c>
      <c r="AM6" s="16">
        <f t="shared" si="4"/>
        <v>6.2370392617146619E-3</v>
      </c>
      <c r="AN6" s="16">
        <f t="shared" si="4"/>
        <v>6.4837330279404774E-3</v>
      </c>
      <c r="AO6" s="16">
        <f t="shared" si="4"/>
        <v>6.335164267697594E-3</v>
      </c>
      <c r="AP6" s="17">
        <f t="shared" ref="AP6:AP18" si="7">AA6+AB6+AE6+AC6+AD6-AC23-AD23-AA23-AB23-AE23</f>
        <v>-1.4096214474680104E-4</v>
      </c>
      <c r="AQ6" s="17">
        <f t="shared" ref="AQ6:AQ18" si="8">AF6+AG6+AJ6+AH6+AI6-AH23-AI23-AG23-AJ23-AF23</f>
        <v>-3.1273041945332272E-3</v>
      </c>
      <c r="AR6" s="17">
        <f t="shared" ref="AR6:AR18" si="9">AK6+AL6+AO6-AK23+AM6+AN6-AM23-AN23-AL23-AO23</f>
        <v>-4.1323247796093768E-4</v>
      </c>
      <c r="AS6" s="17">
        <f t="shared" si="5"/>
        <v>-3.5405366724941649E-3</v>
      </c>
    </row>
    <row r="7" spans="1:50" s="13" customFormat="1" ht="12.75" x14ac:dyDescent="0.2">
      <c r="A7" s="20">
        <v>1</v>
      </c>
      <c r="B7" s="20">
        <v>1</v>
      </c>
      <c r="C7" s="20" t="s">
        <v>38</v>
      </c>
      <c r="D7" s="17">
        <f>Scenario!AN23</f>
        <v>1.1455500772835505</v>
      </c>
      <c r="E7" s="17">
        <f>Scenario!AO23</f>
        <v>2.5959785016862105</v>
      </c>
      <c r="F7" s="17">
        <f>Scenario!AP23</f>
        <v>4.5747966479870366</v>
      </c>
      <c r="G7" s="17">
        <f>Scenario!AQ23</f>
        <v>8.0619944875657499</v>
      </c>
      <c r="H7" s="17">
        <f>Scenario!AR23</f>
        <v>18.269619797034032</v>
      </c>
      <c r="I7" s="17">
        <f>IF((D7+'Non travel METs'!C7)&gt;2.5,(D7+'Non travel METs'!C7),0.1)</f>
        <v>59.420550077283551</v>
      </c>
      <c r="J7" s="17">
        <f>IF((E7+'Non travel METs'!D7)&gt;2.5,(E7+'Non travel METs'!D7),0.1)</f>
        <v>64.095978501686204</v>
      </c>
      <c r="K7" s="17">
        <f>IF((F7+'Non travel METs'!E7)&gt;2.5,(F7+'Non travel METs'!E7),0.1)</f>
        <v>58.299796647987037</v>
      </c>
      <c r="L7" s="17">
        <f>IF((G7+'Non travel METs'!F7)&gt;2.5,(G7+'Non travel METs'!F7),0.1)</f>
        <v>60.261994487565751</v>
      </c>
      <c r="M7" s="17">
        <f>IF((H7+'Non travel METs'!G7)&gt;2.5,(H7+'Non travel METs'!G7),0.1)</f>
        <v>64.969619797034028</v>
      </c>
      <c r="N7" s="19">
        <f>'Phy activity RRs'!$E$4</f>
        <v>0.96065247560449929</v>
      </c>
      <c r="O7" s="15">
        <f>IF(('user page'!$N$39=0),$N7^(I7^0.25),IF(('user page'!$N$39=1),$N7^(I7^0.5),IF(('user page'!$N$39=2),$N7^(I7^0.375),IF(('user page'!$N$39=4),$N7^(I7),IF(('user page'!$N$39=3),$N7^(LN(1+I7)),"")))))</f>
        <v>0.73385937939106138</v>
      </c>
      <c r="P7" s="15">
        <f>IF(('user page'!$N$39=0),$N7^(J7^0.25),IF(('user page'!$N$39=1),$N7^(J7^0.5),IF(('user page'!$N$39=2),$N7^(J7^0.375),IF(('user page'!$N$39=4),$N7^(J7),IF(('user page'!$N$39=3),$N7^(LN(1+J7)),"")))))</f>
        <v>0.72514675957499652</v>
      </c>
      <c r="Q7" s="15">
        <f>IF(('user page'!$N$39=0),$N7^(K7^0.25),IF(('user page'!$N$39=1),$N7^(K7^0.5),IF(('user page'!$N$39=2),$N7^(K7^0.375),IF(('user page'!$N$39=4),$N7^(K7),IF(('user page'!$N$39=3),$N7^(LN(1+K7)),"")))))</f>
        <v>0.73601428889681919</v>
      </c>
      <c r="R7" s="15">
        <f>IF(('user page'!$N$39=0),$N7^(L7^0.25),IF(('user page'!$N$39=1),$N7^(L7^0.5),IF(('user page'!$N$39=2),$N7^(L7^0.375),IF(('user page'!$N$39=4),$N7^(L7),IF(('user page'!$N$39=3),$N7^(LN(1+L7)),"")))))</f>
        <v>0.73225893105719386</v>
      </c>
      <c r="S7" s="15">
        <f>IF(('user page'!$N$39=0),$N7^(M7^0.25),IF(('user page'!$N$39=1),$N7^(M7^0.5),IF(('user page'!$N$39=2),$N7^(M7^0.375),IF(('user page'!$N$39=4),$N7^(M7),IF(('user page'!$N$39=3),$N7^(LN(1+M7)),"")))))</f>
        <v>0.72356561167442957</v>
      </c>
      <c r="T7" s="18">
        <f t="shared" si="0"/>
        <v>1</v>
      </c>
      <c r="U7" s="18">
        <f t="shared" si="0"/>
        <v>0.98812767123955769</v>
      </c>
      <c r="V7" s="18">
        <f t="shared" si="0"/>
        <v>1.0029364065736217</v>
      </c>
      <c r="W7" s="18">
        <f t="shared" si="0"/>
        <v>0.99781913486587104</v>
      </c>
      <c r="X7" s="18">
        <f t="shared" si="0"/>
        <v>0.98597310601225352</v>
      </c>
      <c r="Y7" s="31">
        <f t="shared" si="6"/>
        <v>1.2562669989724662E-2</v>
      </c>
      <c r="Z7" s="344">
        <f t="shared" si="1"/>
        <v>0.98743733001027534</v>
      </c>
      <c r="AA7" s="17">
        <f>Z7*GBDUS!$O24/($T7+$W7+$X7+U7+V7)</f>
        <v>3.9142301466677026E-3</v>
      </c>
      <c r="AB7" s="16">
        <f t="shared" si="2"/>
        <v>3.8677591195224294E-3</v>
      </c>
      <c r="AC7" s="16">
        <f t="shared" si="2"/>
        <v>3.925723917801046E-3</v>
      </c>
      <c r="AD7" s="16">
        <f t="shared" si="2"/>
        <v>3.9056937386138784E-3</v>
      </c>
      <c r="AE7" s="16">
        <f t="shared" si="2"/>
        <v>3.8593256553567535E-3</v>
      </c>
      <c r="AF7" s="17">
        <f>Z7*GBDUS!$P24/($T7+$W7+$X7+U7+V7)</f>
        <v>6.5272872283904215E-2</v>
      </c>
      <c r="AG7" s="16">
        <f t="shared" si="3"/>
        <v>6.4497931285011342E-2</v>
      </c>
      <c r="AH7" s="16">
        <f t="shared" si="3"/>
        <v>6.5464539975157846E-2</v>
      </c>
      <c r="AI7" s="16">
        <f t="shared" si="3"/>
        <v>6.5130520952535798E-2</v>
      </c>
      <c r="AJ7" s="16">
        <f t="shared" si="3"/>
        <v>6.4357296624102181E-2</v>
      </c>
      <c r="AK7" s="17">
        <f>Z7*GBDUS!$Q24/($T7+$W7+$X7+U7+V7)</f>
        <v>5.9626789559003831E-3</v>
      </c>
      <c r="AL7" s="16">
        <f t="shared" si="4"/>
        <v>5.8918880710429628E-3</v>
      </c>
      <c r="AM7" s="16">
        <f t="shared" si="4"/>
        <v>5.9801878055828848E-3</v>
      </c>
      <c r="AN7" s="16">
        <f t="shared" si="4"/>
        <v>5.9496751572594552E-3</v>
      </c>
      <c r="AO7" s="16">
        <f t="shared" si="4"/>
        <v>5.8790410903030018E-3</v>
      </c>
      <c r="AP7" s="17">
        <f t="shared" si="7"/>
        <v>-2.4774181179938563E-4</v>
      </c>
      <c r="AQ7" s="17">
        <f t="shared" si="8"/>
        <v>-4.1312899433701283E-3</v>
      </c>
      <c r="AR7" s="17">
        <f t="shared" si="9"/>
        <v>-3.7739346751759946E-4</v>
      </c>
      <c r="AS7" s="17">
        <f t="shared" si="5"/>
        <v>-4.5086834108877278E-3</v>
      </c>
    </row>
    <row r="8" spans="1:50" s="13" customFormat="1" ht="12.75" x14ac:dyDescent="0.2">
      <c r="A8" s="20">
        <v>1</v>
      </c>
      <c r="B8" s="20">
        <v>1</v>
      </c>
      <c r="C8" s="20" t="s">
        <v>37</v>
      </c>
      <c r="D8" s="17">
        <f>Scenario!AN24</f>
        <v>1.038575484693584</v>
      </c>
      <c r="E8" s="17">
        <f>Scenario!AO24</f>
        <v>2.3535589443948219</v>
      </c>
      <c r="F8" s="17">
        <f>Scenario!AP24</f>
        <v>4.1475896517107627</v>
      </c>
      <c r="G8" s="17">
        <f>Scenario!AQ24</f>
        <v>7.3091434399581363</v>
      </c>
      <c r="H8" s="17">
        <f>Scenario!AR24</f>
        <v>16.563552839930118</v>
      </c>
      <c r="I8" s="17">
        <f>IF((D8+'Non travel METs'!C8)&gt;2.5,(D8+'Non travel METs'!C8),0.1)</f>
        <v>42.038575484693581</v>
      </c>
      <c r="J8" s="17">
        <f>IF((E8+'Non travel METs'!D8)&gt;2.5,(E8+'Non travel METs'!D8),0.1)</f>
        <v>33.60355894439482</v>
      </c>
      <c r="K8" s="17">
        <f>IF((F8+'Non travel METs'!E8)&gt;2.5,(F8+'Non travel METs'!E8),0.1)</f>
        <v>48.23092298504406</v>
      </c>
      <c r="L8" s="17">
        <f>IF((G8+'Non travel METs'!F8)&gt;2.5,(G8+'Non travel METs'!F8),0.1)</f>
        <v>49.809143439958135</v>
      </c>
      <c r="M8" s="17">
        <f>IF((H8+'Non travel METs'!G8)&gt;2.5,(H8+'Non travel METs'!G8),0.1)</f>
        <v>49.363552839930115</v>
      </c>
      <c r="N8" s="19">
        <f>'Phy activity RRs'!$E$4</f>
        <v>0.96065247560449929</v>
      </c>
      <c r="O8" s="15">
        <f>IF(('user page'!$N$39=0),$N8^(I8^0.25),IF(('user page'!$N$39=1),$N8^(I8^0.5),IF(('user page'!$N$39=2),$N8^(I8^0.375),IF(('user page'!$N$39=4),$N8^(I8),IF(('user page'!$N$39=3),$N8^(LN(1+I8)),"")))))</f>
        <v>0.77084112739063915</v>
      </c>
      <c r="P8" s="15">
        <f>IF(('user page'!$N$39=0),$N8^(J8^0.25),IF(('user page'!$N$39=1),$N8^(J8^0.5),IF(('user page'!$N$39=2),$N8^(J8^0.375),IF(('user page'!$N$39=4),$N8^(J8),IF(('user page'!$N$39=3),$N8^(LN(1+J8)),"")))))</f>
        <v>0.79239067974373301</v>
      </c>
      <c r="Q8" s="15">
        <f>IF(('user page'!$N$39=0),$N8^(K8^0.25),IF(('user page'!$N$39=1),$N8^(K8^0.5),IF(('user page'!$N$39=2),$N8^(K8^0.375),IF(('user page'!$N$39=4),$N8^(K8),IF(('user page'!$N$39=3),$N8^(LN(1+K8)),"")))))</f>
        <v>0.75670331294366655</v>
      </c>
      <c r="R8" s="15">
        <f>IF(('user page'!$N$39=0),$N8^(L8^0.25),IF(('user page'!$N$39=1),$N8^(L8^0.5),IF(('user page'!$N$39=2),$N8^(L8^0.375),IF(('user page'!$N$39=4),$N8^(L8),IF(('user page'!$N$39=3),$N8^(LN(1+L8)),"")))))</f>
        <v>0.75328734673536457</v>
      </c>
      <c r="S8" s="15">
        <f>IF(('user page'!$N$39=0),$N8^(M8^0.25),IF(('user page'!$N$39=1),$N8^(M8^0.5),IF(('user page'!$N$39=2),$N8^(M8^0.375),IF(('user page'!$N$39=4),$N8^(M8),IF(('user page'!$N$39=3),$N8^(LN(1+M8)),"")))))</f>
        <v>0.75424468993173432</v>
      </c>
      <c r="T8" s="18">
        <f t="shared" si="0"/>
        <v>1</v>
      </c>
      <c r="U8" s="18">
        <f t="shared" si="0"/>
        <v>1.0279558933577413</v>
      </c>
      <c r="V8" s="18">
        <f t="shared" si="0"/>
        <v>0.98165923697554869</v>
      </c>
      <c r="W8" s="18">
        <f t="shared" si="0"/>
        <v>0.97722775805347128</v>
      </c>
      <c r="X8" s="18">
        <f t="shared" si="0"/>
        <v>0.97846970423712976</v>
      </c>
      <c r="Y8" s="31">
        <f t="shared" si="6"/>
        <v>1.3085746728089598E-2</v>
      </c>
      <c r="Z8" s="344">
        <f t="shared" si="1"/>
        <v>0.9869142532719104</v>
      </c>
      <c r="AA8" s="17">
        <f>Z8*GBDUS!$O25/($T8+$W8+$X8+U8+V8)</f>
        <v>7.9808383104690676E-3</v>
      </c>
      <c r="AB8" s="16">
        <f t="shared" si="2"/>
        <v>8.2039497751819172E-3</v>
      </c>
      <c r="AC8" s="16">
        <f t="shared" si="2"/>
        <v>7.8344636462802913E-3</v>
      </c>
      <c r="AD8" s="16">
        <f t="shared" si="2"/>
        <v>7.7990967295269407E-3</v>
      </c>
      <c r="AE8" s="16">
        <f t="shared" si="2"/>
        <v>7.8090085012090232E-3</v>
      </c>
      <c r="AF8" s="17">
        <f>Z8*GBDUS!$P25/($T8+$W8+$X8+U8+V8)</f>
        <v>8.7247793088446726E-2</v>
      </c>
      <c r="AG8" s="16">
        <f t="shared" si="3"/>
        <v>8.9686883087725627E-2</v>
      </c>
      <c r="AH8" s="16">
        <f t="shared" si="3"/>
        <v>8.5647601991005171E-2</v>
      </c>
      <c r="AI8" s="16">
        <f t="shared" si="3"/>
        <v>8.526096523493594E-2</v>
      </c>
      <c r="AJ8" s="16">
        <f t="shared" si="3"/>
        <v>8.5369322298594758E-2</v>
      </c>
      <c r="AK8" s="17">
        <f>Z8*GBDUS!$Q25/($T8+$W8+$X8+U8+V8)</f>
        <v>1.0421846953562065E-2</v>
      </c>
      <c r="AL8" s="16">
        <f t="shared" si="4"/>
        <v>1.0713198995586547E-2</v>
      </c>
      <c r="AM8" s="16">
        <f t="shared" si="4"/>
        <v>1.0230702328309683E-2</v>
      </c>
      <c r="AN8" s="16">
        <f t="shared" si="4"/>
        <v>1.0184518133205856E-2</v>
      </c>
      <c r="AO8" s="16">
        <f t="shared" si="4"/>
        <v>1.0197461506256505E-2</v>
      </c>
      <c r="AP8" s="17">
        <f t="shared" si="7"/>
        <v>-5.2542919002122532E-4</v>
      </c>
      <c r="AQ8" s="17">
        <f t="shared" si="8"/>
        <v>-5.7440754304553254E-3</v>
      </c>
      <c r="AR8" s="17">
        <f t="shared" si="9"/>
        <v>-6.8613626668167192E-4</v>
      </c>
      <c r="AS8" s="17">
        <f t="shared" si="5"/>
        <v>-6.4302116971369973E-3</v>
      </c>
    </row>
    <row r="9" spans="1:50" s="13" customFormat="1" ht="12.75" x14ac:dyDescent="0.2">
      <c r="A9" s="20">
        <v>1</v>
      </c>
      <c r="B9" s="20">
        <v>1</v>
      </c>
      <c r="C9" s="20" t="s">
        <v>36</v>
      </c>
      <c r="D9" s="17">
        <f>Scenario!AN25</f>
        <v>0.98635345122951901</v>
      </c>
      <c r="E9" s="17">
        <f>Scenario!AO25</f>
        <v>2.2352164302827178</v>
      </c>
      <c r="F9" s="17">
        <f>Scenario!AP25</f>
        <v>3.939039027534657</v>
      </c>
      <c r="G9" s="17">
        <f>Scenario!AQ25</f>
        <v>6.9416224085641023</v>
      </c>
      <c r="H9" s="17">
        <f>Scenario!AR25</f>
        <v>15.730698200629787</v>
      </c>
      <c r="I9" s="17">
        <f>IF((D9+'Non travel METs'!C9)&gt;2.5,(D9+'Non travel METs'!C9),0.1)</f>
        <v>5.3613534512295189</v>
      </c>
      <c r="J9" s="17">
        <f>IF((E9+'Non travel METs'!D9)&gt;2.5,(E9+'Non travel METs'!D9),0.1)</f>
        <v>7.2352164302827173</v>
      </c>
      <c r="K9" s="17">
        <f>IF((F9+'Non travel METs'!E9)&gt;2.5,(F9+'Non travel METs'!E9),0.1)</f>
        <v>12.272372360867987</v>
      </c>
      <c r="L9" s="17">
        <f>IF((G9+'Non travel METs'!F9)&gt;2.5,(G9+'Non travel METs'!F9),0.1)</f>
        <v>10.691622408564102</v>
      </c>
      <c r="M9" s="17">
        <f>IF((H9+'Non travel METs'!G9)&gt;2.5,(H9+'Non travel METs'!G9),0.1)</f>
        <v>28.855698200629789</v>
      </c>
      <c r="N9" s="19">
        <f>'Phy activity RRs'!$E$4</f>
        <v>0.96065247560449929</v>
      </c>
      <c r="O9" s="15">
        <f>IF(('user page'!$N$39=0),$N9^(I9^0.25),IF(('user page'!$N$39=1),$N9^(I9^0.5),IF(('user page'!$N$39=2),$N9^(I9^0.375),IF(('user page'!$N$39=4),$N9^(I9),IF(('user page'!$N$39=3),$N9^(LN(1+I9)),"")))))</f>
        <v>0.91124044064705201</v>
      </c>
      <c r="P9" s="15">
        <f>IF(('user page'!$N$39=0),$N9^(J9^0.25),IF(('user page'!$N$39=1),$N9^(J9^0.5),IF(('user page'!$N$39=2),$N9^(J9^0.375),IF(('user page'!$N$39=4),$N9^(J9),IF(('user page'!$N$39=3),$N9^(LN(1+J9)),"")))))</f>
        <v>0.89764832974443087</v>
      </c>
      <c r="Q9" s="15">
        <f>IF(('user page'!$N$39=0),$N9^(K9^0.25),IF(('user page'!$N$39=1),$N9^(K9^0.5),IF(('user page'!$N$39=2),$N9^(K9^0.375),IF(('user page'!$N$39=4),$N9^(K9),IF(('user page'!$N$39=3),$N9^(LN(1+K9)),"")))))</f>
        <v>0.86881313555826634</v>
      </c>
      <c r="R9" s="15">
        <f>IF(('user page'!$N$39=0),$N9^(L9^0.25),IF(('user page'!$N$39=1),$N9^(L9^0.5),IF(('user page'!$N$39=2),$N9^(L9^0.375),IF(('user page'!$N$39=4),$N9^(L9),IF(('user page'!$N$39=3),$N9^(LN(1+L9)),"")))))</f>
        <v>0.8769911833219054</v>
      </c>
      <c r="S9" s="15">
        <f>IF(('user page'!$N$39=0),$N9^(M9^0.25),IF(('user page'!$N$39=1),$N9^(M9^0.5),IF(('user page'!$N$39=2),$N9^(M9^0.375),IF(('user page'!$N$39=4),$N9^(M9),IF(('user page'!$N$39=3),$N9^(LN(1+M9)),"")))))</f>
        <v>0.80602879209470224</v>
      </c>
      <c r="T9" s="18">
        <f t="shared" si="0"/>
        <v>1</v>
      </c>
      <c r="U9" s="18">
        <f t="shared" si="0"/>
        <v>0.98508394678689892</v>
      </c>
      <c r="V9" s="294">
        <f t="shared" si="0"/>
        <v>0.95344005468122228</v>
      </c>
      <c r="W9" s="18">
        <f t="shared" si="0"/>
        <v>0.96241468684069054</v>
      </c>
      <c r="X9" s="18">
        <f t="shared" si="0"/>
        <v>0.88454018954904889</v>
      </c>
      <c r="Y9" s="31">
        <f t="shared" si="6"/>
        <v>2.2211615208113211E-2</v>
      </c>
      <c r="Z9" s="344">
        <f t="shared" si="1"/>
        <v>0.97778838479188679</v>
      </c>
      <c r="AA9" s="17">
        <f>Z9*GBDUS!$O26/($T9+$W9+$X9+U9+V9)</f>
        <v>1.9552538162806714E-2</v>
      </c>
      <c r="AB9" s="16">
        <f t="shared" si="2"/>
        <v>1.9260891463119101E-2</v>
      </c>
      <c r="AC9" s="16">
        <f t="shared" si="2"/>
        <v>1.8642173055103118E-2</v>
      </c>
      <c r="AD9" s="16">
        <f t="shared" si="2"/>
        <v>1.8817649892898275E-2</v>
      </c>
      <c r="AE9" s="16">
        <f t="shared" si="2"/>
        <v>1.7295005812694064E-2</v>
      </c>
      <c r="AF9" s="17">
        <f>Z9*GBDUS!$P26/($T9+$W9+$X9+U9+V9)</f>
        <v>0.13189768361525225</v>
      </c>
      <c r="AG9" s="16">
        <f t="shared" si="3"/>
        <v>0.12993029074776238</v>
      </c>
      <c r="AH9" s="16">
        <f t="shared" si="3"/>
        <v>0.12575653467845266</v>
      </c>
      <c r="AI9" s="16">
        <f t="shared" si="3"/>
        <v>0.12694026787158547</v>
      </c>
      <c r="AJ9" s="16">
        <f t="shared" si="3"/>
        <v>0.11666880206611571</v>
      </c>
      <c r="AK9" s="17">
        <f>Z9*GBDUS!$Q26/($T9+$W9+$X9+U9+V9)</f>
        <v>2.2030998342464195E-2</v>
      </c>
      <c r="AL9" s="16">
        <f t="shared" si="4"/>
        <v>2.1702382798850259E-2</v>
      </c>
      <c r="AM9" s="16">
        <f t="shared" si="4"/>
        <v>2.1005236264320978E-2</v>
      </c>
      <c r="AN9" s="16">
        <f t="shared" si="4"/>
        <v>2.120295637055045E-2</v>
      </c>
      <c r="AO9" s="16">
        <f t="shared" si="4"/>
        <v>1.9487303449798061E-2</v>
      </c>
      <c r="AP9" s="17">
        <f t="shared" si="7"/>
        <v>-2.1255132330287099E-3</v>
      </c>
      <c r="AQ9" s="17">
        <f t="shared" si="8"/>
        <v>-1.4338305829948064E-2</v>
      </c>
      <c r="AR9" s="17">
        <f t="shared" si="9"/>
        <v>-2.3949411643556899E-3</v>
      </c>
      <c r="AS9" s="17">
        <f t="shared" si="5"/>
        <v>-1.6733246994303754E-2</v>
      </c>
    </row>
    <row r="10" spans="1:50" s="13" customFormat="1" ht="12.75" x14ac:dyDescent="0.2">
      <c r="A10" s="20">
        <v>1</v>
      </c>
      <c r="B10" s="20">
        <v>1</v>
      </c>
      <c r="C10" s="20" t="s">
        <v>35</v>
      </c>
      <c r="D10" s="17">
        <f>Scenario!AN26</f>
        <v>0.79357227183824619</v>
      </c>
      <c r="E10" s="17">
        <f>Scenario!AO26</f>
        <v>1.7983470108190212</v>
      </c>
      <c r="F10" s="17">
        <f>Scenario!AP26</f>
        <v>3.1691602498512577</v>
      </c>
      <c r="G10" s="17">
        <f>Scenario!AQ26</f>
        <v>5.5848935877303978</v>
      </c>
      <c r="H10" s="17">
        <f>Scenario!AR26</f>
        <v>12.656158796945045</v>
      </c>
      <c r="I10" s="17">
        <f>IF((D10+'Non travel METs'!C10)&gt;2.5,(D10+'Non travel METs'!C10),0.1)</f>
        <v>0.1</v>
      </c>
      <c r="J10" s="17">
        <f>IF((E10+'Non travel METs'!D10)&gt;2.5,(E10+'Non travel METs'!D10),0.1)</f>
        <v>11.798347010819022</v>
      </c>
      <c r="K10" s="17">
        <f>IF((F10+'Non travel METs'!E10)&gt;2.5,(F10+'Non travel METs'!E10),0.1)</f>
        <v>6.9191602498512577</v>
      </c>
      <c r="L10" s="17">
        <f>IF((G10+'Non travel METs'!F10)&gt;2.5,(G10+'Non travel METs'!F10),0.1)</f>
        <v>10.793226921063727</v>
      </c>
      <c r="M10" s="17">
        <f>IF((H10+'Non travel METs'!G10)&gt;2.5,(H10+'Non travel METs'!G10),0.1)</f>
        <v>12.656158796945045</v>
      </c>
      <c r="N10" s="19">
        <f>'Phy activity RRs'!$E$4</f>
        <v>0.96065247560449929</v>
      </c>
      <c r="O10" s="15">
        <f>IF(('user page'!$N$39=0),$N10^(I10^0.25),IF(('user page'!$N$39=1),$N10^(I10^0.5),IF(('user page'!$N$39=2),$N10^(I10^0.375),IF(('user page'!$N$39=4),$N10^(I10),IF(('user page'!$N$39=3),$N10^(LN(1+I10)),"")))))</f>
        <v>0.98738603830564786</v>
      </c>
      <c r="P10" s="15">
        <f>IF(('user page'!$N$39=0),$N10^(J10^0.25),IF(('user page'!$N$39=1),$N10^(J10^0.5),IF(('user page'!$N$39=2),$N10^(J10^0.375),IF(('user page'!$N$39=4),$N10^(J10),IF(('user page'!$N$39=3),$N10^(LN(1+J10)),"")))))</f>
        <v>0.87119924446840069</v>
      </c>
      <c r="Q10" s="15">
        <f>IF(('user page'!$N$39=0),$N10^(K10^0.25),IF(('user page'!$N$39=1),$N10^(K10^0.5),IF(('user page'!$N$39=2),$N10^(K10^0.375),IF(('user page'!$N$39=4),$N10^(K10),IF(('user page'!$N$39=3),$N10^(LN(1+K10)),"")))))</f>
        <v>0.89979151766001508</v>
      </c>
      <c r="R10" s="15">
        <f>IF(('user page'!$N$39=0),$N10^(L10^0.25),IF(('user page'!$N$39=1),$N10^(L10^0.5),IF(('user page'!$N$39=2),$N10^(L10^0.375),IF(('user page'!$N$39=4),$N10^(L10),IF(('user page'!$N$39=3),$N10^(LN(1+L10)),"")))))</f>
        <v>0.87644567889403291</v>
      </c>
      <c r="S10" s="15">
        <f>IF(('user page'!$N$39=0),$N10^(M10^0.25),IF(('user page'!$N$39=1),$N10^(M10^0.5),IF(('user page'!$N$39=2),$N10^(M10^0.375),IF(('user page'!$N$39=4),$N10^(M10),IF(('user page'!$N$39=3),$N10^(LN(1+M10)),"")))))</f>
        <v>0.86691949778196431</v>
      </c>
      <c r="T10" s="18">
        <f t="shared" si="0"/>
        <v>1</v>
      </c>
      <c r="U10" s="18">
        <f t="shared" si="0"/>
        <v>0.88232890750954562</v>
      </c>
      <c r="V10" s="18">
        <f t="shared" si="0"/>
        <v>0.91128645003331754</v>
      </c>
      <c r="W10" s="18">
        <f t="shared" si="0"/>
        <v>0.88764236569317068</v>
      </c>
      <c r="X10" s="18">
        <f t="shared" si="0"/>
        <v>0.8779944866038375</v>
      </c>
      <c r="Y10" s="31">
        <f t="shared" si="6"/>
        <v>2.2488131945835543E-2</v>
      </c>
      <c r="Z10" s="344">
        <f t="shared" si="1"/>
        <v>0.97751186805416446</v>
      </c>
      <c r="AA10" s="17">
        <f>Z10*GBDUS!$O27/($T10+$W10+$X10+U10+V10)</f>
        <v>2.3420683784764411E-2</v>
      </c>
      <c r="AB10" s="16">
        <f t="shared" si="2"/>
        <v>2.0664746336937712E-2</v>
      </c>
      <c r="AC10" s="16">
        <f t="shared" si="2"/>
        <v>2.1342951783570843E-2</v>
      </c>
      <c r="AD10" s="16">
        <f t="shared" si="2"/>
        <v>2.0789191160859963E-2</v>
      </c>
      <c r="AE10" s="16">
        <f t="shared" si="2"/>
        <v>2.056323123551505E-2</v>
      </c>
      <c r="AF10" s="17">
        <f>Z10*GBDUS!$P27/($T10+$W10+$X10+U10+V10)</f>
        <v>7.4962084453841046E-2</v>
      </c>
      <c r="AG10" s="16">
        <f t="shared" si="3"/>
        <v>6.614121408079586E-2</v>
      </c>
      <c r="AH10" s="16">
        <f t="shared" si="3"/>
        <v>6.8311931829038552E-2</v>
      </c>
      <c r="AI10" s="16">
        <f t="shared" si="3"/>
        <v>6.6539521981898719E-2</v>
      </c>
      <c r="AJ10" s="16">
        <f t="shared" si="3"/>
        <v>6.5816296854803683E-2</v>
      </c>
      <c r="AK10" s="17">
        <f>Z10*GBDUS!$Q27/($T10+$W10+$X10+U10+V10)</f>
        <v>1.9382626565841291E-2</v>
      </c>
      <c r="AL10" s="16">
        <f t="shared" si="4"/>
        <v>1.7101851722504242E-2</v>
      </c>
      <c r="AM10" s="16">
        <f t="shared" si="4"/>
        <v>1.7663124955506981E-2</v>
      </c>
      <c r="AN10" s="16">
        <f t="shared" si="4"/>
        <v>1.7204840498250659E-2</v>
      </c>
      <c r="AO10" s="16">
        <f t="shared" si="4"/>
        <v>1.7017839260709725E-2</v>
      </c>
      <c r="AP10" s="17">
        <f t="shared" si="7"/>
        <v>-2.4565438997666139E-3</v>
      </c>
      <c r="AQ10" s="17">
        <f t="shared" si="8"/>
        <v>-7.862607811590136E-3</v>
      </c>
      <c r="AR10" s="17">
        <f t="shared" si="9"/>
        <v>-2.0330009785088296E-3</v>
      </c>
      <c r="AS10" s="17">
        <f t="shared" si="5"/>
        <v>-9.8956087900989656E-3</v>
      </c>
    </row>
    <row r="11" spans="1:50" s="13" customFormat="1" ht="12.75" x14ac:dyDescent="0.2">
      <c r="A11" s="20">
        <v>1</v>
      </c>
      <c r="B11" s="20">
        <v>2</v>
      </c>
      <c r="C11" s="20" t="s">
        <v>2</v>
      </c>
      <c r="D11" s="17"/>
      <c r="E11" s="17"/>
      <c r="F11" s="17"/>
      <c r="G11" s="17"/>
      <c r="H11" s="17"/>
      <c r="I11" s="17"/>
      <c r="J11" s="17"/>
      <c r="K11" s="17"/>
      <c r="L11" s="17"/>
      <c r="M11" s="17"/>
      <c r="N11" s="19"/>
      <c r="O11" s="15"/>
      <c r="P11" s="15"/>
      <c r="Q11" s="15"/>
      <c r="R11" s="15"/>
      <c r="S11" s="15"/>
      <c r="T11" s="18"/>
      <c r="U11" s="18"/>
      <c r="V11" s="18"/>
      <c r="W11" s="18"/>
      <c r="X11" s="18"/>
      <c r="Y11" s="31"/>
      <c r="Z11" s="344"/>
      <c r="AA11" s="17"/>
      <c r="AB11" s="16"/>
      <c r="AC11" s="16"/>
      <c r="AD11" s="16"/>
      <c r="AE11" s="16"/>
      <c r="AF11" s="17"/>
      <c r="AG11" s="16"/>
      <c r="AH11" s="16"/>
      <c r="AI11" s="16"/>
      <c r="AJ11" s="16"/>
      <c r="AK11" s="17"/>
      <c r="AL11" s="16"/>
      <c r="AM11" s="16"/>
      <c r="AN11" s="16"/>
      <c r="AO11" s="16"/>
      <c r="AP11" s="17"/>
      <c r="AQ11" s="17"/>
      <c r="AR11" s="17"/>
      <c r="AS11" s="17"/>
    </row>
    <row r="12" spans="1:50" s="13" customFormat="1" ht="12.75" x14ac:dyDescent="0.2">
      <c r="A12" s="20">
        <v>1</v>
      </c>
      <c r="B12" s="20">
        <v>2</v>
      </c>
      <c r="C12" s="20" t="s">
        <v>41</v>
      </c>
      <c r="D12" s="17"/>
      <c r="E12" s="17"/>
      <c r="F12" s="17"/>
      <c r="G12" s="17"/>
      <c r="H12" s="17"/>
      <c r="I12" s="17"/>
      <c r="J12" s="17"/>
      <c r="K12" s="17"/>
      <c r="L12" s="17"/>
      <c r="M12" s="17"/>
      <c r="N12" s="19"/>
      <c r="O12" s="15"/>
      <c r="P12" s="15"/>
      <c r="Q12" s="15"/>
      <c r="R12" s="15"/>
      <c r="S12" s="15"/>
      <c r="T12" s="18"/>
      <c r="U12" s="18"/>
      <c r="V12" s="18"/>
      <c r="W12" s="18"/>
      <c r="X12" s="18"/>
      <c r="Y12" s="31"/>
      <c r="Z12" s="344"/>
      <c r="AA12" s="17"/>
      <c r="AB12" s="16"/>
      <c r="AC12" s="16"/>
      <c r="AD12" s="16"/>
      <c r="AE12" s="16"/>
      <c r="AF12" s="17"/>
      <c r="AG12" s="16"/>
      <c r="AH12" s="16"/>
      <c r="AI12" s="16"/>
      <c r="AJ12" s="16"/>
      <c r="AK12" s="17"/>
      <c r="AL12" s="16"/>
      <c r="AM12" s="16"/>
      <c r="AN12" s="16"/>
      <c r="AO12" s="16"/>
      <c r="AP12" s="17"/>
      <c r="AQ12" s="17"/>
      <c r="AR12" s="17"/>
      <c r="AS12" s="17"/>
    </row>
    <row r="13" spans="1:50" s="13" customFormat="1" ht="12.75" x14ac:dyDescent="0.2">
      <c r="A13" s="20">
        <v>1</v>
      </c>
      <c r="B13" s="20">
        <v>2</v>
      </c>
      <c r="C13" s="20" t="s">
        <v>40</v>
      </c>
      <c r="D13" s="17">
        <f>Scenario!AN29</f>
        <v>2.5519209672247203</v>
      </c>
      <c r="E13" s="17">
        <f>Scenario!AO29</f>
        <v>5.783013855340938</v>
      </c>
      <c r="F13" s="17">
        <f>Scenario!AP29</f>
        <v>10.191190868295642</v>
      </c>
      <c r="G13" s="17">
        <f>Scenario!AQ29</f>
        <v>17.959557751726912</v>
      </c>
      <c r="H13" s="17">
        <f>Scenario!AR29</f>
        <v>40.698898064614944</v>
      </c>
      <c r="I13" s="17">
        <f>IF((D13+'Non travel METs'!C13)&gt;2.5,(D13+'Non travel METs'!C13),0.1)</f>
        <v>11.418587633891391</v>
      </c>
      <c r="J13" s="17">
        <f>IF((E13+'Non travel METs'!D13)&gt;2.5,(E13+'Non travel METs'!D13),0.1)</f>
        <v>30.383013855340941</v>
      </c>
      <c r="K13" s="17">
        <f>IF((F13+'Non travel METs'!E13)&gt;2.5,(F13+'Non travel METs'!E13),0.1)</f>
        <v>40.041190868295644</v>
      </c>
      <c r="L13" s="17">
        <f>IF((G13+'Non travel METs'!F13)&gt;2.5,(G13+'Non travel METs'!F13),0.1)</f>
        <v>48.359557751726911</v>
      </c>
      <c r="M13" s="17">
        <f>IF((H13+'Non travel METs'!G13)&gt;2.5,(H13+'Non travel METs'!G13),0.1)</f>
        <v>81.698898064614951</v>
      </c>
      <c r="N13" s="19">
        <f>'Phy activity RRs'!$F$4</f>
        <v>0.97288384048792509</v>
      </c>
      <c r="O13" s="15">
        <f>IF(('user page'!$N$39=0),$N13^(I13^0.25),IF(('user page'!$N$39=1),$N13^(I13^0.5),IF(('user page'!$N$39=2),$N13^(I13^0.375),IF(('user page'!$N$39=4),$N13^(I13),IF(('user page'!$N$39=3),$N13^(LN(1+I13)),"")))))</f>
        <v>0.91128959673629018</v>
      </c>
      <c r="P13" s="15">
        <f>IF(('user page'!$N$39=0),$N13^(J13^0.25),IF(('user page'!$N$39=1),$N13^(J13^0.5),IF(('user page'!$N$39=2),$N13^(J13^0.375),IF(('user page'!$N$39=4),$N13^(J13),IF(('user page'!$N$39=3),$N13^(LN(1+J13)),"")))))</f>
        <v>0.85939185654395633</v>
      </c>
      <c r="Q13" s="15">
        <f>IF(('user page'!$N$39=0),$N13^(K13^0.25),IF(('user page'!$N$39=1),$N13^(K13^0.5),IF(('user page'!$N$39=2),$N13^(K13^0.375),IF(('user page'!$N$39=4),$N13^(K13),IF(('user page'!$N$39=3),$N13^(LN(1+K13)),"")))))</f>
        <v>0.84033451455857178</v>
      </c>
      <c r="R13" s="15">
        <f>IF(('user page'!$N$39=0),$N13^(L13^0.25),IF(('user page'!$N$39=1),$N13^(L13^0.5),IF(('user page'!$N$39=2),$N13^(L13^0.375),IF(('user page'!$N$39=4),$N13^(L13),IF(('user page'!$N$39=3),$N13^(LN(1+L13)),"")))))</f>
        <v>0.82599018329705376</v>
      </c>
      <c r="S13" s="15">
        <f>IF(('user page'!$N$39=0),$N13^(M13^0.25),IF(('user page'!$N$39=1),$N13^(M13^0.5),IF(('user page'!$N$39=2),$N13^(M13^0.375),IF(('user page'!$N$39=4),$N13^(M13),IF(('user page'!$N$39=3),$N13^(LN(1+M13)),"")))))</f>
        <v>0.77998516103479443</v>
      </c>
      <c r="T13" s="18">
        <f t="shared" ref="T13:X18" si="10">O13/$O13</f>
        <v>1</v>
      </c>
      <c r="U13" s="18">
        <f t="shared" si="10"/>
        <v>0.94305022203896394</v>
      </c>
      <c r="V13" s="18">
        <f t="shared" si="10"/>
        <v>0.92213772391143467</v>
      </c>
      <c r="W13" s="18">
        <f t="shared" si="10"/>
        <v>0.90639702928165822</v>
      </c>
      <c r="X13" s="18">
        <f t="shared" si="10"/>
        <v>0.85591360181027865</v>
      </c>
      <c r="Y13" s="31">
        <f t="shared" si="6"/>
        <v>2.0767792847103284E-2</v>
      </c>
      <c r="Z13" s="344">
        <f t="shared" ref="Z13:Z18" si="11">SUM(O13:S13)/SUM(O30:S30)</f>
        <v>0.97923220715289672</v>
      </c>
      <c r="AA13" s="17">
        <f>Z13*GBDUS!$O30/($T13+$W13+$X13+U13+V13)</f>
        <v>0</v>
      </c>
      <c r="AB13" s="16">
        <f t="shared" ref="AB13:AE18" si="12">$AA13*U13</f>
        <v>0</v>
      </c>
      <c r="AC13" s="16">
        <f t="shared" si="12"/>
        <v>0</v>
      </c>
      <c r="AD13" s="16">
        <f t="shared" si="12"/>
        <v>0</v>
      </c>
      <c r="AE13" s="16">
        <f t="shared" si="12"/>
        <v>0</v>
      </c>
      <c r="AF13" s="17">
        <f>Z13*GBDUS!$P30/($T13+$W13+$X13+U13+V13)</f>
        <v>0</v>
      </c>
      <c r="AG13" s="16">
        <f t="shared" ref="AG13:AJ18" si="13">$AF13*U13</f>
        <v>0</v>
      </c>
      <c r="AH13" s="16">
        <f t="shared" si="13"/>
        <v>0</v>
      </c>
      <c r="AI13" s="16">
        <f t="shared" si="13"/>
        <v>0</v>
      </c>
      <c r="AJ13" s="16">
        <f t="shared" si="13"/>
        <v>0</v>
      </c>
      <c r="AK13" s="17">
        <f>Z13*GBDUS!$Q30/($T13+$W13+$X13+U13+V13)</f>
        <v>4.0612775971455165E-5</v>
      </c>
      <c r="AL13" s="16">
        <f t="shared" ref="AL13:AO18" si="14">$AK13*U13</f>
        <v>3.8299887397499491E-5</v>
      </c>
      <c r="AM13" s="16">
        <f t="shared" si="14"/>
        <v>3.7450572796042669E-5</v>
      </c>
      <c r="AN13" s="16">
        <f t="shared" si="14"/>
        <v>3.681129949140847E-5</v>
      </c>
      <c r="AO13" s="16">
        <f t="shared" si="14"/>
        <v>3.4761027361242132E-5</v>
      </c>
      <c r="AP13" s="17">
        <f t="shared" si="7"/>
        <v>0</v>
      </c>
      <c r="AQ13" s="17">
        <f t="shared" si="8"/>
        <v>0</v>
      </c>
      <c r="AR13" s="17">
        <f t="shared" si="9"/>
        <v>-3.9857827518787796E-6</v>
      </c>
      <c r="AS13" s="17">
        <f t="shared" ref="AS13:AS18" si="15">AQ13+AR13</f>
        <v>-3.9857827518787796E-6</v>
      </c>
    </row>
    <row r="14" spans="1:50" s="13" customFormat="1" ht="12.75" x14ac:dyDescent="0.2">
      <c r="A14" s="20">
        <v>1</v>
      </c>
      <c r="B14" s="20">
        <v>2</v>
      </c>
      <c r="C14" s="20" t="s">
        <v>39</v>
      </c>
      <c r="D14" s="17">
        <f>Scenario!AN30</f>
        <v>1.5370956980369832</v>
      </c>
      <c r="E14" s="17">
        <f>Scenario!AO30</f>
        <v>3.4832762585119914</v>
      </c>
      <c r="F14" s="17">
        <f>Scenario!AP30</f>
        <v>6.1384485815667444</v>
      </c>
      <c r="G14" s="17">
        <f>Scenario!AQ30</f>
        <v>10.817560305892991</v>
      </c>
      <c r="H14" s="17">
        <f>Scenario!AR30</f>
        <v>24.514121688493699</v>
      </c>
      <c r="I14" s="17">
        <f>IF((D14+'Non travel METs'!C14)&gt;2.5,(D14+'Non travel METs'!C14),0.1)</f>
        <v>42.537095698036985</v>
      </c>
      <c r="J14" s="17">
        <f>IF((E14+'Non travel METs'!D14)&gt;2.5,(E14+'Non travel METs'!D14),0.1)</f>
        <v>39.358276258511992</v>
      </c>
      <c r="K14" s="17">
        <f>IF((F14+'Non travel METs'!E14)&gt;2.5,(F14+'Non travel METs'!E14),0.1)</f>
        <v>44.988448581566743</v>
      </c>
      <c r="L14" s="17">
        <f>IF((G14+'Non travel METs'!F14)&gt;2.5,(G14+'Non travel METs'!F14),0.1)</f>
        <v>51.817560305892989</v>
      </c>
      <c r="M14" s="17">
        <f>IF((H14+'Non travel METs'!G14)&gt;2.5,(H14+'Non travel METs'!G14),0.1)</f>
        <v>66.780788355160396</v>
      </c>
      <c r="N14" s="19">
        <f>'Phy activity RRs'!$F$4</f>
        <v>0.97288384048792509</v>
      </c>
      <c r="O14" s="15">
        <f>IF(('user page'!$N$39=0),$N14^(I14^0.25),IF(('user page'!$N$39=1),$N14^(I14^0.5),IF(('user page'!$N$39=2),$N14^(I14^0.375),IF(('user page'!$N$39=4),$N14^(I14),IF(('user page'!$N$39=3),$N14^(LN(1+I14)),"")))))</f>
        <v>0.83585937138701605</v>
      </c>
      <c r="P14" s="15">
        <f>IF(('user page'!$N$39=0),$N14^(J14^0.25),IF(('user page'!$N$39=1),$N14^(J14^0.5),IF(('user page'!$N$39=2),$N14^(J14^0.375),IF(('user page'!$N$39=4),$N14^(J14),IF(('user page'!$N$39=3),$N14^(LN(1+J14)),"")))))</f>
        <v>0.84158738564695945</v>
      </c>
      <c r="Q14" s="15">
        <f>IF(('user page'!$N$39=0),$N14^(K14^0.25),IF(('user page'!$N$39=1),$N14^(K14^0.5),IF(('user page'!$N$39=2),$N14^(K14^0.375),IF(('user page'!$N$39=4),$N14^(K14),IF(('user page'!$N$39=3),$N14^(LN(1+K14)),"")))))</f>
        <v>0.83161241704521949</v>
      </c>
      <c r="R14" s="15">
        <f>IF(('user page'!$N$39=0),$N14^(L14^0.25),IF(('user page'!$N$39=1),$N14^(L14^0.5),IF(('user page'!$N$39=2),$N14^(L14^0.375),IF(('user page'!$N$39=4),$N14^(L14),IF(('user page'!$N$39=3),$N14^(LN(1+L14)),"")))))</f>
        <v>0.82046060648058128</v>
      </c>
      <c r="S14" s="15">
        <f>IF(('user page'!$N$39=0),$N14^(M14^0.25),IF(('user page'!$N$39=1),$N14^(M14^0.5),IF(('user page'!$N$39=2),$N14^(M14^0.375),IF(('user page'!$N$39=4),$N14^(M14),IF(('user page'!$N$39=3),$N14^(LN(1+M14)),"")))))</f>
        <v>0.7987943609860898</v>
      </c>
      <c r="T14" s="18">
        <f t="shared" si="10"/>
        <v>1</v>
      </c>
      <c r="U14" s="18">
        <f t="shared" si="10"/>
        <v>1.0068528444568832</v>
      </c>
      <c r="V14" s="18">
        <f t="shared" si="10"/>
        <v>0.99491905637816891</v>
      </c>
      <c r="W14" s="18">
        <f t="shared" si="10"/>
        <v>0.98157732576368417</v>
      </c>
      <c r="X14" s="18">
        <f t="shared" si="10"/>
        <v>0.95565640385245554</v>
      </c>
      <c r="Y14" s="31">
        <f t="shared" si="6"/>
        <v>1.2219462987571372E-2</v>
      </c>
      <c r="Z14" s="344">
        <f t="shared" si="11"/>
        <v>0.98778053701242863</v>
      </c>
      <c r="AA14" s="17">
        <f>Z14*GBDUS!$O31/($T14+$W14+$X14+U14+V14)</f>
        <v>2.6444497893664189E-4</v>
      </c>
      <c r="AB14" s="16">
        <f t="shared" si="12"/>
        <v>2.6625717924469845E-4</v>
      </c>
      <c r="AC14" s="16">
        <f t="shared" si="12"/>
        <v>2.6310134890758849E-4</v>
      </c>
      <c r="AD14" s="16">
        <f t="shared" si="12"/>
        <v>2.5957319523626273E-4</v>
      </c>
      <c r="AE14" s="16">
        <f t="shared" si="12"/>
        <v>2.5271853758742952E-4</v>
      </c>
      <c r="AF14" s="17">
        <f>Z14*GBDUS!$P31/($T14+$W14+$X14+U14+V14)</f>
        <v>6.4536091603963871E-3</v>
      </c>
      <c r="AG14" s="16">
        <f t="shared" si="13"/>
        <v>6.4978347401580998E-3</v>
      </c>
      <c r="AH14" s="16">
        <f t="shared" si="13"/>
        <v>6.4208187360950807E-3</v>
      </c>
      <c r="AI14" s="16">
        <f t="shared" si="13"/>
        <v>6.334716421185901E-3</v>
      </c>
      <c r="AJ14" s="16">
        <f t="shared" si="13"/>
        <v>6.1674329220936762E-3</v>
      </c>
      <c r="AK14" s="17">
        <f>Z14*GBDUS!$Q31/($T14+$W14+$X14+U14+V14)</f>
        <v>3.9748926388547776E-4</v>
      </c>
      <c r="AL14" s="16">
        <f t="shared" si="14"/>
        <v>4.0021319598416592E-4</v>
      </c>
      <c r="AM14" s="16">
        <f t="shared" si="14"/>
        <v>3.9546964334539249E-4</v>
      </c>
      <c r="AN14" s="16">
        <f t="shared" si="14"/>
        <v>3.9016644866448263E-4</v>
      </c>
      <c r="AO14" s="16">
        <f t="shared" si="14"/>
        <v>3.7986316049475543E-4</v>
      </c>
      <c r="AP14" s="17">
        <f t="shared" si="7"/>
        <v>-1.615721493220169E-5</v>
      </c>
      <c r="AQ14" s="17">
        <f t="shared" si="8"/>
        <v>-3.9430641002237681E-4</v>
      </c>
      <c r="AR14" s="17">
        <f t="shared" si="9"/>
        <v>-2.4286032942145964E-5</v>
      </c>
      <c r="AS14" s="17">
        <f t="shared" si="15"/>
        <v>-4.1859244296452278E-4</v>
      </c>
    </row>
    <row r="15" spans="1:50" s="13" customFormat="1" ht="12.75" x14ac:dyDescent="0.2">
      <c r="A15" s="20">
        <v>1</v>
      </c>
      <c r="B15" s="20">
        <v>2</v>
      </c>
      <c r="C15" s="20" t="s">
        <v>38</v>
      </c>
      <c r="D15" s="17">
        <f>Scenario!AN31</f>
        <v>1.2975056378007672</v>
      </c>
      <c r="E15" s="17">
        <f>Scenario!AO31</f>
        <v>2.9403312944072315</v>
      </c>
      <c r="F15" s="17">
        <f>Scenario!AP31</f>
        <v>5.1816368051153949</v>
      </c>
      <c r="G15" s="17">
        <f>Scenario!AQ31</f>
        <v>9.1314063932851113</v>
      </c>
      <c r="H15" s="17">
        <f>Scenario!AR31</f>
        <v>20.693058432975548</v>
      </c>
      <c r="I15" s="17">
        <f>IF((D15+'Non travel METs'!C15)&gt;2.5,(D15+'Non travel METs'!C15),0.1)</f>
        <v>42.947505637800766</v>
      </c>
      <c r="J15" s="17">
        <f>IF((E15+'Non travel METs'!D15)&gt;2.5,(E15+'Non travel METs'!D15),0.1)</f>
        <v>45.990331294407227</v>
      </c>
      <c r="K15" s="17">
        <f>IF((F15+'Non travel METs'!E15)&gt;2.5,(F15+'Non travel METs'!E15),0.1)</f>
        <v>51.248303471782094</v>
      </c>
      <c r="L15" s="17">
        <f>IF((G15+'Non travel METs'!F15)&gt;2.5,(G15+'Non travel METs'!F15),0.1)</f>
        <v>50.131406393285111</v>
      </c>
      <c r="M15" s="17">
        <f>IF((H15+'Non travel METs'!G15)&gt;2.5,(H15+'Non travel METs'!G15),0.1)</f>
        <v>61.693058432975548</v>
      </c>
      <c r="N15" s="19">
        <f>'Phy activity RRs'!$F$4</f>
        <v>0.97288384048792509</v>
      </c>
      <c r="O15" s="15">
        <f>IF(('user page'!$N$39=0),$N15^(I15^0.25),IF(('user page'!$N$39=1),$N15^(I15^0.5),IF(('user page'!$N$39=2),$N15^(I15^0.375),IF(('user page'!$N$39=4),$N15^(I15),IF(('user page'!$N$39=3),$N15^(LN(1+I15)),"")))))</f>
        <v>0.83513844644953505</v>
      </c>
      <c r="P15" s="15">
        <f>IF(('user page'!$N$39=0),$N15^(J15^0.25),IF(('user page'!$N$39=1),$N15^(J15^0.5),IF(('user page'!$N$39=2),$N15^(J15^0.375),IF(('user page'!$N$39=4),$N15^(J15),IF(('user page'!$N$39=3),$N15^(LN(1+J15)),"")))))</f>
        <v>0.82991612711251239</v>
      </c>
      <c r="Q15" s="15">
        <f>IF(('user page'!$N$39=0),$N15^(K15^0.25),IF(('user page'!$N$39=1),$N15^(K15^0.5),IF(('user page'!$N$39=2),$N15^(K15^0.375),IF(('user page'!$N$39=4),$N15^(K15),IF(('user page'!$N$39=3),$N15^(LN(1+K15)),"")))))</f>
        <v>0.82135538580523926</v>
      </c>
      <c r="R15" s="15">
        <f>IF(('user page'!$N$39=0),$N15^(L15^0.25),IF(('user page'!$N$39=1),$N15^(L15^0.5),IF(('user page'!$N$39=2),$N15^(L15^0.375),IF(('user page'!$N$39=4),$N15^(L15),IF(('user page'!$N$39=3),$N15^(LN(1+L15)),"")))))</f>
        <v>0.82312840185303582</v>
      </c>
      <c r="S15" s="15">
        <f>IF(('user page'!$N$39=0),$N15^(M15^0.25),IF(('user page'!$N$39=1),$N15^(M15^0.5),IF(('user page'!$N$39=2),$N15^(M15^0.375),IF(('user page'!$N$39=4),$N15^(M15),IF(('user page'!$N$39=3),$N15^(LN(1+M15)),"")))))</f>
        <v>0.80579604200414623</v>
      </c>
      <c r="T15" s="18">
        <f t="shared" si="10"/>
        <v>1</v>
      </c>
      <c r="U15" s="18">
        <f t="shared" si="10"/>
        <v>0.99374676215755053</v>
      </c>
      <c r="V15" s="18">
        <f t="shared" si="10"/>
        <v>0.98349607696437347</v>
      </c>
      <c r="W15" s="18">
        <f t="shared" si="10"/>
        <v>0.98561909747113408</v>
      </c>
      <c r="X15" s="18">
        <f t="shared" si="10"/>
        <v>0.96486522136523156</v>
      </c>
      <c r="Y15" s="31">
        <f t="shared" si="6"/>
        <v>1.0393592091575199E-2</v>
      </c>
      <c r="Z15" s="344">
        <f t="shared" si="11"/>
        <v>0.9896064079084248</v>
      </c>
      <c r="AA15" s="17">
        <f>Z15*GBDUS!$O32/($T15+$W15+$X15+U15+V15)</f>
        <v>2.1747847705825001E-3</v>
      </c>
      <c r="AB15" s="16">
        <f t="shared" si="12"/>
        <v>2.1611853241559108E-3</v>
      </c>
      <c r="AC15" s="16">
        <f t="shared" si="12"/>
        <v>2.1388922901097538E-3</v>
      </c>
      <c r="AD15" s="16">
        <f t="shared" si="12"/>
        <v>2.143509402775491E-3</v>
      </c>
      <c r="AE15" s="16">
        <f t="shared" si="12"/>
        <v>2.0983741890898181E-3</v>
      </c>
      <c r="AF15" s="17">
        <f>Z15*GBDUS!$P32/($T15+$W15+$X15+U15+V15)</f>
        <v>3.9041779887588918E-2</v>
      </c>
      <c r="AG15" s="16">
        <f t="shared" si="13"/>
        <v>3.8797642352159267E-2</v>
      </c>
      <c r="AH15" s="16">
        <f t="shared" si="13"/>
        <v>3.8397437357150281E-2</v>
      </c>
      <c r="AI15" s="16">
        <f t="shared" si="13"/>
        <v>3.8480323856472064E-2</v>
      </c>
      <c r="AJ15" s="16">
        <f t="shared" si="13"/>
        <v>3.7670055593731128E-2</v>
      </c>
      <c r="AK15" s="17">
        <f>Z15*GBDUS!$Q32/($T15+$W15+$X15+U15+V15)</f>
        <v>3.7338317251667647E-3</v>
      </c>
      <c r="AL15" s="16">
        <f t="shared" si="14"/>
        <v>3.7104831873256135E-3</v>
      </c>
      <c r="AM15" s="16">
        <f t="shared" si="14"/>
        <v>3.6722088537466317E-3</v>
      </c>
      <c r="AN15" s="16">
        <f t="shared" si="14"/>
        <v>3.6801358550679541E-3</v>
      </c>
      <c r="AO15" s="16">
        <f t="shared" si="14"/>
        <v>3.6026443740435547E-3</v>
      </c>
      <c r="AP15" s="17">
        <f t="shared" si="7"/>
        <v>-1.1255534052816802E-4</v>
      </c>
      <c r="AQ15" s="17">
        <f t="shared" si="8"/>
        <v>-2.0205957341223671E-3</v>
      </c>
      <c r="AR15" s="17">
        <f t="shared" si="9"/>
        <v>-1.9324335308291713E-4</v>
      </c>
      <c r="AS15" s="17">
        <f t="shared" si="15"/>
        <v>-2.2138390872052842E-3</v>
      </c>
    </row>
    <row r="16" spans="1:50" s="13" customFormat="1" ht="12.75" x14ac:dyDescent="0.2">
      <c r="A16" s="20">
        <v>1</v>
      </c>
      <c r="B16" s="20">
        <v>2</v>
      </c>
      <c r="C16" s="20" t="s">
        <v>37</v>
      </c>
      <c r="D16" s="17">
        <f>Scenario!AN32</f>
        <v>0.85341118968805019</v>
      </c>
      <c r="E16" s="17">
        <f>Scenario!AO32</f>
        <v>1.9339504622810642</v>
      </c>
      <c r="F16" s="17">
        <f>Scenario!AP32</f>
        <v>3.4081291838393759</v>
      </c>
      <c r="G16" s="17">
        <f>Scenario!AQ32</f>
        <v>6.0060196785172764</v>
      </c>
      <c r="H16" s="17">
        <f>Scenario!AR32</f>
        <v>13.610490082727217</v>
      </c>
      <c r="I16" s="17">
        <f>IF((D16+'Non travel METs'!C16)&gt;2.5,(D16+'Non travel METs'!C16),0.1)</f>
        <v>33.65341118968805</v>
      </c>
      <c r="J16" s="17">
        <f>IF((E16+'Non travel METs'!D16)&gt;2.5,(E16+'Non travel METs'!D16),0.1)</f>
        <v>19.933950462281064</v>
      </c>
      <c r="K16" s="17">
        <f>IF((F16+'Non travel METs'!E16)&gt;2.5,(F16+'Non travel METs'!E16),0.1)</f>
        <v>35.158129183839378</v>
      </c>
      <c r="L16" s="17">
        <f>IF((G16+'Non travel METs'!F16)&gt;2.5,(G16+'Non travel METs'!F16),0.1)</f>
        <v>26.506019678517276</v>
      </c>
      <c r="M16" s="17">
        <f>IF((H16+'Non travel METs'!G16)&gt;2.5,(H16+'Non travel METs'!G16),0.1)</f>
        <v>18.110490082727217</v>
      </c>
      <c r="N16" s="19">
        <f>'Phy activity RRs'!$F$4</f>
        <v>0.97288384048792509</v>
      </c>
      <c r="O16" s="15">
        <f>IF(('user page'!$N$39=0),$N16^(I16^0.25),IF(('user page'!$N$39=1),$N16^(I16^0.5),IF(('user page'!$N$39=2),$N16^(I16^0.375),IF(('user page'!$N$39=4),$N16^(I16),IF(('user page'!$N$39=3),$N16^(LN(1+I16)),"")))))</f>
        <v>0.85258942071138344</v>
      </c>
      <c r="P16" s="15">
        <f>IF(('user page'!$N$39=0),$N16^(J16^0.25),IF(('user page'!$N$39=1),$N16^(J16^0.5),IF(('user page'!$N$39=2),$N16^(J16^0.375),IF(('user page'!$N$39=4),$N16^(J16),IF(('user page'!$N$39=3),$N16^(LN(1+J16)),"")))))</f>
        <v>0.88449495633325836</v>
      </c>
      <c r="Q16" s="15">
        <f>IF(('user page'!$N$39=0),$N16^(K16^0.25),IF(('user page'!$N$39=1),$N16^(K16^0.5),IF(('user page'!$N$39=2),$N16^(K16^0.375),IF(('user page'!$N$39=4),$N16^(K16),IF(('user page'!$N$39=3),$N16^(LN(1+K16)),"")))))</f>
        <v>0.8495882279687067</v>
      </c>
      <c r="R16" s="15">
        <f>IF(('user page'!$N$39=0),$N16^(L16^0.25),IF(('user page'!$N$39=1),$N16^(L16^0.5),IF(('user page'!$N$39=2),$N16^(L16^0.375),IF(('user page'!$N$39=4),$N16^(L16),IF(('user page'!$N$39=3),$N16^(LN(1+L16)),"")))))</f>
        <v>0.86802693886636606</v>
      </c>
      <c r="S16" s="15">
        <f>IF(('user page'!$N$39=0),$N16^(M16^0.25),IF(('user page'!$N$39=1),$N16^(M16^0.5),IF(('user page'!$N$39=2),$N16^(M16^0.375),IF(('user page'!$N$39=4),$N16^(M16),IF(('user page'!$N$39=3),$N16^(LN(1+M16)),"")))))</f>
        <v>0.88959400035836977</v>
      </c>
      <c r="T16" s="18">
        <f t="shared" si="10"/>
        <v>1</v>
      </c>
      <c r="U16" s="18">
        <f t="shared" si="10"/>
        <v>1.0374219229641082</v>
      </c>
      <c r="V16" s="18">
        <f t="shared" si="10"/>
        <v>0.99647990853537383</v>
      </c>
      <c r="W16" s="18">
        <f t="shared" si="10"/>
        <v>1.0181066264487564</v>
      </c>
      <c r="X16" s="18">
        <f t="shared" si="10"/>
        <v>1.0434025789530796</v>
      </c>
      <c r="Y16" s="31">
        <f t="shared" si="6"/>
        <v>1.192029734377209E-2</v>
      </c>
      <c r="Z16" s="344">
        <f t="shared" si="11"/>
        <v>0.98807970265622791</v>
      </c>
      <c r="AA16" s="17">
        <f>Z16*GBDUS!$O33/($T16+$W16+$X16+U16+V16)</f>
        <v>6.6225234738498699E-3</v>
      </c>
      <c r="AB16" s="16">
        <f t="shared" si="12"/>
        <v>6.8703510371162782E-3</v>
      </c>
      <c r="AC16" s="16">
        <f t="shared" si="12"/>
        <v>6.5992115854952849E-3</v>
      </c>
      <c r="AD16" s="16">
        <f t="shared" si="12"/>
        <v>6.7424350325389903E-3</v>
      </c>
      <c r="AE16" s="16">
        <f t="shared" si="12"/>
        <v>6.9099580717922621E-3</v>
      </c>
      <c r="AF16" s="17">
        <f>Z16*GBDUS!$P33/($T16+$W16+$X16+U16+V16)</f>
        <v>8.2225377669377445E-2</v>
      </c>
      <c r="AG16" s="16">
        <f t="shared" si="13"/>
        <v>8.5302409418215583E-2</v>
      </c>
      <c r="AH16" s="16">
        <f t="shared" si="13"/>
        <v>8.1935936819267807E-2</v>
      </c>
      <c r="AI16" s="16">
        <f t="shared" si="13"/>
        <v>8.3714201867444771E-2</v>
      </c>
      <c r="AJ16" s="16">
        <f t="shared" si="13"/>
        <v>8.5794171115619391E-2</v>
      </c>
      <c r="AK16" s="17">
        <f>Z16*GBDUS!$Q33/($T16+$W16+$X16+U16+V16)</f>
        <v>9.2794037270394827E-3</v>
      </c>
      <c r="AL16" s="16">
        <f t="shared" si="14"/>
        <v>9.6266568584656119E-3</v>
      </c>
      <c r="AM16" s="16">
        <f t="shared" si="14"/>
        <v>9.2467393771831115E-3</v>
      </c>
      <c r="AN16" s="16">
        <f t="shared" si="14"/>
        <v>9.4474224239921838E-3</v>
      </c>
      <c r="AO16" s="16">
        <f t="shared" si="14"/>
        <v>9.6821537799398148E-3</v>
      </c>
      <c r="AP16" s="17">
        <f t="shared" si="7"/>
        <v>-4.0709694238514824E-4</v>
      </c>
      <c r="AQ16" s="17">
        <f t="shared" si="8"/>
        <v>-5.0545233954767121E-3</v>
      </c>
      <c r="AR16" s="17">
        <f t="shared" si="9"/>
        <v>-5.7041955371719966E-4</v>
      </c>
      <c r="AS16" s="17">
        <f t="shared" si="15"/>
        <v>-5.6249429491939118E-3</v>
      </c>
    </row>
    <row r="17" spans="1:45" s="13" customFormat="1" ht="12.75" x14ac:dyDescent="0.2">
      <c r="A17" s="20">
        <v>1</v>
      </c>
      <c r="B17" s="20">
        <v>2</v>
      </c>
      <c r="C17" s="20" t="s">
        <v>36</v>
      </c>
      <c r="D17" s="17">
        <f>Scenario!AN33</f>
        <v>0.77504695374177146</v>
      </c>
      <c r="E17" s="17">
        <f>Scenario!AO33</f>
        <v>1.7563660197920845</v>
      </c>
      <c r="F17" s="17">
        <f>Scenario!AP33</f>
        <v>3.0951787061272027</v>
      </c>
      <c r="G17" s="17">
        <f>Scenario!AQ33</f>
        <v>5.4545186566507038</v>
      </c>
      <c r="H17" s="17">
        <f>Scenario!AR33</f>
        <v>12.360710762892898</v>
      </c>
      <c r="I17" s="17">
        <f>IF((D17+'Non travel METs'!C17)&gt;2.5,(D17+'Non travel METs'!C17),0.1)</f>
        <v>6.6083802870751018</v>
      </c>
      <c r="J17" s="17">
        <f>IF((E17+'Non travel METs'!D17)&gt;2.5,(E17+'Non travel METs'!D17),0.1)</f>
        <v>6.7563660197920843</v>
      </c>
      <c r="K17" s="17">
        <f>IF((F17+'Non travel METs'!E17)&gt;2.5,(F17+'Non travel METs'!E17),0.1)</f>
        <v>5.5951787061272027</v>
      </c>
      <c r="L17" s="17">
        <f>IF((G17+'Non travel METs'!F17)&gt;2.5,(G17+'Non travel METs'!F17),0.1)</f>
        <v>9.2045186566507038</v>
      </c>
      <c r="M17" s="17">
        <f>IF((H17+'Non travel METs'!G17)&gt;2.5,(H17+'Non travel METs'!G17),0.1)</f>
        <v>12.360710762892898</v>
      </c>
      <c r="N17" s="19">
        <f>'Phy activity RRs'!$F$4</f>
        <v>0.97288384048792509</v>
      </c>
      <c r="O17" s="15">
        <f>IF(('user page'!$N$39=0),$N17^(I17^0.25),IF(('user page'!$N$39=1),$N17^(I17^0.5),IF(('user page'!$N$39=2),$N17^(I17^0.375),IF(('user page'!$N$39=4),$N17^(I17),IF(('user page'!$N$39=3),$N17^(LN(1+I17)),"")))))</f>
        <v>0.93176986626903113</v>
      </c>
      <c r="P17" s="15">
        <f>IF(('user page'!$N$39=0),$N17^(J17^0.25),IF(('user page'!$N$39=1),$N17^(J17^0.5),IF(('user page'!$N$39=2),$N17^(J17^0.375),IF(('user page'!$N$39=4),$N17^(J17),IF(('user page'!$N$39=3),$N17^(LN(1+J17)),"")))))</f>
        <v>0.93103695237199424</v>
      </c>
      <c r="Q17" s="15">
        <f>IF(('user page'!$N$39=0),$N17^(K17^0.25),IF(('user page'!$N$39=1),$N17^(K17^0.5),IF(('user page'!$N$39=2),$N17^(K17^0.375),IF(('user page'!$N$39=4),$N17^(K17),IF(('user page'!$N$39=3),$N17^(LN(1+K17)),"")))))</f>
        <v>0.93704254559262279</v>
      </c>
      <c r="R17" s="15">
        <f>IF(('user page'!$N$39=0),$N17^(L17^0.25),IF(('user page'!$N$39=1),$N17^(L17^0.5),IF(('user page'!$N$39=2),$N17^(L17^0.375),IF(('user page'!$N$39=4),$N17^(L17),IF(('user page'!$N$39=3),$N17^(LN(1+L17)),"")))))</f>
        <v>0.91997981188518052</v>
      </c>
      <c r="S17" s="15">
        <f>IF(('user page'!$N$39=0),$N17^(M17^0.25),IF(('user page'!$N$39=1),$N17^(M17^0.5),IF(('user page'!$N$39=2),$N17^(M17^0.375),IF(('user page'!$N$39=4),$N17^(M17),IF(('user page'!$N$39=3),$N17^(LN(1+M17)),"")))))</f>
        <v>0.90787292372473061</v>
      </c>
      <c r="T17" s="18">
        <f t="shared" si="10"/>
        <v>1</v>
      </c>
      <c r="U17" s="18">
        <f t="shared" si="10"/>
        <v>0.99921341747187897</v>
      </c>
      <c r="V17" s="18">
        <f t="shared" si="10"/>
        <v>1.0056587785401392</v>
      </c>
      <c r="W17" s="18">
        <f t="shared" si="10"/>
        <v>0.98734660262081664</v>
      </c>
      <c r="X17" s="18">
        <f t="shared" si="10"/>
        <v>0.9743531708747053</v>
      </c>
      <c r="Y17" s="31">
        <f t="shared" si="6"/>
        <v>1.7041391546889439E-2</v>
      </c>
      <c r="Z17" s="344">
        <f t="shared" si="11"/>
        <v>0.98295860845311056</v>
      </c>
      <c r="AA17" s="17">
        <f>Z17*GBDUS!$O34/($T17+$W17+$X17+U17+V17)</f>
        <v>9.7880442819445537E-3</v>
      </c>
      <c r="AB17" s="16">
        <f t="shared" si="12"/>
        <v>9.7803451773279017E-3</v>
      </c>
      <c r="AC17" s="16">
        <f t="shared" si="12"/>
        <v>9.8434326568771543E-3</v>
      </c>
      <c r="AD17" s="16">
        <f t="shared" si="12"/>
        <v>9.6641922680800654E-3</v>
      </c>
      <c r="AE17" s="16">
        <f t="shared" si="12"/>
        <v>9.5370119827747034E-3</v>
      </c>
      <c r="AF17" s="17">
        <f>Z17*GBDUS!$P34/($T17+$W17+$X17+U17+V17)</f>
        <v>7.566063211055328E-2</v>
      </c>
      <c r="AG17" s="16">
        <f t="shared" si="13"/>
        <v>7.560111877926852E-2</v>
      </c>
      <c r="AH17" s="16">
        <f t="shared" si="13"/>
        <v>7.6088778871873847E-2</v>
      </c>
      <c r="AI17" s="16">
        <f t="shared" si="13"/>
        <v>7.4703268066498255E-2</v>
      </c>
      <c r="AJ17" s="16">
        <f t="shared" si="13"/>
        <v>7.372017680730214E-2</v>
      </c>
      <c r="AK17" s="17">
        <f>Z17*GBDUS!$Q34/($T17+$W17+$X17+U17+V17)</f>
        <v>1.1634322252641211E-2</v>
      </c>
      <c r="AL17" s="16">
        <f t="shared" si="14"/>
        <v>1.1625170898030753E-2</v>
      </c>
      <c r="AM17" s="16">
        <f t="shared" si="14"/>
        <v>1.1700158305733521E-2</v>
      </c>
      <c r="AN17" s="16">
        <f t="shared" si="14"/>
        <v>1.1487108549941066E-2</v>
      </c>
      <c r="AO17" s="16">
        <f t="shared" si="14"/>
        <v>1.1335938777839108E-2</v>
      </c>
      <c r="AP17" s="17">
        <f t="shared" si="7"/>
        <v>-8.4279603380561612E-4</v>
      </c>
      <c r="AQ17" s="17">
        <f t="shared" si="8"/>
        <v>-6.5147315256457172E-3</v>
      </c>
      <c r="AR17" s="17">
        <f t="shared" si="9"/>
        <v>-1.0017691346809639E-3</v>
      </c>
      <c r="AS17" s="17">
        <f t="shared" si="15"/>
        <v>-7.5165006603266811E-3</v>
      </c>
    </row>
    <row r="18" spans="1:45" s="13" customFormat="1" ht="12.75" x14ac:dyDescent="0.2">
      <c r="A18" s="20">
        <v>1</v>
      </c>
      <c r="B18" s="20">
        <v>2</v>
      </c>
      <c r="C18" s="20" t="s">
        <v>35</v>
      </c>
      <c r="D18" s="17">
        <f>Scenario!AN34</f>
        <v>0.40295615512215294</v>
      </c>
      <c r="E18" s="17">
        <f>Scenario!AO34</f>
        <v>0.91315564161087048</v>
      </c>
      <c r="F18" s="17">
        <f>Scenario!AP34</f>
        <v>1.6092203250598482</v>
      </c>
      <c r="G18" s="17">
        <f>Scenario!AQ34</f>
        <v>2.8358693048399783</v>
      </c>
      <c r="H18" s="17">
        <f>Scenario!AR34</f>
        <v>6.4264809500197613</v>
      </c>
      <c r="I18" s="17">
        <f>IF((D18+'Non travel METs'!C18)&gt;2.5,(D18+'Non travel METs'!C18),0.1)</f>
        <v>6.902956155122153</v>
      </c>
      <c r="J18" s="17">
        <f>IF((E18+'Non travel METs'!D18)&gt;2.5,(E18+'Non travel METs'!D18),0.1)</f>
        <v>4.0381556416108708</v>
      </c>
      <c r="K18" s="17">
        <f>IF((F18+'Non travel METs'!E18)&gt;2.5,(F18+'Non travel METs'!E18),0.1)</f>
        <v>0.1</v>
      </c>
      <c r="L18" s="17">
        <f>IF((G18+'Non travel METs'!F18)&gt;2.5,(G18+'Non travel METs'!F18),0.1)</f>
        <v>2.8358693048399783</v>
      </c>
      <c r="M18" s="17">
        <f>IF((H18+'Non travel METs'!G18)&gt;2.5,(H18+'Non travel METs'!G18),0.1)</f>
        <v>6.4264809500197613</v>
      </c>
      <c r="N18" s="19">
        <f>'Phy activity RRs'!$F$4</f>
        <v>0.97288384048792509</v>
      </c>
      <c r="O18" s="15">
        <f>IF(('user page'!$N$39=0),$N18^(I18^0.25),IF(('user page'!$N$39=1),$N18^(I18^0.5),IF(('user page'!$N$39=2),$N18^(I18^0.375),IF(('user page'!$N$39=4),$N18^(I18),IF(('user page'!$N$39=3),$N18^(LN(1+I18)),"")))))</f>
        <v>0.93031938127042824</v>
      </c>
      <c r="P18" s="15">
        <f>IF(('user page'!$N$39=0),$N18^(J18^0.25),IF(('user page'!$N$39=1),$N18^(J18^0.5),IF(('user page'!$N$39=2),$N18^(J18^0.375),IF(('user page'!$N$39=4),$N18^(J18),IF(('user page'!$N$39=3),$N18^(LN(1+J18)),"")))))</f>
        <v>0.94625538685144539</v>
      </c>
      <c r="Q18" s="15">
        <f>IF(('user page'!$N$39=0),$N18^(K18^0.25),IF(('user page'!$N$39=1),$N18^(K18^0.5),IF(('user page'!$N$39=2),$N18^(K18^0.375),IF(('user page'!$N$39=4),$N18^(K18),IF(('user page'!$N$39=3),$N18^(LN(1+K18)),"")))))</f>
        <v>0.99134439051762713</v>
      </c>
      <c r="R18" s="15">
        <f>IF(('user page'!$N$39=0),$N18^(L18^0.25),IF(('user page'!$N$39=1),$N18^(L18^0.5),IF(('user page'!$N$39=2),$N18^(L18^0.375),IF(('user page'!$N$39=4),$N18^(L18),IF(('user page'!$N$39=3),$N18^(LN(1+L18)),"")))))</f>
        <v>0.95476097601701926</v>
      </c>
      <c r="S18" s="15">
        <f>IF(('user page'!$N$39=0),$N18^(M18^0.25),IF(('user page'!$N$39=1),$N18^(M18^0.5),IF(('user page'!$N$39=2),$N18^(M18^0.375),IF(('user page'!$N$39=4),$N18^(M18),IF(('user page'!$N$39=3),$N18^(LN(1+M18)),"")))))</f>
        <v>0.93268288323052717</v>
      </c>
      <c r="T18" s="18">
        <f t="shared" si="10"/>
        <v>1</v>
      </c>
      <c r="U18" s="18">
        <f t="shared" si="10"/>
        <v>1.0171296072100049</v>
      </c>
      <c r="V18" s="18">
        <f t="shared" si="10"/>
        <v>1.0655957625690482</v>
      </c>
      <c r="W18" s="18">
        <f t="shared" si="10"/>
        <v>1.0262722622345177</v>
      </c>
      <c r="X18" s="18">
        <f t="shared" si="10"/>
        <v>1.0025405274873145</v>
      </c>
      <c r="Y18" s="31">
        <f t="shared" si="6"/>
        <v>2.0777361304080033E-2</v>
      </c>
      <c r="Z18" s="344">
        <f t="shared" si="11"/>
        <v>0.97922263869591997</v>
      </c>
      <c r="AA18" s="17">
        <f>Z18*GBDUS!$O35/($T18+$W18+$X18+U18+V18)</f>
        <v>9.1196242544787746E-3</v>
      </c>
      <c r="AB18" s="16">
        <f t="shared" si="12"/>
        <v>9.2758398358608295E-3</v>
      </c>
      <c r="AC18" s="16">
        <f t="shared" si="12"/>
        <v>9.7178329617944974E-3</v>
      </c>
      <c r="AD18" s="16">
        <f t="shared" si="12"/>
        <v>9.3592174143727093E-3</v>
      </c>
      <c r="AE18" s="16">
        <f t="shared" si="12"/>
        <v>9.1427929105712576E-3</v>
      </c>
      <c r="AF18" s="17">
        <f>Z18*GBDUS!$P35/($T18+$W18+$X18+U18+V18)</f>
        <v>3.3290839151460021E-2</v>
      </c>
      <c r="AG18" s="16">
        <f t="shared" si="13"/>
        <v>3.3861098149815985E-2</v>
      </c>
      <c r="AH18" s="16">
        <f t="shared" si="13"/>
        <v>3.5474577132163565E-2</v>
      </c>
      <c r="AI18" s="16">
        <f t="shared" si="13"/>
        <v>3.4165464807654325E-2</v>
      </c>
      <c r="AJ18" s="16">
        <f t="shared" si="13"/>
        <v>3.3375415443400072E-2</v>
      </c>
      <c r="AK18" s="17">
        <f>Z18*GBDUS!$Q35/($T18+$W18+$X18+U18+V18)</f>
        <v>7.480156465794233E-3</v>
      </c>
      <c r="AL18" s="16">
        <f t="shared" si="14"/>
        <v>7.6082886079226666E-3</v>
      </c>
      <c r="AM18" s="16">
        <f t="shared" si="14"/>
        <v>7.9708230333038026E-3</v>
      </c>
      <c r="AN18" s="16">
        <f t="shared" si="14"/>
        <v>7.6766770980188021E-3</v>
      </c>
      <c r="AO18" s="16">
        <f t="shared" si="14"/>
        <v>7.499160008904996E-3</v>
      </c>
      <c r="AP18" s="17">
        <f t="shared" si="7"/>
        <v>-9.8909384383120968E-4</v>
      </c>
      <c r="AQ18" s="17">
        <f t="shared" si="8"/>
        <v>-3.6106492045999625E-3</v>
      </c>
      <c r="AR18" s="17">
        <f t="shared" si="9"/>
        <v>-8.1128087131197152E-4</v>
      </c>
      <c r="AS18" s="17">
        <f t="shared" si="15"/>
        <v>-4.421930075911934E-3</v>
      </c>
    </row>
    <row r="19" spans="1:45" s="13" customFormat="1" ht="12.75" x14ac:dyDescent="0.2">
      <c r="A19" s="20"/>
      <c r="B19" s="20"/>
      <c r="C19" s="20"/>
      <c r="D19" s="17"/>
      <c r="E19" s="17"/>
      <c r="F19" s="17"/>
      <c r="G19" s="17"/>
      <c r="H19" s="17"/>
      <c r="I19" s="17"/>
      <c r="J19" s="17"/>
      <c r="K19" s="17"/>
      <c r="L19" s="17"/>
      <c r="M19" s="17"/>
      <c r="N19" s="15"/>
      <c r="O19" s="15"/>
      <c r="P19" s="15"/>
      <c r="Q19" s="15"/>
      <c r="R19" s="15"/>
      <c r="S19" s="15"/>
      <c r="T19" s="18"/>
      <c r="U19" s="18"/>
      <c r="V19" s="18"/>
      <c r="W19" s="18"/>
      <c r="X19" s="18"/>
      <c r="Y19" s="18"/>
      <c r="Z19" s="16"/>
      <c r="AA19" s="17"/>
      <c r="AB19" s="17"/>
      <c r="AC19" s="17"/>
      <c r="AD19" s="16"/>
      <c r="AE19" s="16"/>
      <c r="AF19" s="17"/>
      <c r="AG19" s="16"/>
      <c r="AH19" s="16"/>
      <c r="AI19" s="16"/>
      <c r="AJ19" s="16"/>
      <c r="AK19" s="17"/>
      <c r="AL19" s="16"/>
      <c r="AM19" s="16"/>
      <c r="AN19" s="16"/>
      <c r="AO19" s="16"/>
      <c r="AP19" s="21">
        <f>SUM(AP3:AP18)</f>
        <v>-7.8721329524388105E-3</v>
      </c>
      <c r="AQ19" s="21">
        <f>SUM(AQ3:AQ18)</f>
        <v>-5.3036030674510543E-2</v>
      </c>
      <c r="AR19" s="21">
        <f>SUM(AR3:AR18)</f>
        <v>-8.5151743449102431E-3</v>
      </c>
      <c r="AS19" s="21">
        <f>SUM(AS3:AS18)</f>
        <v>-6.1551205019420796E-2</v>
      </c>
    </row>
    <row r="20" spans="1:45" s="13" customFormat="1" ht="12.75" x14ac:dyDescent="0.2">
      <c r="A20" s="20">
        <v>0</v>
      </c>
      <c r="B20" s="20">
        <v>1</v>
      </c>
      <c r="C20" s="20" t="s">
        <v>2</v>
      </c>
      <c r="D20" s="17"/>
      <c r="E20" s="17"/>
      <c r="F20" s="17"/>
      <c r="G20" s="17"/>
      <c r="H20" s="17"/>
      <c r="I20" s="17"/>
      <c r="J20" s="17"/>
      <c r="K20" s="17"/>
      <c r="L20" s="17"/>
      <c r="M20" s="17"/>
      <c r="N20" s="15"/>
      <c r="O20" s="15"/>
      <c r="P20" s="15"/>
      <c r="Q20" s="15"/>
      <c r="R20" s="15"/>
      <c r="S20" s="15"/>
      <c r="T20" s="18"/>
      <c r="U20" s="18"/>
      <c r="V20" s="18"/>
      <c r="W20" s="18"/>
      <c r="X20" s="18"/>
      <c r="Y20" s="18"/>
      <c r="Z20" s="16"/>
      <c r="AA20" s="17"/>
      <c r="AB20" s="17"/>
      <c r="AC20" s="17"/>
      <c r="AD20" s="16"/>
      <c r="AE20" s="16"/>
      <c r="AF20" s="17"/>
      <c r="AG20" s="16"/>
      <c r="AH20" s="16"/>
      <c r="AI20" s="16"/>
      <c r="AJ20" s="16"/>
      <c r="AK20" s="17"/>
      <c r="AL20" s="16"/>
      <c r="AM20" s="16"/>
      <c r="AN20" s="16"/>
      <c r="AO20" s="16"/>
      <c r="AP20" s="33">
        <f>AP19/GBDUS!O36</f>
        <v>-1.8760195058066961E-2</v>
      </c>
      <c r="AQ20" s="33">
        <f>AQ19/GBDUS!P36</f>
        <v>-1.6438760833716988E-2</v>
      </c>
      <c r="AR20" s="33">
        <f>AR19/GBDUS!Q36</f>
        <v>-1.7744391569415163E-2</v>
      </c>
      <c r="AS20" s="33">
        <f>AS19/GBDUS!R36</f>
        <v>-1.6607816123732796E-2</v>
      </c>
    </row>
    <row r="21" spans="1:45" s="13" customFormat="1" ht="12.75" x14ac:dyDescent="0.2">
      <c r="A21" s="20">
        <v>0</v>
      </c>
      <c r="B21" s="20">
        <v>1</v>
      </c>
      <c r="C21" s="20" t="s">
        <v>41</v>
      </c>
      <c r="D21" s="17"/>
      <c r="E21" s="17"/>
      <c r="F21" s="17"/>
      <c r="G21" s="17"/>
      <c r="H21" s="17"/>
      <c r="I21" s="17"/>
      <c r="J21" s="17"/>
      <c r="K21" s="17"/>
      <c r="L21" s="17"/>
      <c r="M21" s="17"/>
      <c r="N21" s="15"/>
      <c r="O21" s="15"/>
      <c r="P21" s="15"/>
      <c r="Q21" s="15"/>
      <c r="R21" s="15"/>
      <c r="S21" s="15"/>
      <c r="T21" s="18"/>
      <c r="U21" s="18"/>
      <c r="V21" s="18"/>
      <c r="W21" s="18"/>
      <c r="X21" s="18"/>
      <c r="Y21" s="18"/>
      <c r="Z21" s="16"/>
      <c r="AA21" s="17"/>
      <c r="AB21" s="17"/>
      <c r="AC21" s="17"/>
      <c r="AD21" s="16"/>
      <c r="AE21" s="16"/>
      <c r="AF21" s="17"/>
      <c r="AG21" s="16"/>
      <c r="AH21" s="16"/>
      <c r="AI21" s="16"/>
      <c r="AJ21" s="16"/>
      <c r="AK21" s="17"/>
      <c r="AL21" s="16"/>
      <c r="AM21" s="16"/>
      <c r="AN21" s="16"/>
      <c r="AO21" s="16"/>
      <c r="AP21" s="15"/>
      <c r="AQ21" s="15"/>
      <c r="AR21" s="15"/>
      <c r="AS21" s="15"/>
    </row>
    <row r="22" spans="1:45" s="13" customFormat="1" ht="12.75" x14ac:dyDescent="0.2">
      <c r="A22" s="20">
        <v>0</v>
      </c>
      <c r="B22" s="20">
        <v>1</v>
      </c>
      <c r="C22" s="20" t="s">
        <v>40</v>
      </c>
      <c r="D22" s="17">
        <f>Baseline!AN21</f>
        <v>0.60295678095886318</v>
      </c>
      <c r="E22" s="17">
        <f>Baseline!AO21</f>
        <v>1.3663853478381727</v>
      </c>
      <c r="F22" s="17">
        <f>Baseline!AP21</f>
        <v>2.4079302294253959</v>
      </c>
      <c r="G22" s="17">
        <f>Baseline!AQ21</f>
        <v>4.2434061510935761</v>
      </c>
      <c r="H22" s="17">
        <f>Baseline!AR21</f>
        <v>9.6161585255912687</v>
      </c>
      <c r="I22" s="17">
        <f>IF((D22+'Non travel METs'!C22)&gt;2.5,(D22+'Non travel METs'!C22),0.1)</f>
        <v>58.40295678095886</v>
      </c>
      <c r="J22" s="17">
        <f>IF((E22+'Non travel METs'!D22)&gt;2.5,(E22+'Non travel METs'!D22),0.1)</f>
        <v>42.366385347838175</v>
      </c>
      <c r="K22" s="17">
        <f>IF((F22+'Non travel METs'!E22)&gt;2.5,(F22+'Non travel METs'!E22),0.1)</f>
        <v>47.907930229425396</v>
      </c>
      <c r="L22" s="17">
        <f>IF((G22+'Non travel METs'!F22)&gt;2.5,(G22+'Non travel METs'!F22),0.1)</f>
        <v>42.168406151093571</v>
      </c>
      <c r="M22" s="17">
        <f>IF((H22+'Non travel METs'!G22)&gt;2.5,(H22+'Non travel METs'!G22),0.1)</f>
        <v>50.616158525591267</v>
      </c>
      <c r="N22" s="19">
        <f>'Phy activity RRs'!$E$4</f>
        <v>0.96065247560449929</v>
      </c>
      <c r="O22" s="15">
        <f>IF(('user page'!$N$39=0),$N22^(I22^0.25),IF(('user page'!$N$39=1),$N22^(I22^0.5),IF(('user page'!$N$39=2),$N22^(I22^0.375),IF(('user page'!$N$39=4),$N22^(I22),IF(('user page'!$N$39=3),$N22^(LN(1+I22)),"")))))</f>
        <v>0.73581481371249735</v>
      </c>
      <c r="P22" s="15">
        <f>IF(('user page'!$N$39=0),$N22^(J22^0.25),IF(('user page'!$N$39=1),$N22^(J22^0.5),IF(('user page'!$N$39=2),$N22^(J22^0.375),IF(('user page'!$N$39=4),$N22^(J22),IF(('user page'!$N$39=3),$N22^(LN(1+J22)),"")))))</f>
        <v>0.7700608052689325</v>
      </c>
      <c r="Q22" s="15">
        <f>IF(('user page'!$N$39=0),$N22^(K22^0.25),IF(('user page'!$N$39=1),$N22^(K22^0.5),IF(('user page'!$N$39=2),$N22^(K22^0.375),IF(('user page'!$N$39=4),$N22^(K22),IF(('user page'!$N$39=3),$N22^(LN(1+K22)),"")))))</f>
        <v>0.75741119796539125</v>
      </c>
      <c r="R22" s="15">
        <f>IF(('user page'!$N$39=0),$N22^(L22^0.25),IF(('user page'!$N$39=1),$N22^(L22^0.5),IF(('user page'!$N$39=2),$N22^(L22^0.375),IF(('user page'!$N$39=4),$N22^(L22),IF(('user page'!$N$39=3),$N22^(LN(1+L22)),"")))))</f>
        <v>0.770531619915378</v>
      </c>
      <c r="S22" s="15">
        <f>IF(('user page'!$N$39=0),$N22^(M22^0.25),IF(('user page'!$N$39=1),$N22^(M22^0.5),IF(('user page'!$N$39=2),$N22^(M22^0.375),IF(('user page'!$N$39=4),$N22^(M22),IF(('user page'!$N$39=3),$N22^(LN(1+M22)),"")))))</f>
        <v>0.75156738778073695</v>
      </c>
      <c r="T22" s="18">
        <f t="shared" ref="T22:X27" si="16">O22/$O22</f>
        <v>1</v>
      </c>
      <c r="U22" s="18">
        <f t="shared" si="16"/>
        <v>1.0465415902455804</v>
      </c>
      <c r="V22" s="18">
        <f t="shared" si="16"/>
        <v>1.0293502982685698</v>
      </c>
      <c r="W22" s="18">
        <f t="shared" si="16"/>
        <v>1.047181445053708</v>
      </c>
      <c r="X22" s="18">
        <f t="shared" si="16"/>
        <v>1.0214083404882286</v>
      </c>
      <c r="Y22" s="18"/>
      <c r="Z22" s="16"/>
      <c r="AA22" s="17">
        <f>GBDUS!O22/($T22+$W22+$X22+U22+V22)</f>
        <v>7.2656004107451348E-5</v>
      </c>
      <c r="AB22" s="16">
        <f t="shared" ref="AB22:AE27" si="17">$AA22*U22</f>
        <v>7.6037530079501551E-5</v>
      </c>
      <c r="AC22" s="16">
        <f t="shared" si="17"/>
        <v>7.4788479499007479E-5</v>
      </c>
      <c r="AD22" s="16">
        <f t="shared" si="17"/>
        <v>7.6084019373069052E-5</v>
      </c>
      <c r="AE22" s="16">
        <f t="shared" si="17"/>
        <v>7.4211448581897808E-5</v>
      </c>
      <c r="AF22" s="17">
        <f>GBDUS!P22/($T22+$W22+$X22+U22+V22)</f>
        <v>2.094557357086628E-3</v>
      </c>
      <c r="AG22" s="16">
        <f t="shared" ref="AG22:AJ27" si="18">$AF22*U22</f>
        <v>2.1920413873460195E-3</v>
      </c>
      <c r="AH22" s="16">
        <f t="shared" si="18"/>
        <v>2.1560332402577476E-3</v>
      </c>
      <c r="AI22" s="16">
        <f t="shared" si="18"/>
        <v>2.1933815999418504E-3</v>
      </c>
      <c r="AJ22" s="16">
        <f t="shared" si="18"/>
        <v>2.1393983541592629E-3</v>
      </c>
      <c r="AK22" s="17">
        <f>GBDUS!Q22/($T22+$W22+$X22+U22+V22)</f>
        <v>4.8346813901087749E-5</v>
      </c>
      <c r="AL22" s="16">
        <f t="shared" ref="AL22:AO27" si="19">U22*$AK22</f>
        <v>5.05969515033515E-5</v>
      </c>
      <c r="AM22" s="16">
        <f t="shared" si="19"/>
        <v>4.9765807309419716E-5</v>
      </c>
      <c r="AN22" s="16">
        <f t="shared" si="19"/>
        <v>5.0627886444683765E-5</v>
      </c>
      <c r="AO22" s="16">
        <f t="shared" si="19"/>
        <v>4.9381838954603258E-5</v>
      </c>
      <c r="AP22" s="16"/>
      <c r="AQ22" s="15"/>
      <c r="AR22" s="15"/>
      <c r="AS22" s="15"/>
    </row>
    <row r="23" spans="1:45" s="13" customFormat="1" ht="12.75" x14ac:dyDescent="0.2">
      <c r="A23" s="20">
        <v>0</v>
      </c>
      <c r="B23" s="20">
        <v>1</v>
      </c>
      <c r="C23" s="20" t="s">
        <v>39</v>
      </c>
      <c r="D23" s="17">
        <f>Baseline!AN22</f>
        <v>0.34976362929541344</v>
      </c>
      <c r="E23" s="17">
        <f>Baseline!AO22</f>
        <v>0.79261385453854083</v>
      </c>
      <c r="F23" s="17">
        <f>Baseline!AP22</f>
        <v>1.396794003700613</v>
      </c>
      <c r="G23" s="17">
        <f>Baseline!AQ22</f>
        <v>2.4615182760208985</v>
      </c>
      <c r="H23" s="17">
        <f>Baseline!AR22</f>
        <v>5.5781485705196889</v>
      </c>
      <c r="I23" s="17">
        <f>IF((D23+'Non travel METs'!C23)&gt;2.5,(D23+'Non travel METs'!C23),0.1)</f>
        <v>51.599763629295417</v>
      </c>
      <c r="J23" s="17">
        <f>IF((E23+'Non travel METs'!D23)&gt;2.5,(E23+'Non travel METs'!D23),0.1)</f>
        <v>52.042613854538544</v>
      </c>
      <c r="K23" s="17">
        <f>IF((F23+'Non travel METs'!E23)&gt;2.5,(F23+'Non travel METs'!E23),0.1)</f>
        <v>66.14679400370062</v>
      </c>
      <c r="L23" s="17">
        <f>IF((G23+'Non travel METs'!F23)&gt;2.5,(G23+'Non travel METs'!F23),0.1)</f>
        <v>48.586518276020897</v>
      </c>
      <c r="M23" s="17">
        <f>IF((H23+'Non travel METs'!G23)&gt;2.5,(H23+'Non travel METs'!G23),0.1)</f>
        <v>50.378148570519684</v>
      </c>
      <c r="N23" s="19">
        <f>'Phy activity RRs'!$E$4</f>
        <v>0.96065247560449929</v>
      </c>
      <c r="O23" s="15">
        <f>IF(('user page'!$N$39=0),$N23^(I23^0.25),IF(('user page'!$N$39=1),$N23^(I23^0.5),IF(('user page'!$N$39=2),$N23^(I23^0.375),IF(('user page'!$N$39=4),$N23^(I23),IF(('user page'!$N$39=3),$N23^(LN(1+I23)),"")))))</f>
        <v>0.74949474229515134</v>
      </c>
      <c r="P23" s="15">
        <f>IF(('user page'!$N$39=0),$N23^(J23^0.25),IF(('user page'!$N$39=1),$N23^(J23^0.5),IF(('user page'!$N$39=2),$N23^(J23^0.375),IF(('user page'!$N$39=4),$N23^(J23),IF(('user page'!$N$39=3),$N23^(LN(1+J23)),"")))))</f>
        <v>0.74856987424653598</v>
      </c>
      <c r="Q23" s="15">
        <f>IF(('user page'!$N$39=0),$N23^(K23^0.25),IF(('user page'!$N$39=1),$N23^(K23^0.5),IF(('user page'!$N$39=2),$N23^(K23^0.375),IF(('user page'!$N$39=4),$N23^(K23),IF(('user page'!$N$39=3),$N23^(LN(1+K23)),"")))))</f>
        <v>0.7214572209786646</v>
      </c>
      <c r="R23" s="15">
        <f>IF(('user page'!$N$39=0),$N23^(L23^0.25),IF(('user page'!$N$39=1),$N23^(L23^0.5),IF(('user page'!$N$39=2),$N23^(L23^0.375),IF(('user page'!$N$39=4),$N23^(L23),IF(('user page'!$N$39=3),$N23^(LN(1+L23)),"")))))</f>
        <v>0.75592747156748752</v>
      </c>
      <c r="S23" s="15">
        <f>IF(('user page'!$N$39=0),$N23^(M23^0.25),IF(('user page'!$N$39=1),$N23^(M23^0.5),IF(('user page'!$N$39=2),$N23^(M23^0.375),IF(('user page'!$N$39=4),$N23^(M23),IF(('user page'!$N$39=3),$N23^(LN(1+M23)),"")))))</f>
        <v>0.75207280611752414</v>
      </c>
      <c r="T23" s="18">
        <f t="shared" si="16"/>
        <v>1</v>
      </c>
      <c r="U23" s="18">
        <f t="shared" si="16"/>
        <v>0.99876601129210973</v>
      </c>
      <c r="V23" s="18">
        <f t="shared" si="16"/>
        <v>0.96259143695841221</v>
      </c>
      <c r="W23" s="18">
        <f t="shared" si="16"/>
        <v>1.0085827543668118</v>
      </c>
      <c r="X23" s="18">
        <f t="shared" si="16"/>
        <v>1.0034397357004508</v>
      </c>
      <c r="Y23" s="18"/>
      <c r="Z23" s="16"/>
      <c r="AA23" s="17">
        <f>GBDUS!O23/($T23+$W23+$X23+U23+V23)</f>
        <v>2.227341858783068E-3</v>
      </c>
      <c r="AB23" s="16">
        <f t="shared" si="17"/>
        <v>2.2245933440807183E-3</v>
      </c>
      <c r="AC23" s="16">
        <f t="shared" si="17"/>
        <v>2.1440202004436144E-3</v>
      </c>
      <c r="AD23" s="16">
        <f t="shared" si="17"/>
        <v>2.2464585868479212E-3</v>
      </c>
      <c r="AE23" s="16">
        <f t="shared" si="17"/>
        <v>2.2350033260918325E-3</v>
      </c>
      <c r="AF23" s="17">
        <f>GBDUS!P23/($T23+$W23+$X23+U23+V23)</f>
        <v>4.9414511606242571E-2</v>
      </c>
      <c r="AG23" s="16">
        <f t="shared" si="18"/>
        <v>4.9353534656914555E-2</v>
      </c>
      <c r="AH23" s="16">
        <f t="shared" si="18"/>
        <v>4.7565985733651173E-2</v>
      </c>
      <c r="AI23" s="16">
        <f t="shared" si="18"/>
        <v>4.9838624221514922E-2</v>
      </c>
      <c r="AJ23" s="16">
        <f t="shared" si="18"/>
        <v>4.95844844659349E-2</v>
      </c>
      <c r="AK23" s="17">
        <f>GBDUS!Q23/($T23+$W23+$X23+U23+V23)</f>
        <v>6.5294834810032719E-3</v>
      </c>
      <c r="AL23" s="16">
        <f t="shared" si="19"/>
        <v>6.5214261721193581E-3</v>
      </c>
      <c r="AM23" s="16">
        <f t="shared" si="19"/>
        <v>6.2852248865751551E-3</v>
      </c>
      <c r="AN23" s="16">
        <f t="shared" si="19"/>
        <v>6.5855244338628785E-3</v>
      </c>
      <c r="AO23" s="16">
        <f t="shared" si="19"/>
        <v>6.5519431784383823E-3</v>
      </c>
      <c r="AP23" s="16"/>
      <c r="AQ23" s="15"/>
      <c r="AR23" s="15"/>
      <c r="AS23" s="15"/>
    </row>
    <row r="24" spans="1:45" s="13" customFormat="1" ht="12.75" x14ac:dyDescent="0.2">
      <c r="A24" s="20">
        <v>0</v>
      </c>
      <c r="B24" s="20">
        <v>1</v>
      </c>
      <c r="C24" s="20" t="s">
        <v>38</v>
      </c>
      <c r="D24" s="17">
        <f>Baseline!AN23</f>
        <v>0.35151125659111732</v>
      </c>
      <c r="E24" s="17">
        <f>Baseline!AO23</f>
        <v>0.79657422517494758</v>
      </c>
      <c r="F24" s="17">
        <f>Baseline!AP23</f>
        <v>1.4037732180124616</v>
      </c>
      <c r="G24" s="17">
        <f>Baseline!AQ23</f>
        <v>2.4738174865955198</v>
      </c>
      <c r="H24" s="17">
        <f>Baseline!AR23</f>
        <v>5.6060203212816786</v>
      </c>
      <c r="I24" s="17">
        <f>IF((D24+'Non travel METs'!C24)&gt;2.5,(D24+'Non travel METs'!C24),0.1)</f>
        <v>58.626511256591115</v>
      </c>
      <c r="J24" s="17">
        <f>IF((E24+'Non travel METs'!D24)&gt;2.5,(E24+'Non travel METs'!D24),0.1)</f>
        <v>62.29657422517495</v>
      </c>
      <c r="K24" s="17">
        <f>IF((F24+'Non travel METs'!E24)&gt;2.5,(F24+'Non travel METs'!E24),0.1)</f>
        <v>55.128773218012462</v>
      </c>
      <c r="L24" s="17">
        <f>IF((G24+'Non travel METs'!F24)&gt;2.5,(G24+'Non travel METs'!F24),0.1)</f>
        <v>54.673817486595524</v>
      </c>
      <c r="M24" s="17">
        <f>IF((H24+'Non travel METs'!G24)&gt;2.5,(H24+'Non travel METs'!G24),0.1)</f>
        <v>52.306020321281679</v>
      </c>
      <c r="N24" s="19">
        <f>'Phy activity RRs'!$E$4</f>
        <v>0.96065247560449929</v>
      </c>
      <c r="O24" s="15">
        <f>IF(('user page'!$N$39=0),$N24^(I24^0.25),IF(('user page'!$N$39=1),$N24^(I24^0.5),IF(('user page'!$N$39=2),$N24^(I24^0.375),IF(('user page'!$N$39=4),$N24^(I24),IF(('user page'!$N$39=3),$N24^(LN(1+I24)),"")))))</f>
        <v>0.73538332721094513</v>
      </c>
      <c r="P24" s="15">
        <f>IF(('user page'!$N$39=0),$N24^(J24^0.25),IF(('user page'!$N$39=1),$N24^(J24^0.5),IF(('user page'!$N$39=2),$N24^(J24^0.375),IF(('user page'!$N$39=4),$N24^(J24),IF(('user page'!$N$39=3),$N24^(LN(1+J24)),"")))))</f>
        <v>0.72844879673532736</v>
      </c>
      <c r="Q24" s="15">
        <f>IF(('user page'!$N$39=0),$N24^(K24^0.25),IF(('user page'!$N$39=1),$N24^(K24^0.5),IF(('user page'!$N$39=2),$N24^(K24^0.375),IF(('user page'!$N$39=4),$N24^(K24),IF(('user page'!$N$39=3),$N24^(LN(1+K24)),"")))))</f>
        <v>0.74226160786817552</v>
      </c>
      <c r="R24" s="15">
        <f>IF(('user page'!$N$39=0),$N24^(L24^0.25),IF(('user page'!$N$39=1),$N24^(L24^0.5),IF(('user page'!$N$39=2),$N24^(L24^0.375),IF(('user page'!$N$39=4),$N24^(L24),IF(('user page'!$N$39=3),$N24^(LN(1+L24)),"")))))</f>
        <v>0.74317693960595133</v>
      </c>
      <c r="S24" s="15">
        <f>IF(('user page'!$N$39=0),$N24^(M24^0.25),IF(('user page'!$N$39=1),$N24^(M24^0.5),IF(('user page'!$N$39=2),$N24^(M24^0.375),IF(('user page'!$N$39=4),$N24^(M24),IF(('user page'!$N$39=3),$N24^(LN(1+M24)),"")))))</f>
        <v>0.74802216898346696</v>
      </c>
      <c r="T24" s="18">
        <f t="shared" si="16"/>
        <v>1</v>
      </c>
      <c r="U24" s="18">
        <f t="shared" si="16"/>
        <v>0.99057018262581764</v>
      </c>
      <c r="V24" s="18">
        <f t="shared" si="16"/>
        <v>1.0093533269013826</v>
      </c>
      <c r="W24" s="18">
        <f t="shared" si="16"/>
        <v>1.0105980270515034</v>
      </c>
      <c r="X24" s="18">
        <f t="shared" si="16"/>
        <v>1.0171867396293259</v>
      </c>
      <c r="Y24" s="18"/>
      <c r="Z24" s="16"/>
      <c r="AA24" s="17">
        <f>GBDUS!O24/($T24+$W24+$X24+U24+V24)</f>
        <v>3.9223585193042792E-3</v>
      </c>
      <c r="AB24" s="16">
        <f t="shared" si="17"/>
        <v>3.8853713947911714E-3</v>
      </c>
      <c r="AC24" s="16">
        <f t="shared" si="17"/>
        <v>3.9590456207597548E-3</v>
      </c>
      <c r="AD24" s="16">
        <f t="shared" si="17"/>
        <v>3.9639277809975608E-3</v>
      </c>
      <c r="AE24" s="16">
        <f t="shared" si="17"/>
        <v>3.9897710739084302E-3</v>
      </c>
      <c r="AF24" s="17">
        <f>GBDUS!P24/($T24+$W24+$X24+U24+V24)</f>
        <v>6.5408419303139897E-2</v>
      </c>
      <c r="AG24" s="16">
        <f t="shared" si="18"/>
        <v>6.479162985437735E-2</v>
      </c>
      <c r="AH24" s="16">
        <f t="shared" si="18"/>
        <v>6.6020205630984874E-2</v>
      </c>
      <c r="AI24" s="16">
        <f t="shared" si="18"/>
        <v>6.6101619500310654E-2</v>
      </c>
      <c r="AJ24" s="16">
        <f t="shared" si="18"/>
        <v>6.6532576775268734E-2</v>
      </c>
      <c r="AK24" s="17">
        <f>GBDUS!Q24/($T24+$W24+$X24+U24+V24)</f>
        <v>5.9750611804119122E-3</v>
      </c>
      <c r="AL24" s="16">
        <f t="shared" si="19"/>
        <v>5.9187174446810615E-3</v>
      </c>
      <c r="AM24" s="16">
        <f t="shared" si="19"/>
        <v>6.0309478808880657E-3</v>
      </c>
      <c r="AN24" s="16">
        <f t="shared" si="19"/>
        <v>6.0383850404363056E-3</v>
      </c>
      <c r="AO24" s="16">
        <f t="shared" si="19"/>
        <v>6.0777530011889448E-3</v>
      </c>
      <c r="AP24" s="16"/>
      <c r="AQ24" s="15"/>
      <c r="AR24" s="15"/>
      <c r="AS24" s="15"/>
    </row>
    <row r="25" spans="1:45" s="13" customFormat="1" ht="12.75" x14ac:dyDescent="0.2">
      <c r="A25" s="20">
        <v>0</v>
      </c>
      <c r="B25" s="20">
        <v>1</v>
      </c>
      <c r="C25" s="20" t="s">
        <v>37</v>
      </c>
      <c r="D25" s="17">
        <f>Baseline!AN24</f>
        <v>0.31868617612515476</v>
      </c>
      <c r="E25" s="17">
        <f>Baseline!AO24</f>
        <v>0.72218795006087733</v>
      </c>
      <c r="F25" s="17">
        <f>Baseline!AP24</f>
        <v>1.2726850438126185</v>
      </c>
      <c r="G25" s="17">
        <f>Baseline!AQ24</f>
        <v>2.2428056582885252</v>
      </c>
      <c r="H25" s="17">
        <f>Baseline!AR24</f>
        <v>5.0825148440333541</v>
      </c>
      <c r="I25" s="17">
        <f>IF((D25+'Non travel METs'!C25)&gt;2.5,(D25+'Non travel METs'!C25),0.1)</f>
        <v>41.318686176125155</v>
      </c>
      <c r="J25" s="17">
        <f>IF((E25+'Non travel METs'!D25)&gt;2.5,(E25+'Non travel METs'!D25),0.1)</f>
        <v>31.972187950060878</v>
      </c>
      <c r="K25" s="17">
        <f>IF((F25+'Non travel METs'!E25)&gt;2.5,(F25+'Non travel METs'!E25),0.1)</f>
        <v>45.356018377145915</v>
      </c>
      <c r="L25" s="17">
        <f>IF((G25+'Non travel METs'!F25)&gt;2.5,(G25+'Non travel METs'!F25),0.1)</f>
        <v>44.742805658288525</v>
      </c>
      <c r="M25" s="17">
        <f>IF((H25+'Non travel METs'!G25)&gt;2.5,(H25+'Non travel METs'!G25),0.1)</f>
        <v>37.882514844033352</v>
      </c>
      <c r="N25" s="19">
        <f>'Phy activity RRs'!$E$4</f>
        <v>0.96065247560449929</v>
      </c>
      <c r="O25" s="15">
        <f>IF(('user page'!$N$39=0),$N25^(I25^0.25),IF(('user page'!$N$39=1),$N25^(I25^0.5),IF(('user page'!$N$39=2),$N25^(I25^0.375),IF(('user page'!$N$39=4),$N25^(I25),IF(('user page'!$N$39=3),$N25^(LN(1+I25)),"")))))</f>
        <v>0.77256831348003008</v>
      </c>
      <c r="P25" s="15">
        <f>IF(('user page'!$N$39=0),$N25^(J25^0.25),IF(('user page'!$N$39=1),$N25^(J25^0.5),IF(('user page'!$N$39=2),$N25^(J25^0.375),IF(('user page'!$N$39=4),$N25^(J25),IF(('user page'!$N$39=3),$N25^(LN(1+J25)),"")))))</f>
        <v>0.79693518483243464</v>
      </c>
      <c r="Q25" s="15">
        <f>IF(('user page'!$N$39=0),$N25^(K25^0.25),IF(('user page'!$N$39=1),$N25^(K25^0.5),IF(('user page'!$N$39=2),$N25^(K25^0.375),IF(('user page'!$N$39=4),$N25^(K25),IF(('user page'!$N$39=3),$N25^(LN(1+K25)),"")))))</f>
        <v>0.76311416900225126</v>
      </c>
      <c r="R25" s="15">
        <f>IF(('user page'!$N$39=0),$N25^(L25^0.25),IF(('user page'!$N$39=1),$N25^(L25^0.5),IF(('user page'!$N$39=2),$N25^(L25^0.375),IF(('user page'!$N$39=4),$N25^(L25),IF(('user page'!$N$39=3),$N25^(LN(1+L25)),"")))))</f>
        <v>0.76451482661546355</v>
      </c>
      <c r="S25" s="15">
        <f>IF(('user page'!$N$39=0),$N25^(M25^0.25),IF(('user page'!$N$39=1),$N25^(M25^0.5),IF(('user page'!$N$39=2),$N25^(M25^0.375),IF(('user page'!$N$39=4),$N25^(M25),IF(('user page'!$N$39=3),$N25^(LN(1+M25)),"")))))</f>
        <v>0.78108402189777659</v>
      </c>
      <c r="T25" s="18">
        <f t="shared" si="16"/>
        <v>1</v>
      </c>
      <c r="U25" s="18">
        <f t="shared" si="16"/>
        <v>1.031540086393971</v>
      </c>
      <c r="V25" s="18">
        <f t="shared" si="16"/>
        <v>0.98776270743593841</v>
      </c>
      <c r="W25" s="18">
        <f t="shared" si="16"/>
        <v>0.98957569612415286</v>
      </c>
      <c r="X25" s="18">
        <f t="shared" si="16"/>
        <v>1.0110225960205221</v>
      </c>
      <c r="Y25" s="18"/>
      <c r="Z25" s="16"/>
      <c r="AA25" s="17">
        <f>GBDUS!O25/($T25+$W25+$X25+U25+V25)</f>
        <v>7.9987205853266404E-3</v>
      </c>
      <c r="AB25" s="16">
        <f t="shared" si="17"/>
        <v>8.2510009236290774E-3</v>
      </c>
      <c r="AC25" s="16">
        <f t="shared" si="17"/>
        <v>7.9008379013858158E-3</v>
      </c>
      <c r="AD25" s="16">
        <f t="shared" si="17"/>
        <v>7.9153394913272015E-3</v>
      </c>
      <c r="AE25" s="16">
        <f t="shared" si="17"/>
        <v>8.0868872510197302E-3</v>
      </c>
      <c r="AF25" s="17">
        <f>GBDUS!P25/($T25+$W25+$X25+U25+V25)</f>
        <v>8.7443284959855483E-2</v>
      </c>
      <c r="AG25" s="16">
        <f t="shared" si="18"/>
        <v>9.0201253722061947E-2</v>
      </c>
      <c r="AH25" s="16">
        <f t="shared" si="18"/>
        <v>8.6373215899039124E-2</v>
      </c>
      <c r="AI25" s="16">
        <f t="shared" si="18"/>
        <v>8.6531749585531656E-2</v>
      </c>
      <c r="AJ25" s="16">
        <f t="shared" si="18"/>
        <v>8.8407136964675365E-2</v>
      </c>
      <c r="AK25" s="17">
        <f>GBDUS!Q25/($T25+$W25+$X25+U25+V25)</f>
        <v>1.0445198677340593E-2</v>
      </c>
      <c r="AL25" s="16">
        <f t="shared" si="19"/>
        <v>1.0774641146026106E-2</v>
      </c>
      <c r="AM25" s="16">
        <f t="shared" si="19"/>
        <v>1.0317377725236226E-2</v>
      </c>
      <c r="AN25" s="16">
        <f t="shared" si="19"/>
        <v>1.0336314752284397E-2</v>
      </c>
      <c r="AO25" s="16">
        <f t="shared" si="19"/>
        <v>1.056033188271501E-2</v>
      </c>
      <c r="AP25" s="16"/>
      <c r="AQ25" s="15"/>
      <c r="AR25" s="15"/>
      <c r="AS25" s="15"/>
    </row>
    <row r="26" spans="1:45" s="13" customFormat="1" ht="12.75" x14ac:dyDescent="0.2">
      <c r="A26" s="20">
        <v>0</v>
      </c>
      <c r="B26" s="20">
        <v>1</v>
      </c>
      <c r="C26" s="20" t="s">
        <v>36</v>
      </c>
      <c r="D26" s="17">
        <f>Baseline!AN25</f>
        <v>0.30266188092522223</v>
      </c>
      <c r="E26" s="17">
        <f>Baseline!AO25</f>
        <v>0.68587463066209398</v>
      </c>
      <c r="F26" s="17">
        <f>Baseline!AP25</f>
        <v>1.2086914276270724</v>
      </c>
      <c r="G26" s="17">
        <f>Baseline!AQ25</f>
        <v>2.130032081531998</v>
      </c>
      <c r="H26" s="17">
        <f>Baseline!AR25</f>
        <v>4.8269539684124263</v>
      </c>
      <c r="I26" s="17">
        <f>IF((D26+'Non travel METs'!C26)&gt;2.5,(D26+'Non travel METs'!C26),0.1)</f>
        <v>4.6776618809252222</v>
      </c>
      <c r="J26" s="17">
        <f>IF((E26+'Non travel METs'!D26)&gt;2.5,(E26+'Non travel METs'!D26),0.1)</f>
        <v>5.6858746306620942</v>
      </c>
      <c r="K26" s="17">
        <f>IF((F26+'Non travel METs'!E26)&gt;2.5,(F26+'Non travel METs'!E26),0.1)</f>
        <v>9.5420247609604019</v>
      </c>
      <c r="L26" s="17">
        <f>IF((G26+'Non travel METs'!F26)&gt;2.5,(G26+'Non travel METs'!F26),0.1)</f>
        <v>5.880032081531998</v>
      </c>
      <c r="M26" s="17">
        <f>IF((H26+'Non travel METs'!G26)&gt;2.5,(H26+'Non travel METs'!G26),0.1)</f>
        <v>17.951953968412425</v>
      </c>
      <c r="N26" s="19">
        <f>'Phy activity RRs'!$E$4</f>
        <v>0.96065247560449929</v>
      </c>
      <c r="O26" s="15">
        <f>IF(('user page'!$N$39=0),$N26^(I26^0.25),IF(('user page'!$N$39=1),$N26^(I26^0.5),IF(('user page'!$N$39=2),$N26^(I26^0.375),IF(('user page'!$N$39=4),$N26^(I26),IF(('user page'!$N$39=3),$N26^(LN(1+I26)),"")))))</f>
        <v>0.91684216140333075</v>
      </c>
      <c r="P26" s="15">
        <f>IF(('user page'!$N$39=0),$N26^(J26^0.25),IF(('user page'!$N$39=1),$N26^(J26^0.5),IF(('user page'!$N$39=2),$N26^(J26^0.375),IF(('user page'!$N$39=4),$N26^(J26),IF(('user page'!$N$39=3),$N26^(LN(1+J26)),"")))))</f>
        <v>0.90871821116815699</v>
      </c>
      <c r="Q26" s="15">
        <f>IF(('user page'!$N$39=0),$N26^(K26^0.25),IF(('user page'!$N$39=1),$N26^(K26^0.5),IF(('user page'!$N$39=2),$N26^(K26^0.375),IF(('user page'!$N$39=4),$N26^(K26),IF(('user page'!$N$39=3),$N26^(LN(1+K26)),"")))))</f>
        <v>0.88337891136518687</v>
      </c>
      <c r="R26" s="15">
        <f>IF(('user page'!$N$39=0),$N26^(L26^0.25),IF(('user page'!$N$39=1),$N26^(L26^0.5),IF(('user page'!$N$39=2),$N26^(L26^0.375),IF(('user page'!$N$39=4),$N26^(L26),IF(('user page'!$N$39=3),$N26^(LN(1+L26)),"")))))</f>
        <v>0.90724675612706362</v>
      </c>
      <c r="S26" s="15">
        <f>IF(('user page'!$N$39=0),$N26^(M26^0.25),IF(('user page'!$N$39=1),$N26^(M26^0.5),IF(('user page'!$N$39=2),$N26^(M26^0.375),IF(('user page'!$N$39=4),$N26^(M26),IF(('user page'!$N$39=3),$N26^(LN(1+M26)),"")))))</f>
        <v>0.84359477671748917</v>
      </c>
      <c r="T26" s="18">
        <f t="shared" si="16"/>
        <v>1</v>
      </c>
      <c r="U26" s="18">
        <f t="shared" si="16"/>
        <v>0.99113920522291521</v>
      </c>
      <c r="V26" s="294">
        <f t="shared" si="16"/>
        <v>0.96350162389246519</v>
      </c>
      <c r="W26" s="18">
        <f t="shared" si="16"/>
        <v>0.98953428880105132</v>
      </c>
      <c r="X26" s="18">
        <f t="shared" si="16"/>
        <v>0.92010905718632297</v>
      </c>
      <c r="Y26" s="18"/>
      <c r="Z26" s="16"/>
      <c r="AA26" s="17">
        <f>GBDUS!O26/($T26+$W26+$X26+U26+V26)</f>
        <v>1.967273460490793E-2</v>
      </c>
      <c r="AB26" s="16">
        <f t="shared" si="17"/>
        <v>1.9498418540869786E-2</v>
      </c>
      <c r="AC26" s="16">
        <f t="shared" si="17"/>
        <v>1.8954711738234285E-2</v>
      </c>
      <c r="AD26" s="16">
        <f t="shared" si="17"/>
        <v>1.94668454460394E-2</v>
      </c>
      <c r="AE26" s="16">
        <f t="shared" si="17"/>
        <v>1.8101061289598586E-2</v>
      </c>
      <c r="AF26" s="17">
        <f>GBDUS!P26/($T26+$W26+$X26+U26+V26)</f>
        <v>0.13270850582973601</v>
      </c>
      <c r="AG26" s="16">
        <f t="shared" si="18"/>
        <v>0.13153260299440517</v>
      </c>
      <c r="AH26" s="16">
        <f t="shared" si="18"/>
        <v>0.12786486087129331</v>
      </c>
      <c r="AI26" s="16">
        <f t="shared" si="18"/>
        <v>0.13131961693407798</v>
      </c>
      <c r="AJ26" s="16">
        <f t="shared" si="18"/>
        <v>0.12210629817960404</v>
      </c>
      <c r="AK26" s="17">
        <f>GBDUS!Q26/($T26+$W26+$X26+U26+V26)</f>
        <v>2.2166430765337006E-2</v>
      </c>
      <c r="AL26" s="16">
        <f t="shared" si="19"/>
        <v>2.1970018571384895E-2</v>
      </c>
      <c r="AM26" s="16">
        <f t="shared" si="19"/>
        <v>2.1357392038302104E-2</v>
      </c>
      <c r="AN26" s="16">
        <f t="shared" si="19"/>
        <v>2.1934443302635498E-2</v>
      </c>
      <c r="AO26" s="16">
        <f t="shared" si="19"/>
        <v>2.0395533712680138E-2</v>
      </c>
      <c r="AP26" s="16"/>
      <c r="AQ26" s="15"/>
      <c r="AR26" s="15"/>
      <c r="AS26" s="15"/>
    </row>
    <row r="27" spans="1:45" s="13" customFormat="1" ht="12.75" x14ac:dyDescent="0.2">
      <c r="A27" s="20">
        <v>0</v>
      </c>
      <c r="B27" s="20">
        <v>1</v>
      </c>
      <c r="C27" s="20" t="s">
        <v>35</v>
      </c>
      <c r="D27" s="17">
        <f>Baseline!AN26</f>
        <v>0.24350710807091377</v>
      </c>
      <c r="E27" s="17">
        <f>Baseline!AO26</f>
        <v>0.55182154852528853</v>
      </c>
      <c r="F27" s="17">
        <f>Baseline!AP26</f>
        <v>0.97245465200915271</v>
      </c>
      <c r="G27" s="17">
        <f>Baseline!AQ26</f>
        <v>1.7137207721254923</v>
      </c>
      <c r="H27" s="17">
        <f>Baseline!AR26</f>
        <v>3.8835336582406703</v>
      </c>
      <c r="I27" s="17">
        <f>IF((D27+'Non travel METs'!C27)&gt;2.5,(D27+'Non travel METs'!C27),0.1)</f>
        <v>0.1</v>
      </c>
      <c r="J27" s="17">
        <f>IF((E27+'Non travel METs'!D27)&gt;2.5,(E27+'Non travel METs'!D27),0.1)</f>
        <v>10.551821548525288</v>
      </c>
      <c r="K27" s="17">
        <f>IF((F27+'Non travel METs'!E27)&gt;2.5,(F27+'Non travel METs'!E27),0.1)</f>
        <v>4.7224546520091524</v>
      </c>
      <c r="L27" s="17">
        <f>IF((G27+'Non travel METs'!F27)&gt;2.5,(G27+'Non travel METs'!F27),0.1)</f>
        <v>6.9220541054588232</v>
      </c>
      <c r="M27" s="17">
        <f>IF((H27+'Non travel METs'!G27)&gt;2.5,(H27+'Non travel METs'!G27),0.1)</f>
        <v>3.8835336582406703</v>
      </c>
      <c r="N27" s="19">
        <f>'Phy activity RRs'!$E$4</f>
        <v>0.96065247560449929</v>
      </c>
      <c r="O27" s="15">
        <f>IF(('user page'!$N$39=0),$N27^(I27^0.25),IF(('user page'!$N$39=1),$N27^(I27^0.5),IF(('user page'!$N$39=2),$N27^(I27^0.375),IF(('user page'!$N$39=4),$N27^(I27),IF(('user page'!$N$39=3),$N27^(LN(1+I27)),"")))))</f>
        <v>0.98738603830564786</v>
      </c>
      <c r="P27" s="15">
        <f>IF(('user page'!$N$39=0),$N27^(J27^0.25),IF(('user page'!$N$39=1),$N27^(J27^0.5),IF(('user page'!$N$39=2),$N27^(J27^0.375),IF(('user page'!$N$39=4),$N27^(J27),IF(('user page'!$N$39=3),$N27^(LN(1+J27)),"")))))</f>
        <v>0.87774657471702322</v>
      </c>
      <c r="Q27" s="15">
        <f>IF(('user page'!$N$39=0),$N27^(K27^0.25),IF(('user page'!$N$39=1),$N27^(K27^0.5),IF(('user page'!$N$39=2),$N27^(K27^0.375),IF(('user page'!$N$39=4),$N27^(K27),IF(('user page'!$N$39=3),$N27^(LN(1+K27)),"")))))</f>
        <v>0.91646202700000512</v>
      </c>
      <c r="R27" s="15">
        <f>IF(('user page'!$N$39=0),$N27^(L27^0.25),IF(('user page'!$N$39=1),$N27^(L27^0.5),IF(('user page'!$N$39=2),$N27^(L27^0.375),IF(('user page'!$N$39=4),$N27^(L27),IF(('user page'!$N$39=3),$N27^(LN(1+L27)),"")))))</f>
        <v>0.89977165136107951</v>
      </c>
      <c r="S27" s="15">
        <f>IF(('user page'!$N$39=0),$N27^(M27^0.25),IF(('user page'!$N$39=1),$N27^(M27^0.5),IF(('user page'!$N$39=2),$N27^(M27^0.375),IF(('user page'!$N$39=4),$N27^(M27),IF(('user page'!$N$39=3),$N27^(LN(1+M27)),"")))))</f>
        <v>0.92394043094917178</v>
      </c>
      <c r="T27" s="18">
        <f t="shared" si="16"/>
        <v>1</v>
      </c>
      <c r="U27" s="18">
        <f t="shared" si="16"/>
        <v>0.88895988059871123</v>
      </c>
      <c r="V27" s="18">
        <f t="shared" si="16"/>
        <v>0.9281699269038195</v>
      </c>
      <c r="W27" s="18">
        <f t="shared" si="16"/>
        <v>0.91126632994029932</v>
      </c>
      <c r="X27" s="18">
        <f t="shared" si="16"/>
        <v>0.93574386825911715</v>
      </c>
      <c r="Y27" s="18"/>
      <c r="Z27" s="16"/>
      <c r="AA27" s="17">
        <f>GBDUS!O27/($T27+$W27+$X27+U27+V27)</f>
        <v>2.3420683784764411E-2</v>
      </c>
      <c r="AB27" s="16">
        <f t="shared" si="17"/>
        <v>2.0820048260844343E-2</v>
      </c>
      <c r="AC27" s="16">
        <f t="shared" si="17"/>
        <v>2.1738374356542255E-2</v>
      </c>
      <c r="AD27" s="16">
        <f t="shared" si="17"/>
        <v>2.1342480557234544E-2</v>
      </c>
      <c r="AE27" s="16">
        <f t="shared" si="17"/>
        <v>2.1915761242029031E-2</v>
      </c>
      <c r="AF27" s="17">
        <f>GBDUS!P27/($T27+$W27+$X27+U27+V27)</f>
        <v>7.4962084453841046E-2</v>
      </c>
      <c r="AG27" s="16">
        <f t="shared" si="18"/>
        <v>6.6638285645517048E-2</v>
      </c>
      <c r="AH27" s="16">
        <f t="shared" si="18"/>
        <v>6.9577552448079588E-2</v>
      </c>
      <c r="AI27" s="16">
        <f t="shared" si="18"/>
        <v>6.8310423584926491E-2</v>
      </c>
      <c r="AJ27" s="16">
        <f t="shared" si="18"/>
        <v>7.014531087960385E-2</v>
      </c>
      <c r="AK27" s="17">
        <f>GBDUS!Q27/($T27+$W27+$X27+U27+V27)</f>
        <v>1.9382626565841294E-2</v>
      </c>
      <c r="AL27" s="16">
        <f t="shared" si="19"/>
        <v>1.7230377397659685E-2</v>
      </c>
      <c r="AM27" s="16">
        <f t="shared" si="19"/>
        <v>1.7990371082820943E-2</v>
      </c>
      <c r="AN27" s="16">
        <f t="shared" si="19"/>
        <v>1.7662734975257544E-2</v>
      </c>
      <c r="AO27" s="16">
        <f t="shared" si="19"/>
        <v>1.8137173959742261E-2</v>
      </c>
      <c r="AP27" s="16"/>
      <c r="AQ27" s="15"/>
      <c r="AR27" s="15"/>
      <c r="AS27" s="15"/>
    </row>
    <row r="28" spans="1:45" s="13" customFormat="1" ht="12.75" x14ac:dyDescent="0.2">
      <c r="A28" s="20">
        <v>0</v>
      </c>
      <c r="B28" s="20">
        <v>2</v>
      </c>
      <c r="C28" s="20" t="s">
        <v>2</v>
      </c>
      <c r="D28" s="17"/>
      <c r="E28" s="17"/>
      <c r="F28" s="17"/>
      <c r="G28" s="17"/>
      <c r="H28" s="17"/>
      <c r="I28" s="17"/>
      <c r="J28" s="17"/>
      <c r="K28" s="17"/>
      <c r="L28" s="17"/>
      <c r="M28" s="17"/>
      <c r="N28" s="19"/>
      <c r="O28" s="15"/>
      <c r="P28" s="15"/>
      <c r="Q28" s="15"/>
      <c r="R28" s="15"/>
      <c r="S28" s="15"/>
      <c r="T28" s="18"/>
      <c r="U28" s="18"/>
      <c r="V28" s="18"/>
      <c r="W28" s="18"/>
      <c r="X28" s="18"/>
      <c r="Y28" s="18"/>
      <c r="Z28" s="16"/>
      <c r="AA28" s="17"/>
      <c r="AB28" s="16"/>
      <c r="AC28" s="16"/>
      <c r="AD28" s="16"/>
      <c r="AE28" s="16"/>
      <c r="AF28" s="17"/>
      <c r="AG28" s="16"/>
      <c r="AH28" s="16"/>
      <c r="AI28" s="16"/>
      <c r="AJ28" s="16"/>
      <c r="AK28" s="17"/>
      <c r="AL28" s="16"/>
      <c r="AM28" s="16"/>
      <c r="AN28" s="16"/>
      <c r="AO28" s="16"/>
      <c r="AP28" s="16"/>
      <c r="AQ28" s="15"/>
      <c r="AR28" s="15"/>
      <c r="AS28" s="15"/>
    </row>
    <row r="29" spans="1:45" s="13" customFormat="1" ht="12.75" x14ac:dyDescent="0.2">
      <c r="A29" s="20">
        <v>0</v>
      </c>
      <c r="B29" s="20">
        <v>2</v>
      </c>
      <c r="C29" s="20" t="s">
        <v>41</v>
      </c>
      <c r="D29" s="17"/>
      <c r="E29" s="17"/>
      <c r="F29" s="17"/>
      <c r="G29" s="17"/>
      <c r="H29" s="17"/>
      <c r="I29" s="17"/>
      <c r="J29" s="17"/>
      <c r="K29" s="17"/>
      <c r="L29" s="17"/>
      <c r="M29" s="17"/>
      <c r="N29" s="19"/>
      <c r="O29" s="15"/>
      <c r="P29" s="15"/>
      <c r="Q29" s="15"/>
      <c r="R29" s="15"/>
      <c r="S29" s="15"/>
      <c r="T29" s="18"/>
      <c r="U29" s="18"/>
      <c r="V29" s="18"/>
      <c r="W29" s="18"/>
      <c r="X29" s="18"/>
      <c r="Y29" s="18"/>
      <c r="Z29" s="16"/>
      <c r="AA29" s="17"/>
      <c r="AB29" s="16"/>
      <c r="AC29" s="16"/>
      <c r="AD29" s="16"/>
      <c r="AE29" s="16"/>
      <c r="AF29" s="17"/>
      <c r="AG29" s="16"/>
      <c r="AH29" s="16"/>
      <c r="AI29" s="16"/>
      <c r="AJ29" s="16"/>
      <c r="AK29" s="17"/>
      <c r="AL29" s="16"/>
      <c r="AM29" s="16"/>
      <c r="AN29" s="16"/>
      <c r="AO29" s="16"/>
      <c r="AP29" s="16"/>
      <c r="AQ29" s="15"/>
      <c r="AR29" s="15"/>
      <c r="AS29" s="15"/>
    </row>
    <row r="30" spans="1:45" s="13" customFormat="1" ht="12.75" x14ac:dyDescent="0.2">
      <c r="A30" s="20">
        <v>0</v>
      </c>
      <c r="B30" s="20">
        <v>2</v>
      </c>
      <c r="C30" s="20" t="s">
        <v>40</v>
      </c>
      <c r="D30" s="17">
        <f>Baseline!AN29</f>
        <v>0.78305520090183223</v>
      </c>
      <c r="E30" s="17">
        <f>Baseline!AO29</f>
        <v>1.774513840542973</v>
      </c>
      <c r="F30" s="17">
        <f>Baseline!AP29</f>
        <v>3.1271599376688002</v>
      </c>
      <c r="G30" s="17">
        <f>Baseline!AQ29</f>
        <v>5.5108779950504481</v>
      </c>
      <c r="H30" s="17">
        <f>Baseline!AR29</f>
        <v>12.488428995169523</v>
      </c>
      <c r="I30" s="17">
        <f>IF((D30+'Non travel METs'!C30)&gt;2.5,(D30+'Non travel METs'!C30),0.1)</f>
        <v>9.6497218675685037</v>
      </c>
      <c r="J30" s="17">
        <f>IF((E30+'Non travel METs'!D30)&gt;2.5,(E30+'Non travel METs'!D30),0.1)</f>
        <v>26.374513840542974</v>
      </c>
      <c r="K30" s="17">
        <f>IF((F30+'Non travel METs'!E30)&gt;2.5,(F30+'Non travel METs'!E30),0.1)</f>
        <v>32.977159937668802</v>
      </c>
      <c r="L30" s="17">
        <f>IF((G30+'Non travel METs'!F30)&gt;2.5,(G30+'Non travel METs'!F30),0.1)</f>
        <v>35.910877995050448</v>
      </c>
      <c r="M30" s="17">
        <f>IF((H30+'Non travel METs'!G30)&gt;2.5,(H30+'Non travel METs'!G30),0.1)</f>
        <v>53.488428995169521</v>
      </c>
      <c r="N30" s="19">
        <f>'Phy activity RRs'!$F$4</f>
        <v>0.97288384048792509</v>
      </c>
      <c r="O30" s="15">
        <f>IF(('user page'!$N$39=0),$N30^(I30^0.25),IF(('user page'!$N$39=1),$N30^(I30^0.5),IF(('user page'!$N$39=2),$N30^(I30^0.375),IF(('user page'!$N$39=4),$N30^(I30),IF(('user page'!$N$39=3),$N30^(LN(1+I30)),"")))))</f>
        <v>0.91814792521572897</v>
      </c>
      <c r="P30" s="15">
        <f>IF(('user page'!$N$39=0),$N30^(J30^0.25),IF(('user page'!$N$39=1),$N30^(J30^0.5),IF(('user page'!$N$39=2),$N30^(J30^0.375),IF(('user page'!$N$39=4),$N30^(J30),IF(('user page'!$N$39=3),$N30^(LN(1+J30)),"")))))</f>
        <v>0.86833213287726951</v>
      </c>
      <c r="Q30" s="15">
        <f>IF(('user page'!$N$39=0),$N30^(K30^0.25),IF(('user page'!$N$39=1),$N30^(K30^0.5),IF(('user page'!$N$39=2),$N30^(K30^0.375),IF(('user page'!$N$39=4),$N30^(K30),IF(('user page'!$N$39=3),$N30^(LN(1+K30)),"")))))</f>
        <v>0.85396357535052381</v>
      </c>
      <c r="R30" s="15">
        <f>IF(('user page'!$N$39=0),$N30^(L30^0.25),IF(('user page'!$N$39=1),$N30^(L30^0.5),IF(('user page'!$N$39=2),$N30^(L30^0.375),IF(('user page'!$N$39=4),$N30^(L30),IF(('user page'!$N$39=3),$N30^(LN(1+L30)),"")))))</f>
        <v>0.84811484147094507</v>
      </c>
      <c r="S30" s="15">
        <f>IF(('user page'!$N$39=0),$N30^(M30^0.25),IF(('user page'!$N$39=1),$N30^(M30^0.5),IF(('user page'!$N$39=2),$N30^(M30^0.375),IF(('user page'!$N$39=4),$N30^(M30),IF(('user page'!$N$39=3),$N30^(LN(1+M30)),"")))))</f>
        <v>0.81786780617314758</v>
      </c>
      <c r="T30" s="18">
        <f t="shared" ref="T30:X35" si="20">O30/$O30</f>
        <v>1</v>
      </c>
      <c r="U30" s="18">
        <f t="shared" si="20"/>
        <v>0.94574317387173235</v>
      </c>
      <c r="V30" s="18">
        <f t="shared" si="20"/>
        <v>0.93009367216058969</v>
      </c>
      <c r="W30" s="18">
        <f t="shared" si="20"/>
        <v>0.92372352883297226</v>
      </c>
      <c r="X30" s="18">
        <f t="shared" si="20"/>
        <v>0.89077999711318911</v>
      </c>
      <c r="Y30" s="18"/>
      <c r="Z30" s="16"/>
      <c r="AA30" s="17">
        <f>GBDUS!O30/($T30+$W30+$X30+U30+V30)</f>
        <v>0</v>
      </c>
      <c r="AB30" s="16">
        <f t="shared" ref="AB30:AE35" si="21">$AA30*U30</f>
        <v>0</v>
      </c>
      <c r="AC30" s="16">
        <f t="shared" si="21"/>
        <v>0</v>
      </c>
      <c r="AD30" s="16">
        <f t="shared" si="21"/>
        <v>0</v>
      </c>
      <c r="AE30" s="16">
        <f t="shared" si="21"/>
        <v>0</v>
      </c>
      <c r="AF30" s="17">
        <f>GBDUS!P30/($T30+$W30+$X30+U30+V30)</f>
        <v>0</v>
      </c>
      <c r="AG30" s="16">
        <f t="shared" ref="AG30:AJ35" si="22">$AF30*U30</f>
        <v>0</v>
      </c>
      <c r="AH30" s="16">
        <f t="shared" si="22"/>
        <v>0</v>
      </c>
      <c r="AI30" s="16">
        <f t="shared" si="22"/>
        <v>0</v>
      </c>
      <c r="AJ30" s="16">
        <f t="shared" si="22"/>
        <v>0</v>
      </c>
      <c r="AK30" s="17">
        <f>GBDUS!Q30/($T30+$W30+$X30+U30+V30)</f>
        <v>4.0918426073323606E-5</v>
      </c>
      <c r="AL30" s="16">
        <f t="shared" ref="AL30:AO35" si="23">U30*$AK30</f>
        <v>3.8698322144420915E-5</v>
      </c>
      <c r="AM30" s="16">
        <f t="shared" si="23"/>
        <v>3.8057969165569173E-5</v>
      </c>
      <c r="AN30" s="16">
        <f t="shared" si="23"/>
        <v>3.7797312926741584E-5</v>
      </c>
      <c r="AO30" s="16">
        <f t="shared" si="23"/>
        <v>3.6449315459471441E-5</v>
      </c>
      <c r="AP30" s="16"/>
      <c r="AQ30" s="15"/>
      <c r="AR30" s="15"/>
      <c r="AS30" s="15"/>
    </row>
    <row r="31" spans="1:45" s="13" customFormat="1" ht="12.75" x14ac:dyDescent="0.2">
      <c r="A31" s="20">
        <v>0</v>
      </c>
      <c r="B31" s="20">
        <v>2</v>
      </c>
      <c r="C31" s="20" t="s">
        <v>39</v>
      </c>
      <c r="D31" s="17">
        <f>Baseline!AN30</f>
        <v>0.47165676213737562</v>
      </c>
      <c r="E31" s="17">
        <f>Baseline!AO30</f>
        <v>1.0688409341187475</v>
      </c>
      <c r="F31" s="17">
        <f>Baseline!AP30</f>
        <v>1.8835787428369182</v>
      </c>
      <c r="G31" s="17">
        <f>Baseline!AQ30</f>
        <v>3.3193609705753828</v>
      </c>
      <c r="H31" s="17">
        <f>Baseline!AR30</f>
        <v>7.5221414496199817</v>
      </c>
      <c r="I31" s="17">
        <f>IF((D31+'Non travel METs'!C31)&gt;2.5,(D31+'Non travel METs'!C31),0.1)</f>
        <v>41.471656762137378</v>
      </c>
      <c r="J31" s="17">
        <f>IF((E31+'Non travel METs'!D31)&gt;2.5,(E31+'Non travel METs'!D31),0.1)</f>
        <v>36.943840934118747</v>
      </c>
      <c r="K31" s="17">
        <f>IF((F31+'Non travel METs'!E31)&gt;2.5,(F31+'Non travel METs'!E31),0.1)</f>
        <v>40.733578742836919</v>
      </c>
      <c r="L31" s="17">
        <f>IF((G31+'Non travel METs'!F31)&gt;2.5,(G31+'Non travel METs'!F31),0.1)</f>
        <v>44.319360970575381</v>
      </c>
      <c r="M31" s="17">
        <f>IF((H31+'Non travel METs'!G31)&gt;2.5,(H31+'Non travel METs'!G31),0.1)</f>
        <v>49.788808116286681</v>
      </c>
      <c r="N31" s="19">
        <f>'Phy activity RRs'!$F$4</f>
        <v>0.97288384048792509</v>
      </c>
      <c r="O31" s="15">
        <f>IF(('user page'!$N$39=0),$N31^(I31^0.25),IF(('user page'!$N$39=1),$N31^(I31^0.5),IF(('user page'!$N$39=2),$N31^(I31^0.375),IF(('user page'!$N$39=4),$N31^(I31),IF(('user page'!$N$39=3),$N31^(LN(1+I31)),"")))))</f>
        <v>0.83775026906557826</v>
      </c>
      <c r="P31" s="15">
        <f>IF(('user page'!$N$39=0),$N31^(J31^0.25),IF(('user page'!$N$39=1),$N31^(J31^0.5),IF(('user page'!$N$39=2),$N31^(J31^0.375),IF(('user page'!$N$39=4),$N31^(J31),IF(('user page'!$N$39=3),$N31^(LN(1+J31)),"")))))</f>
        <v>0.84612196793753691</v>
      </c>
      <c r="Q31" s="15">
        <f>IF(('user page'!$N$39=0),$N31^(K31^0.25),IF(('user page'!$N$39=1),$N31^(K31^0.5),IF(('user page'!$N$39=2),$N31^(K31^0.375),IF(('user page'!$N$39=4),$N31^(K31),IF(('user page'!$N$39=3),$N31^(LN(1+K31)),"")))))</f>
        <v>0.83907700399725182</v>
      </c>
      <c r="R31" s="15">
        <f>IF(('user page'!$N$39=0),$N31^(L31^0.25),IF(('user page'!$N$39=1),$N31^(L31^0.5),IF(('user page'!$N$39=2),$N31^(L31^0.375),IF(('user page'!$N$39=4),$N31^(L31),IF(('user page'!$N$39=3),$N31^(LN(1+L31)),"")))))</f>
        <v>0.83275774585736262</v>
      </c>
      <c r="S31" s="15">
        <f>IF(('user page'!$N$39=0),$N31^(M31^0.25),IF(('user page'!$N$39=1),$N31^(M31^0.5),IF(('user page'!$N$39=2),$N31^(M31^0.375),IF(('user page'!$N$39=4),$N31^(M31),IF(('user page'!$N$39=3),$N31^(LN(1+M31)),"")))))</f>
        <v>0.82367698241147136</v>
      </c>
      <c r="T31" s="18">
        <f t="shared" si="20"/>
        <v>1</v>
      </c>
      <c r="U31" s="18">
        <f t="shared" si="20"/>
        <v>1.0099930721374717</v>
      </c>
      <c r="V31" s="18">
        <f t="shared" si="20"/>
        <v>1.0015836878610058</v>
      </c>
      <c r="W31" s="18">
        <f t="shared" si="20"/>
        <v>0.99404055911102929</v>
      </c>
      <c r="X31" s="18">
        <f t="shared" si="20"/>
        <v>0.98320109563222924</v>
      </c>
      <c r="Y31" s="18"/>
      <c r="Z31" s="16"/>
      <c r="AA31" s="17">
        <f>GBDUS!O31/($T31+$W31+$X31+U31+V31)</f>
        <v>2.6504321162254091E-4</v>
      </c>
      <c r="AB31" s="16">
        <f t="shared" si="21"/>
        <v>2.6769180755583212E-4</v>
      </c>
      <c r="AC31" s="16">
        <f t="shared" si="21"/>
        <v>2.6546295733942952E-4</v>
      </c>
      <c r="AD31" s="16">
        <f t="shared" si="21"/>
        <v>2.634637022698534E-4</v>
      </c>
      <c r="AE31" s="16">
        <f t="shared" si="21"/>
        <v>2.6059077605716704E-4</v>
      </c>
      <c r="AF31" s="17">
        <f>GBDUS!P31/($T31+$W31+$X31+U31+V31)</f>
        <v>6.4682086432729042E-3</v>
      </c>
      <c r="AG31" s="16">
        <f t="shared" si="22"/>
        <v>6.5328459188453486E-3</v>
      </c>
      <c r="AH31" s="16">
        <f t="shared" si="22"/>
        <v>6.478452266783708E-3</v>
      </c>
      <c r="AI31" s="16">
        <f t="shared" si="22"/>
        <v>6.4296617362057896E-3</v>
      </c>
      <c r="AJ31" s="16">
        <f t="shared" si="22"/>
        <v>6.3595498248437739E-3</v>
      </c>
      <c r="AK31" s="17">
        <f>GBDUS!Q31/($T31+$W31+$X31+U31+V31)</f>
        <v>3.9838847199639147E-4</v>
      </c>
      <c r="AL31" s="16">
        <f t="shared" si="23"/>
        <v>4.0236959673578852E-4</v>
      </c>
      <c r="AM31" s="16">
        <f t="shared" si="23"/>
        <v>3.9901939498345683E-4</v>
      </c>
      <c r="AN31" s="16">
        <f t="shared" si="23"/>
        <v>3.9601429944668162E-4</v>
      </c>
      <c r="AO31" s="16">
        <f t="shared" si="23"/>
        <v>3.9169598215410176E-4</v>
      </c>
      <c r="AP31" s="16"/>
      <c r="AQ31" s="15"/>
      <c r="AR31" s="15"/>
      <c r="AS31" s="15"/>
    </row>
    <row r="32" spans="1:45" s="13" customFormat="1" ht="12.75" x14ac:dyDescent="0.2">
      <c r="A32" s="20">
        <v>0</v>
      </c>
      <c r="B32" s="20">
        <v>2</v>
      </c>
      <c r="C32" s="20" t="s">
        <v>38</v>
      </c>
      <c r="D32" s="17">
        <f>Baseline!AN31</f>
        <v>0.39813871625667402</v>
      </c>
      <c r="E32" s="17">
        <f>Baseline!AO31</f>
        <v>0.90223864376331542</v>
      </c>
      <c r="F32" s="17">
        <f>Baseline!AP31</f>
        <v>1.5899817045833551</v>
      </c>
      <c r="G32" s="17">
        <f>Baseline!AQ31</f>
        <v>2.8019657973915968</v>
      </c>
      <c r="H32" s="17">
        <f>Baseline!AR31</f>
        <v>6.3496508068308559</v>
      </c>
      <c r="I32" s="17">
        <f>IF((D32+'Non travel METs'!C32)&gt;2.5,(D32+'Non travel METs'!C32),0.1)</f>
        <v>42.048138716256673</v>
      </c>
      <c r="J32" s="17">
        <f>IF((E32+'Non travel METs'!D32)&gt;2.5,(E32+'Non travel METs'!D32),0.1)</f>
        <v>43.952238643763316</v>
      </c>
      <c r="K32" s="17">
        <f>IF((F32+'Non travel METs'!E32)&gt;2.5,(F32+'Non travel METs'!E32),0.1)</f>
        <v>47.656648371250057</v>
      </c>
      <c r="L32" s="17">
        <f>IF((G32+'Non travel METs'!F32)&gt;2.5,(G32+'Non travel METs'!F32),0.1)</f>
        <v>43.801965797391595</v>
      </c>
      <c r="M32" s="17">
        <f>IF((H32+'Non travel METs'!G32)&gt;2.5,(H32+'Non travel METs'!G32),0.1)</f>
        <v>47.349650806830859</v>
      </c>
      <c r="N32" s="19">
        <f>'Phy activity RRs'!$F$4</f>
        <v>0.97288384048792509</v>
      </c>
      <c r="O32" s="15">
        <f>IF(('user page'!$N$39=0),$N32^(I32^0.25),IF(('user page'!$N$39=1),$N32^(I32^0.5),IF(('user page'!$N$39=2),$N32^(I32^0.375),IF(('user page'!$N$39=4),$N32^(I32),IF(('user page'!$N$39=3),$N32^(LN(1+I32)),"")))))</f>
        <v>0.83672364618184503</v>
      </c>
      <c r="P32" s="15">
        <f>IF(('user page'!$N$39=0),$N32^(J32^0.25),IF(('user page'!$N$39=1),$N32^(J32^0.5),IF(('user page'!$N$39=2),$N32^(J32^0.375),IF(('user page'!$N$39=4),$N32^(J32),IF(('user page'!$N$39=3),$N32^(LN(1+J32)),"")))))</f>
        <v>0.83339052751327258</v>
      </c>
      <c r="Q32" s="15">
        <f>IF(('user page'!$N$39=0),$N32^(K32^0.25),IF(('user page'!$N$39=1),$N32^(K32^0.5),IF(('user page'!$N$39=2),$N32^(K32^0.375),IF(('user page'!$N$39=4),$N32^(K32),IF(('user page'!$N$39=3),$N32^(LN(1+K32)),"")))))</f>
        <v>0.82714277823756666</v>
      </c>
      <c r="R32" s="15">
        <f>IF(('user page'!$N$39=0),$N32^(L32^0.25),IF(('user page'!$N$39=1),$N32^(L32^0.5),IF(('user page'!$N$39=2),$N32^(L32^0.375),IF(('user page'!$N$39=4),$N32^(L32),IF(('user page'!$N$39=3),$N32^(LN(1+L32)),"")))))</f>
        <v>0.8336504429007634</v>
      </c>
      <c r="S32" s="15">
        <f>IF(('user page'!$N$39=0),$N32^(M32^0.25),IF(('user page'!$N$39=1),$N32^(M32^0.5),IF(('user page'!$N$39=2),$N32^(M32^0.375),IF(('user page'!$N$39=4),$N32^(M32),IF(('user page'!$N$39=3),$N32^(LN(1+M32)),"")))))</f>
        <v>0.82764935089579994</v>
      </c>
      <c r="T32" s="18">
        <f t="shared" si="20"/>
        <v>1</v>
      </c>
      <c r="U32" s="18">
        <f t="shared" si="20"/>
        <v>0.99601646411717637</v>
      </c>
      <c r="V32" s="18">
        <f t="shared" si="20"/>
        <v>0.98854954322374178</v>
      </c>
      <c r="W32" s="18">
        <f t="shared" si="20"/>
        <v>0.99632709880364279</v>
      </c>
      <c r="X32" s="18">
        <f t="shared" si="20"/>
        <v>0.98915496732110642</v>
      </c>
      <c r="Y32" s="18"/>
      <c r="Z32" s="16"/>
      <c r="AA32" s="17">
        <f>GBDUS!O32/($T32+$W32+$X32+U32+V32)</f>
        <v>2.1789127906141669E-3</v>
      </c>
      <c r="AB32" s="16">
        <f t="shared" si="21"/>
        <v>2.1702330133272119E-3</v>
      </c>
      <c r="AC32" s="16">
        <f t="shared" si="21"/>
        <v>2.153963243886003E-3</v>
      </c>
      <c r="AD32" s="16">
        <f t="shared" si="21"/>
        <v>2.1709098592187621E-3</v>
      </c>
      <c r="AE32" s="16">
        <f t="shared" si="21"/>
        <v>2.155282410195497E-3</v>
      </c>
      <c r="AF32" s="17">
        <f>GBDUS!P32/($T32+$W32+$X32+U32+V32)</f>
        <v>3.9115886186119199E-2</v>
      </c>
      <c r="AG32" s="16">
        <f t="shared" si="22"/>
        <v>3.8960066649908351E-2</v>
      </c>
      <c r="AH32" s="16">
        <f t="shared" si="22"/>
        <v>3.8667991422080002E-2</v>
      </c>
      <c r="AI32" s="16">
        <f t="shared" si="22"/>
        <v>3.8972217400949631E-2</v>
      </c>
      <c r="AJ32" s="16">
        <f t="shared" si="22"/>
        <v>3.8691673122166856E-2</v>
      </c>
      <c r="AK32" s="17">
        <f>GBDUS!Q32/($T32+$W32+$X32+U32+V32)</f>
        <v>3.7409190159942768E-3</v>
      </c>
      <c r="AL32" s="16">
        <f t="shared" si="23"/>
        <v>3.7260169308593262E-3</v>
      </c>
      <c r="AM32" s="16">
        <f t="shared" si="23"/>
        <v>3.6980837844981518E-3</v>
      </c>
      <c r="AN32" s="16">
        <f t="shared" si="23"/>
        <v>3.7271789900649561E-3</v>
      </c>
      <c r="AO32" s="16">
        <f t="shared" si="23"/>
        <v>3.7003486270167246E-3</v>
      </c>
      <c r="AP32" s="16"/>
      <c r="AQ32" s="15"/>
      <c r="AR32" s="15"/>
      <c r="AS32" s="15"/>
    </row>
    <row r="33" spans="1:45" s="13" customFormat="1" ht="12.75" x14ac:dyDescent="0.2">
      <c r="A33" s="20">
        <v>0</v>
      </c>
      <c r="B33" s="20">
        <v>2</v>
      </c>
      <c r="C33" s="20" t="s">
        <v>37</v>
      </c>
      <c r="D33" s="17">
        <f>Baseline!AN32</f>
        <v>0.26186863902756607</v>
      </c>
      <c r="E33" s="17">
        <f>Baseline!AO32</f>
        <v>0.59343137472733987</v>
      </c>
      <c r="F33" s="17">
        <f>Baseline!AP32</f>
        <v>1.0457821057260546</v>
      </c>
      <c r="G33" s="17">
        <f>Baseline!AQ32</f>
        <v>1.8429430246409162</v>
      </c>
      <c r="H33" s="17">
        <f>Baseline!AR32</f>
        <v>4.1763695596313646</v>
      </c>
      <c r="I33" s="17">
        <f>IF((D33+'Non travel METs'!C33)&gt;2.5,(D33+'Non travel METs'!C33),0.1)</f>
        <v>33.061868639027566</v>
      </c>
      <c r="J33" s="17">
        <f>IF((E33+'Non travel METs'!D33)&gt;2.5,(E33+'Non travel METs'!D33),0.1)</f>
        <v>18.593431374727341</v>
      </c>
      <c r="K33" s="17">
        <f>IF((F33+'Non travel METs'!E33)&gt;2.5,(F33+'Non travel METs'!E33),0.1)</f>
        <v>32.795782105726055</v>
      </c>
      <c r="L33" s="17">
        <f>IF((G33+'Non travel METs'!F33)&gt;2.5,(G33+'Non travel METs'!F33),0.1)</f>
        <v>22.342943024640917</v>
      </c>
      <c r="M33" s="17">
        <f>IF((H33+'Non travel METs'!G33)&gt;2.5,(H33+'Non travel METs'!G33),0.1)</f>
        <v>8.6763695596313646</v>
      </c>
      <c r="N33" s="19">
        <f>'Phy activity RRs'!$F$4</f>
        <v>0.97288384048792509</v>
      </c>
      <c r="O33" s="15">
        <f>IF(('user page'!$N$39=0),$N33^(I33^0.25),IF(('user page'!$N$39=1),$N33^(I33^0.5),IF(('user page'!$N$39=2),$N33^(I33^0.375),IF(('user page'!$N$39=4),$N33^(I33),IF(('user page'!$N$39=3),$N33^(LN(1+I33)),"")))))</f>
        <v>0.8537905570130393</v>
      </c>
      <c r="P33" s="15">
        <f>IF(('user page'!$N$39=0),$N33^(J33^0.25),IF(('user page'!$N$39=1),$N33^(J33^0.5),IF(('user page'!$N$39=2),$N33^(J33^0.375),IF(('user page'!$N$39=4),$N33^(J33),IF(('user page'!$N$39=3),$N33^(LN(1+J33)),"")))))</f>
        <v>0.88821656281180184</v>
      </c>
      <c r="Q33" s="15">
        <f>IF(('user page'!$N$39=0),$N33^(K33^0.25),IF(('user page'!$N$39=1),$N33^(K33^0.5),IF(('user page'!$N$39=2),$N33^(K33^0.375),IF(('user page'!$N$39=4),$N33^(K33),IF(('user page'!$N$39=3),$N33^(LN(1+K33)),"")))))</f>
        <v>0.85433490852456129</v>
      </c>
      <c r="R33" s="15">
        <f>IF(('user page'!$N$39=0),$N33^(L33^0.25),IF(('user page'!$N$39=1),$N33^(L33^0.5),IF(('user page'!$N$39=2),$N33^(L33^0.375),IF(('user page'!$N$39=4),$N33^(L33),IF(('user page'!$N$39=3),$N33^(LN(1+L33)),"")))))</f>
        <v>0.87814513968690833</v>
      </c>
      <c r="S33" s="15">
        <f>IF(('user page'!$N$39=0),$N33^(M33^0.25),IF(('user page'!$N$39=1),$N33^(M33^0.5),IF(('user page'!$N$39=2),$N33^(M33^0.375),IF(('user page'!$N$39=4),$N33^(M33),IF(('user page'!$N$39=3),$N33^(LN(1+M33)),"")))))</f>
        <v>0.92221638994533506</v>
      </c>
      <c r="T33" s="18">
        <f t="shared" si="20"/>
        <v>1</v>
      </c>
      <c r="U33" s="18">
        <f t="shared" si="20"/>
        <v>1.040321370991969</v>
      </c>
      <c r="V33" s="18">
        <f t="shared" si="20"/>
        <v>1.0006375703116539</v>
      </c>
      <c r="W33" s="18">
        <f t="shared" si="20"/>
        <v>1.0285252424892972</v>
      </c>
      <c r="X33" s="18">
        <f t="shared" si="20"/>
        <v>1.0801435813154008</v>
      </c>
      <c r="Y33" s="18"/>
      <c r="Z33" s="16"/>
      <c r="AA33" s="17">
        <f>GBDUS!O33/($T33+$W33+$X33+U33+V33)</f>
        <v>6.6318533495904946E-3</v>
      </c>
      <c r="AB33" s="16">
        <f t="shared" si="21"/>
        <v>6.8992587688636647E-3</v>
      </c>
      <c r="AC33" s="16">
        <f t="shared" si="21"/>
        <v>6.6360816223974359E-3</v>
      </c>
      <c r="AD33" s="16">
        <f t="shared" si="21"/>
        <v>6.8210285745410213E-3</v>
      </c>
      <c r="AE33" s="16">
        <f t="shared" si="21"/>
        <v>7.1633538277852135E-3</v>
      </c>
      <c r="AF33" s="17">
        <f>GBDUS!P33/($T33+$W33+$X33+U33+V33)</f>
        <v>8.234121758439028E-2</v>
      </c>
      <c r="AG33" s="16">
        <f t="shared" si="22"/>
        <v>8.5661328366540918E-2</v>
      </c>
      <c r="AH33" s="16">
        <f t="shared" si="22"/>
        <v>8.2393715900147518E-2</v>
      </c>
      <c r="AI33" s="16">
        <f t="shared" si="22"/>
        <v>8.4690020782848999E-2</v>
      </c>
      <c r="AJ33" s="16">
        <f t="shared" si="22"/>
        <v>8.8940337651473966E-2</v>
      </c>
      <c r="AK33" s="17">
        <f>GBDUS!Q33/($T33+$W33+$X33+U33+V33)</f>
        <v>9.2924766416259286E-3</v>
      </c>
      <c r="AL33" s="16">
        <f t="shared" si="23"/>
        <v>9.667162039727133E-3</v>
      </c>
      <c r="AM33" s="16">
        <f t="shared" si="23"/>
        <v>9.2984012488543672E-3</v>
      </c>
      <c r="AN33" s="16">
        <f t="shared" si="23"/>
        <v>9.5575467911544389E-3</v>
      </c>
      <c r="AO33" s="16">
        <f t="shared" si="23"/>
        <v>1.0037208998975538E-2</v>
      </c>
      <c r="AP33" s="16"/>
      <c r="AQ33" s="15"/>
      <c r="AR33" s="15"/>
      <c r="AS33" s="15"/>
    </row>
    <row r="34" spans="1:45" s="13" customFormat="1" ht="12.75" x14ac:dyDescent="0.2">
      <c r="A34" s="20">
        <v>0</v>
      </c>
      <c r="B34" s="20">
        <v>2</v>
      </c>
      <c r="C34" s="20" t="s">
        <v>36</v>
      </c>
      <c r="D34" s="17">
        <f>Baseline!AN33</f>
        <v>0.23782262690158459</v>
      </c>
      <c r="E34" s="17">
        <f>Baseline!AO33</f>
        <v>0.53893971018277653</v>
      </c>
      <c r="F34" s="17">
        <f>Baseline!AP33</f>
        <v>0.94975346598971733</v>
      </c>
      <c r="G34" s="17">
        <f>Baseline!AQ33</f>
        <v>1.6737153138215863</v>
      </c>
      <c r="H34" s="17">
        <f>Baseline!AR33</f>
        <v>3.7928756313534393</v>
      </c>
      <c r="I34" s="17">
        <f>IF((D34+'Non travel METs'!C34)&gt;2.5,(D34+'Non travel METs'!C34),0.1)</f>
        <v>6.0711559602349148</v>
      </c>
      <c r="J34" s="17">
        <f>IF((E34+'Non travel METs'!D34)&gt;2.5,(E34+'Non travel METs'!D34),0.1)</f>
        <v>5.5389397101827766</v>
      </c>
      <c r="K34" s="17">
        <f>IF((F34+'Non travel METs'!E34)&gt;2.5,(F34+'Non travel METs'!E34),0.1)</f>
        <v>3.4497534659897173</v>
      </c>
      <c r="L34" s="17">
        <f>IF((G34+'Non travel METs'!F34)&gt;2.5,(G34+'Non travel METs'!F34),0.1)</f>
        <v>5.4237153138215861</v>
      </c>
      <c r="M34" s="17">
        <f>IF((H34+'Non travel METs'!G34)&gt;2.5,(H34+'Non travel METs'!G34),0.1)</f>
        <v>3.7928756313534393</v>
      </c>
      <c r="N34" s="19">
        <f>'Phy activity RRs'!$F$4</f>
        <v>0.97288384048792509</v>
      </c>
      <c r="O34" s="15">
        <f>IF(('user page'!$N$39=0),$N34^(I34^0.25),IF(('user page'!$N$39=1),$N34^(I34^0.5),IF(('user page'!$N$39=2),$N34^(I34^0.375),IF(('user page'!$N$39=4),$N34^(I34),IF(('user page'!$N$39=3),$N34^(LN(1+I34)),"")))))</f>
        <v>0.93450712791625534</v>
      </c>
      <c r="P34" s="15">
        <f>IF(('user page'!$N$39=0),$N34^(J34^0.25),IF(('user page'!$N$39=1),$N34^(J34^0.5),IF(('user page'!$N$39=2),$N34^(J34^0.375),IF(('user page'!$N$39=4),$N34^(J34),IF(('user page'!$N$39=3),$N34^(LN(1+J34)),"")))))</f>
        <v>0.93734959657615347</v>
      </c>
      <c r="Q34" s="15">
        <f>IF(('user page'!$N$39=0),$N34^(K34^0.25),IF(('user page'!$N$39=1),$N34^(K34^0.5),IF(('user page'!$N$39=2),$N34^(K34^0.375),IF(('user page'!$N$39=4),$N34^(K34),IF(('user page'!$N$39=3),$N34^(LN(1+K34)),"")))))</f>
        <v>0.95022196508152246</v>
      </c>
      <c r="R34" s="15">
        <f>IF(('user page'!$N$39=0),$N34^(L34^0.25),IF(('user page'!$N$39=1),$N34^(L34^0.5),IF(('user page'!$N$39=2),$N34^(L34^0.375),IF(('user page'!$N$39=4),$N34^(L34),IF(('user page'!$N$39=3),$N34^(LN(1+L34)),"")))))</f>
        <v>0.93798391902312084</v>
      </c>
      <c r="S34" s="15">
        <f>IF(('user page'!$N$39=0),$N34^(M34^0.25),IF(('user page'!$N$39=1),$N34^(M34^0.5),IF(('user page'!$N$39=2),$N34^(M34^0.375),IF(('user page'!$N$39=4),$N34^(M34),IF(('user page'!$N$39=3),$N34^(LN(1+M34)),"")))))</f>
        <v>0.94786920058279611</v>
      </c>
      <c r="T34" s="18">
        <f t="shared" si="20"/>
        <v>1</v>
      </c>
      <c r="U34" s="18">
        <f t="shared" si="20"/>
        <v>1.0030416768101451</v>
      </c>
      <c r="V34" s="18">
        <f t="shared" si="20"/>
        <v>1.0168161768870696</v>
      </c>
      <c r="W34" s="18">
        <f t="shared" si="20"/>
        <v>1.0037204543475424</v>
      </c>
      <c r="X34" s="18">
        <f t="shared" si="20"/>
        <v>1.0142985240747551</v>
      </c>
      <c r="Y34" s="18"/>
      <c r="Z34" s="16"/>
      <c r="AA34" s="17">
        <f>GBDUS!O34/($T34+$W34+$X34+U34+V34)</f>
        <v>9.8167986334042976E-3</v>
      </c>
      <c r="AB34" s="16">
        <f t="shared" si="21"/>
        <v>9.8466581621573877E-3</v>
      </c>
      <c r="AC34" s="16">
        <f t="shared" si="21"/>
        <v>9.9818796556883672E-3</v>
      </c>
      <c r="AD34" s="16">
        <f t="shared" si="21"/>
        <v>9.8533215845588943E-3</v>
      </c>
      <c r="AE34" s="16">
        <f t="shared" si="21"/>
        <v>9.9571643650010512E-3</v>
      </c>
      <c r="AF34" s="17">
        <f>GBDUS!P34/($T34+$W34+$X34+U34+V34)</f>
        <v>7.5882900455965907E-2</v>
      </c>
      <c r="AG34" s="16">
        <f t="shared" si="22"/>
        <v>7.6113711714569363E-2</v>
      </c>
      <c r="AH34" s="16">
        <f t="shared" si="22"/>
        <v>7.7158960732737328E-2</v>
      </c>
      <c r="AI34" s="16">
        <f t="shared" si="22"/>
        <v>7.616521932287143E-2</v>
      </c>
      <c r="AJ34" s="16">
        <f t="shared" si="22"/>
        <v>7.6967913934997773E-2</v>
      </c>
      <c r="AK34" s="17">
        <f>GBDUS!Q34/($T34+$W34+$X34+U34+V34)</f>
        <v>1.1668500417493354E-2</v>
      </c>
      <c r="AL34" s="16">
        <f t="shared" si="23"/>
        <v>1.1703992224622413E-2</v>
      </c>
      <c r="AM34" s="16">
        <f t="shared" si="23"/>
        <v>1.1864719984520768E-2</v>
      </c>
      <c r="AN34" s="16">
        <f t="shared" si="23"/>
        <v>1.1711912540600918E-2</v>
      </c>
      <c r="AO34" s="16">
        <f t="shared" si="23"/>
        <v>1.1835342751629173E-2</v>
      </c>
      <c r="AP34" s="16"/>
      <c r="AQ34" s="15"/>
      <c r="AR34" s="15"/>
      <c r="AS34" s="15"/>
    </row>
    <row r="35" spans="1:45" s="13" customFormat="1" ht="12.75" x14ac:dyDescent="0.2">
      <c r="A35" s="20">
        <v>0</v>
      </c>
      <c r="B35" s="20">
        <v>2</v>
      </c>
      <c r="C35" s="20" t="s">
        <v>35</v>
      </c>
      <c r="D35" s="17">
        <f>Baseline!AN34</f>
        <v>0.12364682020186614</v>
      </c>
      <c r="E35" s="17">
        <f>Baseline!AO34</f>
        <v>0.28020118317922604</v>
      </c>
      <c r="F35" s="17">
        <f>Baseline!AP34</f>
        <v>0.49378815453891239</v>
      </c>
      <c r="G35" s="17">
        <f>Baseline!AQ34</f>
        <v>0.87018455381391113</v>
      </c>
      <c r="H35" s="17">
        <f>Baseline!AR34</f>
        <v>1.9719612778142819</v>
      </c>
      <c r="I35" s="17">
        <f>IF((D35+'Non travel METs'!C35)&gt;2.5,(D35+'Non travel METs'!C35),0.1)</f>
        <v>6.6236468202018663</v>
      </c>
      <c r="J35" s="17">
        <f>IF((E35+'Non travel METs'!D35)&gt;2.5,(E35+'Non travel METs'!D35),0.1)</f>
        <v>3.4052011831792259</v>
      </c>
      <c r="K35" s="17">
        <f>IF((F35+'Non travel METs'!E35)&gt;2.5,(F35+'Non travel METs'!E35),0.1)</f>
        <v>0.1</v>
      </c>
      <c r="L35" s="17">
        <f>IF((G35+'Non travel METs'!F35)&gt;2.5,(G35+'Non travel METs'!F35),0.1)</f>
        <v>0.1</v>
      </c>
      <c r="M35" s="17">
        <f>IF((H35+'Non travel METs'!G35)&gt;2.5,(H35+'Non travel METs'!G35),0.1)</f>
        <v>0.1</v>
      </c>
      <c r="N35" s="19">
        <f>'Phy activity RRs'!$F$4</f>
        <v>0.97288384048792509</v>
      </c>
      <c r="O35" s="15">
        <f>IF(('user page'!$N$39=0),$N35^(I35^0.25),IF(('user page'!$N$39=1),$N35^(I35^0.5),IF(('user page'!$N$39=2),$N35^(I35^0.375),IF(('user page'!$N$39=4),$N35^(I35),IF(('user page'!$N$39=3),$N35^(LN(1+I35)),"")))))</f>
        <v>0.93169385337573773</v>
      </c>
      <c r="P35" s="15">
        <f>IF(('user page'!$N$39=0),$N35^(J35^0.25),IF(('user page'!$N$39=1),$N35^(J35^0.5),IF(('user page'!$N$39=2),$N35^(J35^0.375),IF(('user page'!$N$39=4),$N35^(J35),IF(('user page'!$N$39=3),$N35^(LN(1+J35)),"")))))</f>
        <v>0.95053633129852444</v>
      </c>
      <c r="Q35" s="15">
        <f>IF(('user page'!$N$39=0),$N35^(K35^0.25),IF(('user page'!$N$39=1),$N35^(K35^0.5),IF(('user page'!$N$39=2),$N35^(K35^0.375),IF(('user page'!$N$39=4),$N35^(K35),IF(('user page'!$N$39=3),$N35^(LN(1+K35)),"")))))</f>
        <v>0.99134439051762713</v>
      </c>
      <c r="R35" s="15">
        <f>IF(('user page'!$N$39=0),$N35^(L35^0.25),IF(('user page'!$N$39=1),$N35^(L35^0.5),IF(('user page'!$N$39=2),$N35^(L35^0.375),IF(('user page'!$N$39=4),$N35^(L35),IF(('user page'!$N$39=3),$N35^(LN(1+L35)),"")))))</f>
        <v>0.99134439051762713</v>
      </c>
      <c r="S35" s="15">
        <f>IF(('user page'!$N$39=0),$N35^(M35^0.25),IF(('user page'!$N$39=1),$N35^(M35^0.5),IF(('user page'!$N$39=2),$N35^(M35^0.375),IF(('user page'!$N$39=4),$N35^(M35),IF(('user page'!$N$39=3),$N35^(LN(1+M35)),"")))))</f>
        <v>0.99134439051762713</v>
      </c>
      <c r="T35" s="18">
        <f t="shared" si="20"/>
        <v>1</v>
      </c>
      <c r="U35" s="18">
        <f t="shared" si="20"/>
        <v>1.0202238942057158</v>
      </c>
      <c r="V35" s="18">
        <f t="shared" si="20"/>
        <v>1.0640237530018708</v>
      </c>
      <c r="W35" s="18">
        <f t="shared" si="20"/>
        <v>1.0640237530018708</v>
      </c>
      <c r="X35" s="18">
        <f t="shared" si="20"/>
        <v>1.0640237530018708</v>
      </c>
      <c r="Y35" s="18"/>
      <c r="Z35" s="16"/>
      <c r="AA35" s="17">
        <f>GBDUS!O35/($T35+$W35+$X35+U35+V35)</f>
        <v>9.1330977662651951E-3</v>
      </c>
      <c r="AB35" s="16">
        <f t="shared" si="21"/>
        <v>9.3178045692606012E-3</v>
      </c>
      <c r="AC35" s="16">
        <f t="shared" si="21"/>
        <v>9.7178329617944956E-3</v>
      </c>
      <c r="AD35" s="16">
        <f t="shared" si="21"/>
        <v>9.7178329617944956E-3</v>
      </c>
      <c r="AE35" s="16">
        <f t="shared" si="21"/>
        <v>9.7178329617944956E-3</v>
      </c>
      <c r="AF35" s="17">
        <f>GBDUS!P35/($T35+$W35+$X35+U35+V35)</f>
        <v>3.3340023690336902E-2</v>
      </c>
      <c r="AG35" s="16">
        <f t="shared" si="22"/>
        <v>3.4014288802266333E-2</v>
      </c>
      <c r="AH35" s="16">
        <f t="shared" si="22"/>
        <v>3.5474577132163551E-2</v>
      </c>
      <c r="AI35" s="16">
        <f t="shared" si="22"/>
        <v>3.5474577132163551E-2</v>
      </c>
      <c r="AJ35" s="16">
        <f t="shared" si="22"/>
        <v>3.5474577132163551E-2</v>
      </c>
      <c r="AK35" s="17">
        <f>GBDUS!Q35/($T35+$W35+$X35+U35+V35)</f>
        <v>7.4912077957058404E-3</v>
      </c>
      <c r="AL35" s="16">
        <f t="shared" si="23"/>
        <v>7.6427091896392289E-3</v>
      </c>
      <c r="AM35" s="16">
        <f t="shared" si="23"/>
        <v>7.9708230333038008E-3</v>
      </c>
      <c r="AN35" s="16">
        <f t="shared" si="23"/>
        <v>7.9708230333038008E-3</v>
      </c>
      <c r="AO35" s="16">
        <f t="shared" si="23"/>
        <v>7.9708230333038008E-3</v>
      </c>
      <c r="AP35" s="16"/>
      <c r="AQ35" s="15"/>
      <c r="AR35" s="15"/>
      <c r="AS35" s="15"/>
    </row>
  </sheetData>
  <mergeCells count="8">
    <mergeCell ref="AF1:AJ1"/>
    <mergeCell ref="AK1:AO1"/>
    <mergeCell ref="AP1:AS1"/>
    <mergeCell ref="D1:H1"/>
    <mergeCell ref="I1:M1"/>
    <mergeCell ref="O1:S1"/>
    <mergeCell ref="T1:X1"/>
    <mergeCell ref="AA1:AE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5"/>
  <sheetViews>
    <sheetView zoomScaleNormal="100" workbookViewId="0">
      <selection activeCell="M5" sqref="M5"/>
    </sheetView>
  </sheetViews>
  <sheetFormatPr defaultColWidth="9.140625" defaultRowHeight="12" x14ac:dyDescent="0.2"/>
  <cols>
    <col min="1" max="2" width="3.85546875" style="323" customWidth="1"/>
    <col min="3" max="3" width="6" style="323" customWidth="1"/>
    <col min="4" max="4" width="2" style="323" customWidth="1"/>
    <col min="5" max="12" width="3" style="323" customWidth="1"/>
    <col min="13" max="13" width="4" style="323" customWidth="1"/>
    <col min="14" max="14" width="4.7109375" style="323" customWidth="1"/>
    <col min="15" max="24" width="3.42578125" style="323" customWidth="1"/>
    <col min="25" max="25" width="3.5703125" style="323" customWidth="1"/>
    <col min="26" max="26" width="7" style="547" customWidth="1"/>
    <col min="27" max="27" width="6.85546875" style="547" customWidth="1"/>
    <col min="28" max="32" width="4" style="323" customWidth="1"/>
    <col min="33" max="37" width="5" style="323" customWidth="1"/>
    <col min="38" max="42" width="5" style="547" customWidth="1"/>
    <col min="43" max="43" width="6.7109375" style="546" customWidth="1"/>
    <col min="44" max="45" width="5.5703125" style="323" customWidth="1"/>
    <col min="46" max="46" width="6.28515625" style="323" customWidth="1"/>
    <col min="47" max="47" width="5.140625" style="323" customWidth="1"/>
    <col min="48" max="48" width="5.42578125" style="323" customWidth="1"/>
    <col min="49" max="49" width="4.5703125" style="323" customWidth="1"/>
    <col min="50" max="50" width="6" style="323" customWidth="1"/>
    <col min="51" max="16384" width="9.140625" style="323"/>
  </cols>
  <sheetData>
    <row r="1" spans="1:51" ht="46.5" customHeight="1" x14ac:dyDescent="0.2">
      <c r="A1" s="525"/>
      <c r="B1" s="525"/>
      <c r="C1" s="525"/>
      <c r="D1" s="1348" t="s">
        <v>57</v>
      </c>
      <c r="E1" s="1348"/>
      <c r="F1" s="1348"/>
      <c r="G1" s="1348"/>
      <c r="H1" s="1348"/>
      <c r="I1" s="1348" t="s">
        <v>56</v>
      </c>
      <c r="J1" s="1348"/>
      <c r="K1" s="1348"/>
      <c r="L1" s="1348"/>
      <c r="M1" s="1348"/>
      <c r="N1" s="526"/>
      <c r="O1" s="1348" t="s">
        <v>55</v>
      </c>
      <c r="P1" s="1348"/>
      <c r="Q1" s="1348"/>
      <c r="R1" s="1348"/>
      <c r="S1" s="1348"/>
      <c r="T1" s="1348" t="s">
        <v>53</v>
      </c>
      <c r="U1" s="1348"/>
      <c r="V1" s="1348"/>
      <c r="W1" s="1348"/>
      <c r="X1" s="1348"/>
      <c r="Y1" s="527" t="s">
        <v>76</v>
      </c>
      <c r="Z1" s="528" t="s">
        <v>75</v>
      </c>
      <c r="AA1" s="528" t="s">
        <v>147</v>
      </c>
      <c r="AB1" s="1348" t="s">
        <v>52</v>
      </c>
      <c r="AC1" s="1348"/>
      <c r="AD1" s="1348"/>
      <c r="AE1" s="1348"/>
      <c r="AF1" s="1348"/>
      <c r="AG1" s="1348" t="s">
        <v>51</v>
      </c>
      <c r="AH1" s="1348"/>
      <c r="AI1" s="1348"/>
      <c r="AJ1" s="1348"/>
      <c r="AK1" s="1348"/>
      <c r="AL1" s="1349" t="s">
        <v>50</v>
      </c>
      <c r="AM1" s="1349"/>
      <c r="AN1" s="1349"/>
      <c r="AO1" s="1349"/>
      <c r="AP1" s="1349"/>
      <c r="AQ1" s="1350" t="s">
        <v>49</v>
      </c>
      <c r="AR1" s="1350"/>
      <c r="AS1" s="1350"/>
      <c r="AT1" s="1350"/>
      <c r="AU1" s="532"/>
      <c r="AV1" s="532"/>
      <c r="AW1" s="532"/>
      <c r="AX1" s="532"/>
      <c r="AY1" s="532"/>
    </row>
    <row r="2" spans="1:51" s="532" customFormat="1" ht="28.9" customHeight="1" x14ac:dyDescent="0.2">
      <c r="A2" s="526" t="s">
        <v>48</v>
      </c>
      <c r="B2" s="526" t="s">
        <v>47</v>
      </c>
      <c r="C2" s="526" t="s">
        <v>46</v>
      </c>
      <c r="D2" s="527">
        <v>1</v>
      </c>
      <c r="E2" s="527">
        <v>2</v>
      </c>
      <c r="F2" s="527">
        <v>3</v>
      </c>
      <c r="G2" s="527">
        <v>4</v>
      </c>
      <c r="H2" s="527">
        <v>5</v>
      </c>
      <c r="I2" s="527">
        <v>1</v>
      </c>
      <c r="J2" s="527">
        <v>2</v>
      </c>
      <c r="K2" s="527">
        <v>3</v>
      </c>
      <c r="L2" s="527">
        <v>4</v>
      </c>
      <c r="M2" s="527">
        <v>5</v>
      </c>
      <c r="N2" s="527" t="s">
        <v>45</v>
      </c>
      <c r="O2" s="526">
        <v>1</v>
      </c>
      <c r="P2" s="526">
        <v>2</v>
      </c>
      <c r="Q2" s="526">
        <v>3</v>
      </c>
      <c r="R2" s="526">
        <v>4</v>
      </c>
      <c r="S2" s="526">
        <v>5</v>
      </c>
      <c r="T2" s="527">
        <v>1</v>
      </c>
      <c r="U2" s="527">
        <v>2</v>
      </c>
      <c r="V2" s="527">
        <v>3</v>
      </c>
      <c r="W2" s="527">
        <v>4</v>
      </c>
      <c r="X2" s="527">
        <v>5</v>
      </c>
      <c r="Y2" s="526"/>
      <c r="Z2" s="528"/>
      <c r="AA2" s="528"/>
      <c r="AB2" s="527">
        <v>1</v>
      </c>
      <c r="AC2" s="527">
        <v>2</v>
      </c>
      <c r="AD2" s="527">
        <v>3</v>
      </c>
      <c r="AE2" s="527">
        <v>4</v>
      </c>
      <c r="AF2" s="527">
        <v>5</v>
      </c>
      <c r="AG2" s="527">
        <v>1</v>
      </c>
      <c r="AH2" s="527">
        <v>2</v>
      </c>
      <c r="AI2" s="527">
        <v>3</v>
      </c>
      <c r="AJ2" s="527">
        <v>4</v>
      </c>
      <c r="AK2" s="527">
        <v>5</v>
      </c>
      <c r="AL2" s="527">
        <v>1</v>
      </c>
      <c r="AM2" s="527">
        <v>2</v>
      </c>
      <c r="AN2" s="527">
        <v>3</v>
      </c>
      <c r="AO2" s="527">
        <v>4</v>
      </c>
      <c r="AP2" s="527">
        <v>5</v>
      </c>
      <c r="AQ2" s="530" t="s">
        <v>44</v>
      </c>
      <c r="AR2" s="527" t="s">
        <v>43</v>
      </c>
      <c r="AS2" s="527" t="s">
        <v>42</v>
      </c>
      <c r="AT2" s="527" t="s">
        <v>29</v>
      </c>
      <c r="AU2" s="323"/>
      <c r="AV2" s="323"/>
      <c r="AW2" s="323"/>
      <c r="AX2" s="323"/>
    </row>
    <row r="3" spans="1:51" x14ac:dyDescent="0.2">
      <c r="A3" s="525">
        <v>1</v>
      </c>
      <c r="B3" s="525">
        <v>1</v>
      </c>
      <c r="C3" s="525" t="s">
        <v>2</v>
      </c>
      <c r="D3" s="533"/>
      <c r="E3" s="533"/>
      <c r="F3" s="533"/>
      <c r="G3" s="533"/>
      <c r="H3" s="533"/>
      <c r="I3" s="533"/>
      <c r="J3" s="533"/>
      <c r="K3" s="533"/>
      <c r="L3" s="533"/>
      <c r="M3" s="533"/>
      <c r="N3" s="534"/>
      <c r="O3" s="534"/>
      <c r="P3" s="534"/>
      <c r="Q3" s="534"/>
      <c r="R3" s="534"/>
      <c r="S3" s="534"/>
      <c r="T3" s="535"/>
      <c r="U3" s="535"/>
      <c r="V3" s="535"/>
      <c r="W3" s="535"/>
      <c r="X3" s="535"/>
      <c r="Y3" s="535"/>
      <c r="Z3" s="537"/>
      <c r="AA3" s="537"/>
      <c r="AB3" s="534"/>
      <c r="AC3" s="534"/>
      <c r="AD3" s="534"/>
      <c r="AE3" s="535"/>
      <c r="AF3" s="535"/>
      <c r="AG3" s="534"/>
      <c r="AH3" s="534"/>
      <c r="AI3" s="534"/>
      <c r="AJ3" s="535"/>
      <c r="AK3" s="535"/>
      <c r="AL3" s="533"/>
      <c r="AM3" s="533"/>
      <c r="AN3" s="533"/>
      <c r="AO3" s="537"/>
      <c r="AP3" s="537"/>
      <c r="AQ3" s="533"/>
      <c r="AR3" s="533"/>
      <c r="AS3" s="533"/>
      <c r="AT3" s="533"/>
      <c r="AU3" s="532"/>
      <c r="AV3" s="532"/>
      <c r="AW3" s="532"/>
      <c r="AX3" s="532"/>
      <c r="AY3" s="532"/>
    </row>
    <row r="4" spans="1:51" x14ac:dyDescent="0.2">
      <c r="A4" s="525">
        <v>1</v>
      </c>
      <c r="B4" s="525">
        <v>1</v>
      </c>
      <c r="C4" s="525" t="s">
        <v>41</v>
      </c>
      <c r="D4" s="533"/>
      <c r="E4" s="533"/>
      <c r="F4" s="533"/>
      <c r="G4" s="533"/>
      <c r="H4" s="533"/>
      <c r="I4" s="533"/>
      <c r="J4" s="533"/>
      <c r="K4" s="533"/>
      <c r="L4" s="533"/>
      <c r="M4" s="533"/>
      <c r="N4" s="534"/>
      <c r="O4" s="534"/>
      <c r="P4" s="534"/>
      <c r="Q4" s="534"/>
      <c r="R4" s="534"/>
      <c r="S4" s="534"/>
      <c r="T4" s="535"/>
      <c r="U4" s="535"/>
      <c r="V4" s="535"/>
      <c r="W4" s="535"/>
      <c r="X4" s="535"/>
      <c r="Y4" s="535"/>
      <c r="Z4" s="537"/>
      <c r="AA4" s="537"/>
      <c r="AB4" s="534"/>
      <c r="AC4" s="534"/>
      <c r="AD4" s="534"/>
      <c r="AE4" s="535"/>
      <c r="AF4" s="535"/>
      <c r="AG4" s="534"/>
      <c r="AH4" s="534"/>
      <c r="AI4" s="534"/>
      <c r="AJ4" s="535"/>
      <c r="AK4" s="535"/>
      <c r="AL4" s="533"/>
      <c r="AM4" s="537"/>
      <c r="AN4" s="537"/>
      <c r="AO4" s="537"/>
      <c r="AP4" s="537"/>
      <c r="AQ4" s="533"/>
      <c r="AR4" s="533"/>
      <c r="AS4" s="533"/>
      <c r="AT4" s="533"/>
      <c r="AU4" s="532"/>
      <c r="AV4" s="532"/>
      <c r="AW4" s="532"/>
      <c r="AX4" s="532"/>
      <c r="AY4" s="532"/>
    </row>
    <row r="5" spans="1:51" x14ac:dyDescent="0.2">
      <c r="A5" s="525">
        <v>1</v>
      </c>
      <c r="B5" s="525">
        <v>1</v>
      </c>
      <c r="C5" s="525" t="s">
        <v>40</v>
      </c>
      <c r="D5" s="533">
        <f>Scenario!AN21</f>
        <v>1.9649930808034388</v>
      </c>
      <c r="E5" s="533">
        <f>Scenario!AO21</f>
        <v>4.4529522496511911</v>
      </c>
      <c r="F5" s="533">
        <f>Scenario!AP21</f>
        <v>7.8472726226809844</v>
      </c>
      <c r="G5" s="533">
        <f>Scenario!AQ21</f>
        <v>13.828957545974617</v>
      </c>
      <c r="H5" s="533">
        <f>Scenario!AR21</f>
        <v>31.338373766435872</v>
      </c>
      <c r="I5" s="533">
        <f>IF((D5+'Non travel METs'!C5)&gt;2.5,(D5+'Non travel METs'!C5),0.1)</f>
        <v>59.764993080803436</v>
      </c>
      <c r="J5" s="533">
        <f>IF((E5+'Non travel METs'!D5)&gt;2.5,(E5+'Non travel METs'!D5),0.1)</f>
        <v>45.45295224965119</v>
      </c>
      <c r="K5" s="533">
        <f>IF((F5+'Non travel METs'!E5)&gt;2.5,(F5+'Non travel METs'!E5),0.1)</f>
        <v>53.347272622680983</v>
      </c>
      <c r="L5" s="533">
        <f>IF((G5+'Non travel METs'!F5)&gt;2.5,(G5+'Non travel METs'!F5),0.1)</f>
        <v>51.753957545974615</v>
      </c>
      <c r="M5" s="533">
        <f>IF((H5+'Non travel METs'!G5)&gt;2.5,(H5+'Non travel METs'!G5),0.1)</f>
        <v>72.338373766435865</v>
      </c>
      <c r="N5" s="541">
        <f>'Phy activity RRs'!$I$4</f>
        <v>0.94314906211536642</v>
      </c>
      <c r="O5" s="534">
        <f>IF(('user page'!$N$39=0),$N5^(I5^0.25),IF(('user page'!$N$39=1),$N5^(I5^0.5),IF(('user page'!$N$39=2),$N5^(I5^0.375),IF(('user page'!$N$39=4),$N5^(I5),IF(('user page'!$N$39=3),$N5^(LN(1+I5)),"")))))</f>
        <v>0.63604248244154293</v>
      </c>
      <c r="P5" s="534">
        <f>IF(('user page'!$N$39=0),$N5^(J5^0.25),IF(('user page'!$N$39=1),$N5^(J5^0.5),IF(('user page'!$N$39=2),$N5^(J5^0.375),IF(('user page'!$N$39=4),$N5^(J5),IF(('user page'!$N$39=3),$N5^(LN(1+J5)),"")))))</f>
        <v>0.67394378384043052</v>
      </c>
      <c r="Q5" s="534">
        <f>IF(('user page'!$N$39=0),$N5^(K5^0.25),IF(('user page'!$N$39=1),$N5^(K5^0.5),IF(('user page'!$N$39=2),$N5^(K5^0.375),IF(('user page'!$N$39=4),$N5^(K5),IF(('user page'!$N$39=3),$N5^(LN(1+K5)),"")))))</f>
        <v>0.65213389369658725</v>
      </c>
      <c r="R5" s="534">
        <f>IF(('user page'!$N$39=0),$N5^(L5^0.25),IF(('user page'!$N$39=1),$N5^(L5^0.5),IF(('user page'!$N$39=2),$N5^(L5^0.375),IF(('user page'!$N$39=4),$N5^(L5),IF(('user page'!$N$39=3),$N5^(LN(1+L5)),"")))))</f>
        <v>0.65634227461846528</v>
      </c>
      <c r="S5" s="534">
        <f>IF(('user page'!$N$39=0),$N5^(M5^0.25),IF(('user page'!$N$39=1),$N5^(M5^0.5),IF(('user page'!$N$39=2),$N5^(M5^0.375),IF(('user page'!$N$39=4),$N5^(M5),IF(('user page'!$N$39=3),$N5^(LN(1+M5)),"")))))</f>
        <v>0.60785607807404529</v>
      </c>
      <c r="T5" s="535">
        <f t="shared" ref="T5:X10" si="0">O5/$O5</f>
        <v>1</v>
      </c>
      <c r="U5" s="535">
        <f t="shared" si="0"/>
        <v>1.0595892608515673</v>
      </c>
      <c r="V5" s="535">
        <f t="shared" si="0"/>
        <v>1.0252992711953375</v>
      </c>
      <c r="W5" s="535">
        <f t="shared" si="0"/>
        <v>1.0319157803720886</v>
      </c>
      <c r="X5" s="535">
        <f t="shared" si="0"/>
        <v>0.95568471423591084</v>
      </c>
      <c r="Y5" s="540">
        <f>1-Z5</f>
        <v>3.1904956623838077E-2</v>
      </c>
      <c r="Z5" s="542">
        <f t="shared" ref="Z5:Z10" si="1">SUM(O5:S5)/SUM(O22:S22)</f>
        <v>0.96809504337616192</v>
      </c>
      <c r="AA5" s="540"/>
      <c r="AB5" s="533">
        <f>Z5*GBDUS!$O90/($T5+$W5+$X5+U5+V5)</f>
        <v>0</v>
      </c>
      <c r="AC5" s="537">
        <f t="shared" ref="AC5:AC10" si="2">$AB5*U5</f>
        <v>0</v>
      </c>
      <c r="AD5" s="537">
        <f t="shared" ref="AD5:AD10" si="3">$AB5*V5</f>
        <v>0</v>
      </c>
      <c r="AE5" s="537">
        <f t="shared" ref="AE5:AF10" si="4">$AB5*W5</f>
        <v>0</v>
      </c>
      <c r="AF5" s="537">
        <f t="shared" si="4"/>
        <v>0</v>
      </c>
      <c r="AG5" s="533">
        <f>Z5*GBDUS!$P90/($T5+$W5+$X5+U5+V5)</f>
        <v>0</v>
      </c>
      <c r="AH5" s="537">
        <f t="shared" ref="AH5:AK10" si="5">$AG5*U5</f>
        <v>0</v>
      </c>
      <c r="AI5" s="537">
        <f t="shared" si="5"/>
        <v>0</v>
      </c>
      <c r="AJ5" s="537">
        <f t="shared" si="5"/>
        <v>0</v>
      </c>
      <c r="AK5" s="537">
        <f t="shared" si="5"/>
        <v>0</v>
      </c>
      <c r="AL5" s="533">
        <f>Z5*GBDUS!$Q90/($T5+$W5+$X5+U5+V5)</f>
        <v>0</v>
      </c>
      <c r="AM5" s="537">
        <f t="shared" ref="AM5:AP10" si="6">$AL5*U5</f>
        <v>0</v>
      </c>
      <c r="AN5" s="537">
        <f t="shared" si="6"/>
        <v>0</v>
      </c>
      <c r="AO5" s="537">
        <f t="shared" si="6"/>
        <v>0</v>
      </c>
      <c r="AP5" s="537">
        <f t="shared" si="6"/>
        <v>0</v>
      </c>
      <c r="AQ5" s="533">
        <f>AB5+AC5+AF5+AD5+AE5-AD22-AE22-AB22-AC22-AF22</f>
        <v>0</v>
      </c>
      <c r="AR5" s="533">
        <f>AG5+AH5+AK5+AI5+AJ5-AI22-AJ22-AH22-AK22-AG22</f>
        <v>0</v>
      </c>
      <c r="AS5" s="533">
        <f>AL5+AM5+AP5-AL22+AN5+AO5-AN22-AO22-AM22-AP22</f>
        <v>0</v>
      </c>
      <c r="AT5" s="533">
        <f t="shared" ref="AT5:AT10" si="7">AR5+AS5</f>
        <v>0</v>
      </c>
      <c r="AU5" s="532"/>
      <c r="AV5" s="532"/>
      <c r="AW5" s="532"/>
      <c r="AX5" s="532"/>
      <c r="AY5" s="532"/>
    </row>
    <row r="6" spans="1:51" x14ac:dyDescent="0.2">
      <c r="A6" s="525">
        <v>1</v>
      </c>
      <c r="B6" s="525">
        <v>1</v>
      </c>
      <c r="C6" s="525" t="s">
        <v>39</v>
      </c>
      <c r="D6" s="533">
        <f>Scenario!AN22</f>
        <v>1.1398546847573734</v>
      </c>
      <c r="E6" s="533">
        <f>Scenario!AO22</f>
        <v>2.5830719366657791</v>
      </c>
      <c r="F6" s="533">
        <f>Scenario!AP22</f>
        <v>4.5520518870600304</v>
      </c>
      <c r="G6" s="533">
        <f>Scenario!AQ22</f>
        <v>8.0219122388181017</v>
      </c>
      <c r="H6" s="533">
        <f>Scenario!AR22</f>
        <v>18.178787752140046</v>
      </c>
      <c r="I6" s="533">
        <f>IF((D6+'Non travel METs'!C6)&gt;2.5,(D6+'Non travel METs'!C6),0.1)</f>
        <v>52.389854684757374</v>
      </c>
      <c r="J6" s="533">
        <f>IF((E6+'Non travel METs'!D6)&gt;2.5,(E6+'Non travel METs'!D6),0.1)</f>
        <v>53.833071936665782</v>
      </c>
      <c r="K6" s="533">
        <f>IF((F6+'Non travel METs'!E6)&gt;2.5,(F6+'Non travel METs'!E6),0.1)</f>
        <v>69.302051887060031</v>
      </c>
      <c r="L6" s="533">
        <f>IF((G6+'Non travel METs'!F6)&gt;2.5,(G6+'Non travel METs'!F6),0.1)</f>
        <v>54.146912238818103</v>
      </c>
      <c r="M6" s="533">
        <f>IF((H6+'Non travel METs'!G6)&gt;2.5,(H6+'Non travel METs'!G6),0.1)</f>
        <v>62.978787752140043</v>
      </c>
      <c r="N6" s="541">
        <f>'Phy activity RRs'!$I$4</f>
        <v>0.94314906211536642</v>
      </c>
      <c r="O6" s="534">
        <f>IF(('user page'!$N$39=0),$N6^(I6^0.25),IF(('user page'!$N$39=1),$N6^(I6^0.5),IF(('user page'!$N$39=2),$N6^(I6^0.375),IF(('user page'!$N$39=4),$N6^(I6),IF(('user page'!$N$39=3),$N6^(LN(1+I6)),"")))))</f>
        <v>0.65465178261087298</v>
      </c>
      <c r="P6" s="534">
        <f>IF(('user page'!$N$39=0),$N6^(J6^0.25),IF(('user page'!$N$39=1),$N6^(J6^0.5),IF(('user page'!$N$39=2),$N6^(J6^0.375),IF(('user page'!$N$39=4),$N6^(J6),IF(('user page'!$N$39=3),$N6^(LN(1+J6)),"")))))</f>
        <v>0.65086861547237673</v>
      </c>
      <c r="Q6" s="534">
        <f>IF(('user page'!$N$39=0),$N6^(K6^0.25),IF(('user page'!$N$39=1),$N6^(K6^0.5),IF(('user page'!$N$39=2),$N6^(K6^0.375),IF(('user page'!$N$39=4),$N6^(K6),IF(('user page'!$N$39=3),$N6^(LN(1+K6)),"")))))</f>
        <v>0.61430883648090162</v>
      </c>
      <c r="R6" s="534">
        <f>IF(('user page'!$N$39=0),$N6^(L6^0.25),IF(('user page'!$N$39=1),$N6^(L6^0.5),IF(('user page'!$N$39=2),$N6^(L6^0.375),IF(('user page'!$N$39=4),$N6^(L6),IF(('user page'!$N$39=3),$N6^(LN(1+L6)),"")))))</f>
        <v>0.6500555417150482</v>
      </c>
      <c r="S6" s="534">
        <f>IF(('user page'!$N$39=0),$N6^(M6^0.25),IF(('user page'!$N$39=1),$N6^(M6^0.5),IF(('user page'!$N$39=2),$N6^(M6^0.375),IF(('user page'!$N$39=4),$N6^(M6),IF(('user page'!$N$39=3),$N6^(LN(1+M6)),"")))))</f>
        <v>0.6284513323908768</v>
      </c>
      <c r="T6" s="535">
        <f t="shared" si="0"/>
        <v>1</v>
      </c>
      <c r="U6" s="535">
        <f t="shared" si="0"/>
        <v>0.99422110007337294</v>
      </c>
      <c r="V6" s="535">
        <f t="shared" si="0"/>
        <v>0.93837495413351479</v>
      </c>
      <c r="W6" s="535">
        <f t="shared" si="0"/>
        <v>0.99297910581180404</v>
      </c>
      <c r="X6" s="535">
        <f t="shared" si="0"/>
        <v>0.95997803578032903</v>
      </c>
      <c r="Y6" s="540">
        <f t="shared" ref="Y6:Y18" si="8">1-Z6</f>
        <v>1.8496455214315422E-2</v>
      </c>
      <c r="Z6" s="542">
        <f t="shared" si="1"/>
        <v>0.98150354478568458</v>
      </c>
      <c r="AA6" s="540"/>
      <c r="AB6" s="533">
        <f>Z6*GBDUS!$O91/($T6+$W6+$X6+U6+V6)</f>
        <v>9.4449051850223594E-5</v>
      </c>
      <c r="AC6" s="537">
        <f t="shared" si="2"/>
        <v>9.3903240231416342E-5</v>
      </c>
      <c r="AD6" s="537">
        <f t="shared" si="3"/>
        <v>8.8628624697907531E-5</v>
      </c>
      <c r="AE6" s="537">
        <f t="shared" si="4"/>
        <v>9.3785935051007743E-5</v>
      </c>
      <c r="AF6" s="537">
        <f t="shared" si="4"/>
        <v>9.0669015276492103E-5</v>
      </c>
      <c r="AG6" s="533">
        <f>Z6*GBDUS!$P91/($T6+$W6+$X6+U6+V6)</f>
        <v>2.5248579106537548E-3</v>
      </c>
      <c r="AH6" s="537">
        <f t="shared" si="5"/>
        <v>2.5102670094591341E-3</v>
      </c>
      <c r="AI6" s="537">
        <f t="shared" si="5"/>
        <v>2.3692634261033591E-3</v>
      </c>
      <c r="AJ6" s="537">
        <f t="shared" si="5"/>
        <v>2.5071311504228254E-3</v>
      </c>
      <c r="AK6" s="537">
        <f t="shared" si="5"/>
        <v>2.4238081376938172E-3</v>
      </c>
      <c r="AL6" s="533">
        <f>Z6*GBDUS!$Q91/($T6+$W6+$X6+U6+V6)</f>
        <v>7.6613109687554575E-4</v>
      </c>
      <c r="AM6" s="537">
        <f t="shared" si="6"/>
        <v>7.6170370193602501E-4</v>
      </c>
      <c r="AN6" s="537">
        <f t="shared" si="6"/>
        <v>7.1891823289084965E-4</v>
      </c>
      <c r="AO6" s="537">
        <f t="shared" si="6"/>
        <v>7.6075217151009601E-4</v>
      </c>
      <c r="AP6" s="537">
        <f t="shared" si="6"/>
        <v>7.3546902552881538E-4</v>
      </c>
      <c r="AQ6" s="533">
        <f t="shared" ref="AQ6:AQ18" si="9">AB6+AC6+AF6+AD6+AE6-AD23-AE23-AB23-AC23-AF23</f>
        <v>-8.6957687474149251E-6</v>
      </c>
      <c r="AR6" s="533">
        <f t="shared" ref="AR6:AR18" si="10">AG6+AH6+AK6+AI6+AJ6-AI23-AJ23-AH23-AK23-AG23</f>
        <v>-2.3245951209698718E-4</v>
      </c>
      <c r="AS6" s="533">
        <f t="shared" ref="AS6:AS18" si="11">AL6+AM6+AP6-AL23+AN6+AO6-AN23-AO23-AM23-AP23</f>
        <v>-7.0536429091927195E-5</v>
      </c>
      <c r="AT6" s="533">
        <f t="shared" si="7"/>
        <v>-3.0299594118891437E-4</v>
      </c>
      <c r="AU6" s="532"/>
      <c r="AV6" s="532"/>
      <c r="AW6" s="532"/>
      <c r="AX6" s="532"/>
      <c r="AY6" s="532"/>
    </row>
    <row r="7" spans="1:51" x14ac:dyDescent="0.2">
      <c r="A7" s="525">
        <v>1</v>
      </c>
      <c r="B7" s="525">
        <v>1</v>
      </c>
      <c r="C7" s="525" t="s">
        <v>38</v>
      </c>
      <c r="D7" s="533">
        <f>Scenario!AN23</f>
        <v>1.1455500772835505</v>
      </c>
      <c r="E7" s="533">
        <f>Scenario!AO23</f>
        <v>2.5959785016862105</v>
      </c>
      <c r="F7" s="533">
        <f>Scenario!AP23</f>
        <v>4.5747966479870366</v>
      </c>
      <c r="G7" s="533">
        <f>Scenario!AQ23</f>
        <v>8.0619944875657499</v>
      </c>
      <c r="H7" s="533">
        <f>Scenario!AR23</f>
        <v>18.269619797034032</v>
      </c>
      <c r="I7" s="533">
        <f>IF((D7+'Non travel METs'!C7)&gt;2.5,(D7+'Non travel METs'!C7),0.1)</f>
        <v>59.420550077283551</v>
      </c>
      <c r="J7" s="533">
        <f>IF((E7+'Non travel METs'!D7)&gt;2.5,(E7+'Non travel METs'!D7),0.1)</f>
        <v>64.095978501686204</v>
      </c>
      <c r="K7" s="533">
        <f>IF((F7+'Non travel METs'!E7)&gt;2.5,(F7+'Non travel METs'!E7),0.1)</f>
        <v>58.299796647987037</v>
      </c>
      <c r="L7" s="533">
        <f>IF((G7+'Non travel METs'!F7)&gt;2.5,(G7+'Non travel METs'!F7),0.1)</f>
        <v>60.261994487565751</v>
      </c>
      <c r="M7" s="533">
        <f>IF((H7+'Non travel METs'!G7)&gt;2.5,(H7+'Non travel METs'!G7),0.1)</f>
        <v>64.969619797034028</v>
      </c>
      <c r="N7" s="541">
        <f>'Phy activity RRs'!$I$4</f>
        <v>0.94314906211536642</v>
      </c>
      <c r="O7" s="534">
        <f>IF(('user page'!$N$39=0),$N7^(I7^0.25),IF(('user page'!$N$39=1),$N7^(I7^0.5),IF(('user page'!$N$39=2),$N7^(I7^0.375),IF(('user page'!$N$39=4),$N7^(I7),IF(('user page'!$N$39=3),$N7^(LN(1+I7)),"")))))</f>
        <v>0.6368735689121986</v>
      </c>
      <c r="P7" s="534">
        <f>IF(('user page'!$N$39=0),$N7^(J7^0.25),IF(('user page'!$N$39=1),$N7^(J7^0.5),IF(('user page'!$N$39=2),$N7^(J7^0.375),IF(('user page'!$N$39=4),$N7^(J7),IF(('user page'!$N$39=3),$N7^(LN(1+J7)),"")))))</f>
        <v>0.62587884290242057</v>
      </c>
      <c r="Q7" s="534">
        <f>IF(('user page'!$N$39=0),$N7^(K7^0.25),IF(('user page'!$N$39=1),$N7^(K7^0.5),IF(('user page'!$N$39=2),$N7^(K7^0.375),IF(('user page'!$N$39=4),$N7^(K7),IF(('user page'!$N$39=3),$N7^(LN(1+K7)),"")))))</f>
        <v>0.63960217986313073</v>
      </c>
      <c r="R7" s="534">
        <f>IF(('user page'!$N$39=0),$N7^(L7^0.25),IF(('user page'!$N$39=1),$N7^(L7^0.5),IF(('user page'!$N$39=2),$N7^(L7^0.375),IF(('user page'!$N$39=4),$N7^(L7),IF(('user page'!$N$39=3),$N7^(LN(1+L7)),"")))))</f>
        <v>0.63484940658775246</v>
      </c>
      <c r="S7" s="534">
        <f>IF(('user page'!$N$39=0),$N7^(M7^0.25),IF(('user page'!$N$39=1),$N7^(M7^0.5),IF(('user page'!$N$39=2),$N7^(M7^0.375),IF(('user page'!$N$39=4),$N7^(M7),IF(('user page'!$N$39=3),$N7^(LN(1+M7)),"")))))</f>
        <v>0.62389000128373917</v>
      </c>
      <c r="T7" s="535">
        <f t="shared" si="0"/>
        <v>1</v>
      </c>
      <c r="U7" s="535">
        <f t="shared" si="0"/>
        <v>0.98273640711992905</v>
      </c>
      <c r="V7" s="535">
        <f t="shared" si="0"/>
        <v>1.0042843840349549</v>
      </c>
      <c r="W7" s="535">
        <f t="shared" si="0"/>
        <v>0.99682172031741956</v>
      </c>
      <c r="X7" s="535">
        <f t="shared" si="0"/>
        <v>0.97961358696258072</v>
      </c>
      <c r="Y7" s="540">
        <f t="shared" si="8"/>
        <v>1.8277569425147688E-2</v>
      </c>
      <c r="Z7" s="542">
        <f t="shared" si="1"/>
        <v>0.98172243057485231</v>
      </c>
      <c r="AA7" s="540"/>
      <c r="AB7" s="533">
        <f>Z7*GBDUS!$O92/($T7+$W7+$X7+U7+V7)</f>
        <v>2.6922742580989794E-3</v>
      </c>
      <c r="AC7" s="537">
        <f t="shared" si="2"/>
        <v>2.6457959313856637E-3</v>
      </c>
      <c r="AD7" s="537">
        <f t="shared" si="3"/>
        <v>2.7038089949480986E-3</v>
      </c>
      <c r="AE7" s="537">
        <f t="shared" si="4"/>
        <v>2.6837174575245291E-3</v>
      </c>
      <c r="AF7" s="537">
        <f t="shared" si="4"/>
        <v>2.6373884430633621E-3</v>
      </c>
      <c r="AG7" s="533">
        <f>Z7*GBDUS!$P92/($T7+$W7+$X7+U7+V7)</f>
        <v>4.343961241411258E-2</v>
      </c>
      <c r="AH7" s="537">
        <f t="shared" si="5"/>
        <v>4.2689688630527266E-2</v>
      </c>
      <c r="AI7" s="537">
        <f t="shared" si="5"/>
        <v>4.3625724396024232E-2</v>
      </c>
      <c r="AJ7" s="537">
        <f t="shared" si="5"/>
        <v>4.3301549176557638E-2</v>
      </c>
      <c r="AK7" s="537">
        <f t="shared" si="5"/>
        <v>4.2554034533253078E-2</v>
      </c>
      <c r="AL7" s="533">
        <f>Z7*GBDUS!$Q92/($T7+$W7+$X7+U7+V7)</f>
        <v>8.6655372014729032E-2</v>
      </c>
      <c r="AM7" s="537">
        <f t="shared" si="6"/>
        <v>8.5159388951395659E-2</v>
      </c>
      <c r="AN7" s="537">
        <f t="shared" si="6"/>
        <v>8.7026636907132013E-2</v>
      </c>
      <c r="AO7" s="537">
        <f t="shared" si="6"/>
        <v>8.6379957006468167E-2</v>
      </c>
      <c r="AP7" s="537">
        <f t="shared" si="6"/>
        <v>8.4888779808925535E-2</v>
      </c>
      <c r="AQ7" s="533">
        <f t="shared" si="9"/>
        <v>-2.4879016717144686E-4</v>
      </c>
      <c r="AR7" s="533">
        <f t="shared" si="10"/>
        <v>-4.0142078400293019E-3</v>
      </c>
      <c r="AS7" s="533">
        <f t="shared" si="11"/>
        <v>-8.0077296824401234E-3</v>
      </c>
      <c r="AT7" s="533">
        <f t="shared" si="7"/>
        <v>-1.2021937522469425E-2</v>
      </c>
      <c r="AU7" s="532"/>
      <c r="AV7" s="532"/>
      <c r="AW7" s="532"/>
      <c r="AX7" s="532"/>
      <c r="AY7" s="532"/>
    </row>
    <row r="8" spans="1:51" x14ac:dyDescent="0.2">
      <c r="A8" s="525">
        <v>1</v>
      </c>
      <c r="B8" s="525">
        <v>1</v>
      </c>
      <c r="C8" s="525" t="s">
        <v>37</v>
      </c>
      <c r="D8" s="533">
        <f>Scenario!AN24</f>
        <v>1.038575484693584</v>
      </c>
      <c r="E8" s="533">
        <f>Scenario!AO24</f>
        <v>2.3535589443948219</v>
      </c>
      <c r="F8" s="533">
        <f>Scenario!AP24</f>
        <v>4.1475896517107627</v>
      </c>
      <c r="G8" s="533">
        <f>Scenario!AQ24</f>
        <v>7.3091434399581363</v>
      </c>
      <c r="H8" s="533">
        <f>Scenario!AR24</f>
        <v>16.563552839930118</v>
      </c>
      <c r="I8" s="533">
        <f>IF((D8+'Non travel METs'!C8)&gt;2.5,(D8+'Non travel METs'!C8),0.1)</f>
        <v>42.038575484693581</v>
      </c>
      <c r="J8" s="533">
        <f>IF((E8+'Non travel METs'!D8)&gt;2.5,(E8+'Non travel METs'!D8),0.1)</f>
        <v>33.60355894439482</v>
      </c>
      <c r="K8" s="533">
        <f>IF((F8+'Non travel METs'!E8)&gt;2.5,(F8+'Non travel METs'!E8),0.1)</f>
        <v>48.23092298504406</v>
      </c>
      <c r="L8" s="533">
        <f>IF((G8+'Non travel METs'!F8)&gt;2.5,(G8+'Non travel METs'!F8),0.1)</f>
        <v>49.809143439958135</v>
      </c>
      <c r="M8" s="533">
        <f>IF((H8+'Non travel METs'!G8)&gt;2.5,(H8+'Non travel METs'!G8),0.1)</f>
        <v>49.363552839930115</v>
      </c>
      <c r="N8" s="541">
        <f>'Phy activity RRs'!$I$4</f>
        <v>0.94314906211536642</v>
      </c>
      <c r="O8" s="534">
        <f>IF(('user page'!$N$39=0),$N8^(I8^0.25),IF(('user page'!$N$39=1),$N8^(I8^0.5),IF(('user page'!$N$39=2),$N8^(I8^0.375),IF(('user page'!$N$39=4),$N8^(I8),IF(('user page'!$N$39=3),$N8^(LN(1+I8)),"")))))</f>
        <v>0.68420480707164111</v>
      </c>
      <c r="P8" s="534">
        <f>IF(('user page'!$N$39=0),$N8^(J8^0.25),IF(('user page'!$N$39=1),$N8^(J8^0.5),IF(('user page'!$N$39=2),$N8^(J8^0.375),IF(('user page'!$N$39=4),$N8^(J8),IF(('user page'!$N$39=3),$N8^(LN(1+J8)),"")))))</f>
        <v>0.7122719350019483</v>
      </c>
      <c r="Q8" s="534">
        <f>IF(('user page'!$N$39=0),$N8^(K8^0.25),IF(('user page'!$N$39=1),$N8^(K8^0.5),IF(('user page'!$N$39=2),$N8^(K8^0.375),IF(('user page'!$N$39=4),$N8^(K8),IF(('user page'!$N$39=3),$N8^(LN(1+K8)),"")))))</f>
        <v>0.66598475640356358</v>
      </c>
      <c r="R8" s="534">
        <f>IF(('user page'!$N$39=0),$N8^(L8^0.25),IF(('user page'!$N$39=1),$N8^(L8^0.5),IF(('user page'!$N$39=2),$N8^(L8^0.375),IF(('user page'!$N$39=4),$N8^(L8),IF(('user page'!$N$39=3),$N8^(LN(1+L8)),"")))))</f>
        <v>0.66160567561540284</v>
      </c>
      <c r="S8" s="534">
        <f>IF(('user page'!$N$39=0),$N8^(M8^0.25),IF(('user page'!$N$39=1),$N8^(M8^0.5),IF(('user page'!$N$39=2),$N8^(M8^0.375),IF(('user page'!$N$39=4),$N8^(M8),IF(('user page'!$N$39=3),$N8^(LN(1+M8)),"")))))</f>
        <v>0.66283202140859498</v>
      </c>
      <c r="T8" s="535">
        <f t="shared" si="0"/>
        <v>1</v>
      </c>
      <c r="U8" s="535">
        <f t="shared" si="0"/>
        <v>1.0410215298697374</v>
      </c>
      <c r="V8" s="535">
        <f t="shared" si="0"/>
        <v>0.97337047258399378</v>
      </c>
      <c r="W8" s="535">
        <f t="shared" si="0"/>
        <v>0.96697022408690569</v>
      </c>
      <c r="X8" s="535">
        <f t="shared" si="0"/>
        <v>0.96876259061300596</v>
      </c>
      <c r="Y8" s="540">
        <f t="shared" si="8"/>
        <v>1.8983622771776676E-2</v>
      </c>
      <c r="Z8" s="542">
        <f t="shared" si="1"/>
        <v>0.98101637722822332</v>
      </c>
      <c r="AA8" s="540"/>
      <c r="AB8" s="533">
        <f>Z8*GBDUS!$O93/($T8+$W8+$X8+U8+V8)</f>
        <v>1.5626710891788666E-2</v>
      </c>
      <c r="AC8" s="537">
        <f t="shared" si="2"/>
        <v>1.6267742479401926E-2</v>
      </c>
      <c r="AD8" s="537">
        <f t="shared" si="3"/>
        <v>1.5210578965673776E-2</v>
      </c>
      <c r="AE8" s="537">
        <f t="shared" si="4"/>
        <v>1.5110564132774175E-2</v>
      </c>
      <c r="AF8" s="537">
        <f t="shared" si="4"/>
        <v>1.5138572926289664E-2</v>
      </c>
      <c r="AG8" s="533">
        <f>Z8*GBDUS!$P93/($T8+$W8+$X8+U8+V8)</f>
        <v>0.1701928670958674</v>
      </c>
      <c r="AH8" s="537">
        <f t="shared" si="5"/>
        <v>0.17717443887705678</v>
      </c>
      <c r="AI8" s="537">
        <f t="shared" si="5"/>
        <v>0.1656607114755293</v>
      </c>
      <c r="AJ8" s="537">
        <f t="shared" si="5"/>
        <v>0.16457143483368386</v>
      </c>
      <c r="AK8" s="537">
        <f t="shared" si="5"/>
        <v>0.16487648283164752</v>
      </c>
      <c r="AL8" s="533">
        <f>Z8*GBDUS!$Q93/($T8+$W8+$X8+U8+V8)</f>
        <v>0.26095101784247998</v>
      </c>
      <c r="AM8" s="537">
        <f t="shared" si="6"/>
        <v>0.27165562781544367</v>
      </c>
      <c r="AN8" s="537">
        <f t="shared" si="6"/>
        <v>0.25400201555860891</v>
      </c>
      <c r="AO8" s="537">
        <f t="shared" si="6"/>
        <v>0.25233186419884901</v>
      </c>
      <c r="AP8" s="537">
        <f t="shared" si="6"/>
        <v>0.25279958406818165</v>
      </c>
      <c r="AQ8" s="533">
        <f t="shared" si="9"/>
        <v>-1.4968785493524907E-3</v>
      </c>
      <c r="AR8" s="533">
        <f t="shared" si="10"/>
        <v>-1.6302730227284623E-2</v>
      </c>
      <c r="AS8" s="533">
        <f t="shared" si="11"/>
        <v>-2.4996429750636484E-2</v>
      </c>
      <c r="AT8" s="533">
        <f t="shared" si="7"/>
        <v>-4.1299159977921107E-2</v>
      </c>
      <c r="AU8" s="532"/>
      <c r="AV8" s="532"/>
      <c r="AW8" s="532"/>
      <c r="AX8" s="532"/>
      <c r="AY8" s="532"/>
    </row>
    <row r="9" spans="1:51" x14ac:dyDescent="0.2">
      <c r="A9" s="525">
        <v>1</v>
      </c>
      <c r="B9" s="525">
        <v>1</v>
      </c>
      <c r="C9" s="525" t="s">
        <v>36</v>
      </c>
      <c r="D9" s="533">
        <f>Scenario!AN25</f>
        <v>0.98635345122951901</v>
      </c>
      <c r="E9" s="533">
        <f>Scenario!AO25</f>
        <v>2.2352164302827178</v>
      </c>
      <c r="F9" s="533">
        <f>Scenario!AP25</f>
        <v>3.939039027534657</v>
      </c>
      <c r="G9" s="533">
        <f>Scenario!AQ25</f>
        <v>6.9416224085641023</v>
      </c>
      <c r="H9" s="533">
        <f>Scenario!AR25</f>
        <v>15.730698200629787</v>
      </c>
      <c r="I9" s="533">
        <f>IF((D9+'Non travel METs'!C9)&gt;2.5,(D9+'Non travel METs'!C9),0.1)</f>
        <v>5.3613534512295189</v>
      </c>
      <c r="J9" s="533">
        <f>IF((E9+'Non travel METs'!D9)&gt;2.5,(E9+'Non travel METs'!D9),0.1)</f>
        <v>7.2352164302827173</v>
      </c>
      <c r="K9" s="533">
        <f>IF((F9+'Non travel METs'!E9)&gt;2.5,(F9+'Non travel METs'!E9),0.1)</f>
        <v>12.272372360867987</v>
      </c>
      <c r="L9" s="533">
        <f>IF((G9+'Non travel METs'!F9)&gt;2.5,(G9+'Non travel METs'!F9),0.1)</f>
        <v>10.691622408564102</v>
      </c>
      <c r="M9" s="533">
        <f>IF((H9+'Non travel METs'!G9)&gt;2.5,(H9+'Non travel METs'!G9),0.1)</f>
        <v>28.855698200629789</v>
      </c>
      <c r="N9" s="541">
        <f>'Phy activity RRs'!$I$4</f>
        <v>0.94314906211536642</v>
      </c>
      <c r="O9" s="534">
        <f>IF(('user page'!$N$39=0),$N9^(I9^0.25),IF(('user page'!$N$39=1),$N9^(I9^0.5),IF(('user page'!$N$39=2),$N9^(I9^0.375),IF(('user page'!$N$39=4),$N9^(I9),IF(('user page'!$N$39=3),$N9^(LN(1+I9)),"")))))</f>
        <v>0.87325643809276454</v>
      </c>
      <c r="P9" s="534">
        <f>IF(('user page'!$N$39=0),$N9^(J9^0.25),IF(('user page'!$N$39=1),$N9^(J9^0.5),IF(('user page'!$N$39=2),$N9^(J9^0.375),IF(('user page'!$N$39=4),$N9^(J9),IF(('user page'!$N$39=3),$N9^(LN(1+J9)),"")))))</f>
        <v>0.85432926225113137</v>
      </c>
      <c r="Q9" s="534">
        <f>IF(('user page'!$N$39=0),$N9^(K9^0.25),IF(('user page'!$N$39=1),$N9^(K9^0.5),IF(('user page'!$N$39=2),$N9^(K9^0.375),IF(('user page'!$N$39=4),$N9^(K9),IF(('user page'!$N$39=3),$N9^(LN(1+K9)),"")))))</f>
        <v>0.81461044574940622</v>
      </c>
      <c r="R9" s="534">
        <f>IF(('user page'!$N$39=0),$N9^(L9^0.25),IF(('user page'!$N$39=1),$N9^(L9^0.5),IF(('user page'!$N$39=2),$N9^(L9^0.375),IF(('user page'!$N$39=4),$N9^(L9),IF(('user page'!$N$39=3),$N9^(LN(1+L9)),"")))))</f>
        <v>0.82581481267534362</v>
      </c>
      <c r="S9" s="534">
        <f>IF(('user page'!$N$39=0),$N9^(M9^0.25),IF(('user page'!$N$39=1),$N9^(M9^0.5),IF(('user page'!$N$39=2),$N9^(M9^0.375),IF(('user page'!$N$39=4),$N9^(M9),IF(('user page'!$N$39=3),$N9^(LN(1+M9)),"")))))</f>
        <v>0.7302169775541747</v>
      </c>
      <c r="T9" s="535">
        <f t="shared" si="0"/>
        <v>1</v>
      </c>
      <c r="U9" s="535">
        <f t="shared" si="0"/>
        <v>0.97832575287624435</v>
      </c>
      <c r="V9" s="535">
        <f t="shared" si="0"/>
        <v>0.93284218726008583</v>
      </c>
      <c r="W9" s="535">
        <f t="shared" si="0"/>
        <v>0.94567274474261442</v>
      </c>
      <c r="X9" s="535">
        <f t="shared" si="0"/>
        <v>0.83619993589626995</v>
      </c>
      <c r="Y9" s="540">
        <f t="shared" si="8"/>
        <v>3.1947064451229412E-2</v>
      </c>
      <c r="Z9" s="542">
        <f t="shared" si="1"/>
        <v>0.96805293554877059</v>
      </c>
      <c r="AA9" s="540"/>
      <c r="AB9" s="533">
        <f>Z9*GBDUS!$O94/($T9+$W9+$X9+U9+V9)</f>
        <v>8.5490022697963172E-2</v>
      </c>
      <c r="AC9" s="537">
        <f t="shared" si="2"/>
        <v>8.3637090819392038E-2</v>
      </c>
      <c r="AD9" s="537">
        <f t="shared" si="3"/>
        <v>7.9748699762482347E-2</v>
      </c>
      <c r="AE9" s="537">
        <f t="shared" si="4"/>
        <v>8.0845584412891247E-2</v>
      </c>
      <c r="AF9" s="537">
        <f t="shared" si="4"/>
        <v>7.1486751499807474E-2</v>
      </c>
      <c r="AG9" s="533">
        <f>Z9*GBDUS!$P94/($T9+$W9+$X9+U9+V9)</f>
        <v>0.55173777272200519</v>
      </c>
      <c r="AH9" s="537">
        <f t="shared" si="5"/>
        <v>0.53977927188851793</v>
      </c>
      <c r="AI9" s="537">
        <f t="shared" si="5"/>
        <v>0.51468427070000344</v>
      </c>
      <c r="AJ9" s="537">
        <f t="shared" si="5"/>
        <v>0.52176337390819538</v>
      </c>
      <c r="AK9" s="537">
        <f t="shared" si="5"/>
        <v>0.46136309018169153</v>
      </c>
      <c r="AL9" s="533">
        <f>Z9*GBDUS!$Q94/($T9+$W9+$X9+U9+V9)</f>
        <v>0.63329885062196822</v>
      </c>
      <c r="AM9" s="537">
        <f t="shared" si="6"/>
        <v>0.61957257483039729</v>
      </c>
      <c r="AN9" s="537">
        <f t="shared" si="6"/>
        <v>0.5907678850034952</v>
      </c>
      <c r="AO9" s="537">
        <f t="shared" si="6"/>
        <v>0.59889346231001961</v>
      </c>
      <c r="AP9" s="537">
        <f t="shared" si="6"/>
        <v>0.52956445829327126</v>
      </c>
      <c r="AQ9" s="533">
        <f t="shared" si="9"/>
        <v>-1.3240414991713703E-2</v>
      </c>
      <c r="AR9" s="533">
        <f t="shared" si="10"/>
        <v>-8.5451340950657928E-2</v>
      </c>
      <c r="AS9" s="533">
        <f t="shared" si="11"/>
        <v>-9.8083253827583206E-2</v>
      </c>
      <c r="AT9" s="533">
        <f t="shared" si="7"/>
        <v>-0.18353459477824113</v>
      </c>
      <c r="AU9" s="532"/>
      <c r="AV9" s="532"/>
      <c r="AW9" s="532"/>
      <c r="AX9" s="532"/>
      <c r="AY9" s="532"/>
    </row>
    <row r="10" spans="1:51" x14ac:dyDescent="0.2">
      <c r="A10" s="525">
        <v>1</v>
      </c>
      <c r="B10" s="525">
        <v>1</v>
      </c>
      <c r="C10" s="525" t="s">
        <v>35</v>
      </c>
      <c r="D10" s="533">
        <f>Scenario!AN26</f>
        <v>0.79357227183824619</v>
      </c>
      <c r="E10" s="533">
        <f>Scenario!AO26</f>
        <v>1.7983470108190212</v>
      </c>
      <c r="F10" s="533">
        <f>Scenario!AP26</f>
        <v>3.1691602498512577</v>
      </c>
      <c r="G10" s="533">
        <f>Scenario!AQ26</f>
        <v>5.5848935877303978</v>
      </c>
      <c r="H10" s="533">
        <f>Scenario!AR26</f>
        <v>12.656158796945045</v>
      </c>
      <c r="I10" s="533">
        <f>IF((D10+'Non travel METs'!C10)&gt;2.5,(D10+'Non travel METs'!C10),0.1)</f>
        <v>0.1</v>
      </c>
      <c r="J10" s="533">
        <f>IF((E10+'Non travel METs'!D10)&gt;2.5,(E10+'Non travel METs'!D10),0.1)</f>
        <v>11.798347010819022</v>
      </c>
      <c r="K10" s="533">
        <f>IF((F10+'Non travel METs'!E10)&gt;2.5,(F10+'Non travel METs'!E10),0.1)</f>
        <v>6.9191602498512577</v>
      </c>
      <c r="L10" s="533">
        <f>IF((G10+'Non travel METs'!F10)&gt;2.5,(G10+'Non travel METs'!F10),0.1)</f>
        <v>10.793226921063727</v>
      </c>
      <c r="M10" s="533">
        <f>IF((H10+'Non travel METs'!G10)&gt;2.5,(H10+'Non travel METs'!G10),0.1)</f>
        <v>12.656158796945045</v>
      </c>
      <c r="N10" s="541">
        <f>'Phy activity RRs'!$I$4</f>
        <v>0.94314906211536642</v>
      </c>
      <c r="O10" s="534">
        <f>IF(('user page'!$N$39=0),$N10^(I10^0.25),IF(('user page'!$N$39=1),$N10^(I10^0.5),IF(('user page'!$N$39=2),$N10^(I10^0.375),IF(('user page'!$N$39=4),$N10^(I10),IF(('user page'!$N$39=3),$N10^(LN(1+I10)),"")))))</f>
        <v>0.98166113424264856</v>
      </c>
      <c r="P10" s="534">
        <f>IF(('user page'!$N$39=0),$N10^(J10^0.25),IF(('user page'!$N$39=1),$N10^(J10^0.5),IF(('user page'!$N$39=2),$N10^(J10^0.375),IF(('user page'!$N$39=4),$N10^(J10),IF(('user page'!$N$39=3),$N10^(LN(1+J10)),"")))))</f>
        <v>0.81787457385712925</v>
      </c>
      <c r="Q10" s="534">
        <f>IF(('user page'!$N$39=0),$N10^(K10^0.25),IF(('user page'!$N$39=1),$N10^(K10^0.5),IF(('user page'!$N$39=2),$N10^(K10^0.375),IF(('user page'!$N$39=4),$N10^(K10),IF(('user page'!$N$39=3),$N10^(LN(1+K10)),"")))))</f>
        <v>0.85730501609321108</v>
      </c>
      <c r="R10" s="534">
        <f>IF(('user page'!$N$39=0),$N10^(L10^0.25),IF(('user page'!$N$39=1),$N10^(L10^0.5),IF(('user page'!$N$39=2),$N10^(L10^0.375),IF(('user page'!$N$39=4),$N10^(L10),IF(('user page'!$N$39=3),$N10^(LN(1+L10)),"")))))</f>
        <v>0.82506594650722187</v>
      </c>
      <c r="S10" s="534">
        <f>IF(('user page'!$N$39=0),$N10^(M10^0.25),IF(('user page'!$N$39=1),$N10^(M10^0.5),IF(('user page'!$N$39=2),$N10^(M10^0.375),IF(('user page'!$N$39=4),$N10^(M10),IF(('user page'!$N$39=3),$N10^(LN(1+M10)),"")))))</f>
        <v>0.81202292443149982</v>
      </c>
      <c r="T10" s="535">
        <f t="shared" si="0"/>
        <v>1</v>
      </c>
      <c r="U10" s="535">
        <f t="shared" si="0"/>
        <v>0.83315366711357008</v>
      </c>
      <c r="V10" s="535">
        <f t="shared" si="0"/>
        <v>0.87332072768127034</v>
      </c>
      <c r="W10" s="535">
        <f t="shared" si="0"/>
        <v>0.8404793851228104</v>
      </c>
      <c r="X10" s="535">
        <f t="shared" si="0"/>
        <v>0.82719270031809444</v>
      </c>
      <c r="Y10" s="540">
        <f t="shared" si="8"/>
        <v>3.2334584968033431E-2</v>
      </c>
      <c r="Z10" s="542">
        <f t="shared" si="1"/>
        <v>0.96766541503196657</v>
      </c>
      <c r="AA10" s="540"/>
      <c r="AB10" s="533">
        <f>Z10*GBDUS!$O95/($T10+$W10+$X10+U10+V10)</f>
        <v>0.53921228912844821</v>
      </c>
      <c r="AC10" s="537">
        <f t="shared" si="2"/>
        <v>0.44924669604006923</v>
      </c>
      <c r="AD10" s="537">
        <f t="shared" si="3"/>
        <v>0.47090526871633992</v>
      </c>
      <c r="AE10" s="537">
        <f t="shared" si="4"/>
        <v>0.45319681321734123</v>
      </c>
      <c r="AF10" s="537">
        <f t="shared" si="4"/>
        <v>0.44603246948886216</v>
      </c>
      <c r="AG10" s="533">
        <f>Z10*GBDUS!$P95/($T10+$W10+$X10+U10+V10)</f>
        <v>1.60847789477166</v>
      </c>
      <c r="AH10" s="537">
        <f t="shared" si="5"/>
        <v>1.3401092565001236</v>
      </c>
      <c r="AI10" s="537">
        <f t="shared" si="5"/>
        <v>1.4047170855212239</v>
      </c>
      <c r="AJ10" s="537">
        <f t="shared" si="5"/>
        <v>1.3518925119813174</v>
      </c>
      <c r="AK10" s="537">
        <f t="shared" si="5"/>
        <v>1.3305211731781332</v>
      </c>
      <c r="AL10" s="533">
        <f>Z10*GBDUS!$Q95/($T10+$W10+$X10+U10+V10)</f>
        <v>2.3837822124152486</v>
      </c>
      <c r="AM10" s="537">
        <f t="shared" si="6"/>
        <v>1.9860568918738637</v>
      </c>
      <c r="AN10" s="537">
        <f t="shared" si="6"/>
        <v>2.0818064163801533</v>
      </c>
      <c r="AO10" s="537">
        <f t="shared" si="6"/>
        <v>2.0035198081574608</v>
      </c>
      <c r="AP10" s="537">
        <f t="shared" si="6"/>
        <v>1.9718472452580109</v>
      </c>
      <c r="AQ10" s="533">
        <f t="shared" si="9"/>
        <v>-7.8812513012504748E-2</v>
      </c>
      <c r="AR10" s="533">
        <f t="shared" si="10"/>
        <v>-0.23509884245575874</v>
      </c>
      <c r="AS10" s="533">
        <f t="shared" si="11"/>
        <v>-0.3484191114015962</v>
      </c>
      <c r="AT10" s="533">
        <f t="shared" si="7"/>
        <v>-0.58351795385735494</v>
      </c>
      <c r="AU10" s="532"/>
      <c r="AV10" s="532"/>
      <c r="AW10" s="532"/>
      <c r="AX10" s="532"/>
      <c r="AY10" s="532"/>
    </row>
    <row r="11" spans="1:51" x14ac:dyDescent="0.2">
      <c r="A11" s="525">
        <v>1</v>
      </c>
      <c r="B11" s="525">
        <v>2</v>
      </c>
      <c r="C11" s="525" t="s">
        <v>2</v>
      </c>
      <c r="D11" s="533"/>
      <c r="E11" s="533"/>
      <c r="F11" s="533"/>
      <c r="G11" s="533"/>
      <c r="H11" s="533"/>
      <c r="I11" s="533"/>
      <c r="J11" s="533"/>
      <c r="K11" s="533"/>
      <c r="L11" s="533"/>
      <c r="M11" s="533"/>
      <c r="N11" s="541"/>
      <c r="O11" s="534"/>
      <c r="P11" s="534"/>
      <c r="Q11" s="534"/>
      <c r="R11" s="534"/>
      <c r="S11" s="534"/>
      <c r="T11" s="535"/>
      <c r="U11" s="535"/>
      <c r="V11" s="535"/>
      <c r="W11" s="535"/>
      <c r="X11" s="535"/>
      <c r="Y11" s="540"/>
      <c r="Z11" s="542"/>
      <c r="AA11" s="540"/>
      <c r="AB11" s="533"/>
      <c r="AC11" s="537"/>
      <c r="AD11" s="537"/>
      <c r="AE11" s="537"/>
      <c r="AF11" s="537"/>
      <c r="AG11" s="533"/>
      <c r="AH11" s="537"/>
      <c r="AI11" s="537"/>
      <c r="AJ11" s="537"/>
      <c r="AK11" s="537"/>
      <c r="AL11" s="533"/>
      <c r="AM11" s="537"/>
      <c r="AN11" s="537"/>
      <c r="AO11" s="537"/>
      <c r="AP11" s="537"/>
      <c r="AQ11" s="533"/>
      <c r="AR11" s="533"/>
      <c r="AS11" s="533"/>
      <c r="AT11" s="533"/>
      <c r="AU11" s="532"/>
      <c r="AV11" s="532"/>
      <c r="AW11" s="532"/>
      <c r="AX11" s="532"/>
      <c r="AY11" s="532"/>
    </row>
    <row r="12" spans="1:51" x14ac:dyDescent="0.2">
      <c r="A12" s="525">
        <v>1</v>
      </c>
      <c r="B12" s="525">
        <v>2</v>
      </c>
      <c r="C12" s="525" t="s">
        <v>41</v>
      </c>
      <c r="D12" s="533"/>
      <c r="E12" s="533"/>
      <c r="F12" s="533"/>
      <c r="G12" s="533"/>
      <c r="H12" s="533"/>
      <c r="I12" s="533"/>
      <c r="J12" s="533"/>
      <c r="K12" s="533"/>
      <c r="L12" s="533"/>
      <c r="M12" s="533"/>
      <c r="N12" s="541"/>
      <c r="O12" s="534"/>
      <c r="P12" s="534"/>
      <c r="Q12" s="534"/>
      <c r="R12" s="534"/>
      <c r="S12" s="534"/>
      <c r="T12" s="535"/>
      <c r="U12" s="535"/>
      <c r="V12" s="535"/>
      <c r="W12" s="535"/>
      <c r="X12" s="535"/>
      <c r="Y12" s="540"/>
      <c r="Z12" s="542"/>
      <c r="AA12" s="540"/>
      <c r="AB12" s="533"/>
      <c r="AC12" s="537"/>
      <c r="AD12" s="537"/>
      <c r="AE12" s="537"/>
      <c r="AF12" s="537"/>
      <c r="AG12" s="533"/>
      <c r="AH12" s="537"/>
      <c r="AI12" s="537"/>
      <c r="AJ12" s="537"/>
      <c r="AK12" s="537"/>
      <c r="AL12" s="533"/>
      <c r="AM12" s="537"/>
      <c r="AN12" s="537"/>
      <c r="AO12" s="537"/>
      <c r="AP12" s="537"/>
      <c r="AQ12" s="533"/>
      <c r="AR12" s="533"/>
      <c r="AS12" s="533"/>
      <c r="AT12" s="533"/>
      <c r="AU12" s="532"/>
      <c r="AV12" s="532"/>
      <c r="AW12" s="532"/>
      <c r="AX12" s="532"/>
      <c r="AY12" s="532"/>
    </row>
    <row r="13" spans="1:51" x14ac:dyDescent="0.2">
      <c r="A13" s="525">
        <v>1</v>
      </c>
      <c r="B13" s="525">
        <v>2</v>
      </c>
      <c r="C13" s="525" t="s">
        <v>40</v>
      </c>
      <c r="D13" s="533">
        <f>Scenario!AN29</f>
        <v>2.5519209672247203</v>
      </c>
      <c r="E13" s="533">
        <f>Scenario!AO29</f>
        <v>5.783013855340938</v>
      </c>
      <c r="F13" s="533">
        <f>Scenario!AP29</f>
        <v>10.191190868295642</v>
      </c>
      <c r="G13" s="533">
        <f>Scenario!AQ29</f>
        <v>17.959557751726912</v>
      </c>
      <c r="H13" s="533">
        <f>Scenario!AR29</f>
        <v>40.698898064614944</v>
      </c>
      <c r="I13" s="533">
        <f>IF((D13+'Non travel METs'!C13)&gt;2.5,(D13+'Non travel METs'!C13),0.1)</f>
        <v>11.418587633891391</v>
      </c>
      <c r="J13" s="533">
        <f>IF((E13+'Non travel METs'!D13)&gt;2.5,(E13+'Non travel METs'!D13),0.1)</f>
        <v>30.383013855340941</v>
      </c>
      <c r="K13" s="533">
        <f>IF((F13+'Non travel METs'!E13)&gt;2.5,(F13+'Non travel METs'!E13),0.1)</f>
        <v>40.041190868295644</v>
      </c>
      <c r="L13" s="533">
        <f>IF((G13+'Non travel METs'!F13)&gt;2.5,(G13+'Non travel METs'!F13),0.1)</f>
        <v>48.359557751726911</v>
      </c>
      <c r="M13" s="533">
        <f>IF((H13+'Non travel METs'!G13)&gt;2.5,(H13+'Non travel METs'!G13),0.1)</f>
        <v>81.698898064614951</v>
      </c>
      <c r="N13" s="541">
        <f>'Phy activity RRs'!$I$4</f>
        <v>0.94314906211536642</v>
      </c>
      <c r="O13" s="534">
        <f>IF(('user page'!$N$39=0),$N13^(I13^0.25),IF(('user page'!$N$39=1),$N13^(I13^0.5),IF(('user page'!$N$39=2),$N13^(I13^0.375),IF(('user page'!$N$39=4),$N13^(I13),IF(('user page'!$N$39=3),$N13^(LN(1+I13)),"")))))</f>
        <v>0.82054688064042958</v>
      </c>
      <c r="P13" s="534">
        <f>IF(('user page'!$N$39=0),$N13^(J13^0.25),IF(('user page'!$N$39=1),$N13^(J13^0.5),IF(('user page'!$N$39=2),$N13^(J13^0.375),IF(('user page'!$N$39=4),$N13^(J13),IF(('user page'!$N$39=3),$N13^(LN(1+J13)),"")))))</f>
        <v>0.72424384488822913</v>
      </c>
      <c r="Q13" s="534">
        <f>IF(('user page'!$N$39=0),$N13^(K13^0.25),IF(('user page'!$N$39=1),$N13^(K13^0.5),IF(('user page'!$N$39=2),$N13^(K13^0.375),IF(('user page'!$N$39=4),$N13^(K13),IF(('user page'!$N$39=3),$N13^(LN(1+K13)),"")))))</f>
        <v>0.6904769425852092</v>
      </c>
      <c r="R13" s="534">
        <f>IF(('user page'!$N$39=0),$N13^(L13^0.25),IF(('user page'!$N$39=1),$N13^(L13^0.5),IF(('user page'!$N$39=2),$N13^(L13^0.375),IF(('user page'!$N$39=4),$N13^(L13),IF(('user page'!$N$39=3),$N13^(LN(1+L13)),"")))))</f>
        <v>0.66562408771876591</v>
      </c>
      <c r="S13" s="534">
        <f>IF(('user page'!$N$39=0),$N13^(M13^0.25),IF(('user page'!$N$39=1),$N13^(M13^0.5),IF(('user page'!$N$39=2),$N13^(M13^0.375),IF(('user page'!$N$39=4),$N13^(M13),IF(('user page'!$N$39=3),$N13^(LN(1+M13)),"")))))</f>
        <v>0.58916666767761217</v>
      </c>
      <c r="T13" s="535">
        <f t="shared" ref="T13:X18" si="12">O13/$O13</f>
        <v>1</v>
      </c>
      <c r="U13" s="535">
        <f t="shared" si="12"/>
        <v>0.88263554706705272</v>
      </c>
      <c r="V13" s="535">
        <f t="shared" si="12"/>
        <v>0.84148384312459767</v>
      </c>
      <c r="W13" s="535">
        <f t="shared" si="12"/>
        <v>0.81119568354126481</v>
      </c>
      <c r="X13" s="535">
        <f t="shared" si="12"/>
        <v>0.71801707078305244</v>
      </c>
      <c r="Y13" s="540">
        <f t="shared" si="8"/>
        <v>4.2401297646715963E-2</v>
      </c>
      <c r="Z13" s="542">
        <f t="shared" ref="Z13:Z18" si="13">SUM(O13:S13)/SUM(O30:S30)</f>
        <v>0.95759870235328404</v>
      </c>
      <c r="AA13" s="540"/>
      <c r="AB13" s="533">
        <f>Z13*GBDUS!$O98/($T13+$W13+$X13+U13+V13)</f>
        <v>0</v>
      </c>
      <c r="AC13" s="537">
        <f t="shared" ref="AC13:AC18" si="14">$AB13*U13</f>
        <v>0</v>
      </c>
      <c r="AD13" s="537">
        <f t="shared" ref="AD13:AD18" si="15">$AB13*V13</f>
        <v>0</v>
      </c>
      <c r="AE13" s="537">
        <f t="shared" ref="AE13:AF18" si="16">$AB13*W13</f>
        <v>0</v>
      </c>
      <c r="AF13" s="537">
        <f t="shared" si="16"/>
        <v>0</v>
      </c>
      <c r="AG13" s="533">
        <f>Z13*GBDUS!$P98/($T13+$W13+$X13+U13+V13)</f>
        <v>0</v>
      </c>
      <c r="AH13" s="537">
        <f t="shared" ref="AH13:AK18" si="17">$AG13*U13</f>
        <v>0</v>
      </c>
      <c r="AI13" s="537">
        <f t="shared" si="17"/>
        <v>0</v>
      </c>
      <c r="AJ13" s="537">
        <f t="shared" si="17"/>
        <v>0</v>
      </c>
      <c r="AK13" s="537">
        <f t="shared" si="17"/>
        <v>0</v>
      </c>
      <c r="AL13" s="533">
        <f>Z13*GBDUS!$Q98/($T13+$W13+$X13+U13+V13)</f>
        <v>0</v>
      </c>
      <c r="AM13" s="537">
        <f t="shared" ref="AM13:AP18" si="18">$AL13*U13</f>
        <v>0</v>
      </c>
      <c r="AN13" s="537">
        <f t="shared" si="18"/>
        <v>0</v>
      </c>
      <c r="AO13" s="537">
        <f t="shared" si="18"/>
        <v>0</v>
      </c>
      <c r="AP13" s="537">
        <f t="shared" si="18"/>
        <v>0</v>
      </c>
      <c r="AQ13" s="533">
        <f t="shared" si="9"/>
        <v>0</v>
      </c>
      <c r="AR13" s="533">
        <f t="shared" si="10"/>
        <v>0</v>
      </c>
      <c r="AS13" s="533">
        <f t="shared" si="11"/>
        <v>0</v>
      </c>
      <c r="AT13" s="533">
        <f t="shared" ref="AT13:AT18" si="19">AR13+AS13</f>
        <v>0</v>
      </c>
      <c r="AU13" s="532"/>
      <c r="AV13" s="532"/>
      <c r="AW13" s="532"/>
      <c r="AX13" s="532"/>
      <c r="AY13" s="532"/>
    </row>
    <row r="14" spans="1:51" x14ac:dyDescent="0.2">
      <c r="A14" s="525">
        <v>1</v>
      </c>
      <c r="B14" s="525">
        <v>2</v>
      </c>
      <c r="C14" s="525" t="s">
        <v>39</v>
      </c>
      <c r="D14" s="533">
        <f>Scenario!AN30</f>
        <v>1.5370956980369832</v>
      </c>
      <c r="E14" s="533">
        <f>Scenario!AO30</f>
        <v>3.4832762585119914</v>
      </c>
      <c r="F14" s="533">
        <f>Scenario!AP30</f>
        <v>6.1384485815667444</v>
      </c>
      <c r="G14" s="533">
        <f>Scenario!AQ30</f>
        <v>10.817560305892991</v>
      </c>
      <c r="H14" s="533">
        <f>Scenario!AR30</f>
        <v>24.514121688493699</v>
      </c>
      <c r="I14" s="533">
        <f>IF((D14+'Non travel METs'!C14)&gt;2.5,(D14+'Non travel METs'!C14),0.1)</f>
        <v>42.537095698036985</v>
      </c>
      <c r="J14" s="533">
        <f>IF((E14+'Non travel METs'!D14)&gt;2.5,(E14+'Non travel METs'!D14),0.1)</f>
        <v>39.358276258511992</v>
      </c>
      <c r="K14" s="533">
        <f>IF((F14+'Non travel METs'!E14)&gt;2.5,(F14+'Non travel METs'!E14),0.1)</f>
        <v>44.988448581566743</v>
      </c>
      <c r="L14" s="533">
        <f>IF((G14+'Non travel METs'!F14)&gt;2.5,(G14+'Non travel METs'!F14),0.1)</f>
        <v>51.817560305892989</v>
      </c>
      <c r="M14" s="533">
        <f>IF((H14+'Non travel METs'!G14)&gt;2.5,(H14+'Non travel METs'!G14),0.1)</f>
        <v>66.780788355160396</v>
      </c>
      <c r="N14" s="541">
        <f>'Phy activity RRs'!$I$4</f>
        <v>0.94314906211536642</v>
      </c>
      <c r="O14" s="534">
        <f>IF(('user page'!$N$39=0),$N14^(I14^0.25),IF(('user page'!$N$39=1),$N14^(I14^0.5),IF(('user page'!$N$39=2),$N14^(I14^0.375),IF(('user page'!$N$39=4),$N14^(I14),IF(('user page'!$N$39=3),$N14^(LN(1+I14)),"")))))</f>
        <v>0.68267149186429787</v>
      </c>
      <c r="P14" s="534">
        <f>IF(('user page'!$N$39=0),$N14^(J14^0.25),IF(('user page'!$N$39=1),$N14^(J14^0.5),IF(('user page'!$N$39=2),$N14^(J14^0.375),IF(('user page'!$N$39=4),$N14^(J14),IF(('user page'!$N$39=3),$N14^(LN(1+J14)),"")))))</f>
        <v>0.69267060732133034</v>
      </c>
      <c r="Q14" s="534">
        <f>IF(('user page'!$N$39=0),$N14^(K14^0.25),IF(('user page'!$N$39=1),$N14^(K14^0.5),IF(('user page'!$N$39=2),$N14^(K14^0.375),IF(('user page'!$N$39=4),$N14^(K14),IF(('user page'!$N$39=3),$N14^(LN(1+K14)),"")))))</f>
        <v>0.67530755068642456</v>
      </c>
      <c r="R14" s="534">
        <f>IF(('user page'!$N$39=0),$N14^(L14^0.25),IF(('user page'!$N$39=1),$N14^(L14^0.5),IF(('user page'!$N$39=2),$N14^(L14^0.375),IF(('user page'!$N$39=4),$N14^(L14),IF(('user page'!$N$39=3),$N14^(LN(1+L14)),"")))))</f>
        <v>0.65617252824702244</v>
      </c>
      <c r="S14" s="534">
        <f>IF(('user page'!$N$39=0),$N14^(M14^0.25),IF(('user page'!$N$39=1),$N14^(M14^0.5),IF(('user page'!$N$39=2),$N14^(M14^0.375),IF(('user page'!$N$39=4),$N14^(M14),IF(('user page'!$N$39=3),$N14^(LN(1+M14)),"")))))</f>
        <v>0.61982880217331371</v>
      </c>
      <c r="T14" s="535">
        <f t="shared" si="12"/>
        <v>1</v>
      </c>
      <c r="U14" s="535">
        <f t="shared" si="12"/>
        <v>1.0146470382551438</v>
      </c>
      <c r="V14" s="535">
        <f t="shared" si="12"/>
        <v>0.98921305303409812</v>
      </c>
      <c r="W14" s="535">
        <f t="shared" si="12"/>
        <v>0.96118343312548504</v>
      </c>
      <c r="X14" s="535">
        <f t="shared" si="12"/>
        <v>0.90794592942592645</v>
      </c>
      <c r="Y14" s="540">
        <f t="shared" si="8"/>
        <v>2.5538316328693189E-2</v>
      </c>
      <c r="Z14" s="542">
        <f t="shared" si="13"/>
        <v>0.97446168367130681</v>
      </c>
      <c r="AA14" s="540"/>
      <c r="AB14" s="533">
        <f>Z14*GBDUS!$O99/($T14+$W14+$X14+U14+V14)</f>
        <v>1.4820170630469926E-4</v>
      </c>
      <c r="AC14" s="537">
        <f t="shared" si="14"/>
        <v>1.5037242236642177E-4</v>
      </c>
      <c r="AD14" s="537">
        <f t="shared" si="15"/>
        <v>1.466030623585343E-4</v>
      </c>
      <c r="AE14" s="537">
        <f t="shared" si="16"/>
        <v>1.4244902486100567E-4</v>
      </c>
      <c r="AF14" s="537">
        <f t="shared" si="16"/>
        <v>1.3455913597332835E-4</v>
      </c>
      <c r="AG14" s="533">
        <f>Z14*GBDUS!$P99/($T14+$W14+$X14+U14+V14)</f>
        <v>3.8140919020772613E-3</v>
      </c>
      <c r="AH14" s="537">
        <f t="shared" si="17"/>
        <v>3.869957052075621E-3</v>
      </c>
      <c r="AI14" s="537">
        <f t="shared" si="17"/>
        <v>3.7729494950064779E-3</v>
      </c>
      <c r="AJ14" s="537">
        <f t="shared" si="17"/>
        <v>3.6660419486947335E-3</v>
      </c>
      <c r="AK14" s="537">
        <f t="shared" si="17"/>
        <v>3.4629892169474388E-3</v>
      </c>
      <c r="AL14" s="533">
        <f>Z14*GBDUS!$Q99/($T14+$W14+$X14+U14+V14)</f>
        <v>9.1318111099970454E-4</v>
      </c>
      <c r="AM14" s="537">
        <f t="shared" si="18"/>
        <v>9.2655650966639192E-4</v>
      </c>
      <c r="AN14" s="537">
        <f t="shared" si="18"/>
        <v>9.0333067478508733E-4</v>
      </c>
      <c r="AO14" s="537">
        <f t="shared" si="18"/>
        <v>8.7773455533604063E-4</v>
      </c>
      <c r="AP14" s="537">
        <f t="shared" si="18"/>
        <v>8.2911907256082683E-4</v>
      </c>
      <c r="AQ14" s="533">
        <f t="shared" si="9"/>
        <v>-1.8926755431127295E-5</v>
      </c>
      <c r="AR14" s="533">
        <f t="shared" si="10"/>
        <v>-4.8709550262559902E-4</v>
      </c>
      <c r="AS14" s="533">
        <f t="shared" si="11"/>
        <v>-1.1662183913511656E-4</v>
      </c>
      <c r="AT14" s="533">
        <f t="shared" si="19"/>
        <v>-6.0371734176071557E-4</v>
      </c>
      <c r="AU14" s="532"/>
      <c r="AV14" s="532"/>
      <c r="AW14" s="532"/>
      <c r="AX14" s="532"/>
      <c r="AY14" s="532"/>
    </row>
    <row r="15" spans="1:51" x14ac:dyDescent="0.2">
      <c r="A15" s="525">
        <v>1</v>
      </c>
      <c r="B15" s="525">
        <v>2</v>
      </c>
      <c r="C15" s="525" t="s">
        <v>38</v>
      </c>
      <c r="D15" s="533">
        <f>Scenario!AN31</f>
        <v>1.2975056378007672</v>
      </c>
      <c r="E15" s="533">
        <f>Scenario!AO31</f>
        <v>2.9403312944072315</v>
      </c>
      <c r="F15" s="533">
        <f>Scenario!AP31</f>
        <v>5.1816368051153949</v>
      </c>
      <c r="G15" s="533">
        <f>Scenario!AQ31</f>
        <v>9.1314063932851113</v>
      </c>
      <c r="H15" s="533">
        <f>Scenario!AR31</f>
        <v>20.693058432975548</v>
      </c>
      <c r="I15" s="533">
        <f>IF((D15+'Non travel METs'!C15)&gt;2.5,(D15+'Non travel METs'!C15),0.1)</f>
        <v>42.947505637800766</v>
      </c>
      <c r="J15" s="533">
        <f>IF((E15+'Non travel METs'!D15)&gt;2.5,(E15+'Non travel METs'!D15),0.1)</f>
        <v>45.990331294407227</v>
      </c>
      <c r="K15" s="533">
        <f>IF((F15+'Non travel METs'!E15)&gt;2.5,(F15+'Non travel METs'!E15),0.1)</f>
        <v>51.248303471782094</v>
      </c>
      <c r="L15" s="533">
        <f>IF((G15+'Non travel METs'!F15)&gt;2.5,(G15+'Non travel METs'!F15),0.1)</f>
        <v>50.131406393285111</v>
      </c>
      <c r="M15" s="533">
        <f>IF((H15+'Non travel METs'!G15)&gt;2.5,(H15+'Non travel METs'!G15),0.1)</f>
        <v>61.693058432975548</v>
      </c>
      <c r="N15" s="541">
        <f>'Phy activity RRs'!$I$4</f>
        <v>0.94314906211536642</v>
      </c>
      <c r="O15" s="534">
        <f>IF(('user page'!$N$39=0),$N15^(I15^0.25),IF(('user page'!$N$39=1),$N15^(I15^0.5),IF(('user page'!$N$39=2),$N15^(I15^0.375),IF(('user page'!$N$39=4),$N15^(I15),IF(('user page'!$N$39=3),$N15^(LN(1+I15)),"")))))</f>
        <v>0.68141847029303604</v>
      </c>
      <c r="P15" s="534">
        <f>IF(('user page'!$N$39=0),$N15^(J15^0.25),IF(('user page'!$N$39=1),$N15^(J15^0.5),IF(('user page'!$N$39=2),$N15^(J15^0.375),IF(('user page'!$N$39=4),$N15^(J15),IF(('user page'!$N$39=3),$N15^(LN(1+J15)),"")))))</f>
        <v>0.67237812946973796</v>
      </c>
      <c r="Q15" s="534">
        <f>IF(('user page'!$N$39=0),$N15^(K15^0.25),IF(('user page'!$N$39=1),$N15^(K15^0.5),IF(('user page'!$N$39=2),$N15^(K15^0.375),IF(('user page'!$N$39=4),$N15^(K15),IF(('user page'!$N$39=3),$N15^(LN(1+K15)),"")))))</f>
        <v>0.65769709007290322</v>
      </c>
      <c r="R15" s="534">
        <f>IF(('user page'!$N$39=0),$N15^(L15^0.25),IF(('user page'!$N$39=1),$N15^(L15^0.5),IF(('user page'!$N$39=2),$N15^(L15^0.375),IF(('user page'!$N$39=4),$N15^(L15),IF(('user page'!$N$39=3),$N15^(LN(1+L15)),"")))))</f>
        <v>0.66072357098990575</v>
      </c>
      <c r="S15" s="534">
        <f>IF(('user page'!$N$39=0),$N15^(M15^0.25),IF(('user page'!$N$39=1),$N15^(M15^0.5),IF(('user page'!$N$39=2),$N15^(M15^0.375),IF(('user page'!$N$39=4),$N15^(M15),IF(('user page'!$N$39=3),$N15^(LN(1+M15)),"")))))</f>
        <v>0.63145359417688329</v>
      </c>
      <c r="T15" s="535">
        <f t="shared" si="12"/>
        <v>1</v>
      </c>
      <c r="U15" s="535">
        <f t="shared" si="12"/>
        <v>0.98673305579842829</v>
      </c>
      <c r="V15" s="535">
        <f t="shared" si="12"/>
        <v>0.9651882341699195</v>
      </c>
      <c r="W15" s="535">
        <f t="shared" si="12"/>
        <v>0.969629676615266</v>
      </c>
      <c r="X15" s="535">
        <f t="shared" si="12"/>
        <v>0.92667519550113464</v>
      </c>
      <c r="Y15" s="540">
        <f t="shared" si="8"/>
        <v>2.185161789026091E-2</v>
      </c>
      <c r="Z15" s="542">
        <f t="shared" si="13"/>
        <v>0.97814838210973909</v>
      </c>
      <c r="AA15" s="540"/>
      <c r="AB15" s="533">
        <f>Z15*GBDUS!$O100/($T15+$W15+$X15+U15+V15)</f>
        <v>2.7924435249027115E-3</v>
      </c>
      <c r="AC15" s="537">
        <f t="shared" si="14"/>
        <v>2.7553963324717869E-3</v>
      </c>
      <c r="AD15" s="537">
        <f t="shared" si="15"/>
        <v>2.6952336348200737E-3</v>
      </c>
      <c r="AE15" s="537">
        <f t="shared" si="16"/>
        <v>2.7076361120178098E-3</v>
      </c>
      <c r="AF15" s="537">
        <f t="shared" si="16"/>
        <v>2.5876881493650979E-3</v>
      </c>
      <c r="AG15" s="533">
        <f>Z15*GBDUS!$P100/($T15+$W15+$X15+U15+V15)</f>
        <v>4.7732009589971071E-2</v>
      </c>
      <c r="AH15" s="537">
        <f t="shared" si="17"/>
        <v>4.7098751682112042E-2</v>
      </c>
      <c r="AI15" s="537">
        <f t="shared" si="17"/>
        <v>4.6070374049525839E-2</v>
      </c>
      <c r="AJ15" s="537">
        <f t="shared" si="17"/>
        <v>4.6282373022920424E-2</v>
      </c>
      <c r="AK15" s="537">
        <f t="shared" si="17"/>
        <v>4.4232069318448475E-2</v>
      </c>
      <c r="AL15" s="533">
        <f>Z15*GBDUS!$Q100/($T15+$W15+$X15+U15+V15)</f>
        <v>0.10854861327571766</v>
      </c>
      <c r="AM15" s="537">
        <f t="shared" si="18"/>
        <v>0.10710850488023073</v>
      </c>
      <c r="AN15" s="537">
        <f t="shared" si="18"/>
        <v>0.10476984436918341</v>
      </c>
      <c r="AO15" s="537">
        <f t="shared" si="18"/>
        <v>0.10525195678756968</v>
      </c>
      <c r="AP15" s="537">
        <f t="shared" si="18"/>
        <v>0.10058930742865273</v>
      </c>
      <c r="AQ15" s="533">
        <f t="shared" si="9"/>
        <v>-3.0244480282169868E-4</v>
      </c>
      <c r="AR15" s="533">
        <f t="shared" si="10"/>
        <v>-5.1697726739970834E-3</v>
      </c>
      <c r="AS15" s="533">
        <f t="shared" si="11"/>
        <v>-1.1756715452244174E-2</v>
      </c>
      <c r="AT15" s="533">
        <f t="shared" si="19"/>
        <v>-1.6926488126241257E-2</v>
      </c>
      <c r="AU15" s="532"/>
      <c r="AV15" s="532"/>
      <c r="AW15" s="532"/>
      <c r="AX15" s="532"/>
      <c r="AY15" s="532"/>
    </row>
    <row r="16" spans="1:51" x14ac:dyDescent="0.2">
      <c r="A16" s="525">
        <v>1</v>
      </c>
      <c r="B16" s="525">
        <v>2</v>
      </c>
      <c r="C16" s="525" t="s">
        <v>37</v>
      </c>
      <c r="D16" s="533">
        <f>Scenario!AN32</f>
        <v>0.85341118968805019</v>
      </c>
      <c r="E16" s="533">
        <f>Scenario!AO32</f>
        <v>1.9339504622810642</v>
      </c>
      <c r="F16" s="533">
        <f>Scenario!AP32</f>
        <v>3.4081291838393759</v>
      </c>
      <c r="G16" s="533">
        <f>Scenario!AQ32</f>
        <v>6.0060196785172764</v>
      </c>
      <c r="H16" s="533">
        <f>Scenario!AR32</f>
        <v>13.610490082727217</v>
      </c>
      <c r="I16" s="533">
        <f>IF((D16+'Non travel METs'!C16)&gt;2.5,(D16+'Non travel METs'!C16),0.1)</f>
        <v>33.65341118968805</v>
      </c>
      <c r="J16" s="533">
        <f>IF((E16+'Non travel METs'!D16)&gt;2.5,(E16+'Non travel METs'!D16),0.1)</f>
        <v>19.933950462281064</v>
      </c>
      <c r="K16" s="533">
        <f>IF((F16+'Non travel METs'!E16)&gt;2.5,(F16+'Non travel METs'!E16),0.1)</f>
        <v>35.158129183839378</v>
      </c>
      <c r="L16" s="533">
        <f>IF((G16+'Non travel METs'!F16)&gt;2.5,(G16+'Non travel METs'!F16),0.1)</f>
        <v>26.506019678517276</v>
      </c>
      <c r="M16" s="533">
        <f>IF((H16+'Non travel METs'!G16)&gt;2.5,(H16+'Non travel METs'!G16),0.1)</f>
        <v>18.110490082727217</v>
      </c>
      <c r="N16" s="541">
        <f>'Phy activity RRs'!$I$4</f>
        <v>0.94314906211536642</v>
      </c>
      <c r="O16" s="534">
        <f>IF(('user page'!$N$39=0),$N16^(I16^0.25),IF(('user page'!$N$39=1),$N16^(I16^0.5),IF(('user page'!$N$39=2),$N16^(I16^0.375),IF(('user page'!$N$39=4),$N16^(I16),IF(('user page'!$N$39=3),$N16^(LN(1+I16)),"")))))</f>
        <v>0.71209275984974818</v>
      </c>
      <c r="P16" s="534">
        <f>IF(('user page'!$N$39=0),$N16^(J16^0.25),IF(('user page'!$N$39=1),$N16^(J16^0.5),IF(('user page'!$N$39=2),$N16^(J16^0.375),IF(('user page'!$N$39=4),$N16^(J16),IF(('user page'!$N$39=3),$N16^(LN(1+J16)),"")))))</f>
        <v>0.7700300620575774</v>
      </c>
      <c r="Q16" s="534">
        <f>IF(('user page'!$N$39=0),$N16^(K16^0.25),IF(('user page'!$N$39=1),$N16^(K16^0.5),IF(('user page'!$N$39=2),$N16^(K16^0.375),IF(('user page'!$N$39=4),$N16^(K16),IF(('user page'!$N$39=3),$N16^(LN(1+K16)),"")))))</f>
        <v>0.70676642856428806</v>
      </c>
      <c r="R16" s="534">
        <f>IF(('user page'!$N$39=0),$N16^(L16^0.25),IF(('user page'!$N$39=1),$N16^(L16^0.5),IF(('user page'!$N$39=2),$N16^(L16^0.375),IF(('user page'!$N$39=4),$N16^(L16),IF(('user page'!$N$39=3),$N16^(LN(1+L16)),"")))))</f>
        <v>0.73982570252615476</v>
      </c>
      <c r="S16" s="534">
        <f>IF(('user page'!$N$39=0),$N16^(M16^0.25),IF(('user page'!$N$39=1),$N16^(M16^0.5),IF(('user page'!$N$39=2),$N16^(M16^0.375),IF(('user page'!$N$39=4),$N16^(M16),IF(('user page'!$N$39=3),$N16^(LN(1+M16)),"")))))</f>
        <v>0.77951237057246403</v>
      </c>
      <c r="T16" s="535">
        <f t="shared" si="12"/>
        <v>1</v>
      </c>
      <c r="U16" s="535">
        <f t="shared" si="12"/>
        <v>1.0813620155610824</v>
      </c>
      <c r="V16" s="535">
        <f t="shared" si="12"/>
        <v>0.99252017210990329</v>
      </c>
      <c r="W16" s="535">
        <f t="shared" si="12"/>
        <v>1.038945688314902</v>
      </c>
      <c r="X16" s="535">
        <f t="shared" si="12"/>
        <v>1.0946781297663262</v>
      </c>
      <c r="Y16" s="540">
        <f t="shared" si="8"/>
        <v>2.57709941308778E-2</v>
      </c>
      <c r="Z16" s="542">
        <f t="shared" si="13"/>
        <v>0.9742290058691222</v>
      </c>
      <c r="AA16" s="540"/>
      <c r="AB16" s="533">
        <f>Z16*GBDUS!$O101/($T16+$W16+$X16+U16+V16)</f>
        <v>1.3730816097653281E-2</v>
      </c>
      <c r="AC16" s="537">
        <f t="shared" si="14"/>
        <v>1.4847982970656908E-2</v>
      </c>
      <c r="AD16" s="537">
        <f t="shared" si="15"/>
        <v>1.3628111956452265E-2</v>
      </c>
      <c r="AE16" s="537">
        <f t="shared" si="16"/>
        <v>1.4265572181701724E-2</v>
      </c>
      <c r="AF16" s="537">
        <f t="shared" si="16"/>
        <v>1.5030824085944458E-2</v>
      </c>
      <c r="AG16" s="533">
        <f>Z16*GBDUS!$P101/($T16+$W16+$X16+U16+V16)</f>
        <v>0.1678958033516692</v>
      </c>
      <c r="AH16" s="537">
        <f t="shared" si="17"/>
        <v>0.18155614431660813</v>
      </c>
      <c r="AI16" s="537">
        <f t="shared" si="17"/>
        <v>0.16663997163912919</v>
      </c>
      <c r="AJ16" s="537">
        <f t="shared" si="17"/>
        <v>0.17443462097838339</v>
      </c>
      <c r="AK16" s="537">
        <f t="shared" si="17"/>
        <v>0.18379186400862013</v>
      </c>
      <c r="AL16" s="533">
        <f>Z16*GBDUS!$Q101/($T16+$W16+$X16+U16+V16)</f>
        <v>0.32545126605610042</v>
      </c>
      <c r="AM16" s="537">
        <f t="shared" si="18"/>
        <v>0.35193063702933081</v>
      </c>
      <c r="AN16" s="537">
        <f t="shared" si="18"/>
        <v>0.32301694659938673</v>
      </c>
      <c r="AO16" s="537">
        <f t="shared" si="18"/>
        <v>0.33812618962561153</v>
      </c>
      <c r="AP16" s="537">
        <f t="shared" si="18"/>
        <v>0.35626438325637505</v>
      </c>
      <c r="AQ16" s="533">
        <f t="shared" si="9"/>
        <v>-1.8914560144173802E-3</v>
      </c>
      <c r="AR16" s="533">
        <f t="shared" si="10"/>
        <v>-2.3128088293253579E-2</v>
      </c>
      <c r="AS16" s="533">
        <f t="shared" si="11"/>
        <v>-4.4831767478610729E-2</v>
      </c>
      <c r="AT16" s="533">
        <f t="shared" si="19"/>
        <v>-6.7959855771864308E-2</v>
      </c>
      <c r="AU16" s="532"/>
      <c r="AV16" s="532"/>
      <c r="AW16" s="532"/>
      <c r="AX16" s="532"/>
      <c r="AY16" s="532"/>
    </row>
    <row r="17" spans="1:51" x14ac:dyDescent="0.2">
      <c r="A17" s="525">
        <v>1</v>
      </c>
      <c r="B17" s="525">
        <v>2</v>
      </c>
      <c r="C17" s="525" t="s">
        <v>36</v>
      </c>
      <c r="D17" s="533">
        <f>Scenario!AN33</f>
        <v>0.77504695374177146</v>
      </c>
      <c r="E17" s="533">
        <f>Scenario!AO33</f>
        <v>1.7563660197920845</v>
      </c>
      <c r="F17" s="533">
        <f>Scenario!AP33</f>
        <v>3.0951787061272027</v>
      </c>
      <c r="G17" s="533">
        <f>Scenario!AQ33</f>
        <v>5.4545186566507038</v>
      </c>
      <c r="H17" s="533">
        <f>Scenario!AR33</f>
        <v>12.360710762892898</v>
      </c>
      <c r="I17" s="533">
        <f>IF((D17+'Non travel METs'!C17)&gt;2.5,(D17+'Non travel METs'!C17),0.1)</f>
        <v>6.6083802870751018</v>
      </c>
      <c r="J17" s="533">
        <f>IF((E17+'Non travel METs'!D17)&gt;2.5,(E17+'Non travel METs'!D17),0.1)</f>
        <v>6.7563660197920843</v>
      </c>
      <c r="K17" s="533">
        <f>IF((F17+'Non travel METs'!E17)&gt;2.5,(F17+'Non travel METs'!E17),0.1)</f>
        <v>5.5951787061272027</v>
      </c>
      <c r="L17" s="533">
        <f>IF((G17+'Non travel METs'!F17)&gt;2.5,(G17+'Non travel METs'!F17),0.1)</f>
        <v>9.2045186566507038</v>
      </c>
      <c r="M17" s="533">
        <f>IF((H17+'Non travel METs'!G17)&gt;2.5,(H17+'Non travel METs'!G17),0.1)</f>
        <v>12.360710762892898</v>
      </c>
      <c r="N17" s="541">
        <f>'Phy activity RRs'!$I$4</f>
        <v>0.94314906211536642</v>
      </c>
      <c r="O17" s="534">
        <f>IF(('user page'!$N$39=0),$N17^(I17^0.25),IF(('user page'!$N$39=1),$N17^(I17^0.5),IF(('user page'!$N$39=2),$N17^(I17^0.375),IF(('user page'!$N$39=4),$N17^(I17),IF(('user page'!$N$39=3),$N17^(LN(1+I17)),"")))))</f>
        <v>0.86030858607158445</v>
      </c>
      <c r="P17" s="534">
        <f>IF(('user page'!$N$39=0),$N17^(J17^0.25),IF(('user page'!$N$39=1),$N17^(J17^0.5),IF(('user page'!$N$39=2),$N17^(J17^0.375),IF(('user page'!$N$39=4),$N17^(J17),IF(('user page'!$N$39=3),$N17^(LN(1+J17)),"")))))</f>
        <v>0.85886843808738578</v>
      </c>
      <c r="Q17" s="534">
        <f>IF(('user page'!$N$39=0),$N17^(K17^0.25),IF(('user page'!$N$39=1),$N17^(K17^0.5),IF(('user page'!$N$39=2),$N17^(K17^0.375),IF(('user page'!$N$39=4),$N17^(K17),IF(('user page'!$N$39=3),$N17^(LN(1+K17)),"")))))</f>
        <v>0.87070692577456976</v>
      </c>
      <c r="R17" s="534">
        <f>IF(('user page'!$N$39=0),$N17^(L17^0.25),IF(('user page'!$N$39=1),$N17^(L17^0.5),IF(('user page'!$N$39=2),$N17^(L17^0.375),IF(('user page'!$N$39=4),$N17^(L17),IF(('user page'!$N$39=3),$N17^(LN(1+L17)),"")))))</f>
        <v>0.83729676461110514</v>
      </c>
      <c r="S17" s="534">
        <f>IF(('user page'!$N$39=0),$N17^(M17^0.25),IF(('user page'!$N$39=1),$N17^(M17^0.5),IF(('user page'!$N$39=2),$N17^(M17^0.375),IF(('user page'!$N$39=4),$N17^(M17),IF(('user page'!$N$39=3),$N17^(LN(1+M17)),"")))))</f>
        <v>0.81401058375128676</v>
      </c>
      <c r="T17" s="535">
        <f t="shared" si="12"/>
        <v>1</v>
      </c>
      <c r="U17" s="535">
        <f t="shared" si="12"/>
        <v>0.99832600998349352</v>
      </c>
      <c r="V17" s="535">
        <f t="shared" si="12"/>
        <v>1.0120867556959614</v>
      </c>
      <c r="W17" s="535">
        <f t="shared" si="12"/>
        <v>0.9732516659335485</v>
      </c>
      <c r="X17" s="535">
        <f t="shared" si="12"/>
        <v>0.94618442374066303</v>
      </c>
      <c r="Y17" s="540">
        <f t="shared" si="8"/>
        <v>3.5838227684848012E-2</v>
      </c>
      <c r="Z17" s="542">
        <f t="shared" si="13"/>
        <v>0.96416177231515199</v>
      </c>
      <c r="AA17" s="540"/>
      <c r="AB17" s="533">
        <f>Z17*GBDUS!$O102/($T17+$W17+$X17+U17+V17)</f>
        <v>8.5658266860179258E-2</v>
      </c>
      <c r="AC17" s="537">
        <f t="shared" si="14"/>
        <v>8.5514875776624075E-2</v>
      </c>
      <c r="AD17" s="537">
        <f t="shared" si="15"/>
        <v>8.6693597405057707E-2</v>
      </c>
      <c r="AE17" s="537">
        <f t="shared" si="16"/>
        <v>8.3367050922649927E-2</v>
      </c>
      <c r="AF17" s="537">
        <f t="shared" si="16"/>
        <v>8.1048517867722644E-2</v>
      </c>
      <c r="AG17" s="533">
        <f>Z17*GBDUS!$P102/($T17+$W17+$X17+U17+V17)</f>
        <v>0.63383824689975132</v>
      </c>
      <c r="AH17" s="537">
        <f t="shared" si="17"/>
        <v>0.63277720800236115</v>
      </c>
      <c r="AI17" s="537">
        <f t="shared" si="17"/>
        <v>0.64149929494078506</v>
      </c>
      <c r="AJ17" s="537">
        <f t="shared" si="17"/>
        <v>0.61688412972758278</v>
      </c>
      <c r="AK17" s="537">
        <f t="shared" si="17"/>
        <v>0.59972787638763325</v>
      </c>
      <c r="AL17" s="533">
        <f>Z17*GBDUS!$Q102/($T17+$W17+$X17+U17+V17)</f>
        <v>0.76634263187635165</v>
      </c>
      <c r="AM17" s="537">
        <f t="shared" si="18"/>
        <v>0.76505978196136737</v>
      </c>
      <c r="AN17" s="537">
        <f t="shared" si="18"/>
        <v>0.77560522804724119</v>
      </c>
      <c r="AO17" s="537">
        <f t="shared" si="18"/>
        <v>0.74584424314955933</v>
      </c>
      <c r="AP17" s="537">
        <f t="shared" si="18"/>
        <v>0.72510146152982891</v>
      </c>
      <c r="AQ17" s="533">
        <f t="shared" si="9"/>
        <v>-1.5696379970420768E-2</v>
      </c>
      <c r="AR17" s="533">
        <f t="shared" si="10"/>
        <v>-0.11614717794096452</v>
      </c>
      <c r="AS17" s="533">
        <f t="shared" si="11"/>
        <v>-0.14042783701307193</v>
      </c>
      <c r="AT17" s="533">
        <f t="shared" si="19"/>
        <v>-0.25657501495403645</v>
      </c>
      <c r="AU17" s="532"/>
      <c r="AV17" s="532"/>
      <c r="AW17" s="532"/>
      <c r="AX17" s="532"/>
      <c r="AY17" s="532"/>
    </row>
    <row r="18" spans="1:51" x14ac:dyDescent="0.2">
      <c r="A18" s="525">
        <v>1</v>
      </c>
      <c r="B18" s="525">
        <v>2</v>
      </c>
      <c r="C18" s="525" t="s">
        <v>35</v>
      </c>
      <c r="D18" s="533">
        <f>Scenario!AN34</f>
        <v>0.40295615512215294</v>
      </c>
      <c r="E18" s="533">
        <f>Scenario!AO34</f>
        <v>0.91315564161087048</v>
      </c>
      <c r="F18" s="533">
        <f>Scenario!AP34</f>
        <v>1.6092203250598482</v>
      </c>
      <c r="G18" s="533">
        <f>Scenario!AQ34</f>
        <v>2.8358693048399783</v>
      </c>
      <c r="H18" s="533">
        <f>Scenario!AR34</f>
        <v>6.4264809500197613</v>
      </c>
      <c r="I18" s="533">
        <f>IF((D18+'Non travel METs'!C18)&gt;2.5,(D18+'Non travel METs'!C18),0.1)</f>
        <v>6.902956155122153</v>
      </c>
      <c r="J18" s="533">
        <f>IF((E18+'Non travel METs'!D18)&gt;2.5,(E18+'Non travel METs'!D18),0.1)</f>
        <v>4.0381556416108708</v>
      </c>
      <c r="K18" s="533">
        <f>IF((F18+'Non travel METs'!E18)&gt;2.5,(F18+'Non travel METs'!E18),0.1)</f>
        <v>0.1</v>
      </c>
      <c r="L18" s="533">
        <f>IF((G18+'Non travel METs'!F18)&gt;2.5,(G18+'Non travel METs'!F18),0.1)</f>
        <v>2.8358693048399783</v>
      </c>
      <c r="M18" s="533">
        <f>IF((H18+'Non travel METs'!G18)&gt;2.5,(H18+'Non travel METs'!G18),0.1)</f>
        <v>6.4264809500197613</v>
      </c>
      <c r="N18" s="541">
        <f>'Phy activity RRs'!$I$4</f>
        <v>0.94314906211536642</v>
      </c>
      <c r="O18" s="534">
        <f>IF(('user page'!$N$39=0),$N18^(I18^0.25),IF(('user page'!$N$39=1),$N18^(I18^0.5),IF(('user page'!$N$39=2),$N18^(I18^0.375),IF(('user page'!$N$39=4),$N18^(I18),IF(('user page'!$N$39=3),$N18^(LN(1+I18)),"")))))</f>
        <v>0.85745967772465692</v>
      </c>
      <c r="P18" s="534">
        <f>IF(('user page'!$N$39=0),$N18^(J18^0.25),IF(('user page'!$N$39=1),$N18^(J18^0.5),IF(('user page'!$N$39=2),$N18^(J18^0.375),IF(('user page'!$N$39=4),$N18^(J18),IF(('user page'!$N$39=3),$N18^(LN(1+J18)),"")))))</f>
        <v>0.88903482638906461</v>
      </c>
      <c r="Q18" s="534">
        <f>IF(('user page'!$N$39=0),$N18^(K18^0.25),IF(('user page'!$N$39=1),$N18^(K18^0.5),IF(('user page'!$N$39=2),$N18^(K18^0.375),IF(('user page'!$N$39=4),$N18^(K18),IF(('user page'!$N$39=3),$N18^(LN(1+K18)),"")))))</f>
        <v>0.98166113424264856</v>
      </c>
      <c r="R18" s="534">
        <f>IF(('user page'!$N$39=0),$N18^(L18^0.25),IF(('user page'!$N$39=1),$N18^(L18^0.5),IF(('user page'!$N$39=2),$N18^(L18^0.375),IF(('user page'!$N$39=4),$N18^(L18),IF(('user page'!$N$39=3),$N18^(LN(1+L18)),"")))))</f>
        <v>0.90613558803687888</v>
      </c>
      <c r="S18" s="534">
        <f>IF(('user page'!$N$39=0),$N18^(M18^0.25),IF(('user page'!$N$39=1),$N18^(M18^0.5),IF(('user page'!$N$39=2),$N18^(M18^0.375),IF(('user page'!$N$39=4),$N18^(M18),IF(('user page'!$N$39=3),$N18^(LN(1+M18)),"")))))</f>
        <v>0.86210441970730645</v>
      </c>
      <c r="T18" s="535">
        <f t="shared" si="12"/>
        <v>1</v>
      </c>
      <c r="U18" s="535">
        <f t="shared" si="12"/>
        <v>1.0368240623841287</v>
      </c>
      <c r="V18" s="535">
        <f t="shared" si="12"/>
        <v>1.1448481599129778</v>
      </c>
      <c r="W18" s="535">
        <f t="shared" si="12"/>
        <v>1.0567675793704816</v>
      </c>
      <c r="X18" s="535">
        <f t="shared" si="12"/>
        <v>1.0054168634436254</v>
      </c>
      <c r="Y18" s="540">
        <f t="shared" si="8"/>
        <v>4.3882104400834288E-2</v>
      </c>
      <c r="Z18" s="542">
        <f t="shared" si="13"/>
        <v>0.95611789559916571</v>
      </c>
      <c r="AA18" s="540"/>
      <c r="AB18" s="533">
        <f>Z18*GBDUS!$O103/($T18+$W18+$X18+U18+V18)</f>
        <v>0.48857846115644699</v>
      </c>
      <c r="AC18" s="537">
        <f t="shared" si="14"/>
        <v>0.50656990488961362</v>
      </c>
      <c r="AD18" s="537">
        <f t="shared" si="15"/>
        <v>0.55934815222807266</v>
      </c>
      <c r="AE18" s="537">
        <f t="shared" si="16"/>
        <v>0.5163138777288534</v>
      </c>
      <c r="AF18" s="537">
        <f t="shared" si="16"/>
        <v>0.49122502396202805</v>
      </c>
      <c r="AG18" s="533">
        <f>Z18*GBDUS!$P103/($T18+$W18+$X18+U18+V18)</f>
        <v>1.5303352874169909</v>
      </c>
      <c r="AH18" s="537">
        <f t="shared" si="17"/>
        <v>1.5866884495094677</v>
      </c>
      <c r="AI18" s="537">
        <f t="shared" si="17"/>
        <v>1.7520015378492402</v>
      </c>
      <c r="AJ18" s="537">
        <f t="shared" si="17"/>
        <v>1.6172087173088836</v>
      </c>
      <c r="AK18" s="537">
        <f t="shared" si="17"/>
        <v>1.5386249046918898</v>
      </c>
      <c r="AL18" s="533">
        <f>Z18*GBDUS!$Q103/($T18+$W18+$X18+U18+V18)</f>
        <v>1.7774971441716692</v>
      </c>
      <c r="AM18" s="537">
        <f t="shared" si="18"/>
        <v>1.8429518098962574</v>
      </c>
      <c r="AN18" s="537">
        <f t="shared" si="18"/>
        <v>2.0349643347555086</v>
      </c>
      <c r="AO18" s="537">
        <f t="shared" si="18"/>
        <v>1.8784013543842388</v>
      </c>
      <c r="AP18" s="537">
        <f t="shared" si="18"/>
        <v>1.7871256034730811</v>
      </c>
      <c r="AQ18" s="533">
        <f t="shared" si="9"/>
        <v>-0.1175874923950524</v>
      </c>
      <c r="AR18" s="533">
        <f t="shared" si="10"/>
        <v>-0.36830990982511636</v>
      </c>
      <c r="AS18" s="533">
        <f t="shared" si="11"/>
        <v>-0.42779501869114323</v>
      </c>
      <c r="AT18" s="533">
        <f t="shared" si="19"/>
        <v>-0.79610492851625958</v>
      </c>
      <c r="AU18" s="532"/>
      <c r="AV18" s="532"/>
      <c r="AW18" s="532"/>
      <c r="AX18" s="532"/>
      <c r="AY18" s="532"/>
    </row>
    <row r="19" spans="1:51" x14ac:dyDescent="0.2">
      <c r="A19" s="525"/>
      <c r="B19" s="525"/>
      <c r="C19" s="525"/>
      <c r="D19" s="533"/>
      <c r="E19" s="533"/>
      <c r="F19" s="533"/>
      <c r="G19" s="533"/>
      <c r="H19" s="533"/>
      <c r="I19" s="533"/>
      <c r="J19" s="533"/>
      <c r="K19" s="533"/>
      <c r="L19" s="533"/>
      <c r="M19" s="533"/>
      <c r="N19" s="534"/>
      <c r="O19" s="534"/>
      <c r="P19" s="534"/>
      <c r="Q19" s="534"/>
      <c r="R19" s="534"/>
      <c r="S19" s="534"/>
      <c r="T19" s="535"/>
      <c r="U19" s="535"/>
      <c r="V19" s="535"/>
      <c r="W19" s="535"/>
      <c r="X19" s="535"/>
      <c r="Y19" s="535"/>
      <c r="Z19" s="537"/>
      <c r="AA19" s="537"/>
      <c r="AB19" s="533"/>
      <c r="AC19" s="537"/>
      <c r="AD19" s="537"/>
      <c r="AE19" s="537"/>
      <c r="AF19" s="537"/>
      <c r="AG19" s="533"/>
      <c r="AH19" s="533"/>
      <c r="AI19" s="533"/>
      <c r="AJ19" s="537"/>
      <c r="AK19" s="537"/>
      <c r="AL19" s="533"/>
      <c r="AM19" s="533"/>
      <c r="AN19" s="533"/>
      <c r="AO19" s="537"/>
      <c r="AP19" s="537"/>
      <c r="AQ19" s="544">
        <f>SUM(AQ3:AQ18)</f>
        <v>-0.22930399242763316</v>
      </c>
      <c r="AR19" s="544">
        <f>SUM(AR3:AR18)</f>
        <v>-0.85434162522178481</v>
      </c>
      <c r="AS19" s="544">
        <f>SUM(AS3:AS18)</f>
        <v>-1.104505021565553</v>
      </c>
      <c r="AT19" s="544">
        <f>SUM(AT3:AT18)</f>
        <v>-1.9588466467873378</v>
      </c>
      <c r="AU19" s="532"/>
      <c r="AV19" s="532"/>
      <c r="AW19" s="532"/>
      <c r="AX19" s="532"/>
      <c r="AY19" s="532"/>
    </row>
    <row r="20" spans="1:51" x14ac:dyDescent="0.2">
      <c r="A20" s="525">
        <v>0</v>
      </c>
      <c r="B20" s="525">
        <v>1</v>
      </c>
      <c r="C20" s="525" t="s">
        <v>2</v>
      </c>
      <c r="D20" s="533"/>
      <c r="E20" s="533"/>
      <c r="F20" s="533"/>
      <c r="G20" s="533"/>
      <c r="H20" s="533"/>
      <c r="I20" s="533"/>
      <c r="J20" s="533"/>
      <c r="K20" s="533"/>
      <c r="L20" s="533"/>
      <c r="M20" s="533"/>
      <c r="N20" s="534"/>
      <c r="O20" s="534"/>
      <c r="P20" s="534"/>
      <c r="Q20" s="534"/>
      <c r="R20" s="534"/>
      <c r="S20" s="534"/>
      <c r="T20" s="535"/>
      <c r="U20" s="535"/>
      <c r="V20" s="535"/>
      <c r="W20" s="535"/>
      <c r="X20" s="535"/>
      <c r="Y20" s="535"/>
      <c r="Z20" s="537"/>
      <c r="AA20" s="537"/>
      <c r="AB20" s="533"/>
      <c r="AC20" s="537"/>
      <c r="AD20" s="537"/>
      <c r="AE20" s="537"/>
      <c r="AF20" s="537"/>
      <c r="AG20" s="533"/>
      <c r="AH20" s="533"/>
      <c r="AI20" s="533"/>
      <c r="AJ20" s="537"/>
      <c r="AK20" s="537"/>
      <c r="AL20" s="533"/>
      <c r="AM20" s="533"/>
      <c r="AN20" s="533"/>
      <c r="AO20" s="537"/>
      <c r="AP20" s="537"/>
      <c r="AQ20" s="33">
        <f>AQ19/GBDUS!O104</f>
        <v>-3.7273374422764516E-2</v>
      </c>
      <c r="AR20" s="33">
        <f>AR19/GBDUS!P104</f>
        <v>-3.5782400005820135E-2</v>
      </c>
      <c r="AS20" s="33">
        <f>AS19/GBDUS!Q104</f>
        <v>-3.5004078748302699E-2</v>
      </c>
      <c r="AT20" s="33">
        <f>AT19/GBDUS!R104</f>
        <v>-3.5339336591901888E-2</v>
      </c>
      <c r="AU20" s="532"/>
      <c r="AV20" s="532"/>
      <c r="AW20" s="532"/>
      <c r="AX20" s="532"/>
      <c r="AY20" s="532"/>
    </row>
    <row r="21" spans="1:51" x14ac:dyDescent="0.2">
      <c r="A21" s="525">
        <v>0</v>
      </c>
      <c r="B21" s="525">
        <v>1</v>
      </c>
      <c r="C21" s="525" t="s">
        <v>41</v>
      </c>
      <c r="D21" s="533"/>
      <c r="E21" s="533"/>
      <c r="F21" s="533"/>
      <c r="G21" s="533"/>
      <c r="H21" s="533"/>
      <c r="I21" s="533"/>
      <c r="J21" s="533"/>
      <c r="K21" s="533"/>
      <c r="L21" s="533"/>
      <c r="M21" s="533"/>
      <c r="N21" s="534"/>
      <c r="O21" s="534"/>
      <c r="P21" s="534"/>
      <c r="Q21" s="534"/>
      <c r="R21" s="534"/>
      <c r="S21" s="534"/>
      <c r="T21" s="535"/>
      <c r="U21" s="535"/>
      <c r="V21" s="535"/>
      <c r="W21" s="535"/>
      <c r="X21" s="535"/>
      <c r="Y21" s="535"/>
      <c r="Z21" s="537"/>
      <c r="AA21" s="537"/>
      <c r="AB21" s="533"/>
      <c r="AC21" s="537"/>
      <c r="AD21" s="537"/>
      <c r="AE21" s="537"/>
      <c r="AF21" s="537"/>
      <c r="AG21" s="533"/>
      <c r="AH21" s="533"/>
      <c r="AI21" s="533"/>
      <c r="AJ21" s="537"/>
      <c r="AK21" s="537"/>
      <c r="AL21" s="533"/>
      <c r="AM21" s="533"/>
      <c r="AN21" s="533"/>
      <c r="AO21" s="537"/>
      <c r="AP21" s="537"/>
      <c r="AQ21" s="534"/>
      <c r="AR21" s="534"/>
      <c r="AS21" s="534"/>
      <c r="AT21" s="534"/>
      <c r="AU21" s="532"/>
      <c r="AV21" s="532"/>
      <c r="AW21" s="532"/>
      <c r="AX21" s="532"/>
      <c r="AY21" s="532"/>
    </row>
    <row r="22" spans="1:51" x14ac:dyDescent="0.2">
      <c r="A22" s="525">
        <v>0</v>
      </c>
      <c r="B22" s="525">
        <v>1</v>
      </c>
      <c r="C22" s="525" t="s">
        <v>40</v>
      </c>
      <c r="D22" s="533">
        <f>Baseline!AN21</f>
        <v>0.60295678095886318</v>
      </c>
      <c r="E22" s="533">
        <f>Baseline!AO21</f>
        <v>1.3663853478381727</v>
      </c>
      <c r="F22" s="533">
        <f>Baseline!AP21</f>
        <v>2.4079302294253959</v>
      </c>
      <c r="G22" s="533">
        <f>Baseline!AQ21</f>
        <v>4.2434061510935761</v>
      </c>
      <c r="H22" s="533">
        <f>Baseline!AR21</f>
        <v>9.6161585255912687</v>
      </c>
      <c r="I22" s="533">
        <f>IF((D22+'Non travel METs'!C22)&gt;2.5,(D22+'Non travel METs'!C22),0.1)</f>
        <v>58.40295678095886</v>
      </c>
      <c r="J22" s="533">
        <f>IF((E22+'Non travel METs'!D22)&gt;2.5,(E22+'Non travel METs'!D22),0.1)</f>
        <v>42.366385347838175</v>
      </c>
      <c r="K22" s="533">
        <f>IF((F22+'Non travel METs'!E22)&gt;2.5,(F22+'Non travel METs'!E22),0.1)</f>
        <v>47.907930229425396</v>
      </c>
      <c r="L22" s="533">
        <f>IF((G22+'Non travel METs'!F22)&gt;2.5,(G22+'Non travel METs'!F22),0.1)</f>
        <v>42.168406151093571</v>
      </c>
      <c r="M22" s="533">
        <f>IF((H22+'Non travel METs'!G22)&gt;2.5,(H22+'Non travel METs'!G22),0.1)</f>
        <v>50.616158525591267</v>
      </c>
      <c r="N22" s="541">
        <f t="shared" ref="N22:N27" si="20">N5</f>
        <v>0.94314906211536642</v>
      </c>
      <c r="O22" s="534">
        <f>IF(('user page'!$N$39=0),$N22^(I22^0.25),IF(('user page'!$N$39=1),$N22^(I22^0.5),IF(('user page'!$N$39=2),$N22^(I22^0.375),IF(('user page'!$N$39=4),$N22^(I22),IF(('user page'!$N$39=3),$N22^(LN(1+I22)),"")))))</f>
        <v>0.63934944452129205</v>
      </c>
      <c r="P22" s="534">
        <f>IF(('user page'!$N$39=0),$N22^(J22^0.25),IF(('user page'!$N$39=1),$N22^(J22^0.5),IF(('user page'!$N$39=2),$N22^(J22^0.375),IF(('user page'!$N$39=4),$N22^(J22),IF(('user page'!$N$39=3),$N22^(LN(1+J22)),"")))))</f>
        <v>0.68319514786087554</v>
      </c>
      <c r="Q22" s="534">
        <f>IF(('user page'!$N$39=0),$N22^(K22^0.25),IF(('user page'!$N$39=1),$N22^(K22^0.5),IF(('user page'!$N$39=2),$N22^(K22^0.375),IF(('user page'!$N$39=4),$N22^(K22),IF(('user page'!$N$39=3),$N22^(LN(1+K22)),"")))))</f>
        <v>0.66689336068005745</v>
      </c>
      <c r="R22" s="534">
        <f>IF(('user page'!$N$39=0),$N22^(L22^0.25),IF(('user page'!$N$39=1),$N22^(L22^0.5),IF(('user page'!$N$39=2),$N22^(L22^0.375),IF(('user page'!$N$39=4),$N22^(L22),IF(('user page'!$N$39=3),$N22^(LN(1+L22)),"")))))</f>
        <v>0.68380427913362751</v>
      </c>
      <c r="S22" s="534">
        <f>IF(('user page'!$N$39=0),$N22^(M22^0.25),IF(('user page'!$N$39=1),$N22^(M22^0.5),IF(('user page'!$N$39=2),$N22^(M22^0.375),IF(('user page'!$N$39=4),$N22^(M22),IF(('user page'!$N$39=3),$N22^(LN(1+M22)),"")))))</f>
        <v>0.65940422100725193</v>
      </c>
      <c r="T22" s="535">
        <f t="shared" ref="T22:X27" si="21">O22/$O22</f>
        <v>1</v>
      </c>
      <c r="U22" s="535">
        <f t="shared" si="21"/>
        <v>1.0685786211520252</v>
      </c>
      <c r="V22" s="535">
        <f t="shared" si="21"/>
        <v>1.0430811606935682</v>
      </c>
      <c r="W22" s="535">
        <f t="shared" si="21"/>
        <v>1.0695313572151779</v>
      </c>
      <c r="X22" s="535">
        <f t="shared" si="21"/>
        <v>1.031367473074096</v>
      </c>
      <c r="Y22" s="535"/>
      <c r="Z22" s="537"/>
      <c r="AA22" s="537"/>
      <c r="AB22" s="533">
        <f>GBDUS!O90/($T22+$W22+$X22+U22+V22)</f>
        <v>0</v>
      </c>
      <c r="AC22" s="537">
        <f t="shared" ref="AC22:AC27" si="22">$AB22*U22</f>
        <v>0</v>
      </c>
      <c r="AD22" s="537">
        <f t="shared" ref="AD22:AD27" si="23">$AB22*V22</f>
        <v>0</v>
      </c>
      <c r="AE22" s="537">
        <f t="shared" ref="AE22:AF27" si="24">$AB22*W22</f>
        <v>0</v>
      </c>
      <c r="AF22" s="537">
        <f t="shared" si="24"/>
        <v>0</v>
      </c>
      <c r="AG22" s="533">
        <f>GBDUS!P90/($T22+$W22+$X22+U22+V22)</f>
        <v>0</v>
      </c>
      <c r="AH22" s="537">
        <f>$AG22*U22</f>
        <v>0</v>
      </c>
      <c r="AI22" s="537">
        <f>$AG22*V22</f>
        <v>0</v>
      </c>
      <c r="AJ22" s="537">
        <f>$AG22*W22</f>
        <v>0</v>
      </c>
      <c r="AK22" s="537">
        <f>$AG22*X22</f>
        <v>0</v>
      </c>
      <c r="AL22" s="533">
        <f>GBDUS!Q90/($T22+$W22+$X22+U22+V22)</f>
        <v>0</v>
      </c>
      <c r="AM22" s="537">
        <f>U22*$AL22</f>
        <v>0</v>
      </c>
      <c r="AN22" s="537">
        <f>V22*$AL22</f>
        <v>0</v>
      </c>
      <c r="AO22" s="537">
        <f>W22*$AL22</f>
        <v>0</v>
      </c>
      <c r="AP22" s="537">
        <f>X22*$AL22</f>
        <v>0</v>
      </c>
      <c r="AQ22" s="534"/>
      <c r="AR22" s="534"/>
      <c r="AS22" s="534"/>
      <c r="AT22" s="534"/>
      <c r="AU22" s="532"/>
      <c r="AV22" s="532"/>
      <c r="AW22" s="532"/>
      <c r="AX22" s="532"/>
      <c r="AY22" s="532"/>
    </row>
    <row r="23" spans="1:51" x14ac:dyDescent="0.2">
      <c r="A23" s="525">
        <v>0</v>
      </c>
      <c r="B23" s="525">
        <v>1</v>
      </c>
      <c r="C23" s="525" t="s">
        <v>39</v>
      </c>
      <c r="D23" s="533">
        <f>Baseline!AN22</f>
        <v>0.34976362929541344</v>
      </c>
      <c r="E23" s="533">
        <f>Baseline!AO22</f>
        <v>0.79261385453854083</v>
      </c>
      <c r="F23" s="533">
        <f>Baseline!AP22</f>
        <v>1.396794003700613</v>
      </c>
      <c r="G23" s="533">
        <f>Baseline!AQ22</f>
        <v>2.4615182760208985</v>
      </c>
      <c r="H23" s="533">
        <f>Baseline!AR22</f>
        <v>5.5781485705196889</v>
      </c>
      <c r="I23" s="533">
        <f>IF((D23+'Non travel METs'!C23)&gt;2.5,(D23+'Non travel METs'!C23),0.1)</f>
        <v>51.599763629295417</v>
      </c>
      <c r="J23" s="533">
        <f>IF((E23+'Non travel METs'!D23)&gt;2.5,(E23+'Non travel METs'!D23),0.1)</f>
        <v>52.042613854538544</v>
      </c>
      <c r="K23" s="533">
        <f>IF((F23+'Non travel METs'!E23)&gt;2.5,(F23+'Non travel METs'!E23),0.1)</f>
        <v>66.14679400370062</v>
      </c>
      <c r="L23" s="533">
        <f>IF((G23+'Non travel METs'!F23)&gt;2.5,(G23+'Non travel METs'!F23),0.1)</f>
        <v>48.586518276020897</v>
      </c>
      <c r="M23" s="533">
        <f>IF((H23+'Non travel METs'!G23)&gt;2.5,(H23+'Non travel METs'!G23),0.1)</f>
        <v>50.378148570519684</v>
      </c>
      <c r="N23" s="541">
        <f t="shared" si="20"/>
        <v>0.94314906211536642</v>
      </c>
      <c r="O23" s="534">
        <f>IF(('user page'!$N$39=0),$N23^(I23^0.25),IF(('user page'!$N$39=1),$N23^(I23^0.5),IF(('user page'!$N$39=2),$N23^(I23^0.375),IF(('user page'!$N$39=4),$N23^(I23),IF(('user page'!$N$39=3),$N23^(LN(1+I23)),"")))))</f>
        <v>0.65675441149305547</v>
      </c>
      <c r="P23" s="534">
        <f>IF(('user page'!$N$39=0),$N23^(J23^0.25),IF(('user page'!$N$39=1),$N23^(J23^0.5),IF(('user page'!$N$39=2),$N23^(J23^0.375),IF(('user page'!$N$39=4),$N23^(J23),IF(('user page'!$N$39=3),$N23^(LN(1+J23)),"")))))</f>
        <v>0.65557308003967008</v>
      </c>
      <c r="Q23" s="534">
        <f>IF(('user page'!$N$39=0),$N23^(K23^0.25),IF(('user page'!$N$39=1),$N23^(K23^0.5),IF(('user page'!$N$39=2),$N23^(K23^0.375),IF(('user page'!$N$39=4),$N23^(K23),IF(('user page'!$N$39=3),$N23^(LN(1+K23)),"")))))</f>
        <v>0.62124106521681366</v>
      </c>
      <c r="R23" s="534">
        <f>IF(('user page'!$N$39=0),$N23^(L23^0.25),IF(('user page'!$N$39=1),$N23^(L23^0.5),IF(('user page'!$N$39=2),$N23^(L23^0.375),IF(('user page'!$N$39=4),$N23^(L23),IF(('user page'!$N$39=3),$N23^(LN(1+L23)),"")))))</f>
        <v>0.66498937402813008</v>
      </c>
      <c r="S23" s="534">
        <f>IF(('user page'!$N$39=0),$N23^(M23^0.25),IF(('user page'!$N$39=1),$N23^(M23^0.5),IF(('user page'!$N$39=2),$N23^(M23^0.375),IF(('user page'!$N$39=4),$N23^(M23),IF(('user page'!$N$39=3),$N23^(LN(1+M23)),"")))))</f>
        <v>0.6600508900070241</v>
      </c>
      <c r="T23" s="535">
        <f t="shared" si="21"/>
        <v>1</v>
      </c>
      <c r="U23" s="535">
        <f t="shared" si="21"/>
        <v>0.99820125844194973</v>
      </c>
      <c r="V23" s="535">
        <f t="shared" si="21"/>
        <v>0.94592598746994894</v>
      </c>
      <c r="W23" s="535">
        <f t="shared" si="21"/>
        <v>1.0125388766195775</v>
      </c>
      <c r="X23" s="535">
        <f t="shared" si="21"/>
        <v>1.0050193473485385</v>
      </c>
      <c r="Y23" s="535"/>
      <c r="Z23" s="537"/>
      <c r="AA23" s="537"/>
      <c r="AB23" s="533">
        <f>GBDUS!O91/($T23+$W23+$X23+U23+V23)</f>
        <v>9.4752405953259903E-5</v>
      </c>
      <c r="AC23" s="537">
        <f t="shared" si="22"/>
        <v>9.4581970862946523E-5</v>
      </c>
      <c r="AD23" s="537">
        <f t="shared" si="23"/>
        <v>8.9628763166490848E-5</v>
      </c>
      <c r="AE23" s="537">
        <f t="shared" si="24"/>
        <v>9.5940494680915947E-5</v>
      </c>
      <c r="AF23" s="537">
        <f t="shared" si="24"/>
        <v>9.5228001190849045E-5</v>
      </c>
      <c r="AG23" s="533">
        <f>GBDUS!P91/($T23+$W23+$X23+U23+V23)</f>
        <v>2.5329673198196093E-3</v>
      </c>
      <c r="AH23" s="537">
        <f t="shared" ref="AH23:AH35" si="25">$AG23*U23</f>
        <v>2.5284111662362664E-3</v>
      </c>
      <c r="AI23" s="537">
        <f t="shared" ref="AI23:AI35" si="26">$AG23*V23</f>
        <v>2.3959996132294739E-3</v>
      </c>
      <c r="AJ23" s="537">
        <f t="shared" ref="AJ23:AJ35" si="27">$AG23*W23</f>
        <v>2.5647278845242491E-3</v>
      </c>
      <c r="AK23" s="537">
        <f t="shared" ref="AK23:AK35" si="28">$AG23*X23</f>
        <v>2.5456811626202807E-3</v>
      </c>
      <c r="AL23" s="533">
        <f>GBDUS!Q91/($T23+$W23+$X23+U23+V23)</f>
        <v>7.685917781333041E-4</v>
      </c>
      <c r="AM23" s="537">
        <f t="shared" ref="AM23:AN27" si="29">U23*$AL23</f>
        <v>7.6720928016079997E-4</v>
      </c>
      <c r="AN23" s="537">
        <f t="shared" si="29"/>
        <v>7.2703093669202964E-4</v>
      </c>
      <c r="AO23" s="537">
        <f t="shared" ref="AO23:AP27" si="30">W23*$AL23</f>
        <v>7.7822905561013929E-4</v>
      </c>
      <c r="AP23" s="537">
        <f t="shared" si="30"/>
        <v>7.7244960723698599E-4</v>
      </c>
      <c r="AQ23" s="534"/>
      <c r="AR23" s="534"/>
      <c r="AS23" s="534"/>
      <c r="AT23" s="534"/>
      <c r="AU23" s="532"/>
      <c r="AV23" s="532"/>
      <c r="AW23" s="532"/>
      <c r="AX23" s="532"/>
      <c r="AY23" s="532"/>
    </row>
    <row r="24" spans="1:51" x14ac:dyDescent="0.2">
      <c r="A24" s="525">
        <v>0</v>
      </c>
      <c r="B24" s="525">
        <v>1</v>
      </c>
      <c r="C24" s="525" t="s">
        <v>38</v>
      </c>
      <c r="D24" s="533">
        <f>Baseline!AN23</f>
        <v>0.35151125659111732</v>
      </c>
      <c r="E24" s="533">
        <f>Baseline!AO23</f>
        <v>0.79657422517494758</v>
      </c>
      <c r="F24" s="533">
        <f>Baseline!AP23</f>
        <v>1.4037732180124616</v>
      </c>
      <c r="G24" s="533">
        <f>Baseline!AQ23</f>
        <v>2.4738174865955198</v>
      </c>
      <c r="H24" s="533">
        <f>Baseline!AR23</f>
        <v>5.6060203212816786</v>
      </c>
      <c r="I24" s="533">
        <f>IF((D24+'Non travel METs'!C24)&gt;2.5,(D24+'Non travel METs'!C24),0.1)</f>
        <v>58.626511256591115</v>
      </c>
      <c r="J24" s="533">
        <f>IF((E24+'Non travel METs'!D24)&gt;2.5,(E24+'Non travel METs'!D24),0.1)</f>
        <v>62.29657422517495</v>
      </c>
      <c r="K24" s="533">
        <f>IF((F24+'Non travel METs'!E24)&gt;2.5,(F24+'Non travel METs'!E24),0.1)</f>
        <v>55.128773218012462</v>
      </c>
      <c r="L24" s="533">
        <f>IF((G24+'Non travel METs'!F24)&gt;2.5,(G24+'Non travel METs'!F24),0.1)</f>
        <v>54.673817486595524</v>
      </c>
      <c r="M24" s="533">
        <f>IF((H24+'Non travel METs'!G24)&gt;2.5,(H24+'Non travel METs'!G24),0.1)</f>
        <v>52.306020321281679</v>
      </c>
      <c r="N24" s="541">
        <f t="shared" si="20"/>
        <v>0.94314906211536642</v>
      </c>
      <c r="O24" s="534">
        <f>IF(('user page'!$N$39=0),$N24^(I24^0.25),IF(('user page'!$N$39=1),$N24^(I24^0.5),IF(('user page'!$N$39=2),$N24^(I24^0.375),IF(('user page'!$N$39=4),$N24^(I24),IF(('user page'!$N$39=3),$N24^(LN(1+I24)),"")))))</f>
        <v>0.63880285788146018</v>
      </c>
      <c r="P24" s="534">
        <f>IF(('user page'!$N$39=0),$N24^(J24^0.25),IF(('user page'!$N$39=1),$N24^(J24^0.5),IF(('user page'!$N$39=2),$N24^(J24^0.375),IF(('user page'!$N$39=4),$N24^(J24),IF(('user page'!$N$39=3),$N24^(LN(1+J24)),"")))))</f>
        <v>0.63003870592546207</v>
      </c>
      <c r="Q24" s="534">
        <f>IF(('user page'!$N$39=0),$N24^(K24^0.25),IF(('user page'!$N$39=1),$N24^(K24^0.5),IF(('user page'!$N$39=2),$N24^(K24^0.375),IF(('user page'!$N$39=4),$N24^(K24),IF(('user page'!$N$39=3),$N24^(LN(1+K24)),"")))))</f>
        <v>0.64753339885353223</v>
      </c>
      <c r="R24" s="534">
        <f>IF(('user page'!$N$39=0),$N24^(L24^0.25),IF(('user page'!$N$39=1),$N24^(L24^0.5),IF(('user page'!$N$39=2),$N24^(L24^0.375),IF(('user page'!$N$39=4),$N24^(L24),IF(('user page'!$N$39=3),$N24^(LN(1+L24)),"")))))</f>
        <v>0.64869802540783417</v>
      </c>
      <c r="S24" s="534">
        <f>IF(('user page'!$N$39=0),$N24^(M24^0.25),IF(('user page'!$N$39=1),$N24^(M24^0.5),IF(('user page'!$N$39=2),$N24^(M24^0.375),IF(('user page'!$N$39=4),$N24^(M24),IF(('user page'!$N$39=3),$N24^(LN(1+M24)),"")))))</f>
        <v>0.65487381267685452</v>
      </c>
      <c r="T24" s="535">
        <f t="shared" si="21"/>
        <v>1</v>
      </c>
      <c r="U24" s="535">
        <f t="shared" si="21"/>
        <v>0.98628034948831678</v>
      </c>
      <c r="V24" s="535">
        <f t="shared" si="21"/>
        <v>1.013667034930035</v>
      </c>
      <c r="W24" s="535">
        <f t="shared" si="21"/>
        <v>1.0154901741660809</v>
      </c>
      <c r="X24" s="535">
        <f t="shared" si="21"/>
        <v>1.0251579256371715</v>
      </c>
      <c r="Y24" s="535"/>
      <c r="Z24" s="537"/>
      <c r="AA24" s="537"/>
      <c r="AB24" s="533">
        <f>GBDUS!O92/($T24+$W24+$X24+U24+V24)</f>
        <v>2.7004299977652509E-3</v>
      </c>
      <c r="AC24" s="537">
        <f t="shared" si="22"/>
        <v>2.663381041964646E-3</v>
      </c>
      <c r="AD24" s="537">
        <f t="shared" si="23"/>
        <v>2.7373368688708229E-3</v>
      </c>
      <c r="AE24" s="537">
        <f t="shared" si="24"/>
        <v>2.742260128753944E-3</v>
      </c>
      <c r="AF24" s="537">
        <f t="shared" si="24"/>
        <v>2.768367214837416E-3</v>
      </c>
      <c r="AG24" s="533">
        <f>GBDUS!P92/($T24+$W24+$X24+U24+V24)</f>
        <v>4.3571204568584765E-2</v>
      </c>
      <c r="AH24" s="537">
        <f t="shared" si="25"/>
        <v>4.2973422869530729E-2</v>
      </c>
      <c r="AI24" s="537">
        <f t="shared" si="26"/>
        <v>4.4166693743367312E-2</v>
      </c>
      <c r="AJ24" s="537">
        <f t="shared" si="27"/>
        <v>4.4246130115978083E-2</v>
      </c>
      <c r="AK24" s="537">
        <f t="shared" si="28"/>
        <v>4.4667365693043207E-2</v>
      </c>
      <c r="AL24" s="533">
        <f>GBDUS!Q92/($T24+$W24+$X24+U24+V24)</f>
        <v>8.6917878203580351E-2</v>
      </c>
      <c r="AM24" s="537">
        <f t="shared" si="29"/>
        <v>8.5725395291410184E-2</v>
      </c>
      <c r="AN24" s="537">
        <f t="shared" si="29"/>
        <v>8.810578788103321E-2</v>
      </c>
      <c r="AO24" s="537">
        <f t="shared" si="30"/>
        <v>8.8264251275100014E-2</v>
      </c>
      <c r="AP24" s="537">
        <f t="shared" si="30"/>
        <v>8.9104551719966757E-2</v>
      </c>
      <c r="AQ24" s="534"/>
      <c r="AR24" s="534"/>
      <c r="AS24" s="534"/>
      <c r="AT24" s="534"/>
      <c r="AU24" s="532"/>
      <c r="AV24" s="532"/>
      <c r="AW24" s="532"/>
      <c r="AX24" s="532"/>
      <c r="AY24" s="532"/>
    </row>
    <row r="25" spans="1:51" x14ac:dyDescent="0.2">
      <c r="A25" s="525">
        <v>0</v>
      </c>
      <c r="B25" s="525">
        <v>1</v>
      </c>
      <c r="C25" s="525" t="s">
        <v>37</v>
      </c>
      <c r="D25" s="533">
        <f>Baseline!AN24</f>
        <v>0.31868617612515476</v>
      </c>
      <c r="E25" s="533">
        <f>Baseline!AO24</f>
        <v>0.72218795006087733</v>
      </c>
      <c r="F25" s="533">
        <f>Baseline!AP24</f>
        <v>1.2726850438126185</v>
      </c>
      <c r="G25" s="533">
        <f>Baseline!AQ24</f>
        <v>2.2428056582885252</v>
      </c>
      <c r="H25" s="533">
        <f>Baseline!AR24</f>
        <v>5.0825148440333541</v>
      </c>
      <c r="I25" s="533">
        <f>IF((D25+'Non travel METs'!C25)&gt;2.5,(D25+'Non travel METs'!C25),0.1)</f>
        <v>41.318686176125155</v>
      </c>
      <c r="J25" s="533">
        <f>IF((E25+'Non travel METs'!D25)&gt;2.5,(E25+'Non travel METs'!D25),0.1)</f>
        <v>31.972187950060878</v>
      </c>
      <c r="K25" s="533">
        <f>IF((F25+'Non travel METs'!E25)&gt;2.5,(F25+'Non travel METs'!E25),0.1)</f>
        <v>45.356018377145915</v>
      </c>
      <c r="L25" s="533">
        <f>IF((G25+'Non travel METs'!F25)&gt;2.5,(G25+'Non travel METs'!F25),0.1)</f>
        <v>44.742805658288525</v>
      </c>
      <c r="M25" s="533">
        <f>IF((H25+'Non travel METs'!G25)&gt;2.5,(H25+'Non travel METs'!G25),0.1)</f>
        <v>37.882514844033352</v>
      </c>
      <c r="N25" s="541">
        <f t="shared" si="20"/>
        <v>0.94314906211536642</v>
      </c>
      <c r="O25" s="534">
        <f>IF(('user page'!$N$39=0),$N25^(I25^0.25),IF(('user page'!$N$39=1),$N25^(I25^0.5),IF(('user page'!$N$39=2),$N25^(I25^0.375),IF(('user page'!$N$39=4),$N25^(I25),IF(('user page'!$N$39=3),$N25^(LN(1+I25)),"")))))</f>
        <v>0.6864412791379314</v>
      </c>
      <c r="P25" s="534">
        <f>IF(('user page'!$N$39=0),$N25^(J25^0.25),IF(('user page'!$N$39=1),$N25^(J25^0.5),IF(('user page'!$N$39=2),$N25^(J25^0.375),IF(('user page'!$N$39=4),$N25^(J25),IF(('user page'!$N$39=3),$N25^(LN(1+J25)),"")))))</f>
        <v>0.71823600808619248</v>
      </c>
      <c r="Q25" s="534">
        <f>IF(('user page'!$N$39=0),$N25^(K25^0.25),IF(('user page'!$N$39=1),$N25^(K25^0.5),IF(('user page'!$N$39=2),$N25^(K25^0.375),IF(('user page'!$N$39=4),$N25^(K25),IF(('user page'!$N$39=3),$N25^(LN(1+K25)),"")))))</f>
        <v>0.67422757366435815</v>
      </c>
      <c r="R25" s="534">
        <f>IF(('user page'!$N$39=0),$N25^(L25^0.25),IF(('user page'!$N$39=1),$N25^(L25^0.5),IF(('user page'!$N$39=2),$N25^(L25^0.375),IF(('user page'!$N$39=4),$N25^(L25),IF(('user page'!$N$39=3),$N25^(LN(1+L25)),"")))))</f>
        <v>0.67603271755145011</v>
      </c>
      <c r="S25" s="534">
        <f>IF(('user page'!$N$39=0),$N25^(M25^0.25),IF(('user page'!$N$39=1),$N25^(M25^0.5),IF(('user page'!$N$39=2),$N25^(M25^0.375),IF(('user page'!$N$39=4),$N25^(M25),IF(('user page'!$N$39=3),$N25^(LN(1+M25)),"")))))</f>
        <v>0.69750141658535036</v>
      </c>
      <c r="T25" s="535">
        <f t="shared" si="21"/>
        <v>1</v>
      </c>
      <c r="U25" s="535">
        <f t="shared" si="21"/>
        <v>1.0463182065451986</v>
      </c>
      <c r="V25" s="535">
        <f t="shared" si="21"/>
        <v>0.98220721007787892</v>
      </c>
      <c r="W25" s="535">
        <f t="shared" si="21"/>
        <v>0.98483692356095931</v>
      </c>
      <c r="X25" s="535">
        <f t="shared" si="21"/>
        <v>1.0161122848866386</v>
      </c>
      <c r="Y25" s="535"/>
      <c r="Z25" s="537"/>
      <c r="AA25" s="537"/>
      <c r="AB25" s="533">
        <f>GBDUS!O93/($T25+$W25+$X25+U25+V25)</f>
        <v>1.5677790191489963E-2</v>
      </c>
      <c r="AC25" s="537">
        <f t="shared" si="22"/>
        <v>1.6403957315751685E-2</v>
      </c>
      <c r="AD25" s="537">
        <f t="shared" si="23"/>
        <v>1.5398838564169692E-2</v>
      </c>
      <c r="AE25" s="537">
        <f t="shared" si="24"/>
        <v>1.5440066660421159E-2</v>
      </c>
      <c r="AF25" s="537">
        <f t="shared" si="24"/>
        <v>1.5930395213448197E-2</v>
      </c>
      <c r="AG25" s="533">
        <f>GBDUS!P93/($T25+$W25+$X25+U25+V25)</f>
        <v>0.17074917945907753</v>
      </c>
      <c r="AH25" s="537">
        <f t="shared" si="25"/>
        <v>0.17865797522068627</v>
      </c>
      <c r="AI25" s="537">
        <f t="shared" si="26"/>
        <v>0.16771107517958761</v>
      </c>
      <c r="AJ25" s="537">
        <f t="shared" si="27"/>
        <v>0.16816009659903605</v>
      </c>
      <c r="AK25" s="537">
        <f t="shared" si="28"/>
        <v>0.17350033888268196</v>
      </c>
      <c r="AL25" s="533">
        <f>GBDUS!Q93/($T25+$W25+$X25+U25+V25)</f>
        <v>0.26180399294005718</v>
      </c>
      <c r="AM25" s="537">
        <f t="shared" si="29"/>
        <v>0.27393028435941247</v>
      </c>
      <c r="AN25" s="537">
        <f t="shared" si="29"/>
        <v>0.2571457694929023</v>
      </c>
      <c r="AO25" s="537">
        <f t="shared" si="30"/>
        <v>0.25783423898306101</v>
      </c>
      <c r="AP25" s="537">
        <f t="shared" si="30"/>
        <v>0.2660222534587669</v>
      </c>
      <c r="AQ25" s="534"/>
      <c r="AR25" s="534"/>
      <c r="AS25" s="534"/>
      <c r="AT25" s="534"/>
      <c r="AU25" s="532"/>
      <c r="AV25" s="532"/>
      <c r="AW25" s="532"/>
      <c r="AX25" s="532"/>
      <c r="AY25" s="532"/>
    </row>
    <row r="26" spans="1:51" x14ac:dyDescent="0.2">
      <c r="A26" s="525">
        <v>0</v>
      </c>
      <c r="B26" s="525">
        <v>1</v>
      </c>
      <c r="C26" s="525" t="s">
        <v>36</v>
      </c>
      <c r="D26" s="533">
        <f>Baseline!AN25</f>
        <v>0.30266188092522223</v>
      </c>
      <c r="E26" s="533">
        <f>Baseline!AO25</f>
        <v>0.68587463066209398</v>
      </c>
      <c r="F26" s="533">
        <f>Baseline!AP25</f>
        <v>1.2086914276270724</v>
      </c>
      <c r="G26" s="533">
        <f>Baseline!AQ25</f>
        <v>2.130032081531998</v>
      </c>
      <c r="H26" s="533">
        <f>Baseline!AR25</f>
        <v>4.8269539684124263</v>
      </c>
      <c r="I26" s="533">
        <f>IF((D26+'Non travel METs'!C26)&gt;2.5,(D26+'Non travel METs'!C26),0.1)</f>
        <v>4.6776618809252222</v>
      </c>
      <c r="J26" s="533">
        <f>IF((E26+'Non travel METs'!D26)&gt;2.5,(E26+'Non travel METs'!D26),0.1)</f>
        <v>5.6858746306620942</v>
      </c>
      <c r="K26" s="533">
        <f>IF((F26+'Non travel METs'!E26)&gt;2.5,(F26+'Non travel METs'!E26),0.1)</f>
        <v>9.5420247609604019</v>
      </c>
      <c r="L26" s="533">
        <f>IF((G26+'Non travel METs'!F26)&gt;2.5,(G26+'Non travel METs'!F26),0.1)</f>
        <v>5.880032081531998</v>
      </c>
      <c r="M26" s="533">
        <f>IF((H26+'Non travel METs'!G26)&gt;2.5,(H26+'Non travel METs'!G26),0.1)</f>
        <v>17.951953968412425</v>
      </c>
      <c r="N26" s="541">
        <f t="shared" si="20"/>
        <v>0.94314906211536642</v>
      </c>
      <c r="O26" s="534">
        <f>IF(('user page'!$N$39=0),$N26^(I26^0.25),IF(('user page'!$N$39=1),$N26^(I26^0.5),IF(('user page'!$N$39=2),$N26^(I26^0.375),IF(('user page'!$N$39=4),$N26^(I26),IF(('user page'!$N$39=3),$N26^(LN(1+I26)),"")))))</f>
        <v>0.88109472238092135</v>
      </c>
      <c r="P26" s="534">
        <f>IF(('user page'!$N$39=0),$N26^(J26^0.25),IF(('user page'!$N$39=1),$N26^(J26^0.5),IF(('user page'!$N$39=2),$N26^(J26^0.375),IF(('user page'!$N$39=4),$N26^(J26),IF(('user page'!$N$39=3),$N26^(LN(1+J26)),"")))))</f>
        <v>0.8697343660776865</v>
      </c>
      <c r="Q26" s="534">
        <f>IF(('user page'!$N$39=0),$N26^(K26^0.25),IF(('user page'!$N$39=1),$N26^(K26^0.5),IF(('user page'!$N$39=2),$N26^(K26^0.375),IF(('user page'!$N$39=4),$N26^(K26),IF(('user page'!$N$39=3),$N26^(LN(1+K26)),"")))))</f>
        <v>0.83459972007850602</v>
      </c>
      <c r="R26" s="534">
        <f>IF(('user page'!$N$39=0),$N26^(L26^0.25),IF(('user page'!$N$39=1),$N26^(L26^0.5),IF(('user page'!$N$39=2),$N26^(L26^0.375),IF(('user page'!$N$39=4),$N26^(L26),IF(('user page'!$N$39=3),$N26^(LN(1+L26)),"")))))</f>
        <v>0.86768167486177272</v>
      </c>
      <c r="S26" s="534">
        <f>IF(('user page'!$N$39=0),$N26^(M26^0.25),IF(('user page'!$N$39=1),$N26^(M26^0.5),IF(('user page'!$N$39=2),$N26^(M26^0.375),IF(('user page'!$N$39=4),$N26^(M26),IF(('user page'!$N$39=3),$N26^(LN(1+M26)),"")))))</f>
        <v>0.78036455275666561</v>
      </c>
      <c r="T26" s="535">
        <f t="shared" si="21"/>
        <v>1</v>
      </c>
      <c r="U26" s="535">
        <f t="shared" si="21"/>
        <v>0.98710654369539685</v>
      </c>
      <c r="V26" s="535">
        <f t="shared" si="21"/>
        <v>0.94723041561663757</v>
      </c>
      <c r="W26" s="535">
        <f t="shared" si="21"/>
        <v>0.98477683820088779</v>
      </c>
      <c r="X26" s="535">
        <f t="shared" si="21"/>
        <v>0.885676117373556</v>
      </c>
      <c r="Y26" s="535"/>
      <c r="Z26" s="537"/>
      <c r="AA26" s="537"/>
      <c r="AB26" s="533">
        <f>GBDUS!O94/($T26+$W26+$X26+U26+V26)</f>
        <v>8.6257374729367758E-2</v>
      </c>
      <c r="AC26" s="537">
        <f t="shared" si="22"/>
        <v>8.5145219037344871E-2</v>
      </c>
      <c r="AD26" s="537">
        <f t="shared" si="23"/>
        <v>8.1705608914899072E-2</v>
      </c>
      <c r="AE26" s="537">
        <f t="shared" si="24"/>
        <v>8.4944264757495946E-2</v>
      </c>
      <c r="AF26" s="537">
        <f t="shared" si="24"/>
        <v>7.639609674514232E-2</v>
      </c>
      <c r="AG26" s="533">
        <f>GBDUS!P94/($T26+$W26+$X26+U26+V26)</f>
        <v>0.55669012958587771</v>
      </c>
      <c r="AH26" s="537">
        <f t="shared" si="25"/>
        <v>0.54951246972485834</v>
      </c>
      <c r="AI26" s="537">
        <f t="shared" si="26"/>
        <v>0.52731382281731076</v>
      </c>
      <c r="AJ26" s="537">
        <f t="shared" si="27"/>
        <v>0.5482155456712231</v>
      </c>
      <c r="AK26" s="537">
        <f t="shared" si="28"/>
        <v>0.49304715255180193</v>
      </c>
      <c r="AL26" s="533">
        <f>GBDUS!Q94/($T26+$W26+$X26+U26+V26)</f>
        <v>0.63898329360343609</v>
      </c>
      <c r="AM26" s="537">
        <f t="shared" si="29"/>
        <v>0.6307445904279888</v>
      </c>
      <c r="AN26" s="537">
        <f t="shared" si="29"/>
        <v>0.60526441077207072</v>
      </c>
      <c r="AO26" s="537">
        <f t="shared" si="30"/>
        <v>0.62925594753798131</v>
      </c>
      <c r="AP26" s="537">
        <f t="shared" si="30"/>
        <v>0.5659322425452582</v>
      </c>
      <c r="AQ26" s="534"/>
      <c r="AR26" s="534"/>
      <c r="AS26" s="534"/>
      <c r="AT26" s="534"/>
      <c r="AU26" s="532"/>
      <c r="AV26" s="532"/>
      <c r="AW26" s="532"/>
      <c r="AX26" s="532"/>
      <c r="AY26" s="532"/>
    </row>
    <row r="27" spans="1:51" x14ac:dyDescent="0.2">
      <c r="A27" s="525">
        <v>0</v>
      </c>
      <c r="B27" s="525">
        <v>1</v>
      </c>
      <c r="C27" s="525" t="s">
        <v>35</v>
      </c>
      <c r="D27" s="533">
        <f>Baseline!AN26</f>
        <v>0.24350710807091377</v>
      </c>
      <c r="E27" s="533">
        <f>Baseline!AO26</f>
        <v>0.55182154852528853</v>
      </c>
      <c r="F27" s="533">
        <f>Baseline!AP26</f>
        <v>0.97245465200915271</v>
      </c>
      <c r="G27" s="533">
        <f>Baseline!AQ26</f>
        <v>1.7137207721254923</v>
      </c>
      <c r="H27" s="533">
        <f>Baseline!AR26</f>
        <v>3.8835336582406703</v>
      </c>
      <c r="I27" s="533">
        <f>IF((D27+'Non travel METs'!C27)&gt;2.5,(D27+'Non travel METs'!C27),0.1)</f>
        <v>0.1</v>
      </c>
      <c r="J27" s="533">
        <f>IF((E27+'Non travel METs'!D27)&gt;2.5,(E27+'Non travel METs'!D27),0.1)</f>
        <v>10.551821548525288</v>
      </c>
      <c r="K27" s="533">
        <f>IF((F27+'Non travel METs'!E27)&gt;2.5,(F27+'Non travel METs'!E27),0.1)</f>
        <v>4.7224546520091524</v>
      </c>
      <c r="L27" s="533">
        <f>IF((G27+'Non travel METs'!F27)&gt;2.5,(G27+'Non travel METs'!F27),0.1)</f>
        <v>6.9220541054588232</v>
      </c>
      <c r="M27" s="533">
        <f>IF((H27+'Non travel METs'!G27)&gt;2.5,(H27+'Non travel METs'!G27),0.1)</f>
        <v>3.8835336582406703</v>
      </c>
      <c r="N27" s="541">
        <f t="shared" si="20"/>
        <v>0.94314906211536642</v>
      </c>
      <c r="O27" s="534">
        <f>IF(('user page'!$N$39=0),$N27^(I27^0.25),IF(('user page'!$N$39=1),$N27^(I27^0.5),IF(('user page'!$N$39=2),$N27^(I27^0.375),IF(('user page'!$N$39=4),$N27^(I27),IF(('user page'!$N$39=3),$N27^(LN(1+I27)),"")))))</f>
        <v>0.98166113424264856</v>
      </c>
      <c r="P27" s="534">
        <f>IF(('user page'!$N$39=0),$N27^(J27^0.25),IF(('user page'!$N$39=1),$N27^(J27^0.5),IF(('user page'!$N$39=2),$N27^(J27^0.375),IF(('user page'!$N$39=4),$N27^(J27),IF(('user page'!$N$39=3),$N27^(LN(1+J27)),"")))))</f>
        <v>0.82685216313501553</v>
      </c>
      <c r="Q27" s="534">
        <f>IF(('user page'!$N$39=0),$N27^(K27^0.25),IF(('user page'!$N$39=1),$N27^(K27^0.5),IF(('user page'!$N$39=2),$N27^(K27^0.375),IF(('user page'!$N$39=4),$N27^(K27),IF(('user page'!$N$39=3),$N27^(LN(1+K27)),"")))))</f>
        <v>0.88056211850059474</v>
      </c>
      <c r="R27" s="534">
        <f>IF(('user page'!$N$39=0),$N27^(L27^0.25),IF(('user page'!$N$39=1),$N27^(L27^0.5),IF(('user page'!$N$39=2),$N27^(L27^0.375),IF(('user page'!$N$39=4),$N27^(L27),IF(('user page'!$N$39=3),$N27^(LN(1+L27)),"")))))</f>
        <v>0.85727741739402386</v>
      </c>
      <c r="S27" s="534">
        <f>IF(('user page'!$N$39=0),$N27^(M27^0.25),IF(('user page'!$N$39=1),$N27^(M27^0.5),IF(('user page'!$N$39=2),$N27^(M27^0.375),IF(('user page'!$N$39=4),$N27^(M27),IF(('user page'!$N$39=3),$N27^(LN(1+M27)),"")))))</f>
        <v>0.89105861951779264</v>
      </c>
      <c r="T27" s="535">
        <f t="shared" si="21"/>
        <v>1</v>
      </c>
      <c r="U27" s="535">
        <f t="shared" si="21"/>
        <v>0.84229897088971728</v>
      </c>
      <c r="V27" s="535">
        <f t="shared" si="21"/>
        <v>0.89701230677727539</v>
      </c>
      <c r="W27" s="535">
        <f t="shared" si="21"/>
        <v>0.87329261339801667</v>
      </c>
      <c r="X27" s="535">
        <f t="shared" si="21"/>
        <v>0.90770489778557262</v>
      </c>
      <c r="Y27" s="535"/>
      <c r="Z27" s="537"/>
      <c r="AA27" s="537"/>
      <c r="AB27" s="533">
        <f>GBDUS!O95/($T27+$W27+$X27+U27+V27)</f>
        <v>0.53921228912844821</v>
      </c>
      <c r="AC27" s="537">
        <f t="shared" si="22"/>
        <v>0.45417795622398061</v>
      </c>
      <c r="AD27" s="537">
        <f t="shared" si="23"/>
        <v>0.48368005931376451</v>
      </c>
      <c r="AE27" s="537">
        <f t="shared" si="24"/>
        <v>0.47089010914930951</v>
      </c>
      <c r="AF27" s="537">
        <f t="shared" si="24"/>
        <v>0.48944563578806272</v>
      </c>
      <c r="AG27" s="533">
        <f>GBDUS!P95/($T27+$W27+$X27+U27+V27)</f>
        <v>1.60847789477166</v>
      </c>
      <c r="AH27" s="537">
        <f t="shared" si="25"/>
        <v>1.3548192754650281</v>
      </c>
      <c r="AI27" s="537">
        <f t="shared" si="26"/>
        <v>1.4428244667893824</v>
      </c>
      <c r="AJ27" s="537">
        <f t="shared" si="27"/>
        <v>1.4046718643180831</v>
      </c>
      <c r="AK27" s="537">
        <f t="shared" si="28"/>
        <v>1.4600232630640626</v>
      </c>
      <c r="AL27" s="533">
        <f>GBDUS!Q95/($T27+$W27+$X27+U27+V27)</f>
        <v>2.3837822124152486</v>
      </c>
      <c r="AM27" s="537">
        <f t="shared" si="29"/>
        <v>2.0078573043425774</v>
      </c>
      <c r="AN27" s="537">
        <f t="shared" si="29"/>
        <v>2.1382819812132392</v>
      </c>
      <c r="AO27" s="537">
        <f t="shared" si="30"/>
        <v>2.0817393980518184</v>
      </c>
      <c r="AP27" s="537">
        <f t="shared" si="30"/>
        <v>2.1637707894634493</v>
      </c>
      <c r="AQ27" s="534"/>
      <c r="AR27" s="534"/>
      <c r="AS27" s="534"/>
      <c r="AT27" s="534"/>
      <c r="AU27" s="532"/>
      <c r="AV27" s="532"/>
      <c r="AW27" s="532"/>
      <c r="AX27" s="532"/>
      <c r="AY27" s="532"/>
    </row>
    <row r="28" spans="1:51" x14ac:dyDescent="0.2">
      <c r="A28" s="525">
        <v>0</v>
      </c>
      <c r="B28" s="525">
        <v>2</v>
      </c>
      <c r="C28" s="525" t="s">
        <v>2</v>
      </c>
      <c r="D28" s="533"/>
      <c r="E28" s="533"/>
      <c r="F28" s="533"/>
      <c r="G28" s="533"/>
      <c r="H28" s="533"/>
      <c r="I28" s="533"/>
      <c r="J28" s="533"/>
      <c r="K28" s="533"/>
      <c r="L28" s="533"/>
      <c r="M28" s="533"/>
      <c r="N28" s="541"/>
      <c r="O28" s="534"/>
      <c r="P28" s="534"/>
      <c r="Q28" s="534"/>
      <c r="R28" s="534"/>
      <c r="S28" s="534"/>
      <c r="T28" s="535"/>
      <c r="U28" s="535"/>
      <c r="V28" s="535"/>
      <c r="W28" s="535"/>
      <c r="X28" s="535"/>
      <c r="Y28" s="535"/>
      <c r="Z28" s="537"/>
      <c r="AA28" s="537"/>
      <c r="AB28" s="533"/>
      <c r="AC28" s="537"/>
      <c r="AD28" s="537"/>
      <c r="AE28" s="537"/>
      <c r="AF28" s="537"/>
      <c r="AG28" s="533"/>
      <c r="AH28" s="537"/>
      <c r="AI28" s="537"/>
      <c r="AJ28" s="537"/>
      <c r="AK28" s="537"/>
      <c r="AL28" s="533"/>
      <c r="AM28" s="537"/>
      <c r="AN28" s="537"/>
      <c r="AO28" s="537"/>
      <c r="AP28" s="537"/>
      <c r="AQ28" s="534"/>
      <c r="AR28" s="534"/>
      <c r="AS28" s="534"/>
      <c r="AT28" s="534"/>
      <c r="AU28" s="532"/>
      <c r="AV28" s="532"/>
      <c r="AW28" s="532"/>
      <c r="AX28" s="532"/>
      <c r="AY28" s="532"/>
    </row>
    <row r="29" spans="1:51" x14ac:dyDescent="0.2">
      <c r="A29" s="525">
        <v>0</v>
      </c>
      <c r="B29" s="525">
        <v>2</v>
      </c>
      <c r="C29" s="525" t="s">
        <v>41</v>
      </c>
      <c r="D29" s="533"/>
      <c r="E29" s="533"/>
      <c r="F29" s="533"/>
      <c r="G29" s="533"/>
      <c r="H29" s="533"/>
      <c r="I29" s="533"/>
      <c r="J29" s="533"/>
      <c r="K29" s="533"/>
      <c r="L29" s="533"/>
      <c r="M29" s="533"/>
      <c r="N29" s="541"/>
      <c r="O29" s="534"/>
      <c r="P29" s="534"/>
      <c r="Q29" s="534"/>
      <c r="R29" s="534"/>
      <c r="S29" s="534"/>
      <c r="T29" s="535"/>
      <c r="U29" s="535"/>
      <c r="V29" s="535"/>
      <c r="W29" s="535"/>
      <c r="X29" s="535"/>
      <c r="Y29" s="535"/>
      <c r="Z29" s="537"/>
      <c r="AA29" s="537"/>
      <c r="AB29" s="533"/>
      <c r="AC29" s="537"/>
      <c r="AD29" s="537"/>
      <c r="AE29" s="537"/>
      <c r="AF29" s="537"/>
      <c r="AG29" s="533"/>
      <c r="AH29" s="537"/>
      <c r="AI29" s="537"/>
      <c r="AJ29" s="537"/>
      <c r="AK29" s="537"/>
      <c r="AL29" s="533"/>
      <c r="AM29" s="537"/>
      <c r="AN29" s="537"/>
      <c r="AO29" s="537"/>
      <c r="AP29" s="537"/>
      <c r="AQ29" s="534"/>
      <c r="AR29" s="534"/>
      <c r="AS29" s="534"/>
      <c r="AT29" s="534"/>
      <c r="AU29" s="532"/>
      <c r="AV29" s="532"/>
      <c r="AW29" s="532"/>
      <c r="AX29" s="532"/>
      <c r="AY29" s="532"/>
    </row>
    <row r="30" spans="1:51" x14ac:dyDescent="0.2">
      <c r="A30" s="525">
        <v>0</v>
      </c>
      <c r="B30" s="525">
        <v>2</v>
      </c>
      <c r="C30" s="525" t="s">
        <v>40</v>
      </c>
      <c r="D30" s="533">
        <f>Baseline!AN29</f>
        <v>0.78305520090183223</v>
      </c>
      <c r="E30" s="533">
        <f>Baseline!AO29</f>
        <v>1.774513840542973</v>
      </c>
      <c r="F30" s="533">
        <f>Baseline!AP29</f>
        <v>3.1271599376688002</v>
      </c>
      <c r="G30" s="533">
        <f>Baseline!AQ29</f>
        <v>5.5108779950504481</v>
      </c>
      <c r="H30" s="533">
        <f>Baseline!AR29</f>
        <v>12.488428995169523</v>
      </c>
      <c r="I30" s="533">
        <f>IF((D30+'Non travel METs'!C30)&gt;2.5,(D30+'Non travel METs'!C30),0.1)</f>
        <v>9.6497218675685037</v>
      </c>
      <c r="J30" s="533">
        <f>IF((E30+'Non travel METs'!D30)&gt;2.5,(E30+'Non travel METs'!D30),0.1)</f>
        <v>26.374513840542974</v>
      </c>
      <c r="K30" s="533">
        <f>IF((F30+'Non travel METs'!E30)&gt;2.5,(F30+'Non travel METs'!E30),0.1)</f>
        <v>32.977159937668802</v>
      </c>
      <c r="L30" s="533">
        <f>IF((G30+'Non travel METs'!F30)&gt;2.5,(G30+'Non travel METs'!F30),0.1)</f>
        <v>35.910877995050448</v>
      </c>
      <c r="M30" s="533">
        <f>IF((H30+'Non travel METs'!G30)&gt;2.5,(H30+'Non travel METs'!G30),0.1)</f>
        <v>53.488428995169521</v>
      </c>
      <c r="N30" s="541">
        <f t="shared" ref="N30:N35" si="31">N13</f>
        <v>0.94314906211536642</v>
      </c>
      <c r="O30" s="534">
        <f>IF(('user page'!$N$39=0),$N30^(I30^0.25),IF(('user page'!$N$39=1),$N30^(I30^0.5),IF(('user page'!$N$39=2),$N30^(I30^0.375),IF(('user page'!$N$39=4),$N30^(I30),IF(('user page'!$N$39=3),$N30^(LN(1+I30)),"")))))</f>
        <v>0.83375097692421896</v>
      </c>
      <c r="P30" s="534">
        <f>IF(('user page'!$N$39=0),$N30^(J30^0.25),IF(('user page'!$N$39=1),$N30^(J30^0.5),IF(('user page'!$N$39=2),$N30^(J30^0.375),IF(('user page'!$N$39=4),$N30^(J30),IF(('user page'!$N$39=3),$N30^(LN(1+J30)),"")))))</f>
        <v>0.74037963889737601</v>
      </c>
      <c r="Q30" s="534">
        <f>IF(('user page'!$N$39=0),$N30^(K30^0.25),IF(('user page'!$N$39=1),$N30^(K30^0.5),IF(('user page'!$N$39=2),$N30^(K30^0.375),IF(('user page'!$N$39=4),$N30^(K30),IF(('user page'!$N$39=3),$N30^(LN(1+K30)),"")))))</f>
        <v>0.71453860370922806</v>
      </c>
      <c r="R30" s="534">
        <f>IF(('user page'!$N$39=0),$N30^(L30^0.25),IF(('user page'!$N$39=1),$N30^(L30^0.5),IF(('user page'!$N$39=2),$N30^(L30^0.375),IF(('user page'!$N$39=4),$N30^(L30),IF(('user page'!$N$39=3),$N30^(LN(1+L30)),"")))))</f>
        <v>0.70415931356820471</v>
      </c>
      <c r="S30" s="534">
        <f>IF(('user page'!$N$39=0),$N30^(M30^0.25),IF(('user page'!$N$39=1),$N30^(M30^0.5),IF(('user page'!$N$39=2),$N30^(M30^0.375),IF(('user page'!$N$39=4),$N30^(M30),IF(('user page'!$N$39=3),$N30^(LN(1+M30)),"")))))</f>
        <v>0.65176540268376049</v>
      </c>
      <c r="T30" s="535">
        <f t="shared" ref="T30:X35" si="32">O30/$O30</f>
        <v>1</v>
      </c>
      <c r="U30" s="535">
        <f t="shared" si="32"/>
        <v>0.8880105203938734</v>
      </c>
      <c r="V30" s="535">
        <f t="shared" si="32"/>
        <v>0.8570168113568204</v>
      </c>
      <c r="W30" s="535">
        <f t="shared" si="32"/>
        <v>0.84456790223612166</v>
      </c>
      <c r="X30" s="535">
        <f t="shared" si="32"/>
        <v>0.78172670344349182</v>
      </c>
      <c r="Y30" s="535"/>
      <c r="Z30" s="537"/>
      <c r="AA30" s="537"/>
      <c r="AB30" s="533">
        <f>GBDUS!O98/($T30+$W30+$X30+U30+V30)</f>
        <v>0</v>
      </c>
      <c r="AC30" s="537">
        <f t="shared" ref="AC30:AC35" si="33">$AB30*U30</f>
        <v>0</v>
      </c>
      <c r="AD30" s="537">
        <f t="shared" ref="AD30:AD35" si="34">$AB30*V30</f>
        <v>0</v>
      </c>
      <c r="AE30" s="537">
        <f t="shared" ref="AE30:AF35" si="35">$AB30*W30</f>
        <v>0</v>
      </c>
      <c r="AF30" s="537">
        <f t="shared" si="35"/>
        <v>0</v>
      </c>
      <c r="AG30" s="533">
        <f>GBDUS!P98/($T30+$W30+$X30+U30+V30)</f>
        <v>0</v>
      </c>
      <c r="AH30" s="537">
        <f t="shared" si="25"/>
        <v>0</v>
      </c>
      <c r="AI30" s="537">
        <f t="shared" si="26"/>
        <v>0</v>
      </c>
      <c r="AJ30" s="537">
        <f t="shared" si="27"/>
        <v>0</v>
      </c>
      <c r="AK30" s="537">
        <f t="shared" si="28"/>
        <v>0</v>
      </c>
      <c r="AL30" s="533">
        <f>GBDUS!Q98/($T30+$W30+$X30+U30+V30)</f>
        <v>0</v>
      </c>
      <c r="AM30" s="537">
        <f t="shared" ref="AM30:AM35" si="36">U30*$AL30</f>
        <v>0</v>
      </c>
      <c r="AN30" s="537">
        <f t="shared" ref="AN30:AN35" si="37">V30*$AL30</f>
        <v>0</v>
      </c>
      <c r="AO30" s="537">
        <f t="shared" ref="AO30:AP35" si="38">W30*$AL30</f>
        <v>0</v>
      </c>
      <c r="AP30" s="537">
        <f t="shared" si="38"/>
        <v>0</v>
      </c>
      <c r="AQ30" s="534"/>
      <c r="AR30" s="534"/>
      <c r="AS30" s="534"/>
      <c r="AT30" s="534"/>
      <c r="AU30" s="532"/>
      <c r="AV30" s="532"/>
      <c r="AW30" s="532"/>
      <c r="AX30" s="532"/>
      <c r="AY30" s="532"/>
    </row>
    <row r="31" spans="1:51" x14ac:dyDescent="0.2">
      <c r="A31" s="525">
        <v>0</v>
      </c>
      <c r="B31" s="525">
        <v>2</v>
      </c>
      <c r="C31" s="525" t="s">
        <v>39</v>
      </c>
      <c r="D31" s="533">
        <f>Baseline!AN30</f>
        <v>0.47165676213737562</v>
      </c>
      <c r="E31" s="533">
        <f>Baseline!AO30</f>
        <v>1.0688409341187475</v>
      </c>
      <c r="F31" s="533">
        <f>Baseline!AP30</f>
        <v>1.8835787428369182</v>
      </c>
      <c r="G31" s="533">
        <f>Baseline!AQ30</f>
        <v>3.3193609705753828</v>
      </c>
      <c r="H31" s="533">
        <f>Baseline!AR30</f>
        <v>7.5221414496199817</v>
      </c>
      <c r="I31" s="533">
        <f>IF((D31+'Non travel METs'!C31)&gt;2.5,(D31+'Non travel METs'!C31),0.1)</f>
        <v>41.471656762137378</v>
      </c>
      <c r="J31" s="533">
        <f>IF((E31+'Non travel METs'!D31)&gt;2.5,(E31+'Non travel METs'!D31),0.1)</f>
        <v>36.943840934118747</v>
      </c>
      <c r="K31" s="533">
        <f>IF((F31+'Non travel METs'!E31)&gt;2.5,(F31+'Non travel METs'!E31),0.1)</f>
        <v>40.733578742836919</v>
      </c>
      <c r="L31" s="533">
        <f>IF((G31+'Non travel METs'!F31)&gt;2.5,(G31+'Non travel METs'!F31),0.1)</f>
        <v>44.319360970575381</v>
      </c>
      <c r="M31" s="533">
        <f>IF((H31+'Non travel METs'!G31)&gt;2.5,(H31+'Non travel METs'!G31),0.1)</f>
        <v>49.788808116286681</v>
      </c>
      <c r="N31" s="541">
        <f t="shared" si="31"/>
        <v>0.94314906211536642</v>
      </c>
      <c r="O31" s="534">
        <f>IF(('user page'!$N$39=0),$N31^(I31^0.25),IF(('user page'!$N$39=1),$N31^(I31^0.5),IF(('user page'!$N$39=2),$N31^(I31^0.375),IF(('user page'!$N$39=4),$N31^(I31),IF(('user page'!$N$39=3),$N31^(LN(1+I31)),"")))))</f>
        <v>0.68596381466856771</v>
      </c>
      <c r="P31" s="534">
        <f>IF(('user page'!$N$39=0),$N31^(J31^0.25),IF(('user page'!$N$39=1),$N31^(J31^0.5),IF(('user page'!$N$39=2),$N31^(J31^0.375),IF(('user page'!$N$39=4),$N31^(J31),IF(('user page'!$N$39=3),$N31^(LN(1+J31)),"")))))</f>
        <v>0.70064110961628334</v>
      </c>
      <c r="Q31" s="534">
        <f>IF(('user page'!$N$39=0),$N31^(K31^0.25),IF(('user page'!$N$39=1),$N31^(K31^0.5),IF(('user page'!$N$39=2),$N31^(K31^0.375),IF(('user page'!$N$39=4),$N31^(K31),IF(('user page'!$N$39=3),$N31^(LN(1+K31)),"")))))</f>
        <v>0.68827886485810519</v>
      </c>
      <c r="R31" s="534">
        <f>IF(('user page'!$N$39=0),$N31^(L31^0.25),IF(('user page'!$N$39=1),$N31^(L31^0.5),IF(('user page'!$N$39=2),$N31^(L31^0.375),IF(('user page'!$N$39=4),$N31^(L31),IF(('user page'!$N$39=3),$N31^(LN(1+L31)),"")))))</f>
        <v>0.67728930521742059</v>
      </c>
      <c r="S31" s="534">
        <f>IF(('user page'!$N$39=0),$N31^(M31^0.25),IF(('user page'!$N$39=1),$N31^(M31^0.5),IF(('user page'!$N$39=2),$N31^(M31^0.375),IF(('user page'!$N$39=4),$N31^(M31),IF(('user page'!$N$39=3),$N31^(LN(1+M31)),"")))))</f>
        <v>0.66166147300727474</v>
      </c>
      <c r="T31" s="535">
        <f t="shared" si="32"/>
        <v>1</v>
      </c>
      <c r="U31" s="535">
        <f t="shared" si="32"/>
        <v>1.0213966023190408</v>
      </c>
      <c r="V31" s="535">
        <f t="shared" si="32"/>
        <v>1.0033748867506314</v>
      </c>
      <c r="W31" s="535">
        <f t="shared" si="32"/>
        <v>0.98735427545061061</v>
      </c>
      <c r="X31" s="535">
        <f t="shared" si="32"/>
        <v>0.96457197720693921</v>
      </c>
      <c r="Y31" s="535"/>
      <c r="Z31" s="537"/>
      <c r="AA31" s="537"/>
      <c r="AB31" s="533">
        <f>GBDUS!O99/($T31+$W31+$X31+U31+V31)</f>
        <v>1.4891643932506634E-4</v>
      </c>
      <c r="AC31" s="537">
        <f t="shared" si="33"/>
        <v>1.5210274515607236E-4</v>
      </c>
      <c r="AD31" s="537">
        <f t="shared" si="34"/>
        <v>1.494190154430957E-4</v>
      </c>
      <c r="AE31" s="537">
        <f t="shared" si="35"/>
        <v>1.4703328305248569E-4</v>
      </c>
      <c r="AF31" s="537">
        <f t="shared" si="35"/>
        <v>1.4364062431839643E-4</v>
      </c>
      <c r="AG31" s="533">
        <f>GBDUS!P99/($T31+$W31+$X31+U31+V31)</f>
        <v>3.8324861398569845E-3</v>
      </c>
      <c r="AH31" s="537">
        <f t="shared" si="25"/>
        <v>3.9144883216847403E-3</v>
      </c>
      <c r="AI31" s="537">
        <f t="shared" si="26"/>
        <v>3.8454203465523662E-3</v>
      </c>
      <c r="AJ31" s="537">
        <f t="shared" si="27"/>
        <v>3.7840215757930003E-3</v>
      </c>
      <c r="AK31" s="537">
        <f t="shared" si="28"/>
        <v>3.6967087335400416E-3</v>
      </c>
      <c r="AL31" s="533">
        <f>GBDUS!Q99/($T31+$W31+$X31+U31+V31)</f>
        <v>9.1758511355730728E-4</v>
      </c>
      <c r="AM31" s="537">
        <f t="shared" si="36"/>
        <v>9.3721831732596495E-4</v>
      </c>
      <c r="AN31" s="537">
        <f t="shared" si="37"/>
        <v>9.2068185939962841E-4</v>
      </c>
      <c r="AO31" s="537">
        <f t="shared" si="38"/>
        <v>9.0598158496064138E-4</v>
      </c>
      <c r="AP31" s="537">
        <f t="shared" si="38"/>
        <v>8.8507688723962568E-4</v>
      </c>
      <c r="AQ31" s="534"/>
      <c r="AR31" s="534"/>
      <c r="AS31" s="534"/>
      <c r="AT31" s="534"/>
      <c r="AU31" s="532"/>
      <c r="AV31" s="532"/>
      <c r="AW31" s="532"/>
      <c r="AX31" s="532"/>
      <c r="AY31" s="532"/>
    </row>
    <row r="32" spans="1:51" x14ac:dyDescent="0.2">
      <c r="A32" s="525">
        <v>0</v>
      </c>
      <c r="B32" s="525">
        <v>2</v>
      </c>
      <c r="C32" s="525" t="s">
        <v>38</v>
      </c>
      <c r="D32" s="533">
        <f>Baseline!AN31</f>
        <v>0.39813871625667402</v>
      </c>
      <c r="E32" s="533">
        <f>Baseline!AO31</f>
        <v>0.90223864376331542</v>
      </c>
      <c r="F32" s="533">
        <f>Baseline!AP31</f>
        <v>1.5899817045833551</v>
      </c>
      <c r="G32" s="533">
        <f>Baseline!AQ31</f>
        <v>2.8019657973915968</v>
      </c>
      <c r="H32" s="533">
        <f>Baseline!AR31</f>
        <v>6.3496508068308559</v>
      </c>
      <c r="I32" s="533">
        <f>IF((D32+'Non travel METs'!C32)&gt;2.5,(D32+'Non travel METs'!C32),0.1)</f>
        <v>42.048138716256673</v>
      </c>
      <c r="J32" s="533">
        <f>IF((E32+'Non travel METs'!D32)&gt;2.5,(E32+'Non travel METs'!D32),0.1)</f>
        <v>43.952238643763316</v>
      </c>
      <c r="K32" s="533">
        <f>IF((F32+'Non travel METs'!E32)&gt;2.5,(F32+'Non travel METs'!E32),0.1)</f>
        <v>47.656648371250057</v>
      </c>
      <c r="L32" s="533">
        <f>IF((G32+'Non travel METs'!F32)&gt;2.5,(G32+'Non travel METs'!F32),0.1)</f>
        <v>43.801965797391595</v>
      </c>
      <c r="M32" s="533">
        <f>IF((H32+'Non travel METs'!G32)&gt;2.5,(H32+'Non travel METs'!G32),0.1)</f>
        <v>47.349650806830859</v>
      </c>
      <c r="N32" s="541">
        <f t="shared" si="31"/>
        <v>0.94314906211536642</v>
      </c>
      <c r="O32" s="534">
        <f>IF(('user page'!$N$39=0),$N32^(I32^0.25),IF(('user page'!$N$39=1),$N32^(I32^0.5),IF(('user page'!$N$39=2),$N32^(I32^0.375),IF(('user page'!$N$39=4),$N32^(I32),IF(('user page'!$N$39=3),$N32^(LN(1+I32)),"")))))</f>
        <v>0.68417527538810829</v>
      </c>
      <c r="P32" s="534">
        <f>IF(('user page'!$N$39=0),$N32^(J32^0.25),IF(('user page'!$N$39=1),$N32^(J32^0.5),IF(('user page'!$N$39=2),$N32^(J32^0.375),IF(('user page'!$N$39=4),$N32^(J32),IF(('user page'!$N$39=3),$N32^(LN(1+J32)),"")))))</f>
        <v>0.67838552379051409</v>
      </c>
      <c r="Q32" s="534">
        <f>IF(('user page'!$N$39=0),$N32^(K32^0.25),IF(('user page'!$N$39=1),$N32^(K32^0.5),IF(('user page'!$N$39=2),$N32^(K32^0.375),IF(('user page'!$N$39=4),$N32^(K32),IF(('user page'!$N$39=3),$N32^(LN(1+K32)),"")))))</f>
        <v>0.66760321779493104</v>
      </c>
      <c r="R32" s="534">
        <f>IF(('user page'!$N$39=0),$N32^(L32^0.25),IF(('user page'!$N$39=1),$N32^(L32^0.5),IF(('user page'!$N$39=2),$N32^(L32^0.375),IF(('user page'!$N$39=4),$N32^(L32),IF(('user page'!$N$39=3),$N32^(LN(1+L32)),"")))))</f>
        <v>0.67883606853667045</v>
      </c>
      <c r="S32" s="534">
        <f>IF(('user page'!$N$39=0),$N32^(M32^0.25),IF(('user page'!$N$39=1),$N32^(M32^0.5),IF(('user page'!$N$39=2),$N32^(M32^0.375),IF(('user page'!$N$39=4),$N32^(M32),IF(('user page'!$N$39=3),$N32^(LN(1+M32)),"")))))</f>
        <v>0.66847404359570728</v>
      </c>
      <c r="T32" s="535">
        <f t="shared" si="32"/>
        <v>1</v>
      </c>
      <c r="U32" s="535">
        <f t="shared" si="32"/>
        <v>0.99153761937054818</v>
      </c>
      <c r="V32" s="535">
        <f t="shared" si="32"/>
        <v>0.9757780525117975</v>
      </c>
      <c r="W32" s="535">
        <f t="shared" si="32"/>
        <v>0.99219614177316029</v>
      </c>
      <c r="X32" s="535">
        <f t="shared" si="32"/>
        <v>0.97705086348890013</v>
      </c>
      <c r="Y32" s="535"/>
      <c r="Z32" s="537"/>
      <c r="AA32" s="537"/>
      <c r="AB32" s="533">
        <f>GBDUS!O100/($T32+$W32+$X32+U32+V32)</f>
        <v>2.8037408742889744E-3</v>
      </c>
      <c r="AC32" s="537">
        <f t="shared" si="33"/>
        <v>2.7800145518243891E-3</v>
      </c>
      <c r="AD32" s="537">
        <f t="shared" si="34"/>
        <v>2.7358288100614199E-3</v>
      </c>
      <c r="AE32" s="537">
        <f t="shared" si="35"/>
        <v>2.7818608780012279E-3</v>
      </c>
      <c r="AF32" s="537">
        <f t="shared" si="35"/>
        <v>2.7393974422231663E-3</v>
      </c>
      <c r="AG32" s="533">
        <f>GBDUS!P100/($T32+$W32+$X32+U32+V32)</f>
        <v>4.7925118307994348E-2</v>
      </c>
      <c r="AH32" s="537">
        <f t="shared" si="25"/>
        <v>4.7519557715160587E-2</v>
      </c>
      <c r="AI32" s="537">
        <f t="shared" si="26"/>
        <v>4.6764278608972219E-2</v>
      </c>
      <c r="AJ32" s="537">
        <f t="shared" si="27"/>
        <v>4.7551117479214242E-2</v>
      </c>
      <c r="AK32" s="537">
        <f t="shared" si="28"/>
        <v>4.6825278225633572E-2</v>
      </c>
      <c r="AL32" s="533">
        <f>GBDUS!Q100/($T32+$W32+$X32+U32+V32)</f>
        <v>0.10898776686956262</v>
      </c>
      <c r="AM32" s="537">
        <f t="shared" si="36"/>
        <v>0.10806547090235842</v>
      </c>
      <c r="AN32" s="537">
        <f t="shared" si="37"/>
        <v>0.10634787090359162</v>
      </c>
      <c r="AO32" s="537">
        <f t="shared" si="38"/>
        <v>0.10813724178845269</v>
      </c>
      <c r="AP32" s="537">
        <f t="shared" si="38"/>
        <v>0.1064865917296331</v>
      </c>
      <c r="AQ32" s="534"/>
      <c r="AR32" s="534"/>
      <c r="AS32" s="534"/>
      <c r="AT32" s="534"/>
      <c r="AU32" s="532"/>
      <c r="AV32" s="532"/>
      <c r="AW32" s="532"/>
      <c r="AX32" s="532"/>
      <c r="AY32" s="532"/>
    </row>
    <row r="33" spans="1:51" x14ac:dyDescent="0.2">
      <c r="A33" s="525">
        <v>0</v>
      </c>
      <c r="B33" s="525">
        <v>2</v>
      </c>
      <c r="C33" s="525" t="s">
        <v>37</v>
      </c>
      <c r="D33" s="533">
        <f>Baseline!AN32</f>
        <v>0.26186863902756607</v>
      </c>
      <c r="E33" s="533">
        <f>Baseline!AO32</f>
        <v>0.59343137472733987</v>
      </c>
      <c r="F33" s="533">
        <f>Baseline!AP32</f>
        <v>1.0457821057260546</v>
      </c>
      <c r="G33" s="533">
        <f>Baseline!AQ32</f>
        <v>1.8429430246409162</v>
      </c>
      <c r="H33" s="533">
        <f>Baseline!AR32</f>
        <v>4.1763695596313646</v>
      </c>
      <c r="I33" s="533">
        <f>IF((D33+'Non travel METs'!C33)&gt;2.5,(D33+'Non travel METs'!C33),0.1)</f>
        <v>33.061868639027566</v>
      </c>
      <c r="J33" s="533">
        <f>IF((E33+'Non travel METs'!D33)&gt;2.5,(E33+'Non travel METs'!D33),0.1)</f>
        <v>18.593431374727341</v>
      </c>
      <c r="K33" s="533">
        <f>IF((F33+'Non travel METs'!E33)&gt;2.5,(F33+'Non travel METs'!E33),0.1)</f>
        <v>32.795782105726055</v>
      </c>
      <c r="L33" s="533">
        <f>IF((G33+'Non travel METs'!F33)&gt;2.5,(G33+'Non travel METs'!F33),0.1)</f>
        <v>22.342943024640917</v>
      </c>
      <c r="M33" s="533">
        <f>IF((H33+'Non travel METs'!G33)&gt;2.5,(H33+'Non travel METs'!G33),0.1)</f>
        <v>8.6763695596313646</v>
      </c>
      <c r="N33" s="541">
        <f t="shared" si="31"/>
        <v>0.94314906211536642</v>
      </c>
      <c r="O33" s="534">
        <f>IF(('user page'!$N$39=0),$N33^(I33^0.25),IF(('user page'!$N$39=1),$N33^(I33^0.5),IF(('user page'!$N$39=2),$N33^(I33^0.375),IF(('user page'!$N$39=4),$N33^(I33),IF(('user page'!$N$39=3),$N33^(LN(1+I33)),"")))))</f>
        <v>0.71423040538713622</v>
      </c>
      <c r="P33" s="534">
        <f>IF(('user page'!$N$39=0),$N33^(J33^0.25),IF(('user page'!$N$39=1),$N33^(J33^0.5),IF(('user page'!$N$39=2),$N33^(J33^0.375),IF(('user page'!$N$39=4),$N33^(J33),IF(('user page'!$N$39=3),$N33^(LN(1+J33)),"")))))</f>
        <v>0.77694478597208372</v>
      </c>
      <c r="Q33" s="534">
        <f>IF(('user page'!$N$39=0),$N33^(K33^0.25),IF(('user page'!$N$39=1),$N33^(K33^0.5),IF(('user page'!$N$39=2),$N33^(K33^0.375),IF(('user page'!$N$39=4),$N33^(K33),IF(('user page'!$N$39=3),$N33^(LN(1+K33)),"")))))</f>
        <v>0.71520029919010841</v>
      </c>
      <c r="R33" s="534">
        <f>IF(('user page'!$N$39=0),$N33^(L33^0.25),IF(('user page'!$N$39=1),$N33^(L33^0.5),IF(('user page'!$N$39=2),$N33^(L33^0.375),IF(('user page'!$N$39=4),$N33^(L33),IF(('user page'!$N$39=3),$N33^(LN(1+L33)),"")))))</f>
        <v>0.75830779163417938</v>
      </c>
      <c r="S33" s="534">
        <f>IF(('user page'!$N$39=0),$N33^(M33^0.25),IF(('user page'!$N$39=1),$N33^(M33^0.5),IF(('user page'!$N$39=2),$N33^(M33^0.375),IF(('user page'!$N$39=4),$N33^(M33),IF(('user page'!$N$39=3),$N33^(LN(1+M33)),"")))))</f>
        <v>0.84163669107788786</v>
      </c>
      <c r="T33" s="535">
        <f t="shared" si="32"/>
        <v>1</v>
      </c>
      <c r="U33" s="535">
        <f t="shared" si="32"/>
        <v>1.0878069319254957</v>
      </c>
      <c r="V33" s="535">
        <f t="shared" si="32"/>
        <v>1.0013579564740687</v>
      </c>
      <c r="W33" s="535">
        <f t="shared" si="32"/>
        <v>1.0617131193443827</v>
      </c>
      <c r="X33" s="535">
        <f t="shared" si="32"/>
        <v>1.1783826125712098</v>
      </c>
      <c r="Y33" s="535"/>
      <c r="Z33" s="537"/>
      <c r="AA33" s="537"/>
      <c r="AB33" s="533">
        <f>GBDUS!O101/($T33+$W33+$X33+U33+V33)</f>
        <v>1.3772034909879424E-2</v>
      </c>
      <c r="AC33" s="537">
        <f t="shared" si="33"/>
        <v>1.4981315041686757E-2</v>
      </c>
      <c r="AD33" s="537">
        <f t="shared" si="34"/>
        <v>1.3790736733846395E-2</v>
      </c>
      <c r="AE33" s="537">
        <f t="shared" si="35"/>
        <v>1.4621950143887818E-2</v>
      </c>
      <c r="AF33" s="537">
        <f t="shared" si="35"/>
        <v>1.6228726477525622E-2</v>
      </c>
      <c r="AG33" s="533">
        <f>GBDUS!P101/($T33+$W33+$X33+U33+V33)</f>
        <v>0.16839981313103641</v>
      </c>
      <c r="AH33" s="537">
        <f t="shared" si="25"/>
        <v>0.18318648405889953</v>
      </c>
      <c r="AI33" s="537">
        <f t="shared" si="26"/>
        <v>0.16862849274750966</v>
      </c>
      <c r="AJ33" s="537">
        <f t="shared" si="27"/>
        <v>0.17879229089636381</v>
      </c>
      <c r="AK33" s="537">
        <f t="shared" si="28"/>
        <v>0.19843941175385421</v>
      </c>
      <c r="AL33" s="533">
        <f>GBDUS!Q101/($T33+$W33+$X33+U33+V33)</f>
        <v>0.32642824473886201</v>
      </c>
      <c r="AM33" s="537">
        <f t="shared" si="36"/>
        <v>0.35509090740320631</v>
      </c>
      <c r="AN33" s="537">
        <f t="shared" si="37"/>
        <v>0.326871520087124</v>
      </c>
      <c r="AO33" s="537">
        <f t="shared" si="38"/>
        <v>0.34657314996380878</v>
      </c>
      <c r="AP33" s="537">
        <f t="shared" si="38"/>
        <v>0.3846573678524145</v>
      </c>
      <c r="AQ33" s="534"/>
      <c r="AR33" s="534"/>
      <c r="AS33" s="534"/>
      <c r="AT33" s="534"/>
      <c r="AU33" s="532"/>
      <c r="AV33" s="532"/>
      <c r="AW33" s="532"/>
      <c r="AX33" s="532"/>
      <c r="AY33" s="532"/>
    </row>
    <row r="34" spans="1:51" x14ac:dyDescent="0.2">
      <c r="A34" s="525">
        <v>0</v>
      </c>
      <c r="B34" s="525">
        <v>2</v>
      </c>
      <c r="C34" s="525" t="s">
        <v>36</v>
      </c>
      <c r="D34" s="533">
        <f>Baseline!AN33</f>
        <v>0.23782262690158459</v>
      </c>
      <c r="E34" s="533">
        <f>Baseline!AO33</f>
        <v>0.53893971018277653</v>
      </c>
      <c r="F34" s="533">
        <f>Baseline!AP33</f>
        <v>0.94975346598971733</v>
      </c>
      <c r="G34" s="533">
        <f>Baseline!AQ33</f>
        <v>1.6737153138215863</v>
      </c>
      <c r="H34" s="533">
        <f>Baseline!AR33</f>
        <v>3.7928756313534393</v>
      </c>
      <c r="I34" s="533">
        <f>IF((D34+'Non travel METs'!C34)&gt;2.5,(D34+'Non travel METs'!C34),0.1)</f>
        <v>6.0711559602349148</v>
      </c>
      <c r="J34" s="533">
        <f>IF((E34+'Non travel METs'!D34)&gt;2.5,(E34+'Non travel METs'!D34),0.1)</f>
        <v>5.5389397101827766</v>
      </c>
      <c r="K34" s="533">
        <f>IF((F34+'Non travel METs'!E34)&gt;2.5,(F34+'Non travel METs'!E34),0.1)</f>
        <v>3.4497534659897173</v>
      </c>
      <c r="L34" s="533">
        <f>IF((G34+'Non travel METs'!F34)&gt;2.5,(G34+'Non travel METs'!F34),0.1)</f>
        <v>5.4237153138215861</v>
      </c>
      <c r="M34" s="533">
        <f>IF((H34+'Non travel METs'!G34)&gt;2.5,(H34+'Non travel METs'!G34),0.1)</f>
        <v>3.7928756313534393</v>
      </c>
      <c r="N34" s="541">
        <f t="shared" si="31"/>
        <v>0.94314906211536642</v>
      </c>
      <c r="O34" s="534">
        <f>IF(('user page'!$N$39=0),$N34^(I34^0.25),IF(('user page'!$N$39=1),$N34^(I34^0.5),IF(('user page'!$N$39=2),$N34^(I34^0.375),IF(('user page'!$N$39=4),$N34^(I34),IF(('user page'!$N$39=3),$N34^(LN(1+I34)),"")))))</f>
        <v>0.86569851640833828</v>
      </c>
      <c r="P34" s="534">
        <f>IF(('user page'!$N$39=0),$N34^(J34^0.25),IF(('user page'!$N$39=1),$N34^(J34^0.5),IF(('user page'!$N$39=2),$N34^(J34^0.375),IF(('user page'!$N$39=4),$N34^(J34),IF(('user page'!$N$39=3),$N34^(LN(1+J34)),"")))))</f>
        <v>0.87131450789103515</v>
      </c>
      <c r="Q34" s="534">
        <f>IF(('user page'!$N$39=0),$N34^(K34^0.25),IF(('user page'!$N$39=1),$N34^(K34^0.5),IF(('user page'!$N$39=2),$N34^(K34^0.375),IF(('user page'!$N$39=4),$N34^(K34),IF(('user page'!$N$39=3),$N34^(LN(1+K34)),"")))))</f>
        <v>0.89698825996147091</v>
      </c>
      <c r="R34" s="534">
        <f>IF(('user page'!$N$39=0),$N34^(L34^0.25),IF(('user page'!$N$39=1),$N34^(L34^0.5),IF(('user page'!$N$39=2),$N34^(L34^0.375),IF(('user page'!$N$39=4),$N34^(L34),IF(('user page'!$N$39=3),$N34^(LN(1+L34)),"")))))</f>
        <v>0.87257039553716631</v>
      </c>
      <c r="S34" s="534">
        <f>IF(('user page'!$N$39=0),$N34^(M34^0.25),IF(('user page'!$N$39=1),$N34^(M34^0.5),IF(('user page'!$N$39=2),$N34^(M34^0.375),IF(('user page'!$N$39=4),$N34^(M34),IF(('user page'!$N$39=3),$N34^(LN(1+M34)),"")))))</f>
        <v>0.89226617094144955</v>
      </c>
      <c r="T34" s="535">
        <f t="shared" si="32"/>
        <v>1</v>
      </c>
      <c r="U34" s="535">
        <f t="shared" si="32"/>
        <v>1.0064872370418247</v>
      </c>
      <c r="V34" s="535">
        <f t="shared" si="32"/>
        <v>1.0361439265056724</v>
      </c>
      <c r="W34" s="535">
        <f t="shared" si="32"/>
        <v>1.0079379587680692</v>
      </c>
      <c r="X34" s="535">
        <f t="shared" si="32"/>
        <v>1.030689268873114</v>
      </c>
      <c r="Y34" s="535"/>
      <c r="Z34" s="537"/>
      <c r="AA34" s="537"/>
      <c r="AB34" s="533">
        <f>GBDUS!O102/($T34+$W34+$X34+U34+V34)</f>
        <v>8.6194925564530511E-2</v>
      </c>
      <c r="AC34" s="537">
        <f t="shared" si="33"/>
        <v>8.675409247847006E-2</v>
      </c>
      <c r="AD34" s="537">
        <f t="shared" si="34"/>
        <v>8.9310348619296806E-2</v>
      </c>
      <c r="AE34" s="537">
        <f t="shared" si="35"/>
        <v>8.6879137329678557E-2</v>
      </c>
      <c r="AF34" s="537">
        <f t="shared" si="35"/>
        <v>8.884018481067843E-2</v>
      </c>
      <c r="AG34" s="533">
        <f>GBDUS!P102/($T34+$W34+$X34+U34+V34)</f>
        <v>0.63780931501515836</v>
      </c>
      <c r="AH34" s="537">
        <f t="shared" si="25"/>
        <v>0.64194693522914559</v>
      </c>
      <c r="AI34" s="537">
        <f t="shared" si="26"/>
        <v>0.66086224802169957</v>
      </c>
      <c r="AJ34" s="537">
        <f t="shared" si="27"/>
        <v>0.6428722190596392</v>
      </c>
      <c r="AK34" s="537">
        <f t="shared" si="28"/>
        <v>0.65738321657343524</v>
      </c>
      <c r="AL34" s="533">
        <f>GBDUS!Q102/($T34+$W34+$X34+U34+V34)</f>
        <v>0.77114385491047177</v>
      </c>
      <c r="AM34" s="537">
        <f t="shared" si="36"/>
        <v>0.77614644789062248</v>
      </c>
      <c r="AN34" s="537">
        <f t="shared" si="37"/>
        <v>0.79901602172765684</v>
      </c>
      <c r="AO34" s="537">
        <f t="shared" si="38"/>
        <v>0.77726516303500104</v>
      </c>
      <c r="AP34" s="537">
        <f t="shared" si="38"/>
        <v>0.7948096960136688</v>
      </c>
      <c r="AQ34" s="534"/>
      <c r="AR34" s="534"/>
      <c r="AS34" s="534"/>
      <c r="AT34" s="534"/>
      <c r="AU34" s="532"/>
      <c r="AV34" s="532"/>
      <c r="AW34" s="532"/>
      <c r="AX34" s="532"/>
      <c r="AY34" s="532"/>
    </row>
    <row r="35" spans="1:51" x14ac:dyDescent="0.2">
      <c r="A35" s="525">
        <v>0</v>
      </c>
      <c r="B35" s="525">
        <v>2</v>
      </c>
      <c r="C35" s="525" t="s">
        <v>35</v>
      </c>
      <c r="D35" s="533">
        <f>Baseline!AN34</f>
        <v>0.12364682020186614</v>
      </c>
      <c r="E35" s="533">
        <f>Baseline!AO34</f>
        <v>0.28020118317922604</v>
      </c>
      <c r="F35" s="533">
        <f>Baseline!AP34</f>
        <v>0.49378815453891239</v>
      </c>
      <c r="G35" s="533">
        <f>Baseline!AQ34</f>
        <v>0.87018455381391113</v>
      </c>
      <c r="H35" s="533">
        <f>Baseline!AR34</f>
        <v>1.9719612778142819</v>
      </c>
      <c r="I35" s="533">
        <f>IF((D35+'Non travel METs'!C35)&gt;2.5,(D35+'Non travel METs'!C35),0.1)</f>
        <v>6.6236468202018663</v>
      </c>
      <c r="J35" s="533">
        <f>IF((E35+'Non travel METs'!D35)&gt;2.5,(E35+'Non travel METs'!D35),0.1)</f>
        <v>3.4052011831792259</v>
      </c>
      <c r="K35" s="533">
        <f>IF((F35+'Non travel METs'!E35)&gt;2.5,(F35+'Non travel METs'!E35),0.1)</f>
        <v>0.1</v>
      </c>
      <c r="L35" s="533">
        <f>IF((G35+'Non travel METs'!F35)&gt;2.5,(G35+'Non travel METs'!F35),0.1)</f>
        <v>0.1</v>
      </c>
      <c r="M35" s="533">
        <f>IF((H35+'Non travel METs'!G35)&gt;2.5,(H35+'Non travel METs'!G35),0.1)</f>
        <v>0.1</v>
      </c>
      <c r="N35" s="541">
        <f t="shared" si="31"/>
        <v>0.94314906211536642</v>
      </c>
      <c r="O35" s="534">
        <f>IF(('user page'!$N$39=0),$N35^(I35^0.25),IF(('user page'!$N$39=1),$N35^(I35^0.5),IF(('user page'!$N$39=2),$N35^(I35^0.375),IF(('user page'!$N$39=4),$N35^(I35),IF(('user page'!$N$39=3),$N35^(LN(1+I35)),"")))))</f>
        <v>0.86015916414863747</v>
      </c>
      <c r="P35" s="534">
        <f>IF(('user page'!$N$39=0),$N35^(J35^0.25),IF(('user page'!$N$39=1),$N35^(J35^0.5),IF(('user page'!$N$39=2),$N35^(J35^0.375),IF(('user page'!$N$39=4),$N35^(J35),IF(('user page'!$N$39=3),$N35^(LN(1+J35)),"")))))</f>
        <v>0.89762020620468119</v>
      </c>
      <c r="Q35" s="534">
        <f>IF(('user page'!$N$39=0),$N35^(K35^0.25),IF(('user page'!$N$39=1),$N35^(K35^0.5),IF(('user page'!$N$39=2),$N35^(K35^0.375),IF(('user page'!$N$39=4),$N35^(K35),IF(('user page'!$N$39=3),$N35^(LN(1+K35)),"")))))</f>
        <v>0.98166113424264856</v>
      </c>
      <c r="R35" s="534">
        <f>IF(('user page'!$N$39=0),$N35^(L35^0.25),IF(('user page'!$N$39=1),$N35^(L35^0.5),IF(('user page'!$N$39=2),$N35^(L35^0.375),IF(('user page'!$N$39=4),$N35^(L35),IF(('user page'!$N$39=3),$N35^(LN(1+L35)),"")))))</f>
        <v>0.98166113424264856</v>
      </c>
      <c r="S35" s="534">
        <f>IF(('user page'!$N$39=0),$N35^(M35^0.25),IF(('user page'!$N$39=1),$N35^(M35^0.5),IF(('user page'!$N$39=2),$N35^(M35^0.375),IF(('user page'!$N$39=4),$N35^(M35),IF(('user page'!$N$39=3),$N35^(LN(1+M35)),"")))))</f>
        <v>0.98166113424264856</v>
      </c>
      <c r="T35" s="535">
        <f t="shared" si="32"/>
        <v>1</v>
      </c>
      <c r="U35" s="535">
        <f t="shared" si="32"/>
        <v>1.0435512909905711</v>
      </c>
      <c r="V35" s="535">
        <f t="shared" si="32"/>
        <v>1.1412552178227044</v>
      </c>
      <c r="W35" s="535">
        <f t="shared" si="32"/>
        <v>1.1412552178227044</v>
      </c>
      <c r="X35" s="535">
        <f t="shared" si="32"/>
        <v>1.1412552178227044</v>
      </c>
      <c r="Y35" s="535"/>
      <c r="Z35" s="537"/>
      <c r="AA35" s="537"/>
      <c r="AB35" s="533">
        <f>GBDUS!O103/($T35+$W35+$X35+U35+V35)</f>
        <v>0.49011662202535339</v>
      </c>
      <c r="AC35" s="537">
        <f t="shared" si="33"/>
        <v>0.51146183365049525</v>
      </c>
      <c r="AD35" s="537">
        <f t="shared" si="34"/>
        <v>0.55934815222807277</v>
      </c>
      <c r="AE35" s="537">
        <f t="shared" si="35"/>
        <v>0.55934815222807277</v>
      </c>
      <c r="AF35" s="537">
        <f t="shared" si="35"/>
        <v>0.55934815222807277</v>
      </c>
      <c r="AG35" s="533">
        <f>GBDUS!P103/($T35+$W35+$X35+U35+V35)</f>
        <v>1.5351531458421039</v>
      </c>
      <c r="AH35" s="537">
        <f t="shared" si="25"/>
        <v>1.6020110472117641</v>
      </c>
      <c r="AI35" s="537">
        <f t="shared" si="26"/>
        <v>1.7520015378492404</v>
      </c>
      <c r="AJ35" s="537">
        <f t="shared" si="27"/>
        <v>1.7520015378492404</v>
      </c>
      <c r="AK35" s="537">
        <f t="shared" si="28"/>
        <v>1.7520015378492404</v>
      </c>
      <c r="AL35" s="533">
        <f>GBDUS!Q103/($T35+$W35+$X35+U35+V35)</f>
        <v>1.7830931267397221</v>
      </c>
      <c r="AM35" s="537">
        <f t="shared" si="36"/>
        <v>1.860749134365651</v>
      </c>
      <c r="AN35" s="537">
        <f t="shared" si="37"/>
        <v>2.0349643347555086</v>
      </c>
      <c r="AO35" s="537">
        <f t="shared" si="38"/>
        <v>2.0349643347555086</v>
      </c>
      <c r="AP35" s="537">
        <f t="shared" si="38"/>
        <v>2.0349643347555086</v>
      </c>
      <c r="AQ35" s="534"/>
      <c r="AR35" s="534"/>
      <c r="AS35" s="534"/>
      <c r="AT35" s="534"/>
      <c r="AU35" s="532"/>
      <c r="AV35" s="532"/>
      <c r="AW35" s="532"/>
      <c r="AX35" s="532"/>
      <c r="AY35" s="532"/>
    </row>
  </sheetData>
  <mergeCells count="8">
    <mergeCell ref="AG1:AK1"/>
    <mergeCell ref="AL1:AP1"/>
    <mergeCell ref="AQ1:AT1"/>
    <mergeCell ref="D1:H1"/>
    <mergeCell ref="I1:M1"/>
    <mergeCell ref="O1:S1"/>
    <mergeCell ref="T1:X1"/>
    <mergeCell ref="AB1:AF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
  <sheetViews>
    <sheetView zoomScale="110" zoomScaleNormal="110" workbookViewId="0"/>
  </sheetViews>
  <sheetFormatPr defaultColWidth="9.140625" defaultRowHeight="15" x14ac:dyDescent="0.25"/>
  <cols>
    <col min="1" max="1" width="4.42578125" style="10" customWidth="1"/>
    <col min="2" max="2" width="3.7109375" style="10" customWidth="1"/>
    <col min="3" max="3" width="5.42578125" style="10" customWidth="1"/>
    <col min="4" max="7" width="1.85546875" style="10" customWidth="1"/>
    <col min="8" max="13" width="2.7109375" style="10" customWidth="1"/>
    <col min="14" max="14" width="4.28515625" style="10" customWidth="1"/>
    <col min="15" max="24" width="3.140625" style="10" customWidth="1"/>
    <col min="25" max="25" width="3.28515625" style="10" customWidth="1"/>
    <col min="26" max="26" width="7.28515625" style="12" customWidth="1"/>
    <col min="27" max="31" width="1.85546875" style="10" customWidth="1"/>
    <col min="32" max="36" width="2.7109375" style="10" customWidth="1"/>
    <col min="37" max="41" width="5.42578125" style="12" customWidth="1"/>
    <col min="42" max="42" width="6.42578125" style="11" customWidth="1"/>
    <col min="43" max="43" width="4.85546875" style="10" customWidth="1"/>
    <col min="44" max="44" width="5.28515625" style="10" customWidth="1"/>
    <col min="45" max="45" width="5.140625" style="10" customWidth="1"/>
    <col min="46" max="49" width="5.5703125" style="13" customWidth="1"/>
    <col min="50" max="16384" width="9.140625" style="10"/>
  </cols>
  <sheetData>
    <row r="1" spans="1:49" s="13" customFormat="1" ht="46.5" customHeight="1" x14ac:dyDescent="0.2">
      <c r="A1" s="20"/>
      <c r="B1" s="20"/>
      <c r="C1" s="20"/>
      <c r="D1" s="1344" t="s">
        <v>57</v>
      </c>
      <c r="E1" s="1344"/>
      <c r="F1" s="1344"/>
      <c r="G1" s="1344"/>
      <c r="H1" s="1344"/>
      <c r="I1" s="1344" t="s">
        <v>56</v>
      </c>
      <c r="J1" s="1344"/>
      <c r="K1" s="1344"/>
      <c r="L1" s="1344"/>
      <c r="M1" s="1344"/>
      <c r="N1" s="29"/>
      <c r="O1" s="1344" t="s">
        <v>55</v>
      </c>
      <c r="P1" s="1344"/>
      <c r="Q1" s="1344"/>
      <c r="R1" s="1344"/>
      <c r="S1" s="1344"/>
      <c r="T1" s="1344" t="s">
        <v>53</v>
      </c>
      <c r="U1" s="1344"/>
      <c r="V1" s="1344"/>
      <c r="W1" s="1344"/>
      <c r="X1" s="1344"/>
      <c r="Y1" s="25" t="s">
        <v>76</v>
      </c>
      <c r="Z1" s="147" t="s">
        <v>75</v>
      </c>
      <c r="AA1" s="1344" t="s">
        <v>52</v>
      </c>
      <c r="AB1" s="1344"/>
      <c r="AC1" s="1344"/>
      <c r="AD1" s="1344"/>
      <c r="AE1" s="1344"/>
      <c r="AF1" s="1344" t="s">
        <v>51</v>
      </c>
      <c r="AG1" s="1344"/>
      <c r="AH1" s="1344"/>
      <c r="AI1" s="1344"/>
      <c r="AJ1" s="1344"/>
      <c r="AK1" s="1345" t="s">
        <v>50</v>
      </c>
      <c r="AL1" s="1345"/>
      <c r="AM1" s="1345"/>
      <c r="AN1" s="1345"/>
      <c r="AO1" s="1345"/>
      <c r="AP1" s="1346" t="s">
        <v>49</v>
      </c>
      <c r="AQ1" s="1346"/>
      <c r="AR1" s="1346"/>
      <c r="AS1" s="1346"/>
    </row>
    <row r="2" spans="1:49" s="23" customFormat="1" ht="28.9" customHeight="1" x14ac:dyDescent="0.2">
      <c r="A2" s="29" t="s">
        <v>48</v>
      </c>
      <c r="B2" s="29" t="s">
        <v>47</v>
      </c>
      <c r="C2" s="29" t="s">
        <v>46</v>
      </c>
      <c r="D2" s="25">
        <v>1</v>
      </c>
      <c r="E2" s="25">
        <v>2</v>
      </c>
      <c r="F2" s="146">
        <v>3</v>
      </c>
      <c r="G2" s="146">
        <v>4</v>
      </c>
      <c r="H2" s="25">
        <v>5</v>
      </c>
      <c r="I2" s="32">
        <v>1</v>
      </c>
      <c r="J2" s="32">
        <v>2</v>
      </c>
      <c r="K2" s="146">
        <v>3</v>
      </c>
      <c r="L2" s="146">
        <v>4</v>
      </c>
      <c r="M2" s="32">
        <v>5</v>
      </c>
      <c r="N2" s="25" t="s">
        <v>45</v>
      </c>
      <c r="O2" s="29">
        <v>1</v>
      </c>
      <c r="P2" s="29">
        <v>2</v>
      </c>
      <c r="Q2" s="29">
        <v>3</v>
      </c>
      <c r="R2" s="29">
        <v>4</v>
      </c>
      <c r="S2" s="29">
        <v>5</v>
      </c>
      <c r="T2" s="146">
        <v>1</v>
      </c>
      <c r="U2" s="146">
        <v>2</v>
      </c>
      <c r="V2" s="146">
        <v>3</v>
      </c>
      <c r="W2" s="146">
        <v>4</v>
      </c>
      <c r="X2" s="146">
        <v>5</v>
      </c>
      <c r="Y2" s="29"/>
      <c r="Z2" s="147"/>
      <c r="AA2" s="146">
        <v>1</v>
      </c>
      <c r="AB2" s="146">
        <v>2</v>
      </c>
      <c r="AC2" s="146">
        <v>3</v>
      </c>
      <c r="AD2" s="146">
        <v>4</v>
      </c>
      <c r="AE2" s="146">
        <v>5</v>
      </c>
      <c r="AF2" s="146">
        <v>1</v>
      </c>
      <c r="AG2" s="146">
        <v>2</v>
      </c>
      <c r="AH2" s="146">
        <v>3</v>
      </c>
      <c r="AI2" s="146">
        <v>4</v>
      </c>
      <c r="AJ2" s="146">
        <v>5</v>
      </c>
      <c r="AK2" s="146">
        <v>1</v>
      </c>
      <c r="AL2" s="146">
        <v>2</v>
      </c>
      <c r="AM2" s="146">
        <v>3</v>
      </c>
      <c r="AN2" s="146">
        <v>4</v>
      </c>
      <c r="AO2" s="146">
        <v>5</v>
      </c>
      <c r="AP2" s="26" t="s">
        <v>44</v>
      </c>
      <c r="AQ2" s="25" t="s">
        <v>43</v>
      </c>
      <c r="AR2" s="25" t="s">
        <v>42</v>
      </c>
      <c r="AS2" s="25" t="s">
        <v>29</v>
      </c>
      <c r="AT2" s="13"/>
      <c r="AU2" s="13"/>
      <c r="AV2" s="13"/>
      <c r="AW2" s="13"/>
    </row>
    <row r="3" spans="1:49" s="13" customFormat="1" ht="12.75" x14ac:dyDescent="0.2">
      <c r="A3" s="20">
        <v>1</v>
      </c>
      <c r="B3" s="20">
        <v>1</v>
      </c>
      <c r="C3" s="20" t="s">
        <v>2</v>
      </c>
      <c r="D3" s="17"/>
      <c r="E3" s="17"/>
      <c r="F3" s="17"/>
      <c r="G3" s="17"/>
      <c r="H3" s="17"/>
      <c r="I3" s="17"/>
      <c r="J3" s="17"/>
      <c r="K3" s="17"/>
      <c r="L3" s="17"/>
      <c r="M3" s="17"/>
      <c r="N3" s="15"/>
      <c r="O3" s="15"/>
      <c r="P3" s="15"/>
      <c r="Q3" s="15"/>
      <c r="R3" s="15"/>
      <c r="S3" s="15"/>
      <c r="T3" s="18"/>
      <c r="U3" s="18"/>
      <c r="V3" s="18"/>
      <c r="W3" s="18"/>
      <c r="X3" s="18"/>
      <c r="Y3" s="18"/>
      <c r="Z3" s="16"/>
      <c r="AA3" s="15"/>
      <c r="AB3" s="18"/>
      <c r="AC3" s="18"/>
      <c r="AD3" s="18"/>
      <c r="AE3" s="18"/>
      <c r="AF3" s="15"/>
      <c r="AG3" s="15"/>
      <c r="AH3" s="15"/>
      <c r="AI3" s="18"/>
      <c r="AJ3" s="18"/>
      <c r="AK3" s="17"/>
      <c r="AL3" s="17"/>
      <c r="AM3" s="17"/>
      <c r="AN3" s="16"/>
      <c r="AO3" s="16"/>
      <c r="AP3" s="17"/>
      <c r="AQ3" s="17"/>
      <c r="AR3" s="17"/>
      <c r="AS3" s="17"/>
    </row>
    <row r="4" spans="1:49" s="13" customFormat="1" ht="12.75" x14ac:dyDescent="0.2">
      <c r="A4" s="20">
        <v>1</v>
      </c>
      <c r="B4" s="20">
        <v>1</v>
      </c>
      <c r="C4" s="20" t="s">
        <v>41</v>
      </c>
      <c r="D4" s="17"/>
      <c r="E4" s="17"/>
      <c r="F4" s="17"/>
      <c r="G4" s="17"/>
      <c r="H4" s="17"/>
      <c r="I4" s="17"/>
      <c r="J4" s="17"/>
      <c r="K4" s="17"/>
      <c r="L4" s="17"/>
      <c r="M4" s="17"/>
      <c r="N4" s="15"/>
      <c r="O4" s="15"/>
      <c r="P4" s="15"/>
      <c r="Q4" s="15"/>
      <c r="R4" s="15"/>
      <c r="S4" s="15"/>
      <c r="T4" s="18"/>
      <c r="U4" s="18"/>
      <c r="V4" s="18"/>
      <c r="W4" s="18"/>
      <c r="X4" s="18"/>
      <c r="Y4" s="18"/>
      <c r="Z4" s="16"/>
      <c r="AA4" s="15"/>
      <c r="AB4" s="18"/>
      <c r="AC4" s="18"/>
      <c r="AD4" s="18"/>
      <c r="AE4" s="18"/>
      <c r="AF4" s="15"/>
      <c r="AG4" s="15"/>
      <c r="AH4" s="15"/>
      <c r="AI4" s="18"/>
      <c r="AJ4" s="18"/>
      <c r="AK4" s="17"/>
      <c r="AL4" s="17"/>
      <c r="AM4" s="17"/>
      <c r="AN4" s="16"/>
      <c r="AO4" s="16"/>
      <c r="AP4" s="17"/>
      <c r="AQ4" s="17"/>
      <c r="AR4" s="17"/>
      <c r="AS4" s="17"/>
    </row>
    <row r="5" spans="1:49" s="13" customFormat="1" ht="12.75" x14ac:dyDescent="0.2">
      <c r="A5" s="20">
        <v>1</v>
      </c>
      <c r="B5" s="20">
        <v>1</v>
      </c>
      <c r="C5" s="20" t="s">
        <v>40</v>
      </c>
      <c r="D5" s="17">
        <f>Scenario!AN21</f>
        <v>1.9649930808034388</v>
      </c>
      <c r="E5" s="17">
        <f>Scenario!AO21</f>
        <v>4.4529522496511911</v>
      </c>
      <c r="F5" s="17">
        <f>Scenario!AP21</f>
        <v>7.8472726226809844</v>
      </c>
      <c r="G5" s="17">
        <f>Scenario!AQ21</f>
        <v>13.828957545974617</v>
      </c>
      <c r="H5" s="17">
        <f>Scenario!AR21</f>
        <v>31.338373766435872</v>
      </c>
      <c r="I5" s="17">
        <f>IF((D5+'Non travel METs'!C5)&gt;2.5,(D5+'Non travel METs'!C5),0.1)</f>
        <v>59.764993080803436</v>
      </c>
      <c r="J5" s="17">
        <f>IF((E5+'Non travel METs'!D5)&gt;2.5,(E5+'Non travel METs'!D5),0.1)</f>
        <v>45.45295224965119</v>
      </c>
      <c r="K5" s="17">
        <f>IF((F5+'Non travel METs'!E5)&gt;2.5,(F5+'Non travel METs'!E5),0.1)</f>
        <v>53.347272622680983</v>
      </c>
      <c r="L5" s="17">
        <f>IF((G5+'Non travel METs'!F5)&gt;2.5,(G5+'Non travel METs'!F5),0.1)</f>
        <v>51.753957545974615</v>
      </c>
      <c r="M5" s="17">
        <f>IF((H5+'Non travel METs'!G5)&gt;2.5,(H5+'Non travel METs'!G5),0.1)</f>
        <v>72.338373766435865</v>
      </c>
      <c r="N5" s="19">
        <f>'Phy activity RRs'!$L$4</f>
        <v>0.97795094343237232</v>
      </c>
      <c r="O5" s="15">
        <f>IF(('user page'!$N$39=0),$N5^(I5^0.25),IF(('user page'!$N$39=1),$N5^(I5^0.5),IF(('user page'!$N$39=2),$N5^(I5^0.375),IF(('user page'!$N$39=4),$N5^(I5),IF(('user page'!$N$39=3),$N5^(LN(1+I5)),"")))))</f>
        <v>0.84167296429587557</v>
      </c>
      <c r="P5" s="15">
        <f>IF(('user page'!$N$39=0),$N5^(J5^0.25),IF(('user page'!$N$39=1),$N5^(J5^0.5),IF(('user page'!$N$39=2),$N5^(J5^0.375),IF(('user page'!$N$39=4),$N5^(J5),IF(('user page'!$N$39=3),$N5^(LN(1+J5)),"")))))</f>
        <v>0.86043653620748262</v>
      </c>
      <c r="Q5" s="15">
        <f>IF(('user page'!$N$39=0),$N5^(K5^0.25),IF(('user page'!$N$39=1),$N5^(K5^0.5),IF(('user page'!$N$39=2),$N5^(K5^0.375),IF(('user page'!$N$39=4),$N5^(K5),IF(('user page'!$N$39=3),$N5^(LN(1+K5)),"")))))</f>
        <v>0.84972155873562016</v>
      </c>
      <c r="R5" s="15">
        <f>IF(('user page'!$N$39=0),$N5^(L5^0.25),IF(('user page'!$N$39=1),$N5^(L5^0.5),IF(('user page'!$N$39=2),$N5^(L5^0.375),IF(('user page'!$N$39=4),$N5^(L5),IF(('user page'!$N$39=3),$N5^(LN(1+L5)),"")))))</f>
        <v>0.85180617703858319</v>
      </c>
      <c r="S5" s="15">
        <f>IF(('user page'!$N$39=0),$N5^(M5^0.25),IF(('user page'!$N$39=1),$N5^(M5^0.5),IF(('user page'!$N$39=2),$N5^(M5^0.375),IF(('user page'!$N$39=4),$N5^(M5),IF(('user page'!$N$39=3),$N5^(LN(1+M5)),"")))))</f>
        <v>0.8272652351849431</v>
      </c>
      <c r="T5" s="18">
        <f t="shared" ref="T5:X10" si="0">O5/$O5</f>
        <v>1</v>
      </c>
      <c r="U5" s="18">
        <f t="shared" si="0"/>
        <v>1.022293185961253</v>
      </c>
      <c r="V5" s="18">
        <f t="shared" si="0"/>
        <v>1.009562614912406</v>
      </c>
      <c r="W5" s="18">
        <f t="shared" si="0"/>
        <v>1.0120393706018405</v>
      </c>
      <c r="X5" s="18">
        <f t="shared" si="0"/>
        <v>0.98288203408911246</v>
      </c>
      <c r="Y5" s="213">
        <f>1-Z5</f>
        <v>1.2343367658936844E-2</v>
      </c>
      <c r="Z5" s="344">
        <f t="shared" ref="Z5:Z10" si="1">SUM(O5:S5)/SUM(O22:S22)</f>
        <v>0.98765663234106316</v>
      </c>
      <c r="AA5" s="17">
        <f>Z5*GBDUS!$O124/($T5+$W5+$X5+U5+V5)</f>
        <v>0</v>
      </c>
      <c r="AB5" s="16">
        <f t="shared" ref="AB5:AE10" si="2">$AA5*U5</f>
        <v>0</v>
      </c>
      <c r="AC5" s="16">
        <f t="shared" si="2"/>
        <v>0</v>
      </c>
      <c r="AD5" s="16">
        <f t="shared" si="2"/>
        <v>0</v>
      </c>
      <c r="AE5" s="16">
        <f t="shared" si="2"/>
        <v>0</v>
      </c>
      <c r="AF5" s="17">
        <f>Z5*GBDUS!$P124/($T5+$W5+$X5+U5+V5)</f>
        <v>0</v>
      </c>
      <c r="AG5" s="16">
        <f t="shared" ref="AG5:AJ10" si="3">$AF5*U5</f>
        <v>0</v>
      </c>
      <c r="AH5" s="16">
        <f t="shared" si="3"/>
        <v>0</v>
      </c>
      <c r="AI5" s="16">
        <f t="shared" si="3"/>
        <v>0</v>
      </c>
      <c r="AJ5" s="16">
        <f t="shared" si="3"/>
        <v>0</v>
      </c>
      <c r="AK5" s="17">
        <f>Z5*GBDUS!$Q124/($T5+$W5+$X5+U5+V5)</f>
        <v>0.62406994026816676</v>
      </c>
      <c r="AL5" s="16">
        <f t="shared" ref="AL5:AO10" si="4">$AK5*U5</f>
        <v>0.63798244749939303</v>
      </c>
      <c r="AM5" s="16">
        <f t="shared" si="4"/>
        <v>0.63003768078535938</v>
      </c>
      <c r="AN5" s="16">
        <f t="shared" si="4"/>
        <v>0.63158334956052364</v>
      </c>
      <c r="AO5" s="16">
        <f t="shared" si="4"/>
        <v>0.6133871323046467</v>
      </c>
      <c r="AP5" s="17">
        <f>AA5+AB5+AE5+AC5+AD5-AC22-AD22-AA22-AB22-AE22</f>
        <v>0</v>
      </c>
      <c r="AQ5" s="17">
        <f>AF5+AG5+AJ5+AH5+AI5-AH22-AI22-AG22-AJ22-AF22</f>
        <v>0</v>
      </c>
      <c r="AR5" s="17">
        <f>AK5+AL5+AO5-AK22+AM5+AN5-AM22-AN22-AL22-AO22</f>
        <v>-3.9205823637688764E-2</v>
      </c>
      <c r="AS5" s="17">
        <f t="shared" ref="AS5:AS10" si="5">AQ5+AR5</f>
        <v>-3.9205823637688764E-2</v>
      </c>
    </row>
    <row r="6" spans="1:49" s="13" customFormat="1" ht="12.75" x14ac:dyDescent="0.2">
      <c r="A6" s="20">
        <v>1</v>
      </c>
      <c r="B6" s="20">
        <v>1</v>
      </c>
      <c r="C6" s="20" t="s">
        <v>39</v>
      </c>
      <c r="D6" s="17">
        <f>Scenario!AN22</f>
        <v>1.1398546847573734</v>
      </c>
      <c r="E6" s="17">
        <f>Scenario!AO22</f>
        <v>2.5830719366657791</v>
      </c>
      <c r="F6" s="17">
        <f>Scenario!AP22</f>
        <v>4.5520518870600304</v>
      </c>
      <c r="G6" s="17">
        <f>Scenario!AQ22</f>
        <v>8.0219122388181017</v>
      </c>
      <c r="H6" s="17">
        <f>Scenario!AR22</f>
        <v>18.178787752140046</v>
      </c>
      <c r="I6" s="17">
        <f>IF((D6+'Non travel METs'!C6)&gt;2.5,(D6+'Non travel METs'!C6),0.1)</f>
        <v>52.389854684757374</v>
      </c>
      <c r="J6" s="17">
        <f>IF((E6+'Non travel METs'!D6)&gt;2.5,(E6+'Non travel METs'!D6),0.1)</f>
        <v>53.833071936665782</v>
      </c>
      <c r="K6" s="17">
        <f>IF((F6+'Non travel METs'!E6)&gt;2.5,(F6+'Non travel METs'!E6),0.1)</f>
        <v>69.302051887060031</v>
      </c>
      <c r="L6" s="17">
        <f>IF((G6+'Non travel METs'!F6)&gt;2.5,(G6+'Non travel METs'!F6),0.1)</f>
        <v>54.146912238818103</v>
      </c>
      <c r="M6" s="17">
        <f>IF((H6+'Non travel METs'!G6)&gt;2.5,(H6+'Non travel METs'!G6),0.1)</f>
        <v>62.978787752140043</v>
      </c>
      <c r="N6" s="19">
        <f>'Phy activity RRs'!$K$4</f>
        <v>0.95590188686474464</v>
      </c>
      <c r="O6" s="15">
        <f>IF(('user page'!$N$39=0),$N6^(I6^0.25),IF(('user page'!$N$39=1),$N6^(I6^0.5),IF(('user page'!$N$39=2),$N6^(I6^0.375),IF(('user page'!$N$39=4),$N6^(I6),IF(('user page'!$N$39=3),$N6^(LN(1+I6)),"")))))</f>
        <v>0.72148941487885443</v>
      </c>
      <c r="P6" s="15">
        <f>IF(('user page'!$N$39=0),$N6^(J6^0.25),IF(('user page'!$N$39=1),$N6^(J6^0.5),IF(('user page'!$N$39=2),$N6^(J6^0.375),IF(('user page'!$N$39=4),$N6^(J6),IF(('user page'!$N$39=3),$N6^(LN(1+J6)),"")))))</f>
        <v>0.71827460905591545</v>
      </c>
      <c r="Q6" s="15">
        <f>IF(('user page'!$N$39=0),$N6^(K6^0.25),IF(('user page'!$N$39=1),$N6^(K6^0.5),IF(('user page'!$N$39=2),$N6^(K6^0.375),IF(('user page'!$N$39=4),$N6^(K6),IF(('user page'!$N$39=3),$N6^(LN(1+K6)),"")))))</f>
        <v>0.6869815648817359</v>
      </c>
      <c r="R6" s="15">
        <f>IF(('user page'!$N$39=0),$N6^(L6^0.25),IF(('user page'!$N$39=1),$N6^(L6^0.5),IF(('user page'!$N$39=2),$N6^(L6^0.375),IF(('user page'!$N$39=4),$N6^(L6),IF(('user page'!$N$39=3),$N6^(LN(1+L6)),"")))))</f>
        <v>0.71758312770862909</v>
      </c>
      <c r="S6" s="15">
        <f>IF(('user page'!$N$39=0),$N6^(M6^0.25),IF(('user page'!$N$39=1),$N6^(M6^0.5),IF(('user page'!$N$39=2),$N6^(M6^0.375),IF(('user page'!$N$39=4),$N6^(M6),IF(('user page'!$N$39=3),$N6^(LN(1+M6)),"")))))</f>
        <v>0.69913607648049558</v>
      </c>
      <c r="T6" s="18">
        <f t="shared" si="0"/>
        <v>1</v>
      </c>
      <c r="U6" s="18">
        <f t="shared" si="0"/>
        <v>0.99554420930280896</v>
      </c>
      <c r="V6" s="18">
        <f t="shared" si="0"/>
        <v>0.95217137038259558</v>
      </c>
      <c r="W6" s="18">
        <f t="shared" si="0"/>
        <v>0.99458580113627693</v>
      </c>
      <c r="X6" s="18">
        <f t="shared" si="0"/>
        <v>0.96901778745830636</v>
      </c>
      <c r="Y6" s="213">
        <f t="shared" ref="Y6:Y18" si="6">1-Z6</f>
        <v>1.4284677316725114E-2</v>
      </c>
      <c r="Z6" s="344">
        <f t="shared" si="1"/>
        <v>0.98571532268327489</v>
      </c>
      <c r="AA6" s="17">
        <f>Z6*GBDUS!$O125/($T6+$W6+$X6+U6+V6)</f>
        <v>4.7178358935914148E-5</v>
      </c>
      <c r="AB6" s="16">
        <f t="shared" si="2"/>
        <v>4.6968142043058761E-5</v>
      </c>
      <c r="AC6" s="16">
        <f t="shared" si="2"/>
        <v>4.4921882680411346E-5</v>
      </c>
      <c r="AD6" s="16">
        <f t="shared" si="2"/>
        <v>4.6922925918571005E-5</v>
      </c>
      <c r="AE6" s="16">
        <f t="shared" si="2"/>
        <v>4.5716668991993347E-5</v>
      </c>
      <c r="AF6" s="17">
        <f>Z6*GBDUS!$P125/($T6+$W6+$X6+U6+V6)</f>
        <v>1.1578128878938058E-3</v>
      </c>
      <c r="AG6" s="16">
        <f t="shared" si="3"/>
        <v>1.1526539159988408E-3</v>
      </c>
      <c r="AH6" s="16">
        <f t="shared" si="3"/>
        <v>1.1024362841124756E-3</v>
      </c>
      <c r="AI6" s="16">
        <f t="shared" si="3"/>
        <v>1.1515442586717672E-3</v>
      </c>
      <c r="AJ6" s="16">
        <f t="shared" si="3"/>
        <v>1.1219412829175678E-3</v>
      </c>
      <c r="AK6" s="17">
        <f>Z6*GBDUS!$Q125/($T6+$W6+$X6+U6+V6)</f>
        <v>0.73605735757372326</v>
      </c>
      <c r="AL6" s="16">
        <f t="shared" si="4"/>
        <v>0.73277764004724721</v>
      </c>
      <c r="AM6" s="16">
        <f t="shared" si="4"/>
        <v>0.70085274284116428</v>
      </c>
      <c r="AN6" s="16">
        <f t="shared" si="4"/>
        <v>0.73207219666471257</v>
      </c>
      <c r="AO6" s="16">
        <f t="shared" si="4"/>
        <v>0.71325267207849674</v>
      </c>
      <c r="AP6" s="17">
        <f t="shared" ref="AP6:AP18" si="7">AA6+AB6+AE6+AC6+AD6-AC23-AD23-AA23-AB23-AE23</f>
        <v>-3.357839357282553E-6</v>
      </c>
      <c r="AQ6" s="17">
        <f t="shared" ref="AQ6:AQ18" si="8">AF6+AG6+AJ6+AH6+AI6-AH23-AI23-AG23-AJ23-AF23</f>
        <v>-8.2405360657411292E-5</v>
      </c>
      <c r="AR6" s="17">
        <f t="shared" ref="AR6:AR18" si="9">AK6+AL6+AO6-AK23+AM6+AN6-AM23-AN23-AL23-AO23</f>
        <v>-5.2387628993958102E-2</v>
      </c>
      <c r="AS6" s="17">
        <f t="shared" si="5"/>
        <v>-5.2470034354615516E-2</v>
      </c>
    </row>
    <row r="7" spans="1:49" s="13" customFormat="1" ht="12.75" x14ac:dyDescent="0.2">
      <c r="A7" s="20">
        <v>1</v>
      </c>
      <c r="B7" s="20">
        <v>1</v>
      </c>
      <c r="C7" s="20" t="s">
        <v>38</v>
      </c>
      <c r="D7" s="17">
        <f>Scenario!AN23</f>
        <v>1.1455500772835505</v>
      </c>
      <c r="E7" s="17">
        <f>Scenario!AO23</f>
        <v>2.5959785016862105</v>
      </c>
      <c r="F7" s="17">
        <f>Scenario!AP23</f>
        <v>4.5747966479870366</v>
      </c>
      <c r="G7" s="17">
        <f>Scenario!AQ23</f>
        <v>8.0619944875657499</v>
      </c>
      <c r="H7" s="17">
        <f>Scenario!AR23</f>
        <v>18.269619797034032</v>
      </c>
      <c r="I7" s="17">
        <f>IF((D7+'Non travel METs'!C7)&gt;2.5,(D7+'Non travel METs'!C7),0.1)</f>
        <v>59.420550077283551</v>
      </c>
      <c r="J7" s="17">
        <f>IF((E7+'Non travel METs'!D7)&gt;2.5,(E7+'Non travel METs'!D7),0.1)</f>
        <v>64.095978501686204</v>
      </c>
      <c r="K7" s="17">
        <f>IF((F7+'Non travel METs'!E7)&gt;2.5,(F7+'Non travel METs'!E7),0.1)</f>
        <v>58.299796647987037</v>
      </c>
      <c r="L7" s="17">
        <f>IF((G7+'Non travel METs'!F7)&gt;2.5,(G7+'Non travel METs'!F7),0.1)</f>
        <v>60.261994487565751</v>
      </c>
      <c r="M7" s="17">
        <f>IF((H7+'Non travel METs'!G7)&gt;2.5,(H7+'Non travel METs'!G7),0.1)</f>
        <v>64.969619797034028</v>
      </c>
      <c r="N7" s="19">
        <f>'Phy activity RRs'!$K$4</f>
        <v>0.95590188686474464</v>
      </c>
      <c r="O7" s="15">
        <f>IF(('user page'!$N$39=0),$N7^(I7^0.25),IF(('user page'!$N$39=1),$N7^(I7^0.5),IF(('user page'!$N$39=2),$N7^(I7^0.375),IF(('user page'!$N$39=4),$N7^(I7),IF(('user page'!$N$39=3),$N7^(LN(1+I7)),"")))))</f>
        <v>0.70634456015563496</v>
      </c>
      <c r="P7" s="15">
        <f>IF(('user page'!$N$39=0),$N7^(J7^0.25),IF(('user page'!$N$39=1),$N7^(J7^0.5),IF(('user page'!$N$39=2),$N7^(J7^0.375),IF(('user page'!$N$39=4),$N7^(J7),IF(('user page'!$N$39=3),$N7^(LN(1+J7)),"")))))</f>
        <v>0.69692990635568131</v>
      </c>
      <c r="Q7" s="15">
        <f>IF(('user page'!$N$39=0),$N7^(K7^0.25),IF(('user page'!$N$39=1),$N7^(K7^0.5),IF(('user page'!$N$39=2),$N7^(K7^0.375),IF(('user page'!$N$39=4),$N7^(K7),IF(('user page'!$N$39=3),$N7^(LN(1+K7)),"")))))</f>
        <v>0.70867524152096917</v>
      </c>
      <c r="R7" s="15">
        <f>IF(('user page'!$N$39=0),$N7^(L7^0.25),IF(('user page'!$N$39=1),$N7^(L7^0.5),IF(('user page'!$N$39=2),$N7^(L7^0.375),IF(('user page'!$N$39=4),$N7^(L7),IF(('user page'!$N$39=3),$N7^(LN(1+L7)),"")))))</f>
        <v>0.7046141130441661</v>
      </c>
      <c r="S7" s="15">
        <f>IF(('user page'!$N$39=0),$N7^(M7^0.25),IF(('user page'!$N$39=1),$N7^(M7^0.5),IF(('user page'!$N$39=2),$N7^(M7^0.375),IF(('user page'!$N$39=4),$N7^(M7),IF(('user page'!$N$39=3),$N7^(LN(1+M7)),"")))))</f>
        <v>0.69522284703411807</v>
      </c>
      <c r="T7" s="18">
        <f t="shared" si="0"/>
        <v>1</v>
      </c>
      <c r="U7" s="18">
        <f t="shared" si="0"/>
        <v>0.98667130132936931</v>
      </c>
      <c r="V7" s="18">
        <f t="shared" si="0"/>
        <v>1.0032996380191852</v>
      </c>
      <c r="W7" s="18">
        <f t="shared" si="0"/>
        <v>0.99755013741298215</v>
      </c>
      <c r="X7" s="18">
        <f t="shared" si="0"/>
        <v>0.98425454976383431</v>
      </c>
      <c r="Y7" s="213">
        <f t="shared" si="6"/>
        <v>1.4105843834375076E-2</v>
      </c>
      <c r="Z7" s="344">
        <f t="shared" si="1"/>
        <v>0.98589415616562492</v>
      </c>
      <c r="AA7" s="17">
        <f>Z7*GBDUS!$O126/($T7+$W7+$X7+U7+V7)</f>
        <v>3.5515664836064585E-4</v>
      </c>
      <c r="AB7" s="16">
        <f t="shared" si="2"/>
        <v>3.5042287241377563E-4</v>
      </c>
      <c r="AC7" s="16">
        <f t="shared" si="2"/>
        <v>3.5632853674034303E-4</v>
      </c>
      <c r="AD7" s="16">
        <f t="shared" si="2"/>
        <v>3.5428656337529644E-4</v>
      </c>
      <c r="AE7" s="16">
        <f t="shared" si="2"/>
        <v>3.4956454702783993E-4</v>
      </c>
      <c r="AF7" s="17">
        <f>Z7*GBDUS!$P126/($T7+$W7+$X7+U7+V7)</f>
        <v>5.2965749218783203E-3</v>
      </c>
      <c r="AG7" s="16">
        <f t="shared" si="3"/>
        <v>5.2259784707581851E-3</v>
      </c>
      <c r="AH7" s="16">
        <f t="shared" si="3"/>
        <v>5.3140517018620131E-3</v>
      </c>
      <c r="AI7" s="16">
        <f t="shared" si="3"/>
        <v>5.2835990411378734E-3</v>
      </c>
      <c r="AJ7" s="16">
        <f t="shared" si="3"/>
        <v>5.2131779650237617E-3</v>
      </c>
      <c r="AK7" s="17">
        <f>Z7*GBDUS!$Q126/($T7+$W7+$X7+U7+V7)</f>
        <v>1.0803048300266218</v>
      </c>
      <c r="AL7" s="16">
        <f t="shared" si="4"/>
        <v>1.06590577247477</v>
      </c>
      <c r="AM7" s="16">
        <f t="shared" si="4"/>
        <v>1.0838694449160871</v>
      </c>
      <c r="AN7" s="16">
        <f t="shared" si="4"/>
        <v>1.0776582316409649</v>
      </c>
      <c r="AO7" s="16">
        <f t="shared" si="4"/>
        <v>1.0632949440855481</v>
      </c>
      <c r="AP7" s="17">
        <f t="shared" si="7"/>
        <v>-2.5263891581057008E-5</v>
      </c>
      <c r="AQ7" s="17">
        <f t="shared" si="8"/>
        <v>-3.767692233692865E-4</v>
      </c>
      <c r="AR7" s="17">
        <f t="shared" si="9"/>
        <v>-7.6846946907130009E-2</v>
      </c>
      <c r="AS7" s="17">
        <f t="shared" si="5"/>
        <v>-7.722371613049929E-2</v>
      </c>
    </row>
    <row r="8" spans="1:49" s="13" customFormat="1" ht="12.75" x14ac:dyDescent="0.2">
      <c r="A8" s="20">
        <v>1</v>
      </c>
      <c r="B8" s="20">
        <v>1</v>
      </c>
      <c r="C8" s="20" t="s">
        <v>37</v>
      </c>
      <c r="D8" s="17">
        <f>Scenario!AN24</f>
        <v>1.038575484693584</v>
      </c>
      <c r="E8" s="17">
        <f>Scenario!AO24</f>
        <v>2.3535589443948219</v>
      </c>
      <c r="F8" s="17">
        <f>Scenario!AP24</f>
        <v>4.1475896517107627</v>
      </c>
      <c r="G8" s="17">
        <f>Scenario!AQ24</f>
        <v>7.3091434399581363</v>
      </c>
      <c r="H8" s="17">
        <f>Scenario!AR24</f>
        <v>16.563552839930118</v>
      </c>
      <c r="I8" s="17">
        <f>IF((D8+'Non travel METs'!C8)&gt;2.5,(D8+'Non travel METs'!C8),0.1)</f>
        <v>42.038575484693581</v>
      </c>
      <c r="J8" s="17">
        <f>IF((E8+'Non travel METs'!D8)&gt;2.5,(E8+'Non travel METs'!D8),0.1)</f>
        <v>33.60355894439482</v>
      </c>
      <c r="K8" s="17">
        <f>IF((F8+'Non travel METs'!E8)&gt;2.5,(F8+'Non travel METs'!E8),0.1)</f>
        <v>48.23092298504406</v>
      </c>
      <c r="L8" s="17">
        <f>IF((G8+'Non travel METs'!F8)&gt;2.5,(G8+'Non travel METs'!F8),0.1)</f>
        <v>49.809143439958135</v>
      </c>
      <c r="M8" s="17">
        <f>IF((H8+'Non travel METs'!G8)&gt;2.5,(H8+'Non travel METs'!G8),0.1)</f>
        <v>49.363552839930115</v>
      </c>
      <c r="N8" s="19">
        <f>'Phy activity RRs'!$K$4</f>
        <v>0.95590188686474464</v>
      </c>
      <c r="O8" s="15">
        <f>IF(('user page'!$N$39=0),$N8^(I8^0.25),IF(('user page'!$N$39=1),$N8^(I8^0.5),IF(('user page'!$N$39=2),$N8^(I8^0.375),IF(('user page'!$N$39=4),$N8^(I8),IF(('user page'!$N$39=3),$N8^(LN(1+I8)),"")))))</f>
        <v>0.74645824371055025</v>
      </c>
      <c r="P8" s="15">
        <f>IF(('user page'!$N$39=0),$N8^(J8^0.25),IF(('user page'!$N$39=1),$N8^(J8^0.5),IF(('user page'!$N$39=2),$N8^(J8^0.375),IF(('user page'!$N$39=4),$N8^(J8),IF(('user page'!$N$39=3),$N8^(LN(1+J8)),"")))))</f>
        <v>0.76994339386417787</v>
      </c>
      <c r="Q8" s="15">
        <f>IF(('user page'!$N$39=0),$N8^(K8^0.25),IF(('user page'!$N$39=1),$N8^(K8^0.5),IF(('user page'!$N$39=2),$N8^(K8^0.375),IF(('user page'!$N$39=4),$N8^(K8),IF(('user page'!$N$39=3),$N8^(LN(1+K8)),"")))))</f>
        <v>0.73109441066988157</v>
      </c>
      <c r="R8" s="15">
        <f>IF(('user page'!$N$39=0),$N8^(L8^0.25),IF(('user page'!$N$39=1),$N8^(L8^0.5),IF(('user page'!$N$39=2),$N8^(L8^0.375),IF(('user page'!$N$39=4),$N8^(L8),IF(('user page'!$N$39=3),$N8^(LN(1+L8)),"")))))</f>
        <v>0.72738750444158262</v>
      </c>
      <c r="S8" s="15">
        <f>IF(('user page'!$N$39=0),$N8^(M8^0.25),IF(('user page'!$N$39=1),$N8^(M8^0.5),IF(('user page'!$N$39=2),$N8^(M8^0.375),IF(('user page'!$N$39=4),$N8^(M8),IF(('user page'!$N$39=3),$N8^(LN(1+M8)),"")))))</f>
        <v>0.72842617620895744</v>
      </c>
      <c r="T8" s="18">
        <f t="shared" si="0"/>
        <v>1</v>
      </c>
      <c r="U8" s="18">
        <f t="shared" si="0"/>
        <v>1.0314621083650786</v>
      </c>
      <c r="V8" s="18">
        <f t="shared" si="0"/>
        <v>0.9794176925901481</v>
      </c>
      <c r="W8" s="18">
        <f t="shared" si="0"/>
        <v>0.97445169983766355</v>
      </c>
      <c r="X8" s="18">
        <f t="shared" si="0"/>
        <v>0.97584316650860781</v>
      </c>
      <c r="Y8" s="213">
        <f t="shared" si="6"/>
        <v>1.4681733222992821E-2</v>
      </c>
      <c r="Z8" s="344">
        <f t="shared" si="1"/>
        <v>0.98531826677700718</v>
      </c>
      <c r="AA8" s="17">
        <f>Z8*GBDUS!$O127/($T8+$W8+$X8+U8+V8)</f>
        <v>2.0470952529435757E-4</v>
      </c>
      <c r="AB8" s="16">
        <f t="shared" si="2"/>
        <v>2.1115011856253244E-4</v>
      </c>
      <c r="AC8" s="16">
        <f t="shared" si="2"/>
        <v>2.0049613091502425E-4</v>
      </c>
      <c r="AD8" s="16">
        <f t="shared" si="2"/>
        <v>1.9947954489604793E-4</v>
      </c>
      <c r="AE8" s="16">
        <f t="shared" si="2"/>
        <v>1.9976439137771984E-4</v>
      </c>
      <c r="AF8" s="17">
        <f>Z8*GBDUS!$P127/($T8+$W8+$X8+U8+V8)</f>
        <v>2.2989403195431491E-3</v>
      </c>
      <c r="AG8" s="16">
        <f t="shared" si="3"/>
        <v>2.3712698290014639E-3</v>
      </c>
      <c r="AH8" s="16">
        <f t="shared" si="3"/>
        <v>2.2516228231694089E-3</v>
      </c>
      <c r="AI8" s="16">
        <f t="shared" si="3"/>
        <v>2.240206302204163E-3</v>
      </c>
      <c r="AJ8" s="16">
        <f t="shared" si="3"/>
        <v>2.2434052010372975E-3</v>
      </c>
      <c r="AK8" s="17">
        <f>Z8*GBDUS!$Q127/($T8+$W8+$X8+U8+V8)</f>
        <v>0.65199875351203684</v>
      </c>
      <c r="AL8" s="16">
        <f t="shared" si="4"/>
        <v>0.67251200894892871</v>
      </c>
      <c r="AM8" s="16">
        <f t="shared" si="4"/>
        <v>0.63857911473641182</v>
      </c>
      <c r="AN8" s="16">
        <f t="shared" si="4"/>
        <v>0.63534129365184211</v>
      </c>
      <c r="AO8" s="16">
        <f t="shared" si="4"/>
        <v>0.63624852818685129</v>
      </c>
      <c r="AP8" s="17">
        <f t="shared" si="7"/>
        <v>-1.5132941833804147E-5</v>
      </c>
      <c r="AQ8" s="17">
        <f t="shared" si="8"/>
        <v>-1.6994680674975188E-4</v>
      </c>
      <c r="AR8" s="17">
        <f t="shared" si="9"/>
        <v>-4.8198339566383752E-2</v>
      </c>
      <c r="AS8" s="17">
        <f t="shared" si="5"/>
        <v>-4.8368286373133507E-2</v>
      </c>
    </row>
    <row r="9" spans="1:49" s="13" customFormat="1" ht="12.75" x14ac:dyDescent="0.2">
      <c r="A9" s="20">
        <v>1</v>
      </c>
      <c r="B9" s="20">
        <v>1</v>
      </c>
      <c r="C9" s="20" t="s">
        <v>36</v>
      </c>
      <c r="D9" s="17">
        <f>Scenario!AN25</f>
        <v>0.98635345122951901</v>
      </c>
      <c r="E9" s="17">
        <f>Scenario!AO25</f>
        <v>2.2352164302827178</v>
      </c>
      <c r="F9" s="17">
        <f>Scenario!AP25</f>
        <v>3.939039027534657</v>
      </c>
      <c r="G9" s="17">
        <f>Scenario!AQ25</f>
        <v>6.9416224085641023</v>
      </c>
      <c r="H9" s="17">
        <f>Scenario!AR25</f>
        <v>15.730698200629787</v>
      </c>
      <c r="I9" s="17">
        <f>IF((D9+'Non travel METs'!C9)&gt;2.5,(D9+'Non travel METs'!C9),0.1)</f>
        <v>5.3613534512295189</v>
      </c>
      <c r="J9" s="17">
        <f>IF((E9+'Non travel METs'!D9)&gt;2.5,(E9+'Non travel METs'!D9),0.1)</f>
        <v>7.2352164302827173</v>
      </c>
      <c r="K9" s="17">
        <f>IF((F9+'Non travel METs'!E9)&gt;2.5,(F9+'Non travel METs'!E9),0.1)</f>
        <v>12.272372360867987</v>
      </c>
      <c r="L9" s="17">
        <f>IF((G9+'Non travel METs'!F9)&gt;2.5,(G9+'Non travel METs'!F9),0.1)</f>
        <v>10.691622408564102</v>
      </c>
      <c r="M9" s="17">
        <f>IF((H9+'Non travel METs'!G9)&gt;2.5,(H9+'Non travel METs'!G9),0.1)</f>
        <v>28.855698200629789</v>
      </c>
      <c r="N9" s="19">
        <f>'Phy activity RRs'!$K$4</f>
        <v>0.95590188686474464</v>
      </c>
      <c r="O9" s="15">
        <f>IF(('user page'!$N$39=0),$N9^(I9^0.25),IF(('user page'!$N$39=1),$N9^(I9^0.5),IF(('user page'!$N$39=2),$N9^(I9^0.375),IF(('user page'!$N$39=4),$N9^(I9),IF(('user page'!$N$39=3),$N9^(LN(1+I9)),"")))))</f>
        <v>0.90084034844993066</v>
      </c>
      <c r="P9" s="15">
        <f>IF(('user page'!$N$39=0),$N9^(J9^0.25),IF(('user page'!$N$39=1),$N9^(J9^0.5),IF(('user page'!$N$39=2),$N9^(J9^0.375),IF(('user page'!$N$39=4),$N9^(J9),IF(('user page'!$N$39=3),$N9^(LN(1+J9)),"")))))</f>
        <v>0.88575792071212167</v>
      </c>
      <c r="Q9" s="15">
        <f>IF(('user page'!$N$39=0),$N9^(K9^0.25),IF(('user page'!$N$39=1),$N9^(K9^0.5),IF(('user page'!$N$39=2),$N9^(K9^0.375),IF(('user page'!$N$39=4),$N9^(K9),IF(('user page'!$N$39=3),$N9^(LN(1+K9)),"")))))</f>
        <v>0.85385484004193835</v>
      </c>
      <c r="R9" s="15">
        <f>IF(('user page'!$N$39=0),$N9^(L9^0.25),IF(('user page'!$N$39=1),$N9^(L9^0.5),IF(('user page'!$N$39=2),$N9^(L9^0.375),IF(('user page'!$N$39=4),$N9^(L9),IF(('user page'!$N$39=3),$N9^(LN(1+L9)),"")))))</f>
        <v>0.86288988689961188</v>
      </c>
      <c r="S9" s="15">
        <f>IF(('user page'!$N$39=0),$N9^(M9^0.25),IF(('user page'!$N$39=1),$N9^(M9^0.5),IF(('user page'!$N$39=2),$N9^(M9^0.375),IF(('user page'!$N$39=4),$N9^(M9),IF(('user page'!$N$39=3),$N9^(LN(1+M9)),"")))))</f>
        <v>0.78484743878831498</v>
      </c>
      <c r="T9" s="18">
        <f t="shared" si="0"/>
        <v>1</v>
      </c>
      <c r="U9" s="18">
        <f t="shared" si="0"/>
        <v>0.98325737988561324</v>
      </c>
      <c r="V9" s="18">
        <f t="shared" si="0"/>
        <v>0.94784257999895327</v>
      </c>
      <c r="W9" s="18">
        <f t="shared" si="0"/>
        <v>0.95787215613108379</v>
      </c>
      <c r="X9" s="18">
        <f t="shared" si="0"/>
        <v>0.87123921584861974</v>
      </c>
      <c r="Y9" s="213">
        <f t="shared" si="6"/>
        <v>2.4862577260333807E-2</v>
      </c>
      <c r="Z9" s="344">
        <f t="shared" si="1"/>
        <v>0.97513742273966619</v>
      </c>
      <c r="AA9" s="17">
        <f>Z9*GBDUS!$O128/($T9+$W9+$X9+U9+V9)</f>
        <v>1.2842004220904072E-3</v>
      </c>
      <c r="AB9" s="16">
        <f t="shared" si="2"/>
        <v>1.2626995422726124E-3</v>
      </c>
      <c r="AC9" s="16">
        <f t="shared" si="2"/>
        <v>1.2172198413099163E-3</v>
      </c>
      <c r="AD9" s="16">
        <f t="shared" si="2"/>
        <v>1.2300998272121862E-3</v>
      </c>
      <c r="AE9" s="16">
        <f t="shared" si="2"/>
        <v>1.1188457687345129E-3</v>
      </c>
      <c r="AF9" s="17">
        <f>Z9*GBDUS!$P128/($T9+$W9+$X9+U9+V9)</f>
        <v>8.9412312467358167E-3</v>
      </c>
      <c r="AG9" s="16">
        <f t="shared" si="3"/>
        <v>8.791531608616834E-3</v>
      </c>
      <c r="AH9" s="16">
        <f t="shared" si="3"/>
        <v>8.474879693273334E-3</v>
      </c>
      <c r="AI9" s="16">
        <f t="shared" si="3"/>
        <v>8.5645564527774554E-3</v>
      </c>
      <c r="AJ9" s="16">
        <f t="shared" si="3"/>
        <v>7.7899513001272892E-3</v>
      </c>
      <c r="AK9" s="17">
        <f>Z9*GBDUS!$Q128/($T9+$W9+$X9+U9+V9)</f>
        <v>0.37240447452719161</v>
      </c>
      <c r="AL9" s="16">
        <f t="shared" si="4"/>
        <v>0.36616944788128503</v>
      </c>
      <c r="AM9" s="16">
        <f t="shared" si="4"/>
        <v>0.35298081793900776</v>
      </c>
      <c r="AN9" s="16">
        <f t="shared" si="4"/>
        <v>0.35671587696822432</v>
      </c>
      <c r="AO9" s="16">
        <f t="shared" si="4"/>
        <v>0.32445338236558768</v>
      </c>
      <c r="AP9" s="17">
        <f t="shared" si="7"/>
        <v>-1.5586168400575934E-4</v>
      </c>
      <c r="AQ9" s="17">
        <f t="shared" si="8"/>
        <v>-1.085185252417754E-3</v>
      </c>
      <c r="AR9" s="17">
        <f t="shared" si="9"/>
        <v>-4.5198231936885158E-2</v>
      </c>
      <c r="AS9" s="17">
        <f t="shared" si="5"/>
        <v>-4.6283417189302914E-2</v>
      </c>
    </row>
    <row r="10" spans="1:49" s="13" customFormat="1" ht="12.75" x14ac:dyDescent="0.2">
      <c r="A10" s="20">
        <v>1</v>
      </c>
      <c r="B10" s="20">
        <v>1</v>
      </c>
      <c r="C10" s="20" t="s">
        <v>35</v>
      </c>
      <c r="D10" s="17">
        <f>Scenario!AN26</f>
        <v>0.79357227183824619</v>
      </c>
      <c r="E10" s="17">
        <f>Scenario!AO26</f>
        <v>1.7983470108190212</v>
      </c>
      <c r="F10" s="17">
        <f>Scenario!AP26</f>
        <v>3.1691602498512577</v>
      </c>
      <c r="G10" s="17">
        <f>Scenario!AQ26</f>
        <v>5.5848935877303978</v>
      </c>
      <c r="H10" s="17">
        <f>Scenario!AR26</f>
        <v>12.656158796945045</v>
      </c>
      <c r="I10" s="17">
        <f>IF((D10+'Non travel METs'!C10)&gt;2.5,(D10+'Non travel METs'!C10),0.1)</f>
        <v>0.1</v>
      </c>
      <c r="J10" s="17">
        <f>IF((E10+'Non travel METs'!D10)&gt;2.5,(E10+'Non travel METs'!D10),0.1)</f>
        <v>11.798347010819022</v>
      </c>
      <c r="K10" s="17">
        <f>IF((F10+'Non travel METs'!E10)&gt;2.5,(F10+'Non travel METs'!E10),0.1)</f>
        <v>6.9191602498512577</v>
      </c>
      <c r="L10" s="17">
        <f>IF((G10+'Non travel METs'!F10)&gt;2.5,(G10+'Non travel METs'!F10),0.1)</f>
        <v>10.793226921063727</v>
      </c>
      <c r="M10" s="17">
        <f>IF((H10+'Non travel METs'!G10)&gt;2.5,(H10+'Non travel METs'!G10),0.1)</f>
        <v>12.656158796945045</v>
      </c>
      <c r="N10" s="19">
        <f>'Phy activity RRs'!$K$4</f>
        <v>0.95590188686474464</v>
      </c>
      <c r="O10" s="15">
        <f>IF(('user page'!$N$39=0),$N10^(I10^0.25),IF(('user page'!$N$39=1),$N10^(I10^0.5),IF(('user page'!$N$39=2),$N10^(I10^0.375),IF(('user page'!$N$39=4),$N10^(I10),IF(('user page'!$N$39=3),$N10^(LN(1+I10)),"")))))</f>
        <v>0.985839346491721</v>
      </c>
      <c r="P10" s="15">
        <f>IF(('user page'!$N$39=0),$N10^(J10^0.25),IF(('user page'!$N$39=1),$N10^(J10^0.5),IF(('user page'!$N$39=2),$N10^(J10^0.375),IF(('user page'!$N$39=4),$N10^(J10),IF(('user page'!$N$39=3),$N10^(LN(1+J10)),"")))))</f>
        <v>0.85648991487985537</v>
      </c>
      <c r="Q10" s="15">
        <f>IF(('user page'!$N$39=0),$N10^(K10^0.25),IF(('user page'!$N$39=1),$N10^(K10^0.5),IF(('user page'!$N$39=2),$N10^(K10^0.375),IF(('user page'!$N$39=4),$N10^(K10),IF(('user page'!$N$39=3),$N10^(LN(1+K10)),"")))))</f>
        <v>0.88813423832864991</v>
      </c>
      <c r="R10" s="15">
        <f>IF(('user page'!$N$39=0),$N10^(L10^0.25),IF(('user page'!$N$39=1),$N10^(L10^0.5),IF(('user page'!$N$39=2),$N10^(L10^0.375),IF(('user page'!$N$39=4),$N10^(L10),IF(('user page'!$N$39=3),$N10^(LN(1+L10)),"")))))</f>
        <v>0.86228689262430602</v>
      </c>
      <c r="S10" s="15">
        <f>IF(('user page'!$N$39=0),$N10^(M10^0.25),IF(('user page'!$N$39=1),$N10^(M10^0.5),IF(('user page'!$N$39=2),$N10^(M10^0.375),IF(('user page'!$N$39=4),$N10^(M10),IF(('user page'!$N$39=3),$N10^(LN(1+M10)),"")))))</f>
        <v>0.85176425650630139</v>
      </c>
      <c r="T10" s="18">
        <f t="shared" si="0"/>
        <v>1</v>
      </c>
      <c r="U10" s="18">
        <f t="shared" si="0"/>
        <v>0.86879258565589024</v>
      </c>
      <c r="V10" s="18">
        <f t="shared" si="0"/>
        <v>0.9008914500006806</v>
      </c>
      <c r="W10" s="18">
        <f t="shared" si="0"/>
        <v>0.8746728315246316</v>
      </c>
      <c r="X10" s="18">
        <f t="shared" si="0"/>
        <v>0.86399904765157842</v>
      </c>
      <c r="Y10" s="213">
        <f t="shared" si="6"/>
        <v>2.5171038209521268E-2</v>
      </c>
      <c r="Z10" s="344">
        <f t="shared" si="1"/>
        <v>0.97482896179047873</v>
      </c>
      <c r="AA10" s="17">
        <f>Z10*GBDUS!$O129/($T10+$W10+$X10+U10+V10)</f>
        <v>1.8453966898017871E-3</v>
      </c>
      <c r="AB10" s="16">
        <f t="shared" si="2"/>
        <v>1.6032669616937154E-3</v>
      </c>
      <c r="AC10" s="16">
        <f t="shared" si="2"/>
        <v>1.6625020997019881E-3</v>
      </c>
      <c r="AD10" s="16">
        <f t="shared" si="2"/>
        <v>1.6141183479551114E-3</v>
      </c>
      <c r="AE10" s="16">
        <f t="shared" si="2"/>
        <v>1.5944209825281192E-3</v>
      </c>
      <c r="AF10" s="17">
        <f>Z10*GBDUS!$P129/($T10+$W10+$X10+U10+V10)</f>
        <v>6.0219510063638133E-3</v>
      </c>
      <c r="AG10" s="16">
        <f t="shared" si="3"/>
        <v>5.2318263855119073E-3</v>
      </c>
      <c r="AH10" s="16">
        <f t="shared" si="3"/>
        <v>5.4251241739561532E-3</v>
      </c>
      <c r="AI10" s="16">
        <f t="shared" si="3"/>
        <v>5.2672369380388417E-3</v>
      </c>
      <c r="AJ10" s="16">
        <f t="shared" si="3"/>
        <v>5.202959934502799E-3</v>
      </c>
      <c r="AK10" s="17">
        <f>Z10*GBDUS!$Q129/($T10+$W10+$X10+U10+V10)</f>
        <v>0.25789396631128247</v>
      </c>
      <c r="AL10" s="16">
        <f t="shared" si="4"/>
        <v>0.22405636581663216</v>
      </c>
      <c r="AM10" s="16">
        <f t="shared" si="4"/>
        <v>0.23233446925659795</v>
      </c>
      <c r="AN10" s="16">
        <f t="shared" si="4"/>
        <v>0.22557284574660738</v>
      </c>
      <c r="AO10" s="16">
        <f t="shared" si="4"/>
        <v>0.22282014128803632</v>
      </c>
      <c r="AP10" s="17">
        <f t="shared" si="7"/>
        <v>-2.1482293069985977E-4</v>
      </c>
      <c r="AQ10" s="17">
        <f t="shared" si="8"/>
        <v>-7.0101630227645175E-4</v>
      </c>
      <c r="AR10" s="17">
        <f t="shared" si="9"/>
        <v>-3.0021478828355208E-2</v>
      </c>
      <c r="AS10" s="17">
        <f t="shared" si="5"/>
        <v>-3.0722495130631661E-2</v>
      </c>
    </row>
    <row r="11" spans="1:49" s="13" customFormat="1" ht="12.75" x14ac:dyDescent="0.2">
      <c r="A11" s="20">
        <v>1</v>
      </c>
      <c r="B11" s="20">
        <v>2</v>
      </c>
      <c r="C11" s="20" t="s">
        <v>2</v>
      </c>
      <c r="D11" s="17"/>
      <c r="E11" s="17"/>
      <c r="F11" s="17"/>
      <c r="G11" s="17"/>
      <c r="H11" s="17"/>
      <c r="I11" s="17">
        <f>IF((D11+'Non travel METs'!C11)&gt;2.5,(D11+'Non travel METs'!C11),0.1)</f>
        <v>0.1</v>
      </c>
      <c r="J11" s="17">
        <f>IF((E11+'Non travel METs'!D11)&gt;2.5,(E11+'Non travel METs'!D11),0.1)</f>
        <v>0.1</v>
      </c>
      <c r="K11" s="17">
        <f>IF((F11+'Non travel METs'!E11)&gt;2.5,(F11+'Non travel METs'!E11),0.1)</f>
        <v>0.1</v>
      </c>
      <c r="L11" s="17">
        <f>IF((G11+'Non travel METs'!F11)&gt;2.5,(G11+'Non travel METs'!F11),0.1)</f>
        <v>0.1</v>
      </c>
      <c r="M11" s="17">
        <f>IF((H11+'Non travel METs'!G11)&gt;2.5,(H11+'Non travel METs'!G11),0.1)</f>
        <v>0.1</v>
      </c>
      <c r="N11" s="19"/>
      <c r="O11" s="15"/>
      <c r="P11" s="15"/>
      <c r="Q11" s="15"/>
      <c r="R11" s="15"/>
      <c r="S11" s="15"/>
      <c r="T11" s="18"/>
      <c r="U11" s="18"/>
      <c r="V11" s="18"/>
      <c r="W11" s="18"/>
      <c r="X11" s="18"/>
      <c r="Y11" s="213"/>
      <c r="Z11" s="344"/>
      <c r="AA11" s="17"/>
      <c r="AB11" s="16"/>
      <c r="AC11" s="16"/>
      <c r="AD11" s="16"/>
      <c r="AE11" s="16"/>
      <c r="AF11" s="17"/>
      <c r="AG11" s="16"/>
      <c r="AH11" s="16"/>
      <c r="AI11" s="16"/>
      <c r="AJ11" s="16"/>
      <c r="AK11" s="17"/>
      <c r="AL11" s="16"/>
      <c r="AM11" s="16"/>
      <c r="AN11" s="16"/>
      <c r="AO11" s="16"/>
      <c r="AP11" s="17"/>
      <c r="AQ11" s="17"/>
      <c r="AR11" s="17"/>
      <c r="AS11" s="17"/>
    </row>
    <row r="12" spans="1:49" s="13" customFormat="1" ht="12.75" x14ac:dyDescent="0.2">
      <c r="A12" s="20">
        <v>1</v>
      </c>
      <c r="B12" s="20">
        <v>2</v>
      </c>
      <c r="C12" s="20" t="s">
        <v>41</v>
      </c>
      <c r="D12" s="17"/>
      <c r="E12" s="17"/>
      <c r="F12" s="17"/>
      <c r="G12" s="17"/>
      <c r="H12" s="17"/>
      <c r="I12" s="17">
        <f>IF((D12+'Non travel METs'!C12)&gt;2.5,(D12+'Non travel METs'!C12),0.1)</f>
        <v>0.1</v>
      </c>
      <c r="J12" s="17">
        <f>IF((E12+'Non travel METs'!D12)&gt;2.5,(E12+'Non travel METs'!D12),0.1)</f>
        <v>0.1</v>
      </c>
      <c r="K12" s="17">
        <f>IF((F12+'Non travel METs'!E12)&gt;2.5,(F12+'Non travel METs'!E12),0.1)</f>
        <v>0.1</v>
      </c>
      <c r="L12" s="17">
        <f>IF((G12+'Non travel METs'!F12)&gt;2.5,(G12+'Non travel METs'!F12),0.1)</f>
        <v>0.1</v>
      </c>
      <c r="M12" s="17">
        <f>IF((H12+'Non travel METs'!G12)&gt;2.5,(H12+'Non travel METs'!G12),0.1)</f>
        <v>0.1</v>
      </c>
      <c r="N12" s="19"/>
      <c r="O12" s="15"/>
      <c r="P12" s="15"/>
      <c r="Q12" s="15"/>
      <c r="R12" s="15"/>
      <c r="S12" s="15"/>
      <c r="T12" s="18"/>
      <c r="U12" s="18"/>
      <c r="V12" s="18"/>
      <c r="W12" s="18"/>
      <c r="X12" s="18"/>
      <c r="Y12" s="213"/>
      <c r="Z12" s="344"/>
      <c r="AA12" s="17"/>
      <c r="AB12" s="16"/>
      <c r="AC12" s="16"/>
      <c r="AD12" s="16"/>
      <c r="AE12" s="16"/>
      <c r="AF12" s="17"/>
      <c r="AG12" s="16"/>
      <c r="AH12" s="16"/>
      <c r="AI12" s="16"/>
      <c r="AJ12" s="16"/>
      <c r="AK12" s="17"/>
      <c r="AL12" s="16"/>
      <c r="AM12" s="16"/>
      <c r="AN12" s="16"/>
      <c r="AO12" s="16"/>
      <c r="AP12" s="17"/>
      <c r="AQ12" s="17"/>
      <c r="AR12" s="17"/>
      <c r="AS12" s="17"/>
    </row>
    <row r="13" spans="1:49" s="13" customFormat="1" ht="12.75" x14ac:dyDescent="0.2">
      <c r="A13" s="20">
        <v>1</v>
      </c>
      <c r="B13" s="20">
        <v>2</v>
      </c>
      <c r="C13" s="20" t="s">
        <v>40</v>
      </c>
      <c r="D13" s="17">
        <f>Scenario!AN29</f>
        <v>2.5519209672247203</v>
      </c>
      <c r="E13" s="17">
        <f>Scenario!AO29</f>
        <v>5.783013855340938</v>
      </c>
      <c r="F13" s="17">
        <f>Scenario!AP29</f>
        <v>10.191190868295642</v>
      </c>
      <c r="G13" s="17">
        <f>Scenario!AQ29</f>
        <v>17.959557751726912</v>
      </c>
      <c r="H13" s="17">
        <f>Scenario!AR29</f>
        <v>40.698898064614944</v>
      </c>
      <c r="I13" s="17">
        <f>IF((D13+'Non travel METs'!C13)&gt;2.5,(D13+'Non travel METs'!C13),0.1)</f>
        <v>11.418587633891391</v>
      </c>
      <c r="J13" s="17">
        <f>IF((E13+'Non travel METs'!D13)&gt;2.5,(E13+'Non travel METs'!D13),0.1)</f>
        <v>30.383013855340941</v>
      </c>
      <c r="K13" s="17">
        <f>IF((F13+'Non travel METs'!E13)&gt;2.5,(F13+'Non travel METs'!E13),0.1)</f>
        <v>40.041190868295644</v>
      </c>
      <c r="L13" s="17">
        <f>IF((G13+'Non travel METs'!F13)&gt;2.5,(G13+'Non travel METs'!F13),0.1)</f>
        <v>48.359557751726911</v>
      </c>
      <c r="M13" s="17">
        <f>IF((H13+'Non travel METs'!G13)&gt;2.5,(H13+'Non travel METs'!G13),0.1)</f>
        <v>81.698898064614951</v>
      </c>
      <c r="N13" s="19">
        <f>'Phy activity RRs'!$L$4</f>
        <v>0.97795094343237232</v>
      </c>
      <c r="O13" s="15">
        <f>IF(('user page'!$N$39=0),$N13^(I13^0.25),IF(('user page'!$N$39=1),$N13^(I13^0.5),IF(('user page'!$N$39=2),$N13^(I13^0.375),IF(('user page'!$N$39=4),$N13^(I13),IF(('user page'!$N$39=3),$N13^(LN(1+I13)),"")))))</f>
        <v>0.92742761482147085</v>
      </c>
      <c r="P13" s="15">
        <f>IF(('user page'!$N$39=0),$N13^(J13^0.25),IF(('user page'!$N$39=1),$N13^(J13^0.5),IF(('user page'!$N$39=2),$N13^(J13^0.375),IF(('user page'!$N$39=4),$N13^(J13),IF(('user page'!$N$39=3),$N13^(LN(1+J13)),"")))))</f>
        <v>0.88435559086675419</v>
      </c>
      <c r="Q13" s="15">
        <f>IF(('user page'!$N$39=0),$N13^(K13^0.25),IF(('user page'!$N$39=1),$N13^(K13^0.5),IF(('user page'!$N$39=2),$N13^(K13^0.375),IF(('user page'!$N$39=4),$N13^(K13),IF(('user page'!$N$39=3),$N13^(LN(1+K13)),"")))))</f>
        <v>0.86841686669478824</v>
      </c>
      <c r="R13" s="15">
        <f>IF(('user page'!$N$39=0),$N13^(L13^0.25),IF(('user page'!$N$39=1),$N13^(L13^0.5),IF(('user page'!$N$39=2),$N13^(L13^0.375),IF(('user page'!$N$39=4),$N13^(L13),IF(('user page'!$N$39=3),$N13^(LN(1+L13)),"")))))</f>
        <v>0.85637484310167566</v>
      </c>
      <c r="S13" s="15">
        <f>IF(('user page'!$N$39=0),$N13^(M13^0.25),IF(('user page'!$N$39=1),$N13^(M13^0.5),IF(('user page'!$N$39=2),$N13^(M13^0.375),IF(('user page'!$N$39=4),$N13^(M13),IF(('user page'!$N$39=3),$N13^(LN(1+M13)),"")))))</f>
        <v>0.81748251394825866</v>
      </c>
      <c r="T13" s="18">
        <f t="shared" ref="T13:X18" si="10">O13/$O13</f>
        <v>1</v>
      </c>
      <c r="U13" s="18">
        <f t="shared" si="10"/>
        <v>0.95355753563257006</v>
      </c>
      <c r="V13" s="18">
        <f t="shared" si="10"/>
        <v>0.93637158611236504</v>
      </c>
      <c r="W13" s="18">
        <f t="shared" si="10"/>
        <v>0.92338725892535256</v>
      </c>
      <c r="X13" s="18">
        <f t="shared" si="10"/>
        <v>0.88145155576979828</v>
      </c>
      <c r="Y13" s="213">
        <f t="shared" si="6"/>
        <v>1.6962488538488807E-2</v>
      </c>
      <c r="Z13" s="344">
        <f t="shared" ref="Z13:Z18" si="11">SUM(O13:S13)/SUM(O30:S30)</f>
        <v>0.98303751146151119</v>
      </c>
      <c r="AA13" s="17">
        <f>Z13*GBDUS!$O132/($T13+$W13+$X13+U13+V13)</f>
        <v>0</v>
      </c>
      <c r="AB13" s="16">
        <f t="shared" ref="AB13:AE18" si="12">$AA13*U13</f>
        <v>0</v>
      </c>
      <c r="AC13" s="16">
        <f t="shared" si="12"/>
        <v>0</v>
      </c>
      <c r="AD13" s="16">
        <f t="shared" si="12"/>
        <v>0</v>
      </c>
      <c r="AE13" s="16">
        <f t="shared" si="12"/>
        <v>0</v>
      </c>
      <c r="AF13" s="17">
        <f>Z13*GBDUS!$P132/($T13+$W13+$X13+U13+V13)</f>
        <v>0</v>
      </c>
      <c r="AG13" s="16">
        <f t="shared" ref="AG13:AJ18" si="13">$AF13*U13</f>
        <v>0</v>
      </c>
      <c r="AH13" s="16">
        <f t="shared" si="13"/>
        <v>0</v>
      </c>
      <c r="AI13" s="16">
        <f t="shared" si="13"/>
        <v>0</v>
      </c>
      <c r="AJ13" s="16">
        <f t="shared" si="13"/>
        <v>0</v>
      </c>
      <c r="AK13" s="17">
        <f>Z13*GBDUS!$Q132/($T13+$W13+$X13+U13+V13)</f>
        <v>1.1166097799160575</v>
      </c>
      <c r="AL13" s="16">
        <f t="shared" ref="AL13:AO18" si="14">$AK13*U13</f>
        <v>1.0647516699999822</v>
      </c>
      <c r="AM13" s="16">
        <f t="shared" si="14"/>
        <v>1.0455616706885775</v>
      </c>
      <c r="AN13" s="16">
        <f t="shared" si="14"/>
        <v>1.0310632439659295</v>
      </c>
      <c r="AO13" s="16">
        <f t="shared" si="14"/>
        <v>0.98423742769478095</v>
      </c>
      <c r="AP13" s="17">
        <f t="shared" si="7"/>
        <v>0</v>
      </c>
      <c r="AQ13" s="17">
        <f t="shared" si="8"/>
        <v>0</v>
      </c>
      <c r="AR13" s="17">
        <f t="shared" si="9"/>
        <v>-9.0455511570755931E-2</v>
      </c>
      <c r="AS13" s="17">
        <f t="shared" ref="AS13:AS18" si="15">AQ13+AR13</f>
        <v>-9.0455511570755931E-2</v>
      </c>
    </row>
    <row r="14" spans="1:49" s="13" customFormat="1" ht="12.75" x14ac:dyDescent="0.2">
      <c r="A14" s="20">
        <v>1</v>
      </c>
      <c r="B14" s="20">
        <v>2</v>
      </c>
      <c r="C14" s="20" t="s">
        <v>39</v>
      </c>
      <c r="D14" s="17">
        <f>Scenario!AN30</f>
        <v>1.5370956980369832</v>
      </c>
      <c r="E14" s="17">
        <f>Scenario!AO30</f>
        <v>3.4832762585119914</v>
      </c>
      <c r="F14" s="17">
        <f>Scenario!AP30</f>
        <v>6.1384485815667444</v>
      </c>
      <c r="G14" s="17">
        <f>Scenario!AQ30</f>
        <v>10.817560305892991</v>
      </c>
      <c r="H14" s="17">
        <f>Scenario!AR30</f>
        <v>24.514121688493699</v>
      </c>
      <c r="I14" s="17">
        <f>IF((D14+'Non travel METs'!C14)&gt;2.5,(D14+'Non travel METs'!C14),0.1)</f>
        <v>42.537095698036985</v>
      </c>
      <c r="J14" s="17">
        <f>IF((E14+'Non travel METs'!D14)&gt;2.5,(E14+'Non travel METs'!D14),0.1)</f>
        <v>39.358276258511992</v>
      </c>
      <c r="K14" s="17">
        <f>IF((F14+'Non travel METs'!E14)&gt;2.5,(F14+'Non travel METs'!E14),0.1)</f>
        <v>44.988448581566743</v>
      </c>
      <c r="L14" s="17">
        <f>IF((G14+'Non travel METs'!F14)&gt;2.5,(G14+'Non travel METs'!F14),0.1)</f>
        <v>51.817560305892989</v>
      </c>
      <c r="M14" s="17">
        <f>IF((H14+'Non travel METs'!G14)&gt;2.5,(H14+'Non travel METs'!G14),0.1)</f>
        <v>66.780788355160396</v>
      </c>
      <c r="N14" s="19">
        <f>'Phy activity RRs'!$K$4</f>
        <v>0.95590188686474464</v>
      </c>
      <c r="O14" s="15">
        <f>IF(('user page'!$N$39=0),$N14^(I14^0.25),IF(('user page'!$N$39=1),$N14^(I14^0.5),IF(('user page'!$N$39=2),$N14^(I14^0.375),IF(('user page'!$N$39=4),$N14^(I14),IF(('user page'!$N$39=3),$N14^(LN(1+I14)),"")))))</f>
        <v>0.74516894465992511</v>
      </c>
      <c r="P14" s="15">
        <f>IF(('user page'!$N$39=0),$N14^(J14^0.25),IF(('user page'!$N$39=1),$N14^(J14^0.5),IF(('user page'!$N$39=2),$N14^(J14^0.375),IF(('user page'!$N$39=4),$N14^(J14),IF(('user page'!$N$39=3),$N14^(LN(1+J14)),"")))))</f>
        <v>0.7535648886862244</v>
      </c>
      <c r="Q14" s="15">
        <f>IF(('user page'!$N$39=0),$N14^(K14^0.25),IF(('user page'!$N$39=1),$N14^(K14^0.5),IF(('user page'!$N$39=2),$N14^(K14^0.375),IF(('user page'!$N$39=4),$N14^(K14),IF(('user page'!$N$39=3),$N14^(LN(1+K14)),"")))))</f>
        <v>0.73896762800480686</v>
      </c>
      <c r="R14" s="15">
        <f>IF(('user page'!$N$39=0),$N14^(L14^0.25),IF(('user page'!$N$39=1),$N14^(L14^0.5),IF(('user page'!$N$39=2),$N14^(L14^0.375),IF(('user page'!$N$39=4),$N14^(L14),IF(('user page'!$N$39=3),$N14^(LN(1+L14)),"")))))</f>
        <v>0.72278049026241842</v>
      </c>
      <c r="S14" s="15">
        <f>IF(('user page'!$N$39=0),$N14^(M14^0.25),IF(('user page'!$N$39=1),$N14^(M14^0.5),IF(('user page'!$N$39=2),$N14^(M14^0.375),IF(('user page'!$N$39=4),$N14^(M14),IF(('user page'!$N$39=3),$N14^(LN(1+M14)),"")))))</f>
        <v>0.69173316013357544</v>
      </c>
      <c r="T14" s="18">
        <f t="shared" si="10"/>
        <v>1</v>
      </c>
      <c r="U14" s="18">
        <f t="shared" si="10"/>
        <v>1.0112671684541699</v>
      </c>
      <c r="V14" s="18">
        <f t="shared" si="10"/>
        <v>0.99167797222420706</v>
      </c>
      <c r="W14" s="18">
        <f t="shared" si="10"/>
        <v>0.96995519665983376</v>
      </c>
      <c r="X14" s="18">
        <f t="shared" si="10"/>
        <v>0.92829037641828149</v>
      </c>
      <c r="Y14" s="213">
        <f t="shared" si="6"/>
        <v>1.9836269273672325E-2</v>
      </c>
      <c r="Z14" s="344">
        <f t="shared" si="11"/>
        <v>0.98016373072632768</v>
      </c>
      <c r="AA14" s="17">
        <f>Z14*GBDUS!$O133/($T14+$W14+$X14+U14+V14)</f>
        <v>0</v>
      </c>
      <c r="AB14" s="16">
        <f t="shared" si="12"/>
        <v>0</v>
      </c>
      <c r="AC14" s="16">
        <f t="shared" si="12"/>
        <v>0</v>
      </c>
      <c r="AD14" s="16">
        <f t="shared" si="12"/>
        <v>0</v>
      </c>
      <c r="AE14" s="16">
        <f t="shared" si="12"/>
        <v>0</v>
      </c>
      <c r="AF14" s="17">
        <f>Z14*GBDUS!$P133/($T14+$W14+$X14+U14+V14)</f>
        <v>0</v>
      </c>
      <c r="AG14" s="16">
        <f t="shared" si="13"/>
        <v>0</v>
      </c>
      <c r="AH14" s="16">
        <f t="shared" si="13"/>
        <v>0</v>
      </c>
      <c r="AI14" s="16">
        <f t="shared" si="13"/>
        <v>0</v>
      </c>
      <c r="AJ14" s="16">
        <f t="shared" si="13"/>
        <v>0</v>
      </c>
      <c r="AK14" s="17">
        <f>Z14*GBDUS!$Q133/($T14+$W14+$X14+U14+V14)</f>
        <v>1.2402146898950859</v>
      </c>
      <c r="AL14" s="16">
        <f t="shared" si="14"/>
        <v>1.2541883977254698</v>
      </c>
      <c r="AM14" s="16">
        <f t="shared" si="14"/>
        <v>1.2298935887978326</v>
      </c>
      <c r="AN14" s="16">
        <f t="shared" si="14"/>
        <v>1.2029526834376028</v>
      </c>
      <c r="AO14" s="16">
        <f t="shared" si="14"/>
        <v>1.1512793613221914</v>
      </c>
      <c r="AP14" s="17">
        <f t="shared" si="7"/>
        <v>0</v>
      </c>
      <c r="AQ14" s="17">
        <f t="shared" si="8"/>
        <v>0</v>
      </c>
      <c r="AR14" s="17">
        <f t="shared" si="9"/>
        <v>-0.1230155011058125</v>
      </c>
      <c r="AS14" s="17">
        <f t="shared" si="15"/>
        <v>-0.1230155011058125</v>
      </c>
    </row>
    <row r="15" spans="1:49" s="13" customFormat="1" ht="12.75" x14ac:dyDescent="0.2">
      <c r="A15" s="20">
        <v>1</v>
      </c>
      <c r="B15" s="20">
        <v>2</v>
      </c>
      <c r="C15" s="20" t="s">
        <v>38</v>
      </c>
      <c r="D15" s="17">
        <f>Scenario!AN31</f>
        <v>1.2975056378007672</v>
      </c>
      <c r="E15" s="17">
        <f>Scenario!AO31</f>
        <v>2.9403312944072315</v>
      </c>
      <c r="F15" s="17">
        <f>Scenario!AP31</f>
        <v>5.1816368051153949</v>
      </c>
      <c r="G15" s="17">
        <f>Scenario!AQ31</f>
        <v>9.1314063932851113</v>
      </c>
      <c r="H15" s="17">
        <f>Scenario!AR31</f>
        <v>20.693058432975548</v>
      </c>
      <c r="I15" s="17">
        <f>IF((D15+'Non travel METs'!C15)&gt;2.5,(D15+'Non travel METs'!C15),0.1)</f>
        <v>42.947505637800766</v>
      </c>
      <c r="J15" s="17">
        <f>IF((E15+'Non travel METs'!D15)&gt;2.5,(E15+'Non travel METs'!D15),0.1)</f>
        <v>45.990331294407227</v>
      </c>
      <c r="K15" s="17">
        <f>IF((F15+'Non travel METs'!E15)&gt;2.5,(F15+'Non travel METs'!E15),0.1)</f>
        <v>51.248303471782094</v>
      </c>
      <c r="L15" s="17">
        <f>IF((G15+'Non travel METs'!F15)&gt;2.5,(G15+'Non travel METs'!F15),0.1)</f>
        <v>50.131406393285111</v>
      </c>
      <c r="M15" s="17">
        <f>IF((H15+'Non travel METs'!G15)&gt;2.5,(H15+'Non travel METs'!G15),0.1)</f>
        <v>61.693058432975548</v>
      </c>
      <c r="N15" s="19">
        <f>'Phy activity RRs'!$K$4</f>
        <v>0.95590188686474464</v>
      </c>
      <c r="O15" s="15">
        <f>IF(('user page'!$N$39=0),$N15^(I15^0.25),IF(('user page'!$N$39=1),$N15^(I15^0.5),IF(('user page'!$N$39=2),$N15^(I15^0.375),IF(('user page'!$N$39=4),$N15^(I15),IF(('user page'!$N$39=3),$N15^(LN(1+I15)),"")))))</f>
        <v>0.74411483907842557</v>
      </c>
      <c r="P15" s="15">
        <f>IF(('user page'!$N$39=0),$N15^(J15^0.25),IF(('user page'!$N$39=1),$N15^(J15^0.5),IF(('user page'!$N$39=2),$N15^(J15^0.375),IF(('user page'!$N$39=4),$N15^(J15),IF(('user page'!$N$39=3),$N15^(LN(1+J15)),"")))))</f>
        <v>0.73649639793315835</v>
      </c>
      <c r="Q15" s="15">
        <f>IF(('user page'!$N$39=0),$N15^(K15^0.25),IF(('user page'!$N$39=1),$N15^(K15^0.5),IF(('user page'!$N$39=2),$N15^(K15^0.375),IF(('user page'!$N$39=4),$N15^(K15),IF(('user page'!$N$39=3),$N15^(LN(1+K15)),"")))))</f>
        <v>0.7240741164827591</v>
      </c>
      <c r="R15" s="15">
        <f>IF(('user page'!$N$39=0),$N15^(L15^0.25),IF(('user page'!$N$39=1),$N15^(L15^0.5),IF(('user page'!$N$39=2),$N15^(L15^0.375),IF(('user page'!$N$39=4),$N15^(L15),IF(('user page'!$N$39=3),$N15^(LN(1+L15)),"")))))</f>
        <v>0.72664011966472941</v>
      </c>
      <c r="S15" s="15">
        <f>IF(('user page'!$N$39=0),$N15^(M15^0.25),IF(('user page'!$N$39=1),$N15^(M15^0.5),IF(('user page'!$N$39=2),$N15^(M15^0.375),IF(('user page'!$N$39=4),$N15^(M15),IF(('user page'!$N$39=3),$N15^(LN(1+M15)),"")))))</f>
        <v>0.70170820133991307</v>
      </c>
      <c r="T15" s="18">
        <f t="shared" si="10"/>
        <v>1</v>
      </c>
      <c r="U15" s="18">
        <f t="shared" si="10"/>
        <v>0.98976174006326423</v>
      </c>
      <c r="V15" s="18">
        <f t="shared" si="10"/>
        <v>0.97306770199545201</v>
      </c>
      <c r="W15" s="18">
        <f t="shared" si="10"/>
        <v>0.97651609873102607</v>
      </c>
      <c r="X15" s="18">
        <f t="shared" si="10"/>
        <v>0.94301062751143028</v>
      </c>
      <c r="Y15" s="213">
        <f t="shared" si="6"/>
        <v>1.692943558069826E-2</v>
      </c>
      <c r="Z15" s="344">
        <f t="shared" si="11"/>
        <v>0.98307056441930174</v>
      </c>
      <c r="AA15" s="17">
        <f>Z15*GBDUS!$O134/($T15+$W15+$X15+U15+V15)</f>
        <v>3.2405543636327647E-4</v>
      </c>
      <c r="AB15" s="16">
        <f t="shared" si="12"/>
        <v>3.2073767257187691E-4</v>
      </c>
      <c r="AC15" s="16">
        <f t="shared" si="12"/>
        <v>3.1532787878114688E-4</v>
      </c>
      <c r="AD15" s="16">
        <f t="shared" si="12"/>
        <v>3.1644535049004703E-4</v>
      </c>
      <c r="AE15" s="16">
        <f t="shared" si="12"/>
        <v>3.0558772039342369E-4</v>
      </c>
      <c r="AF15" s="17">
        <f>Z15*GBDUS!$P134/($T15+$W15+$X15+U15+V15)</f>
        <v>5.6278287666090866E-3</v>
      </c>
      <c r="AG15" s="16">
        <f t="shared" si="13"/>
        <v>5.570209592817104E-3</v>
      </c>
      <c r="AH15" s="16">
        <f t="shared" si="13"/>
        <v>5.4762584051482027E-3</v>
      </c>
      <c r="AI15" s="16">
        <f t="shared" si="13"/>
        <v>5.4956653914953477E-3</v>
      </c>
      <c r="AJ15" s="16">
        <f t="shared" si="13"/>
        <v>5.3071023367269139E-3</v>
      </c>
      <c r="AK15" s="17">
        <f>Z15*GBDUS!$Q134/($T15+$W15+$X15+U15+V15)</f>
        <v>1.7271809977030836</v>
      </c>
      <c r="AL15" s="16">
        <f t="shared" si="14"/>
        <v>1.7094976696908089</v>
      </c>
      <c r="AM15" s="16">
        <f t="shared" si="14"/>
        <v>1.6806640443651517</v>
      </c>
      <c r="AN15" s="16">
        <f t="shared" si="14"/>
        <v>1.6866200496793766</v>
      </c>
      <c r="AO15" s="16">
        <f t="shared" si="14"/>
        <v>1.6287500364698031</v>
      </c>
      <c r="AP15" s="17">
        <f t="shared" si="7"/>
        <v>-2.7246238655947194E-5</v>
      </c>
      <c r="AQ15" s="17">
        <f t="shared" si="8"/>
        <v>-4.7318189569867455E-4</v>
      </c>
      <c r="AR15" s="17">
        <f t="shared" si="9"/>
        <v>-0.14521955315287594</v>
      </c>
      <c r="AS15" s="17">
        <f t="shared" si="15"/>
        <v>-0.14569273504857461</v>
      </c>
    </row>
    <row r="16" spans="1:49" s="13" customFormat="1" ht="12.75" x14ac:dyDescent="0.2">
      <c r="A16" s="20">
        <v>1</v>
      </c>
      <c r="B16" s="20">
        <v>2</v>
      </c>
      <c r="C16" s="20" t="s">
        <v>37</v>
      </c>
      <c r="D16" s="17">
        <f>Scenario!AN32</f>
        <v>0.85341118968805019</v>
      </c>
      <c r="E16" s="17">
        <f>Scenario!AO32</f>
        <v>1.9339504622810642</v>
      </c>
      <c r="F16" s="17">
        <f>Scenario!AP32</f>
        <v>3.4081291838393759</v>
      </c>
      <c r="G16" s="17">
        <f>Scenario!AQ32</f>
        <v>6.0060196785172764</v>
      </c>
      <c r="H16" s="17">
        <f>Scenario!AR32</f>
        <v>13.610490082727217</v>
      </c>
      <c r="I16" s="17">
        <f>IF((D16+'Non travel METs'!C16)&gt;2.5,(D16+'Non travel METs'!C16),0.1)</f>
        <v>33.65341118968805</v>
      </c>
      <c r="J16" s="17">
        <f>IF((E16+'Non travel METs'!D16)&gt;2.5,(E16+'Non travel METs'!D16),0.1)</f>
        <v>19.933950462281064</v>
      </c>
      <c r="K16" s="17">
        <f>IF((F16+'Non travel METs'!E16)&gt;2.5,(F16+'Non travel METs'!E16),0.1)</f>
        <v>35.158129183839378</v>
      </c>
      <c r="L16" s="17">
        <f>IF((G16+'Non travel METs'!F16)&gt;2.5,(G16+'Non travel METs'!F16),0.1)</f>
        <v>26.506019678517276</v>
      </c>
      <c r="M16" s="17">
        <f>IF((H16+'Non travel METs'!G16)&gt;2.5,(H16+'Non travel METs'!G16),0.1)</f>
        <v>18.110490082727217</v>
      </c>
      <c r="N16" s="19">
        <f>'Phy activity RRs'!$K$4</f>
        <v>0.95590188686474464</v>
      </c>
      <c r="O16" s="15">
        <f>IF(('user page'!$N$39=0),$N16^(I16^0.25),IF(('user page'!$N$39=1),$N16^(I16^0.5),IF(('user page'!$N$39=2),$N16^(I16^0.375),IF(('user page'!$N$39=4),$N16^(I16),IF(('user page'!$N$39=3),$N16^(LN(1+I16)),"")))))</f>
        <v>0.76979415073362067</v>
      </c>
      <c r="P16" s="15">
        <f>IF(('user page'!$N$39=0),$N16^(J16^0.25),IF(('user page'!$N$39=1),$N16^(J16^0.5),IF(('user page'!$N$39=2),$N16^(J16^0.375),IF(('user page'!$N$39=4),$N16^(J16),IF(('user page'!$N$39=3),$N16^(LN(1+J16)),"")))))</f>
        <v>0.81761802596271171</v>
      </c>
      <c r="Q16" s="15">
        <f>IF(('user page'!$N$39=0),$N16^(K16^0.25),IF(('user page'!$N$39=1),$N16^(K16^0.5),IF(('user page'!$N$39=2),$N16^(K16^0.375),IF(('user page'!$N$39=4),$N16^(K16),IF(('user page'!$N$39=3),$N16^(LN(1+K16)),"")))))</f>
        <v>0.76535365995376037</v>
      </c>
      <c r="R16" s="15">
        <f>IF(('user page'!$N$39=0),$N16^(L16^0.25),IF(('user page'!$N$39=1),$N16^(L16^0.5),IF(('user page'!$N$39=2),$N16^(L16^0.375),IF(('user page'!$N$39=4),$N16^(L16),IF(('user page'!$N$39=3),$N16^(LN(1+L16)),"")))))</f>
        <v>0.7927932363248299</v>
      </c>
      <c r="S16" s="15">
        <f>IF(('user page'!$N$39=0),$N16^(M16^0.25),IF(('user page'!$N$39=1),$N16^(M16^0.5),IF(('user page'!$N$39=2),$N16^(M16^0.375),IF(('user page'!$N$39=4),$N16^(M16),IF(('user page'!$N$39=3),$N16^(LN(1+M16)),"")))))</f>
        <v>0.82536508700935196</v>
      </c>
      <c r="T16" s="18">
        <f t="shared" si="10"/>
        <v>1</v>
      </c>
      <c r="U16" s="18">
        <f t="shared" si="10"/>
        <v>1.0621255373056737</v>
      </c>
      <c r="V16" s="18">
        <f t="shared" si="10"/>
        <v>0.99423158674870615</v>
      </c>
      <c r="W16" s="18">
        <f t="shared" si="10"/>
        <v>1.0298769295262777</v>
      </c>
      <c r="X16" s="18">
        <f t="shared" si="10"/>
        <v>1.072189345973559</v>
      </c>
      <c r="Y16" s="213">
        <f t="shared" si="6"/>
        <v>1.9727310839519507E-2</v>
      </c>
      <c r="Z16" s="344">
        <f t="shared" si="11"/>
        <v>0.98027268916048049</v>
      </c>
      <c r="AA16" s="17">
        <f>Z16*GBDUS!$O135/($T16+$W16+$X16+U16+V16)</f>
        <v>8.6095405734997732E-5</v>
      </c>
      <c r="AB16" s="16">
        <f t="shared" si="12"/>
        <v>9.1444129075834453E-5</v>
      </c>
      <c r="AC16" s="16">
        <f t="shared" si="12"/>
        <v>8.5598771855680447E-5</v>
      </c>
      <c r="AD16" s="16">
        <f t="shared" si="12"/>
        <v>8.8667672104678549E-5</v>
      </c>
      <c r="AE16" s="16">
        <f t="shared" si="12"/>
        <v>9.2310576766335418E-5</v>
      </c>
      <c r="AF16" s="17">
        <f>Z16*GBDUS!$P135/($T16+$W16+$X16+U16+V16)</f>
        <v>1.1744569340041966E-3</v>
      </c>
      <c r="AG16" s="16">
        <f t="shared" si="13"/>
        <v>1.2474207020715816E-3</v>
      </c>
      <c r="AH16" s="16">
        <f t="shared" si="13"/>
        <v>1.1676821810630129E-3</v>
      </c>
      <c r="AI16" s="16">
        <f t="shared" si="13"/>
        <v>1.2095461010530881E-3</v>
      </c>
      <c r="AJ16" s="16">
        <f t="shared" si="13"/>
        <v>1.2592402119440708E-3</v>
      </c>
      <c r="AK16" s="17">
        <f>Z16*GBDUS!$Q135/($T16+$W16+$X16+U16+V16)</f>
        <v>1.0054241598735574</v>
      </c>
      <c r="AL16" s="16">
        <f t="shared" si="14"/>
        <v>1.0678866760258077</v>
      </c>
      <c r="AM16" s="16">
        <f t="shared" si="14"/>
        <v>0.99962445782657172</v>
      </c>
      <c r="AN16" s="16">
        <f t="shared" si="14"/>
        <v>1.0354631466421167</v>
      </c>
      <c r="AO16" s="16">
        <f t="shared" si="14"/>
        <v>1.0780050724008445</v>
      </c>
      <c r="AP16" s="17">
        <f t="shared" si="7"/>
        <v>-8.9375389490537198E-6</v>
      </c>
      <c r="AQ16" s="17">
        <f t="shared" si="8"/>
        <v>-1.2192003164440452E-4</v>
      </c>
      <c r="AR16" s="17">
        <f t="shared" si="9"/>
        <v>-0.10437278868106636</v>
      </c>
      <c r="AS16" s="17">
        <f t="shared" si="15"/>
        <v>-0.10449470871271077</v>
      </c>
    </row>
    <row r="17" spans="1:45" s="13" customFormat="1" ht="12.75" x14ac:dyDescent="0.2">
      <c r="A17" s="20">
        <v>1</v>
      </c>
      <c r="B17" s="20">
        <v>2</v>
      </c>
      <c r="C17" s="20" t="s">
        <v>36</v>
      </c>
      <c r="D17" s="17">
        <f>Scenario!AN33</f>
        <v>0.77504695374177146</v>
      </c>
      <c r="E17" s="17">
        <f>Scenario!AO33</f>
        <v>1.7563660197920845</v>
      </c>
      <c r="F17" s="17">
        <f>Scenario!AP33</f>
        <v>3.0951787061272027</v>
      </c>
      <c r="G17" s="17">
        <f>Scenario!AQ33</f>
        <v>5.4545186566507038</v>
      </c>
      <c r="H17" s="17">
        <f>Scenario!AR33</f>
        <v>12.360710762892898</v>
      </c>
      <c r="I17" s="17">
        <f>IF((D17+'Non travel METs'!C17)&gt;2.5,(D17+'Non travel METs'!C17),0.1)</f>
        <v>6.6083802870751018</v>
      </c>
      <c r="J17" s="17">
        <f>IF((E17+'Non travel METs'!D17)&gt;2.5,(E17+'Non travel METs'!D17),0.1)</f>
        <v>6.7563660197920843</v>
      </c>
      <c r="K17" s="17">
        <f>IF((F17+'Non travel METs'!E17)&gt;2.5,(F17+'Non travel METs'!E17),0.1)</f>
        <v>5.5951787061272027</v>
      </c>
      <c r="L17" s="17">
        <f>IF((G17+'Non travel METs'!F17)&gt;2.5,(G17+'Non travel METs'!F17),0.1)</f>
        <v>9.2045186566507038</v>
      </c>
      <c r="M17" s="17">
        <f>IF((H17+'Non travel METs'!G17)&gt;2.5,(H17+'Non travel METs'!G17),0.1)</f>
        <v>12.360710762892898</v>
      </c>
      <c r="N17" s="19">
        <f>'Phy activity RRs'!$K$4</f>
        <v>0.95590188686474464</v>
      </c>
      <c r="O17" s="15">
        <f>IF(('user page'!$N$39=0),$N17^(I17^0.25),IF(('user page'!$N$39=1),$N17^(I17^0.5),IF(('user page'!$N$39=2),$N17^(I17^0.375),IF(('user page'!$N$39=4),$N17^(I17),IF(('user page'!$N$39=3),$N17^(LN(1+I17)),"")))))</f>
        <v>0.89053085023702294</v>
      </c>
      <c r="P17" s="15">
        <f>IF(('user page'!$N$39=0),$N17^(J17^0.25),IF(('user page'!$N$39=1),$N17^(J17^0.5),IF(('user page'!$N$39=2),$N17^(J17^0.375),IF(('user page'!$N$39=4),$N17^(J17),IF(('user page'!$N$39=3),$N17^(LN(1+J17)),"")))))</f>
        <v>0.8893819657588492</v>
      </c>
      <c r="Q17" s="15">
        <f>IF(('user page'!$N$39=0),$N17^(K17^0.25),IF(('user page'!$N$39=1),$N17^(K17^0.5),IF(('user page'!$N$39=2),$N17^(K17^0.375),IF(('user page'!$N$39=4),$N17^(K17),IF(('user page'!$N$39=3),$N17^(LN(1+K17)),"")))))</f>
        <v>0.89881313330460921</v>
      </c>
      <c r="R17" s="15">
        <f>IF(('user page'!$N$39=0),$N17^(L17^0.25),IF(('user page'!$N$39=1),$N17^(L17^0.5),IF(('user page'!$N$39=2),$N17^(L17^0.375),IF(('user page'!$N$39=4),$N17^(L17),IF(('user page'!$N$39=3),$N17^(LN(1+L17)),"")))))</f>
        <v>0.87211963977585083</v>
      </c>
      <c r="S17" s="15">
        <f>IF(('user page'!$N$39=0),$N17^(M17^0.25),IF(('user page'!$N$39=1),$N17^(M17^0.5),IF(('user page'!$N$39=2),$N17^(M17^0.375),IF(('user page'!$N$39=4),$N17^(M17),IF(('user page'!$N$39=3),$N17^(LN(1+M17)),"")))))</f>
        <v>0.85337031838946908</v>
      </c>
      <c r="T17" s="18">
        <f t="shared" si="10"/>
        <v>1</v>
      </c>
      <c r="U17" s="18">
        <f t="shared" si="10"/>
        <v>0.99870988806522765</v>
      </c>
      <c r="V17" s="18">
        <f t="shared" si="10"/>
        <v>1.0093003887123977</v>
      </c>
      <c r="W17" s="18">
        <f t="shared" si="10"/>
        <v>0.97932557815793597</v>
      </c>
      <c r="X17" s="18">
        <f t="shared" si="10"/>
        <v>0.95827148286029251</v>
      </c>
      <c r="Y17" s="213">
        <f t="shared" si="6"/>
        <v>2.776203799678767E-2</v>
      </c>
      <c r="Z17" s="344">
        <f t="shared" si="11"/>
        <v>0.97223796200321233</v>
      </c>
      <c r="AA17" s="17">
        <f>Z17*GBDUS!$O136/($T17+$W17+$X17+U17+V17)</f>
        <v>7.710372057648776E-4</v>
      </c>
      <c r="AB17" s="16">
        <f t="shared" si="12"/>
        <v>7.7004248146356679E-4</v>
      </c>
      <c r="AC17" s="16">
        <f t="shared" si="12"/>
        <v>7.7820815149021194E-4</v>
      </c>
      <c r="AD17" s="16">
        <f t="shared" si="12"/>
        <v>7.5509645731696817E-4</v>
      </c>
      <c r="AE17" s="16">
        <f t="shared" si="12"/>
        <v>7.3886296650876578E-4</v>
      </c>
      <c r="AF17" s="17">
        <f>Z17*GBDUS!$P136/($T17+$W17+$X17+U17+V17)</f>
        <v>5.7198543386356307E-3</v>
      </c>
      <c r="AG17" s="16">
        <f t="shared" si="13"/>
        <v>5.7124750862881978E-3</v>
      </c>
      <c r="AH17" s="16">
        <f t="shared" si="13"/>
        <v>5.7730512073632364E-3</v>
      </c>
      <c r="AI17" s="16">
        <f t="shared" si="13"/>
        <v>5.6015996571635177E-3</v>
      </c>
      <c r="AJ17" s="16">
        <f t="shared" si="13"/>
        <v>5.4811732988292432E-3</v>
      </c>
      <c r="AK17" s="17">
        <f>Z17*GBDUS!$Q136/($T17+$W17+$X17+U17+V17)</f>
        <v>0.58814028941317364</v>
      </c>
      <c r="AL17" s="16">
        <f t="shared" si="14"/>
        <v>0.58738152260648124</v>
      </c>
      <c r="AM17" s="16">
        <f t="shared" si="14"/>
        <v>0.59361022272213826</v>
      </c>
      <c r="AN17" s="16">
        <f t="shared" si="14"/>
        <v>0.57598082896753211</v>
      </c>
      <c r="AO17" s="16">
        <f t="shared" si="14"/>
        <v>0.56359806726584349</v>
      </c>
      <c r="AP17" s="17">
        <f t="shared" si="7"/>
        <v>-1.0888642444672808E-4</v>
      </c>
      <c r="AQ17" s="17">
        <f t="shared" si="8"/>
        <v>-8.0776191166067376E-4</v>
      </c>
      <c r="AR17" s="17">
        <f t="shared" si="9"/>
        <v>-8.3057591395652053E-2</v>
      </c>
      <c r="AS17" s="17">
        <f t="shared" si="15"/>
        <v>-8.3865353307312721E-2</v>
      </c>
    </row>
    <row r="18" spans="1:45" s="13" customFormat="1" ht="12.75" x14ac:dyDescent="0.2">
      <c r="A18" s="20">
        <v>1</v>
      </c>
      <c r="B18" s="20">
        <v>2</v>
      </c>
      <c r="C18" s="20" t="s">
        <v>35</v>
      </c>
      <c r="D18" s="17">
        <f>Scenario!AN34</f>
        <v>0.40295615512215294</v>
      </c>
      <c r="E18" s="17">
        <f>Scenario!AO34</f>
        <v>0.91315564161087048</v>
      </c>
      <c r="F18" s="17">
        <f>Scenario!AP34</f>
        <v>1.6092203250598482</v>
      </c>
      <c r="G18" s="17">
        <f>Scenario!AQ34</f>
        <v>2.8358693048399783</v>
      </c>
      <c r="H18" s="17">
        <f>Scenario!AR34</f>
        <v>6.4264809500197613</v>
      </c>
      <c r="I18" s="17">
        <f>IF((D18+'Non travel METs'!C18)&gt;2.5,(D18+'Non travel METs'!C18),0.1)</f>
        <v>6.902956155122153</v>
      </c>
      <c r="J18" s="17">
        <f>IF((E18+'Non travel METs'!D18)&gt;2.5,(E18+'Non travel METs'!D18),0.1)</f>
        <v>4.0381556416108708</v>
      </c>
      <c r="K18" s="17">
        <f>IF((F18+'Non travel METs'!E18)&gt;2.5,(F18+'Non travel METs'!E18),0.1)</f>
        <v>0.1</v>
      </c>
      <c r="L18" s="17">
        <f>IF((G18+'Non travel METs'!F18)&gt;2.5,(G18+'Non travel METs'!F18),0.1)</f>
        <v>2.8358693048399783</v>
      </c>
      <c r="M18" s="17">
        <f>IF((H18+'Non travel METs'!G18)&gt;2.5,(H18+'Non travel METs'!G18),0.1)</f>
        <v>6.4264809500197613</v>
      </c>
      <c r="N18" s="19">
        <f>'Phy activity RRs'!$K$4</f>
        <v>0.95590188686474464</v>
      </c>
      <c r="O18" s="15">
        <f>IF(('user page'!$N$39=0),$N18^(I18^0.25),IF(('user page'!$N$39=1),$N18^(I18^0.5),IF(('user page'!$N$39=2),$N18^(I18^0.375),IF(('user page'!$N$39=4),$N18^(I18),IF(('user page'!$N$39=3),$N18^(LN(1+I18)),"")))))</f>
        <v>0.88825769310997116</v>
      </c>
      <c r="P18" s="15">
        <f>IF(('user page'!$N$39=0),$N18^(J18^0.25),IF(('user page'!$N$39=1),$N18^(J18^0.5),IF(('user page'!$N$39=2),$N18^(J18^0.375),IF(('user page'!$N$39=4),$N18^(J18),IF(('user page'!$N$39=3),$N18^(LN(1+J18)),"")))))</f>
        <v>0.91335633543549921</v>
      </c>
      <c r="Q18" s="15">
        <f>IF(('user page'!$N$39=0),$N18^(K18^0.25),IF(('user page'!$N$39=1),$N18^(K18^0.5),IF(('user page'!$N$39=2),$N18^(K18^0.375),IF(('user page'!$N$39=4),$N18^(K18),IF(('user page'!$N$39=3),$N18^(LN(1+K18)),"")))))</f>
        <v>0.985839346491721</v>
      </c>
      <c r="R18" s="15">
        <f>IF(('user page'!$N$39=0),$N18^(L18^0.25),IF(('user page'!$N$39=1),$N18^(L18^0.5),IF(('user page'!$N$39=2),$N18^(L18^0.375),IF(('user page'!$N$39=4),$N18^(L18),IF(('user page'!$N$39=3),$N18^(LN(1+L18)),"")))))</f>
        <v>0.92686386637813944</v>
      </c>
      <c r="S18" s="15">
        <f>IF(('user page'!$N$39=0),$N18^(M18^0.25),IF(('user page'!$N$39=1),$N18^(M18^0.5),IF(('user page'!$N$39=2),$N18^(M18^0.375),IF(('user page'!$N$39=4),$N18^(M18),IF(('user page'!$N$39=3),$N18^(LN(1+M18)),"")))))</f>
        <v>0.89196286648356315</v>
      </c>
      <c r="T18" s="18">
        <f t="shared" si="10"/>
        <v>1</v>
      </c>
      <c r="U18" s="18">
        <f t="shared" si="10"/>
        <v>1.0282560370939795</v>
      </c>
      <c r="V18" s="18">
        <f t="shared" si="10"/>
        <v>1.1098573692506919</v>
      </c>
      <c r="W18" s="18">
        <f t="shared" si="10"/>
        <v>1.0434628076600161</v>
      </c>
      <c r="X18" s="18">
        <f t="shared" si="10"/>
        <v>1.0041712820528685</v>
      </c>
      <c r="Y18" s="213">
        <f t="shared" si="6"/>
        <v>3.3932925384927426E-2</v>
      </c>
      <c r="Z18" s="344">
        <f t="shared" si="11"/>
        <v>0.96606707461507257</v>
      </c>
      <c r="AA18" s="17">
        <f>Z18*GBDUS!$O137/($T18+$W18+$X18+U18+V18)</f>
        <v>2.1175446459809448E-3</v>
      </c>
      <c r="AB18" s="16">
        <f t="shared" si="12"/>
        <v>2.1773780660459402E-3</v>
      </c>
      <c r="AC18" s="16">
        <f t="shared" si="12"/>
        <v>2.3501725300592992E-3</v>
      </c>
      <c r="AD18" s="16">
        <f t="shared" si="12"/>
        <v>2.2095790816407113E-3</v>
      </c>
      <c r="AE18" s="16">
        <f t="shared" si="12"/>
        <v>2.1263775219588729E-3</v>
      </c>
      <c r="AF18" s="17">
        <f>Z18*GBDUS!$P137/($T18+$W18+$X18+U18+V18)</f>
        <v>6.5358439058461311E-3</v>
      </c>
      <c r="AG18" s="16">
        <f t="shared" si="13"/>
        <v>6.7205209536901796E-3</v>
      </c>
      <c r="AH18" s="16">
        <f t="shared" si="13"/>
        <v>7.2538545231755538E-3</v>
      </c>
      <c r="AI18" s="16">
        <f t="shared" si="13"/>
        <v>6.8199100324218102E-3</v>
      </c>
      <c r="AJ18" s="16">
        <f t="shared" si="13"/>
        <v>6.5631067542309372E-3</v>
      </c>
      <c r="AK18" s="17">
        <f>Z18*GBDUS!$Q137/($T18+$W18+$X18+U18+V18)</f>
        <v>0.30875694271440568</v>
      </c>
      <c r="AL18" s="16">
        <f t="shared" si="14"/>
        <v>0.31748119034076761</v>
      </c>
      <c r="AM18" s="16">
        <f t="shared" si="14"/>
        <v>0.34267616817889684</v>
      </c>
      <c r="AN18" s="16">
        <f t="shared" si="14"/>
        <v>0.32217638632929652</v>
      </c>
      <c r="AO18" s="16">
        <f t="shared" si="14"/>
        <v>0.31004485500824885</v>
      </c>
      <c r="AP18" s="17">
        <f t="shared" si="7"/>
        <v>-3.8570739311878871E-4</v>
      </c>
      <c r="AQ18" s="17">
        <f t="shared" si="8"/>
        <v>-1.1904935839439756E-3</v>
      </c>
      <c r="AR18" s="17">
        <f t="shared" si="9"/>
        <v>-5.6239586592769841E-2</v>
      </c>
      <c r="AS18" s="17">
        <f t="shared" si="15"/>
        <v>-5.7430080176713819E-2</v>
      </c>
    </row>
    <row r="19" spans="1:45" s="13" customFormat="1" ht="12.75" x14ac:dyDescent="0.2">
      <c r="A19" s="20"/>
      <c r="B19" s="20"/>
      <c r="C19" s="20"/>
      <c r="D19" s="17"/>
      <c r="E19" s="16"/>
      <c r="F19" s="17"/>
      <c r="G19" s="16"/>
      <c r="H19" s="17"/>
      <c r="I19" s="17">
        <f>IF((D19+'Non travel METs'!C19)&gt;2.5,(D19+'Non travel METs'!C19),0.1)</f>
        <v>0.1</v>
      </c>
      <c r="J19" s="17">
        <f>IF((E19+'Non travel METs'!D19)&gt;2.5,(E19+'Non travel METs'!D19),0.1)</f>
        <v>0.1</v>
      </c>
      <c r="K19" s="17">
        <f>IF((F19+'Non travel METs'!E19)&gt;2.5,(F19+'Non travel METs'!E19),0.1)</f>
        <v>0.1</v>
      </c>
      <c r="L19" s="17">
        <f>IF((G19+'Non travel METs'!F19)&gt;2.5,(G19+'Non travel METs'!F19),0.1)</f>
        <v>0.1</v>
      </c>
      <c r="M19" s="17">
        <f>IF((H19+'Non travel METs'!G19)&gt;2.5,(H19+'Non travel METs'!G19),0.1)</f>
        <v>0.1</v>
      </c>
      <c r="N19" s="15"/>
      <c r="O19" s="15"/>
      <c r="P19" s="15"/>
      <c r="Q19" s="15"/>
      <c r="R19" s="15"/>
      <c r="S19" s="15"/>
      <c r="T19" s="18"/>
      <c r="U19" s="18"/>
      <c r="V19" s="18"/>
      <c r="W19" s="18"/>
      <c r="X19" s="18"/>
      <c r="Y19" s="18"/>
      <c r="Z19" s="16"/>
      <c r="AA19" s="17"/>
      <c r="AB19" s="16"/>
      <c r="AC19" s="16"/>
      <c r="AD19" s="16"/>
      <c r="AE19" s="16"/>
      <c r="AF19" s="17"/>
      <c r="AG19" s="16"/>
      <c r="AH19" s="16"/>
      <c r="AI19" s="16"/>
      <c r="AJ19" s="16"/>
      <c r="AK19" s="17"/>
      <c r="AL19" s="16"/>
      <c r="AM19" s="16"/>
      <c r="AN19" s="16"/>
      <c r="AO19" s="16"/>
      <c r="AP19" s="21">
        <f>SUM(AP3:AP18)</f>
        <v>-9.4521688264828044E-4</v>
      </c>
      <c r="AQ19" s="21">
        <f>SUM(AQ3:AQ18)</f>
        <v>-5.0086803684183841E-3</v>
      </c>
      <c r="AR19" s="21">
        <f>SUM(AR3:AR18)</f>
        <v>-0.89421898236933361</v>
      </c>
      <c r="AS19" s="21">
        <f>SUM(AS3:AS18)</f>
        <v>-0.8992276627377519</v>
      </c>
    </row>
    <row r="20" spans="1:45" s="13" customFormat="1" ht="12.75" x14ac:dyDescent="0.2">
      <c r="A20" s="20">
        <v>0</v>
      </c>
      <c r="B20" s="20">
        <v>1</v>
      </c>
      <c r="C20" s="20" t="s">
        <v>2</v>
      </c>
      <c r="D20" s="17"/>
      <c r="E20" s="17"/>
      <c r="F20" s="17"/>
      <c r="G20" s="17"/>
      <c r="H20" s="17"/>
      <c r="I20" s="17">
        <f>IF((D20+'Non travel METs'!C20)&gt;2.5,(D20+'Non travel METs'!C20),0.1)</f>
        <v>0.1</v>
      </c>
      <c r="J20" s="17">
        <f>IF((E20+'Non travel METs'!D20)&gt;2.5,(E20+'Non travel METs'!D20),0.1)</f>
        <v>0.1</v>
      </c>
      <c r="K20" s="17">
        <f>IF((F20+'Non travel METs'!E20)&gt;2.5,(F20+'Non travel METs'!E20),0.1)</f>
        <v>0.1</v>
      </c>
      <c r="L20" s="17">
        <f>IF((G20+'Non travel METs'!F20)&gt;2.5,(G20+'Non travel METs'!F20),0.1)</f>
        <v>0.1</v>
      </c>
      <c r="M20" s="17">
        <f>IF((H20+'Non travel METs'!G20)&gt;2.5,(H20+'Non travel METs'!G20),0.1)</f>
        <v>0.1</v>
      </c>
      <c r="N20" s="15"/>
      <c r="O20" s="15"/>
      <c r="P20" s="15"/>
      <c r="Q20" s="15"/>
      <c r="R20" s="15"/>
      <c r="S20" s="15"/>
      <c r="T20" s="18"/>
      <c r="U20" s="18"/>
      <c r="V20" s="18"/>
      <c r="W20" s="18"/>
      <c r="X20" s="18"/>
      <c r="Y20" s="18"/>
      <c r="Z20" s="16"/>
      <c r="AA20" s="17"/>
      <c r="AB20" s="16"/>
      <c r="AC20" s="16"/>
      <c r="AD20" s="16"/>
      <c r="AE20" s="16"/>
      <c r="AF20" s="17"/>
      <c r="AG20" s="16"/>
      <c r="AH20" s="16"/>
      <c r="AI20" s="16"/>
      <c r="AJ20" s="16"/>
      <c r="AK20" s="17"/>
      <c r="AL20" s="16"/>
      <c r="AM20" s="16"/>
      <c r="AN20" s="16"/>
      <c r="AO20" s="16"/>
      <c r="AP20" s="33">
        <f>AP19/GBDUS!O138</f>
        <v>-2.6843887805398779E-2</v>
      </c>
      <c r="AQ20" s="33">
        <f>AQ19/GBDUS!P138</f>
        <v>-2.3420157221437324E-2</v>
      </c>
      <c r="AR20" s="33">
        <f>AR19/GBDUS!Q138</f>
        <v>-1.7300414190128791E-2</v>
      </c>
      <c r="AS20" s="33">
        <f>AS19/GBDUS!R138</f>
        <v>-1.7325630764858942E-2</v>
      </c>
    </row>
    <row r="21" spans="1:45" s="13" customFormat="1" ht="12.75" x14ac:dyDescent="0.2">
      <c r="A21" s="20">
        <v>0</v>
      </c>
      <c r="B21" s="20">
        <v>1</v>
      </c>
      <c r="C21" s="20" t="s">
        <v>41</v>
      </c>
      <c r="D21" s="17"/>
      <c r="E21" s="17"/>
      <c r="F21" s="17"/>
      <c r="G21" s="17"/>
      <c r="H21" s="17"/>
      <c r="I21" s="17">
        <f>IF((D21+'Non travel METs'!C21)&gt;2.5,(D21+'Non travel METs'!C21),0.1)</f>
        <v>0.1</v>
      </c>
      <c r="J21" s="17">
        <f>IF((E21+'Non travel METs'!D21)&gt;2.5,(E21+'Non travel METs'!D21),0.1)</f>
        <v>0.1</v>
      </c>
      <c r="K21" s="17">
        <f>IF((F21+'Non travel METs'!E21)&gt;2.5,(F21+'Non travel METs'!E21),0.1)</f>
        <v>0.1</v>
      </c>
      <c r="L21" s="17">
        <f>IF((G21+'Non travel METs'!F21)&gt;2.5,(G21+'Non travel METs'!F21),0.1)</f>
        <v>0.1</v>
      </c>
      <c r="M21" s="17">
        <f>IF((H21+'Non travel METs'!G21)&gt;2.5,(H21+'Non travel METs'!G21),0.1)</f>
        <v>0.1</v>
      </c>
      <c r="N21" s="15"/>
      <c r="O21" s="15"/>
      <c r="P21" s="15"/>
      <c r="Q21" s="15"/>
      <c r="R21" s="15"/>
      <c r="S21" s="15"/>
      <c r="T21" s="18"/>
      <c r="U21" s="18"/>
      <c r="V21" s="18"/>
      <c r="W21" s="18"/>
      <c r="X21" s="18"/>
      <c r="Y21" s="18"/>
      <c r="Z21" s="16"/>
      <c r="AA21" s="17"/>
      <c r="AB21" s="16"/>
      <c r="AC21" s="16"/>
      <c r="AD21" s="16"/>
      <c r="AE21" s="16"/>
      <c r="AF21" s="17"/>
      <c r="AG21" s="16"/>
      <c r="AH21" s="16"/>
      <c r="AI21" s="16"/>
      <c r="AJ21" s="16"/>
      <c r="AK21" s="17"/>
      <c r="AL21" s="16"/>
      <c r="AM21" s="16"/>
      <c r="AN21" s="16"/>
      <c r="AO21" s="16"/>
      <c r="AP21" s="15"/>
      <c r="AQ21" s="15"/>
      <c r="AR21" s="15"/>
      <c r="AS21" s="15"/>
    </row>
    <row r="22" spans="1:45" s="13" customFormat="1" ht="12.75" x14ac:dyDescent="0.2">
      <c r="A22" s="20">
        <v>0</v>
      </c>
      <c r="B22" s="20">
        <v>1</v>
      </c>
      <c r="C22" s="20" t="s">
        <v>40</v>
      </c>
      <c r="D22" s="17">
        <f>Baseline!AN21</f>
        <v>0.60295678095886318</v>
      </c>
      <c r="E22" s="17">
        <f>Baseline!AO21</f>
        <v>1.3663853478381727</v>
      </c>
      <c r="F22" s="17">
        <f>Baseline!AP21</f>
        <v>2.4079302294253959</v>
      </c>
      <c r="G22" s="17">
        <f>Baseline!AQ21</f>
        <v>4.2434061510935761</v>
      </c>
      <c r="H22" s="17">
        <f>Baseline!AR21</f>
        <v>9.6161585255912687</v>
      </c>
      <c r="I22" s="17">
        <f>IF((D22+'Non travel METs'!C22)&gt;2.5,(D22+'Non travel METs'!C22),0.1)</f>
        <v>58.40295678095886</v>
      </c>
      <c r="J22" s="17">
        <f>IF((E22+'Non travel METs'!D22)&gt;2.5,(E22+'Non travel METs'!D22),0.1)</f>
        <v>42.366385347838175</v>
      </c>
      <c r="K22" s="17">
        <f>IF((F22+'Non travel METs'!E22)&gt;2.5,(F22+'Non travel METs'!E22),0.1)</f>
        <v>47.907930229425396</v>
      </c>
      <c r="L22" s="17">
        <f>IF((G22+'Non travel METs'!F22)&gt;2.5,(G22+'Non travel METs'!F22),0.1)</f>
        <v>42.168406151093571</v>
      </c>
      <c r="M22" s="17">
        <f>IF((H22+'Non travel METs'!G22)&gt;2.5,(H22+'Non travel METs'!G22),0.1)</f>
        <v>50.616158525591267</v>
      </c>
      <c r="N22" s="19">
        <f t="shared" ref="N22:N27" si="16">N5</f>
        <v>0.97795094343237232</v>
      </c>
      <c r="O22" s="15">
        <f>IF(('user page'!$N$39=0),$N22^(I22^0.25),IF(('user page'!$N$39=1),$N22^(I22^0.5),IF(('user page'!$N$39=2),$N22^(I22^0.375),IF(('user page'!$N$39=4),$N22^(I22),IF(('user page'!$N$39=3),$N22^(LN(1+I22)),"")))))</f>
        <v>0.84333724250522502</v>
      </c>
      <c r="P22" s="15">
        <f>IF(('user page'!$N$39=0),$N22^(J22^0.25),IF(('user page'!$N$39=1),$N22^(J22^0.5),IF(('user page'!$N$39=2),$N22^(J22^0.375),IF(('user page'!$N$39=4),$N22^(J22),IF(('user page'!$N$39=3),$N22^(LN(1+J22)),"")))))</f>
        <v>0.86491678636657998</v>
      </c>
      <c r="Q22" s="15">
        <f>IF(('user page'!$N$39=0),$N22^(K22^0.25),IF(('user page'!$N$39=1),$N22^(K22^0.5),IF(('user page'!$N$39=2),$N22^(K22^0.375),IF(('user page'!$N$39=4),$N22^(K22),IF(('user page'!$N$39=3),$N22^(LN(1+K22)),"")))))</f>
        <v>0.85699652861879416</v>
      </c>
      <c r="R22" s="15">
        <f>IF(('user page'!$N$39=0),$N22^(L22^0.25),IF(('user page'!$N$39=1),$N22^(L22^0.5),IF(('user page'!$N$39=2),$N22^(L22^0.375),IF(('user page'!$N$39=4),$N22^(L22),IF(('user page'!$N$39=3),$N22^(LN(1+L22)),"")))))</f>
        <v>0.86521045505304106</v>
      </c>
      <c r="S22" s="15">
        <f>IF(('user page'!$N$39=0),$N22^(M22^0.25),IF(('user page'!$N$39=1),$N22^(M22^0.5),IF(('user page'!$N$39=2),$N22^(M22^0.375),IF(('user page'!$N$39=4),$N22^(M22),IF(('user page'!$N$39=3),$N22^(LN(1+M22)),"")))))</f>
        <v>0.8533177147189992</v>
      </c>
      <c r="T22" s="18">
        <f t="shared" ref="T22:X27" si="17">O22/$O22</f>
        <v>1</v>
      </c>
      <c r="U22" s="18">
        <f t="shared" si="17"/>
        <v>1.0255882733190469</v>
      </c>
      <c r="V22" s="18">
        <f t="shared" si="17"/>
        <v>1.0161967068749302</v>
      </c>
      <c r="W22" s="18">
        <f t="shared" si="17"/>
        <v>1.0259364954437911</v>
      </c>
      <c r="X22" s="18">
        <f t="shared" si="17"/>
        <v>1.0118344971747317</v>
      </c>
      <c r="Y22" s="18"/>
      <c r="Z22" s="16"/>
      <c r="AA22" s="17">
        <f>GBDUS!O124/($T22+$W22+$X22+U22+V22)</f>
        <v>0</v>
      </c>
      <c r="AB22" s="16">
        <f t="shared" ref="AB22:AE27" si="18">$AA22*U22</f>
        <v>0</v>
      </c>
      <c r="AC22" s="16">
        <f t="shared" si="18"/>
        <v>0</v>
      </c>
      <c r="AD22" s="16">
        <f t="shared" si="18"/>
        <v>0</v>
      </c>
      <c r="AE22" s="16">
        <f t="shared" si="18"/>
        <v>0</v>
      </c>
      <c r="AF22" s="17">
        <f>GBDUS!P124/($T22+$W22+$X22+U22+V22)</f>
        <v>0</v>
      </c>
      <c r="AG22" s="16">
        <f t="shared" ref="AG22:AJ27" si="19">$AF22*U22</f>
        <v>0</v>
      </c>
      <c r="AH22" s="16">
        <f t="shared" si="19"/>
        <v>0</v>
      </c>
      <c r="AI22" s="16">
        <f t="shared" si="19"/>
        <v>0</v>
      </c>
      <c r="AJ22" s="16">
        <f t="shared" si="19"/>
        <v>0</v>
      </c>
      <c r="AK22" s="17">
        <f>GBDUS!Q124/($T22+$W22+$X22+U22+V22)</f>
        <v>0.62530394212727047</v>
      </c>
      <c r="AL22" s="16">
        <f t="shared" ref="AL22:AO27" si="20">$AK22*U22</f>
        <v>0.64130439030590058</v>
      </c>
      <c r="AM22" s="16">
        <f t="shared" si="20"/>
        <v>0.63543180678564426</v>
      </c>
      <c r="AN22" s="16">
        <f t="shared" si="20"/>
        <v>0.64152213497323907</v>
      </c>
      <c r="AO22" s="16">
        <f t="shared" si="20"/>
        <v>0.63270409986372422</v>
      </c>
      <c r="AP22" s="15"/>
      <c r="AQ22" s="15"/>
      <c r="AR22" s="15"/>
      <c r="AS22" s="15"/>
    </row>
    <row r="23" spans="1:45" s="13" customFormat="1" ht="12.75" x14ac:dyDescent="0.2">
      <c r="A23" s="20">
        <v>0</v>
      </c>
      <c r="B23" s="20">
        <v>1</v>
      </c>
      <c r="C23" s="20" t="s">
        <v>39</v>
      </c>
      <c r="D23" s="17">
        <f>Baseline!AN22</f>
        <v>0.34976362929541344</v>
      </c>
      <c r="E23" s="17">
        <f>Baseline!AO22</f>
        <v>0.79261385453854083</v>
      </c>
      <c r="F23" s="17">
        <f>Baseline!AP22</f>
        <v>1.396794003700613</v>
      </c>
      <c r="G23" s="17">
        <f>Baseline!AQ22</f>
        <v>2.4615182760208985</v>
      </c>
      <c r="H23" s="17">
        <f>Baseline!AR22</f>
        <v>5.5781485705196889</v>
      </c>
      <c r="I23" s="17">
        <f>IF((D23+'Non travel METs'!C23)&gt;2.5,(D23+'Non travel METs'!C23),0.1)</f>
        <v>51.599763629295417</v>
      </c>
      <c r="J23" s="17">
        <f>IF((E23+'Non travel METs'!D23)&gt;2.5,(E23+'Non travel METs'!D23),0.1)</f>
        <v>52.042613854538544</v>
      </c>
      <c r="K23" s="17">
        <f>IF((F23+'Non travel METs'!E23)&gt;2.5,(F23+'Non travel METs'!E23),0.1)</f>
        <v>66.14679400370062</v>
      </c>
      <c r="L23" s="17">
        <f>IF((G23+'Non travel METs'!F23)&gt;2.5,(G23+'Non travel METs'!F23),0.1)</f>
        <v>48.586518276020897</v>
      </c>
      <c r="M23" s="17">
        <f>IF((H23+'Non travel METs'!G23)&gt;2.5,(H23+'Non travel METs'!G23),0.1)</f>
        <v>50.378148570519684</v>
      </c>
      <c r="N23" s="19">
        <f t="shared" si="16"/>
        <v>0.95590188686474464</v>
      </c>
      <c r="O23" s="15">
        <f>IF(('user page'!$N$39=0),$N23^(I23^0.25),IF(('user page'!$N$39=1),$N23^(I23^0.5),IF(('user page'!$N$39=2),$N23^(I23^0.375),IF(('user page'!$N$39=4),$N23^(I23),IF(('user page'!$N$39=3),$N23^(LN(1+I23)),"")))))</f>
        <v>0.72327431304845458</v>
      </c>
      <c r="P23" s="15">
        <f>IF(('user page'!$N$39=0),$N23^(J23^0.25),IF(('user page'!$N$39=1),$N23^(J23^0.5),IF(('user page'!$N$39=2),$N23^(J23^0.375),IF(('user page'!$N$39=4),$N23^(J23),IF(('user page'!$N$39=3),$N23^(LN(1+J23)),"")))))</f>
        <v>0.72227165564884288</v>
      </c>
      <c r="Q23" s="15">
        <f>IF(('user page'!$N$39=0),$N23^(K23^0.25),IF(('user page'!$N$39=1),$N23^(K23^0.5),IF(('user page'!$N$39=2),$N23^(K23^0.375),IF(('user page'!$N$39=4),$N23^(K23),IF(('user page'!$N$39=3),$N23^(LN(1+K23)),"")))))</f>
        <v>0.69294727580167081</v>
      </c>
      <c r="R23" s="15">
        <f>IF(('user page'!$N$39=0),$N23^(L23^0.25),IF(('user page'!$N$39=1),$N23^(L23^0.5),IF(('user page'!$N$39=2),$N23^(L23^0.375),IF(('user page'!$N$39=4),$N23^(L23),IF(('user page'!$N$39=3),$N23^(LN(1+L23)),"")))))</f>
        <v>0.73025230866304247</v>
      </c>
      <c r="S23" s="15">
        <f>IF(('user page'!$N$39=0),$N23^(M23^0.25),IF(('user page'!$N$39=1),$N23^(M23^0.5),IF(('user page'!$N$39=2),$N23^(M23^0.375),IF(('user page'!$N$39=4),$N23^(M23),IF(('user page'!$N$39=3),$N23^(LN(1+M23)),"")))))</f>
        <v>0.72607002032400614</v>
      </c>
      <c r="T23" s="18">
        <f t="shared" si="17"/>
        <v>1</v>
      </c>
      <c r="U23" s="18">
        <f t="shared" si="17"/>
        <v>0.99861372458343545</v>
      </c>
      <c r="V23" s="18">
        <f t="shared" si="17"/>
        <v>0.95806979910711687</v>
      </c>
      <c r="W23" s="18">
        <f t="shared" si="17"/>
        <v>1.0096477857552788</v>
      </c>
      <c r="X23" s="18">
        <f t="shared" si="17"/>
        <v>1.0038653484924249</v>
      </c>
      <c r="Y23" s="18"/>
      <c r="Z23" s="16"/>
      <c r="AA23" s="17">
        <f>GBDUS!O125/($T23+$W23+$X23+U23+V23)</f>
        <v>4.7295073838132894E-5</v>
      </c>
      <c r="AB23" s="16">
        <f t="shared" si="18"/>
        <v>4.7229509839946484E-5</v>
      </c>
      <c r="AC23" s="16">
        <f t="shared" si="18"/>
        <v>4.531198189085624E-5</v>
      </c>
      <c r="AD23" s="16">
        <f t="shared" si="18"/>
        <v>4.7751366577803293E-5</v>
      </c>
      <c r="AE23" s="16">
        <f t="shared" si="18"/>
        <v>4.7477885780492249E-5</v>
      </c>
      <c r="AF23" s="17">
        <f>GBDUS!P125/($T23+$W23+$X23+U23+V23)</f>
        <v>1.1606772100331514E-3</v>
      </c>
      <c r="AG23" s="16">
        <f t="shared" si="19"/>
        <v>1.1590681917503158E-3</v>
      </c>
      <c r="AH23" s="16">
        <f t="shared" si="19"/>
        <v>1.1120097814446702E-3</v>
      </c>
      <c r="AI23" s="16">
        <f t="shared" si="19"/>
        <v>1.171875175086586E-3</v>
      </c>
      <c r="AJ23" s="16">
        <f t="shared" si="19"/>
        <v>1.1651636319371451E-3</v>
      </c>
      <c r="AK23" s="17">
        <f>GBDUS!Q125/($T23+$W23+$X23+U23+V23)</f>
        <v>0.73787829548793316</v>
      </c>
      <c r="AL23" s="16">
        <f t="shared" si="20"/>
        <v>0.73685539294648172</v>
      </c>
      <c r="AM23" s="16">
        <f t="shared" si="20"/>
        <v>0.70693891032362599</v>
      </c>
      <c r="AN23" s="16">
        <f t="shared" si="20"/>
        <v>0.74499718719627106</v>
      </c>
      <c r="AO23" s="16">
        <f t="shared" si="20"/>
        <v>0.74073045224499046</v>
      </c>
      <c r="AP23" s="15"/>
      <c r="AQ23" s="15"/>
      <c r="AR23" s="15"/>
      <c r="AS23" s="15"/>
    </row>
    <row r="24" spans="1:45" s="13" customFormat="1" ht="12.75" x14ac:dyDescent="0.2">
      <c r="A24" s="20">
        <v>0</v>
      </c>
      <c r="B24" s="20">
        <v>1</v>
      </c>
      <c r="C24" s="20" t="s">
        <v>38</v>
      </c>
      <c r="D24" s="17">
        <f>Baseline!AN23</f>
        <v>0.35151125659111732</v>
      </c>
      <c r="E24" s="17">
        <f>Baseline!AO23</f>
        <v>0.79657422517494758</v>
      </c>
      <c r="F24" s="17">
        <f>Baseline!AP23</f>
        <v>1.4037732180124616</v>
      </c>
      <c r="G24" s="17">
        <f>Baseline!AQ23</f>
        <v>2.4738174865955198</v>
      </c>
      <c r="H24" s="17">
        <f>Baseline!AR23</f>
        <v>5.6060203212816786</v>
      </c>
      <c r="I24" s="17">
        <f>IF((D24+'Non travel METs'!C24)&gt;2.5,(D24+'Non travel METs'!C24),0.1)</f>
        <v>58.626511256591115</v>
      </c>
      <c r="J24" s="17">
        <f>IF((E24+'Non travel METs'!D24)&gt;2.5,(E24+'Non travel METs'!D24),0.1)</f>
        <v>62.29657422517495</v>
      </c>
      <c r="K24" s="17">
        <f>IF((F24+'Non travel METs'!E24)&gt;2.5,(F24+'Non travel METs'!E24),0.1)</f>
        <v>55.128773218012462</v>
      </c>
      <c r="L24" s="17">
        <f>IF((G24+'Non travel METs'!F24)&gt;2.5,(G24+'Non travel METs'!F24),0.1)</f>
        <v>54.673817486595524</v>
      </c>
      <c r="M24" s="17">
        <f>IF((H24+'Non travel METs'!G24)&gt;2.5,(H24+'Non travel METs'!G24),0.1)</f>
        <v>52.306020321281679</v>
      </c>
      <c r="N24" s="19">
        <f t="shared" si="16"/>
        <v>0.95590188686474464</v>
      </c>
      <c r="O24" s="15">
        <f>IF(('user page'!$N$39=0),$N24^(I24^0.25),IF(('user page'!$N$39=1),$N24^(I24^0.5),IF(('user page'!$N$39=2),$N24^(I24^0.375),IF(('user page'!$N$39=4),$N24^(I24),IF(('user page'!$N$39=3),$N24^(LN(1+I24)),"")))))</f>
        <v>0.70799272613154107</v>
      </c>
      <c r="P24" s="15">
        <f>IF(('user page'!$N$39=0),$N24^(J24^0.25),IF(('user page'!$N$39=1),$N24^(J24^0.5),IF(('user page'!$N$39=2),$N24^(J24^0.375),IF(('user page'!$N$39=4),$N24^(J24),IF(('user page'!$N$39=3),$N24^(LN(1+J24)),"")))))</f>
        <v>0.70049637591789493</v>
      </c>
      <c r="Q24" s="15">
        <f>IF(('user page'!$N$39=0),$N24^(K24^0.25),IF(('user page'!$N$39=1),$N24^(K24^0.5),IF(('user page'!$N$39=2),$N24^(K24^0.375),IF(('user page'!$N$39=4),$N24^(K24),IF(('user page'!$N$39=3),$N24^(LN(1+K24)),"")))))</f>
        <v>0.71543689851845971</v>
      </c>
      <c r="R24" s="15">
        <f>IF(('user page'!$N$39=0),$N24^(L24^0.25),IF(('user page'!$N$39=1),$N24^(L24^0.5),IF(('user page'!$N$39=2),$N24^(L24^0.375),IF(('user page'!$N$39=4),$N24^(L24),IF(('user page'!$N$39=3),$N24^(LN(1+L24)),"")))))</f>
        <v>0.71642818082734883</v>
      </c>
      <c r="S24" s="15">
        <f>IF(('user page'!$N$39=0),$N24^(M24^0.25),IF(('user page'!$N$39=1),$N24^(M24^0.5),IF(('user page'!$N$39=2),$N24^(M24^0.375),IF(('user page'!$N$39=4),$N24^(M24),IF(('user page'!$N$39=3),$N24^(LN(1+M24)),"")))))</f>
        <v>0.72167795577527805</v>
      </c>
      <c r="T24" s="18">
        <f t="shared" si="17"/>
        <v>1</v>
      </c>
      <c r="U24" s="18">
        <f t="shared" si="17"/>
        <v>0.98941182594543586</v>
      </c>
      <c r="V24" s="18">
        <f t="shared" si="17"/>
        <v>1.0105144758020232</v>
      </c>
      <c r="W24" s="18">
        <f t="shared" si="17"/>
        <v>1.0119146064422144</v>
      </c>
      <c r="X24" s="18">
        <f t="shared" si="17"/>
        <v>1.0193296189898911</v>
      </c>
      <c r="Y24" s="18"/>
      <c r="Z24" s="16"/>
      <c r="AA24" s="17">
        <f>GBDUS!O126/($T24+$W24+$X24+U24+V24)</f>
        <v>3.5598536162179963E-4</v>
      </c>
      <c r="AB24" s="16">
        <f t="shared" si="18"/>
        <v>3.5221612665207108E-4</v>
      </c>
      <c r="AC24" s="16">
        <f t="shared" si="18"/>
        <v>3.5972836109244655E-4</v>
      </c>
      <c r="AD24" s="16">
        <f t="shared" si="18"/>
        <v>3.6022678710471274E-4</v>
      </c>
      <c r="AE24" s="16">
        <f t="shared" si="18"/>
        <v>3.6286642302792762E-4</v>
      </c>
      <c r="AF24" s="17">
        <f>GBDUS!P126/($T24+$W24+$X24+U24+V24)</f>
        <v>5.308933811671644E-3</v>
      </c>
      <c r="AG24" s="16">
        <f t="shared" si="19"/>
        <v>5.2527218964295037E-3</v>
      </c>
      <c r="AH24" s="16">
        <f t="shared" si="19"/>
        <v>5.3647544677690086E-3</v>
      </c>
      <c r="AI24" s="16">
        <f t="shared" si="19"/>
        <v>5.3721876686654768E-3</v>
      </c>
      <c r="AJ24" s="16">
        <f t="shared" si="19"/>
        <v>5.411553479493807E-3</v>
      </c>
      <c r="AK24" s="17">
        <f>GBDUS!Q126/($T24+$W24+$X24+U24+V24)</f>
        <v>1.0828255851437343</v>
      </c>
      <c r="AL24" s="16">
        <f t="shared" si="20"/>
        <v>1.0713604393774971</v>
      </c>
      <c r="AM24" s="16">
        <f t="shared" si="20"/>
        <v>1.0942109285565398</v>
      </c>
      <c r="AN24" s="16">
        <f t="shared" si="20"/>
        <v>1.0957270258362823</v>
      </c>
      <c r="AO24" s="16">
        <f t="shared" si="20"/>
        <v>1.1037561911370686</v>
      </c>
      <c r="AP24" s="15"/>
      <c r="AQ24" s="15"/>
      <c r="AR24" s="15"/>
      <c r="AS24" s="15"/>
    </row>
    <row r="25" spans="1:45" s="13" customFormat="1" ht="12.75" x14ac:dyDescent="0.2">
      <c r="A25" s="20">
        <v>0</v>
      </c>
      <c r="B25" s="20">
        <v>1</v>
      </c>
      <c r="C25" s="20" t="s">
        <v>37</v>
      </c>
      <c r="D25" s="17">
        <f>Baseline!AN24</f>
        <v>0.31868617612515476</v>
      </c>
      <c r="E25" s="17">
        <f>Baseline!AO24</f>
        <v>0.72218795006087733</v>
      </c>
      <c r="F25" s="17">
        <f>Baseline!AP24</f>
        <v>1.2726850438126185</v>
      </c>
      <c r="G25" s="17">
        <f>Baseline!AQ24</f>
        <v>2.2428056582885252</v>
      </c>
      <c r="H25" s="17">
        <f>Baseline!AR24</f>
        <v>5.0825148440333541</v>
      </c>
      <c r="I25" s="17">
        <f>IF((D25+'Non travel METs'!C25)&gt;2.5,(D25+'Non travel METs'!C25),0.1)</f>
        <v>41.318686176125155</v>
      </c>
      <c r="J25" s="17">
        <f>IF((E25+'Non travel METs'!D25)&gt;2.5,(E25+'Non travel METs'!D25),0.1)</f>
        <v>31.972187950060878</v>
      </c>
      <c r="K25" s="17">
        <f>IF((F25+'Non travel METs'!E25)&gt;2.5,(F25+'Non travel METs'!E25),0.1)</f>
        <v>45.356018377145915</v>
      </c>
      <c r="L25" s="17">
        <f>IF((G25+'Non travel METs'!F25)&gt;2.5,(G25+'Non travel METs'!F25),0.1)</f>
        <v>44.742805658288525</v>
      </c>
      <c r="M25" s="17">
        <f>IF((H25+'Non travel METs'!G25)&gt;2.5,(H25+'Non travel METs'!G25),0.1)</f>
        <v>37.882514844033352</v>
      </c>
      <c r="N25" s="19">
        <f t="shared" si="16"/>
        <v>0.95590188686474464</v>
      </c>
      <c r="O25" s="15">
        <f>IF(('user page'!$N$39=0),$N25^(I25^0.25),IF(('user page'!$N$39=1),$N25^(I25^0.5),IF(('user page'!$N$39=2),$N25^(I25^0.375),IF(('user page'!$N$39=4),$N25^(I25),IF(('user page'!$N$39=3),$N25^(LN(1+I25)),"")))))</f>
        <v>0.74833760923983506</v>
      </c>
      <c r="P25" s="15">
        <f>IF(('user page'!$N$39=0),$N25^(J25^0.25),IF(('user page'!$N$39=1),$N25^(J25^0.5),IF(('user page'!$N$39=2),$N25^(J25^0.375),IF(('user page'!$N$39=4),$N25^(J25),IF(('user page'!$N$39=3),$N25^(LN(1+J25)),"")))))</f>
        <v>0.77490624202864078</v>
      </c>
      <c r="Q25" s="15">
        <f>IF(('user page'!$N$39=0),$N25^(K25^0.25),IF(('user page'!$N$39=1),$N25^(K25^0.5),IF(('user page'!$N$39=2),$N25^(K25^0.375),IF(('user page'!$N$39=4),$N25^(K25),IF(('user page'!$N$39=3),$N25^(LN(1+K25)),"")))))</f>
        <v>0.73805685715182023</v>
      </c>
      <c r="R25" s="15">
        <f>IF(('user page'!$N$39=0),$N25^(L25^0.25),IF(('user page'!$N$39=1),$N25^(L25^0.5),IF(('user page'!$N$39=2),$N25^(L25^0.375),IF(('user page'!$N$39=4),$N25^(L25),IF(('user page'!$N$39=3),$N25^(LN(1+L25)),"")))))</f>
        <v>0.73957899127162263</v>
      </c>
      <c r="S25" s="15">
        <f>IF(('user page'!$N$39=0),$N25^(M25^0.25),IF(('user page'!$N$39=1),$N25^(M25^0.5),IF(('user page'!$N$39=2),$N25^(M25^0.375),IF(('user page'!$N$39=4),$N25^(M25),IF(('user page'!$N$39=3),$N25^(LN(1+M25)),"")))))</f>
        <v>0.75761118976326081</v>
      </c>
      <c r="T25" s="18">
        <f t="shared" si="17"/>
        <v>1</v>
      </c>
      <c r="U25" s="18">
        <f t="shared" si="17"/>
        <v>1.0355035380565656</v>
      </c>
      <c r="V25" s="18">
        <f t="shared" si="17"/>
        <v>0.98626187971701962</v>
      </c>
      <c r="W25" s="18">
        <f t="shared" si="17"/>
        <v>0.98829590032617831</v>
      </c>
      <c r="X25" s="18">
        <f t="shared" si="17"/>
        <v>1.012392241695357</v>
      </c>
      <c r="Y25" s="18"/>
      <c r="Z25" s="16"/>
      <c r="AA25" s="17">
        <f>GBDUS!O127/($T25+$W25+$X25+U25+V25)</f>
        <v>2.0522492455291762E-4</v>
      </c>
      <c r="AB25" s="16">
        <f t="shared" si="18"/>
        <v>2.1251113547193795E-4</v>
      </c>
      <c r="AC25" s="16">
        <f t="shared" si="18"/>
        <v>2.0240551985434407E-4</v>
      </c>
      <c r="AD25" s="16">
        <f t="shared" si="18"/>
        <v>2.0282295158039775E-4</v>
      </c>
      <c r="AE25" s="16">
        <f t="shared" si="18"/>
        <v>2.0776812141988879E-4</v>
      </c>
      <c r="AF25" s="17">
        <f>GBDUS!P127/($T25+$W25+$X25+U25+V25)</f>
        <v>2.3047283850201345E-3</v>
      </c>
      <c r="AG25" s="16">
        <f t="shared" si="19"/>
        <v>2.3865543969477437E-3</v>
      </c>
      <c r="AH25" s="16">
        <f t="shared" si="19"/>
        <v>2.2730657492471286E-3</v>
      </c>
      <c r="AI25" s="16">
        <f t="shared" si="19"/>
        <v>2.2777536142807729E-3</v>
      </c>
      <c r="AJ25" s="16">
        <f t="shared" si="19"/>
        <v>2.333289136209454E-3</v>
      </c>
      <c r="AK25" s="17">
        <f>GBDUS!Q127/($T25+$W25+$X25+U25+V25)</f>
        <v>0.65364029741996688</v>
      </c>
      <c r="AL25" s="16">
        <f t="shared" si="20"/>
        <v>0.67684684059472155</v>
      </c>
      <c r="AM25" s="16">
        <f t="shared" si="20"/>
        <v>0.64466050839220834</v>
      </c>
      <c r="AN25" s="16">
        <f t="shared" si="20"/>
        <v>0.64599002622813717</v>
      </c>
      <c r="AO25" s="16">
        <f t="shared" si="20"/>
        <v>0.66174036596742014</v>
      </c>
      <c r="AP25" s="15"/>
      <c r="AQ25" s="15"/>
      <c r="AR25" s="15"/>
      <c r="AS25" s="15"/>
    </row>
    <row r="26" spans="1:45" s="13" customFormat="1" ht="12.75" x14ac:dyDescent="0.2">
      <c r="A26" s="20">
        <v>0</v>
      </c>
      <c r="B26" s="20">
        <v>1</v>
      </c>
      <c r="C26" s="20" t="s">
        <v>36</v>
      </c>
      <c r="D26" s="17">
        <f>Baseline!AN25</f>
        <v>0.30266188092522223</v>
      </c>
      <c r="E26" s="17">
        <f>Baseline!AO25</f>
        <v>0.68587463066209398</v>
      </c>
      <c r="F26" s="17">
        <f>Baseline!AP25</f>
        <v>1.2086914276270724</v>
      </c>
      <c r="G26" s="17">
        <f>Baseline!AQ25</f>
        <v>2.130032081531998</v>
      </c>
      <c r="H26" s="17">
        <f>Baseline!AR25</f>
        <v>4.8269539684124263</v>
      </c>
      <c r="I26" s="17">
        <f>IF((D26+'Non travel METs'!C26)&gt;2.5,(D26+'Non travel METs'!C26),0.1)</f>
        <v>4.6776618809252222</v>
      </c>
      <c r="J26" s="17">
        <f>IF((E26+'Non travel METs'!D26)&gt;2.5,(E26+'Non travel METs'!D26),0.1)</f>
        <v>5.6858746306620942</v>
      </c>
      <c r="K26" s="17">
        <f>IF((F26+'Non travel METs'!E26)&gt;2.5,(F26+'Non travel METs'!E26),0.1)</f>
        <v>9.5420247609604019</v>
      </c>
      <c r="L26" s="17">
        <f>IF((G26+'Non travel METs'!F26)&gt;2.5,(G26+'Non travel METs'!F26),0.1)</f>
        <v>5.880032081531998</v>
      </c>
      <c r="M26" s="17">
        <f>IF((H26+'Non travel METs'!G26)&gt;2.5,(H26+'Non travel METs'!G26),0.1)</f>
        <v>17.951953968412425</v>
      </c>
      <c r="N26" s="19">
        <f t="shared" si="16"/>
        <v>0.95590188686474464</v>
      </c>
      <c r="O26" s="15">
        <f>IF(('user page'!$N$39=0),$N26^(I26^0.25),IF(('user page'!$N$39=1),$N26^(I26^0.5),IF(('user page'!$N$39=2),$N26^(I26^0.375),IF(('user page'!$N$39=4),$N26^(I26),IF(('user page'!$N$39=3),$N26^(LN(1+I26)),"")))))</f>
        <v>0.90706438690095514</v>
      </c>
      <c r="P26" s="15">
        <f>IF(('user page'!$N$39=0),$N26^(J26^0.25),IF(('user page'!$N$39=1),$N26^(J26^0.5),IF(('user page'!$N$39=2),$N26^(J26^0.375),IF(('user page'!$N$39=4),$N26^(J26),IF(('user page'!$N$39=3),$N26^(LN(1+J26)),"")))))</f>
        <v>0.89803945498670668</v>
      </c>
      <c r="Q26" s="15">
        <f>IF(('user page'!$N$39=0),$N26^(K26^0.25),IF(('user page'!$N$39=1),$N26^(K26^0.5),IF(('user page'!$N$39=2),$N26^(K26^0.375),IF(('user page'!$N$39=4),$N26^(K26),IF(('user page'!$N$39=3),$N26^(LN(1+K26)),"")))))</f>
        <v>0.86995424779038433</v>
      </c>
      <c r="R26" s="15">
        <f>IF(('user page'!$N$39=0),$N26^(L26^0.25),IF(('user page'!$N$39=1),$N26^(L26^0.5),IF(('user page'!$N$39=2),$N26^(L26^0.375),IF(('user page'!$N$39=4),$N26^(L26),IF(('user page'!$N$39=3),$N26^(LN(1+L26)),"")))))</f>
        <v>0.89640587208898403</v>
      </c>
      <c r="S26" s="15">
        <f>IF(('user page'!$N$39=0),$N26^(M26^0.25),IF(('user page'!$N$39=1),$N26^(M26^0.5),IF(('user page'!$N$39=2),$N26^(M26^0.375),IF(('user page'!$N$39=4),$N26^(M26),IF(('user page'!$N$39=3),$N26^(LN(1+M26)),"")))))</f>
        <v>0.82606025881325373</v>
      </c>
      <c r="T26" s="18">
        <f t="shared" si="17"/>
        <v>1</v>
      </c>
      <c r="U26" s="18">
        <f t="shared" si="17"/>
        <v>0.99005039549057505</v>
      </c>
      <c r="V26" s="18">
        <f t="shared" si="17"/>
        <v>0.95908764620628528</v>
      </c>
      <c r="W26" s="18">
        <f t="shared" si="17"/>
        <v>0.98824943965842749</v>
      </c>
      <c r="X26" s="18">
        <f t="shared" si="17"/>
        <v>0.9106963857720648</v>
      </c>
      <c r="Y26" s="18"/>
      <c r="Z26" s="16"/>
      <c r="AA26" s="17">
        <f>GBDUS!O128/($T26+$W26+$X26+U26+V26)</f>
        <v>1.2930731516697003E-3</v>
      </c>
      <c r="AB26" s="16">
        <f t="shared" si="18"/>
        <v>1.2802075852088311E-3</v>
      </c>
      <c r="AC26" s="16">
        <f t="shared" si="18"/>
        <v>1.2401704854074357E-3</v>
      </c>
      <c r="AD26" s="16">
        <f t="shared" si="18"/>
        <v>1.2778788175749382E-3</v>
      </c>
      <c r="AE26" s="16">
        <f t="shared" si="18"/>
        <v>1.177597045764489E-3</v>
      </c>
      <c r="AF26" s="17">
        <f>GBDUS!P128/($T26+$W26+$X26+U26+V26)</f>
        <v>9.0030075283765547E-3</v>
      </c>
      <c r="AG26" s="16">
        <f t="shared" si="19"/>
        <v>8.9134311640738321E-3</v>
      </c>
      <c r="AH26" s="16">
        <f t="shared" si="19"/>
        <v>8.6346732991681354E-3</v>
      </c>
      <c r="AI26" s="16">
        <f t="shared" si="19"/>
        <v>8.8972171451587347E-3</v>
      </c>
      <c r="AJ26" s="16">
        <f t="shared" si="19"/>
        <v>8.1990064171712177E-3</v>
      </c>
      <c r="AK26" s="17">
        <f>GBDUS!Q128/($T26+$W26+$X26+U26+V26)</f>
        <v>0.37497747180998331</v>
      </c>
      <c r="AL26" s="16">
        <f t="shared" si="20"/>
        <v>0.37124659426552992</v>
      </c>
      <c r="AM26" s="16">
        <f t="shared" si="20"/>
        <v>0.3596362608186206</v>
      </c>
      <c r="AN26" s="16">
        <f t="shared" si="20"/>
        <v>0.37057127640074977</v>
      </c>
      <c r="AO26" s="16">
        <f t="shared" si="20"/>
        <v>0.34149062832329813</v>
      </c>
      <c r="AP26" s="15"/>
      <c r="AQ26" s="15"/>
      <c r="AR26" s="15"/>
      <c r="AS26" s="15"/>
    </row>
    <row r="27" spans="1:45" s="13" customFormat="1" ht="12.75" x14ac:dyDescent="0.2">
      <c r="A27" s="20">
        <v>0</v>
      </c>
      <c r="B27" s="20">
        <v>1</v>
      </c>
      <c r="C27" s="20" t="s">
        <v>35</v>
      </c>
      <c r="D27" s="17">
        <f>Baseline!AN26</f>
        <v>0.24350710807091377</v>
      </c>
      <c r="E27" s="17">
        <f>Baseline!AO26</f>
        <v>0.55182154852528853</v>
      </c>
      <c r="F27" s="17">
        <f>Baseline!AP26</f>
        <v>0.97245465200915271</v>
      </c>
      <c r="G27" s="17">
        <f>Baseline!AQ26</f>
        <v>1.7137207721254923</v>
      </c>
      <c r="H27" s="17">
        <f>Baseline!AR26</f>
        <v>3.8835336582406703</v>
      </c>
      <c r="I27" s="17">
        <f>IF((D27+'Non travel METs'!C27)&gt;2.5,(D27+'Non travel METs'!C27),0.1)</f>
        <v>0.1</v>
      </c>
      <c r="J27" s="17">
        <f>IF((E27+'Non travel METs'!D27)&gt;2.5,(E27+'Non travel METs'!D27),0.1)</f>
        <v>10.551821548525288</v>
      </c>
      <c r="K27" s="17">
        <f>IF((F27+'Non travel METs'!E27)&gt;2.5,(F27+'Non travel METs'!E27),0.1)</f>
        <v>4.7224546520091524</v>
      </c>
      <c r="L27" s="17">
        <f>IF((G27+'Non travel METs'!F27)&gt;2.5,(G27+'Non travel METs'!F27),0.1)</f>
        <v>6.9220541054588232</v>
      </c>
      <c r="M27" s="17">
        <f>IF((H27+'Non travel METs'!G27)&gt;2.5,(H27+'Non travel METs'!G27),0.1)</f>
        <v>3.8835336582406703</v>
      </c>
      <c r="N27" s="19">
        <f t="shared" si="16"/>
        <v>0.95590188686474464</v>
      </c>
      <c r="O27" s="15">
        <f>IF(('user page'!$N$39=0),$N27^(I27^0.25),IF(('user page'!$N$39=1),$N27^(I27^0.5),IF(('user page'!$N$39=2),$N27^(I27^0.375),IF(('user page'!$N$39=4),$N27^(I27),IF(('user page'!$N$39=3),$N27^(LN(1+I27)),"")))))</f>
        <v>0.985839346491721</v>
      </c>
      <c r="P27" s="15">
        <f>IF(('user page'!$N$39=0),$N27^(J27^0.25),IF(('user page'!$N$39=1),$N27^(J27^0.5),IF(('user page'!$N$39=2),$N27^(J27^0.375),IF(('user page'!$N$39=4),$N27^(J27),IF(('user page'!$N$39=3),$N27^(LN(1+J27)),"")))))</f>
        <v>0.86372496427620782</v>
      </c>
      <c r="Q27" s="15">
        <f>IF(('user page'!$N$39=0),$N27^(K27^0.25),IF(('user page'!$N$39=1),$N27^(K27^0.5),IF(('user page'!$N$39=2),$N27^(K27^0.375),IF(('user page'!$N$39=4),$N27^(K27),IF(('user page'!$N$39=3),$N27^(LN(1+K27)),"")))))</f>
        <v>0.9066418729659611</v>
      </c>
      <c r="R27" s="15">
        <f>IF(('user page'!$N$39=0),$N27^(L27^0.25),IF(('user page'!$N$39=1),$N27^(L27^0.5),IF(('user page'!$N$39=2),$N27^(L27^0.375),IF(('user page'!$N$39=4),$N27^(L27),IF(('user page'!$N$39=3),$N27^(LN(1+L27)),"")))))</f>
        <v>0.88811220781955746</v>
      </c>
      <c r="S27" s="15">
        <f>IF(('user page'!$N$39=0),$N27^(M27^0.25),IF(('user page'!$N$39=1),$N27^(M27^0.5),IF(('user page'!$N$39=2),$N27^(M27^0.375),IF(('user page'!$N$39=4),$N27^(M27),IF(('user page'!$N$39=3),$N27^(LN(1+M27)),"")))))</f>
        <v>0.91495797695692849</v>
      </c>
      <c r="T27" s="18">
        <f t="shared" si="17"/>
        <v>1</v>
      </c>
      <c r="U27" s="18">
        <f t="shared" si="17"/>
        <v>0.87613155972108614</v>
      </c>
      <c r="V27" s="18">
        <f t="shared" si="17"/>
        <v>0.91966492937455002</v>
      </c>
      <c r="W27" s="18">
        <f t="shared" si="17"/>
        <v>0.90086910304407875</v>
      </c>
      <c r="X27" s="18">
        <f t="shared" si="17"/>
        <v>0.92810048636521147</v>
      </c>
      <c r="Y27" s="18"/>
      <c r="Z27" s="16"/>
      <c r="AA27" s="17">
        <f>GBDUS!O129/($T27+$W27+$X27+U27+V27)</f>
        <v>1.8453966898017869E-3</v>
      </c>
      <c r="AB27" s="16">
        <f t="shared" si="18"/>
        <v>1.6168102801401689E-3</v>
      </c>
      <c r="AC27" s="16">
        <f t="shared" si="18"/>
        <v>1.6971466163945887E-3</v>
      </c>
      <c r="AD27" s="16">
        <f t="shared" si="18"/>
        <v>1.6624608607022477E-3</v>
      </c>
      <c r="AE27" s="16">
        <f t="shared" si="18"/>
        <v>1.7127135653417897E-3</v>
      </c>
      <c r="AF27" s="17">
        <f>GBDUS!P129/($T27+$W27+$X27+U27+V27)</f>
        <v>6.0219510063638133E-3</v>
      </c>
      <c r="AG27" s="16">
        <f t="shared" si="19"/>
        <v>5.2760213277694918E-3</v>
      </c>
      <c r="AH27" s="16">
        <f t="shared" si="19"/>
        <v>5.5381771469645768E-3</v>
      </c>
      <c r="AI27" s="16">
        <f t="shared" si="19"/>
        <v>5.4249896016783554E-3</v>
      </c>
      <c r="AJ27" s="16">
        <f t="shared" si="19"/>
        <v>5.5889756578737298E-3</v>
      </c>
      <c r="AK27" s="17">
        <f>GBDUS!Q129/($T27+$W27+$X27+U27+V27)</f>
        <v>0.25789396631128247</v>
      </c>
      <c r="AL27" s="16">
        <f t="shared" si="20"/>
        <v>0.22594904294696116</v>
      </c>
      <c r="AM27" s="16">
        <f t="shared" si="20"/>
        <v>0.23717603631378817</v>
      </c>
      <c r="AN27" s="16">
        <f t="shared" si="20"/>
        <v>0.23232870611132492</v>
      </c>
      <c r="AO27" s="16">
        <f t="shared" si="20"/>
        <v>0.23935151556415474</v>
      </c>
      <c r="AP27" s="15"/>
      <c r="AQ27" s="15"/>
      <c r="AR27" s="15"/>
      <c r="AS27" s="15"/>
    </row>
    <row r="28" spans="1:45" s="13" customFormat="1" ht="12.75" x14ac:dyDescent="0.2">
      <c r="A28" s="20">
        <v>0</v>
      </c>
      <c r="B28" s="20">
        <v>2</v>
      </c>
      <c r="C28" s="20" t="s">
        <v>2</v>
      </c>
      <c r="D28" s="17"/>
      <c r="E28" s="17"/>
      <c r="F28" s="17"/>
      <c r="G28" s="17"/>
      <c r="H28" s="17"/>
      <c r="I28" s="17">
        <f>IF((D28+'Non travel METs'!C28)&gt;2.5,(D28+'Non travel METs'!C28),0.1)</f>
        <v>0.1</v>
      </c>
      <c r="J28" s="17">
        <f>IF((E28+'Non travel METs'!D28)&gt;2.5,(E28+'Non travel METs'!D28),0.1)</f>
        <v>0.1</v>
      </c>
      <c r="K28" s="17">
        <f>IF((F28+'Non travel METs'!E28)&gt;2.5,(F28+'Non travel METs'!E28),0.1)</f>
        <v>0.1</v>
      </c>
      <c r="L28" s="17">
        <f>IF((G28+'Non travel METs'!F28)&gt;2.5,(G28+'Non travel METs'!F28),0.1)</f>
        <v>0.1</v>
      </c>
      <c r="M28" s="17">
        <f>IF((H28+'Non travel METs'!G28)&gt;2.5,(H28+'Non travel METs'!G28),0.1)</f>
        <v>0.1</v>
      </c>
      <c r="N28" s="19"/>
      <c r="O28" s="15"/>
      <c r="P28" s="15"/>
      <c r="Q28" s="15"/>
      <c r="R28" s="15"/>
      <c r="S28" s="15"/>
      <c r="T28" s="18"/>
      <c r="U28" s="18"/>
      <c r="V28" s="18"/>
      <c r="W28" s="18"/>
      <c r="X28" s="18"/>
      <c r="Y28" s="18"/>
      <c r="Z28" s="16"/>
      <c r="AA28" s="17"/>
      <c r="AB28" s="16"/>
      <c r="AC28" s="16"/>
      <c r="AD28" s="16"/>
      <c r="AE28" s="16"/>
      <c r="AF28" s="17"/>
      <c r="AG28" s="16"/>
      <c r="AH28" s="16"/>
      <c r="AI28" s="16"/>
      <c r="AJ28" s="16"/>
      <c r="AK28" s="17"/>
      <c r="AL28" s="16"/>
      <c r="AM28" s="16"/>
      <c r="AN28" s="16"/>
      <c r="AO28" s="16"/>
      <c r="AP28" s="15"/>
      <c r="AQ28" s="15"/>
      <c r="AR28" s="15"/>
      <c r="AS28" s="15"/>
    </row>
    <row r="29" spans="1:45" s="13" customFormat="1" ht="12.75" x14ac:dyDescent="0.2">
      <c r="A29" s="20">
        <v>0</v>
      </c>
      <c r="B29" s="20">
        <v>2</v>
      </c>
      <c r="C29" s="20" t="s">
        <v>41</v>
      </c>
      <c r="D29" s="17"/>
      <c r="E29" s="17"/>
      <c r="F29" s="17"/>
      <c r="G29" s="17"/>
      <c r="H29" s="17"/>
      <c r="I29" s="17">
        <f>IF((D29+'Non travel METs'!C29)&gt;2.5,(D29+'Non travel METs'!C29),0.1)</f>
        <v>0.1</v>
      </c>
      <c r="J29" s="17">
        <f>IF((E29+'Non travel METs'!D29)&gt;2.5,(E29+'Non travel METs'!D29),0.1)</f>
        <v>0.1</v>
      </c>
      <c r="K29" s="17">
        <f>IF((F29+'Non travel METs'!E29)&gt;2.5,(F29+'Non travel METs'!E29),0.1)</f>
        <v>0.1</v>
      </c>
      <c r="L29" s="17">
        <f>IF((G29+'Non travel METs'!F29)&gt;2.5,(G29+'Non travel METs'!F29),0.1)</f>
        <v>0.1</v>
      </c>
      <c r="M29" s="17">
        <f>IF((H29+'Non travel METs'!G29)&gt;2.5,(H29+'Non travel METs'!G29),0.1)</f>
        <v>0.1</v>
      </c>
      <c r="N29" s="19"/>
      <c r="O29" s="15"/>
      <c r="P29" s="15"/>
      <c r="Q29" s="15"/>
      <c r="R29" s="15"/>
      <c r="S29" s="15"/>
      <c r="T29" s="18"/>
      <c r="U29" s="18"/>
      <c r="V29" s="18"/>
      <c r="W29" s="18"/>
      <c r="X29" s="18"/>
      <c r="Y29" s="18"/>
      <c r="Z29" s="16"/>
      <c r="AA29" s="17"/>
      <c r="AB29" s="16"/>
      <c r="AC29" s="16"/>
      <c r="AD29" s="16"/>
      <c r="AE29" s="16"/>
      <c r="AF29" s="17"/>
      <c r="AG29" s="16"/>
      <c r="AH29" s="16"/>
      <c r="AI29" s="16"/>
      <c r="AJ29" s="16"/>
      <c r="AK29" s="17"/>
      <c r="AL29" s="16"/>
      <c r="AM29" s="16"/>
      <c r="AN29" s="16"/>
      <c r="AO29" s="16"/>
      <c r="AP29" s="15"/>
      <c r="AQ29" s="15"/>
      <c r="AR29" s="15"/>
      <c r="AS29" s="15"/>
    </row>
    <row r="30" spans="1:45" s="13" customFormat="1" ht="12.75" x14ac:dyDescent="0.2">
      <c r="A30" s="20">
        <v>0</v>
      </c>
      <c r="B30" s="20">
        <v>2</v>
      </c>
      <c r="C30" s="20" t="s">
        <v>40</v>
      </c>
      <c r="D30" s="17">
        <f>Baseline!AN29</f>
        <v>0.78305520090183223</v>
      </c>
      <c r="E30" s="17">
        <f>Baseline!AO29</f>
        <v>1.774513840542973</v>
      </c>
      <c r="F30" s="17">
        <f>Baseline!AP29</f>
        <v>3.1271599376688002</v>
      </c>
      <c r="G30" s="17">
        <f>Baseline!AQ29</f>
        <v>5.5108779950504481</v>
      </c>
      <c r="H30" s="17">
        <f>Baseline!AR29</f>
        <v>12.488428995169523</v>
      </c>
      <c r="I30" s="17">
        <f>IF((D30+'Non travel METs'!C30)&gt;2.5,(D30+'Non travel METs'!C30),0.1)</f>
        <v>9.6497218675685037</v>
      </c>
      <c r="J30" s="17">
        <f>IF((E30+'Non travel METs'!D30)&gt;2.5,(E30+'Non travel METs'!D30),0.1)</f>
        <v>26.374513840542974</v>
      </c>
      <c r="K30" s="17">
        <f>IF((F30+'Non travel METs'!E30)&gt;2.5,(F30+'Non travel METs'!E30),0.1)</f>
        <v>32.977159937668802</v>
      </c>
      <c r="L30" s="17">
        <f>IF((G30+'Non travel METs'!F30)&gt;2.5,(G30+'Non travel METs'!F30),0.1)</f>
        <v>35.910877995050448</v>
      </c>
      <c r="M30" s="17">
        <f>IF((H30+'Non travel METs'!G30)&gt;2.5,(H30+'Non travel METs'!G30),0.1)</f>
        <v>53.488428995169521</v>
      </c>
      <c r="N30" s="19">
        <f t="shared" ref="N30:N35" si="21">N13</f>
        <v>0.97795094343237232</v>
      </c>
      <c r="O30" s="15">
        <f>IF(('user page'!$N$39=0),$N30^(I30^0.25),IF(('user page'!$N$39=1),$N30^(I30^0.5),IF(('user page'!$N$39=2),$N30^(I30^0.375),IF(('user page'!$N$39=4),$N30^(I30),IF(('user page'!$N$39=3),$N30^(LN(1+I30)),"")))))</f>
        <v>0.9330844347536168</v>
      </c>
      <c r="P30" s="15">
        <f>IF(('user page'!$N$39=0),$N30^(J30^0.25),IF(('user page'!$N$39=1),$N30^(J30^0.5),IF(('user page'!$N$39=2),$N30^(J30^0.375),IF(('user page'!$N$39=4),$N30^(J30),IF(('user page'!$N$39=3),$N30^(LN(1+J30)),"")))))</f>
        <v>0.89180976910711596</v>
      </c>
      <c r="Q30" s="15">
        <f>IF(('user page'!$N$39=0),$N30^(K30^0.25),IF(('user page'!$N$39=1),$N30^(K30^0.5),IF(('user page'!$N$39=2),$N30^(K30^0.375),IF(('user page'!$N$39=4),$N30^(K30),IF(('user page'!$N$39=3),$N30^(LN(1+K30)),"")))))</f>
        <v>0.87982248084877679</v>
      </c>
      <c r="R30" s="15">
        <f>IF(('user page'!$N$39=0),$N30^(L30^0.25),IF(('user page'!$N$39=1),$N30^(L30^0.5),IF(('user page'!$N$39=2),$N30^(L30^0.375),IF(('user page'!$N$39=4),$N30^(L30),IF(('user page'!$N$39=3),$N30^(LN(1+L30)),"")))))</f>
        <v>0.87493215551812076</v>
      </c>
      <c r="S30" s="15">
        <f>IF(('user page'!$N$39=0),$N30^(M30^0.25),IF(('user page'!$N$39=1),$N30^(M30^0.5),IF(('user page'!$N$39=2),$N30^(M30^0.375),IF(('user page'!$N$39=4),$N30^(M30),IF(('user page'!$N$39=3),$N30^(LN(1+M30)),"")))))</f>
        <v>0.84953863091946835</v>
      </c>
      <c r="T30" s="18">
        <f t="shared" ref="T30:X35" si="22">O30/$O30</f>
        <v>1</v>
      </c>
      <c r="U30" s="18">
        <f t="shared" si="22"/>
        <v>0.9557653475835769</v>
      </c>
      <c r="V30" s="18">
        <f t="shared" si="22"/>
        <v>0.94291839846315306</v>
      </c>
      <c r="W30" s="18">
        <f t="shared" si="22"/>
        <v>0.93767736651737066</v>
      </c>
      <c r="X30" s="18">
        <f t="shared" si="22"/>
        <v>0.91046276122245151</v>
      </c>
      <c r="Y30" s="18"/>
      <c r="Z30" s="16"/>
      <c r="AA30" s="17">
        <f>GBDUS!O132/($T30+$W30+$X30+U30+V30)</f>
        <v>0</v>
      </c>
      <c r="AB30" s="16">
        <f t="shared" ref="AB30:AE35" si="23">$AA30*U30</f>
        <v>0</v>
      </c>
      <c r="AC30" s="16">
        <f t="shared" si="23"/>
        <v>0</v>
      </c>
      <c r="AD30" s="16">
        <f t="shared" si="23"/>
        <v>0</v>
      </c>
      <c r="AE30" s="16">
        <f t="shared" si="23"/>
        <v>0</v>
      </c>
      <c r="AF30" s="17">
        <f>GBDUS!P132/($T30+$W30+$X30+U30+V30)</f>
        <v>0</v>
      </c>
      <c r="AG30" s="16">
        <f t="shared" ref="AG30:AJ35" si="24">$AF30*U30</f>
        <v>0</v>
      </c>
      <c r="AH30" s="16">
        <f t="shared" si="24"/>
        <v>0</v>
      </c>
      <c r="AI30" s="16">
        <f t="shared" si="24"/>
        <v>0</v>
      </c>
      <c r="AJ30" s="16">
        <f t="shared" si="24"/>
        <v>0</v>
      </c>
      <c r="AK30" s="17">
        <f>GBDUS!Q132/($T30+$W30+$X30+U30+V30)</f>
        <v>1.123420511404438</v>
      </c>
      <c r="AL30" s="16">
        <f t="shared" ref="AL30:AO35" si="25">$AK30*U30</f>
        <v>1.0737263955649823</v>
      </c>
      <c r="AM30" s="16">
        <f t="shared" si="25"/>
        <v>1.059293869414129</v>
      </c>
      <c r="AN30" s="16">
        <f t="shared" si="25"/>
        <v>1.0534059866253112</v>
      </c>
      <c r="AO30" s="16">
        <f t="shared" si="25"/>
        <v>1.0228325408272232</v>
      </c>
      <c r="AP30" s="15"/>
      <c r="AQ30" s="15"/>
      <c r="AR30" s="15"/>
      <c r="AS30" s="15"/>
    </row>
    <row r="31" spans="1:45" s="13" customFormat="1" ht="12.75" x14ac:dyDescent="0.2">
      <c r="A31" s="20">
        <v>0</v>
      </c>
      <c r="B31" s="20">
        <v>2</v>
      </c>
      <c r="C31" s="20" t="s">
        <v>39</v>
      </c>
      <c r="D31" s="17">
        <f>Baseline!AN30</f>
        <v>0.47165676213737562</v>
      </c>
      <c r="E31" s="17">
        <f>Baseline!AO30</f>
        <v>1.0688409341187475</v>
      </c>
      <c r="F31" s="17">
        <f>Baseline!AP30</f>
        <v>1.8835787428369182</v>
      </c>
      <c r="G31" s="17">
        <f>Baseline!AQ30</f>
        <v>3.3193609705753828</v>
      </c>
      <c r="H31" s="17">
        <f>Baseline!AR30</f>
        <v>7.5221414496199817</v>
      </c>
      <c r="I31" s="17">
        <f>IF((D31+'Non travel METs'!C31)&gt;2.5,(D31+'Non travel METs'!C31),0.1)</f>
        <v>41.471656762137378</v>
      </c>
      <c r="J31" s="17">
        <f>IF((E31+'Non travel METs'!D31)&gt;2.5,(E31+'Non travel METs'!D31),0.1)</f>
        <v>36.943840934118747</v>
      </c>
      <c r="K31" s="17">
        <f>IF((F31+'Non travel METs'!E31)&gt;2.5,(F31+'Non travel METs'!E31),0.1)</f>
        <v>40.733578742836919</v>
      </c>
      <c r="L31" s="17">
        <f>IF((G31+'Non travel METs'!F31)&gt;2.5,(G31+'Non travel METs'!F31),0.1)</f>
        <v>44.319360970575381</v>
      </c>
      <c r="M31" s="17">
        <f>IF((H31+'Non travel METs'!G31)&gt;2.5,(H31+'Non travel METs'!G31),0.1)</f>
        <v>49.788808116286681</v>
      </c>
      <c r="N31" s="19">
        <f t="shared" si="21"/>
        <v>0.95590188686474464</v>
      </c>
      <c r="O31" s="15">
        <f>IF(('user page'!$N$39=0),$N31^(I31^0.25),IF(('user page'!$N$39=1),$N31^(I31^0.5),IF(('user page'!$N$39=2),$N31^(I31^0.375),IF(('user page'!$N$39=4),$N31^(I31),IF(('user page'!$N$39=3),$N31^(LN(1+I31)),"")))))</f>
        <v>0.74793650156250069</v>
      </c>
      <c r="P31" s="15">
        <f>IF(('user page'!$N$39=0),$N31^(J31^0.25),IF(('user page'!$N$39=1),$N31^(J31^0.5),IF(('user page'!$N$39=2),$N31^(J31^0.375),IF(('user page'!$N$39=4),$N31^(J31),IF(('user page'!$N$39=3),$N31^(LN(1+J31)),"")))))</f>
        <v>0.76023755792433334</v>
      </c>
      <c r="Q31" s="15">
        <f>IF(('user page'!$N$39=0),$N31^(K31^0.25),IF(('user page'!$N$39=1),$N31^(K31^0.5),IF(('user page'!$N$39=2),$N31^(K31^0.375),IF(('user page'!$N$39=4),$N31^(K31),IF(('user page'!$N$39=3),$N31^(LN(1+K31)),"")))))</f>
        <v>0.74988072885778323</v>
      </c>
      <c r="R31" s="15">
        <f>IF(('user page'!$N$39=0),$N31^(L31^0.25),IF(('user page'!$N$39=1),$N31^(L31^0.5),IF(('user page'!$N$39=2),$N31^(L31^0.375),IF(('user page'!$N$39=4),$N31^(L31),IF(('user page'!$N$39=3),$N31^(LN(1+L31)),"")))))</f>
        <v>0.74063802100496445</v>
      </c>
      <c r="S31" s="15">
        <f>IF(('user page'!$N$39=0),$N31^(M31^0.25),IF(('user page'!$N$39=1),$N31^(M31^0.5),IF(('user page'!$N$39=2),$N31^(M31^0.375),IF(('user page'!$N$39=4),$N31^(M31),IF(('user page'!$N$39=3),$N31^(LN(1+M31)),"")))))</f>
        <v>0.72743477245816479</v>
      </c>
      <c r="T31" s="18">
        <f t="shared" si="22"/>
        <v>1</v>
      </c>
      <c r="U31" s="18">
        <f t="shared" si="22"/>
        <v>1.0164466586884511</v>
      </c>
      <c r="V31" s="18">
        <f t="shared" si="22"/>
        <v>1.0025994550222124</v>
      </c>
      <c r="W31" s="18">
        <f t="shared" si="22"/>
        <v>0.99024184467225607</v>
      </c>
      <c r="X31" s="18">
        <f t="shared" si="22"/>
        <v>0.97258894430007614</v>
      </c>
      <c r="Y31" s="18"/>
      <c r="Z31" s="16"/>
      <c r="AA31" s="17">
        <f>GBDUS!O133/($T31+$W31+$X31+U31+V31)</f>
        <v>0</v>
      </c>
      <c r="AB31" s="16">
        <f t="shared" si="23"/>
        <v>0</v>
      </c>
      <c r="AC31" s="16">
        <f t="shared" si="23"/>
        <v>0</v>
      </c>
      <c r="AD31" s="16">
        <f t="shared" si="23"/>
        <v>0</v>
      </c>
      <c r="AE31" s="16">
        <f t="shared" si="23"/>
        <v>0</v>
      </c>
      <c r="AF31" s="17">
        <f>GBDUS!P133/($T31+$W31+$X31+U31+V31)</f>
        <v>0</v>
      </c>
      <c r="AG31" s="16">
        <f t="shared" si="24"/>
        <v>0</v>
      </c>
      <c r="AH31" s="16">
        <f t="shared" si="24"/>
        <v>0</v>
      </c>
      <c r="AI31" s="16">
        <f t="shared" si="24"/>
        <v>0</v>
      </c>
      <c r="AJ31" s="16">
        <f t="shared" si="24"/>
        <v>0</v>
      </c>
      <c r="AK31" s="17">
        <f>GBDUS!Q133/($T31+$W31+$X31+U31+V31)</f>
        <v>1.2448208463248351</v>
      </c>
      <c r="AL31" s="16">
        <f t="shared" si="25"/>
        <v>1.2652939899126086</v>
      </c>
      <c r="AM31" s="16">
        <f t="shared" si="25"/>
        <v>1.2480567021255689</v>
      </c>
      <c r="AN31" s="16">
        <f t="shared" si="25"/>
        <v>1.2326736911511837</v>
      </c>
      <c r="AO31" s="16">
        <f t="shared" si="25"/>
        <v>1.2106989927697986</v>
      </c>
      <c r="AP31" s="15"/>
      <c r="AQ31" s="15"/>
      <c r="AR31" s="15"/>
      <c r="AS31" s="15"/>
    </row>
    <row r="32" spans="1:45" s="13" customFormat="1" ht="12.75" x14ac:dyDescent="0.2">
      <c r="A32" s="20">
        <v>0</v>
      </c>
      <c r="B32" s="20">
        <v>2</v>
      </c>
      <c r="C32" s="20" t="s">
        <v>38</v>
      </c>
      <c r="D32" s="17">
        <f>Baseline!AN31</f>
        <v>0.39813871625667402</v>
      </c>
      <c r="E32" s="17">
        <f>Baseline!AO31</f>
        <v>0.90223864376331542</v>
      </c>
      <c r="F32" s="17">
        <f>Baseline!AP31</f>
        <v>1.5899817045833551</v>
      </c>
      <c r="G32" s="17">
        <f>Baseline!AQ31</f>
        <v>2.8019657973915968</v>
      </c>
      <c r="H32" s="17">
        <f>Baseline!AR31</f>
        <v>6.3496508068308559</v>
      </c>
      <c r="I32" s="17">
        <f>IF((D32+'Non travel METs'!C32)&gt;2.5,(D32+'Non travel METs'!C32),0.1)</f>
        <v>42.048138716256673</v>
      </c>
      <c r="J32" s="17">
        <f>IF((E32+'Non travel METs'!D32)&gt;2.5,(E32+'Non travel METs'!D32),0.1)</f>
        <v>43.952238643763316</v>
      </c>
      <c r="K32" s="17">
        <f>IF((F32+'Non travel METs'!E32)&gt;2.5,(F32+'Non travel METs'!E32),0.1)</f>
        <v>47.656648371250057</v>
      </c>
      <c r="L32" s="17">
        <f>IF((G32+'Non travel METs'!F32)&gt;2.5,(G32+'Non travel METs'!F32),0.1)</f>
        <v>43.801965797391595</v>
      </c>
      <c r="M32" s="17">
        <f>IF((H32+'Non travel METs'!G32)&gt;2.5,(H32+'Non travel METs'!G32),0.1)</f>
        <v>47.349650806830859</v>
      </c>
      <c r="N32" s="19">
        <f t="shared" si="21"/>
        <v>0.95590188686474464</v>
      </c>
      <c r="O32" s="15">
        <f>IF(('user page'!$N$39=0),$N32^(I32^0.25),IF(('user page'!$N$39=1),$N32^(I32^0.5),IF(('user page'!$N$39=2),$N32^(I32^0.375),IF(('user page'!$N$39=4),$N32^(I32),IF(('user page'!$N$39=3),$N32^(LN(1+I32)),"")))))</f>
        <v>0.74643341804946484</v>
      </c>
      <c r="P32" s="15">
        <f>IF(('user page'!$N$39=0),$N32^(J32^0.25),IF(('user page'!$N$39=1),$N32^(J32^0.5),IF(('user page'!$N$39=2),$N32^(J32^0.375),IF(('user page'!$N$39=4),$N32^(J32),IF(('user page'!$N$39=3),$N32^(LN(1+J32)),"")))))</f>
        <v>0.74156152633512384</v>
      </c>
      <c r="Q32" s="15">
        <f>IF(('user page'!$N$39=0),$N32^(K32^0.25),IF(('user page'!$N$39=1),$N32^(K32^0.5),IF(('user page'!$N$39=2),$N32^(K32^0.375),IF(('user page'!$N$39=4),$N32^(K32),IF(('user page'!$N$39=3),$N32^(LN(1+K32)),"")))))</f>
        <v>0.73246302662598639</v>
      </c>
      <c r="R32" s="15">
        <f>IF(('user page'!$N$39=0),$N32^(L32^0.25),IF(('user page'!$N$39=1),$N32^(L32^0.5),IF(('user page'!$N$39=2),$N32^(L32^0.375),IF(('user page'!$N$39=4),$N32^(L32),IF(('user page'!$N$39=3),$N32^(LN(1+L32)),"")))))</f>
        <v>0.74194098679648091</v>
      </c>
      <c r="S32" s="15">
        <f>IF(('user page'!$N$39=0),$N32^(M32^0.25),IF(('user page'!$N$39=1),$N32^(M32^0.5),IF(('user page'!$N$39=2),$N32^(M32^0.375),IF(('user page'!$N$39=4),$N32^(M32),IF(('user page'!$N$39=3),$N32^(LN(1+M32)),"")))))</f>
        <v>0.73319910604608385</v>
      </c>
      <c r="T32" s="18">
        <f t="shared" si="22"/>
        <v>1</v>
      </c>
      <c r="U32" s="18">
        <f t="shared" si="22"/>
        <v>0.99347310611163164</v>
      </c>
      <c r="V32" s="18">
        <f t="shared" si="22"/>
        <v>0.98128380765697087</v>
      </c>
      <c r="W32" s="18">
        <f t="shared" si="22"/>
        <v>0.99398147089297895</v>
      </c>
      <c r="X32" s="18">
        <f t="shared" si="22"/>
        <v>0.98226993636222226</v>
      </c>
      <c r="Y32" s="18"/>
      <c r="Z32" s="16"/>
      <c r="AA32" s="17">
        <f>GBDUS!O134/($T32+$W32+$X32+U32+V32)</f>
        <v>3.2506515701490789E-4</v>
      </c>
      <c r="AB32" s="16">
        <f t="shared" si="23"/>
        <v>3.2294349122826576E-4</v>
      </c>
      <c r="AC32" s="16">
        <f t="shared" si="23"/>
        <v>3.1898117501219991E-4</v>
      </c>
      <c r="AD32" s="16">
        <f t="shared" si="23"/>
        <v>3.2310874290573531E-4</v>
      </c>
      <c r="AE32" s="16">
        <f t="shared" si="23"/>
        <v>3.1930173109460936E-4</v>
      </c>
      <c r="AF32" s="17">
        <f>GBDUS!P134/($T32+$W32+$X32+U32+V32)</f>
        <v>5.6453644543088917E-3</v>
      </c>
      <c r="AG32" s="16">
        <f t="shared" si="24"/>
        <v>5.6085177595544509E-3</v>
      </c>
      <c r="AH32" s="16">
        <f t="shared" si="24"/>
        <v>5.5397047273355472E-3</v>
      </c>
      <c r="AI32" s="16">
        <f t="shared" si="24"/>
        <v>5.6113876640208919E-3</v>
      </c>
      <c r="AJ32" s="16">
        <f t="shared" si="24"/>
        <v>5.5452717832755469E-3</v>
      </c>
      <c r="AK32" s="17">
        <f>GBDUS!Q134/($T32+$W32+$X32+U32+V32)</f>
        <v>1.7325627013463181</v>
      </c>
      <c r="AL32" s="16">
        <f t="shared" si="25"/>
        <v>1.7212544484396859</v>
      </c>
      <c r="AM32" s="16">
        <f t="shared" si="25"/>
        <v>1.7001357245815623</v>
      </c>
      <c r="AN32" s="16">
        <f t="shared" si="25"/>
        <v>1.7221352222985262</v>
      </c>
      <c r="AO32" s="16">
        <f t="shared" si="25"/>
        <v>1.7018442543950076</v>
      </c>
      <c r="AP32" s="15"/>
      <c r="AQ32" s="15"/>
      <c r="AR32" s="15"/>
      <c r="AS32" s="15"/>
    </row>
    <row r="33" spans="1:45" s="13" customFormat="1" ht="12.75" x14ac:dyDescent="0.2">
      <c r="A33" s="20">
        <v>0</v>
      </c>
      <c r="B33" s="20">
        <v>2</v>
      </c>
      <c r="C33" s="20" t="s">
        <v>37</v>
      </c>
      <c r="D33" s="17">
        <f>Baseline!AN32</f>
        <v>0.26186863902756607</v>
      </c>
      <c r="E33" s="17">
        <f>Baseline!AO32</f>
        <v>0.59343137472733987</v>
      </c>
      <c r="F33" s="17">
        <f>Baseline!AP32</f>
        <v>1.0457821057260546</v>
      </c>
      <c r="G33" s="17">
        <f>Baseline!AQ32</f>
        <v>1.8429430246409162</v>
      </c>
      <c r="H33" s="17">
        <f>Baseline!AR32</f>
        <v>4.1763695596313646</v>
      </c>
      <c r="I33" s="17">
        <f>IF((D33+'Non travel METs'!C33)&gt;2.5,(D33+'Non travel METs'!C33),0.1)</f>
        <v>33.061868639027566</v>
      </c>
      <c r="J33" s="17">
        <f>IF((E33+'Non travel METs'!D33)&gt;2.5,(E33+'Non travel METs'!D33),0.1)</f>
        <v>18.593431374727341</v>
      </c>
      <c r="K33" s="17">
        <f>IF((F33+'Non travel METs'!E33)&gt;2.5,(F33+'Non travel METs'!E33),0.1)</f>
        <v>32.795782105726055</v>
      </c>
      <c r="L33" s="17">
        <f>IF((G33+'Non travel METs'!F33)&gt;2.5,(G33+'Non travel METs'!F33),0.1)</f>
        <v>22.342943024640917</v>
      </c>
      <c r="M33" s="17">
        <f>IF((H33+'Non travel METs'!G33)&gt;2.5,(H33+'Non travel METs'!G33),0.1)</f>
        <v>8.6763695596313646</v>
      </c>
      <c r="N33" s="19">
        <f t="shared" si="21"/>
        <v>0.95590188686474464</v>
      </c>
      <c r="O33" s="15">
        <f>IF(('user page'!$N$39=0),$N33^(I33^0.25),IF(('user page'!$N$39=1),$N33^(I33^0.5),IF(('user page'!$N$39=2),$N33^(I33^0.375),IF(('user page'!$N$39=4),$N33^(I33),IF(('user page'!$N$39=3),$N33^(LN(1+I33)),"")))))</f>
        <v>0.77157413176849354</v>
      </c>
      <c r="P33" s="15">
        <f>IF(('user page'!$N$39=0),$N33^(J33^0.25),IF(('user page'!$N$39=1),$N33^(J33^0.5),IF(('user page'!$N$39=2),$N33^(J33^0.375),IF(('user page'!$N$39=4),$N33^(J33),IF(('user page'!$N$39=3),$N33^(LN(1+J33)),"")))))</f>
        <v>0.82326951190826925</v>
      </c>
      <c r="Q33" s="15">
        <f>IF(('user page'!$N$39=0),$N33^(K33^0.25),IF(('user page'!$N$39=1),$N33^(K33^0.5),IF(('user page'!$N$39=2),$N33^(K33^0.375),IF(('user page'!$N$39=4),$N33^(K33),IF(('user page'!$N$39=3),$N33^(LN(1+K33)),"")))))</f>
        <v>0.77238134253295332</v>
      </c>
      <c r="R33" s="15">
        <f>IF(('user page'!$N$39=0),$N33^(L33^0.25),IF(('user page'!$N$39=1),$N33^(L33^0.5),IF(('user page'!$N$39=2),$N33^(L33^0.375),IF(('user page'!$N$39=4),$N33^(L33),IF(('user page'!$N$39=3),$N33^(LN(1+L33)),"")))))</f>
        <v>0.80801057391209963</v>
      </c>
      <c r="S33" s="15">
        <f>IF(('user page'!$N$39=0),$N33^(M33^0.25),IF(('user page'!$N$39=1),$N33^(M33^0.5),IF(('user page'!$N$39=2),$N33^(M33^0.375),IF(('user page'!$N$39=4),$N33^(M33),IF(('user page'!$N$39=3),$N33^(LN(1+M33)),"")))))</f>
        <v>0.87560070604513285</v>
      </c>
      <c r="T33" s="18">
        <f t="shared" si="22"/>
        <v>1</v>
      </c>
      <c r="U33" s="18">
        <f t="shared" si="22"/>
        <v>1.0669998876469418</v>
      </c>
      <c r="V33" s="18">
        <f t="shared" si="22"/>
        <v>1.0010461869199911</v>
      </c>
      <c r="W33" s="18">
        <f t="shared" si="22"/>
        <v>1.0472235144276956</v>
      </c>
      <c r="X33" s="18">
        <f t="shared" si="22"/>
        <v>1.1348238231344074</v>
      </c>
      <c r="Y33" s="18"/>
      <c r="Z33" s="16"/>
      <c r="AA33" s="17">
        <f>GBDUS!O135/($T33+$W33+$X33+U33+V33)</f>
        <v>8.6294482578140694E-5</v>
      </c>
      <c r="AB33" s="16">
        <f t="shared" si="23"/>
        <v>9.2076203215427088E-5</v>
      </c>
      <c r="AC33" s="16">
        <f t="shared" si="23"/>
        <v>8.6384762737081345E-5</v>
      </c>
      <c r="AD33" s="16">
        <f t="shared" si="23"/>
        <v>9.0369611321200043E-5</v>
      </c>
      <c r="AE33" s="16">
        <f t="shared" si="23"/>
        <v>9.7929034634731136E-5</v>
      </c>
      <c r="AF33" s="17">
        <f>GBDUS!P135/($T33+$W33+$X33+U33+V33)</f>
        <v>1.1771726094439358E-3</v>
      </c>
      <c r="AG33" s="16">
        <f t="shared" si="24"/>
        <v>1.2560430420177368E-3</v>
      </c>
      <c r="AH33" s="16">
        <f t="shared" si="24"/>
        <v>1.1784041520305078E-3</v>
      </c>
      <c r="AI33" s="16">
        <f t="shared" si="24"/>
        <v>1.2327628371498996E-3</v>
      </c>
      <c r="AJ33" s="16">
        <f t="shared" si="24"/>
        <v>1.335883521138274E-3</v>
      </c>
      <c r="AK33" s="17">
        <f>GBDUS!Q135/($T33+$W33+$X33+U33+V33)</f>
        <v>1.0077489838993989</v>
      </c>
      <c r="AL33" s="16">
        <f t="shared" si="25"/>
        <v>1.0752680525969784</v>
      </c>
      <c r="AM33" s="16">
        <f t="shared" si="25"/>
        <v>1.0088032777049889</v>
      </c>
      <c r="AN33" s="16">
        <f t="shared" si="25"/>
        <v>1.0553384325800677</v>
      </c>
      <c r="AO33" s="16">
        <f t="shared" si="25"/>
        <v>1.1436175546685303</v>
      </c>
      <c r="AP33" s="15"/>
      <c r="AQ33" s="15"/>
      <c r="AR33" s="15"/>
      <c r="AS33" s="15"/>
    </row>
    <row r="34" spans="1:45" s="13" customFormat="1" ht="12.75" x14ac:dyDescent="0.2">
      <c r="A34" s="20">
        <v>0</v>
      </c>
      <c r="B34" s="20">
        <v>2</v>
      </c>
      <c r="C34" s="20" t="s">
        <v>36</v>
      </c>
      <c r="D34" s="17">
        <f>Baseline!AN33</f>
        <v>0.23782262690158459</v>
      </c>
      <c r="E34" s="17">
        <f>Baseline!AO33</f>
        <v>0.53893971018277653</v>
      </c>
      <c r="F34" s="17">
        <f>Baseline!AP33</f>
        <v>0.94975346598971733</v>
      </c>
      <c r="G34" s="17">
        <f>Baseline!AQ33</f>
        <v>1.6737153138215863</v>
      </c>
      <c r="H34" s="17">
        <f>Baseline!AR33</f>
        <v>3.7928756313534393</v>
      </c>
      <c r="I34" s="17">
        <f>IF((D34+'Non travel METs'!C34)&gt;2.5,(D34+'Non travel METs'!C34),0.1)</f>
        <v>6.0711559602349148</v>
      </c>
      <c r="J34" s="17">
        <f>IF((E34+'Non travel METs'!D34)&gt;2.5,(E34+'Non travel METs'!D34),0.1)</f>
        <v>5.5389397101827766</v>
      </c>
      <c r="K34" s="17">
        <f>IF((F34+'Non travel METs'!E34)&gt;2.5,(F34+'Non travel METs'!E34),0.1)</f>
        <v>3.4497534659897173</v>
      </c>
      <c r="L34" s="17">
        <f>IF((G34+'Non travel METs'!F34)&gt;2.5,(G34+'Non travel METs'!F34),0.1)</f>
        <v>5.4237153138215861</v>
      </c>
      <c r="M34" s="17">
        <f>IF((H34+'Non travel METs'!G34)&gt;2.5,(H34+'Non travel METs'!G34),0.1)</f>
        <v>3.7928756313534393</v>
      </c>
      <c r="N34" s="19">
        <f t="shared" si="21"/>
        <v>0.95590188686474464</v>
      </c>
      <c r="O34" s="15">
        <f>IF(('user page'!$N$39=0),$N34^(I34^0.25),IF(('user page'!$N$39=1),$N34^(I34^0.5),IF(('user page'!$N$39=2),$N34^(I34^0.375),IF(('user page'!$N$39=4),$N34^(I34),IF(('user page'!$N$39=3),$N34^(LN(1+I34)),"")))))</f>
        <v>0.89482678264840565</v>
      </c>
      <c r="P34" s="15">
        <f>IF(('user page'!$N$39=0),$N34^(J34^0.25),IF(('user page'!$N$39=1),$N34^(J34^0.5),IF(('user page'!$N$39=2),$N34^(J34^0.375),IF(('user page'!$N$39=4),$N34^(J34),IF(('user page'!$N$39=3),$N34^(LN(1+J34)),"")))))</f>
        <v>0.89929636865782481</v>
      </c>
      <c r="Q34" s="15">
        <f>IF(('user page'!$N$39=0),$N34^(K34^0.25),IF(('user page'!$N$39=1),$N34^(K34^0.5),IF(('user page'!$N$39=2),$N34^(K34^0.375),IF(('user page'!$N$39=4),$N34^(K34),IF(('user page'!$N$39=3),$N34^(LN(1+K34)),"")))))</f>
        <v>0.9196459325415639</v>
      </c>
      <c r="R34" s="15">
        <f>IF(('user page'!$N$39=0),$N34^(L34^0.25),IF(('user page'!$N$39=1),$N34^(L34^0.5),IF(('user page'!$N$39=2),$N34^(L34^0.375),IF(('user page'!$N$39=4),$N34^(L34),IF(('user page'!$N$39=3),$N34^(LN(1+L34)),"")))))</f>
        <v>0.90029498338482805</v>
      </c>
      <c r="S34" s="15">
        <f>IF(('user page'!$N$39=0),$N34^(M34^0.25),IF(('user page'!$N$39=1),$N34^(M34^0.5),IF(('user page'!$N$39=2),$N34^(M34^0.375),IF(('user page'!$N$39=4),$N34^(M34),IF(('user page'!$N$39=3),$N34^(LN(1+M34)),"")))))</f>
        <v>0.91591324242858008</v>
      </c>
      <c r="T34" s="18">
        <f t="shared" si="22"/>
        <v>1</v>
      </c>
      <c r="U34" s="18">
        <f t="shared" si="22"/>
        <v>1.0049949175595645</v>
      </c>
      <c r="V34" s="18">
        <f t="shared" si="22"/>
        <v>1.0277362617820864</v>
      </c>
      <c r="W34" s="18">
        <f t="shared" si="22"/>
        <v>1.0061109041911309</v>
      </c>
      <c r="X34" s="18">
        <f t="shared" si="22"/>
        <v>1.0235648509734645</v>
      </c>
      <c r="Y34" s="18"/>
      <c r="Z34" s="16"/>
      <c r="AA34" s="17">
        <f>GBDUS!O136/($T34+$W34+$X34+U34+V34)</f>
        <v>7.7475669928017308E-4</v>
      </c>
      <c r="AB34" s="16">
        <f t="shared" si="23"/>
        <v>7.7862654512179789E-4</v>
      </c>
      <c r="AC34" s="16">
        <f t="shared" si="23"/>
        <v>7.9624555390883319E-4</v>
      </c>
      <c r="AD34" s="16">
        <f t="shared" si="23"/>
        <v>7.7949116324091102E-4</v>
      </c>
      <c r="AE34" s="16">
        <f t="shared" si="23"/>
        <v>7.9301372543940361E-4</v>
      </c>
      <c r="AF34" s="17">
        <f>GBDUS!P136/($T34+$W34+$X34+U34+V34)</f>
        <v>5.7474469904064164E-3</v>
      </c>
      <c r="AG34" s="16">
        <f t="shared" si="24"/>
        <v>5.7761550143014635E-3</v>
      </c>
      <c r="AH34" s="16">
        <f t="shared" si="24"/>
        <v>5.9068596847109932E-3</v>
      </c>
      <c r="AI34" s="16">
        <f t="shared" si="24"/>
        <v>5.782569088308394E-3</v>
      </c>
      <c r="AJ34" s="16">
        <f t="shared" si="24"/>
        <v>5.8828847222132307E-3</v>
      </c>
      <c r="AK34" s="17">
        <f>GBDUS!Q136/($T34+$W34+$X34+U34+V34)</f>
        <v>0.59097748582367138</v>
      </c>
      <c r="AL34" s="16">
        <f t="shared" si="25"/>
        <v>0.59392936964491927</v>
      </c>
      <c r="AM34" s="16">
        <f t="shared" si="25"/>
        <v>0.60736899207779604</v>
      </c>
      <c r="AN34" s="16">
        <f t="shared" si="25"/>
        <v>0.59458889261865522</v>
      </c>
      <c r="AO34" s="16">
        <f t="shared" si="25"/>
        <v>0.60490378220577889</v>
      </c>
      <c r="AP34" s="15"/>
      <c r="AQ34" s="15"/>
      <c r="AR34" s="15"/>
      <c r="AS34" s="15"/>
    </row>
    <row r="35" spans="1:45" s="13" customFormat="1" ht="12.75" x14ac:dyDescent="0.2">
      <c r="A35" s="20">
        <v>0</v>
      </c>
      <c r="B35" s="20">
        <v>2</v>
      </c>
      <c r="C35" s="20" t="s">
        <v>35</v>
      </c>
      <c r="D35" s="17">
        <f>Baseline!AN34</f>
        <v>0.12364682020186614</v>
      </c>
      <c r="E35" s="17">
        <f>Baseline!AO34</f>
        <v>0.28020118317922604</v>
      </c>
      <c r="F35" s="17">
        <f>Baseline!AP34</f>
        <v>0.49378815453891239</v>
      </c>
      <c r="G35" s="17">
        <f>Baseline!AQ34</f>
        <v>0.87018455381391113</v>
      </c>
      <c r="H35" s="17">
        <f>Baseline!AR34</f>
        <v>1.9719612778142819</v>
      </c>
      <c r="I35" s="17">
        <f>IF((D35+'Non travel METs'!C35)&gt;2.5,(D35+'Non travel METs'!C35),0.1)</f>
        <v>6.6236468202018663</v>
      </c>
      <c r="J35" s="17">
        <f>IF((E35+'Non travel METs'!D35)&gt;2.5,(E35+'Non travel METs'!D35),0.1)</f>
        <v>3.4052011831792259</v>
      </c>
      <c r="K35" s="17">
        <f>IF((F35+'Non travel METs'!E35)&gt;2.5,(F35+'Non travel METs'!E35),0.1)</f>
        <v>0.1</v>
      </c>
      <c r="L35" s="17">
        <f>IF((G35+'Non travel METs'!F35)&gt;2.5,(G35+'Non travel METs'!F35),0.1)</f>
        <v>0.1</v>
      </c>
      <c r="M35" s="17">
        <f>IF((H35+'Non travel METs'!G35)&gt;2.5,(H35+'Non travel METs'!G35),0.1)</f>
        <v>0.1</v>
      </c>
      <c r="N35" s="19">
        <f t="shared" si="21"/>
        <v>0.95590188686474464</v>
      </c>
      <c r="O35" s="15">
        <f>IF(('user page'!$N$39=0),$N35^(I35^0.25),IF(('user page'!$N$39=1),$N35^(I35^0.5),IF(('user page'!$N$39=2),$N35^(I35^0.375),IF(('user page'!$N$39=4),$N35^(I35),IF(('user page'!$N$39=3),$N35^(LN(1+I35)),"")))))</f>
        <v>0.89041166876200828</v>
      </c>
      <c r="P35" s="15">
        <f>IF(('user page'!$N$39=0),$N35^(J35^0.25),IF(('user page'!$N$39=1),$N35^(J35^0.5),IF(('user page'!$N$39=2),$N35^(J35^0.375),IF(('user page'!$N$39=4),$N35^(J35),IF(('user page'!$N$39=3),$N35^(LN(1+J35)),"")))))</f>
        <v>0.92014512728525588</v>
      </c>
      <c r="Q35" s="15">
        <f>IF(('user page'!$N$39=0),$N35^(K35^0.25),IF(('user page'!$N$39=1),$N35^(K35^0.5),IF(('user page'!$N$39=2),$N35^(K35^0.375),IF(('user page'!$N$39=4),$N35^(K35),IF(('user page'!$N$39=3),$N35^(LN(1+K35)),"")))))</f>
        <v>0.985839346491721</v>
      </c>
      <c r="R35" s="15">
        <f>IF(('user page'!$N$39=0),$N35^(L35^0.25),IF(('user page'!$N$39=1),$N35^(L35^0.5),IF(('user page'!$N$39=2),$N35^(L35^0.375),IF(('user page'!$N$39=4),$N35^(L35),IF(('user page'!$N$39=3),$N35^(LN(1+L35)),"")))))</f>
        <v>0.985839346491721</v>
      </c>
      <c r="S35" s="15">
        <f>IF(('user page'!$N$39=0),$N35^(M35^0.25),IF(('user page'!$N$39=1),$N35^(M35^0.5),IF(('user page'!$N$39=2),$N35^(M35^0.375),IF(('user page'!$N$39=4),$N35^(M35),IF(('user page'!$N$39=3),$N35^(LN(1+M35)),"")))))</f>
        <v>0.985839346491721</v>
      </c>
      <c r="T35" s="18">
        <f t="shared" si="22"/>
        <v>1</v>
      </c>
      <c r="U35" s="18">
        <f t="shared" si="22"/>
        <v>1.0333929344890411</v>
      </c>
      <c r="V35" s="18">
        <f t="shared" si="22"/>
        <v>1.1071725372404333</v>
      </c>
      <c r="W35" s="18">
        <f t="shared" si="22"/>
        <v>1.1071725372404333</v>
      </c>
      <c r="X35" s="18">
        <f t="shared" si="22"/>
        <v>1.1071725372404333</v>
      </c>
      <c r="Y35" s="18"/>
      <c r="Z35" s="16"/>
      <c r="AA35" s="17">
        <f>GBDUS!O137/($T35+$W35+$X35+U35+V35)</f>
        <v>2.1226795743299184E-3</v>
      </c>
      <c r="AB35" s="16">
        <f t="shared" si="23"/>
        <v>2.1935620742967433E-3</v>
      </c>
      <c r="AC35" s="16">
        <f t="shared" si="23"/>
        <v>2.3501725300592987E-3</v>
      </c>
      <c r="AD35" s="16">
        <f t="shared" si="23"/>
        <v>2.3501725300592987E-3</v>
      </c>
      <c r="AE35" s="16">
        <f t="shared" si="23"/>
        <v>2.3501725300592987E-3</v>
      </c>
      <c r="AF35" s="17">
        <f>GBDUS!P137/($T35+$W35+$X35+U35+V35)</f>
        <v>6.5516929649062526E-3</v>
      </c>
      <c r="AG35" s="16">
        <f t="shared" si="24"/>
        <v>6.7704732188756788E-3</v>
      </c>
      <c r="AH35" s="16">
        <f t="shared" si="24"/>
        <v>7.2538545231755529E-3</v>
      </c>
      <c r="AI35" s="16">
        <f t="shared" si="24"/>
        <v>7.2538545231755529E-3</v>
      </c>
      <c r="AJ35" s="16">
        <f t="shared" si="24"/>
        <v>7.2538545231755529E-3</v>
      </c>
      <c r="AK35" s="17">
        <f>GBDUS!Q137/($T35+$W35+$X35+U35+V35)</f>
        <v>0.30950566117996242</v>
      </c>
      <c r="AL35" s="16">
        <f t="shared" si="25"/>
        <v>0.31984096344773227</v>
      </c>
      <c r="AM35" s="16">
        <f t="shared" si="25"/>
        <v>0.3426761681788969</v>
      </c>
      <c r="AN35" s="16">
        <f t="shared" si="25"/>
        <v>0.3426761681788969</v>
      </c>
      <c r="AO35" s="16">
        <f t="shared" si="25"/>
        <v>0.3426761681788969</v>
      </c>
      <c r="AP35" s="15"/>
      <c r="AQ35" s="15"/>
      <c r="AR35" s="15"/>
      <c r="AS35" s="15"/>
    </row>
  </sheetData>
  <mergeCells count="8">
    <mergeCell ref="AF1:AJ1"/>
    <mergeCell ref="AK1:AO1"/>
    <mergeCell ref="AP1:AS1"/>
    <mergeCell ref="D1:H1"/>
    <mergeCell ref="I1:M1"/>
    <mergeCell ref="O1:S1"/>
    <mergeCell ref="T1:X1"/>
    <mergeCell ref="AA1:AE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5"/>
  <sheetViews>
    <sheetView topLeftCell="E1" workbookViewId="0">
      <selection activeCell="AA5" sqref="AA5"/>
    </sheetView>
  </sheetViews>
  <sheetFormatPr defaultColWidth="9.140625" defaultRowHeight="12" x14ac:dyDescent="0.2"/>
  <cols>
    <col min="1" max="2" width="3.85546875" style="323" customWidth="1"/>
    <col min="3" max="3" width="6" style="323" customWidth="1"/>
    <col min="4" max="5" width="2" style="323" customWidth="1"/>
    <col min="6" max="6" width="3" style="323" customWidth="1"/>
    <col min="7" max="7" width="4.42578125" style="323" customWidth="1"/>
    <col min="8" max="8" width="3" style="323" customWidth="1"/>
    <col min="9" max="10" width="3.42578125" style="549" customWidth="1"/>
    <col min="11" max="13" width="4.42578125" style="549" customWidth="1"/>
    <col min="14" max="14" width="5" style="323" customWidth="1"/>
    <col min="15" max="24" width="3.42578125" style="323" customWidth="1"/>
    <col min="25" max="25" width="6" style="323" customWidth="1"/>
    <col min="26" max="26" width="8" style="547" customWidth="1"/>
    <col min="27" max="31" width="4" style="323" customWidth="1"/>
    <col min="32" max="36" width="5" style="323" customWidth="1"/>
    <col min="37" max="41" width="5" style="547" customWidth="1"/>
    <col min="42" max="42" width="6.7109375" style="546" customWidth="1"/>
    <col min="43" max="44" width="5.5703125" style="323" customWidth="1"/>
    <col min="45" max="45" width="6.5703125" style="323" customWidth="1"/>
    <col min="46" max="16384" width="9.140625" style="323"/>
  </cols>
  <sheetData>
    <row r="1" spans="1:45" ht="37.15" customHeight="1" x14ac:dyDescent="0.2">
      <c r="A1" s="525"/>
      <c r="B1" s="525"/>
      <c r="C1" s="525"/>
      <c r="D1" s="1351" t="s">
        <v>57</v>
      </c>
      <c r="E1" s="1352"/>
      <c r="F1" s="1352"/>
      <c r="G1" s="1352"/>
      <c r="H1" s="1353"/>
      <c r="I1" s="1354" t="s">
        <v>56</v>
      </c>
      <c r="J1" s="1354"/>
      <c r="K1" s="1354"/>
      <c r="L1" s="1354"/>
      <c r="M1" s="1354"/>
      <c r="N1" s="526"/>
      <c r="O1" s="1348" t="s">
        <v>55</v>
      </c>
      <c r="P1" s="1348"/>
      <c r="Q1" s="1348"/>
      <c r="R1" s="1348"/>
      <c r="S1" s="1348"/>
      <c r="T1" s="1348" t="s">
        <v>53</v>
      </c>
      <c r="U1" s="1348"/>
      <c r="V1" s="1348"/>
      <c r="W1" s="1348"/>
      <c r="X1" s="1348"/>
      <c r="Y1" s="527" t="s">
        <v>76</v>
      </c>
      <c r="Z1" s="528" t="s">
        <v>75</v>
      </c>
      <c r="AA1" s="1348" t="s">
        <v>52</v>
      </c>
      <c r="AB1" s="1348"/>
      <c r="AC1" s="1348"/>
      <c r="AD1" s="1348"/>
      <c r="AE1" s="1348"/>
      <c r="AF1" s="1348" t="s">
        <v>51</v>
      </c>
      <c r="AG1" s="1348"/>
      <c r="AH1" s="1348"/>
      <c r="AI1" s="1348"/>
      <c r="AJ1" s="1348"/>
      <c r="AK1" s="1349" t="s">
        <v>50</v>
      </c>
      <c r="AL1" s="1349"/>
      <c r="AM1" s="1349"/>
      <c r="AN1" s="1349"/>
      <c r="AO1" s="1349"/>
      <c r="AP1" s="1350" t="s">
        <v>49</v>
      </c>
      <c r="AQ1" s="1350"/>
      <c r="AR1" s="1350"/>
      <c r="AS1" s="1350"/>
    </row>
    <row r="2" spans="1:45" s="532" customFormat="1" ht="27.6" customHeight="1" x14ac:dyDescent="0.2">
      <c r="A2" s="526" t="s">
        <v>48</v>
      </c>
      <c r="B2" s="526" t="s">
        <v>47</v>
      </c>
      <c r="C2" s="526" t="s">
        <v>46</v>
      </c>
      <c r="D2" s="527">
        <v>1</v>
      </c>
      <c r="E2" s="527">
        <v>2</v>
      </c>
      <c r="F2" s="527">
        <v>3</v>
      </c>
      <c r="G2" s="527">
        <v>4</v>
      </c>
      <c r="H2" s="527">
        <v>5</v>
      </c>
      <c r="I2" s="548">
        <v>1</v>
      </c>
      <c r="J2" s="548">
        <v>2</v>
      </c>
      <c r="K2" s="548">
        <v>3</v>
      </c>
      <c r="L2" s="548">
        <v>4</v>
      </c>
      <c r="M2" s="548">
        <v>5</v>
      </c>
      <c r="N2" s="526" t="s">
        <v>45</v>
      </c>
      <c r="O2" s="526">
        <v>1</v>
      </c>
      <c r="P2" s="526">
        <v>2</v>
      </c>
      <c r="Q2" s="526">
        <v>3</v>
      </c>
      <c r="R2" s="526">
        <v>4</v>
      </c>
      <c r="S2" s="526">
        <v>5</v>
      </c>
      <c r="T2" s="527">
        <v>1</v>
      </c>
      <c r="U2" s="527">
        <v>2</v>
      </c>
      <c r="V2" s="527">
        <v>3</v>
      </c>
      <c r="W2" s="527">
        <v>4</v>
      </c>
      <c r="X2" s="527">
        <v>5</v>
      </c>
      <c r="Y2" s="526"/>
      <c r="Z2" s="528"/>
      <c r="AA2" s="527">
        <v>1</v>
      </c>
      <c r="AB2" s="527">
        <v>2</v>
      </c>
      <c r="AC2" s="527">
        <v>3</v>
      </c>
      <c r="AD2" s="527">
        <v>4</v>
      </c>
      <c r="AE2" s="527">
        <v>5</v>
      </c>
      <c r="AF2" s="527">
        <v>1</v>
      </c>
      <c r="AG2" s="527">
        <v>2</v>
      </c>
      <c r="AH2" s="527">
        <v>3</v>
      </c>
      <c r="AI2" s="527">
        <v>4</v>
      </c>
      <c r="AJ2" s="527">
        <v>5</v>
      </c>
      <c r="AK2" s="527">
        <v>1</v>
      </c>
      <c r="AL2" s="527">
        <v>2</v>
      </c>
      <c r="AM2" s="527">
        <v>3</v>
      </c>
      <c r="AN2" s="527">
        <v>4</v>
      </c>
      <c r="AO2" s="527">
        <v>5</v>
      </c>
      <c r="AP2" s="530" t="s">
        <v>44</v>
      </c>
      <c r="AQ2" s="527" t="s">
        <v>43</v>
      </c>
      <c r="AR2" s="527" t="s">
        <v>42</v>
      </c>
      <c r="AS2" s="527" t="s">
        <v>29</v>
      </c>
    </row>
    <row r="3" spans="1:45" ht="10.9" customHeight="1" x14ac:dyDescent="0.2">
      <c r="A3" s="525">
        <v>1</v>
      </c>
      <c r="B3" s="525">
        <v>1</v>
      </c>
      <c r="C3" s="525" t="s">
        <v>2</v>
      </c>
      <c r="D3" s="533"/>
      <c r="E3" s="533"/>
      <c r="F3" s="533"/>
      <c r="G3" s="533"/>
      <c r="H3" s="533"/>
      <c r="I3" s="534"/>
      <c r="J3" s="534"/>
      <c r="K3" s="534"/>
      <c r="L3" s="534"/>
      <c r="M3" s="534"/>
      <c r="N3" s="534"/>
      <c r="O3" s="534"/>
      <c r="P3" s="534"/>
      <c r="Q3" s="534"/>
      <c r="R3" s="534"/>
      <c r="S3" s="534"/>
      <c r="T3" s="535"/>
      <c r="U3" s="535"/>
      <c r="V3" s="535"/>
      <c r="W3" s="535"/>
      <c r="X3" s="535"/>
      <c r="Y3" s="535"/>
      <c r="Z3" s="537"/>
      <c r="AA3" s="534"/>
      <c r="AB3" s="534"/>
      <c r="AC3" s="534"/>
      <c r="AD3" s="535"/>
      <c r="AE3" s="535"/>
      <c r="AF3" s="534"/>
      <c r="AG3" s="534"/>
      <c r="AH3" s="534"/>
      <c r="AI3" s="535"/>
      <c r="AJ3" s="535"/>
      <c r="AK3" s="533"/>
      <c r="AL3" s="533"/>
      <c r="AM3" s="533"/>
      <c r="AN3" s="537"/>
      <c r="AO3" s="537"/>
      <c r="AP3" s="533"/>
      <c r="AQ3" s="533"/>
      <c r="AR3" s="533"/>
      <c r="AS3" s="533"/>
    </row>
    <row r="4" spans="1:45" ht="10.9" customHeight="1" x14ac:dyDescent="0.2">
      <c r="A4" s="525">
        <v>1</v>
      </c>
      <c r="B4" s="525">
        <v>1</v>
      </c>
      <c r="C4" s="525" t="s">
        <v>41</v>
      </c>
      <c r="D4" s="533"/>
      <c r="E4" s="533"/>
      <c r="F4" s="533"/>
      <c r="G4" s="533"/>
      <c r="H4" s="533"/>
      <c r="I4" s="534"/>
      <c r="J4" s="534"/>
      <c r="K4" s="534"/>
      <c r="L4" s="534"/>
      <c r="M4" s="534"/>
      <c r="N4" s="534"/>
      <c r="O4" s="534"/>
      <c r="P4" s="534"/>
      <c r="Q4" s="534"/>
      <c r="R4" s="534"/>
      <c r="S4" s="534"/>
      <c r="T4" s="535"/>
      <c r="U4" s="535"/>
      <c r="V4" s="535"/>
      <c r="W4" s="535"/>
      <c r="X4" s="535"/>
      <c r="Y4" s="535"/>
      <c r="Z4" s="537"/>
      <c r="AA4" s="534"/>
      <c r="AB4" s="534"/>
      <c r="AC4" s="534"/>
      <c r="AD4" s="535"/>
      <c r="AE4" s="535"/>
      <c r="AF4" s="534"/>
      <c r="AG4" s="534"/>
      <c r="AH4" s="534"/>
      <c r="AI4" s="535"/>
      <c r="AJ4" s="535"/>
      <c r="AK4" s="533"/>
      <c r="AL4" s="533"/>
      <c r="AM4" s="533"/>
      <c r="AN4" s="537"/>
      <c r="AO4" s="537"/>
      <c r="AP4" s="533"/>
      <c r="AQ4" s="533"/>
      <c r="AR4" s="533"/>
      <c r="AS4" s="533"/>
    </row>
    <row r="5" spans="1:45" ht="10.9" customHeight="1" x14ac:dyDescent="0.2">
      <c r="A5" s="525">
        <v>1</v>
      </c>
      <c r="B5" s="525">
        <v>1</v>
      </c>
      <c r="C5" s="525" t="s">
        <v>40</v>
      </c>
      <c r="D5" s="533">
        <f>Scenario!AN21</f>
        <v>1.9649930808034388</v>
      </c>
      <c r="E5" s="533">
        <f>Scenario!AO21</f>
        <v>4.4529522496511911</v>
      </c>
      <c r="F5" s="533">
        <f>Scenario!AP21</f>
        <v>7.8472726226809844</v>
      </c>
      <c r="G5" s="533">
        <f>Scenario!AQ21</f>
        <v>13.828957545974617</v>
      </c>
      <c r="H5" s="533">
        <f>Scenario!AR21</f>
        <v>31.338373766435872</v>
      </c>
      <c r="I5" s="534">
        <f t="shared" ref="I5:I10" si="0">IF(D5&gt;2.5,D5,0.1)</f>
        <v>0.1</v>
      </c>
      <c r="J5" s="534">
        <f t="shared" ref="J5:M18" si="1">IF(E5&gt;2.5,E5,0.1)</f>
        <v>4.4529522496511911</v>
      </c>
      <c r="K5" s="534">
        <f t="shared" si="1"/>
        <v>7.8472726226809844</v>
      </c>
      <c r="L5" s="534">
        <f t="shared" si="1"/>
        <v>13.828957545974617</v>
      </c>
      <c r="M5" s="534">
        <f t="shared" si="1"/>
        <v>31.338373766435872</v>
      </c>
      <c r="N5" s="541">
        <f>'Phy activity RRs'!$M$4</f>
        <v>0.94277975044398532</v>
      </c>
      <c r="O5" s="534">
        <f>IF(('user page'!$N$39=0),$N5^(I5^0.25),IF(('user page'!$N$39=1),$N5^(I5^0.5),IF(('user page'!$N$39=2),$N5^(I5^0.375),IF(('user page'!$N$39=4),$N5^(I5),IF(('user page'!$N$39=3),$N5^(LN(1+I5)),"")))))</f>
        <v>0.98153956255603969</v>
      </c>
      <c r="P5" s="534">
        <f>IF(('user page'!$N$39=0),$N5^(J5^0.25),IF(('user page'!$N$39=1),$N5^(J5^0.5),IF(('user page'!$N$39=2),$N5^(J5^0.375),IF(('user page'!$N$39=4),$N5^(J5),IF(('user page'!$N$39=3),$N5^(LN(1+J5)),"")))))</f>
        <v>0.8830808178417161</v>
      </c>
      <c r="Q5" s="534">
        <f>IF(('user page'!$N$39=0),$N5^(K5^0.25),IF(('user page'!$N$39=1),$N5^(K5^0.5),IF(('user page'!$N$39=2),$N5^(K5^0.375),IF(('user page'!$N$39=4),$N5^(K5),IF(('user page'!$N$39=3),$N5^(LN(1+K5)),"")))))</f>
        <v>0.84784304775665387</v>
      </c>
      <c r="R5" s="534">
        <f>IF(('user page'!$N$39=0),$N5^(L5^0.25),IF(('user page'!$N$39=1),$N5^(L5^0.5),IF(('user page'!$N$39=2),$N5^(L5^0.375),IF(('user page'!$N$39=4),$N5^(L5),IF(('user page'!$N$39=3),$N5^(LN(1+L5)),"")))))</f>
        <v>0.80322755293588344</v>
      </c>
      <c r="S5" s="534">
        <f>IF(('user page'!$N$39=0),$N5^(M5^0.25),IF(('user page'!$N$39=1),$N5^(M5^0.5),IF(('user page'!$N$39=2),$N5^(M5^0.375),IF(('user page'!$N$39=4),$N5^(M5),IF(('user page'!$N$39=3),$N5^(LN(1+M5)),"")))))</f>
        <v>0.71902964662641755</v>
      </c>
      <c r="T5" s="535">
        <f t="shared" ref="T5:X10" si="2">O5/$O5</f>
        <v>1</v>
      </c>
      <c r="U5" s="535">
        <f t="shared" si="2"/>
        <v>0.89968947919131659</v>
      </c>
      <c r="V5" s="535">
        <f t="shared" si="2"/>
        <v>0.8637889700021617</v>
      </c>
      <c r="W5" s="535">
        <f t="shared" si="2"/>
        <v>0.81833436325703302</v>
      </c>
      <c r="X5" s="535">
        <f t="shared" si="2"/>
        <v>0.7325528934911022</v>
      </c>
      <c r="Y5" s="538">
        <f>1-Z5</f>
        <v>9.1908748960421893E-2</v>
      </c>
      <c r="Z5" s="542">
        <f t="shared" ref="Z5:Z10" si="3">SUM(O5:S5)/SUM(O22:S22)</f>
        <v>0.90809125103957811</v>
      </c>
      <c r="AA5" s="533">
        <f>(GBDUS!$O107*Z5)/($T5+$W5+$X5+U5+V5)</f>
        <v>5.1444859542832842E-4</v>
      </c>
      <c r="AB5" s="537">
        <f t="shared" ref="AB5:AE10" si="4">$AA5*U5</f>
        <v>4.6284398889161714E-4</v>
      </c>
      <c r="AC5" s="537">
        <f t="shared" si="4"/>
        <v>4.4437502236409463E-4</v>
      </c>
      <c r="AD5" s="537">
        <f t="shared" si="4"/>
        <v>4.2099096376831612E-4</v>
      </c>
      <c r="AE5" s="537">
        <f t="shared" si="4"/>
        <v>3.7686080713345542E-4</v>
      </c>
      <c r="AF5" s="533">
        <f>Z5*GBDUS!$P107/($T5+$W5+$X5+U5+V5)</f>
        <v>1.5298413761830601E-2</v>
      </c>
      <c r="AG5" s="537">
        <f t="shared" ref="AG5:AJ10" si="5">$AF5*U5</f>
        <v>1.3763821909834644E-2</v>
      </c>
      <c r="AH5" s="537">
        <f t="shared" si="5"/>
        <v>1.321460106599855E-2</v>
      </c>
      <c r="AI5" s="537">
        <f t="shared" si="5"/>
        <v>1.2519217684630275E-2</v>
      </c>
      <c r="AJ5" s="537">
        <f t="shared" si="5"/>
        <v>1.1206897267053104E-2</v>
      </c>
      <c r="AK5" s="533">
        <f>GBDUS!$Q107*$Z5/($T5+$W5+$X5+U5+V5)</f>
        <v>5.0475436998360282E-2</v>
      </c>
      <c r="AL5" s="537">
        <f t="shared" ref="AL5:AO10" si="6">$AK5*U5</f>
        <v>4.5412219625008875E-2</v>
      </c>
      <c r="AM5" s="537">
        <f t="shared" si="6"/>
        <v>4.3600125735222629E-2</v>
      </c>
      <c r="AN5" s="537">
        <f t="shared" si="6"/>
        <v>4.130578459617365E-2</v>
      </c>
      <c r="AO5" s="537">
        <f t="shared" si="6"/>
        <v>3.6975927423376659E-2</v>
      </c>
      <c r="AP5" s="533">
        <f>AA5+AB5+AE5+AC5+AD5-AC22-AD22-AA22-AB22-AE22</f>
        <v>-2.2463959327192698E-4</v>
      </c>
      <c r="AQ5" s="533">
        <f>AF5+AG5+AJ5+AH5+AI5-AH22-AI22-AG22-AJ22-AF22</f>
        <v>-6.6802193177375509E-3</v>
      </c>
      <c r="AR5" s="533">
        <f>AK5+AL5+AO5-AK22+AM5+AN5-AM22-AN22-AL22-AO22</f>
        <v>-2.2040650394027757E-2</v>
      </c>
      <c r="AS5" s="533">
        <f t="shared" ref="AS5:AS10" si="7">AQ5+AR5</f>
        <v>-2.8720869711765309E-2</v>
      </c>
    </row>
    <row r="6" spans="1:45" ht="10.9" customHeight="1" x14ac:dyDescent="0.2">
      <c r="A6" s="525">
        <v>1</v>
      </c>
      <c r="B6" s="525">
        <v>1</v>
      </c>
      <c r="C6" s="525" t="s">
        <v>39</v>
      </c>
      <c r="D6" s="533">
        <f>Scenario!AN22</f>
        <v>1.1398546847573734</v>
      </c>
      <c r="E6" s="533">
        <f>Scenario!AO22</f>
        <v>2.5830719366657791</v>
      </c>
      <c r="F6" s="533">
        <f>Scenario!AP22</f>
        <v>4.5520518870600304</v>
      </c>
      <c r="G6" s="533">
        <f>Scenario!AQ22</f>
        <v>8.0219122388181017</v>
      </c>
      <c r="H6" s="533">
        <f>Scenario!AR22</f>
        <v>18.178787752140046</v>
      </c>
      <c r="I6" s="534">
        <f t="shared" si="0"/>
        <v>0.1</v>
      </c>
      <c r="J6" s="534">
        <f t="shared" si="1"/>
        <v>2.5830719366657791</v>
      </c>
      <c r="K6" s="534">
        <f t="shared" si="1"/>
        <v>4.5520518870600304</v>
      </c>
      <c r="L6" s="534">
        <f t="shared" si="1"/>
        <v>8.0219122388181017</v>
      </c>
      <c r="M6" s="534">
        <f t="shared" si="1"/>
        <v>18.178787752140046</v>
      </c>
      <c r="N6" s="541">
        <f>'Phy activity RRs'!$M$4</f>
        <v>0.94277975044398532</v>
      </c>
      <c r="O6" s="534">
        <f>IF(('user page'!$N$39=0),$N6^(I6^0.25),IF(('user page'!$N$39=1),$N6^(I6^0.5),IF(('user page'!$N$39=2),$N6^(I6^0.375),IF(('user page'!$N$39=4),$N6^(I6),IF(('user page'!$N$39=3),$N6^(LN(1+I6)),"")))))</f>
        <v>0.98153956255603969</v>
      </c>
      <c r="P6" s="534">
        <f>IF(('user page'!$N$39=0),$N6^(J6^0.25),IF(('user page'!$N$39=1),$N6^(J6^0.5),IF(('user page'!$N$39=2),$N6^(J6^0.375),IF(('user page'!$N$39=4),$N6^(J6),IF(('user page'!$N$39=3),$N6^(LN(1+J6)),"")))))</f>
        <v>0.90964577291762494</v>
      </c>
      <c r="Q6" s="534">
        <f>IF(('user page'!$N$39=0),$N6^(K6^0.25),IF(('user page'!$N$39=1),$N6^(K6^0.5),IF(('user page'!$N$39=2),$N6^(K6^0.375),IF(('user page'!$N$39=4),$N6^(K6),IF(('user page'!$N$39=3),$N6^(LN(1+K6)),"")))))</f>
        <v>0.8818665760224671</v>
      </c>
      <c r="R6" s="534">
        <f>IF(('user page'!$N$39=0),$N6^(L6^0.25),IF(('user page'!$N$39=1),$N6^(L6^0.5),IF(('user page'!$N$39=2),$N6^(L6^0.375),IF(('user page'!$N$39=4),$N6^(L6),IF(('user page'!$N$39=3),$N6^(LN(1+L6)),"")))))</f>
        <v>0.84629580761888989</v>
      </c>
      <c r="S6" s="534">
        <f>IF(('user page'!$N$39=0),$N6^(M6^0.25),IF(('user page'!$N$39=1),$N6^(M6^0.5),IF(('user page'!$N$39=2),$N6^(M6^0.375),IF(('user page'!$N$39=4),$N6^(M6),IF(('user page'!$N$39=3),$N6^(LN(1+M6)),"")))))</f>
        <v>0.77784670382625565</v>
      </c>
      <c r="T6" s="535">
        <f t="shared" si="2"/>
        <v>1</v>
      </c>
      <c r="U6" s="535">
        <f t="shared" si="2"/>
        <v>0.92675405823561996</v>
      </c>
      <c r="V6" s="535">
        <f t="shared" si="2"/>
        <v>0.89845240035560781</v>
      </c>
      <c r="W6" s="535">
        <f t="shared" si="2"/>
        <v>0.86221262993723879</v>
      </c>
      <c r="X6" s="535">
        <f t="shared" si="2"/>
        <v>0.79247616041135938</v>
      </c>
      <c r="Y6" s="538">
        <f t="shared" ref="Y6:Y18" si="8">1-Z6</f>
        <v>8.3200354667795184E-2</v>
      </c>
      <c r="Z6" s="542">
        <f t="shared" si="3"/>
        <v>0.91679964533220482</v>
      </c>
      <c r="AA6" s="533">
        <f>(GBDUS!$O108*Z6)/($T6+$W6+$X6+U6+V6)</f>
        <v>2.329937748966197E-2</v>
      </c>
      <c r="AB6" s="537">
        <f t="shared" si="4"/>
        <v>2.1592792642907883E-2</v>
      </c>
      <c r="AC6" s="537">
        <f t="shared" si="4"/>
        <v>2.0933381632378213E-2</v>
      </c>
      <c r="AD6" s="537">
        <f t="shared" si="4"/>
        <v>2.0089017541261949E-2</v>
      </c>
      <c r="AE6" s="537">
        <f t="shared" si="4"/>
        <v>1.8464201212982177E-2</v>
      </c>
      <c r="AF6" s="533">
        <f>Z6*GBDUS!$P108/($T6+$W6+$X6+U6+V6)</f>
        <v>0.55460948411481714</v>
      </c>
      <c r="AG6" s="537">
        <f t="shared" si="5"/>
        <v>0.51398659013937043</v>
      </c>
      <c r="AH6" s="537">
        <f t="shared" si="5"/>
        <v>0.49829022226294278</v>
      </c>
      <c r="AI6" s="537">
        <f t="shared" si="5"/>
        <v>0.47819130188677172</v>
      </c>
      <c r="AJ6" s="537">
        <f t="shared" si="5"/>
        <v>0.43951479449903508</v>
      </c>
      <c r="AK6" s="533">
        <f>GBDUS!$Q108*$Z6/($T6+$W6+$X6+U6+V6)</f>
        <v>1.310753131307596</v>
      </c>
      <c r="AL6" s="537">
        <f t="shared" si="6"/>
        <v>1.2147457837843609</v>
      </c>
      <c r="AM6" s="537">
        <f t="shared" si="6"/>
        <v>1.1776492970969388</v>
      </c>
      <c r="AN6" s="537">
        <f t="shared" si="6"/>
        <v>1.1301479045431932</v>
      </c>
      <c r="AO6" s="537">
        <f t="shared" si="6"/>
        <v>1.03874060874581</v>
      </c>
      <c r="AP6" s="533">
        <f t="shared" ref="AP6:AP18" si="9">AA6+AB6+AE6+AC6+AD6-AC23-AD23-AA23-AB23-AE23</f>
        <v>-9.4724630089035311E-3</v>
      </c>
      <c r="AQ6" s="533">
        <f t="shared" ref="AQ6:AQ18" si="10">AF6+AG6+AJ6+AH6+AI6-AH23-AI23-AG23-AJ23-AF23</f>
        <v>-0.22547889208609562</v>
      </c>
      <c r="AR6" s="533">
        <f t="shared" ref="AR6:AR18" si="11">AK6+AL6+AO6-AK23+AM6+AN6-AM23-AN23-AL23-AO23</f>
        <v>-0.53289237258054434</v>
      </c>
      <c r="AS6" s="533">
        <f t="shared" si="7"/>
        <v>-0.75837126466663995</v>
      </c>
    </row>
    <row r="7" spans="1:45" ht="10.9" customHeight="1" x14ac:dyDescent="0.2">
      <c r="A7" s="525">
        <v>1</v>
      </c>
      <c r="B7" s="525">
        <v>1</v>
      </c>
      <c r="C7" s="525" t="s">
        <v>38</v>
      </c>
      <c r="D7" s="533">
        <f>Scenario!AN23</f>
        <v>1.1455500772835505</v>
      </c>
      <c r="E7" s="533">
        <f>Scenario!AO23</f>
        <v>2.5959785016862105</v>
      </c>
      <c r="F7" s="533">
        <f>Scenario!AP23</f>
        <v>4.5747966479870366</v>
      </c>
      <c r="G7" s="533">
        <f>Scenario!AQ23</f>
        <v>8.0619944875657499</v>
      </c>
      <c r="H7" s="533">
        <f>Scenario!AR23</f>
        <v>18.269619797034032</v>
      </c>
      <c r="I7" s="534">
        <f t="shared" si="0"/>
        <v>0.1</v>
      </c>
      <c r="J7" s="534">
        <f t="shared" si="1"/>
        <v>2.5959785016862105</v>
      </c>
      <c r="K7" s="534">
        <f t="shared" si="1"/>
        <v>4.5747966479870366</v>
      </c>
      <c r="L7" s="534">
        <f t="shared" si="1"/>
        <v>8.0619944875657499</v>
      </c>
      <c r="M7" s="534">
        <f t="shared" si="1"/>
        <v>18.269619797034032</v>
      </c>
      <c r="N7" s="541">
        <f>'Phy activity RRs'!$M$4</f>
        <v>0.94277975044398532</v>
      </c>
      <c r="O7" s="534">
        <f>IF(('user page'!$N$39=0),$N7^(I7^0.25),IF(('user page'!$N$39=1),$N7^(I7^0.5),IF(('user page'!$N$39=2),$N7^(I7^0.375),IF(('user page'!$N$39=4),$N7^(I7),IF(('user page'!$N$39=3),$N7^(LN(1+I7)),"")))))</f>
        <v>0.98153956255603969</v>
      </c>
      <c r="P7" s="534">
        <f>IF(('user page'!$N$39=0),$N7^(J7^0.25),IF(('user page'!$N$39=1),$N7^(J7^0.5),IF(('user page'!$N$39=2),$N7^(J7^0.375),IF(('user page'!$N$39=4),$N7^(J7),IF(('user page'!$N$39=3),$N7^(LN(1+J7)),"")))))</f>
        <v>0.90943085444791771</v>
      </c>
      <c r="Q7" s="534">
        <f>IF(('user page'!$N$39=0),$N7^(K7^0.25),IF(('user page'!$N$39=1),$N7^(K7^0.5),IF(('user page'!$N$39=2),$N7^(K7^0.375),IF(('user page'!$N$39=4),$N7^(K7),IF(('user page'!$N$39=3),$N7^(LN(1+K7)),"")))))</f>
        <v>0.88158999469025667</v>
      </c>
      <c r="R7" s="534">
        <f>IF(('user page'!$N$39=0),$N7^(L7^0.25),IF(('user page'!$N$39=1),$N7^(L7^0.5),IF(('user page'!$N$39=2),$N7^(L7^0.375),IF(('user page'!$N$39=4),$N7^(L7),IF(('user page'!$N$39=3),$N7^(LN(1+L7)),"")))))</f>
        <v>0.84594347308213547</v>
      </c>
      <c r="S7" s="534">
        <f>IF(('user page'!$N$39=0),$N7^(M7^0.25),IF(('user page'!$N$39=1),$N7^(M7^0.5),IF(('user page'!$N$39=2),$N7^(M7^0.375),IF(('user page'!$N$39=4),$N7^(M7),IF(('user page'!$N$39=3),$N7^(LN(1+M7)),"")))))</f>
        <v>0.77735925968432618</v>
      </c>
      <c r="T7" s="535">
        <f t="shared" si="2"/>
        <v>1</v>
      </c>
      <c r="U7" s="535">
        <f t="shared" si="2"/>
        <v>0.92653509765786435</v>
      </c>
      <c r="V7" s="535">
        <f t="shared" si="2"/>
        <v>0.89817061718276225</v>
      </c>
      <c r="W7" s="535">
        <f t="shared" si="2"/>
        <v>0.86185366882125802</v>
      </c>
      <c r="X7" s="535">
        <f t="shared" si="2"/>
        <v>0.7919795485981177</v>
      </c>
      <c r="Y7" s="538">
        <f t="shared" si="8"/>
        <v>8.342019376714449E-2</v>
      </c>
      <c r="Z7" s="542">
        <f t="shared" si="3"/>
        <v>0.91657980623285551</v>
      </c>
      <c r="AA7" s="533">
        <f>(GBDUS!$O109*Z7)/($T7+$W7+$X7+U7+V7)</f>
        <v>2.9837299468482213E-2</v>
      </c>
      <c r="AB7" s="537">
        <f t="shared" si="4"/>
        <v>2.7645305176877112E-2</v>
      </c>
      <c r="AC7" s="537">
        <f t="shared" si="4"/>
        <v>2.6798985678673573E-2</v>
      </c>
      <c r="AD7" s="537">
        <f t="shared" si="4"/>
        <v>2.5715386014629967E-2</v>
      </c>
      <c r="AE7" s="537">
        <f t="shared" si="4"/>
        <v>2.36305309644354E-2</v>
      </c>
      <c r="AF7" s="533">
        <f>Z7*GBDUS!$P109/($T7+$W7+$X7+U7+V7)</f>
        <v>0.49951045571699348</v>
      </c>
      <c r="AG7" s="537">
        <f t="shared" si="5"/>
        <v>0.46281396886886889</v>
      </c>
      <c r="AH7" s="537">
        <f t="shared" si="5"/>
        <v>0.44864561430057487</v>
      </c>
      <c r="AI7" s="537">
        <f t="shared" si="5"/>
        <v>0.43050491887426939</v>
      </c>
      <c r="AJ7" s="537">
        <f t="shared" si="5"/>
        <v>0.39560206523878455</v>
      </c>
      <c r="AK7" s="533">
        <f>GBDUS!$Q109*$Z7/($T7+$W7+$X7+U7+V7)</f>
        <v>0.85075092513371975</v>
      </c>
      <c r="AL7" s="537">
        <f t="shared" si="6"/>
        <v>0.78825059150128951</v>
      </c>
      <c r="AM7" s="537">
        <f t="shared" si="6"/>
        <v>0.76411948349615899</v>
      </c>
      <c r="AN7" s="537">
        <f t="shared" si="6"/>
        <v>0.7332228060795758</v>
      </c>
      <c r="AO7" s="537">
        <f t="shared" si="6"/>
        <v>0.67377733365683434</v>
      </c>
      <c r="AP7" s="533">
        <f t="shared" si="9"/>
        <v>-1.2161769740116887E-2</v>
      </c>
      <c r="AQ7" s="533">
        <f t="shared" si="10"/>
        <v>-0.20360190946999096</v>
      </c>
      <c r="AR7" s="533">
        <f t="shared" si="11"/>
        <v>-0.34676854279647862</v>
      </c>
      <c r="AS7" s="533">
        <f t="shared" si="7"/>
        <v>-0.55037045226646963</v>
      </c>
    </row>
    <row r="8" spans="1:45" ht="10.9" customHeight="1" x14ac:dyDescent="0.2">
      <c r="A8" s="525">
        <v>1</v>
      </c>
      <c r="B8" s="525">
        <v>1</v>
      </c>
      <c r="C8" s="525" t="s">
        <v>37</v>
      </c>
      <c r="D8" s="533">
        <f>Scenario!AN24</f>
        <v>1.038575484693584</v>
      </c>
      <c r="E8" s="533">
        <f>Scenario!AO24</f>
        <v>2.3535589443948219</v>
      </c>
      <c r="F8" s="533">
        <f>Scenario!AP24</f>
        <v>4.1475896517107627</v>
      </c>
      <c r="G8" s="533">
        <f>Scenario!AQ24</f>
        <v>7.3091434399581363</v>
      </c>
      <c r="H8" s="533">
        <f>Scenario!AR24</f>
        <v>16.563552839930118</v>
      </c>
      <c r="I8" s="534">
        <f t="shared" si="0"/>
        <v>0.1</v>
      </c>
      <c r="J8" s="534">
        <f t="shared" si="1"/>
        <v>0.1</v>
      </c>
      <c r="K8" s="534">
        <f t="shared" si="1"/>
        <v>4.1475896517107627</v>
      </c>
      <c r="L8" s="534">
        <f t="shared" si="1"/>
        <v>7.3091434399581363</v>
      </c>
      <c r="M8" s="534">
        <f t="shared" si="1"/>
        <v>16.563552839930118</v>
      </c>
      <c r="N8" s="541">
        <f>'Phy activity RRs'!$M$4</f>
        <v>0.94277975044398532</v>
      </c>
      <c r="O8" s="534">
        <f>IF(('user page'!$N$39=0),$N8^(I8^0.25),IF(('user page'!$N$39=1),$N8^(I8^0.5),IF(('user page'!$N$39=2),$N8^(I8^0.375),IF(('user page'!$N$39=4),$N8^(I8),IF(('user page'!$N$39=3),$N8^(LN(1+I8)),"")))))</f>
        <v>0.98153956255603969</v>
      </c>
      <c r="P8" s="534">
        <f>IF(('user page'!$N$39=0),$N8^(J8^0.25),IF(('user page'!$N$39=1),$N8^(J8^0.5),IF(('user page'!$N$39=2),$N8^(J8^0.375),IF(('user page'!$N$39=4),$N8^(J8),IF(('user page'!$N$39=3),$N8^(LN(1+J8)),"")))))</f>
        <v>0.98153956255603969</v>
      </c>
      <c r="Q8" s="534">
        <f>IF(('user page'!$N$39=0),$N8^(K8^0.25),IF(('user page'!$N$39=1),$N8^(K8^0.5),IF(('user page'!$N$39=2),$N8^(K8^0.375),IF(('user page'!$N$39=4),$N8^(K8),IF(('user page'!$N$39=3),$N8^(LN(1+K8)),"")))))</f>
        <v>0.88692081757446817</v>
      </c>
      <c r="R8" s="534">
        <f>IF(('user page'!$N$39=0),$N8^(L8^0.25),IF(('user page'!$N$39=1),$N8^(L8^0.5),IF(('user page'!$N$39=2),$N8^(L8^0.375),IF(('user page'!$N$39=4),$N8^(L8),IF(('user page'!$N$39=3),$N8^(LN(1+L8)),"")))))</f>
        <v>0.85274072757136332</v>
      </c>
      <c r="S8" s="534">
        <f>IF(('user page'!$N$39=0),$N8^(M8^0.25),IF(('user page'!$N$39=1),$N8^(M8^0.5),IF(('user page'!$N$39=2),$N8^(M8^0.375),IF(('user page'!$N$39=4),$N8^(M8),IF(('user page'!$N$39=3),$N8^(LN(1+M8)),"")))))</f>
        <v>0.78678113136680217</v>
      </c>
      <c r="T8" s="535">
        <f t="shared" si="2"/>
        <v>1</v>
      </c>
      <c r="U8" s="535">
        <f t="shared" si="2"/>
        <v>1</v>
      </c>
      <c r="V8" s="535">
        <f t="shared" si="2"/>
        <v>0.90360170023592967</v>
      </c>
      <c r="W8" s="535">
        <f t="shared" si="2"/>
        <v>0.86877876358924377</v>
      </c>
      <c r="X8" s="535">
        <f t="shared" si="2"/>
        <v>0.80157862340050301</v>
      </c>
      <c r="Y8" s="538">
        <f t="shared" si="8"/>
        <v>6.5026852891775788E-2</v>
      </c>
      <c r="Z8" s="542">
        <f t="shared" si="3"/>
        <v>0.93497314710822421</v>
      </c>
      <c r="AA8" s="533">
        <f>(GBDUS!$O110*Z8)/($T8+$W8+$X8+U8+V8)</f>
        <v>5.737490726909493E-2</v>
      </c>
      <c r="AB8" s="537">
        <f t="shared" si="4"/>
        <v>5.737490726909493E-2</v>
      </c>
      <c r="AC8" s="537">
        <f t="shared" si="4"/>
        <v>5.1844063759232978E-2</v>
      </c>
      <c r="AD8" s="537">
        <f t="shared" si="4"/>
        <v>4.9846100998291808E-2</v>
      </c>
      <c r="AE8" s="537">
        <f t="shared" si="4"/>
        <v>4.5990499186492624E-2</v>
      </c>
      <c r="AF8" s="533">
        <f>Z8*GBDUS!$P110/($T8+$W8+$X8+U8+V8)</f>
        <v>0.64420251492011549</v>
      </c>
      <c r="AG8" s="537">
        <f t="shared" si="5"/>
        <v>0.64420251492011549</v>
      </c>
      <c r="AH8" s="537">
        <f t="shared" si="5"/>
        <v>0.58210248777807816</v>
      </c>
      <c r="AI8" s="537">
        <f t="shared" si="5"/>
        <v>0.55966946441337928</v>
      </c>
      <c r="AJ8" s="537">
        <f t="shared" si="5"/>
        <v>0.51637896510080816</v>
      </c>
      <c r="AK8" s="533">
        <f>GBDUS!$Q110*$Z8/($T8+$W8+$X8+U8+V8)</f>
        <v>0.84796874090242857</v>
      </c>
      <c r="AL8" s="537">
        <f t="shared" si="6"/>
        <v>0.84796874090242857</v>
      </c>
      <c r="AM8" s="537">
        <f t="shared" si="6"/>
        <v>0.76622599602635499</v>
      </c>
      <c r="AN8" s="537">
        <f t="shared" si="6"/>
        <v>0.73669723428353973</v>
      </c>
      <c r="AO8" s="537">
        <f t="shared" si="6"/>
        <v>0.67971361601922653</v>
      </c>
      <c r="AP8" s="533">
        <f t="shared" si="9"/>
        <v>-1.8251891160041535E-2</v>
      </c>
      <c r="AQ8" s="533">
        <f t="shared" si="10"/>
        <v>-0.20493129744334071</v>
      </c>
      <c r="AR8" s="533">
        <f t="shared" si="11"/>
        <v>-0.26975264802572196</v>
      </c>
      <c r="AS8" s="533">
        <f t="shared" si="7"/>
        <v>-0.47468394546906267</v>
      </c>
    </row>
    <row r="9" spans="1:45" ht="10.9" customHeight="1" x14ac:dyDescent="0.2">
      <c r="A9" s="525">
        <v>1</v>
      </c>
      <c r="B9" s="525">
        <v>1</v>
      </c>
      <c r="C9" s="525" t="s">
        <v>36</v>
      </c>
      <c r="D9" s="533">
        <f>Scenario!AN25</f>
        <v>0.98635345122951901</v>
      </c>
      <c r="E9" s="533">
        <f>Scenario!AO25</f>
        <v>2.2352164302827178</v>
      </c>
      <c r="F9" s="533">
        <f>Scenario!AP25</f>
        <v>3.939039027534657</v>
      </c>
      <c r="G9" s="533">
        <f>Scenario!AQ25</f>
        <v>6.9416224085641023</v>
      </c>
      <c r="H9" s="533">
        <f>Scenario!AR25</f>
        <v>15.730698200629787</v>
      </c>
      <c r="I9" s="534">
        <f t="shared" si="0"/>
        <v>0.1</v>
      </c>
      <c r="J9" s="534">
        <f t="shared" si="1"/>
        <v>0.1</v>
      </c>
      <c r="K9" s="534">
        <f t="shared" si="1"/>
        <v>3.939039027534657</v>
      </c>
      <c r="L9" s="534">
        <f t="shared" si="1"/>
        <v>6.9416224085641023</v>
      </c>
      <c r="M9" s="534">
        <f t="shared" si="1"/>
        <v>15.730698200629787</v>
      </c>
      <c r="N9" s="541">
        <f>'Phy activity RRs'!$M$4</f>
        <v>0.94277975044398532</v>
      </c>
      <c r="O9" s="534">
        <f>IF(('user page'!$N$39=0),$N9^(I9^0.25),IF(('user page'!$N$39=1),$N9^(I9^0.5),IF(('user page'!$N$39=2),$N9^(I9^0.375),IF(('user page'!$N$39=4),$N9^(I9),IF(('user page'!$N$39=3),$N9^(LN(1+I9)),"")))))</f>
        <v>0.98153956255603969</v>
      </c>
      <c r="P9" s="534">
        <f>IF(('user page'!$N$39=0),$N9^(J9^0.25),IF(('user page'!$N$39=1),$N9^(J9^0.5),IF(('user page'!$N$39=2),$N9^(J9^0.375),IF(('user page'!$N$39=4),$N9^(J9),IF(('user page'!$N$39=3),$N9^(LN(1+J9)),"")))))</f>
        <v>0.98153956255603969</v>
      </c>
      <c r="Q9" s="534">
        <f>IF(('user page'!$N$39=0),$N9^(K9^0.25),IF(('user page'!$N$39=1),$N9^(K9^0.5),IF(('user page'!$N$39=2),$N9^(K9^0.375),IF(('user page'!$N$39=4),$N9^(K9),IF(('user page'!$N$39=3),$N9^(LN(1+K9)),"")))))</f>
        <v>0.88963525132352717</v>
      </c>
      <c r="R9" s="534">
        <f>IF(('user page'!$N$39=0),$N9^(L9^0.25),IF(('user page'!$N$39=1),$N9^(L9^0.5),IF(('user page'!$N$39=2),$N9^(L9^0.375),IF(('user page'!$N$39=4),$N9^(L9),IF(('user page'!$N$39=3),$N9^(LN(1+L9)),"")))))</f>
        <v>0.85620701205806027</v>
      </c>
      <c r="S9" s="534">
        <f>IF(('user page'!$N$39=0),$N9^(M9^0.25),IF(('user page'!$N$39=1),$N9^(M9^0.5),IF(('user page'!$N$39=2),$N9^(M9^0.375),IF(('user page'!$N$39=4),$N9^(M9),IF(('user page'!$N$39=3),$N9^(LN(1+M9)),"")))))</f>
        <v>0.791600500501911</v>
      </c>
      <c r="T9" s="535">
        <f t="shared" si="2"/>
        <v>1</v>
      </c>
      <c r="U9" s="535">
        <f t="shared" si="2"/>
        <v>1</v>
      </c>
      <c r="V9" s="535">
        <f t="shared" si="2"/>
        <v>0.9063671860631034</v>
      </c>
      <c r="W9" s="535">
        <f t="shared" si="2"/>
        <v>0.87231024068800722</v>
      </c>
      <c r="X9" s="535">
        <f t="shared" si="2"/>
        <v>0.80648863346933675</v>
      </c>
      <c r="Y9" s="538">
        <f t="shared" si="8"/>
        <v>6.3314784514047484E-2</v>
      </c>
      <c r="Z9" s="542">
        <f t="shared" si="3"/>
        <v>0.93668521548595252</v>
      </c>
      <c r="AA9" s="533">
        <f>(GBDUS!$O111*Z9)/($T9+$W9+$X9+U9+V9)</f>
        <v>7.4842112092163349E-2</v>
      </c>
      <c r="AB9" s="537">
        <f t="shared" si="4"/>
        <v>7.4842112092163349E-2</v>
      </c>
      <c r="AC9" s="537">
        <f t="shared" si="4"/>
        <v>6.7834434535993457E-2</v>
      </c>
      <c r="AD9" s="537">
        <f t="shared" si="4"/>
        <v>6.528554081271383E-2</v>
      </c>
      <c r="AE9" s="537">
        <f t="shared" si="4"/>
        <v>6.0359312707167739E-2</v>
      </c>
      <c r="AF9" s="533">
        <f>Z9*GBDUS!$P111/($T9+$W9+$X9+U9+V9)</f>
        <v>0.51262716731176949</v>
      </c>
      <c r="AG9" s="537">
        <f t="shared" si="5"/>
        <v>0.51262716731176949</v>
      </c>
      <c r="AH9" s="537">
        <f t="shared" si="5"/>
        <v>0.46462844313586821</v>
      </c>
      <c r="AI9" s="537">
        <f t="shared" si="5"/>
        <v>0.44716992770094099</v>
      </c>
      <c r="AJ9" s="537">
        <f t="shared" si="5"/>
        <v>0.41342798364452604</v>
      </c>
      <c r="AK9" s="533">
        <f>GBDUS!$Q111*$Z9/($T9+$W9+$X9+U9+V9)</f>
        <v>0.64236780227645662</v>
      </c>
      <c r="AL9" s="537">
        <f t="shared" si="6"/>
        <v>0.64236780227645662</v>
      </c>
      <c r="AM9" s="537">
        <f t="shared" si="6"/>
        <v>0.58222109736685201</v>
      </c>
      <c r="AN9" s="537">
        <f t="shared" si="6"/>
        <v>0.5603440122140021</v>
      </c>
      <c r="AO9" s="537">
        <f t="shared" si="6"/>
        <v>0.51806233104264066</v>
      </c>
      <c r="AP9" s="533">
        <f t="shared" si="9"/>
        <v>-2.3195971785782893E-2</v>
      </c>
      <c r="AQ9" s="533">
        <f t="shared" si="10"/>
        <v>-0.15887960637651072</v>
      </c>
      <c r="AR9" s="533">
        <f t="shared" si="11"/>
        <v>-0.19909039177503696</v>
      </c>
      <c r="AS9" s="533">
        <f t="shared" si="7"/>
        <v>-0.35796999815154767</v>
      </c>
    </row>
    <row r="10" spans="1:45" ht="10.9" customHeight="1" x14ac:dyDescent="0.2">
      <c r="A10" s="525">
        <v>1</v>
      </c>
      <c r="B10" s="525">
        <v>1</v>
      </c>
      <c r="C10" s="525" t="s">
        <v>35</v>
      </c>
      <c r="D10" s="533">
        <f>Scenario!AN26</f>
        <v>0.79357227183824619</v>
      </c>
      <c r="E10" s="533">
        <f>Scenario!AO26</f>
        <v>1.7983470108190212</v>
      </c>
      <c r="F10" s="533">
        <f>Scenario!AP26</f>
        <v>3.1691602498512577</v>
      </c>
      <c r="G10" s="533">
        <f>Scenario!AQ26</f>
        <v>5.5848935877303978</v>
      </c>
      <c r="H10" s="533">
        <f>Scenario!AR26</f>
        <v>12.656158796945045</v>
      </c>
      <c r="I10" s="534">
        <f t="shared" si="0"/>
        <v>0.1</v>
      </c>
      <c r="J10" s="534">
        <f t="shared" si="1"/>
        <v>0.1</v>
      </c>
      <c r="K10" s="534">
        <f t="shared" si="1"/>
        <v>3.1691602498512577</v>
      </c>
      <c r="L10" s="534">
        <f t="shared" si="1"/>
        <v>5.5848935877303978</v>
      </c>
      <c r="M10" s="534">
        <f t="shared" si="1"/>
        <v>12.656158796945045</v>
      </c>
      <c r="N10" s="541">
        <f>'Phy activity RRs'!$M$4</f>
        <v>0.94277975044398532</v>
      </c>
      <c r="O10" s="534">
        <f>IF(('user page'!$N$39=0),$N10^(I10^0.25),IF(('user page'!$N$39=1),$N10^(I10^0.5),IF(('user page'!$N$39=2),$N10^(I10^0.375),IF(('user page'!$N$39=4),$N10^(I10),IF(('user page'!$N$39=3),$N10^(LN(1+I10)),"")))))</f>
        <v>0.98153956255603969</v>
      </c>
      <c r="P10" s="534">
        <f>IF(('user page'!$N$39=0),$N10^(J10^0.25),IF(('user page'!$N$39=1),$N10^(J10^0.5),IF(('user page'!$N$39=2),$N10^(J10^0.375),IF(('user page'!$N$39=4),$N10^(J10),IF(('user page'!$N$39=3),$N10^(LN(1+J10)),"")))))</f>
        <v>0.98153956255603969</v>
      </c>
      <c r="Q10" s="534">
        <f>IF(('user page'!$N$39=0),$N10^(K10^0.25),IF(('user page'!$N$39=1),$N10^(K10^0.5),IF(('user page'!$N$39=2),$N10^(K10^0.375),IF(('user page'!$N$39=4),$N10^(K10),IF(('user page'!$N$39=3),$N10^(LN(1+K10)),"")))))</f>
        <v>0.90041925441087156</v>
      </c>
      <c r="R10" s="534">
        <f>IF(('user page'!$N$39=0),$N10^(L10^0.25),IF(('user page'!$N$39=1),$N10^(L10^0.5),IF(('user page'!$N$39=2),$N10^(L10^0.375),IF(('user page'!$N$39=4),$N10^(L10),IF(('user page'!$N$39=3),$N10^(LN(1+L10)),"")))))</f>
        <v>0.87001215889328509</v>
      </c>
      <c r="S10" s="534">
        <f>IF(('user page'!$N$39=0),$N10^(M10^0.25),IF(('user page'!$N$39=1),$N10^(M10^0.5),IF(('user page'!$N$39=2),$N10^(M10^0.375),IF(('user page'!$N$39=4),$N10^(M10),IF(('user page'!$N$39=3),$N10^(LN(1+M10)),"")))))</f>
        <v>0.81089231014910945</v>
      </c>
      <c r="T10" s="535">
        <f t="shared" si="2"/>
        <v>1</v>
      </c>
      <c r="U10" s="535">
        <f t="shared" si="2"/>
        <v>1</v>
      </c>
      <c r="V10" s="535">
        <f t="shared" si="2"/>
        <v>0.91735401074010536</v>
      </c>
      <c r="W10" s="535">
        <f t="shared" si="2"/>
        <v>0.88637502968059212</v>
      </c>
      <c r="X10" s="535">
        <f t="shared" si="2"/>
        <v>0.82614327642326968</v>
      </c>
      <c r="Y10" s="538">
        <f t="shared" si="8"/>
        <v>5.6498473121696757E-2</v>
      </c>
      <c r="Z10" s="542">
        <f t="shared" si="3"/>
        <v>0.94350152687830324</v>
      </c>
      <c r="AA10" s="533">
        <f>(GBDUS!$O112*Z10)/($T10+$W10+$X10+U10+V10)</f>
        <v>0.10651214913843669</v>
      </c>
      <c r="AB10" s="537">
        <f t="shared" si="4"/>
        <v>0.10651214913843669</v>
      </c>
      <c r="AC10" s="537">
        <f t="shared" si="4"/>
        <v>9.7709347204693153E-2</v>
      </c>
      <c r="AD10" s="537">
        <f t="shared" si="4"/>
        <v>9.4409709353925481E-2</v>
      </c>
      <c r="AE10" s="537">
        <f t="shared" si="4"/>
        <v>8.7994295868112027E-2</v>
      </c>
      <c r="AF10" s="533">
        <f>Z10*GBDUS!$P112/($T10+$W10+$X10+U10+V10)</f>
        <v>0.34547742777394058</v>
      </c>
      <c r="AG10" s="537">
        <f t="shared" si="5"/>
        <v>0.34547742777394058</v>
      </c>
      <c r="AH10" s="537">
        <f t="shared" si="5"/>
        <v>0.31692510398859947</v>
      </c>
      <c r="AI10" s="537">
        <f t="shared" si="5"/>
        <v>0.30622256529710118</v>
      </c>
      <c r="AJ10" s="537">
        <f t="shared" si="5"/>
        <v>0.28541385411144676</v>
      </c>
      <c r="AK10" s="533">
        <f>GBDUS!$Q112*$Z10/($T10+$W10+$X10+U10+V10)</f>
        <v>0.40637865866227468</v>
      </c>
      <c r="AL10" s="537">
        <f t="shared" si="6"/>
        <v>0.40637865866227468</v>
      </c>
      <c r="AM10" s="537">
        <f t="shared" si="6"/>
        <v>0.37279309240302194</v>
      </c>
      <c r="AN10" s="537">
        <f t="shared" si="6"/>
        <v>0.36020389563333294</v>
      </c>
      <c r="AO10" s="537">
        <f t="shared" si="6"/>
        <v>0.33572699653574517</v>
      </c>
      <c r="AP10" s="533">
        <f t="shared" si="9"/>
        <v>-2.9529919676714839E-2</v>
      </c>
      <c r="AQ10" s="533">
        <f t="shared" si="10"/>
        <v>-9.5781756117068517E-2</v>
      </c>
      <c r="AR10" s="533">
        <f t="shared" si="11"/>
        <v>-0.11266629436826969</v>
      </c>
      <c r="AS10" s="533">
        <f t="shared" si="7"/>
        <v>-0.20844805048533821</v>
      </c>
    </row>
    <row r="11" spans="1:45" ht="10.9" customHeight="1" x14ac:dyDescent="0.2">
      <c r="A11" s="525">
        <v>1</v>
      </c>
      <c r="B11" s="525">
        <v>2</v>
      </c>
      <c r="C11" s="525" t="s">
        <v>2</v>
      </c>
      <c r="D11" s="533"/>
      <c r="E11" s="533"/>
      <c r="F11" s="533"/>
      <c r="G11" s="533"/>
      <c r="H11" s="533"/>
      <c r="I11" s="534"/>
      <c r="J11" s="534"/>
      <c r="K11" s="534"/>
      <c r="L11" s="534"/>
      <c r="M11" s="534"/>
      <c r="N11" s="541"/>
      <c r="O11" s="534"/>
      <c r="P11" s="534"/>
      <c r="Q11" s="534"/>
      <c r="R11" s="534"/>
      <c r="S11" s="534"/>
      <c r="T11" s="535"/>
      <c r="U11" s="535"/>
      <c r="V11" s="535"/>
      <c r="W11" s="535"/>
      <c r="X11" s="535"/>
      <c r="Y11" s="538"/>
      <c r="Z11" s="542"/>
      <c r="AA11" s="533"/>
      <c r="AB11" s="537"/>
      <c r="AC11" s="537"/>
      <c r="AD11" s="537"/>
      <c r="AE11" s="537"/>
      <c r="AF11" s="533"/>
      <c r="AG11" s="537"/>
      <c r="AH11" s="537"/>
      <c r="AI11" s="537"/>
      <c r="AJ11" s="537"/>
      <c r="AK11" s="533"/>
      <c r="AL11" s="537"/>
      <c r="AM11" s="537"/>
      <c r="AN11" s="537"/>
      <c r="AO11" s="537"/>
      <c r="AP11" s="533"/>
      <c r="AQ11" s="533"/>
      <c r="AR11" s="533"/>
      <c r="AS11" s="533"/>
    </row>
    <row r="12" spans="1:45" ht="10.9" customHeight="1" x14ac:dyDescent="0.2">
      <c r="A12" s="525">
        <v>1</v>
      </c>
      <c r="B12" s="525">
        <v>2</v>
      </c>
      <c r="C12" s="525" t="s">
        <v>41</v>
      </c>
      <c r="D12" s="533"/>
      <c r="E12" s="533"/>
      <c r="F12" s="533"/>
      <c r="G12" s="533"/>
      <c r="H12" s="533"/>
      <c r="I12" s="534"/>
      <c r="J12" s="534"/>
      <c r="K12" s="534"/>
      <c r="L12" s="534"/>
      <c r="M12" s="534"/>
      <c r="N12" s="541"/>
      <c r="O12" s="534"/>
      <c r="P12" s="534"/>
      <c r="Q12" s="534"/>
      <c r="R12" s="534"/>
      <c r="S12" s="534"/>
      <c r="T12" s="535"/>
      <c r="U12" s="535"/>
      <c r="V12" s="535"/>
      <c r="W12" s="535"/>
      <c r="X12" s="535"/>
      <c r="Y12" s="538"/>
      <c r="Z12" s="542"/>
      <c r="AA12" s="533"/>
      <c r="AB12" s="537"/>
      <c r="AC12" s="537"/>
      <c r="AD12" s="537"/>
      <c r="AE12" s="537"/>
      <c r="AF12" s="533"/>
      <c r="AG12" s="537"/>
      <c r="AH12" s="537"/>
      <c r="AI12" s="537"/>
      <c r="AJ12" s="537"/>
      <c r="AK12" s="533"/>
      <c r="AL12" s="537"/>
      <c r="AM12" s="537"/>
      <c r="AN12" s="537"/>
      <c r="AO12" s="537"/>
      <c r="AP12" s="533"/>
      <c r="AQ12" s="533"/>
      <c r="AR12" s="533"/>
      <c r="AS12" s="533"/>
    </row>
    <row r="13" spans="1:45" ht="10.9" customHeight="1" x14ac:dyDescent="0.2">
      <c r="A13" s="525">
        <v>1</v>
      </c>
      <c r="B13" s="525">
        <v>2</v>
      </c>
      <c r="C13" s="525" t="s">
        <v>40</v>
      </c>
      <c r="D13" s="533">
        <f>Scenario!AN29</f>
        <v>2.5519209672247203</v>
      </c>
      <c r="E13" s="533">
        <f>Scenario!AO29</f>
        <v>5.783013855340938</v>
      </c>
      <c r="F13" s="533">
        <f>Scenario!AP29</f>
        <v>10.191190868295642</v>
      </c>
      <c r="G13" s="533">
        <f>Scenario!AQ29</f>
        <v>17.959557751726912</v>
      </c>
      <c r="H13" s="533">
        <f>Scenario!AR29</f>
        <v>40.698898064614944</v>
      </c>
      <c r="I13" s="534">
        <f t="shared" ref="I13:I18" si="12">IF(D13&gt;2.5,D13,0.1)</f>
        <v>2.5519209672247203</v>
      </c>
      <c r="J13" s="534">
        <f t="shared" si="1"/>
        <v>5.783013855340938</v>
      </c>
      <c r="K13" s="534">
        <f t="shared" si="1"/>
        <v>10.191190868295642</v>
      </c>
      <c r="L13" s="534">
        <f t="shared" si="1"/>
        <v>17.959557751726912</v>
      </c>
      <c r="M13" s="534">
        <f t="shared" si="1"/>
        <v>40.698898064614944</v>
      </c>
      <c r="N13" s="541">
        <f>'Phy activity RRs'!$M$4</f>
        <v>0.94277975044398532</v>
      </c>
      <c r="O13" s="534">
        <f>IF(('user page'!$N$39=0),$N13^(I13^0.25),IF(('user page'!$N$39=1),$N13^(I13^0.5),IF(('user page'!$N$39=2),$N13^(I13^0.375),IF(('user page'!$N$39=4),$N13^(I13),IF(('user page'!$N$39=3),$N13^(LN(1+I13)),"")))))</f>
        <v>0.91016692818067291</v>
      </c>
      <c r="P13" s="534">
        <f>IF(('user page'!$N$39=0),$N13^(J13^0.25),IF(('user page'!$N$39=1),$N13^(J13^0.5),IF(('user page'!$N$39=2),$N13^(J13^0.375),IF(('user page'!$N$39=4),$N13^(J13),IF(('user page'!$N$39=3),$N13^(LN(1+J13)),"")))))</f>
        <v>0.86788467777023692</v>
      </c>
      <c r="Q13" s="534">
        <f>IF(('user page'!$N$39=0),$N13^(K13^0.25),IF(('user page'!$N$39=1),$N13^(K13^0.5),IF(('user page'!$N$39=2),$N13^(K13^0.375),IF(('user page'!$N$39=4),$N13^(K13),IF(('user page'!$N$39=3),$N13^(LN(1+K13)),"")))))</f>
        <v>0.82852988590533805</v>
      </c>
      <c r="R13" s="534">
        <f>IF(('user page'!$N$39=0),$N13^(L13^0.25),IF(('user page'!$N$39=1),$N13^(L13^0.5),IF(('user page'!$N$39=2),$N13^(L13^0.375),IF(('user page'!$N$39=4),$N13^(L13),IF(('user page'!$N$39=3),$N13^(LN(1+L13)),"")))))</f>
        <v>0.77902949657452913</v>
      </c>
      <c r="S13" s="534">
        <f>IF(('user page'!$N$39=0),$N13^(M13^0.25),IF(('user page'!$N$39=1),$N13^(M13^0.5),IF(('user page'!$N$39=2),$N13^(M13^0.375),IF(('user page'!$N$39=4),$N13^(M13),IF(('user page'!$N$39=3),$N13^(LN(1+M13)),"")))))</f>
        <v>0.68667052095537595</v>
      </c>
      <c r="T13" s="535">
        <f t="shared" ref="T13:X18" si="13">O13/$O13</f>
        <v>1</v>
      </c>
      <c r="U13" s="535">
        <f t="shared" si="13"/>
        <v>0.95354451024170506</v>
      </c>
      <c r="V13" s="535">
        <f t="shared" si="13"/>
        <v>0.91030541788799268</v>
      </c>
      <c r="W13" s="535">
        <f t="shared" si="13"/>
        <v>0.85591936210177011</v>
      </c>
      <c r="X13" s="535">
        <f t="shared" si="13"/>
        <v>0.75444459658401064</v>
      </c>
      <c r="Y13" s="538">
        <f t="shared" si="8"/>
        <v>0.1043962160467421</v>
      </c>
      <c r="Z13" s="542">
        <f t="shared" ref="Z13:Z18" si="14">SUM(O13:S13)/SUM(O30:S30)</f>
        <v>0.8956037839532579</v>
      </c>
      <c r="AA13" s="533">
        <f>(GBDUS!$O115*Z13)/($T13+$W13+$X13+U13+V13)</f>
        <v>4.0894415018300715E-4</v>
      </c>
      <c r="AB13" s="537">
        <f t="shared" ref="AB13:AE18" si="15">$AA13*U13</f>
        <v>3.8994644940246583E-4</v>
      </c>
      <c r="AC13" s="537">
        <f t="shared" si="15"/>
        <v>3.7226407552519235E-4</v>
      </c>
      <c r="AD13" s="537">
        <f t="shared" si="15"/>
        <v>3.5002321615988993E-4</v>
      </c>
      <c r="AE13" s="537">
        <f t="shared" si="15"/>
        <v>3.0852570441020988E-4</v>
      </c>
      <c r="AF13" s="533">
        <f>Z13*GBDUS!$P115/($T13+$W13+$X13+U13+V13)</f>
        <v>1.2221818467321427E-2</v>
      </c>
      <c r="AG13" s="537">
        <f t="shared" ref="AG13:AJ18" si="16">$AF13*U13</f>
        <v>1.1654047904685036E-2</v>
      </c>
      <c r="AH13" s="537">
        <f t="shared" si="16"/>
        <v>1.1125587567246218E-2</v>
      </c>
      <c r="AI13" s="537">
        <f t="shared" si="16"/>
        <v>1.0460891066273389E-2</v>
      </c>
      <c r="AJ13" s="537">
        <f t="shared" si="16"/>
        <v>9.2206849031013245E-3</v>
      </c>
      <c r="AK13" s="533">
        <f>GBDUS!$Q115*$Z13/($T13+$W13+$X13+U13+V13)</f>
        <v>4.621755535613107E-2</v>
      </c>
      <c r="AL13" s="537">
        <f t="shared" ref="AL13:AO18" si="17">$AK13*U13</f>
        <v>4.4070496186630892E-2</v>
      </c>
      <c r="AM13" s="537">
        <f t="shared" si="17"/>
        <v>4.2072091042224327E-2</v>
      </c>
      <c r="AN13" s="537">
        <f t="shared" si="17"/>
        <v>3.9558500498322956E-2</v>
      </c>
      <c r="AO13" s="537">
        <f t="shared" si="17"/>
        <v>3.4868584905755486E-2</v>
      </c>
      <c r="AP13" s="533">
        <f t="shared" si="9"/>
        <v>-2.1327972849002555E-4</v>
      </c>
      <c r="AQ13" s="533">
        <f t="shared" si="10"/>
        <v>-6.3741372096854324E-3</v>
      </c>
      <c r="AR13" s="533">
        <f t="shared" si="11"/>
        <v>-2.4104190397190244E-2</v>
      </c>
      <c r="AS13" s="533">
        <f t="shared" ref="AS13:AS18" si="18">AQ13+AR13</f>
        <v>-3.0478327606875674E-2</v>
      </c>
    </row>
    <row r="14" spans="1:45" ht="10.9" customHeight="1" x14ac:dyDescent="0.2">
      <c r="A14" s="525">
        <v>1</v>
      </c>
      <c r="B14" s="525">
        <v>2</v>
      </c>
      <c r="C14" s="525" t="s">
        <v>39</v>
      </c>
      <c r="D14" s="533">
        <f>Scenario!AN30</f>
        <v>1.5370956980369832</v>
      </c>
      <c r="E14" s="533">
        <f>Scenario!AO30</f>
        <v>3.4832762585119914</v>
      </c>
      <c r="F14" s="533">
        <f>Scenario!AP30</f>
        <v>6.1384485815667444</v>
      </c>
      <c r="G14" s="534">
        <f>Scenario!AQ30</f>
        <v>10.817560305892991</v>
      </c>
      <c r="H14" s="533">
        <f>Scenario!AR30</f>
        <v>24.514121688493699</v>
      </c>
      <c r="I14" s="534">
        <f t="shared" si="12"/>
        <v>0.1</v>
      </c>
      <c r="J14" s="534">
        <f t="shared" si="1"/>
        <v>3.4832762585119914</v>
      </c>
      <c r="K14" s="534">
        <f t="shared" si="1"/>
        <v>6.1384485815667444</v>
      </c>
      <c r="L14" s="534">
        <f t="shared" si="1"/>
        <v>10.817560305892991</v>
      </c>
      <c r="M14" s="534">
        <f t="shared" si="1"/>
        <v>24.514121688493699</v>
      </c>
      <c r="N14" s="541">
        <f>'Phy activity RRs'!$M$4</f>
        <v>0.94277975044398532</v>
      </c>
      <c r="O14" s="534">
        <f>IF(('user page'!$N$39=0),$N14^(I14^0.25),IF(('user page'!$N$39=1),$N14^(I14^0.5),IF(('user page'!$N$39=2),$N14^(I14^0.375),IF(('user page'!$N$39=4),$N14^(I14),IF(('user page'!$N$39=3),$N14^(LN(1+I14)),"")))))</f>
        <v>0.98153956255603969</v>
      </c>
      <c r="P14" s="534">
        <f>IF(('user page'!$N$39=0),$N14^(J14^0.25),IF(('user page'!$N$39=1),$N14^(J14^0.5),IF(('user page'!$N$39=2),$N14^(J14^0.375),IF(('user page'!$N$39=4),$N14^(J14),IF(('user page'!$N$39=3),$N14^(LN(1+J14)),"")))))</f>
        <v>0.89586066237476791</v>
      </c>
      <c r="Q14" s="534">
        <f>IF(('user page'!$N$39=0),$N14^(K14^0.25),IF(('user page'!$N$39=1),$N14^(K14^0.5),IF(('user page'!$N$39=2),$N14^(K14^0.375),IF(('user page'!$N$39=4),$N14^(K14),IF(('user page'!$N$39=3),$N14^(LN(1+K14)),"")))))</f>
        <v>0.86416982968849998</v>
      </c>
      <c r="R14" s="534">
        <f>IF(('user page'!$N$39=0),$N14^(L14^0.25),IF(('user page'!$N$39=1),$N14^(L14^0.5),IF(('user page'!$N$39=2),$N14^(L14^0.375),IF(('user page'!$N$39=4),$N14^(L14),IF(('user page'!$N$39=3),$N14^(LN(1+L14)),"")))))</f>
        <v>0.82382533941208369</v>
      </c>
      <c r="S14" s="534">
        <f>IF(('user page'!$N$39=0),$N14^(M14^0.25),IF(('user page'!$N$39=1),$N14^(M14^0.5),IF(('user page'!$N$39=2),$N14^(M14^0.375),IF(('user page'!$N$39=4),$N14^(M14),IF(('user page'!$N$39=3),$N14^(LN(1+M14)),"")))))</f>
        <v>0.74696573619392037</v>
      </c>
      <c r="T14" s="535">
        <f t="shared" si="13"/>
        <v>1</v>
      </c>
      <c r="U14" s="535">
        <f t="shared" si="13"/>
        <v>0.91270968237066852</v>
      </c>
      <c r="V14" s="535">
        <f t="shared" si="13"/>
        <v>0.88042282008287498</v>
      </c>
      <c r="W14" s="535">
        <f t="shared" si="13"/>
        <v>0.83931954537497155</v>
      </c>
      <c r="X14" s="535">
        <f t="shared" si="13"/>
        <v>0.76101439482351318</v>
      </c>
      <c r="Y14" s="538">
        <f t="shared" si="8"/>
        <v>8.1226487998315555E-2</v>
      </c>
      <c r="Z14" s="542">
        <f t="shared" si="14"/>
        <v>0.91877351200168444</v>
      </c>
      <c r="AA14" s="533">
        <f>(GBDUS!$O116*Z14)/($T14+$W14+$X14+U14+V14)</f>
        <v>1.4301663904865933E-2</v>
      </c>
      <c r="AB14" s="537">
        <f t="shared" si="15"/>
        <v>1.305326711998224E-2</v>
      </c>
      <c r="AC14" s="537">
        <f t="shared" si="15"/>
        <v>1.2591511266999526E-2</v>
      </c>
      <c r="AD14" s="537">
        <f t="shared" si="15"/>
        <v>1.2003666046737716E-2</v>
      </c>
      <c r="AE14" s="537">
        <f t="shared" si="15"/>
        <v>1.0883772101530831E-2</v>
      </c>
      <c r="AF14" s="533">
        <f>Z14*GBDUS!$P116/($T14+$W14+$X14+U14+V14)</f>
        <v>0.34479208181639304</v>
      </c>
      <c r="AG14" s="537">
        <f t="shared" si="16"/>
        <v>0.31469507147856163</v>
      </c>
      <c r="AH14" s="537">
        <f t="shared" si="16"/>
        <v>0.30356281701503413</v>
      </c>
      <c r="AI14" s="537">
        <f t="shared" si="16"/>
        <v>0.28939073335902499</v>
      </c>
      <c r="AJ14" s="537">
        <f t="shared" si="16"/>
        <v>0.26239173748344158</v>
      </c>
      <c r="AK14" s="533">
        <f>GBDUS!$Q116*$Z14/($T14+$W14+$X14+U14+V14)</f>
        <v>1.0591865791572639</v>
      </c>
      <c r="AL14" s="537">
        <f t="shared" si="17"/>
        <v>0.96672984623390124</v>
      </c>
      <c r="AM14" s="537">
        <f t="shared" si="17"/>
        <v>0.93253203501557158</v>
      </c>
      <c r="AN14" s="537">
        <f t="shared" si="17"/>
        <v>0.88899599808554608</v>
      </c>
      <c r="AO14" s="537">
        <f t="shared" si="17"/>
        <v>0.80605623354255229</v>
      </c>
      <c r="AP14" s="533">
        <f t="shared" si="9"/>
        <v>-5.5549875663452406E-3</v>
      </c>
      <c r="AQ14" s="533">
        <f t="shared" si="10"/>
        <v>-0.13392257993230355</v>
      </c>
      <c r="AR14" s="533">
        <f t="shared" si="11"/>
        <v>-0.41140445732726738</v>
      </c>
      <c r="AS14" s="533">
        <f t="shared" si="18"/>
        <v>-0.54532703725957088</v>
      </c>
    </row>
    <row r="15" spans="1:45" ht="10.9" customHeight="1" x14ac:dyDescent="0.2">
      <c r="A15" s="525">
        <v>1</v>
      </c>
      <c r="B15" s="525">
        <v>2</v>
      </c>
      <c r="C15" s="525" t="s">
        <v>38</v>
      </c>
      <c r="D15" s="533">
        <f>Scenario!AN31</f>
        <v>1.2975056378007672</v>
      </c>
      <c r="E15" s="533">
        <f>Scenario!AO31</f>
        <v>2.9403312944072315</v>
      </c>
      <c r="F15" s="533">
        <f>Scenario!AP31</f>
        <v>5.1816368051153949</v>
      </c>
      <c r="G15" s="533">
        <f>Scenario!AQ31</f>
        <v>9.1314063932851113</v>
      </c>
      <c r="H15" s="533">
        <f>Scenario!AR31</f>
        <v>20.693058432975548</v>
      </c>
      <c r="I15" s="534">
        <f t="shared" si="12"/>
        <v>0.1</v>
      </c>
      <c r="J15" s="534">
        <f t="shared" si="1"/>
        <v>2.9403312944072315</v>
      </c>
      <c r="K15" s="534">
        <f t="shared" si="1"/>
        <v>5.1816368051153949</v>
      </c>
      <c r="L15" s="534">
        <f t="shared" si="1"/>
        <v>9.1314063932851113</v>
      </c>
      <c r="M15" s="534">
        <f t="shared" si="1"/>
        <v>20.693058432975548</v>
      </c>
      <c r="N15" s="541">
        <f>'Phy activity RRs'!$M$4</f>
        <v>0.94277975044398532</v>
      </c>
      <c r="O15" s="534">
        <f>IF(('user page'!$N$39=0),$N15^(I15^0.25),IF(('user page'!$N$39=1),$N15^(I15^0.5),IF(('user page'!$N$39=2),$N15^(I15^0.375),IF(('user page'!$N$39=4),$N15^(I15),IF(('user page'!$N$39=3),$N15^(LN(1+I15)),"")))))</f>
        <v>0.98153956255603969</v>
      </c>
      <c r="P15" s="534">
        <f>IF(('user page'!$N$39=0),$N15^(J15^0.25),IF(('user page'!$N$39=1),$N15^(J15^0.5),IF(('user page'!$N$39=2),$N15^(J15^0.375),IF(('user page'!$N$39=4),$N15^(J15),IF(('user page'!$N$39=3),$N15^(LN(1+J15)),"")))))</f>
        <v>0.90389969495712719</v>
      </c>
      <c r="Q15" s="534">
        <f>IF(('user page'!$N$39=0),$N15^(K15^0.25),IF(('user page'!$N$39=1),$N15^(K15^0.5),IF(('user page'!$N$39=2),$N15^(K15^0.375),IF(('user page'!$N$39=4),$N15^(K15),IF(('user page'!$N$39=3),$N15^(LN(1+K15)),"")))))</f>
        <v>0.87447924871034899</v>
      </c>
      <c r="R15" s="534">
        <f>IF(('user page'!$N$39=0),$N15^(L15^0.25),IF(('user page'!$N$39=1),$N15^(L15^0.5),IF(('user page'!$N$39=2),$N15^(L15^0.375),IF(('user page'!$N$39=4),$N15^(L15),IF(('user page'!$N$39=3),$N15^(LN(1+L15)),"")))))</f>
        <v>0.83689760656525536</v>
      </c>
      <c r="S15" s="534">
        <f>IF(('user page'!$N$39=0),$N15^(M15^0.25),IF(('user page'!$N$39=1),$N15^(M15^0.5),IF(('user page'!$N$39=2),$N15^(M15^0.375),IF(('user page'!$N$39=4),$N15^(M15),IF(('user page'!$N$39=3),$N15^(LN(1+M15)),"")))))</f>
        <v>0.76487976591264328</v>
      </c>
      <c r="T15" s="535">
        <f t="shared" si="13"/>
        <v>1</v>
      </c>
      <c r="U15" s="535">
        <f t="shared" si="13"/>
        <v>0.92089991014042316</v>
      </c>
      <c r="V15" s="535">
        <f t="shared" si="13"/>
        <v>0.89092613489068784</v>
      </c>
      <c r="W15" s="535">
        <f t="shared" si="13"/>
        <v>0.85263767095223308</v>
      </c>
      <c r="X15" s="535">
        <f t="shared" si="13"/>
        <v>0.77926534506750811</v>
      </c>
      <c r="Y15" s="538">
        <f t="shared" si="8"/>
        <v>7.4483669541426933E-2</v>
      </c>
      <c r="Z15" s="542">
        <f t="shared" si="14"/>
        <v>0.92551633045857307</v>
      </c>
      <c r="AA15" s="533">
        <f>(GBDUS!$O117*Z15)/($T15+$W15+$X15+U15+V15)</f>
        <v>1.5016841803970313E-2</v>
      </c>
      <c r="AB15" s="537">
        <f t="shared" si="15"/>
        <v>1.3829008267869211E-2</v>
      </c>
      <c r="AC15" s="537">
        <f t="shared" si="15"/>
        <v>1.3378896826676175E-2</v>
      </c>
      <c r="AD15" s="537">
        <f t="shared" si="15"/>
        <v>1.2803925020795378E-2</v>
      </c>
      <c r="AE15" s="537">
        <f t="shared" si="15"/>
        <v>1.1702104410195107E-2</v>
      </c>
      <c r="AF15" s="533">
        <f>Z15*GBDUS!$P117/($T15+$W15+$X15+U15+V15)</f>
        <v>0.26670179936220167</v>
      </c>
      <c r="AG15" s="537">
        <f t="shared" si="16"/>
        <v>0.24560566306694068</v>
      </c>
      <c r="AH15" s="537">
        <f t="shared" si="16"/>
        <v>0.23761160327415806</v>
      </c>
      <c r="AI15" s="537">
        <f t="shared" si="16"/>
        <v>0.2274000010469574</v>
      </c>
      <c r="AJ15" s="537">
        <f t="shared" si="16"/>
        <v>0.20783146971011141</v>
      </c>
      <c r="AK15" s="533">
        <f>GBDUS!$Q117*$Z15/($T15+$W15+$X15+U15+V15)</f>
        <v>0.57110519652983882</v>
      </c>
      <c r="AL15" s="537">
        <f t="shared" si="17"/>
        <v>0.52593072416505726</v>
      </c>
      <c r="AM15" s="537">
        <f t="shared" si="17"/>
        <v>0.50881254536031595</v>
      </c>
      <c r="AN15" s="537">
        <f t="shared" si="17"/>
        <v>0.48694580463791914</v>
      </c>
      <c r="AO15" s="537">
        <f t="shared" si="17"/>
        <v>0.44504248804367186</v>
      </c>
      <c r="AP15" s="533">
        <f t="shared" si="9"/>
        <v>-5.3703569875500103E-3</v>
      </c>
      <c r="AQ15" s="533">
        <f t="shared" si="10"/>
        <v>-9.5378501717869602E-2</v>
      </c>
      <c r="AR15" s="533">
        <f t="shared" si="11"/>
        <v>-0.20423993425829667</v>
      </c>
      <c r="AS15" s="533">
        <f t="shared" si="18"/>
        <v>-0.29961843597616628</v>
      </c>
    </row>
    <row r="16" spans="1:45" ht="10.9" customHeight="1" x14ac:dyDescent="0.2">
      <c r="A16" s="525">
        <v>1</v>
      </c>
      <c r="B16" s="525">
        <v>2</v>
      </c>
      <c r="C16" s="525" t="s">
        <v>37</v>
      </c>
      <c r="D16" s="533">
        <f>Scenario!AN32</f>
        <v>0.85341118968805019</v>
      </c>
      <c r="E16" s="533">
        <f>Scenario!AO32</f>
        <v>1.9339504622810642</v>
      </c>
      <c r="F16" s="533">
        <f>Scenario!AP32</f>
        <v>3.4081291838393759</v>
      </c>
      <c r="G16" s="533">
        <f>Scenario!AQ32</f>
        <v>6.0060196785172764</v>
      </c>
      <c r="H16" s="533">
        <f>Scenario!AR32</f>
        <v>13.610490082727217</v>
      </c>
      <c r="I16" s="534">
        <f t="shared" si="12"/>
        <v>0.1</v>
      </c>
      <c r="J16" s="534">
        <f t="shared" si="1"/>
        <v>0.1</v>
      </c>
      <c r="K16" s="534">
        <f t="shared" si="1"/>
        <v>3.4081291838393759</v>
      </c>
      <c r="L16" s="534">
        <f t="shared" si="1"/>
        <v>6.0060196785172764</v>
      </c>
      <c r="M16" s="534">
        <f t="shared" si="1"/>
        <v>13.610490082727217</v>
      </c>
      <c r="N16" s="541">
        <f>'Phy activity RRs'!$M$4</f>
        <v>0.94277975044398532</v>
      </c>
      <c r="O16" s="534">
        <f>IF(('user page'!$N$39=0),$N16^(I16^0.25),IF(('user page'!$N$39=1),$N16^(I16^0.5),IF(('user page'!$N$39=2),$N16^(I16^0.375),IF(('user page'!$N$39=4),$N16^(I16),IF(('user page'!$N$39=3),$N16^(LN(1+I16)),"")))))</f>
        <v>0.98153956255603969</v>
      </c>
      <c r="P16" s="534">
        <f>IF(('user page'!$N$39=0),$N16^(J16^0.25),IF(('user page'!$N$39=1),$N16^(J16^0.5),IF(('user page'!$N$39=2),$N16^(J16^0.375),IF(('user page'!$N$39=4),$N16^(J16),IF(('user page'!$N$39=3),$N16^(LN(1+J16)),"")))))</f>
        <v>0.98153956255603969</v>
      </c>
      <c r="Q16" s="534">
        <f>IF(('user page'!$N$39=0),$N16^(K16^0.25),IF(('user page'!$N$39=1),$N16^(K16^0.5),IF(('user page'!$N$39=2),$N16^(K16^0.375),IF(('user page'!$N$39=4),$N16^(K16),IF(('user page'!$N$39=3),$N16^(LN(1+K16)),"")))))</f>
        <v>0.89692979337145029</v>
      </c>
      <c r="R16" s="534">
        <f>IF(('user page'!$N$39=0),$N16^(L16^0.25),IF(('user page'!$N$39=1),$N16^(L16^0.5),IF(('user page'!$N$39=2),$N16^(L16^0.375),IF(('user page'!$N$39=4),$N16^(L16),IF(('user page'!$N$39=3),$N16^(LN(1+L16)),"")))))</f>
        <v>0.86553916480363979</v>
      </c>
      <c r="S16" s="534">
        <f>IF(('user page'!$N$39=0),$N16^(M16^0.25),IF(('user page'!$N$39=1),$N16^(M16^0.5),IF(('user page'!$N$39=2),$N16^(M16^0.375),IF(('user page'!$N$39=4),$N16^(M16),IF(('user page'!$N$39=3),$N16^(LN(1+M16)),"")))))</f>
        <v>0.80462451725020323</v>
      </c>
      <c r="T16" s="535">
        <f t="shared" si="13"/>
        <v>1</v>
      </c>
      <c r="U16" s="535">
        <f t="shared" si="13"/>
        <v>1</v>
      </c>
      <c r="V16" s="535">
        <f t="shared" si="13"/>
        <v>0.91379892119248252</v>
      </c>
      <c r="W16" s="535">
        <f t="shared" si="13"/>
        <v>0.88181790915251368</v>
      </c>
      <c r="X16" s="535">
        <f t="shared" si="13"/>
        <v>0.81975760116573426</v>
      </c>
      <c r="Y16" s="538">
        <f t="shared" si="8"/>
        <v>5.8706611201918446E-2</v>
      </c>
      <c r="Z16" s="542">
        <f t="shared" si="14"/>
        <v>0.94129338879808155</v>
      </c>
      <c r="AA16" s="533">
        <f>(GBDUS!$O118*Z16)/($T16+$W16+$X16+U16+V16)</f>
        <v>3.3757645644431386E-2</v>
      </c>
      <c r="AB16" s="537">
        <f t="shared" si="15"/>
        <v>3.3757645644431386E-2</v>
      </c>
      <c r="AC16" s="537">
        <f t="shared" si="15"/>
        <v>3.0847700171879506E-2</v>
      </c>
      <c r="AD16" s="537">
        <f t="shared" si="15"/>
        <v>2.9768096500083944E-2</v>
      </c>
      <c r="AE16" s="537">
        <f t="shared" si="15"/>
        <v>2.7673086614481972E-2</v>
      </c>
      <c r="AF16" s="533">
        <f>Z16*GBDUS!$P118/($T16+$W16+$X16+U16+V16)</f>
        <v>0.41875123682869714</v>
      </c>
      <c r="AG16" s="537">
        <f t="shared" si="16"/>
        <v>0.41875123682869714</v>
      </c>
      <c r="AH16" s="537">
        <f t="shared" si="16"/>
        <v>0.3826544284620812</v>
      </c>
      <c r="AI16" s="537">
        <f t="shared" si="16"/>
        <v>0.36926234011531078</v>
      </c>
      <c r="AJ16" s="537">
        <f t="shared" si="16"/>
        <v>0.34327450938787701</v>
      </c>
      <c r="AK16" s="533">
        <f>GBDUS!$Q118*$Z16/($T16+$W16+$X16+U16+V16)</f>
        <v>0.62856267940625565</v>
      </c>
      <c r="AL16" s="537">
        <f t="shared" si="17"/>
        <v>0.62856267940625565</v>
      </c>
      <c r="AM16" s="537">
        <f t="shared" si="17"/>
        <v>0.57437989834329262</v>
      </c>
      <c r="AN16" s="537">
        <f t="shared" si="17"/>
        <v>0.55427782772532608</v>
      </c>
      <c r="AO16" s="537">
        <f t="shared" si="17"/>
        <v>0.51526903425237858</v>
      </c>
      <c r="AP16" s="533">
        <f t="shared" si="9"/>
        <v>-9.7171989193589499E-3</v>
      </c>
      <c r="AQ16" s="533">
        <f t="shared" si="10"/>
        <v>-0.12053829549760864</v>
      </c>
      <c r="AR16" s="533">
        <f t="shared" si="11"/>
        <v>-0.18093289601442952</v>
      </c>
      <c r="AS16" s="533">
        <f t="shared" si="18"/>
        <v>-0.30147119151203816</v>
      </c>
    </row>
    <row r="17" spans="1:45" ht="10.9" customHeight="1" x14ac:dyDescent="0.2">
      <c r="A17" s="525">
        <v>1</v>
      </c>
      <c r="B17" s="525">
        <v>2</v>
      </c>
      <c r="C17" s="525" t="s">
        <v>36</v>
      </c>
      <c r="D17" s="533">
        <f>Scenario!AN33</f>
        <v>0.77504695374177146</v>
      </c>
      <c r="E17" s="533">
        <f>Scenario!AO33</f>
        <v>1.7563660197920845</v>
      </c>
      <c r="F17" s="533">
        <f>Scenario!AP33</f>
        <v>3.0951787061272027</v>
      </c>
      <c r="G17" s="533">
        <f>Scenario!AQ33</f>
        <v>5.4545186566507038</v>
      </c>
      <c r="H17" s="533">
        <f>Scenario!AR33</f>
        <v>12.360710762892898</v>
      </c>
      <c r="I17" s="534">
        <f t="shared" si="12"/>
        <v>0.1</v>
      </c>
      <c r="J17" s="534">
        <f t="shared" si="1"/>
        <v>0.1</v>
      </c>
      <c r="K17" s="534">
        <f t="shared" si="1"/>
        <v>3.0951787061272027</v>
      </c>
      <c r="L17" s="534">
        <f t="shared" si="1"/>
        <v>5.4545186566507038</v>
      </c>
      <c r="M17" s="534">
        <f t="shared" si="1"/>
        <v>12.360710762892898</v>
      </c>
      <c r="N17" s="541">
        <f>'Phy activity RRs'!$M$4</f>
        <v>0.94277975044398532</v>
      </c>
      <c r="O17" s="534">
        <f>IF(('user page'!$N$39=0),$N17^(I17^0.25),IF(('user page'!$N$39=1),$N17^(I17^0.5),IF(('user page'!$N$39=2),$N17^(I17^0.375),IF(('user page'!$N$39=4),$N17^(I17),IF(('user page'!$N$39=3),$N17^(LN(1+I17)),"")))))</f>
        <v>0.98153956255603969</v>
      </c>
      <c r="P17" s="534">
        <f>IF(('user page'!$N$39=0),$N17^(J17^0.25),IF(('user page'!$N$39=1),$N17^(J17^0.5),IF(('user page'!$N$39=2),$N17^(J17^0.375),IF(('user page'!$N$39=4),$N17^(J17),IF(('user page'!$N$39=3),$N17^(LN(1+J17)),"")))))</f>
        <v>0.98153956255603969</v>
      </c>
      <c r="Q17" s="534">
        <f>IF(('user page'!$N$39=0),$N17^(K17^0.25),IF(('user page'!$N$39=1),$N17^(K17^0.5),IF(('user page'!$N$39=2),$N17^(K17^0.375),IF(('user page'!$N$39=4),$N17^(K17),IF(('user page'!$N$39=3),$N17^(LN(1+K17)),"")))))</f>
        <v>0.9015288695494994</v>
      </c>
      <c r="R17" s="534">
        <f>IF(('user page'!$N$39=0),$N17^(L17^0.25),IF(('user page'!$N$39=1),$N17^(L17^0.5),IF(('user page'!$N$39=2),$N17^(L17^0.375),IF(('user page'!$N$39=4),$N17^(L17),IF(('user page'!$N$39=3),$N17^(LN(1+L17)),"")))))</f>
        <v>0.87143571923012941</v>
      </c>
      <c r="S17" s="534">
        <f>IF(('user page'!$N$39=0),$N17^(M17^0.25),IF(('user page'!$N$39=1),$N17^(M17^0.5),IF(('user page'!$N$39=2),$N17^(M17^0.375),IF(('user page'!$N$39=4),$N17^(M17),IF(('user page'!$N$39=3),$N17^(LN(1+M17)),"")))))</f>
        <v>0.81289049987700335</v>
      </c>
      <c r="T17" s="535">
        <f t="shared" si="13"/>
        <v>1</v>
      </c>
      <c r="U17" s="535">
        <f t="shared" si="13"/>
        <v>1</v>
      </c>
      <c r="V17" s="535">
        <f t="shared" si="13"/>
        <v>0.91848449511481389</v>
      </c>
      <c r="W17" s="535">
        <f t="shared" si="13"/>
        <v>0.88782536382009147</v>
      </c>
      <c r="X17" s="535">
        <f t="shared" si="13"/>
        <v>0.82817904737343939</v>
      </c>
      <c r="Y17" s="538">
        <f t="shared" si="8"/>
        <v>5.5795800957192832E-2</v>
      </c>
      <c r="Z17" s="542">
        <f t="shared" si="14"/>
        <v>0.94420419904280717</v>
      </c>
      <c r="AA17" s="533">
        <f>(GBDUS!$O119*Z17)/($T17+$W17+$X17+U17+V17)</f>
        <v>4.2131557512412987E-2</v>
      </c>
      <c r="AB17" s="537">
        <f t="shared" si="15"/>
        <v>4.2131557512412987E-2</v>
      </c>
      <c r="AC17" s="537">
        <f t="shared" si="15"/>
        <v>3.8697182330189386E-2</v>
      </c>
      <c r="AD17" s="537">
        <f t="shared" si="15"/>
        <v>3.7405465376765167E-2</v>
      </c>
      <c r="AE17" s="537">
        <f t="shared" si="15"/>
        <v>3.489247316498946E-2</v>
      </c>
      <c r="AF17" s="533">
        <f>Z17*GBDUS!$P119/($T17+$W17+$X17+U17+V17)</f>
        <v>0.32466795559365758</v>
      </c>
      <c r="AG17" s="537">
        <f t="shared" si="16"/>
        <v>0.32466795559365758</v>
      </c>
      <c r="AH17" s="537">
        <f t="shared" si="16"/>
        <v>0.29820248327339938</v>
      </c>
      <c r="AI17" s="537">
        <f t="shared" si="16"/>
        <v>0.28824844579566433</v>
      </c>
      <c r="AJ17" s="537">
        <f t="shared" si="16"/>
        <v>0.26888319817623746</v>
      </c>
      <c r="AK17" s="533">
        <f>GBDUS!$Q119*$Z17/($T17+$W17+$X17+U17+V17)</f>
        <v>0.43571202009093135</v>
      </c>
      <c r="AL17" s="537">
        <f t="shared" si="17"/>
        <v>0.43571202009093135</v>
      </c>
      <c r="AM17" s="537">
        <f t="shared" si="17"/>
        <v>0.40019473478867473</v>
      </c>
      <c r="AN17" s="537">
        <f t="shared" si="17"/>
        <v>0.38683618275801812</v>
      </c>
      <c r="AO17" s="537">
        <f t="shared" si="17"/>
        <v>0.36084756572806442</v>
      </c>
      <c r="AP17" s="533">
        <f t="shared" si="9"/>
        <v>-1.1538382985791872E-2</v>
      </c>
      <c r="AQ17" s="533">
        <f t="shared" si="10"/>
        <v>-8.8915374508763356E-2</v>
      </c>
      <c r="AR17" s="533">
        <f t="shared" si="11"/>
        <v>-0.11932652045538639</v>
      </c>
      <c r="AS17" s="533">
        <f t="shared" si="18"/>
        <v>-0.20824189496414974</v>
      </c>
    </row>
    <row r="18" spans="1:45" ht="10.9" customHeight="1" x14ac:dyDescent="0.2">
      <c r="A18" s="525">
        <v>1</v>
      </c>
      <c r="B18" s="525">
        <v>2</v>
      </c>
      <c r="C18" s="525" t="s">
        <v>35</v>
      </c>
      <c r="D18" s="533">
        <f>Scenario!AN34</f>
        <v>0.40295615512215294</v>
      </c>
      <c r="E18" s="533">
        <f>Scenario!AO34</f>
        <v>0.91315564161087048</v>
      </c>
      <c r="F18" s="533">
        <f>Scenario!AP34</f>
        <v>1.6092203250598482</v>
      </c>
      <c r="G18" s="533">
        <f>Scenario!AQ34</f>
        <v>2.8358693048399783</v>
      </c>
      <c r="H18" s="533">
        <f>Scenario!AR34</f>
        <v>6.4264809500197613</v>
      </c>
      <c r="I18" s="534">
        <f t="shared" si="12"/>
        <v>0.1</v>
      </c>
      <c r="J18" s="534">
        <f t="shared" si="1"/>
        <v>0.1</v>
      </c>
      <c r="K18" s="534">
        <f t="shared" si="1"/>
        <v>0.1</v>
      </c>
      <c r="L18" s="534">
        <f t="shared" si="1"/>
        <v>2.8358693048399783</v>
      </c>
      <c r="M18" s="534">
        <f t="shared" si="1"/>
        <v>6.4264809500197613</v>
      </c>
      <c r="N18" s="541">
        <f>'Phy activity RRs'!$M$4</f>
        <v>0.94277975044398532</v>
      </c>
      <c r="O18" s="534">
        <f>IF(('user page'!$N$39=0),$N18^(I18^0.25),IF(('user page'!$N$39=1),$N18^(I18^0.5),IF(('user page'!$N$39=2),$N18^(I18^0.375),IF(('user page'!$N$39=4),$N18^(I18),IF(('user page'!$N$39=3),$N18^(LN(1+I18)),"")))))</f>
        <v>0.98153956255603969</v>
      </c>
      <c r="P18" s="534">
        <f>IF(('user page'!$N$39=0),$N18^(J18^0.25),IF(('user page'!$N$39=1),$N18^(J18^0.5),IF(('user page'!$N$39=2),$N18^(J18^0.375),IF(('user page'!$N$39=4),$N18^(J18),IF(('user page'!$N$39=3),$N18^(LN(1+J18)),"")))))</f>
        <v>0.98153956255603969</v>
      </c>
      <c r="Q18" s="534">
        <f>IF(('user page'!$N$39=0),$N18^(K18^0.25),IF(('user page'!$N$39=1),$N18^(K18^0.5),IF(('user page'!$N$39=2),$N18^(K18^0.375),IF(('user page'!$N$39=4),$N18^(K18),IF(('user page'!$N$39=3),$N18^(LN(1+K18)),"")))))</f>
        <v>0.98153956255603969</v>
      </c>
      <c r="R18" s="534">
        <f>IF(('user page'!$N$39=0),$N18^(L18^0.25),IF(('user page'!$N$39=1),$N18^(L18^0.5),IF(('user page'!$N$39=2),$N18^(L18^0.375),IF(('user page'!$N$39=4),$N18^(L18),IF(('user page'!$N$39=3),$N18^(LN(1+L18)),"")))))</f>
        <v>0.90553815281540484</v>
      </c>
      <c r="S18" s="534">
        <f>IF(('user page'!$N$39=0),$N18^(M18^0.25),IF(('user page'!$N$39=1),$N18^(M18^0.5),IF(('user page'!$N$39=2),$N18^(M18^0.375),IF(('user page'!$N$39=4),$N18^(M18),IF(('user page'!$N$39=3),$N18^(LN(1+M18)),"")))))</f>
        <v>0.86124890270456433</v>
      </c>
      <c r="T18" s="535">
        <f t="shared" si="13"/>
        <v>1</v>
      </c>
      <c r="U18" s="535">
        <f t="shared" si="13"/>
        <v>1</v>
      </c>
      <c r="V18" s="535">
        <f t="shared" si="13"/>
        <v>1</v>
      </c>
      <c r="W18" s="535">
        <f t="shared" si="13"/>
        <v>0.92256918351541672</v>
      </c>
      <c r="X18" s="535">
        <f t="shared" si="13"/>
        <v>0.87744695737151446</v>
      </c>
      <c r="Y18" s="538">
        <f t="shared" si="8"/>
        <v>3.9996771822613852E-2</v>
      </c>
      <c r="Z18" s="542">
        <f t="shared" si="14"/>
        <v>0.96000322817738615</v>
      </c>
      <c r="AA18" s="533">
        <f>(GBDUS!$O120*Z18)/($T18+$W18+$X18+U18+V18)</f>
        <v>6.6368994457813829E-2</v>
      </c>
      <c r="AB18" s="537">
        <f t="shared" si="15"/>
        <v>6.6368994457813829E-2</v>
      </c>
      <c r="AC18" s="537">
        <f t="shared" si="15"/>
        <v>6.6368994457813829E-2</v>
      </c>
      <c r="AD18" s="537">
        <f t="shared" si="15"/>
        <v>6.122998902768452E-2</v>
      </c>
      <c r="AE18" s="537">
        <f t="shared" si="15"/>
        <v>5.8235272250815651E-2</v>
      </c>
      <c r="AF18" s="533">
        <f>Z18*GBDUS!$P120/($T18+$W18+$X18+U18+V18)</f>
        <v>0.22378739942926631</v>
      </c>
      <c r="AG18" s="537">
        <f t="shared" si="16"/>
        <v>0.22378739942926631</v>
      </c>
      <c r="AH18" s="537">
        <f t="shared" si="16"/>
        <v>0.22378739942926631</v>
      </c>
      <c r="AI18" s="537">
        <f t="shared" si="16"/>
        <v>0.20645935837249665</v>
      </c>
      <c r="AJ18" s="537">
        <f t="shared" si="16"/>
        <v>0.19636157272729352</v>
      </c>
      <c r="AK18" s="533">
        <f>GBDUS!$Q120*$Z18/($T18+$W18+$X18+U18+V18)</f>
        <v>0.26448353519820345</v>
      </c>
      <c r="AL18" s="537">
        <f t="shared" si="17"/>
        <v>0.26448353519820345</v>
      </c>
      <c r="AM18" s="537">
        <f t="shared" si="17"/>
        <v>0.26448353519820345</v>
      </c>
      <c r="AN18" s="537">
        <f t="shared" si="17"/>
        <v>0.24400435912107754</v>
      </c>
      <c r="AO18" s="537">
        <f t="shared" si="17"/>
        <v>0.23207027323452548</v>
      </c>
      <c r="AP18" s="533">
        <f t="shared" si="9"/>
        <v>-1.3272727637127571E-2</v>
      </c>
      <c r="AQ18" s="533">
        <f t="shared" si="10"/>
        <v>-4.4753867758742405E-2</v>
      </c>
      <c r="AR18" s="533">
        <f t="shared" si="11"/>
        <v>-5.289243804080429E-2</v>
      </c>
      <c r="AS18" s="533">
        <f t="shared" si="18"/>
        <v>-9.7646305799546695E-2</v>
      </c>
    </row>
    <row r="19" spans="1:45" ht="10.9" customHeight="1" x14ac:dyDescent="0.2">
      <c r="A19" s="525"/>
      <c r="B19" s="525"/>
      <c r="C19" s="525"/>
      <c r="D19" s="533"/>
      <c r="E19" s="533"/>
      <c r="F19" s="533"/>
      <c r="G19" s="533"/>
      <c r="H19" s="533"/>
      <c r="I19" s="534"/>
      <c r="J19" s="534"/>
      <c r="K19" s="534"/>
      <c r="L19" s="534"/>
      <c r="M19" s="534"/>
      <c r="N19" s="534"/>
      <c r="O19" s="534"/>
      <c r="P19" s="534"/>
      <c r="Q19" s="534"/>
      <c r="R19" s="534"/>
      <c r="S19" s="534"/>
      <c r="T19" s="535"/>
      <c r="U19" s="535"/>
      <c r="V19" s="535"/>
      <c r="W19" s="535"/>
      <c r="X19" s="535"/>
      <c r="Y19" s="535"/>
      <c r="Z19" s="537"/>
      <c r="AA19" s="533"/>
      <c r="AB19" s="537"/>
      <c r="AC19" s="537"/>
      <c r="AD19" s="537"/>
      <c r="AE19" s="537"/>
      <c r="AF19" s="533"/>
      <c r="AG19" s="537"/>
      <c r="AH19" s="537"/>
      <c r="AI19" s="537"/>
      <c r="AJ19" s="537"/>
      <c r="AK19" s="533"/>
      <c r="AL19" s="537"/>
      <c r="AM19" s="537"/>
      <c r="AN19" s="537"/>
      <c r="AO19" s="537"/>
      <c r="AP19" s="544">
        <f>SUM(AP3:AP18)</f>
        <v>-0.13850358878949526</v>
      </c>
      <c r="AQ19" s="544">
        <f>SUM(AQ3:AQ18)</f>
        <v>-1.3852364374357173</v>
      </c>
      <c r="AR19" s="544">
        <f>SUM(AR3:AR18)</f>
        <v>-2.4761113364334544</v>
      </c>
      <c r="AS19" s="544">
        <f>SUM(AS3:AS18)</f>
        <v>-3.8613477738691713</v>
      </c>
    </row>
    <row r="20" spans="1:45" ht="10.9" customHeight="1" x14ac:dyDescent="0.2">
      <c r="A20" s="525">
        <v>0</v>
      </c>
      <c r="B20" s="525">
        <v>1</v>
      </c>
      <c r="C20" s="525" t="s">
        <v>2</v>
      </c>
      <c r="D20" s="533"/>
      <c r="E20" s="533"/>
      <c r="F20" s="533"/>
      <c r="G20" s="533"/>
      <c r="H20" s="533"/>
      <c r="I20" s="534"/>
      <c r="J20" s="534"/>
      <c r="K20" s="534"/>
      <c r="L20" s="534"/>
      <c r="M20" s="534"/>
      <c r="N20" s="534"/>
      <c r="O20" s="534"/>
      <c r="P20" s="534"/>
      <c r="Q20" s="534"/>
      <c r="R20" s="534"/>
      <c r="S20" s="534"/>
      <c r="T20" s="535"/>
      <c r="U20" s="535"/>
      <c r="V20" s="535"/>
      <c r="W20" s="535"/>
      <c r="X20" s="535"/>
      <c r="Y20" s="535"/>
      <c r="Z20" s="537"/>
      <c r="AA20" s="533"/>
      <c r="AB20" s="537"/>
      <c r="AC20" s="537"/>
      <c r="AD20" s="537"/>
      <c r="AE20" s="537"/>
      <c r="AF20" s="533"/>
      <c r="AG20" s="537"/>
      <c r="AH20" s="537"/>
      <c r="AI20" s="537"/>
      <c r="AJ20" s="537"/>
      <c r="AK20" s="533"/>
      <c r="AL20" s="537"/>
      <c r="AM20" s="537"/>
      <c r="AN20" s="537"/>
      <c r="AO20" s="537"/>
      <c r="AP20" s="33">
        <f>AP19/GBDUS!O121</f>
        <v>-6.0779985009968229E-2</v>
      </c>
      <c r="AQ20" s="33">
        <f>AQ19/GBDUS!P121</f>
        <v>-6.80872769781731E-2</v>
      </c>
      <c r="AR20" s="33">
        <f>AR19/GBDUS!Q121</f>
        <v>-7.0952482714382994E-2</v>
      </c>
      <c r="AS20" s="33">
        <f>AS19/GBDUS!R121</f>
        <v>-6.9897281888980672E-2</v>
      </c>
    </row>
    <row r="21" spans="1:45" ht="10.9" customHeight="1" x14ac:dyDescent="0.2">
      <c r="A21" s="525">
        <v>0</v>
      </c>
      <c r="B21" s="525">
        <v>1</v>
      </c>
      <c r="C21" s="525" t="s">
        <v>41</v>
      </c>
      <c r="D21" s="533"/>
      <c r="E21" s="533"/>
      <c r="F21" s="533"/>
      <c r="G21" s="533"/>
      <c r="H21" s="533"/>
      <c r="I21" s="534"/>
      <c r="J21" s="534"/>
      <c r="K21" s="534"/>
      <c r="L21" s="534"/>
      <c r="M21" s="534"/>
      <c r="N21" s="534"/>
      <c r="O21" s="534"/>
      <c r="P21" s="534"/>
      <c r="Q21" s="534"/>
      <c r="R21" s="534"/>
      <c r="S21" s="534"/>
      <c r="T21" s="535"/>
      <c r="U21" s="535"/>
      <c r="V21" s="535"/>
      <c r="W21" s="535"/>
      <c r="X21" s="535"/>
      <c r="Y21" s="535"/>
      <c r="Z21" s="537"/>
      <c r="AA21" s="533"/>
      <c r="AB21" s="537"/>
      <c r="AC21" s="537"/>
      <c r="AD21" s="537"/>
      <c r="AE21" s="537"/>
      <c r="AF21" s="533"/>
      <c r="AG21" s="537"/>
      <c r="AH21" s="537"/>
      <c r="AI21" s="537"/>
      <c r="AJ21" s="537"/>
      <c r="AK21" s="533"/>
      <c r="AL21" s="537"/>
      <c r="AM21" s="537"/>
      <c r="AN21" s="537"/>
      <c r="AO21" s="537"/>
      <c r="AP21" s="534"/>
      <c r="AQ21" s="534"/>
      <c r="AR21" s="534"/>
      <c r="AS21" s="534"/>
    </row>
    <row r="22" spans="1:45" ht="10.9" customHeight="1" x14ac:dyDescent="0.2">
      <c r="A22" s="525">
        <v>0</v>
      </c>
      <c r="B22" s="525">
        <v>1</v>
      </c>
      <c r="C22" s="525" t="s">
        <v>40</v>
      </c>
      <c r="D22" s="533">
        <f>Baseline!AN21</f>
        <v>0.60295678095886318</v>
      </c>
      <c r="E22" s="533">
        <f>Baseline!AO21</f>
        <v>1.3663853478381727</v>
      </c>
      <c r="F22" s="533">
        <f>Baseline!AP21</f>
        <v>2.4079302294253959</v>
      </c>
      <c r="G22" s="533">
        <f>Baseline!AQ21</f>
        <v>4.2434061510935761</v>
      </c>
      <c r="H22" s="533">
        <f>Baseline!AR21</f>
        <v>9.6161585255912687</v>
      </c>
      <c r="I22" s="534">
        <f t="shared" ref="I22:M27" si="19">IF(D22&gt;2.5,D22,0.1)</f>
        <v>0.1</v>
      </c>
      <c r="J22" s="534">
        <f t="shared" si="19"/>
        <v>0.1</v>
      </c>
      <c r="K22" s="534">
        <f t="shared" si="19"/>
        <v>0.1</v>
      </c>
      <c r="L22" s="534">
        <f t="shared" si="19"/>
        <v>4.2434061510935761</v>
      </c>
      <c r="M22" s="534">
        <f t="shared" si="19"/>
        <v>9.6161585255912687</v>
      </c>
      <c r="N22" s="541">
        <f t="shared" ref="N22:N27" si="20">N5</f>
        <v>0.94277975044398532</v>
      </c>
      <c r="O22" s="534">
        <f>IF(('user page'!$N$39=0),$N22^(I22^0.25),IF(('user page'!$N$39=1),$N22^(I22^0.5),IF(('user page'!$N$39=2),$N22^(I22^0.375),IF(('user page'!$N$39=4),$N22^(I22),IF(('user page'!$N$39=3),$N22^(LN(1+I22)),"")))))</f>
        <v>0.98153956255603969</v>
      </c>
      <c r="P22" s="534">
        <f>IF(('user page'!$N$39=0),$N22^(J22^0.25),IF(('user page'!$N$39=1),$N22^(J22^0.5),IF(('user page'!$N$39=2),$N22^(J22^0.375),IF(('user page'!$N$39=4),$N22^(J22),IF(('user page'!$N$39=3),$N22^(LN(1+J22)),"")))))</f>
        <v>0.98153956255603969</v>
      </c>
      <c r="Q22" s="534">
        <f>IF(('user page'!$N$39=0),$N22^(K22^0.25),IF(('user page'!$N$39=1),$N22^(K22^0.5),IF(('user page'!$N$39=2),$N22^(K22^0.375),IF(('user page'!$N$39=4),$N22^(K22),IF(('user page'!$N$39=3),$N22^(LN(1+K22)),"")))))</f>
        <v>0.98153956255603969</v>
      </c>
      <c r="R22" s="534">
        <f>IF(('user page'!$N$39=0),$N22^(L22^0.25),IF(('user page'!$N$39=1),$N22^(L22^0.5),IF(('user page'!$N$39=2),$N22^(L22^0.375),IF(('user page'!$N$39=4),$N22^(L22),IF(('user page'!$N$39=3),$N22^(LN(1+L22)),"")))))</f>
        <v>0.88569931877609742</v>
      </c>
      <c r="S22" s="534">
        <f>IF(('user page'!$N$39=0),$N22^(M22^0.25),IF(('user page'!$N$39=1),$N22^(M22^0.5),IF(('user page'!$N$39=2),$N22^(M22^0.375),IF(('user page'!$N$39=4),$N22^(M22),IF(('user page'!$N$39=3),$N22^(LN(1+M22)),"")))))</f>
        <v>0.83300258261423454</v>
      </c>
      <c r="T22" s="535">
        <f t="shared" ref="T22:X27" si="21">O22/$O22</f>
        <v>1</v>
      </c>
      <c r="U22" s="535">
        <f t="shared" si="21"/>
        <v>1</v>
      </c>
      <c r="V22" s="535">
        <f t="shared" si="21"/>
        <v>1</v>
      </c>
      <c r="W22" s="535">
        <f t="shared" si="21"/>
        <v>0.90235722793448747</v>
      </c>
      <c r="X22" s="535">
        <f t="shared" si="21"/>
        <v>0.84866939081395953</v>
      </c>
      <c r="Y22" s="535"/>
      <c r="Z22" s="537"/>
      <c r="AA22" s="533">
        <f>GBDUS!O107/($T22+$W22+$X22+U22+V22)</f>
        <v>5.1444859542832831E-4</v>
      </c>
      <c r="AB22" s="537">
        <f t="shared" ref="AB22:AE27" si="22">$AA22*U22</f>
        <v>5.1444859542832831E-4</v>
      </c>
      <c r="AC22" s="537">
        <f t="shared" si="22"/>
        <v>5.1444859542832831E-4</v>
      </c>
      <c r="AD22" s="537">
        <f t="shared" si="22"/>
        <v>4.6421640848549699E-4</v>
      </c>
      <c r="AE22" s="537">
        <f t="shared" si="22"/>
        <v>4.365967760872565E-4</v>
      </c>
      <c r="AF22" s="533">
        <f>GBDUS!P107/($T22+$W22+$X22+U22+V22)</f>
        <v>1.5298413761830594E-2</v>
      </c>
      <c r="AG22" s="537">
        <f t="shared" ref="AG22:AI27" si="23">$AF22*U22</f>
        <v>1.5298413761830594E-2</v>
      </c>
      <c r="AH22" s="537">
        <f t="shared" si="23"/>
        <v>1.5298413761830594E-2</v>
      </c>
      <c r="AI22" s="537">
        <f t="shared" si="23"/>
        <v>1.3804634233920268E-2</v>
      </c>
      <c r="AJ22" s="537">
        <f t="shared" ref="AJ22:AJ27" si="24">AF22*X22</f>
        <v>1.2983295487672665E-2</v>
      </c>
      <c r="AK22" s="533">
        <f>GBDUS!Q107/($T22+$W22+$X22+U22+V22)</f>
        <v>5.0475436998360268E-2</v>
      </c>
      <c r="AL22" s="537">
        <f t="shared" ref="AL22:AO27" si="25">U22*$AK22</f>
        <v>5.0475436998360268E-2</v>
      </c>
      <c r="AM22" s="537">
        <f t="shared" si="25"/>
        <v>5.0475436998360268E-2</v>
      </c>
      <c r="AN22" s="537">
        <f t="shared" si="25"/>
        <v>4.5546875408622241E-2</v>
      </c>
      <c r="AO22" s="537">
        <f t="shared" si="25"/>
        <v>4.28369583684668E-2</v>
      </c>
      <c r="AP22" s="534"/>
      <c r="AQ22" s="534"/>
      <c r="AR22" s="534"/>
      <c r="AS22" s="534"/>
    </row>
    <row r="23" spans="1:45" ht="10.9" customHeight="1" x14ac:dyDescent="0.2">
      <c r="A23" s="525">
        <v>0</v>
      </c>
      <c r="B23" s="525">
        <v>1</v>
      </c>
      <c r="C23" s="525" t="s">
        <v>39</v>
      </c>
      <c r="D23" s="533">
        <f>Baseline!AN22</f>
        <v>0.34976362929541344</v>
      </c>
      <c r="E23" s="533">
        <f>Baseline!AO22</f>
        <v>0.79261385453854083</v>
      </c>
      <c r="F23" s="533">
        <f>Baseline!AP22</f>
        <v>1.396794003700613</v>
      </c>
      <c r="G23" s="533">
        <f>Baseline!AQ22</f>
        <v>2.4615182760208985</v>
      </c>
      <c r="H23" s="533">
        <f>Baseline!AR22</f>
        <v>5.5781485705196889</v>
      </c>
      <c r="I23" s="534">
        <f t="shared" si="19"/>
        <v>0.1</v>
      </c>
      <c r="J23" s="534">
        <f t="shared" si="19"/>
        <v>0.1</v>
      </c>
      <c r="K23" s="534">
        <f t="shared" si="19"/>
        <v>0.1</v>
      </c>
      <c r="L23" s="534">
        <f t="shared" si="19"/>
        <v>0.1</v>
      </c>
      <c r="M23" s="534">
        <f t="shared" si="19"/>
        <v>5.5781485705196889</v>
      </c>
      <c r="N23" s="541">
        <f t="shared" si="20"/>
        <v>0.94277975044398532</v>
      </c>
      <c r="O23" s="534">
        <f>IF(('user page'!$N$39=0),$N23^(I23^0.25),IF(('user page'!$N$39=1),$N23^(I23^0.5),IF(('user page'!$N$39=2),$N23^(I23^0.375),IF(('user page'!$N$39=4),$N23^(I23),IF(('user page'!$N$39=3),$N23^(LN(1+I23)),"")))))</f>
        <v>0.98153956255603969</v>
      </c>
      <c r="P23" s="534">
        <f>IF(('user page'!$N$39=0),$N23^(J23^0.25),IF(('user page'!$N$39=1),$N23^(J23^0.5),IF(('user page'!$N$39=2),$N23^(J23^0.375),IF(('user page'!$N$39=4),$N23^(J23),IF(('user page'!$N$39=3),$N23^(LN(1+J23)),"")))))</f>
        <v>0.98153956255603969</v>
      </c>
      <c r="Q23" s="534">
        <f>IF(('user page'!$N$39=0),$N23^(K23^0.25),IF(('user page'!$N$39=1),$N23^(K23^0.5),IF(('user page'!$N$39=2),$N23^(K23^0.375),IF(('user page'!$N$39=4),$N23^(K23),IF(('user page'!$N$39=3),$N23^(LN(1+K23)),"")))))</f>
        <v>0.98153956255603969</v>
      </c>
      <c r="R23" s="534">
        <f>IF(('user page'!$N$39=0),$N23^(L23^0.25),IF(('user page'!$N$39=1),$N23^(L23^0.5),IF(('user page'!$N$39=2),$N23^(L23^0.375),IF(('user page'!$N$39=4),$N23^(L23),IF(('user page'!$N$39=3),$N23^(LN(1+L23)),"")))))</f>
        <v>0.98153956255603969</v>
      </c>
      <c r="S23" s="534">
        <f>IF(('user page'!$N$39=0),$N23^(M23^0.25),IF(('user page'!$N$39=1),$N23^(M23^0.5),IF(('user page'!$N$39=2),$N23^(M23^0.375),IF(('user page'!$N$39=4),$N23^(M23),IF(('user page'!$N$39=3),$N23^(LN(1+M23)),"")))))</f>
        <v>0.87008534054200259</v>
      </c>
      <c r="T23" s="535">
        <f t="shared" si="21"/>
        <v>1</v>
      </c>
      <c r="U23" s="535">
        <f t="shared" si="21"/>
        <v>1</v>
      </c>
      <c r="V23" s="535">
        <f t="shared" si="21"/>
        <v>1</v>
      </c>
      <c r="W23" s="535">
        <f t="shared" si="21"/>
        <v>1</v>
      </c>
      <c r="X23" s="535">
        <f t="shared" si="21"/>
        <v>0.88644958770301863</v>
      </c>
      <c r="Y23" s="535"/>
      <c r="Z23" s="537"/>
      <c r="AA23" s="533">
        <f>GBDUS!O108/($T23+$W23+$X23+U23+V23)</f>
        <v>2.3299377489661967E-2</v>
      </c>
      <c r="AB23" s="537">
        <f t="shared" si="22"/>
        <v>2.3299377489661967E-2</v>
      </c>
      <c r="AC23" s="537">
        <f t="shared" si="22"/>
        <v>2.3299377489661967E-2</v>
      </c>
      <c r="AD23" s="537">
        <f t="shared" si="22"/>
        <v>2.3299377489661967E-2</v>
      </c>
      <c r="AE23" s="537">
        <f t="shared" si="22"/>
        <v>2.0653723569447842E-2</v>
      </c>
      <c r="AF23" s="533">
        <f>GBDUS!P108/($T23+$W23+$X23+U23+V23)</f>
        <v>0.55460948411481725</v>
      </c>
      <c r="AG23" s="537">
        <f t="shared" si="23"/>
        <v>0.55460948411481725</v>
      </c>
      <c r="AH23" s="537">
        <f t="shared" si="23"/>
        <v>0.55460948411481725</v>
      </c>
      <c r="AI23" s="537">
        <f t="shared" si="23"/>
        <v>0.55460948411481725</v>
      </c>
      <c r="AJ23" s="537">
        <f t="shared" si="24"/>
        <v>0.49163334852976359</v>
      </c>
      <c r="AK23" s="533">
        <f>GBDUS!Q108/($T23+$W23+$X23+U23+V23)</f>
        <v>1.310753131307596</v>
      </c>
      <c r="AL23" s="537">
        <f t="shared" si="25"/>
        <v>1.310753131307596</v>
      </c>
      <c r="AM23" s="537">
        <f t="shared" si="25"/>
        <v>1.310753131307596</v>
      </c>
      <c r="AN23" s="537">
        <f t="shared" si="25"/>
        <v>1.310753131307596</v>
      </c>
      <c r="AO23" s="537">
        <f t="shared" si="25"/>
        <v>1.1619165728280592</v>
      </c>
      <c r="AP23" s="534"/>
      <c r="AQ23" s="534"/>
      <c r="AR23" s="534"/>
      <c r="AS23" s="534"/>
    </row>
    <row r="24" spans="1:45" ht="10.9" customHeight="1" x14ac:dyDescent="0.2">
      <c r="A24" s="525">
        <v>0</v>
      </c>
      <c r="B24" s="525">
        <v>1</v>
      </c>
      <c r="C24" s="525" t="s">
        <v>38</v>
      </c>
      <c r="D24" s="533">
        <f>Baseline!AN23</f>
        <v>0.35151125659111732</v>
      </c>
      <c r="E24" s="533">
        <f>Baseline!AO23</f>
        <v>0.79657422517494758</v>
      </c>
      <c r="F24" s="533">
        <f>Baseline!AP23</f>
        <v>1.4037732180124616</v>
      </c>
      <c r="G24" s="533">
        <f>Baseline!AQ23</f>
        <v>2.4738174865955198</v>
      </c>
      <c r="H24" s="533">
        <f>Baseline!AR23</f>
        <v>5.6060203212816786</v>
      </c>
      <c r="I24" s="534">
        <f t="shared" si="19"/>
        <v>0.1</v>
      </c>
      <c r="J24" s="534">
        <f t="shared" si="19"/>
        <v>0.1</v>
      </c>
      <c r="K24" s="534">
        <f t="shared" si="19"/>
        <v>0.1</v>
      </c>
      <c r="L24" s="534">
        <f t="shared" si="19"/>
        <v>0.1</v>
      </c>
      <c r="M24" s="534">
        <f t="shared" si="19"/>
        <v>5.6060203212816786</v>
      </c>
      <c r="N24" s="541">
        <f t="shared" si="20"/>
        <v>0.94277975044398532</v>
      </c>
      <c r="O24" s="534">
        <f>IF(('user page'!$N$39=0),$N24^(I24^0.25),IF(('user page'!$N$39=1),$N24^(I24^0.5),IF(('user page'!$N$39=2),$N24^(I24^0.375),IF(('user page'!$N$39=4),$N24^(I24),IF(('user page'!$N$39=3),$N24^(LN(1+I24)),"")))))</f>
        <v>0.98153956255603969</v>
      </c>
      <c r="P24" s="534">
        <f>IF(('user page'!$N$39=0),$N24^(J24^0.25),IF(('user page'!$N$39=1),$N24^(J24^0.5),IF(('user page'!$N$39=2),$N24^(J24^0.375),IF(('user page'!$N$39=4),$N24^(J24),IF(('user page'!$N$39=3),$N24^(LN(1+J24)),"")))))</f>
        <v>0.98153956255603969</v>
      </c>
      <c r="Q24" s="534">
        <f>IF(('user page'!$N$39=0),$N24^(K24^0.25),IF(('user page'!$N$39=1),$N24^(K24^0.5),IF(('user page'!$N$39=2),$N24^(K24^0.375),IF(('user page'!$N$39=4),$N24^(K24),IF(('user page'!$N$39=3),$N24^(LN(1+K24)),"")))))</f>
        <v>0.98153956255603969</v>
      </c>
      <c r="R24" s="534">
        <f>IF(('user page'!$N$39=0),$N24^(L24^0.25),IF(('user page'!$N$39=1),$N24^(L24^0.5),IF(('user page'!$N$39=2),$N24^(L24^0.375),IF(('user page'!$N$39=4),$N24^(L24),IF(('user page'!$N$39=3),$N24^(LN(1+L24)),"")))))</f>
        <v>0.98153956255603969</v>
      </c>
      <c r="S24" s="534">
        <f>IF(('user page'!$N$39=0),$N24^(M24^0.25),IF(('user page'!$N$39=1),$N24^(M24^0.5),IF(('user page'!$N$39=2),$N24^(M24^0.375),IF(('user page'!$N$39=4),$N24^(M24),IF(('user page'!$N$39=3),$N24^(LN(1+M24)),"")))))</f>
        <v>0.86978326470805434</v>
      </c>
      <c r="T24" s="535">
        <f t="shared" si="21"/>
        <v>1</v>
      </c>
      <c r="U24" s="535">
        <f t="shared" si="21"/>
        <v>1</v>
      </c>
      <c r="V24" s="535">
        <f t="shared" si="21"/>
        <v>1</v>
      </c>
      <c r="W24" s="535">
        <f t="shared" si="21"/>
        <v>1</v>
      </c>
      <c r="X24" s="535">
        <f t="shared" si="21"/>
        <v>0.88614183053716211</v>
      </c>
      <c r="Y24" s="535"/>
      <c r="Z24" s="537"/>
      <c r="AA24" s="533">
        <f>GBDUS!O109/($T24+$W24+$X24+U24+V24)</f>
        <v>2.9837299468482213E-2</v>
      </c>
      <c r="AB24" s="537">
        <f t="shared" si="22"/>
        <v>2.9837299468482213E-2</v>
      </c>
      <c r="AC24" s="537">
        <f t="shared" si="22"/>
        <v>2.9837299468482213E-2</v>
      </c>
      <c r="AD24" s="537">
        <f t="shared" si="22"/>
        <v>2.9837299468482213E-2</v>
      </c>
      <c r="AE24" s="537">
        <f t="shared" si="22"/>
        <v>2.6440079169286323E-2</v>
      </c>
      <c r="AF24" s="533">
        <f>GBDUS!P109/($T24+$W24+$X24+U24+V24)</f>
        <v>0.49951045571699348</v>
      </c>
      <c r="AG24" s="537">
        <f t="shared" si="23"/>
        <v>0.49951045571699348</v>
      </c>
      <c r="AH24" s="537">
        <f t="shared" si="23"/>
        <v>0.49951045571699348</v>
      </c>
      <c r="AI24" s="537">
        <f t="shared" si="23"/>
        <v>0.49951045571699348</v>
      </c>
      <c r="AJ24" s="537">
        <f t="shared" si="24"/>
        <v>0.44263710960150865</v>
      </c>
      <c r="AK24" s="533">
        <f>GBDUS!Q109/($T24+$W24+$X24+U24+V24)</f>
        <v>0.85075092513371975</v>
      </c>
      <c r="AL24" s="537">
        <f t="shared" si="25"/>
        <v>0.85075092513371975</v>
      </c>
      <c r="AM24" s="537">
        <f t="shared" si="25"/>
        <v>0.85075092513371975</v>
      </c>
      <c r="AN24" s="537">
        <f t="shared" si="25"/>
        <v>0.85075092513371975</v>
      </c>
      <c r="AO24" s="537">
        <f t="shared" si="25"/>
        <v>0.75388598212917857</v>
      </c>
      <c r="AP24" s="534"/>
      <c r="AQ24" s="534"/>
      <c r="AR24" s="534"/>
      <c r="AS24" s="534"/>
    </row>
    <row r="25" spans="1:45" ht="10.9" customHeight="1" x14ac:dyDescent="0.2">
      <c r="A25" s="525">
        <v>0</v>
      </c>
      <c r="B25" s="525">
        <v>1</v>
      </c>
      <c r="C25" s="525" t="s">
        <v>37</v>
      </c>
      <c r="D25" s="533">
        <f>Baseline!AN24</f>
        <v>0.31868617612515476</v>
      </c>
      <c r="E25" s="533">
        <f>Baseline!AO24</f>
        <v>0.72218795006087733</v>
      </c>
      <c r="F25" s="533">
        <f>Baseline!AP24</f>
        <v>1.2726850438126185</v>
      </c>
      <c r="G25" s="533">
        <f>Baseline!AQ24</f>
        <v>2.2428056582885252</v>
      </c>
      <c r="H25" s="533">
        <f>Baseline!AR24</f>
        <v>5.0825148440333541</v>
      </c>
      <c r="I25" s="534">
        <f t="shared" si="19"/>
        <v>0.1</v>
      </c>
      <c r="J25" s="534">
        <f t="shared" si="19"/>
        <v>0.1</v>
      </c>
      <c r="K25" s="534">
        <f t="shared" si="19"/>
        <v>0.1</v>
      </c>
      <c r="L25" s="534">
        <f t="shared" si="19"/>
        <v>0.1</v>
      </c>
      <c r="M25" s="534">
        <f t="shared" si="19"/>
        <v>5.0825148440333541</v>
      </c>
      <c r="N25" s="541">
        <f t="shared" si="20"/>
        <v>0.94277975044398532</v>
      </c>
      <c r="O25" s="534">
        <f>IF(('user page'!$N$39=0),$N25^(I25^0.25),IF(('user page'!$N$39=1),$N25^(I25^0.5),IF(('user page'!$N$39=2),$N25^(I25^0.375),IF(('user page'!$N$39=4),$N25^(I25),IF(('user page'!$N$39=3),$N25^(LN(1+I25)),"")))))</f>
        <v>0.98153956255603969</v>
      </c>
      <c r="P25" s="534">
        <f>IF(('user page'!$N$39=0),$N25^(J25^0.25),IF(('user page'!$N$39=1),$N25^(J25^0.5),IF(('user page'!$N$39=2),$N25^(J25^0.375),IF(('user page'!$N$39=4),$N25^(J25),IF(('user page'!$N$39=3),$N25^(LN(1+J25)),"")))))</f>
        <v>0.98153956255603969</v>
      </c>
      <c r="Q25" s="534">
        <f>IF(('user page'!$N$39=0),$N25^(K25^0.25),IF(('user page'!$N$39=1),$N25^(K25^0.5),IF(('user page'!$N$39=2),$N25^(K25^0.375),IF(('user page'!$N$39=4),$N25^(K25),IF(('user page'!$N$39=3),$N25^(LN(1+K25)),"")))))</f>
        <v>0.98153956255603969</v>
      </c>
      <c r="R25" s="534">
        <f>IF(('user page'!$N$39=0),$N25^(L25^0.25),IF(('user page'!$N$39=1),$N25^(L25^0.5),IF(('user page'!$N$39=2),$N25^(L25^0.375),IF(('user page'!$N$39=4),$N25^(L25),IF(('user page'!$N$39=3),$N25^(LN(1+L25)),"")))))</f>
        <v>0.98153956255603969</v>
      </c>
      <c r="S25" s="534">
        <f>IF(('user page'!$N$39=0),$N25^(M25^0.25),IF(('user page'!$N$39=1),$N25^(M25^0.5),IF(('user page'!$N$39=2),$N25^(M25^0.375),IF(('user page'!$N$39=4),$N25^(M25),IF(('user page'!$N$39=3),$N25^(LN(1+M25)),"")))))</f>
        <v>0.87560725021865327</v>
      </c>
      <c r="T25" s="535">
        <f t="shared" si="21"/>
        <v>1</v>
      </c>
      <c r="U25" s="535">
        <f t="shared" si="21"/>
        <v>1</v>
      </c>
      <c r="V25" s="535">
        <f t="shared" si="21"/>
        <v>1</v>
      </c>
      <c r="W25" s="535">
        <f t="shared" si="21"/>
        <v>1</v>
      </c>
      <c r="X25" s="535">
        <f t="shared" si="21"/>
        <v>0.89207535143919547</v>
      </c>
      <c r="Y25" s="535"/>
      <c r="Z25" s="537"/>
      <c r="AA25" s="533">
        <f>GBDUS!O110/($T25+$W25+$X25+U25+V25)</f>
        <v>5.7374907269094923E-2</v>
      </c>
      <c r="AB25" s="537">
        <f t="shared" si="22"/>
        <v>5.7374907269094923E-2</v>
      </c>
      <c r="AC25" s="537">
        <f t="shared" si="22"/>
        <v>5.7374907269094923E-2</v>
      </c>
      <c r="AD25" s="537">
        <f t="shared" si="22"/>
        <v>5.7374907269094923E-2</v>
      </c>
      <c r="AE25" s="537">
        <f t="shared" si="22"/>
        <v>5.1182740565869106E-2</v>
      </c>
      <c r="AF25" s="533">
        <f>GBDUS!P110/($T25+$W25+$X25+U25+V25)</f>
        <v>0.64420251492011549</v>
      </c>
      <c r="AG25" s="537">
        <f t="shared" si="23"/>
        <v>0.64420251492011549</v>
      </c>
      <c r="AH25" s="537">
        <f t="shared" si="23"/>
        <v>0.64420251492011549</v>
      </c>
      <c r="AI25" s="537">
        <f t="shared" si="23"/>
        <v>0.64420251492011549</v>
      </c>
      <c r="AJ25" s="537">
        <f t="shared" si="24"/>
        <v>0.57467718489537556</v>
      </c>
      <c r="AK25" s="533">
        <f>GBDUS!Q110/($T25+$W25+$X25+U25+V25)</f>
        <v>0.84796874090242846</v>
      </c>
      <c r="AL25" s="537">
        <f t="shared" si="25"/>
        <v>0.84796874090242846</v>
      </c>
      <c r="AM25" s="537">
        <f t="shared" si="25"/>
        <v>0.84796874090242846</v>
      </c>
      <c r="AN25" s="537">
        <f t="shared" si="25"/>
        <v>0.84796874090242846</v>
      </c>
      <c r="AO25" s="537">
        <f t="shared" si="25"/>
        <v>0.75645201254998595</v>
      </c>
      <c r="AP25" s="534"/>
      <c r="AQ25" s="534"/>
      <c r="AR25" s="534"/>
      <c r="AS25" s="534"/>
    </row>
    <row r="26" spans="1:45" ht="10.9" customHeight="1" x14ac:dyDescent="0.2">
      <c r="A26" s="525">
        <v>0</v>
      </c>
      <c r="B26" s="525">
        <v>1</v>
      </c>
      <c r="C26" s="525" t="s">
        <v>36</v>
      </c>
      <c r="D26" s="533">
        <f>Baseline!AN25</f>
        <v>0.30266188092522223</v>
      </c>
      <c r="E26" s="533">
        <f>Baseline!AO25</f>
        <v>0.68587463066209398</v>
      </c>
      <c r="F26" s="533">
        <f>Baseline!AP25</f>
        <v>1.2086914276270724</v>
      </c>
      <c r="G26" s="533">
        <f>Baseline!AQ25</f>
        <v>2.130032081531998</v>
      </c>
      <c r="H26" s="533">
        <f>Baseline!AR25</f>
        <v>4.8269539684124263</v>
      </c>
      <c r="I26" s="534">
        <f t="shared" si="19"/>
        <v>0.1</v>
      </c>
      <c r="J26" s="534">
        <f t="shared" si="19"/>
        <v>0.1</v>
      </c>
      <c r="K26" s="534">
        <f t="shared" si="19"/>
        <v>0.1</v>
      </c>
      <c r="L26" s="534">
        <f t="shared" si="19"/>
        <v>0.1</v>
      </c>
      <c r="M26" s="534">
        <f t="shared" si="19"/>
        <v>4.8269539684124263</v>
      </c>
      <c r="N26" s="541">
        <f t="shared" si="20"/>
        <v>0.94277975044398532</v>
      </c>
      <c r="O26" s="534">
        <f>IF(('user page'!$N$39=0),$N26^(I26^0.25),IF(('user page'!$N$39=1),$N26^(I26^0.5),IF(('user page'!$N$39=2),$N26^(I26^0.375),IF(('user page'!$N$39=4),$N26^(I26),IF(('user page'!$N$39=3),$N26^(LN(1+I26)),"")))))</f>
        <v>0.98153956255603969</v>
      </c>
      <c r="P26" s="534">
        <f>IF(('user page'!$N$39=0),$N26^(J26^0.25),IF(('user page'!$N$39=1),$N26^(J26^0.5),IF(('user page'!$N$39=2),$N26^(J26^0.375),IF(('user page'!$N$39=4),$N26^(J26),IF(('user page'!$N$39=3),$N26^(LN(1+J26)),"")))))</f>
        <v>0.98153956255603969</v>
      </c>
      <c r="Q26" s="534">
        <f>IF(('user page'!$N$39=0),$N26^(K26^0.25),IF(('user page'!$N$39=1),$N26^(K26^0.5),IF(('user page'!$N$39=2),$N26^(K26^0.375),IF(('user page'!$N$39=4),$N26^(K26),IF(('user page'!$N$39=3),$N26^(LN(1+K26)),"")))))</f>
        <v>0.98153956255603969</v>
      </c>
      <c r="R26" s="534">
        <f>IF(('user page'!$N$39=0),$N26^(L26^0.25),IF(('user page'!$N$39=1),$N26^(L26^0.5),IF(('user page'!$N$39=2),$N26^(L26^0.375),IF(('user page'!$N$39=4),$N26^(L26),IF(('user page'!$N$39=3),$N26^(LN(1+L26)),"")))))</f>
        <v>0.98153956255603969</v>
      </c>
      <c r="S26" s="534">
        <f>IF(('user page'!$N$39=0),$N26^(M26^0.25),IF(('user page'!$N$39=1),$N26^(M26^0.5),IF(('user page'!$N$39=2),$N26^(M26^0.375),IF(('user page'!$N$39=4),$N26^(M26),IF(('user page'!$N$39=3),$N26^(LN(1+M26)),"")))))</f>
        <v>0.87857424110774074</v>
      </c>
      <c r="T26" s="535">
        <f t="shared" si="21"/>
        <v>1</v>
      </c>
      <c r="U26" s="535">
        <f t="shared" si="21"/>
        <v>1</v>
      </c>
      <c r="V26" s="535">
        <f t="shared" si="21"/>
        <v>1</v>
      </c>
      <c r="W26" s="535">
        <f t="shared" si="21"/>
        <v>1</v>
      </c>
      <c r="X26" s="535">
        <f t="shared" si="21"/>
        <v>0.89509814440880442</v>
      </c>
      <c r="Y26" s="535"/>
      <c r="Z26" s="537"/>
      <c r="AA26" s="533">
        <f>GBDUS!O111/($T26+$W26+$X26+U26+V26)</f>
        <v>7.4842112092163363E-2</v>
      </c>
      <c r="AB26" s="537">
        <f t="shared" si="22"/>
        <v>7.4842112092163363E-2</v>
      </c>
      <c r="AC26" s="537">
        <f t="shared" si="22"/>
        <v>7.4842112092163363E-2</v>
      </c>
      <c r="AD26" s="537">
        <f t="shared" si="22"/>
        <v>7.4842112092163363E-2</v>
      </c>
      <c r="AE26" s="537">
        <f t="shared" si="22"/>
        <v>6.6991035657331166E-2</v>
      </c>
      <c r="AF26" s="533">
        <f>GBDUS!P111/($T26+$W26+$X26+U26+V26)</f>
        <v>0.5126271673117696</v>
      </c>
      <c r="AG26" s="537">
        <f t="shared" si="23"/>
        <v>0.5126271673117696</v>
      </c>
      <c r="AH26" s="537">
        <f t="shared" si="23"/>
        <v>0.5126271673117696</v>
      </c>
      <c r="AI26" s="537">
        <f t="shared" si="23"/>
        <v>0.5126271673117696</v>
      </c>
      <c r="AJ26" s="537">
        <f t="shared" si="24"/>
        <v>0.4588516262343067</v>
      </c>
      <c r="AK26" s="533">
        <f>GBDUS!Q111/($T26+$W26+$X26+U26+V26)</f>
        <v>0.64236780227645673</v>
      </c>
      <c r="AL26" s="537">
        <f t="shared" si="25"/>
        <v>0.64236780227645673</v>
      </c>
      <c r="AM26" s="537">
        <f t="shared" si="25"/>
        <v>0.64236780227645673</v>
      </c>
      <c r="AN26" s="537">
        <f t="shared" si="25"/>
        <v>0.64236780227645673</v>
      </c>
      <c r="AO26" s="537">
        <f t="shared" si="25"/>
        <v>0.57498222784561814</v>
      </c>
      <c r="AP26" s="534"/>
      <c r="AQ26" s="534"/>
      <c r="AR26" s="534"/>
      <c r="AS26" s="534"/>
    </row>
    <row r="27" spans="1:45" ht="10.9" customHeight="1" x14ac:dyDescent="0.2">
      <c r="A27" s="525">
        <v>0</v>
      </c>
      <c r="B27" s="525">
        <v>1</v>
      </c>
      <c r="C27" s="525" t="s">
        <v>35</v>
      </c>
      <c r="D27" s="533">
        <f>Baseline!AN26</f>
        <v>0.24350710807091377</v>
      </c>
      <c r="E27" s="533">
        <f>Baseline!AO26</f>
        <v>0.55182154852528853</v>
      </c>
      <c r="F27" s="533">
        <f>Baseline!AP26</f>
        <v>0.97245465200915271</v>
      </c>
      <c r="G27" s="533">
        <f>Baseline!AQ26</f>
        <v>1.7137207721254923</v>
      </c>
      <c r="H27" s="533">
        <f>Baseline!AR26</f>
        <v>3.8835336582406703</v>
      </c>
      <c r="I27" s="534">
        <f t="shared" si="19"/>
        <v>0.1</v>
      </c>
      <c r="J27" s="534">
        <f t="shared" si="19"/>
        <v>0.1</v>
      </c>
      <c r="K27" s="534">
        <f t="shared" si="19"/>
        <v>0.1</v>
      </c>
      <c r="L27" s="534">
        <f t="shared" si="19"/>
        <v>0.1</v>
      </c>
      <c r="M27" s="534">
        <f t="shared" si="19"/>
        <v>3.8835336582406703</v>
      </c>
      <c r="N27" s="541">
        <f t="shared" si="20"/>
        <v>0.94277975044398532</v>
      </c>
      <c r="O27" s="534">
        <f>IF(('user page'!$N$39=0),$N27^(I27^0.25),IF(('user page'!$N$39=1),$N27^(I27^0.5),IF(('user page'!$N$39=2),$N27^(I27^0.375),IF(('user page'!$N$39=4),$N27^(I27),IF(('user page'!$N$39=3),$N27^(LN(1+I27)),"")))))</f>
        <v>0.98153956255603969</v>
      </c>
      <c r="P27" s="534">
        <f>IF(('user page'!$N$39=0),$N27^(J27^0.25),IF(('user page'!$N$39=1),$N27^(J27^0.5),IF(('user page'!$N$39=2),$N27^(J27^0.375),IF(('user page'!$N$39=4),$N27^(J27),IF(('user page'!$N$39=3),$N27^(LN(1+J27)),"")))))</f>
        <v>0.98153956255603969</v>
      </c>
      <c r="Q27" s="534">
        <f>IF(('user page'!$N$39=0),$N27^(K27^0.25),IF(('user page'!$N$39=1),$N27^(K27^0.5),IF(('user page'!$N$39=2),$N27^(K27^0.375),IF(('user page'!$N$39=4),$N27^(K27),IF(('user page'!$N$39=3),$N27^(LN(1+K27)),"")))))</f>
        <v>0.98153956255603969</v>
      </c>
      <c r="R27" s="534">
        <f>IF(('user page'!$N$39=0),$N27^(L27^0.25),IF(('user page'!$N$39=1),$N27^(L27^0.5),IF(('user page'!$N$39=2),$N27^(L27^0.375),IF(('user page'!$N$39=4),$N27^(L27),IF(('user page'!$N$39=3),$N27^(LN(1+L27)),"")))))</f>
        <v>0.98153956255603969</v>
      </c>
      <c r="S27" s="534">
        <f>IF(('user page'!$N$39=0),$N27^(M27^0.25),IF(('user page'!$N$39=1),$N27^(M27^0.5),IF(('user page'!$N$39=2),$N27^(M27^0.375),IF(('user page'!$N$39=4),$N27^(M27),IF(('user page'!$N$39=3),$N27^(LN(1+M27)),"")))))</f>
        <v>0.89037115551097534</v>
      </c>
      <c r="T27" s="535">
        <f t="shared" si="21"/>
        <v>1</v>
      </c>
      <c r="U27" s="535">
        <f t="shared" si="21"/>
        <v>1</v>
      </c>
      <c r="V27" s="535">
        <f t="shared" si="21"/>
        <v>1</v>
      </c>
      <c r="W27" s="535">
        <f t="shared" si="21"/>
        <v>1</v>
      </c>
      <c r="X27" s="535">
        <f t="shared" si="21"/>
        <v>0.90711693086761425</v>
      </c>
      <c r="Y27" s="535"/>
      <c r="Z27" s="537"/>
      <c r="AA27" s="533">
        <f>GBDUS!O112/($T27+$W27+$X27+U27+V27)</f>
        <v>0.10651214913843667</v>
      </c>
      <c r="AB27" s="537">
        <f t="shared" si="22"/>
        <v>0.10651214913843667</v>
      </c>
      <c r="AC27" s="537">
        <f t="shared" si="22"/>
        <v>0.10651214913843667</v>
      </c>
      <c r="AD27" s="537">
        <f t="shared" si="22"/>
        <v>0.10651214913843667</v>
      </c>
      <c r="AE27" s="537">
        <f t="shared" si="22"/>
        <v>9.6618973826572266E-2</v>
      </c>
      <c r="AF27" s="533">
        <f>GBDUS!P112/($T27+$W27+$X27+U27+V27)</f>
        <v>0.34547742777394053</v>
      </c>
      <c r="AG27" s="537">
        <f t="shared" si="23"/>
        <v>0.34547742777394053</v>
      </c>
      <c r="AH27" s="537">
        <f t="shared" si="23"/>
        <v>0.34547742777394053</v>
      </c>
      <c r="AI27" s="537">
        <f t="shared" si="23"/>
        <v>0.34547742777394053</v>
      </c>
      <c r="AJ27" s="537">
        <f t="shared" si="24"/>
        <v>0.31338842396633482</v>
      </c>
      <c r="AK27" s="533">
        <f>GBDUS!Q112/($T27+$W27+$X27+U27+V27)</f>
        <v>0.40637865866227463</v>
      </c>
      <c r="AL27" s="537">
        <f t="shared" si="25"/>
        <v>0.40637865866227463</v>
      </c>
      <c r="AM27" s="537">
        <f t="shared" si="25"/>
        <v>0.40637865866227463</v>
      </c>
      <c r="AN27" s="537">
        <f t="shared" si="25"/>
        <v>0.40637865866227463</v>
      </c>
      <c r="AO27" s="537">
        <f t="shared" si="25"/>
        <v>0.36863296161582038</v>
      </c>
      <c r="AP27" s="534"/>
      <c r="AQ27" s="534"/>
      <c r="AR27" s="534"/>
      <c r="AS27" s="534"/>
    </row>
    <row r="28" spans="1:45" ht="10.9" customHeight="1" x14ac:dyDescent="0.2">
      <c r="A28" s="525">
        <v>0</v>
      </c>
      <c r="B28" s="525">
        <v>2</v>
      </c>
      <c r="C28" s="525" t="s">
        <v>2</v>
      </c>
      <c r="D28" s="533"/>
      <c r="E28" s="533"/>
      <c r="F28" s="533"/>
      <c r="G28" s="533"/>
      <c r="H28" s="533"/>
      <c r="I28" s="534"/>
      <c r="J28" s="534"/>
      <c r="K28" s="534"/>
      <c r="L28" s="534"/>
      <c r="M28" s="534"/>
      <c r="N28" s="541"/>
      <c r="O28" s="534"/>
      <c r="P28" s="534"/>
      <c r="Q28" s="534"/>
      <c r="R28" s="534"/>
      <c r="S28" s="534"/>
      <c r="T28" s="535"/>
      <c r="U28" s="535"/>
      <c r="V28" s="535"/>
      <c r="W28" s="535"/>
      <c r="X28" s="535"/>
      <c r="Y28" s="535"/>
      <c r="Z28" s="537"/>
      <c r="AA28" s="533"/>
      <c r="AB28" s="537"/>
      <c r="AC28" s="537"/>
      <c r="AD28" s="537"/>
      <c r="AE28" s="537"/>
      <c r="AF28" s="533"/>
      <c r="AG28" s="537"/>
      <c r="AH28" s="537"/>
      <c r="AI28" s="537"/>
      <c r="AJ28" s="537"/>
      <c r="AK28" s="533"/>
      <c r="AL28" s="537"/>
      <c r="AM28" s="537"/>
      <c r="AN28" s="537"/>
      <c r="AO28" s="537"/>
      <c r="AP28" s="534"/>
      <c r="AQ28" s="534"/>
      <c r="AR28" s="534"/>
      <c r="AS28" s="534"/>
    </row>
    <row r="29" spans="1:45" ht="10.9" customHeight="1" x14ac:dyDescent="0.2">
      <c r="A29" s="525">
        <v>0</v>
      </c>
      <c r="B29" s="525">
        <v>2</v>
      </c>
      <c r="C29" s="525" t="s">
        <v>41</v>
      </c>
      <c r="D29" s="533"/>
      <c r="E29" s="533"/>
      <c r="F29" s="533"/>
      <c r="G29" s="533"/>
      <c r="H29" s="533"/>
      <c r="I29" s="534"/>
      <c r="J29" s="534"/>
      <c r="K29" s="534"/>
      <c r="L29" s="534"/>
      <c r="M29" s="534"/>
      <c r="N29" s="541"/>
      <c r="O29" s="534"/>
      <c r="P29" s="534"/>
      <c r="Q29" s="534"/>
      <c r="R29" s="534"/>
      <c r="S29" s="534"/>
      <c r="T29" s="535"/>
      <c r="U29" s="535"/>
      <c r="V29" s="535"/>
      <c r="W29" s="535"/>
      <c r="X29" s="535"/>
      <c r="Y29" s="535"/>
      <c r="Z29" s="537"/>
      <c r="AA29" s="533"/>
      <c r="AB29" s="537"/>
      <c r="AC29" s="537"/>
      <c r="AD29" s="537"/>
      <c r="AE29" s="537"/>
      <c r="AF29" s="533"/>
      <c r="AG29" s="537"/>
      <c r="AH29" s="537"/>
      <c r="AI29" s="537"/>
      <c r="AJ29" s="537"/>
      <c r="AK29" s="533"/>
      <c r="AL29" s="537"/>
      <c r="AM29" s="537"/>
      <c r="AN29" s="537"/>
      <c r="AO29" s="537"/>
      <c r="AP29" s="534"/>
      <c r="AQ29" s="534"/>
      <c r="AR29" s="534"/>
      <c r="AS29" s="534"/>
    </row>
    <row r="30" spans="1:45" ht="10.9" customHeight="1" x14ac:dyDescent="0.2">
      <c r="A30" s="525">
        <v>0</v>
      </c>
      <c r="B30" s="525">
        <v>2</v>
      </c>
      <c r="C30" s="525" t="s">
        <v>40</v>
      </c>
      <c r="D30" s="533">
        <f>Baseline!AN29</f>
        <v>0.78305520090183223</v>
      </c>
      <c r="E30" s="533">
        <f>Baseline!AO29</f>
        <v>1.774513840542973</v>
      </c>
      <c r="F30" s="533">
        <f>Baseline!AP29</f>
        <v>3.1271599376688002</v>
      </c>
      <c r="G30" s="533">
        <f>Baseline!AQ29</f>
        <v>5.5108779950504481</v>
      </c>
      <c r="H30" s="533">
        <f>Baseline!AR29</f>
        <v>12.488428995169523</v>
      </c>
      <c r="I30" s="534">
        <f t="shared" ref="I30:M35" si="26">IF(D30&gt;2.5,D30,0.1)</f>
        <v>0.1</v>
      </c>
      <c r="J30" s="534">
        <f t="shared" si="26"/>
        <v>0.1</v>
      </c>
      <c r="K30" s="534">
        <f t="shared" si="26"/>
        <v>3.1271599376688002</v>
      </c>
      <c r="L30" s="534">
        <f t="shared" si="26"/>
        <v>5.5108779950504481</v>
      </c>
      <c r="M30" s="534">
        <f t="shared" si="26"/>
        <v>12.488428995169523</v>
      </c>
      <c r="N30" s="541">
        <f t="shared" ref="N30:N35" si="27">N13</f>
        <v>0.94277975044398532</v>
      </c>
      <c r="O30" s="534">
        <f>IF(('user page'!$N$39=0),$N30^(I30^0.25),IF(('user page'!$N$39=1),$N30^(I30^0.5),IF(('user page'!$N$39=2),$N30^(I30^0.375),IF(('user page'!$N$39=4),$N30^(I30),IF(('user page'!$N$39=3),$N30^(LN(1+I30)),"")))))</f>
        <v>0.98153956255603969</v>
      </c>
      <c r="P30" s="534">
        <f>IF(('user page'!$N$39=0),$N30^(J30^0.25),IF(('user page'!$N$39=1),$N30^(J30^0.5),IF(('user page'!$N$39=2),$N30^(J30^0.375),IF(('user page'!$N$39=4),$N30^(J30),IF(('user page'!$N$39=3),$N30^(LN(1+J30)),"")))))</f>
        <v>0.98153956255603969</v>
      </c>
      <c r="Q30" s="534">
        <f>IF(('user page'!$N$39=0),$N30^(K30^0.25),IF(('user page'!$N$39=1),$N30^(K30^0.5),IF(('user page'!$N$39=2),$N30^(K30^0.375),IF(('user page'!$N$39=4),$N30^(K30),IF(('user page'!$N$39=3),$N30^(LN(1+K30)),"")))))</f>
        <v>0.90104742059558329</v>
      </c>
      <c r="R30" s="534">
        <f>IF(('user page'!$N$39=0),$N30^(L30^0.25),IF(('user page'!$N$39=1),$N30^(L30^0.5),IF(('user page'!$N$39=2),$N30^(L30^0.375),IF(('user page'!$N$39=4),$N30^(L30),IF(('user page'!$N$39=3),$N30^(LN(1+L30)),"")))))</f>
        <v>0.8708179826314788</v>
      </c>
      <c r="S30" s="534">
        <f>IF(('user page'!$N$39=0),$N30^(M30^0.25),IF(('user page'!$N$39=1),$N30^(M30^0.5),IF(('user page'!$N$39=2),$N30^(M30^0.375),IF(('user page'!$N$39=4),$N30^(M30),IF(('user page'!$N$39=3),$N30^(LN(1+M30)),"")))))</f>
        <v>0.81202320711505338</v>
      </c>
      <c r="T30" s="535">
        <f t="shared" ref="T30:X35" si="28">O30/$O30</f>
        <v>1</v>
      </c>
      <c r="U30" s="535">
        <f t="shared" si="28"/>
        <v>1</v>
      </c>
      <c r="V30" s="535">
        <f t="shared" si="28"/>
        <v>0.91799399124489101</v>
      </c>
      <c r="W30" s="535">
        <f t="shared" si="28"/>
        <v>0.88719600905721063</v>
      </c>
      <c r="X30" s="535">
        <f t="shared" si="28"/>
        <v>0.82729544288612611</v>
      </c>
      <c r="Y30" s="535"/>
      <c r="Z30" s="537"/>
      <c r="AA30" s="533">
        <f>GBDUS!O115/($T30+$W30+$X30+U30+V30)</f>
        <v>4.410123570220531E-4</v>
      </c>
      <c r="AB30" s="537">
        <f t="shared" ref="AB30:AE35" si="29">$AA30*U30</f>
        <v>4.410123570220531E-4</v>
      </c>
      <c r="AC30" s="537">
        <f t="shared" si="29"/>
        <v>4.0484669381099134E-4</v>
      </c>
      <c r="AD30" s="537">
        <f t="shared" si="29"/>
        <v>3.9126440309487925E-4</v>
      </c>
      <c r="AE30" s="537">
        <f t="shared" si="29"/>
        <v>3.6484751322081379E-4</v>
      </c>
      <c r="AF30" s="533">
        <f>GBDUS!P115/($T30+$W30+$X30+U30+V30)</f>
        <v>1.3180217804697792E-2</v>
      </c>
      <c r="AG30" s="537">
        <f t="shared" ref="AG30:AI35" si="30">$AF30*U30</f>
        <v>1.3180217804697792E-2</v>
      </c>
      <c r="AH30" s="537">
        <f t="shared" si="30"/>
        <v>1.2099360748011502E-2</v>
      </c>
      <c r="AI30" s="537">
        <f t="shared" si="30"/>
        <v>1.1693436634832671E-2</v>
      </c>
      <c r="AJ30" s="537">
        <f t="shared" ref="AJ30:AJ35" si="31">AF30*X30</f>
        <v>1.0903934126073064E-2</v>
      </c>
      <c r="AK30" s="533">
        <f>GBDUS!Q115/($T30+$W30+$X30+U30+V30)</f>
        <v>4.9841801170852233E-2</v>
      </c>
      <c r="AL30" s="537">
        <f t="shared" ref="AL30:AO35" si="32">U30*$AK30</f>
        <v>4.9841801170852233E-2</v>
      </c>
      <c r="AM30" s="537">
        <f t="shared" si="32"/>
        <v>4.5754473987664926E-2</v>
      </c>
      <c r="AN30" s="537">
        <f t="shared" si="32"/>
        <v>4.4219447083003106E-2</v>
      </c>
      <c r="AO30" s="537">
        <f t="shared" si="32"/>
        <v>4.123389497388244E-2</v>
      </c>
      <c r="AP30" s="534"/>
      <c r="AQ30" s="534"/>
      <c r="AR30" s="534"/>
      <c r="AS30" s="534"/>
    </row>
    <row r="31" spans="1:45" ht="10.9" customHeight="1" x14ac:dyDescent="0.2">
      <c r="A31" s="525">
        <v>0</v>
      </c>
      <c r="B31" s="525">
        <v>2</v>
      </c>
      <c r="C31" s="525" t="s">
        <v>39</v>
      </c>
      <c r="D31" s="533">
        <f>Baseline!AN30</f>
        <v>0.47165676213737562</v>
      </c>
      <c r="E31" s="533">
        <f>Baseline!AO30</f>
        <v>1.0688409341187475</v>
      </c>
      <c r="F31" s="533">
        <f>Baseline!AP30</f>
        <v>1.8835787428369182</v>
      </c>
      <c r="G31" s="534">
        <f>Baseline!AQ30</f>
        <v>3.3193609705753828</v>
      </c>
      <c r="H31" s="533">
        <f>Baseline!AR30</f>
        <v>7.5221414496199817</v>
      </c>
      <c r="I31" s="534">
        <f t="shared" si="26"/>
        <v>0.1</v>
      </c>
      <c r="J31" s="534">
        <f t="shared" si="26"/>
        <v>0.1</v>
      </c>
      <c r="K31" s="534">
        <f t="shared" si="26"/>
        <v>0.1</v>
      </c>
      <c r="L31" s="534">
        <f t="shared" si="26"/>
        <v>3.3193609705753828</v>
      </c>
      <c r="M31" s="534">
        <f t="shared" si="26"/>
        <v>7.5221414496199817</v>
      </c>
      <c r="N31" s="541">
        <f t="shared" si="27"/>
        <v>0.94277975044398532</v>
      </c>
      <c r="O31" s="534">
        <f>IF(('user page'!$N$39=0),$N31^(I31^0.25),IF(('user page'!$N$39=1),$N31^(I31^0.5),IF(('user page'!$N$39=2),$N31^(I31^0.375),IF(('user page'!$N$39=4),$N31^(I31),IF(('user page'!$N$39=3),$N31^(LN(1+I31)),"")))))</f>
        <v>0.98153956255603969</v>
      </c>
      <c r="P31" s="534">
        <f>IF(('user page'!$N$39=0),$N31^(J31^0.25),IF(('user page'!$N$39=1),$N31^(J31^0.5),IF(('user page'!$N$39=2),$N31^(J31^0.375),IF(('user page'!$N$39=4),$N31^(J31),IF(('user page'!$N$39=3),$N31^(LN(1+J31)),"")))))</f>
        <v>0.98153956255603969</v>
      </c>
      <c r="Q31" s="534">
        <f>IF(('user page'!$N$39=0),$N31^(K31^0.25),IF(('user page'!$N$39=1),$N31^(K31^0.5),IF(('user page'!$N$39=2),$N31^(K31^0.375),IF(('user page'!$N$39=4),$N31^(K31),IF(('user page'!$N$39=3),$N31^(LN(1+K31)),"")))))</f>
        <v>0.98153956255603969</v>
      </c>
      <c r="R31" s="534">
        <f>IF(('user page'!$N$39=0),$N31^(L31^0.25),IF(('user page'!$N$39=1),$N31^(L31^0.5),IF(('user page'!$N$39=2),$N31^(L31^0.375),IF(('user page'!$N$39=4),$N31^(L31),IF(('user page'!$N$39=3),$N31^(LN(1+L31)),"")))))</f>
        <v>0.89820969127702399</v>
      </c>
      <c r="S31" s="534">
        <f>IF(('user page'!$N$39=0),$N31^(M31^0.25),IF(('user page'!$N$39=1),$N31^(M31^0.5),IF(('user page'!$N$39=2),$N31^(M31^0.375),IF(('user page'!$N$39=4),$N31^(M31),IF(('user page'!$N$39=3),$N31^(LN(1+M31)),"")))))</f>
        <v>0.85077790584009449</v>
      </c>
      <c r="T31" s="535">
        <f t="shared" si="28"/>
        <v>1</v>
      </c>
      <c r="U31" s="535">
        <f t="shared" si="28"/>
        <v>1</v>
      </c>
      <c r="V31" s="535">
        <f t="shared" si="28"/>
        <v>1</v>
      </c>
      <c r="W31" s="535">
        <f t="shared" si="28"/>
        <v>0.91510289095019737</v>
      </c>
      <c r="X31" s="535">
        <f t="shared" si="28"/>
        <v>0.8667790258240563</v>
      </c>
      <c r="Y31" s="535"/>
      <c r="Z31" s="537"/>
      <c r="AA31" s="533">
        <f>GBDUS!O116/($T31+$W31+$X31+U31+V31)</f>
        <v>1.4301663904865937E-2</v>
      </c>
      <c r="AB31" s="537">
        <f t="shared" si="29"/>
        <v>1.4301663904865937E-2</v>
      </c>
      <c r="AC31" s="537">
        <f t="shared" si="29"/>
        <v>1.4301663904865937E-2</v>
      </c>
      <c r="AD31" s="537">
        <f t="shared" si="29"/>
        <v>1.3087493984740907E-2</v>
      </c>
      <c r="AE31" s="537">
        <f t="shared" si="29"/>
        <v>1.2396382307122766E-2</v>
      </c>
      <c r="AF31" s="533">
        <f>GBDUS!P116/($T31+$W31+$X31+U31+V31)</f>
        <v>0.34479208181639304</v>
      </c>
      <c r="AG31" s="537">
        <f t="shared" si="30"/>
        <v>0.34479208181639304</v>
      </c>
      <c r="AH31" s="537">
        <f t="shared" si="30"/>
        <v>0.34479208181639304</v>
      </c>
      <c r="AI31" s="537">
        <f t="shared" si="30"/>
        <v>0.31552023084691827</v>
      </c>
      <c r="AJ31" s="537">
        <f t="shared" si="31"/>
        <v>0.29885854478866147</v>
      </c>
      <c r="AK31" s="533">
        <f>GBDUS!Q116/($T31+$W31+$X31+U31+V31)</f>
        <v>1.0591865791572641</v>
      </c>
      <c r="AL31" s="537">
        <f t="shared" si="32"/>
        <v>1.0591865791572641</v>
      </c>
      <c r="AM31" s="537">
        <f t="shared" si="32"/>
        <v>1.0591865791572641</v>
      </c>
      <c r="AN31" s="537">
        <f t="shared" si="32"/>
        <v>0.9692647006424624</v>
      </c>
      <c r="AO31" s="537">
        <f t="shared" si="32"/>
        <v>0.91808071124784807</v>
      </c>
      <c r="AP31" s="534"/>
      <c r="AQ31" s="534"/>
      <c r="AR31" s="534"/>
      <c r="AS31" s="534"/>
    </row>
    <row r="32" spans="1:45" ht="10.9" customHeight="1" x14ac:dyDescent="0.2">
      <c r="A32" s="525">
        <v>0</v>
      </c>
      <c r="B32" s="525">
        <v>2</v>
      </c>
      <c r="C32" s="525" t="s">
        <v>38</v>
      </c>
      <c r="D32" s="533">
        <f>Baseline!AN31</f>
        <v>0.39813871625667402</v>
      </c>
      <c r="E32" s="533">
        <f>Baseline!AO31</f>
        <v>0.90223864376331542</v>
      </c>
      <c r="F32" s="533">
        <f>Baseline!AP31</f>
        <v>1.5899817045833551</v>
      </c>
      <c r="G32" s="533">
        <f>Baseline!AQ31</f>
        <v>2.8019657973915968</v>
      </c>
      <c r="H32" s="533">
        <f>Baseline!AR31</f>
        <v>6.3496508068308559</v>
      </c>
      <c r="I32" s="534">
        <f t="shared" si="26"/>
        <v>0.1</v>
      </c>
      <c r="J32" s="534">
        <f t="shared" si="26"/>
        <v>0.1</v>
      </c>
      <c r="K32" s="534">
        <f t="shared" si="26"/>
        <v>0.1</v>
      </c>
      <c r="L32" s="534">
        <f t="shared" si="26"/>
        <v>2.8019657973915968</v>
      </c>
      <c r="M32" s="534">
        <f t="shared" si="26"/>
        <v>6.3496508068308559</v>
      </c>
      <c r="N32" s="541">
        <f t="shared" si="27"/>
        <v>0.94277975044398532</v>
      </c>
      <c r="O32" s="534">
        <f>IF(('user page'!$N$39=0),$N32^(I32^0.25),IF(('user page'!$N$39=1),$N32^(I32^0.5),IF(('user page'!$N$39=2),$N32^(I32^0.375),IF(('user page'!$N$39=4),$N32^(I32),IF(('user page'!$N$39=3),$N32^(LN(1+I32)),"")))))</f>
        <v>0.98153956255603969</v>
      </c>
      <c r="P32" s="534">
        <f>IF(('user page'!$N$39=0),$N32^(J32^0.25),IF(('user page'!$N$39=1),$N32^(J32^0.5),IF(('user page'!$N$39=2),$N32^(J32^0.375),IF(('user page'!$N$39=4),$N32^(J32),IF(('user page'!$N$39=3),$N32^(LN(1+J32)),"")))))</f>
        <v>0.98153956255603969</v>
      </c>
      <c r="Q32" s="534">
        <f>IF(('user page'!$N$39=0),$N32^(K32^0.25),IF(('user page'!$N$39=1),$N32^(K32^0.5),IF(('user page'!$N$39=2),$N32^(K32^0.375),IF(('user page'!$N$39=4),$N32^(K32),IF(('user page'!$N$39=3),$N32^(LN(1+K32)),"")))))</f>
        <v>0.98153956255603969</v>
      </c>
      <c r="R32" s="534">
        <f>IF(('user page'!$N$39=0),$N32^(L32^0.25),IF(('user page'!$N$39=1),$N32^(L32^0.5),IF(('user page'!$N$39=2),$N32^(L32^0.375),IF(('user page'!$N$39=4),$N32^(L32),IF(('user page'!$N$39=3),$N32^(LN(1+L32)),"")))))</f>
        <v>0.90607703416829122</v>
      </c>
      <c r="S32" s="534">
        <f>IF(('user page'!$N$39=0),$N32^(M32^0.25),IF(('user page'!$N$39=1),$N32^(M32^0.5),IF(('user page'!$N$39=2),$N32^(M32^0.375),IF(('user page'!$N$39=4),$N32^(M32),IF(('user page'!$N$39=3),$N32^(LN(1+M32)),"")))))</f>
        <v>0.8620205589668577</v>
      </c>
      <c r="T32" s="535">
        <f t="shared" si="28"/>
        <v>1</v>
      </c>
      <c r="U32" s="535">
        <f t="shared" si="28"/>
        <v>1</v>
      </c>
      <c r="V32" s="535">
        <f t="shared" si="28"/>
        <v>1</v>
      </c>
      <c r="W32" s="535">
        <f t="shared" si="28"/>
        <v>0.92311819995188427</v>
      </c>
      <c r="X32" s="535">
        <f t="shared" si="28"/>
        <v>0.8782331266628306</v>
      </c>
      <c r="Y32" s="535"/>
      <c r="Z32" s="537"/>
      <c r="AA32" s="533">
        <f>GBDUS!O117/($T32+$W32+$X32+U32+V32)</f>
        <v>1.5016841803970315E-2</v>
      </c>
      <c r="AB32" s="537">
        <f t="shared" si="29"/>
        <v>1.5016841803970315E-2</v>
      </c>
      <c r="AC32" s="537">
        <f t="shared" si="29"/>
        <v>1.5016841803970315E-2</v>
      </c>
      <c r="AD32" s="537">
        <f t="shared" si="29"/>
        <v>1.3862319975043284E-2</v>
      </c>
      <c r="AE32" s="537">
        <f t="shared" si="29"/>
        <v>1.3188287930101952E-2</v>
      </c>
      <c r="AF32" s="533">
        <f>GBDUS!P117/($T32+$W32+$X32+U32+V32)</f>
        <v>0.26670179936220173</v>
      </c>
      <c r="AG32" s="537">
        <f t="shared" si="30"/>
        <v>0.26670179936220173</v>
      </c>
      <c r="AH32" s="537">
        <f t="shared" si="30"/>
        <v>0.26670179936220173</v>
      </c>
      <c r="AI32" s="537">
        <f t="shared" si="30"/>
        <v>0.24619728495116425</v>
      </c>
      <c r="AJ32" s="537">
        <f t="shared" si="31"/>
        <v>0.23422635514046936</v>
      </c>
      <c r="AK32" s="533">
        <f>GBDUS!Q117/($T32+$W32+$X32+U32+V32)</f>
        <v>0.57110519652983893</v>
      </c>
      <c r="AL32" s="537">
        <f t="shared" si="32"/>
        <v>0.57110519652983893</v>
      </c>
      <c r="AM32" s="537">
        <f t="shared" si="32"/>
        <v>0.57110519652983893</v>
      </c>
      <c r="AN32" s="537">
        <f t="shared" si="32"/>
        <v>0.52719760100379198</v>
      </c>
      <c r="AO32" s="537">
        <f t="shared" si="32"/>
        <v>0.50156350240179082</v>
      </c>
      <c r="AP32" s="534"/>
      <c r="AQ32" s="534"/>
      <c r="AR32" s="534"/>
      <c r="AS32" s="534"/>
    </row>
    <row r="33" spans="1:45" ht="10.9" customHeight="1" x14ac:dyDescent="0.2">
      <c r="A33" s="525">
        <v>0</v>
      </c>
      <c r="B33" s="525">
        <v>2</v>
      </c>
      <c r="C33" s="525" t="s">
        <v>37</v>
      </c>
      <c r="D33" s="533">
        <f>Baseline!AN32</f>
        <v>0.26186863902756607</v>
      </c>
      <c r="E33" s="533">
        <f>Baseline!AO32</f>
        <v>0.59343137472733987</v>
      </c>
      <c r="F33" s="533">
        <f>Baseline!AP32</f>
        <v>1.0457821057260546</v>
      </c>
      <c r="G33" s="533">
        <f>Baseline!AQ32</f>
        <v>1.8429430246409162</v>
      </c>
      <c r="H33" s="533">
        <f>Baseline!AR32</f>
        <v>4.1763695596313646</v>
      </c>
      <c r="I33" s="534">
        <f t="shared" si="26"/>
        <v>0.1</v>
      </c>
      <c r="J33" s="534">
        <f t="shared" si="26"/>
        <v>0.1</v>
      </c>
      <c r="K33" s="534">
        <f t="shared" si="26"/>
        <v>0.1</v>
      </c>
      <c r="L33" s="534">
        <f t="shared" si="26"/>
        <v>0.1</v>
      </c>
      <c r="M33" s="534">
        <f t="shared" si="26"/>
        <v>4.1763695596313646</v>
      </c>
      <c r="N33" s="541">
        <f t="shared" si="27"/>
        <v>0.94277975044398532</v>
      </c>
      <c r="O33" s="534">
        <f>IF(('user page'!$N$39=0),$N33^(I33^0.25),IF(('user page'!$N$39=1),$N33^(I33^0.5),IF(('user page'!$N$39=2),$N33^(I33^0.375),IF(('user page'!$N$39=4),$N33^(I33),IF(('user page'!$N$39=3),$N33^(LN(1+I33)),"")))))</f>
        <v>0.98153956255603969</v>
      </c>
      <c r="P33" s="534">
        <f>IF(('user page'!$N$39=0),$N33^(J33^0.25),IF(('user page'!$N$39=1),$N33^(J33^0.5),IF(('user page'!$N$39=2),$N33^(J33^0.375),IF(('user page'!$N$39=4),$N33^(J33),IF(('user page'!$N$39=3),$N33^(LN(1+J33)),"")))))</f>
        <v>0.98153956255603969</v>
      </c>
      <c r="Q33" s="534">
        <f>IF(('user page'!$N$39=0),$N33^(K33^0.25),IF(('user page'!$N$39=1),$N33^(K33^0.5),IF(('user page'!$N$39=2),$N33^(K33^0.375),IF(('user page'!$N$39=4),$N33^(K33),IF(('user page'!$N$39=3),$N33^(LN(1+K33)),"")))))</f>
        <v>0.98153956255603969</v>
      </c>
      <c r="R33" s="534">
        <f>IF(('user page'!$N$39=0),$N33^(L33^0.25),IF(('user page'!$N$39=1),$N33^(L33^0.5),IF(('user page'!$N$39=2),$N33^(L33^0.375),IF(('user page'!$N$39=4),$N33^(L33),IF(('user page'!$N$39=3),$N33^(LN(1+L33)),"")))))</f>
        <v>0.98153956255603969</v>
      </c>
      <c r="S33" s="534">
        <f>IF(('user page'!$N$39=0),$N33^(M33^0.25),IF(('user page'!$N$39=1),$N33^(M33^0.5),IF(('user page'!$N$39=2),$N33^(M33^0.375),IF(('user page'!$N$39=4),$N33^(M33),IF(('user page'!$N$39=3),$N33^(LN(1+M33)),"")))))</f>
        <v>0.88655227600386299</v>
      </c>
      <c r="T33" s="535">
        <f t="shared" si="28"/>
        <v>1</v>
      </c>
      <c r="U33" s="535">
        <f t="shared" si="28"/>
        <v>1</v>
      </c>
      <c r="V33" s="535">
        <f t="shared" si="28"/>
        <v>1</v>
      </c>
      <c r="W33" s="535">
        <f t="shared" si="28"/>
        <v>1</v>
      </c>
      <c r="X33" s="535">
        <f t="shared" si="28"/>
        <v>0.90322622727012747</v>
      </c>
      <c r="Y33" s="535"/>
      <c r="Z33" s="537"/>
      <c r="AA33" s="533">
        <f>GBDUS!O118/($T33+$W33+$X33+U33+V33)</f>
        <v>3.3757645644431386E-2</v>
      </c>
      <c r="AB33" s="537">
        <f t="shared" si="29"/>
        <v>3.3757645644431386E-2</v>
      </c>
      <c r="AC33" s="537">
        <f t="shared" si="29"/>
        <v>3.3757645644431386E-2</v>
      </c>
      <c r="AD33" s="537">
        <f t="shared" si="29"/>
        <v>3.3757645644431386E-2</v>
      </c>
      <c r="AE33" s="537">
        <f t="shared" si="29"/>
        <v>3.0490790916941613E-2</v>
      </c>
      <c r="AF33" s="533">
        <f>GBDUS!P118/($T33+$W33+$X33+U33+V33)</f>
        <v>0.41875123682869708</v>
      </c>
      <c r="AG33" s="537">
        <f t="shared" si="30"/>
        <v>0.41875123682869708</v>
      </c>
      <c r="AH33" s="537">
        <f t="shared" si="30"/>
        <v>0.41875123682869708</v>
      </c>
      <c r="AI33" s="537">
        <f t="shared" si="30"/>
        <v>0.41875123682869708</v>
      </c>
      <c r="AJ33" s="537">
        <f t="shared" si="31"/>
        <v>0.37822709980548375</v>
      </c>
      <c r="AK33" s="533">
        <f>GBDUS!Q118/($T33+$W33+$X33+U33+V33)</f>
        <v>0.62856267940625565</v>
      </c>
      <c r="AL33" s="537">
        <f t="shared" si="32"/>
        <v>0.62856267940625565</v>
      </c>
      <c r="AM33" s="537">
        <f t="shared" si="32"/>
        <v>0.62856267940625565</v>
      </c>
      <c r="AN33" s="537">
        <f t="shared" si="32"/>
        <v>0.62856267940625565</v>
      </c>
      <c r="AO33" s="537">
        <f t="shared" si="32"/>
        <v>0.56773429752291493</v>
      </c>
      <c r="AP33" s="534"/>
      <c r="AQ33" s="534"/>
      <c r="AR33" s="534"/>
      <c r="AS33" s="534"/>
    </row>
    <row r="34" spans="1:45" ht="10.9" customHeight="1" x14ac:dyDescent="0.2">
      <c r="A34" s="525">
        <v>0</v>
      </c>
      <c r="B34" s="525">
        <v>2</v>
      </c>
      <c r="C34" s="525" t="s">
        <v>36</v>
      </c>
      <c r="D34" s="533">
        <f>Baseline!AN33</f>
        <v>0.23782262690158459</v>
      </c>
      <c r="E34" s="533">
        <f>Baseline!AO33</f>
        <v>0.53893971018277653</v>
      </c>
      <c r="F34" s="533">
        <f>Baseline!AP33</f>
        <v>0.94975346598971733</v>
      </c>
      <c r="G34" s="533">
        <f>Baseline!AQ33</f>
        <v>1.6737153138215863</v>
      </c>
      <c r="H34" s="533">
        <f>Baseline!AR33</f>
        <v>3.7928756313534393</v>
      </c>
      <c r="I34" s="534">
        <f t="shared" si="26"/>
        <v>0.1</v>
      </c>
      <c r="J34" s="534">
        <f t="shared" si="26"/>
        <v>0.1</v>
      </c>
      <c r="K34" s="534">
        <f t="shared" si="26"/>
        <v>0.1</v>
      </c>
      <c r="L34" s="534">
        <f t="shared" si="26"/>
        <v>0.1</v>
      </c>
      <c r="M34" s="534">
        <f t="shared" si="26"/>
        <v>3.7928756313534393</v>
      </c>
      <c r="N34" s="541">
        <f t="shared" si="27"/>
        <v>0.94277975044398532</v>
      </c>
      <c r="O34" s="534">
        <f>IF(('user page'!$N$39=0),$N34^(I34^0.25),IF(('user page'!$N$39=1),$N34^(I34^0.5),IF(('user page'!$N$39=2),$N34^(I34^0.375),IF(('user page'!$N$39=4),$N34^(I34),IF(('user page'!$N$39=3),$N34^(LN(1+I34)),"")))))</f>
        <v>0.98153956255603969</v>
      </c>
      <c r="P34" s="534">
        <f>IF(('user page'!$N$39=0),$N34^(J34^0.25),IF(('user page'!$N$39=1),$N34^(J34^0.5),IF(('user page'!$N$39=2),$N34^(J34^0.375),IF(('user page'!$N$39=4),$N34^(J34),IF(('user page'!$N$39=3),$N34^(LN(1+J34)),"")))))</f>
        <v>0.98153956255603969</v>
      </c>
      <c r="Q34" s="534">
        <f>IF(('user page'!$N$39=0),$N34^(K34^0.25),IF(('user page'!$N$39=1),$N34^(K34^0.5),IF(('user page'!$N$39=2),$N34^(K34^0.375),IF(('user page'!$N$39=4),$N34^(K34),IF(('user page'!$N$39=3),$N34^(LN(1+K34)),"")))))</f>
        <v>0.98153956255603969</v>
      </c>
      <c r="R34" s="534">
        <f>IF(('user page'!$N$39=0),$N34^(L34^0.25),IF(('user page'!$N$39=1),$N34^(L34^0.5),IF(('user page'!$N$39=2),$N34^(L34^0.375),IF(('user page'!$N$39=4),$N34^(L34),IF(('user page'!$N$39=3),$N34^(LN(1+L34)),"")))))</f>
        <v>0.98153956255603969</v>
      </c>
      <c r="S34" s="534">
        <f>IF(('user page'!$N$39=0),$N34^(M34^0.25),IF(('user page'!$N$39=1),$N34^(M34^0.5),IF(('user page'!$N$39=2),$N34^(M34^0.375),IF(('user page'!$N$39=4),$N34^(M34),IF(('user page'!$N$39=3),$N34^(LN(1+M34)),"")))))</f>
        <v>0.89158585468473839</v>
      </c>
      <c r="T34" s="535">
        <f t="shared" si="28"/>
        <v>1</v>
      </c>
      <c r="U34" s="535">
        <f t="shared" si="28"/>
        <v>1</v>
      </c>
      <c r="V34" s="535">
        <f t="shared" si="28"/>
        <v>1</v>
      </c>
      <c r="W34" s="535">
        <f t="shared" si="28"/>
        <v>1</v>
      </c>
      <c r="X34" s="535">
        <f t="shared" si="28"/>
        <v>0.90835447565959371</v>
      </c>
      <c r="Y34" s="535"/>
      <c r="Z34" s="537"/>
      <c r="AA34" s="533">
        <f>GBDUS!O119/($T34+$W34+$X34+U34+V34)</f>
        <v>4.2131557512412987E-2</v>
      </c>
      <c r="AB34" s="537">
        <f t="shared" si="29"/>
        <v>4.2131557512412987E-2</v>
      </c>
      <c r="AC34" s="537">
        <f t="shared" si="29"/>
        <v>4.2131557512412987E-2</v>
      </c>
      <c r="AD34" s="537">
        <f t="shared" si="29"/>
        <v>4.2131557512412987E-2</v>
      </c>
      <c r="AE34" s="537">
        <f t="shared" si="29"/>
        <v>3.8270388832909917E-2</v>
      </c>
      <c r="AF34" s="533">
        <f>GBDUS!P119/($T34+$W34+$X34+U34+V34)</f>
        <v>0.32466795559365763</v>
      </c>
      <c r="AG34" s="537">
        <f t="shared" si="30"/>
        <v>0.32466795559365763</v>
      </c>
      <c r="AH34" s="537">
        <f t="shared" si="30"/>
        <v>0.32466795559365763</v>
      </c>
      <c r="AI34" s="537">
        <f t="shared" si="30"/>
        <v>0.32466795559365763</v>
      </c>
      <c r="AJ34" s="537">
        <f t="shared" si="31"/>
        <v>0.29491359056674915</v>
      </c>
      <c r="AK34" s="533">
        <f>GBDUS!Q119/($T34+$W34+$X34+U34+V34)</f>
        <v>0.43571202009093141</v>
      </c>
      <c r="AL34" s="537">
        <f t="shared" si="32"/>
        <v>0.43571202009093141</v>
      </c>
      <c r="AM34" s="537">
        <f t="shared" si="32"/>
        <v>0.43571202009093141</v>
      </c>
      <c r="AN34" s="537">
        <f t="shared" si="32"/>
        <v>0.43571202009093141</v>
      </c>
      <c r="AO34" s="537">
        <f t="shared" si="32"/>
        <v>0.39578096354828035</v>
      </c>
      <c r="AP34" s="534"/>
      <c r="AQ34" s="534"/>
      <c r="AR34" s="534"/>
      <c r="AS34" s="534"/>
    </row>
    <row r="35" spans="1:45" ht="10.9" customHeight="1" x14ac:dyDescent="0.2">
      <c r="A35" s="525">
        <v>0</v>
      </c>
      <c r="B35" s="525">
        <v>2</v>
      </c>
      <c r="C35" s="525" t="s">
        <v>35</v>
      </c>
      <c r="D35" s="533">
        <f>Baseline!AN34</f>
        <v>0.12364682020186614</v>
      </c>
      <c r="E35" s="533">
        <f>Baseline!AO34</f>
        <v>0.28020118317922604</v>
      </c>
      <c r="F35" s="533">
        <f>Baseline!AP34</f>
        <v>0.49378815453891239</v>
      </c>
      <c r="G35" s="533">
        <f>Baseline!AQ34</f>
        <v>0.87018455381391113</v>
      </c>
      <c r="H35" s="533">
        <f>Baseline!AR34</f>
        <v>1.9719612778142819</v>
      </c>
      <c r="I35" s="534">
        <f t="shared" si="26"/>
        <v>0.1</v>
      </c>
      <c r="J35" s="534">
        <f t="shared" si="26"/>
        <v>0.1</v>
      </c>
      <c r="K35" s="534">
        <f t="shared" si="26"/>
        <v>0.1</v>
      </c>
      <c r="L35" s="534">
        <f t="shared" si="26"/>
        <v>0.1</v>
      </c>
      <c r="M35" s="534">
        <f t="shared" si="26"/>
        <v>0.1</v>
      </c>
      <c r="N35" s="541">
        <f t="shared" si="27"/>
        <v>0.94277975044398532</v>
      </c>
      <c r="O35" s="534">
        <f>IF(('user page'!$N$39=0),$N35^(I35^0.25),IF(('user page'!$N$39=1),$N35^(I35^0.5),IF(('user page'!$N$39=2),$N35^(I35^0.375),IF(('user page'!$N$39=4),$N35^(I35),IF(('user page'!$N$39=3),$N35^(LN(1+I35)),"")))))</f>
        <v>0.98153956255603969</v>
      </c>
      <c r="P35" s="534">
        <f>IF(('user page'!$N$39=0),$N35^(J35^0.25),IF(('user page'!$N$39=1),$N35^(J35^0.5),IF(('user page'!$N$39=2),$N35^(J35^0.375),IF(('user page'!$N$39=4),$N35^(J35),IF(('user page'!$N$39=3),$N35^(LN(1+J35)),"")))))</f>
        <v>0.98153956255603969</v>
      </c>
      <c r="Q35" s="534">
        <f>IF(('user page'!$N$39=0),$N35^(K35^0.25),IF(('user page'!$N$39=1),$N35^(K35^0.5),IF(('user page'!$N$39=2),$N35^(K35^0.375),IF(('user page'!$N$39=4),$N35^(K35),IF(('user page'!$N$39=3),$N35^(LN(1+K35)),"")))))</f>
        <v>0.98153956255603969</v>
      </c>
      <c r="R35" s="534">
        <f>IF(('user page'!$N$39=0),$N35^(L35^0.25),IF(('user page'!$N$39=1),$N35^(L35^0.5),IF(('user page'!$N$39=2),$N35^(L35^0.375),IF(('user page'!$N$39=4),$N35^(L35),IF(('user page'!$N$39=3),$N35^(LN(1+L35)),"")))))</f>
        <v>0.98153956255603969</v>
      </c>
      <c r="S35" s="534">
        <f>IF(('user page'!$N$39=0),$N35^(M35^0.25),IF(('user page'!$N$39=1),$N35^(M35^0.5),IF(('user page'!$N$39=2),$N35^(M35^0.375),IF(('user page'!$N$39=4),$N35^(M35),IF(('user page'!$N$39=3),$N35^(LN(1+M35)),"")))))</f>
        <v>0.98153956255603969</v>
      </c>
      <c r="T35" s="535">
        <f t="shared" si="28"/>
        <v>1</v>
      </c>
      <c r="U35" s="535">
        <f t="shared" si="28"/>
        <v>1</v>
      </c>
      <c r="V35" s="535">
        <f t="shared" si="28"/>
        <v>1</v>
      </c>
      <c r="W35" s="535">
        <f t="shared" si="28"/>
        <v>1</v>
      </c>
      <c r="X35" s="535">
        <f t="shared" si="28"/>
        <v>1</v>
      </c>
      <c r="Y35" s="535"/>
      <c r="Z35" s="537"/>
      <c r="AA35" s="533">
        <f>GBDUS!O120/($T35+$W35+$X35+U35+V35)</f>
        <v>6.6368994457813843E-2</v>
      </c>
      <c r="AB35" s="537">
        <f t="shared" si="29"/>
        <v>6.6368994457813843E-2</v>
      </c>
      <c r="AC35" s="537">
        <f t="shared" si="29"/>
        <v>6.6368994457813843E-2</v>
      </c>
      <c r="AD35" s="537">
        <f t="shared" si="29"/>
        <v>6.6368994457813843E-2</v>
      </c>
      <c r="AE35" s="537">
        <f t="shared" si="29"/>
        <v>6.6368994457813843E-2</v>
      </c>
      <c r="AF35" s="533">
        <f>GBDUS!P120/($T35+$W35+$X35+U35+V35)</f>
        <v>0.22378739942926634</v>
      </c>
      <c r="AG35" s="537">
        <f t="shared" si="30"/>
        <v>0.22378739942926634</v>
      </c>
      <c r="AH35" s="537">
        <f t="shared" si="30"/>
        <v>0.22378739942926634</v>
      </c>
      <c r="AI35" s="537">
        <f t="shared" si="30"/>
        <v>0.22378739942926634</v>
      </c>
      <c r="AJ35" s="537">
        <f t="shared" si="31"/>
        <v>0.22378739942926634</v>
      </c>
      <c r="AK35" s="533">
        <f>GBDUS!Q120/($T35+$W35+$X35+U35+V35)</f>
        <v>0.2644835351982035</v>
      </c>
      <c r="AL35" s="537">
        <f t="shared" si="32"/>
        <v>0.2644835351982035</v>
      </c>
      <c r="AM35" s="537">
        <f t="shared" si="32"/>
        <v>0.2644835351982035</v>
      </c>
      <c r="AN35" s="537">
        <f t="shared" si="32"/>
        <v>0.2644835351982035</v>
      </c>
      <c r="AO35" s="537">
        <f t="shared" si="32"/>
        <v>0.2644835351982035</v>
      </c>
      <c r="AP35" s="534"/>
      <c r="AQ35" s="534"/>
      <c r="AR35" s="534"/>
      <c r="AS35" s="534"/>
    </row>
  </sheetData>
  <mergeCells count="8">
    <mergeCell ref="AF1:AJ1"/>
    <mergeCell ref="AK1:AO1"/>
    <mergeCell ref="AP1:AS1"/>
    <mergeCell ref="D1:H1"/>
    <mergeCell ref="I1:M1"/>
    <mergeCell ref="O1:S1"/>
    <mergeCell ref="T1:X1"/>
    <mergeCell ref="AA1:AE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5"/>
  <sheetViews>
    <sheetView zoomScaleNormal="100" workbookViewId="0">
      <selection activeCell="AQ5" sqref="AQ5"/>
    </sheetView>
  </sheetViews>
  <sheetFormatPr defaultColWidth="9.140625" defaultRowHeight="15" x14ac:dyDescent="0.25"/>
  <cols>
    <col min="1" max="1" width="6.42578125" style="365" customWidth="1"/>
    <col min="2" max="2" width="4" style="365" customWidth="1"/>
    <col min="3" max="3" width="6" style="365" customWidth="1"/>
    <col min="4" max="7" width="3.7109375" style="365" customWidth="1"/>
    <col min="8" max="8" width="3.5703125" style="365" customWidth="1"/>
    <col min="9" max="9" width="3.85546875" style="365" customWidth="1"/>
    <col min="10" max="12" width="4" style="365" customWidth="1"/>
    <col min="13" max="13" width="3.85546875" style="365" customWidth="1"/>
    <col min="14" max="14" width="6.5703125" style="365" customWidth="1"/>
    <col min="15" max="15" width="4.7109375" style="365" customWidth="1"/>
    <col min="16" max="18" width="4" style="365" customWidth="1"/>
    <col min="19" max="19" width="4.140625" style="365" customWidth="1"/>
    <col min="20" max="20" width="4.42578125" style="365" customWidth="1"/>
    <col min="21" max="22" width="3.7109375" style="365" customWidth="1"/>
    <col min="23" max="23" width="3.7109375" style="366" customWidth="1"/>
    <col min="24" max="24" width="4" style="366" customWidth="1"/>
    <col min="25" max="25" width="6.5703125" style="365" customWidth="1"/>
    <col min="26" max="27" width="7.7109375" style="367" customWidth="1"/>
    <col min="28" max="28" width="4.85546875" style="365" customWidth="1"/>
    <col min="29" max="31" width="5.5703125" style="365" customWidth="1"/>
    <col min="32" max="32" width="4.5703125" style="365" customWidth="1"/>
    <col min="33" max="33" width="5.140625" style="365" customWidth="1"/>
    <col min="34" max="36" width="6.5703125" style="365" customWidth="1"/>
    <col min="37" max="37" width="5.28515625" style="365" customWidth="1"/>
    <col min="38" max="42" width="5.140625" style="367" customWidth="1"/>
    <col min="43" max="43" width="7.7109375" style="366" customWidth="1"/>
    <col min="44" max="44" width="8.42578125" style="365" customWidth="1"/>
    <col min="45" max="45" width="6.7109375" style="365" customWidth="1"/>
    <col min="46" max="46" width="7.7109375" style="365" customWidth="1"/>
    <col min="47" max="47" width="5.140625" style="365" customWidth="1"/>
    <col min="48" max="48" width="5.42578125" style="365" customWidth="1"/>
    <col min="49" max="49" width="4.5703125" style="365" customWidth="1"/>
    <col min="50" max="50" width="6" style="365" customWidth="1"/>
    <col min="51" max="16384" width="9.140625" style="365"/>
  </cols>
  <sheetData>
    <row r="1" spans="1:50" s="351" customFormat="1" ht="46.5" customHeight="1" x14ac:dyDescent="0.2">
      <c r="A1" s="347"/>
      <c r="B1" s="347"/>
      <c r="C1" s="347"/>
      <c r="D1" s="1355" t="s">
        <v>57</v>
      </c>
      <c r="E1" s="1355"/>
      <c r="F1" s="1355"/>
      <c r="G1" s="1355"/>
      <c r="H1" s="1355"/>
      <c r="I1" s="1355" t="s">
        <v>56</v>
      </c>
      <c r="J1" s="1355"/>
      <c r="K1" s="1355"/>
      <c r="L1" s="1355"/>
      <c r="M1" s="1355"/>
      <c r="N1" s="348"/>
      <c r="O1" s="1355" t="s">
        <v>55</v>
      </c>
      <c r="P1" s="1355"/>
      <c r="Q1" s="1355"/>
      <c r="R1" s="1355"/>
      <c r="S1" s="1355"/>
      <c r="T1" s="1355" t="s">
        <v>53</v>
      </c>
      <c r="U1" s="1355"/>
      <c r="V1" s="1355"/>
      <c r="W1" s="1355"/>
      <c r="X1" s="1355"/>
      <c r="Y1" s="349" t="s">
        <v>76</v>
      </c>
      <c r="Z1" s="350" t="s">
        <v>75</v>
      </c>
      <c r="AA1" s="350" t="s">
        <v>147</v>
      </c>
      <c r="AB1" s="1355" t="s">
        <v>52</v>
      </c>
      <c r="AC1" s="1355"/>
      <c r="AD1" s="1355"/>
      <c r="AE1" s="1355"/>
      <c r="AF1" s="1355"/>
      <c r="AG1" s="1355" t="s">
        <v>51</v>
      </c>
      <c r="AH1" s="1355"/>
      <c r="AI1" s="1355"/>
      <c r="AJ1" s="1355"/>
      <c r="AK1" s="1355"/>
      <c r="AL1" s="1356" t="s">
        <v>50</v>
      </c>
      <c r="AM1" s="1356"/>
      <c r="AN1" s="1356"/>
      <c r="AO1" s="1356"/>
      <c r="AP1" s="1356"/>
      <c r="AQ1" s="1357" t="s">
        <v>49</v>
      </c>
      <c r="AR1" s="1357"/>
      <c r="AS1" s="1357"/>
      <c r="AT1" s="1357"/>
      <c r="AU1" s="1358"/>
      <c r="AV1" s="1358"/>
      <c r="AW1" s="1358"/>
      <c r="AX1" s="1358"/>
    </row>
    <row r="2" spans="1:50" s="355" customFormat="1" ht="37.5" customHeight="1" x14ac:dyDescent="0.2">
      <c r="A2" s="348" t="s">
        <v>48</v>
      </c>
      <c r="B2" s="348" t="s">
        <v>47</v>
      </c>
      <c r="C2" s="348" t="s">
        <v>46</v>
      </c>
      <c r="D2" s="348">
        <v>1</v>
      </c>
      <c r="E2" s="348">
        <v>2</v>
      </c>
      <c r="F2" s="348">
        <v>3</v>
      </c>
      <c r="G2" s="348">
        <v>4</v>
      </c>
      <c r="H2" s="348">
        <v>5</v>
      </c>
      <c r="I2" s="348">
        <v>1</v>
      </c>
      <c r="J2" s="348">
        <v>2</v>
      </c>
      <c r="K2" s="348">
        <v>3</v>
      </c>
      <c r="L2" s="348">
        <v>4</v>
      </c>
      <c r="M2" s="348">
        <v>5</v>
      </c>
      <c r="N2" s="349" t="s">
        <v>45</v>
      </c>
      <c r="O2" s="348">
        <v>1</v>
      </c>
      <c r="P2" s="348">
        <v>2</v>
      </c>
      <c r="Q2" s="348">
        <v>3</v>
      </c>
      <c r="R2" s="348">
        <v>4</v>
      </c>
      <c r="S2" s="348">
        <v>5</v>
      </c>
      <c r="T2" s="348">
        <v>1</v>
      </c>
      <c r="U2" s="348">
        <v>2</v>
      </c>
      <c r="V2" s="348">
        <v>3</v>
      </c>
      <c r="W2" s="348">
        <v>4</v>
      </c>
      <c r="X2" s="348">
        <v>5</v>
      </c>
      <c r="Y2" s="348"/>
      <c r="Z2" s="350"/>
      <c r="AA2" s="350"/>
      <c r="AB2" s="348">
        <v>1</v>
      </c>
      <c r="AC2" s="348">
        <v>2</v>
      </c>
      <c r="AD2" s="348">
        <v>3</v>
      </c>
      <c r="AE2" s="348">
        <v>4</v>
      </c>
      <c r="AF2" s="348">
        <v>5</v>
      </c>
      <c r="AG2" s="348">
        <v>1</v>
      </c>
      <c r="AH2" s="348">
        <v>2</v>
      </c>
      <c r="AI2" s="348">
        <v>3</v>
      </c>
      <c r="AJ2" s="348">
        <v>4</v>
      </c>
      <c r="AK2" s="348">
        <v>5</v>
      </c>
      <c r="AL2" s="352">
        <v>1</v>
      </c>
      <c r="AM2" s="352">
        <v>2</v>
      </c>
      <c r="AN2" s="352">
        <v>3</v>
      </c>
      <c r="AO2" s="352">
        <v>4</v>
      </c>
      <c r="AP2" s="352">
        <v>5</v>
      </c>
      <c r="AQ2" s="353" t="s">
        <v>44</v>
      </c>
      <c r="AR2" s="349" t="s">
        <v>43</v>
      </c>
      <c r="AS2" s="349" t="s">
        <v>42</v>
      </c>
      <c r="AT2" s="349" t="s">
        <v>29</v>
      </c>
      <c r="AU2" s="354"/>
      <c r="AV2" s="354"/>
      <c r="AW2" s="354"/>
      <c r="AX2" s="354"/>
    </row>
    <row r="3" spans="1:50" s="351" customFormat="1" ht="12.75" x14ac:dyDescent="0.2">
      <c r="A3" s="347">
        <v>1</v>
      </c>
      <c r="B3" s="347">
        <v>1</v>
      </c>
      <c r="C3" s="347" t="s">
        <v>2</v>
      </c>
      <c r="D3" s="356"/>
      <c r="E3" s="356"/>
      <c r="F3" s="356"/>
      <c r="G3" s="356"/>
      <c r="H3" s="356"/>
      <c r="I3" s="356"/>
      <c r="J3" s="356"/>
      <c r="K3" s="356"/>
      <c r="L3" s="356"/>
      <c r="M3" s="356"/>
      <c r="N3" s="357"/>
      <c r="O3" s="357"/>
      <c r="P3" s="357"/>
      <c r="Q3" s="357"/>
      <c r="R3" s="357"/>
      <c r="S3" s="357"/>
      <c r="T3" s="358"/>
      <c r="U3" s="358"/>
      <c r="V3" s="358"/>
      <c r="W3" s="359"/>
      <c r="X3" s="359"/>
      <c r="Y3" s="358"/>
      <c r="Z3" s="360"/>
      <c r="AA3" s="344">
        <f>'Inflammatory HD'!F3</f>
        <v>1</v>
      </c>
      <c r="AB3" s="357"/>
      <c r="AC3" s="358"/>
      <c r="AD3" s="358"/>
      <c r="AE3" s="358"/>
      <c r="AF3" s="358"/>
      <c r="AG3" s="357"/>
      <c r="AH3" s="358"/>
      <c r="AI3" s="358"/>
      <c r="AJ3" s="358"/>
      <c r="AK3" s="358"/>
      <c r="AL3" s="356"/>
      <c r="AM3" s="360"/>
      <c r="AN3" s="360"/>
      <c r="AO3" s="360"/>
      <c r="AP3" s="360"/>
      <c r="AQ3" s="356"/>
      <c r="AR3" s="356"/>
      <c r="AS3" s="356"/>
      <c r="AT3" s="356"/>
      <c r="AU3" s="361"/>
      <c r="AV3" s="361"/>
      <c r="AW3" s="361"/>
      <c r="AX3" s="361"/>
    </row>
    <row r="4" spans="1:50" s="351" customFormat="1" ht="12.75" x14ac:dyDescent="0.2">
      <c r="A4" s="347">
        <v>1</v>
      </c>
      <c r="B4" s="347">
        <v>1</v>
      </c>
      <c r="C4" s="347" t="s">
        <v>41</v>
      </c>
      <c r="D4" s="356"/>
      <c r="E4" s="356"/>
      <c r="F4" s="356"/>
      <c r="G4" s="356"/>
      <c r="H4" s="356"/>
      <c r="I4" s="356"/>
      <c r="J4" s="356"/>
      <c r="K4" s="356"/>
      <c r="L4" s="356"/>
      <c r="M4" s="356"/>
      <c r="N4" s="357"/>
      <c r="O4" s="357"/>
      <c r="P4" s="357"/>
      <c r="Q4" s="357"/>
      <c r="R4" s="357"/>
      <c r="S4" s="357"/>
      <c r="T4" s="358"/>
      <c r="U4" s="358"/>
      <c r="V4" s="358"/>
      <c r="W4" s="359"/>
      <c r="X4" s="359"/>
      <c r="Y4" s="358"/>
      <c r="Z4" s="360"/>
      <c r="AA4" s="344">
        <f>'Inflammatory HD'!F4</f>
        <v>1</v>
      </c>
      <c r="AB4" s="357"/>
      <c r="AC4" s="358"/>
      <c r="AD4" s="358"/>
      <c r="AE4" s="358"/>
      <c r="AF4" s="358"/>
      <c r="AG4" s="357"/>
      <c r="AH4" s="358"/>
      <c r="AI4" s="358"/>
      <c r="AJ4" s="358"/>
      <c r="AK4" s="358"/>
      <c r="AL4" s="356"/>
      <c r="AM4" s="360"/>
      <c r="AN4" s="360"/>
      <c r="AO4" s="360"/>
      <c r="AP4" s="360"/>
      <c r="AQ4" s="356"/>
      <c r="AR4" s="356"/>
      <c r="AS4" s="356"/>
      <c r="AT4" s="356"/>
      <c r="AU4" s="361"/>
      <c r="AV4" s="361"/>
      <c r="AW4" s="361"/>
      <c r="AX4" s="361"/>
    </row>
    <row r="5" spans="1:50" s="351" customFormat="1" ht="12.75" x14ac:dyDescent="0.2">
      <c r="A5" s="347">
        <v>1</v>
      </c>
      <c r="B5" s="347">
        <v>1</v>
      </c>
      <c r="C5" s="347" t="s">
        <v>40</v>
      </c>
      <c r="D5" s="17">
        <f>Scenario!AN21</f>
        <v>1.9649930808034388</v>
      </c>
      <c r="E5" s="17">
        <f>Scenario!AO21</f>
        <v>4.4529522496511911</v>
      </c>
      <c r="F5" s="17">
        <f>Scenario!AP21</f>
        <v>7.8472726226809844</v>
      </c>
      <c r="G5" s="17">
        <f>Scenario!AQ21</f>
        <v>13.828957545974617</v>
      </c>
      <c r="H5" s="17">
        <f>Scenario!AR21</f>
        <v>31.338373766435872</v>
      </c>
      <c r="I5" s="17">
        <f t="shared" ref="I5:I10" si="0">IF(D5&gt;2.5,D5,0.1)</f>
        <v>0.1</v>
      </c>
      <c r="J5" s="17">
        <f t="shared" ref="J5:M18" si="1">IF(E5&gt;2.5,E5,0.1)</f>
        <v>4.4529522496511911</v>
      </c>
      <c r="K5" s="17">
        <f t="shared" si="1"/>
        <v>7.8472726226809844</v>
      </c>
      <c r="L5" s="17">
        <f t="shared" si="1"/>
        <v>13.828957545974617</v>
      </c>
      <c r="M5" s="17">
        <f t="shared" si="1"/>
        <v>31.338373766435872</v>
      </c>
      <c r="N5" s="19">
        <f>'Phy activity RRs'!$G$4</f>
        <v>0.93831941951583364</v>
      </c>
      <c r="O5" s="15">
        <f>IF(('user page'!$N$39=0),$N5^(I5^0.25),IF(('user page'!$N$39=1),$N5^(I5^0.5),IF(('user page'!$N$39=2),$N5^(I5^0.375),IF(('user page'!$N$39=4),$N5^(I5),IF(('user page'!$N$39=3),$N5^(LN(1+I5)),"")))))</f>
        <v>0.98006871247951299</v>
      </c>
      <c r="P5" s="15">
        <f>IF(('user page'!$N$39=0),$N5^(J5^0.25),IF(('user page'!$N$39=1),$N5^(J5^0.5),IF(('user page'!$N$39=2),$N5^(J5^0.375),IF(('user page'!$N$39=4),$N5^(J5),IF(('user page'!$N$39=3),$N5^(LN(1+J5)),"")))))</f>
        <v>0.87428776955884879</v>
      </c>
      <c r="Q5" s="15">
        <f>IF(('user page'!$N$39=0),$N5^(K5^0.25),IF(('user page'!$N$39=1),$N5^(K5^0.5),IF(('user page'!$N$39=2),$N5^(K5^0.375),IF(('user page'!$N$39=4),$N5^(K5),IF(('user page'!$N$39=3),$N5^(LN(1+K5)),"")))))</f>
        <v>0.83665435026880242</v>
      </c>
      <c r="R5" s="15">
        <f>IF(('user page'!$N$39=0),$N5^(L5^0.25),IF(('user page'!$N$39=1),$N5^(L5^0.5),IF(('user page'!$N$39=2),$N5^(L5^0.375),IF(('user page'!$N$39=4),$N5^(L5),IF(('user page'!$N$39=3),$N5^(LN(1+L5)),"")))))</f>
        <v>0.78918662834694109</v>
      </c>
      <c r="S5" s="15">
        <f>IF(('user page'!$N$39=0),$N5^(M5^0.25),IF(('user page'!$N$39=1),$N5^(M5^0.5),IF(('user page'!$N$39=2),$N5^(M5^0.375),IF(('user page'!$N$39=4),$N5^(M5),IF(('user page'!$N$39=3),$N5^(LN(1+M5)),"")))))</f>
        <v>0.70019232074059201</v>
      </c>
      <c r="T5" s="18">
        <f t="shared" ref="T5:X10" si="2">O5/$O5</f>
        <v>1</v>
      </c>
      <c r="U5" s="18">
        <f t="shared" si="2"/>
        <v>0.89206782996567147</v>
      </c>
      <c r="V5" s="18">
        <f t="shared" si="2"/>
        <v>0.85366907403065528</v>
      </c>
      <c r="W5" s="186">
        <f t="shared" si="2"/>
        <v>0.80523601896273977</v>
      </c>
      <c r="X5" s="186">
        <f t="shared" si="2"/>
        <v>0.71443186770971279</v>
      </c>
      <c r="Y5" s="31">
        <f>1-Z5</f>
        <v>9.8692161513802112E-2</v>
      </c>
      <c r="Z5" s="344">
        <f t="shared" ref="Z5:Z10" si="3">SUM(O5:S5)/SUM(O22:S22)</f>
        <v>0.90130783848619789</v>
      </c>
      <c r="AA5" s="344">
        <v>1</v>
      </c>
      <c r="AB5" s="356">
        <f>Z5*AA5*GBDUS!O39/($T5+$U5+$X5+V5+W5)</f>
        <v>5.1646672403981527E-5</v>
      </c>
      <c r="AC5" s="360">
        <f t="shared" ref="AC5:AF10" si="4">$AB5*U5</f>
        <v>4.6072334976367732E-5</v>
      </c>
      <c r="AD5" s="360">
        <f t="shared" si="4"/>
        <v>4.4089167007871505E-5</v>
      </c>
      <c r="AE5" s="360">
        <f t="shared" si="4"/>
        <v>4.1587760879254879E-5</v>
      </c>
      <c r="AF5" s="360">
        <f t="shared" si="4"/>
        <v>3.6898028626568202E-5</v>
      </c>
      <c r="AG5" s="356">
        <f>Z5*AA5*GBDUS!$P39/($T5+$U5+$X5+V5+W5)</f>
        <v>1.4888916474517185E-3</v>
      </c>
      <c r="AH5" s="360">
        <f t="shared" ref="AH5:AK10" si="5">$AG5*U5</f>
        <v>1.3281923409962681E-3</v>
      </c>
      <c r="AI5" s="360">
        <f t="shared" si="5"/>
        <v>1.2710207540120855E-3</v>
      </c>
      <c r="AJ5" s="360">
        <f t="shared" si="5"/>
        <v>1.198909182860897E-3</v>
      </c>
      <c r="AK5" s="360">
        <f t="shared" si="5"/>
        <v>1.0637116405063224E-3</v>
      </c>
      <c r="AL5" s="356">
        <f>Z5*GBDUS!$Q39/($T5+$U5+$X5+V5+W5)</f>
        <v>4.4349082773846907E-4</v>
      </c>
      <c r="AM5" s="360">
        <f t="shared" ref="AM5:AP10" si="6">$AL5*U5</f>
        <v>3.9562390031033551E-4</v>
      </c>
      <c r="AN5" s="360">
        <f t="shared" si="6"/>
        <v>3.7859440425658773E-4</v>
      </c>
      <c r="AO5" s="360">
        <f t="shared" si="6"/>
        <v>3.5711478857461507E-4</v>
      </c>
      <c r="AP5" s="360">
        <f t="shared" si="6"/>
        <v>3.1684398037332097E-4</v>
      </c>
      <c r="AQ5" s="356">
        <f>AB5+AC5+AF5+AD5+AE5-AD22-AE22-AB22-AC22-AF22</f>
        <v>-2.4121933191730035E-5</v>
      </c>
      <c r="AR5" s="356">
        <f>AG5+AH5+AK5+AI5+AJ5-AI22-AJ22-AH22-AK22-AG22</f>
        <v>-6.9539707357383382E-4</v>
      </c>
      <c r="AS5" s="356">
        <f>AL5+AM5+AP5-AL22+AN5+AO5-AN22-AO22-AM22-AP22</f>
        <v>-2.0713543815898739E-4</v>
      </c>
      <c r="AT5" s="356">
        <f t="shared" ref="AT5:AT10" si="7">AR5+AS5</f>
        <v>-9.0253251173282121E-4</v>
      </c>
      <c r="AU5" s="361"/>
      <c r="AV5" s="361"/>
      <c r="AW5" s="361"/>
      <c r="AX5" s="361"/>
    </row>
    <row r="6" spans="1:50" s="351" customFormat="1" ht="12.75" x14ac:dyDescent="0.2">
      <c r="A6" s="347">
        <v>1</v>
      </c>
      <c r="B6" s="347">
        <v>1</v>
      </c>
      <c r="C6" s="347" t="s">
        <v>39</v>
      </c>
      <c r="D6" s="17">
        <f>Scenario!AN22</f>
        <v>1.1398546847573734</v>
      </c>
      <c r="E6" s="17">
        <f>Scenario!AO22</f>
        <v>2.5830719366657791</v>
      </c>
      <c r="F6" s="17">
        <f>Scenario!AP22</f>
        <v>4.5520518870600304</v>
      </c>
      <c r="G6" s="17">
        <f>Scenario!AQ22</f>
        <v>8.0219122388181017</v>
      </c>
      <c r="H6" s="17">
        <f>Scenario!AR22</f>
        <v>18.178787752140046</v>
      </c>
      <c r="I6" s="17">
        <f t="shared" si="0"/>
        <v>0.1</v>
      </c>
      <c r="J6" s="17">
        <f t="shared" si="1"/>
        <v>2.5830719366657791</v>
      </c>
      <c r="K6" s="17">
        <f t="shared" si="1"/>
        <v>4.5520518870600304</v>
      </c>
      <c r="L6" s="17">
        <f t="shared" si="1"/>
        <v>8.0219122388181017</v>
      </c>
      <c r="M6" s="17">
        <f t="shared" si="1"/>
        <v>18.178787752140046</v>
      </c>
      <c r="N6" s="19">
        <f>'Phy activity RRs'!$G$4</f>
        <v>0.93831941951583364</v>
      </c>
      <c r="O6" s="15">
        <f>IF(('user page'!$N$39=0),$N6^(I6^0.25),IF(('user page'!$N$39=1),$N6^(I6^0.5),IF(('user page'!$N$39=2),$N6^(I6^0.375),IF(('user page'!$N$39=4),$N6^(I6),IF(('user page'!$N$39=3),$N6^(LN(1+I6)),"")))))</f>
        <v>0.98006871247951299</v>
      </c>
      <c r="P6" s="15">
        <f>IF(('user page'!$N$39=0),$N6^(J6^0.25),IF(('user page'!$N$39=1),$N6^(J6^0.5),IF(('user page'!$N$39=2),$N6^(J6^0.375),IF(('user page'!$N$39=4),$N6^(J6),IF(('user page'!$N$39=3),$N6^(LN(1+J6)),"")))))</f>
        <v>0.90273903834961544</v>
      </c>
      <c r="Q6" s="15">
        <f>IF(('user page'!$N$39=0),$N6^(K6^0.25),IF(('user page'!$N$39=1),$N6^(K6^0.5),IF(('user page'!$N$39=2),$N6^(K6^0.375),IF(('user page'!$N$39=4),$N6^(K6),IF(('user page'!$N$39=3),$N6^(LN(1+K6)),"")))))</f>
        <v>0.87298893734063387</v>
      </c>
      <c r="R6" s="15">
        <f>IF(('user page'!$N$39=0),$N6^(L6^0.25),IF(('user page'!$N$39=1),$N6^(L6^0.5),IF(('user page'!$N$39=2),$N6^(L6^0.375),IF(('user page'!$N$39=4),$N6^(L6),IF(('user page'!$N$39=3),$N6^(LN(1+L6)),"")))))</f>
        <v>0.83500476649049371</v>
      </c>
      <c r="S6" s="15">
        <f>IF(('user page'!$N$39=0),$N6^(M6^0.25),IF(('user page'!$N$39=1),$N6^(M6^0.5),IF(('user page'!$N$39=2),$N6^(M6^0.375),IF(('user page'!$N$39=4),$N6^(M6),IF(('user page'!$N$39=3),$N6^(LN(1+M6)),"")))))</f>
        <v>0.76227703117299805</v>
      </c>
      <c r="T6" s="18">
        <f t="shared" si="2"/>
        <v>1</v>
      </c>
      <c r="U6" s="18">
        <f t="shared" si="2"/>
        <v>0.92109770147211589</v>
      </c>
      <c r="V6" s="18">
        <f t="shared" si="2"/>
        <v>0.8907425838868237</v>
      </c>
      <c r="W6" s="186">
        <f t="shared" si="2"/>
        <v>0.8519859432896123</v>
      </c>
      <c r="X6" s="186">
        <f t="shared" si="2"/>
        <v>0.77777917146695208</v>
      </c>
      <c r="Y6" s="31">
        <f t="shared" ref="Y6:Y18" si="8">1-Z6</f>
        <v>8.9441623428461403E-2</v>
      </c>
      <c r="Z6" s="344">
        <f t="shared" si="3"/>
        <v>0.9105583765715386</v>
      </c>
      <c r="AA6" s="344">
        <f>'Inflammatory HD'!F6</f>
        <v>1</v>
      </c>
      <c r="AB6" s="356">
        <f>Z6*AA6*GBDUS!O40/($T6+$U6+$X6+V6+W6)</f>
        <v>2.8914025035233556E-4</v>
      </c>
      <c r="AC6" s="360">
        <f t="shared" si="4"/>
        <v>2.6632642000260843E-4</v>
      </c>
      <c r="AD6" s="360">
        <f t="shared" si="4"/>
        <v>2.5754953370452245E-4</v>
      </c>
      <c r="AE6" s="360">
        <f t="shared" si="4"/>
        <v>2.4634342893942927E-4</v>
      </c>
      <c r="AF6" s="360">
        <f t="shared" si="4"/>
        <v>2.2488726435678665E-4</v>
      </c>
      <c r="AG6" s="356">
        <f>Z6*AA6*GBDUS!$P40/($T6+$U6+$X6+V6+W6)</f>
        <v>7.0799932525666574E-3</v>
      </c>
      <c r="AH6" s="360">
        <f t="shared" si="5"/>
        <v>6.5213655113772378E-3</v>
      </c>
      <c r="AI6" s="360">
        <f t="shared" si="5"/>
        <v>6.3064514836925012E-3</v>
      </c>
      <c r="AJ6" s="360">
        <f t="shared" si="5"/>
        <v>6.0320547297720937E-3</v>
      </c>
      <c r="AK6" s="360">
        <f t="shared" si="5"/>
        <v>5.5066712859729063E-3</v>
      </c>
      <c r="AL6" s="356">
        <f>Z6*GBDUS!$Q40/($T6+$U6+$X6+V6+W6)</f>
        <v>1.4295912924106435E-3</v>
      </c>
      <c r="AM6" s="360">
        <f t="shared" si="6"/>
        <v>1.3167932534839952E-3</v>
      </c>
      <c r="AN6" s="360">
        <f t="shared" si="6"/>
        <v>1.2733978417039603E-3</v>
      </c>
      <c r="AO6" s="360">
        <f t="shared" si="6"/>
        <v>1.2179916857830981E-3</v>
      </c>
      <c r="AP6" s="360">
        <f t="shared" si="6"/>
        <v>1.1119063309475196E-3</v>
      </c>
      <c r="AQ6" s="356">
        <f t="shared" ref="AQ6:AQ18" si="9">AB6+AC6+AF6+AD6+AE6-AD23-AE23-AB23-AC23-AF23</f>
        <v>-1.2614801020770445E-4</v>
      </c>
      <c r="AR6" s="356">
        <f t="shared" ref="AR6:AR18" si="10">AG6+AH6+AK6+AI6+AJ6-AI23-AJ23-AH23-AK23-AG23</f>
        <v>-3.0889060240036591E-3</v>
      </c>
      <c r="AS6" s="356">
        <f t="shared" ref="AS6:AS18" si="11">AL6+AM6+AP6-AL23+AN6+AO6-AN23-AO23-AM23-AP23</f>
        <v>-6.2371149201159953E-4</v>
      </c>
      <c r="AT6" s="356">
        <f t="shared" si="7"/>
        <v>-3.7126175160152588E-3</v>
      </c>
      <c r="AU6" s="361"/>
      <c r="AV6" s="361"/>
      <c r="AW6" s="361"/>
      <c r="AX6" s="361"/>
    </row>
    <row r="7" spans="1:50" s="351" customFormat="1" ht="12.75" x14ac:dyDescent="0.2">
      <c r="A7" s="347">
        <v>1</v>
      </c>
      <c r="B7" s="347">
        <v>1</v>
      </c>
      <c r="C7" s="347" t="s">
        <v>38</v>
      </c>
      <c r="D7" s="17">
        <f>Scenario!AN23</f>
        <v>1.1455500772835505</v>
      </c>
      <c r="E7" s="17">
        <f>Scenario!AO23</f>
        <v>2.5959785016862105</v>
      </c>
      <c r="F7" s="17">
        <f>Scenario!AP23</f>
        <v>4.5747966479870366</v>
      </c>
      <c r="G7" s="17">
        <f>Scenario!AQ23</f>
        <v>8.0619944875657499</v>
      </c>
      <c r="H7" s="17">
        <f>Scenario!AR23</f>
        <v>18.269619797034032</v>
      </c>
      <c r="I7" s="17">
        <f t="shared" si="0"/>
        <v>0.1</v>
      </c>
      <c r="J7" s="17">
        <f t="shared" si="1"/>
        <v>2.5959785016862105</v>
      </c>
      <c r="K7" s="17">
        <f t="shared" si="1"/>
        <v>4.5747966479870366</v>
      </c>
      <c r="L7" s="17">
        <f t="shared" si="1"/>
        <v>8.0619944875657499</v>
      </c>
      <c r="M7" s="17">
        <f t="shared" si="1"/>
        <v>18.269619797034032</v>
      </c>
      <c r="N7" s="19">
        <f>'Phy activity RRs'!$G$4</f>
        <v>0.93831941951583364</v>
      </c>
      <c r="O7" s="15">
        <f>IF(('user page'!$N$39=0),$N7^(I7^0.25),IF(('user page'!$N$39=1),$N7^(I7^0.5),IF(('user page'!$N$39=2),$N7^(I7^0.375),IF(('user page'!$N$39=4),$N7^(I7),IF(('user page'!$N$39=3),$N7^(LN(1+I7)),"")))))</f>
        <v>0.98006871247951299</v>
      </c>
      <c r="P7" s="15">
        <f>IF(('user page'!$N$39=0),$N7^(J7^0.25),IF(('user page'!$N$39=1),$N7^(J7^0.5),IF(('user page'!$N$39=2),$N7^(J7^0.375),IF(('user page'!$N$39=4),$N7^(J7),IF(('user page'!$N$39=3),$N7^(LN(1+J7)),"")))))</f>
        <v>0.90250858794004163</v>
      </c>
      <c r="Q7" s="15">
        <f>IF(('user page'!$N$39=0),$N7^(K7^0.25),IF(('user page'!$N$39=1),$N7^(K7^0.5),IF(('user page'!$N$39=2),$N7^(K7^0.375),IF(('user page'!$N$39=4),$N7^(K7),IF(('user page'!$N$39=3),$N7^(LN(1+K7)),"")))))</f>
        <v>0.87269310803348576</v>
      </c>
      <c r="R7" s="15">
        <f>IF(('user page'!$N$39=0),$N7^(L7^0.25),IF(('user page'!$N$39=1),$N7^(L7^0.5),IF(('user page'!$N$39=2),$N7^(L7^0.375),IF(('user page'!$N$39=4),$N7^(L7),IF(('user page'!$N$39=3),$N7^(LN(1+L7)),"")))))</f>
        <v>0.83462916037009038</v>
      </c>
      <c r="S7" s="15">
        <f>IF(('user page'!$N$39=0),$N7^(M7^0.25),IF(('user page'!$N$39=1),$N7^(M7^0.5),IF(('user page'!$N$39=2),$N7^(M7^0.375),IF(('user page'!$N$39=4),$N7^(M7),IF(('user page'!$N$39=3),$N7^(LN(1+M7)),"")))))</f>
        <v>0.76176091118829981</v>
      </c>
      <c r="T7" s="18">
        <f t="shared" si="2"/>
        <v>1</v>
      </c>
      <c r="U7" s="18">
        <f t="shared" si="2"/>
        <v>0.92086256447953629</v>
      </c>
      <c r="V7" s="18">
        <f t="shared" si="2"/>
        <v>0.89044073841070426</v>
      </c>
      <c r="W7" s="186">
        <f t="shared" si="2"/>
        <v>0.85160269860929483</v>
      </c>
      <c r="X7" s="186">
        <f t="shared" si="2"/>
        <v>0.77725255534491244</v>
      </c>
      <c r="Y7" s="31">
        <f t="shared" si="8"/>
        <v>8.9676778948713287E-2</v>
      </c>
      <c r="Z7" s="344">
        <f t="shared" si="3"/>
        <v>0.91032322105128671</v>
      </c>
      <c r="AA7" s="344">
        <f>'Inflammatory HD'!F7</f>
        <v>1</v>
      </c>
      <c r="AB7" s="356">
        <f>Z7*AA7*GBDUS!O41/($T7+$U7+$X7+V7+W7)</f>
        <v>3.0844490846144478E-3</v>
      </c>
      <c r="AC7" s="360">
        <f t="shared" si="4"/>
        <v>2.8403536940646186E-3</v>
      </c>
      <c r="AD7" s="360">
        <f t="shared" si="4"/>
        <v>2.7465191204943096E-3</v>
      </c>
      <c r="AE7" s="360">
        <f t="shared" si="4"/>
        <v>2.626725164180633E-3</v>
      </c>
      <c r="AF7" s="360">
        <f t="shared" si="4"/>
        <v>2.3973959328478555E-3</v>
      </c>
      <c r="AG7" s="356">
        <f>Z7*AA7*GBDUS!$P41/($T7+$U7+$X7+V7+W7)</f>
        <v>5.2262830369959497E-2</v>
      </c>
      <c r="AH7" s="360">
        <f t="shared" si="5"/>
        <v>4.8126884001439892E-2</v>
      </c>
      <c r="AI7" s="360">
        <f t="shared" si="5"/>
        <v>4.6536953266060117E-2</v>
      </c>
      <c r="AJ7" s="360">
        <f t="shared" si="5"/>
        <v>4.4507167380017316E-2</v>
      </c>
      <c r="AK7" s="360">
        <f t="shared" si="5"/>
        <v>4.0621418454608711E-2</v>
      </c>
      <c r="AL7" s="356">
        <f>Z7*GBDUS!$Q41/($T7+$U7+$X7+V7+W7)</f>
        <v>6.9174024517068503E-3</v>
      </c>
      <c r="AM7" s="360">
        <f t="shared" si="6"/>
        <v>6.3699769612158017E-3</v>
      </c>
      <c r="AN7" s="360">
        <f t="shared" si="6"/>
        <v>6.1595369469818638E-3</v>
      </c>
      <c r="AO7" s="360">
        <f t="shared" si="6"/>
        <v>5.8908785952401059E-3</v>
      </c>
      <c r="AP7" s="360">
        <f t="shared" si="6"/>
        <v>5.376568731938312E-3</v>
      </c>
      <c r="AQ7" s="356">
        <f t="shared" si="9"/>
        <v>-1.349150703589382E-3</v>
      </c>
      <c r="AR7" s="356">
        <f t="shared" si="10"/>
        <v>-2.2859976751413026E-2</v>
      </c>
      <c r="AS7" s="356">
        <f t="shared" si="11"/>
        <v>-3.0257002559333146E-3</v>
      </c>
      <c r="AT7" s="356">
        <f t="shared" si="7"/>
        <v>-2.5885677007346342E-2</v>
      </c>
      <c r="AU7" s="361"/>
      <c r="AV7" s="361"/>
      <c r="AW7" s="361"/>
      <c r="AX7" s="361"/>
    </row>
    <row r="8" spans="1:50" s="351" customFormat="1" ht="12.75" x14ac:dyDescent="0.2">
      <c r="A8" s="347">
        <v>1</v>
      </c>
      <c r="B8" s="347">
        <v>1</v>
      </c>
      <c r="C8" s="347" t="s">
        <v>37</v>
      </c>
      <c r="D8" s="17">
        <f>Scenario!AN24</f>
        <v>1.038575484693584</v>
      </c>
      <c r="E8" s="17">
        <f>Scenario!AO24</f>
        <v>2.3535589443948219</v>
      </c>
      <c r="F8" s="17">
        <f>Scenario!AP24</f>
        <v>4.1475896517107627</v>
      </c>
      <c r="G8" s="17">
        <f>Scenario!AQ24</f>
        <v>7.3091434399581363</v>
      </c>
      <c r="H8" s="17">
        <f>Scenario!AR24</f>
        <v>16.563552839930118</v>
      </c>
      <c r="I8" s="17">
        <f t="shared" si="0"/>
        <v>0.1</v>
      </c>
      <c r="J8" s="17">
        <f t="shared" si="1"/>
        <v>0.1</v>
      </c>
      <c r="K8" s="17">
        <f t="shared" si="1"/>
        <v>4.1475896517107627</v>
      </c>
      <c r="L8" s="17">
        <f t="shared" si="1"/>
        <v>7.3091434399581363</v>
      </c>
      <c r="M8" s="17">
        <f t="shared" si="1"/>
        <v>16.563552839930118</v>
      </c>
      <c r="N8" s="19">
        <f>'Phy activity RRs'!$G$4</f>
        <v>0.93831941951583364</v>
      </c>
      <c r="O8" s="15">
        <f>IF(('user page'!$N$39=0),$N8^(I8^0.25),IF(('user page'!$N$39=1),$N8^(I8^0.5),IF(('user page'!$N$39=2),$N8^(I8^0.375),IF(('user page'!$N$39=4),$N8^(I8),IF(('user page'!$N$39=3),$N8^(LN(1+I8)),"")))))</f>
        <v>0.98006871247951299</v>
      </c>
      <c r="P8" s="15">
        <f>IF(('user page'!$N$39=0),$N8^(J8^0.25),IF(('user page'!$N$39=1),$N8^(J8^0.5),IF(('user page'!$N$39=2),$N8^(J8^0.375),IF(('user page'!$N$39=4),$N8^(J8),IF(('user page'!$N$39=3),$N8^(LN(1+J8)),"")))))</f>
        <v>0.98006871247951299</v>
      </c>
      <c r="Q8" s="15">
        <f>IF(('user page'!$N$39=0),$N8^(K8^0.25),IF(('user page'!$N$39=1),$N8^(K8^0.5),IF(('user page'!$N$39=2),$N8^(K8^0.375),IF(('user page'!$N$39=4),$N8^(K8),IF(('user page'!$N$39=3),$N8^(LN(1+K8)),"")))))</f>
        <v>0.87839622887140656</v>
      </c>
      <c r="R8" s="15">
        <f>IF(('user page'!$N$39=0),$N8^(L8^0.25),IF(('user page'!$N$39=1),$N8^(L8^0.5),IF(('user page'!$N$39=2),$N8^(L8^0.375),IF(('user page'!$N$39=4),$N8^(L8),IF(('user page'!$N$39=3),$N8^(LN(1+L8)),"")))))</f>
        <v>0.8418775871559625</v>
      </c>
      <c r="S8" s="15">
        <f>IF(('user page'!$N$39=0),$N8^(M8^0.25),IF(('user page'!$N$39=1),$N8^(M8^0.5),IF(('user page'!$N$39=2),$N8^(M8^0.375),IF(('user page'!$N$39=4),$N8^(M8),IF(('user page'!$N$39=3),$N8^(LN(1+M8)),"")))))</f>
        <v>0.77174165800399952</v>
      </c>
      <c r="T8" s="18">
        <f t="shared" si="2"/>
        <v>1</v>
      </c>
      <c r="U8" s="18">
        <f t="shared" si="2"/>
        <v>1</v>
      </c>
      <c r="V8" s="18">
        <f t="shared" si="2"/>
        <v>0.89625984146470572</v>
      </c>
      <c r="W8" s="186">
        <f t="shared" si="2"/>
        <v>0.85899853391510117</v>
      </c>
      <c r="X8" s="186">
        <f t="shared" si="2"/>
        <v>0.78743627684179518</v>
      </c>
      <c r="Y8" s="31">
        <f t="shared" si="8"/>
        <v>6.9865842183824856E-2</v>
      </c>
      <c r="Z8" s="344">
        <f t="shared" si="3"/>
        <v>0.93013415781617514</v>
      </c>
      <c r="AA8" s="344">
        <f>'Inflammatory HD'!F8</f>
        <v>1</v>
      </c>
      <c r="AB8" s="356">
        <f>Z8*AA8*GBDUS!O42/($T8+$U8+$X8+V8+W8)</f>
        <v>5.3816848580272077E-3</v>
      </c>
      <c r="AC8" s="360">
        <f t="shared" si="4"/>
        <v>5.3816848580272077E-3</v>
      </c>
      <c r="AD8" s="360">
        <f t="shared" si="4"/>
        <v>4.8233880176684722E-3</v>
      </c>
      <c r="AE8" s="360">
        <f t="shared" si="4"/>
        <v>4.6228594030384706E-3</v>
      </c>
      <c r="AF8" s="360">
        <f t="shared" si="4"/>
        <v>4.2377338877408093E-3</v>
      </c>
      <c r="AG8" s="356">
        <f>Z8*AA8*GBDUS!$P42/($T8+$U8+$X8+V8+W8)</f>
        <v>6.0055729872654812E-2</v>
      </c>
      <c r="AH8" s="360">
        <f t="shared" si="5"/>
        <v>6.0055729872654812E-2</v>
      </c>
      <c r="AI8" s="360">
        <f t="shared" si="5"/>
        <v>5.3825538934712792E-2</v>
      </c>
      <c r="AJ8" s="360">
        <f t="shared" si="5"/>
        <v>5.158778391381183E-2</v>
      </c>
      <c r="AK8" s="360">
        <f t="shared" si="5"/>
        <v>4.7290060333939885E-2</v>
      </c>
      <c r="AL8" s="356">
        <f>Z8*GBDUS!$Q42/($T8+$U8+$X8+V8+W8)</f>
        <v>2.8059774351537922E-3</v>
      </c>
      <c r="AM8" s="360">
        <f t="shared" si="6"/>
        <v>2.8059774351537922E-3</v>
      </c>
      <c r="AN8" s="360">
        <f t="shared" si="6"/>
        <v>2.5148848911844793E-3</v>
      </c>
      <c r="AO8" s="360">
        <f t="shared" si="6"/>
        <v>2.4103305029959635E-3</v>
      </c>
      <c r="AP8" s="360">
        <f t="shared" si="6"/>
        <v>2.2095284244395921E-3</v>
      </c>
      <c r="AQ8" s="356">
        <f t="shared" si="9"/>
        <v>-1.8363316239247297E-3</v>
      </c>
      <c r="AR8" s="356">
        <f t="shared" si="10"/>
        <v>-2.049213933412368E-2</v>
      </c>
      <c r="AS8" s="356">
        <f t="shared" si="11"/>
        <v>-9.5745203149650302E-4</v>
      </c>
      <c r="AT8" s="356">
        <f t="shared" si="7"/>
        <v>-2.1449591365620184E-2</v>
      </c>
      <c r="AU8" s="361"/>
      <c r="AV8" s="361"/>
      <c r="AW8" s="361"/>
      <c r="AX8" s="361"/>
    </row>
    <row r="9" spans="1:50" s="351" customFormat="1" ht="12.75" x14ac:dyDescent="0.2">
      <c r="A9" s="347">
        <v>1</v>
      </c>
      <c r="B9" s="347">
        <v>1</v>
      </c>
      <c r="C9" s="347" t="s">
        <v>36</v>
      </c>
      <c r="D9" s="17">
        <f>Scenario!AN25</f>
        <v>0.98635345122951901</v>
      </c>
      <c r="E9" s="17">
        <f>Scenario!AO25</f>
        <v>2.2352164302827178</v>
      </c>
      <c r="F9" s="17">
        <f>Scenario!AP25</f>
        <v>3.939039027534657</v>
      </c>
      <c r="G9" s="17">
        <f>Scenario!AQ25</f>
        <v>6.9416224085641023</v>
      </c>
      <c r="H9" s="17">
        <f>Scenario!AR25</f>
        <v>15.730698200629787</v>
      </c>
      <c r="I9" s="17">
        <f t="shared" si="0"/>
        <v>0.1</v>
      </c>
      <c r="J9" s="17">
        <f t="shared" si="1"/>
        <v>0.1</v>
      </c>
      <c r="K9" s="17">
        <f t="shared" si="1"/>
        <v>3.939039027534657</v>
      </c>
      <c r="L9" s="17">
        <f t="shared" si="1"/>
        <v>6.9416224085641023</v>
      </c>
      <c r="M9" s="17">
        <f t="shared" si="1"/>
        <v>15.730698200629787</v>
      </c>
      <c r="N9" s="19">
        <f>'Phy activity RRs'!$G$4</f>
        <v>0.93831941951583364</v>
      </c>
      <c r="O9" s="15">
        <f>IF(('user page'!$N$39=0),$N9^(I9^0.25),IF(('user page'!$N$39=1),$N9^(I9^0.5),IF(('user page'!$N$39=2),$N9^(I9^0.375),IF(('user page'!$N$39=4),$N9^(I9),IF(('user page'!$N$39=3),$N9^(LN(1+I9)),"")))))</f>
        <v>0.98006871247951299</v>
      </c>
      <c r="P9" s="15">
        <f>IF(('user page'!$N$39=0),$N9^(J9^0.25),IF(('user page'!$N$39=1),$N9^(J9^0.5),IF(('user page'!$N$39=2),$N9^(J9^0.375),IF(('user page'!$N$39=4),$N9^(J9),IF(('user page'!$N$39=3),$N9^(LN(1+J9)),"")))))</f>
        <v>0.98006871247951299</v>
      </c>
      <c r="Q9" s="15">
        <f>IF(('user page'!$N$39=0),$N9^(K9^0.25),IF(('user page'!$N$39=1),$N9^(K9^0.5),IF(('user page'!$N$39=2),$N9^(K9^0.375),IF(('user page'!$N$39=4),$N9^(K9),IF(('user page'!$N$39=3),$N9^(LN(1+K9)),"")))))</f>
        <v>0.88130129652499667</v>
      </c>
      <c r="R9" s="15">
        <f>IF(('user page'!$N$39=0),$N9^(L9^0.25),IF(('user page'!$N$39=1),$N9^(L9^0.5),IF(('user page'!$N$39=2),$N9^(L9^0.375),IF(('user page'!$N$39=4),$N9^(L9),IF(('user page'!$N$39=3),$N9^(LN(1+L9)),"")))))</f>
        <v>0.84557574163115468</v>
      </c>
      <c r="S9" s="15">
        <f>IF(('user page'!$N$39=0),$N9^(M9^0.25),IF(('user page'!$N$39=1),$N9^(M9^0.5),IF(('user page'!$N$39=2),$N9^(M9^0.375),IF(('user page'!$N$39=4),$N9^(M9),IF(('user page'!$N$39=3),$N9^(LN(1+M9)),"")))))</f>
        <v>0.77685062379126013</v>
      </c>
      <c r="T9" s="18">
        <f t="shared" si="2"/>
        <v>1</v>
      </c>
      <c r="U9" s="18">
        <f t="shared" si="2"/>
        <v>1</v>
      </c>
      <c r="V9" s="18">
        <f t="shared" si="2"/>
        <v>0.89922398838277273</v>
      </c>
      <c r="W9" s="186">
        <f t="shared" si="2"/>
        <v>0.86277189636214435</v>
      </c>
      <c r="X9" s="186">
        <f t="shared" si="2"/>
        <v>0.79264914173810963</v>
      </c>
      <c r="Y9" s="31">
        <f t="shared" si="8"/>
        <v>6.8036581816262487E-2</v>
      </c>
      <c r="Z9" s="344">
        <f t="shared" si="3"/>
        <v>0.93196341818373751</v>
      </c>
      <c r="AA9" s="344">
        <f>'Inflammatory HD'!F9</f>
        <v>1</v>
      </c>
      <c r="AB9" s="356">
        <f>Z9*AA9*GBDUS!O43/($T9+$U9+$X9+V9+W9)</f>
        <v>6.983789159164179E-3</v>
      </c>
      <c r="AC9" s="360">
        <f t="shared" si="4"/>
        <v>6.983789159164179E-3</v>
      </c>
      <c r="AD9" s="360">
        <f t="shared" si="4"/>
        <v>6.2799907417279838E-3</v>
      </c>
      <c r="AE9" s="360">
        <f t="shared" si="4"/>
        <v>6.0254170166454644E-3</v>
      </c>
      <c r="AF9" s="360">
        <f t="shared" si="4"/>
        <v>5.5356944830914009E-3</v>
      </c>
      <c r="AG9" s="356">
        <f>Z9*AA9*GBDUS!$P43/($T9+$U9+$X9+V9+W9)</f>
        <v>4.4425209280713689E-2</v>
      </c>
      <c r="AH9" s="360">
        <f t="shared" si="5"/>
        <v>4.4425209280713689E-2</v>
      </c>
      <c r="AI9" s="360">
        <f t="shared" si="5"/>
        <v>3.9948213874142734E-2</v>
      </c>
      <c r="AJ9" s="360">
        <f t="shared" si="5"/>
        <v>3.8328822057406481E-2</v>
      </c>
      <c r="AK9" s="360">
        <f t="shared" si="5"/>
        <v>3.5213604007893605E-2</v>
      </c>
      <c r="AL9" s="356">
        <f>Z9*GBDUS!$Q43/($T9+$U9+$X9+V9+W9)</f>
        <v>1.3276938730861491E-2</v>
      </c>
      <c r="AM9" s="360">
        <f t="shared" si="6"/>
        <v>1.3276938730861491E-2</v>
      </c>
      <c r="AN9" s="360">
        <f t="shared" si="6"/>
        <v>1.193894179907898E-2</v>
      </c>
      <c r="AO9" s="360">
        <f t="shared" si="6"/>
        <v>1.1454969606709371E-2</v>
      </c>
      <c r="AP9" s="360">
        <f t="shared" si="6"/>
        <v>1.0523954089926828E-2</v>
      </c>
      <c r="AQ9" s="356">
        <f t="shared" si="9"/>
        <v>-2.3221446841672801E-3</v>
      </c>
      <c r="AR9" s="356">
        <f t="shared" si="10"/>
        <v>-1.4771603383652833E-2</v>
      </c>
      <c r="AS9" s="356">
        <f t="shared" si="11"/>
        <v>-4.414648265179625E-3</v>
      </c>
      <c r="AT9" s="356">
        <f t="shared" si="7"/>
        <v>-1.9186251648832458E-2</v>
      </c>
      <c r="AU9" s="361"/>
      <c r="AV9" s="361"/>
      <c r="AW9" s="361"/>
      <c r="AX9" s="361"/>
    </row>
    <row r="10" spans="1:50" s="351" customFormat="1" ht="12.75" x14ac:dyDescent="0.2">
      <c r="A10" s="347">
        <v>1</v>
      </c>
      <c r="B10" s="347">
        <v>1</v>
      </c>
      <c r="C10" s="347" t="s">
        <v>35</v>
      </c>
      <c r="D10" s="17">
        <f>Scenario!AN26</f>
        <v>0.79357227183824619</v>
      </c>
      <c r="E10" s="17">
        <f>Scenario!AO26</f>
        <v>1.7983470108190212</v>
      </c>
      <c r="F10" s="17">
        <f>Scenario!AP26</f>
        <v>3.1691602498512577</v>
      </c>
      <c r="G10" s="17">
        <f>Scenario!AQ26</f>
        <v>5.5848935877303978</v>
      </c>
      <c r="H10" s="17">
        <f>Scenario!AR26</f>
        <v>12.656158796945045</v>
      </c>
      <c r="I10" s="17">
        <f t="shared" si="0"/>
        <v>0.1</v>
      </c>
      <c r="J10" s="17">
        <f t="shared" si="1"/>
        <v>0.1</v>
      </c>
      <c r="K10" s="17">
        <f t="shared" si="1"/>
        <v>3.1691602498512577</v>
      </c>
      <c r="L10" s="17">
        <f t="shared" si="1"/>
        <v>5.5848935877303978</v>
      </c>
      <c r="M10" s="17">
        <f t="shared" si="1"/>
        <v>12.656158796945045</v>
      </c>
      <c r="N10" s="19">
        <f>'Phy activity RRs'!$G$4</f>
        <v>0.93831941951583364</v>
      </c>
      <c r="O10" s="15">
        <f>IF(('user page'!$N$39=0),$N10^(I10^0.25),IF(('user page'!$N$39=1),$N10^(I10^0.5),IF(('user page'!$N$39=2),$N10^(I10^0.375),IF(('user page'!$N$39=4),$N10^(I10),IF(('user page'!$N$39=3),$N10^(LN(1+I10)),"")))))</f>
        <v>0.98006871247951299</v>
      </c>
      <c r="P10" s="15">
        <f>IF(('user page'!$N$39=0),$N10^(J10^0.25),IF(('user page'!$N$39=1),$N10^(J10^0.5),IF(('user page'!$N$39=2),$N10^(J10^0.375),IF(('user page'!$N$39=4),$N10^(J10),IF(('user page'!$N$39=3),$N10^(LN(1+J10)),"")))))</f>
        <v>0.98006871247951299</v>
      </c>
      <c r="Q10" s="15">
        <f>IF(('user page'!$N$39=0),$N10^(K10^0.25),IF(('user page'!$N$39=1),$N10^(K10^0.5),IF(('user page'!$N$39=2),$N10^(K10^0.375),IF(('user page'!$N$39=4),$N10^(K10),IF(('user page'!$N$39=3),$N10^(LN(1+K10)),"")))))</f>
        <v>0.89284968543197785</v>
      </c>
      <c r="R10" s="15">
        <f>IF(('user page'!$N$39=0),$N10^(L10^0.25),IF(('user page'!$N$39=1),$N10^(L10^0.5),IF(('user page'!$N$39=2),$N10^(L10^0.375),IF(('user page'!$N$39=4),$N10^(L10),IF(('user page'!$N$39=3),$N10^(LN(1+L10)),"")))))</f>
        <v>0.86031626949656848</v>
      </c>
      <c r="S10" s="15">
        <f>IF(('user page'!$N$39=0),$N10^(M10^0.25),IF(('user page'!$N$39=1),$N10^(M10^0.5),IF(('user page'!$N$39=2),$N10^(M10^0.375),IF(('user page'!$N$39=4),$N10^(M10),IF(('user page'!$N$39=3),$N10^(LN(1+M10)),"")))))</f>
        <v>0.79732661574446073</v>
      </c>
      <c r="T10" s="18">
        <f t="shared" si="2"/>
        <v>1</v>
      </c>
      <c r="U10" s="18">
        <f t="shared" si="2"/>
        <v>1</v>
      </c>
      <c r="V10" s="18">
        <f t="shared" si="2"/>
        <v>0.9110072325165075</v>
      </c>
      <c r="W10" s="186">
        <f t="shared" si="2"/>
        <v>0.87781219677957245</v>
      </c>
      <c r="X10" s="186">
        <f t="shared" si="2"/>
        <v>0.81354154621187114</v>
      </c>
      <c r="Y10" s="31">
        <f t="shared" si="8"/>
        <v>6.0747971021361757E-2</v>
      </c>
      <c r="Z10" s="344">
        <f t="shared" si="3"/>
        <v>0.93925202897863824</v>
      </c>
      <c r="AA10" s="344">
        <f>'Inflammatory HD'!F10</f>
        <v>1</v>
      </c>
      <c r="AB10" s="356">
        <f>Z10*AA10*GBDUS!O44/($T10+$U10+$X10+V10+W10)</f>
        <v>9.9317981826829264E-3</v>
      </c>
      <c r="AC10" s="360">
        <f t="shared" si="4"/>
        <v>9.9317981826829264E-3</v>
      </c>
      <c r="AD10" s="360">
        <f t="shared" si="4"/>
        <v>9.0479399763184511E-3</v>
      </c>
      <c r="AE10" s="360">
        <f t="shared" si="4"/>
        <v>8.7182535807122652E-3</v>
      </c>
      <c r="AF10" s="360">
        <f t="shared" si="4"/>
        <v>8.0799304502041196E-3</v>
      </c>
      <c r="AG10" s="356">
        <f>Z10*AA10*GBDUS!$P44/($T10+$U10+$X10+V10+W10)</f>
        <v>2.983957620873378E-2</v>
      </c>
      <c r="AH10" s="360">
        <f t="shared" si="5"/>
        <v>2.983957620873378E-2</v>
      </c>
      <c r="AI10" s="360">
        <f t="shared" si="5"/>
        <v>2.718406974138398E-2</v>
      </c>
      <c r="AJ10" s="360">
        <f t="shared" si="5"/>
        <v>2.6193543942760064E-2</v>
      </c>
      <c r="AK10" s="360">
        <f t="shared" si="5"/>
        <v>2.4275734967160244E-2</v>
      </c>
      <c r="AL10" s="356">
        <f>Z10*GBDUS!$Q44/($T10+$U10+$X10+V10+W10)</f>
        <v>2.9892516141513058E-3</v>
      </c>
      <c r="AM10" s="360">
        <f t="shared" si="6"/>
        <v>2.9892516141513058E-3</v>
      </c>
      <c r="AN10" s="360">
        <f t="shared" si="6"/>
        <v>2.7232298403034841E-3</v>
      </c>
      <c r="AO10" s="360">
        <f t="shared" si="6"/>
        <v>2.6240015261450407E-3</v>
      </c>
      <c r="AP10" s="360">
        <f t="shared" si="6"/>
        <v>2.4318803801929851E-3</v>
      </c>
      <c r="AQ10" s="356">
        <f t="shared" si="9"/>
        <v>-2.9563660049889105E-3</v>
      </c>
      <c r="AR10" s="356">
        <f t="shared" si="10"/>
        <v>-8.8822494259489272E-3</v>
      </c>
      <c r="AS10" s="356">
        <f t="shared" si="11"/>
        <v>-8.8980078832490541E-4</v>
      </c>
      <c r="AT10" s="356">
        <f t="shared" si="7"/>
        <v>-9.7720502142738322E-3</v>
      </c>
      <c r="AU10" s="361"/>
      <c r="AV10" s="361"/>
      <c r="AW10" s="361"/>
      <c r="AX10" s="361"/>
    </row>
    <row r="11" spans="1:50" s="351" customFormat="1" ht="12.75" x14ac:dyDescent="0.2">
      <c r="A11" s="347">
        <v>1</v>
      </c>
      <c r="B11" s="347">
        <v>2</v>
      </c>
      <c r="C11" s="347" t="s">
        <v>2</v>
      </c>
      <c r="D11" s="17"/>
      <c r="E11" s="17"/>
      <c r="F11" s="17"/>
      <c r="G11" s="17"/>
      <c r="H11" s="17"/>
      <c r="I11" s="17"/>
      <c r="J11" s="17"/>
      <c r="K11" s="17"/>
      <c r="L11" s="17"/>
      <c r="M11" s="17"/>
      <c r="N11" s="19"/>
      <c r="O11" s="15"/>
      <c r="P11" s="15"/>
      <c r="Q11" s="15"/>
      <c r="R11" s="15"/>
      <c r="S11" s="15"/>
      <c r="T11" s="18"/>
      <c r="U11" s="18"/>
      <c r="V11" s="18"/>
      <c r="W11" s="186"/>
      <c r="X11" s="186"/>
      <c r="Y11" s="31"/>
      <c r="Z11" s="344"/>
      <c r="AA11" s="344"/>
      <c r="AB11" s="356"/>
      <c r="AC11" s="360"/>
      <c r="AD11" s="360"/>
      <c r="AE11" s="360"/>
      <c r="AF11" s="360"/>
      <c r="AG11" s="356"/>
      <c r="AH11" s="360"/>
      <c r="AI11" s="360"/>
      <c r="AJ11" s="360"/>
      <c r="AK11" s="360"/>
      <c r="AL11" s="356"/>
      <c r="AM11" s="360"/>
      <c r="AN11" s="360"/>
      <c r="AO11" s="360"/>
      <c r="AP11" s="360"/>
      <c r="AQ11" s="356"/>
      <c r="AR11" s="356"/>
      <c r="AS11" s="356"/>
      <c r="AT11" s="356"/>
      <c r="AU11" s="361"/>
      <c r="AV11" s="361"/>
      <c r="AW11" s="361"/>
      <c r="AX11" s="361"/>
    </row>
    <row r="12" spans="1:50" s="351" customFormat="1" ht="12.75" x14ac:dyDescent="0.2">
      <c r="A12" s="347">
        <v>1</v>
      </c>
      <c r="B12" s="347">
        <v>2</v>
      </c>
      <c r="C12" s="347" t="s">
        <v>41</v>
      </c>
      <c r="D12" s="17"/>
      <c r="E12" s="17"/>
      <c r="F12" s="17"/>
      <c r="G12" s="17"/>
      <c r="H12" s="17"/>
      <c r="I12" s="17"/>
      <c r="J12" s="17"/>
      <c r="K12" s="17"/>
      <c r="L12" s="17"/>
      <c r="M12" s="17"/>
      <c r="N12" s="19"/>
      <c r="O12" s="15"/>
      <c r="P12" s="15"/>
      <c r="Q12" s="15"/>
      <c r="R12" s="15"/>
      <c r="S12" s="15"/>
      <c r="T12" s="18"/>
      <c r="U12" s="18"/>
      <c r="V12" s="18"/>
      <c r="W12" s="186"/>
      <c r="X12" s="186"/>
      <c r="Y12" s="31"/>
      <c r="Z12" s="344"/>
      <c r="AA12" s="344"/>
      <c r="AB12" s="356"/>
      <c r="AC12" s="360"/>
      <c r="AD12" s="360"/>
      <c r="AE12" s="360"/>
      <c r="AF12" s="360"/>
      <c r="AG12" s="356"/>
      <c r="AH12" s="360"/>
      <c r="AI12" s="360"/>
      <c r="AJ12" s="360"/>
      <c r="AK12" s="360"/>
      <c r="AL12" s="356"/>
      <c r="AM12" s="360"/>
      <c r="AN12" s="360"/>
      <c r="AO12" s="360"/>
      <c r="AP12" s="360"/>
      <c r="AQ12" s="356"/>
      <c r="AR12" s="356"/>
      <c r="AS12" s="356"/>
      <c r="AT12" s="356"/>
      <c r="AU12" s="361"/>
      <c r="AV12" s="361"/>
      <c r="AW12" s="361"/>
      <c r="AX12" s="361"/>
    </row>
    <row r="13" spans="1:50" s="351" customFormat="1" ht="12.75" x14ac:dyDescent="0.2">
      <c r="A13" s="347">
        <v>1</v>
      </c>
      <c r="B13" s="347">
        <v>2</v>
      </c>
      <c r="C13" s="347" t="s">
        <v>40</v>
      </c>
      <c r="D13" s="17">
        <f>Scenario!AN29</f>
        <v>2.5519209672247203</v>
      </c>
      <c r="E13" s="17">
        <f>Scenario!AO29</f>
        <v>5.783013855340938</v>
      </c>
      <c r="F13" s="17">
        <f>Scenario!AP29</f>
        <v>10.191190868295642</v>
      </c>
      <c r="G13" s="17">
        <f>Scenario!AQ29</f>
        <v>17.959557751726912</v>
      </c>
      <c r="H13" s="17">
        <f>Scenario!AR29</f>
        <v>40.698898064614944</v>
      </c>
      <c r="I13" s="17">
        <f t="shared" ref="I13:I18" si="12">IF(D13&gt;2.5,D13,0.1)</f>
        <v>2.5519209672247203</v>
      </c>
      <c r="J13" s="17">
        <f t="shared" si="1"/>
        <v>5.783013855340938</v>
      </c>
      <c r="K13" s="17">
        <f t="shared" si="1"/>
        <v>10.191190868295642</v>
      </c>
      <c r="L13" s="17">
        <f t="shared" si="1"/>
        <v>17.959557751726912</v>
      </c>
      <c r="M13" s="17">
        <f t="shared" si="1"/>
        <v>40.698898064614944</v>
      </c>
      <c r="N13" s="19">
        <f>'Phy activity RRs'!$G$4</f>
        <v>0.93831941951583364</v>
      </c>
      <c r="O13" s="15">
        <f>IF(('user page'!$N$39=0),$N13^(I13^0.25),IF(('user page'!$N$39=1),$N13^(I13^0.5),IF(('user page'!$N$39=2),$N13^(I13^0.375),IF(('user page'!$N$39=4),$N13^(I13),IF(('user page'!$N$39=3),$N13^(LN(1+I13)),"")))))</f>
        <v>0.90329787517010907</v>
      </c>
      <c r="P13" s="15">
        <f>IF(('user page'!$N$39=0),$N13^(J13^0.25),IF(('user page'!$N$39=1),$N13^(J13^0.5),IF(('user page'!$N$39=2),$N13^(J13^0.375),IF(('user page'!$N$39=4),$N13^(J13),IF(('user page'!$N$39=3),$N13^(LN(1+J13)),"")))))</f>
        <v>0.85804340411074909</v>
      </c>
      <c r="Q13" s="15">
        <f>IF(('user page'!$N$39=0),$N13^(K13^0.25),IF(('user page'!$N$39=1),$N13^(K13^0.5),IF(('user page'!$N$39=2),$N13^(K13^0.375),IF(('user page'!$N$39=4),$N13^(K13),IF(('user page'!$N$39=3),$N13^(LN(1+K13)),"")))))</f>
        <v>0.8160811976920439</v>
      </c>
      <c r="R13" s="15">
        <f>IF(('user page'!$N$39=0),$N13^(L13^0.25),IF(('user page'!$N$39=1),$N13^(L13^0.5),IF(('user page'!$N$39=2),$N13^(L13^0.375),IF(('user page'!$N$39=4),$N13^(L13),IF(('user page'!$N$39=3),$N13^(LN(1+L13)),"")))))</f>
        <v>0.76352951460432195</v>
      </c>
      <c r="S13" s="15">
        <f>IF(('user page'!$N$39=0),$N13^(M13^0.25),IF(('user page'!$N$39=1),$N13^(M13^0.5),IF(('user page'!$N$39=2),$N13^(M13^0.375),IF(('user page'!$N$39=4),$N13^(M13),IF(('user page'!$N$39=3),$N13^(LN(1+M13)),"")))))</f>
        <v>0.66620734691542394</v>
      </c>
      <c r="T13" s="18">
        <f t="shared" ref="T13:X18" si="13">O13/$O13</f>
        <v>1</v>
      </c>
      <c r="U13" s="18">
        <f t="shared" si="13"/>
        <v>0.9499008330437646</v>
      </c>
      <c r="V13" s="18">
        <f t="shared" si="13"/>
        <v>0.90344638255498999</v>
      </c>
      <c r="W13" s="186">
        <f t="shared" si="13"/>
        <v>0.84526880400392179</v>
      </c>
      <c r="X13" s="186">
        <f t="shared" si="13"/>
        <v>0.73752785789511988</v>
      </c>
      <c r="Y13" s="31">
        <f t="shared" si="8"/>
        <v>0.11215715464911169</v>
      </c>
      <c r="Z13" s="344">
        <f t="shared" ref="Z13:Z18" si="14">SUM(O13:S13)/SUM(O30:S30)</f>
        <v>0.88784284535088831</v>
      </c>
      <c r="AA13" s="344">
        <f>'Inflammatory HD'!F13</f>
        <v>1</v>
      </c>
      <c r="AB13" s="356">
        <f>Z13*AA13*GBDUS!O47/($T13+$U13+$X13+V13+W13)</f>
        <v>0</v>
      </c>
      <c r="AC13" s="360">
        <f t="shared" ref="AC13:AF18" si="15">$AB13*U13</f>
        <v>0</v>
      </c>
      <c r="AD13" s="360">
        <f t="shared" si="15"/>
        <v>0</v>
      </c>
      <c r="AE13" s="360">
        <f t="shared" si="15"/>
        <v>0</v>
      </c>
      <c r="AF13" s="360">
        <f t="shared" si="15"/>
        <v>0</v>
      </c>
      <c r="AG13" s="356">
        <f>Z13*AA13*GBDUS!$P47/($T13+$U13+$X13+V13+W13)</f>
        <v>0</v>
      </c>
      <c r="AH13" s="360">
        <f t="shared" ref="AH13:AK18" si="16">$AG13*U13</f>
        <v>0</v>
      </c>
      <c r="AI13" s="360">
        <f t="shared" si="16"/>
        <v>0</v>
      </c>
      <c r="AJ13" s="360">
        <f t="shared" si="16"/>
        <v>0</v>
      </c>
      <c r="AK13" s="360">
        <f t="shared" si="16"/>
        <v>0</v>
      </c>
      <c r="AL13" s="356">
        <f>Z13*GBDUS!$Q47/($T13+$U13+$X13+V13+W13)</f>
        <v>3.6012207045024947E-4</v>
      </c>
      <c r="AM13" s="360">
        <f t="shared" ref="AM13:AP18" si="17">$AL13*U13</f>
        <v>3.4208025471813724E-4</v>
      </c>
      <c r="AN13" s="360">
        <f t="shared" si="17"/>
        <v>3.2535098182649111E-4</v>
      </c>
      <c r="AO13" s="360">
        <f t="shared" si="17"/>
        <v>3.0439995178489841E-4</v>
      </c>
      <c r="AP13" s="360">
        <f t="shared" si="17"/>
        <v>2.6560005919992795E-4</v>
      </c>
      <c r="AQ13" s="356">
        <f t="shared" si="9"/>
        <v>0</v>
      </c>
      <c r="AR13" s="356">
        <f t="shared" si="10"/>
        <v>0</v>
      </c>
      <c r="AS13" s="356">
        <f t="shared" si="11"/>
        <v>-2.018116556134865E-4</v>
      </c>
      <c r="AT13" s="356">
        <f t="shared" ref="AT13:AT18" si="18">AR13+AS13</f>
        <v>-2.018116556134865E-4</v>
      </c>
      <c r="AU13" s="361"/>
      <c r="AV13" s="361"/>
      <c r="AW13" s="361"/>
      <c r="AX13" s="361"/>
    </row>
    <row r="14" spans="1:50" s="351" customFormat="1" ht="12.75" x14ac:dyDescent="0.2">
      <c r="A14" s="347">
        <v>1</v>
      </c>
      <c r="B14" s="347">
        <v>2</v>
      </c>
      <c r="C14" s="347" t="s">
        <v>39</v>
      </c>
      <c r="D14" s="17">
        <f>Scenario!AN30</f>
        <v>1.5370956980369832</v>
      </c>
      <c r="E14" s="17">
        <f>Scenario!AO30</f>
        <v>3.4832762585119914</v>
      </c>
      <c r="F14" s="17">
        <f>Scenario!AP30</f>
        <v>6.1384485815667444</v>
      </c>
      <c r="G14" s="17">
        <f>Scenario!AQ30</f>
        <v>10.817560305892991</v>
      </c>
      <c r="H14" s="17">
        <f>Scenario!AR30</f>
        <v>24.514121688493699</v>
      </c>
      <c r="I14" s="17">
        <f t="shared" si="12"/>
        <v>0.1</v>
      </c>
      <c r="J14" s="17">
        <f t="shared" si="1"/>
        <v>3.4832762585119914</v>
      </c>
      <c r="K14" s="17">
        <f t="shared" si="1"/>
        <v>6.1384485815667444</v>
      </c>
      <c r="L14" s="17">
        <f t="shared" si="1"/>
        <v>10.817560305892991</v>
      </c>
      <c r="M14" s="17">
        <f t="shared" si="1"/>
        <v>24.514121688493699</v>
      </c>
      <c r="N14" s="19">
        <f>'Phy activity RRs'!$G$4</f>
        <v>0.93831941951583364</v>
      </c>
      <c r="O14" s="15">
        <f>IF(('user page'!$N$39=0),$N14^(I14^0.25),IF(('user page'!$N$39=1),$N14^(I14^0.5),IF(('user page'!$N$39=2),$N14^(I14^0.375),IF(('user page'!$N$39=4),$N14^(I14),IF(('user page'!$N$39=3),$N14^(LN(1+I14)),"")))))</f>
        <v>0.98006871247951299</v>
      </c>
      <c r="P14" s="15">
        <f>IF(('user page'!$N$39=0),$N14^(J14^0.25),IF(('user page'!$N$39=1),$N14^(J14^0.5),IF(('user page'!$N$39=2),$N14^(J14^0.375),IF(('user page'!$N$39=4),$N14^(J14),IF(('user page'!$N$39=3),$N14^(LN(1+J14)),"")))))</f>
        <v>0.88796660774428982</v>
      </c>
      <c r="Q14" s="15">
        <f>IF(('user page'!$N$39=0),$N14^(K14^0.25),IF(('user page'!$N$39=1),$N14^(K14^0.5),IF(('user page'!$N$39=2),$N14^(K14^0.375),IF(('user page'!$N$39=4),$N14^(K14),IF(('user page'!$N$39=3),$N14^(LN(1+K14)),"")))))</f>
        <v>0.8540757725213638</v>
      </c>
      <c r="R14" s="15">
        <f>IF(('user page'!$N$39=0),$N14^(L14^0.25),IF(('user page'!$N$39=1),$N14^(L14^0.5),IF(('user page'!$N$39=2),$N14^(L14^0.375),IF(('user page'!$N$39=4),$N14^(L14),IF(('user page'!$N$39=3),$N14^(LN(1+L14)),"")))))</f>
        <v>0.81107553600232762</v>
      </c>
      <c r="S14" s="15">
        <f>IF(('user page'!$N$39=0),$N14^(M14^0.25),IF(('user page'!$N$39=1),$N14^(M14^0.5),IF(('user page'!$N$39=2),$N14^(M14^0.375),IF(('user page'!$N$39=4),$N14^(M14),IF(('user page'!$N$39=3),$N14^(LN(1+M14)),"")))))</f>
        <v>0.7296314304722521</v>
      </c>
      <c r="T14" s="18">
        <f t="shared" si="13"/>
        <v>1</v>
      </c>
      <c r="U14" s="18">
        <f t="shared" si="13"/>
        <v>0.90602484952079476</v>
      </c>
      <c r="V14" s="18">
        <f t="shared" si="13"/>
        <v>0.87144478917259294</v>
      </c>
      <c r="W14" s="186">
        <f t="shared" si="13"/>
        <v>0.82757007307207764</v>
      </c>
      <c r="X14" s="186">
        <f t="shared" si="13"/>
        <v>0.74446966950544713</v>
      </c>
      <c r="Y14" s="31">
        <f t="shared" si="8"/>
        <v>8.7283386093505833E-2</v>
      </c>
      <c r="Z14" s="344">
        <f t="shared" si="14"/>
        <v>0.91271661390649417</v>
      </c>
      <c r="AA14" s="344">
        <f>'Inflammatory HD'!F14</f>
        <v>1</v>
      </c>
      <c r="AB14" s="356">
        <f>Z14*AA14*GBDUS!O48/($T14+$U14+$X14+V14+W14)</f>
        <v>3.6287443913080237E-4</v>
      </c>
      <c r="AC14" s="360">
        <f t="shared" si="15"/>
        <v>3.28773259108428E-4</v>
      </c>
      <c r="AD14" s="360">
        <f t="shared" si="15"/>
        <v>3.16225039104465E-4</v>
      </c>
      <c r="AE14" s="360">
        <f t="shared" si="15"/>
        <v>3.0030402610746731E-4</v>
      </c>
      <c r="AF14" s="360">
        <f t="shared" si="15"/>
        <v>2.7014901377168292E-4</v>
      </c>
      <c r="AG14" s="356">
        <f>Z14*AA14*GBDUS!$P48/($T14+$U14+$X14+V14+W14)</f>
        <v>8.8648056317196088E-3</v>
      </c>
      <c r="AH14" s="360">
        <f t="shared" si="16"/>
        <v>8.0317341885098523E-3</v>
      </c>
      <c r="AI14" s="360">
        <f t="shared" si="16"/>
        <v>7.7251886747899089E-3</v>
      </c>
      <c r="AJ14" s="360">
        <f t="shared" si="16"/>
        <v>7.336247844411962E-3</v>
      </c>
      <c r="AK14" s="360">
        <f t="shared" si="16"/>
        <v>6.599578918876324E-3</v>
      </c>
      <c r="AL14" s="356">
        <f>Z14*GBDUS!$Q48/($T14+$U14+$X14+V14+W14)</f>
        <v>1.6203057063898434E-3</v>
      </c>
      <c r="AM14" s="360">
        <f t="shared" si="17"/>
        <v>1.4680372338095429E-3</v>
      </c>
      <c r="AN14" s="360">
        <f t="shared" si="17"/>
        <v>1.4120069647000463E-3</v>
      </c>
      <c r="AO14" s="360">
        <f t="shared" si="17"/>
        <v>1.340916511836147E-3</v>
      </c>
      <c r="AP14" s="360">
        <f t="shared" si="17"/>
        <v>1.2062684537338367E-3</v>
      </c>
      <c r="AQ14" s="356">
        <f t="shared" si="9"/>
        <v>-1.5093580646575961E-4</v>
      </c>
      <c r="AR14" s="356">
        <f t="shared" si="10"/>
        <v>-3.6872715267318688E-3</v>
      </c>
      <c r="AS14" s="356">
        <f t="shared" si="11"/>
        <v>-6.739580475847958E-4</v>
      </c>
      <c r="AT14" s="356">
        <f t="shared" si="18"/>
        <v>-4.3612295743166649E-3</v>
      </c>
      <c r="AU14" s="361"/>
      <c r="AV14" s="361"/>
      <c r="AW14" s="361"/>
      <c r="AX14" s="361"/>
    </row>
    <row r="15" spans="1:50" s="351" customFormat="1" ht="12.75" x14ac:dyDescent="0.2">
      <c r="A15" s="347">
        <v>1</v>
      </c>
      <c r="B15" s="347">
        <v>2</v>
      </c>
      <c r="C15" s="347" t="s">
        <v>38</v>
      </c>
      <c r="D15" s="17">
        <f>Scenario!AN31</f>
        <v>1.2975056378007672</v>
      </c>
      <c r="E15" s="17">
        <f>Scenario!AO31</f>
        <v>2.9403312944072315</v>
      </c>
      <c r="F15" s="17">
        <f>Scenario!AP31</f>
        <v>5.1816368051153949</v>
      </c>
      <c r="G15" s="17">
        <f>Scenario!AQ31</f>
        <v>9.1314063932851113</v>
      </c>
      <c r="H15" s="17">
        <f>Scenario!AR31</f>
        <v>20.693058432975548</v>
      </c>
      <c r="I15" s="17">
        <f t="shared" si="12"/>
        <v>0.1</v>
      </c>
      <c r="J15" s="17">
        <f t="shared" si="1"/>
        <v>2.9403312944072315</v>
      </c>
      <c r="K15" s="17">
        <f t="shared" si="1"/>
        <v>5.1816368051153949</v>
      </c>
      <c r="L15" s="17">
        <f t="shared" si="1"/>
        <v>9.1314063932851113</v>
      </c>
      <c r="M15" s="17">
        <f t="shared" si="1"/>
        <v>20.693058432975548</v>
      </c>
      <c r="N15" s="19">
        <f>'Phy activity RRs'!$G$4</f>
        <v>0.93831941951583364</v>
      </c>
      <c r="O15" s="15">
        <f>IF(('user page'!$N$39=0),$N15^(I15^0.25),IF(('user page'!$N$39=1),$N15^(I15^0.5),IF(('user page'!$N$39=2),$N15^(I15^0.375),IF(('user page'!$N$39=4),$N15^(I15),IF(('user page'!$N$39=3),$N15^(LN(1+I15)),"")))))</f>
        <v>0.98006871247951299</v>
      </c>
      <c r="P15" s="15">
        <f>IF(('user page'!$N$39=0),$N15^(J15^0.25),IF(('user page'!$N$39=1),$N15^(J15^0.5),IF(('user page'!$N$39=2),$N15^(J15^0.375),IF(('user page'!$N$39=4),$N15^(J15),IF(('user page'!$N$39=3),$N15^(LN(1+J15)),"")))))</f>
        <v>0.89657920783922018</v>
      </c>
      <c r="Q15" s="15">
        <f>IF(('user page'!$N$39=0),$N15^(K15^0.25),IF(('user page'!$N$39=1),$N15^(K15^0.5),IF(('user page'!$N$39=2),$N15^(K15^0.375),IF(('user page'!$N$39=4),$N15^(K15),IF(('user page'!$N$39=3),$N15^(LN(1+K15)),"")))))</f>
        <v>0.86509007849558839</v>
      </c>
      <c r="R15" s="15">
        <f>IF(('user page'!$N$39=0),$N15^(L15^0.25),IF(('user page'!$N$39=1),$N15^(L15^0.5),IF(('user page'!$N$39=2),$N15^(L15^0.375),IF(('user page'!$N$39=4),$N15^(L15),IF(('user page'!$N$39=3),$N15^(LN(1+L15)),"")))))</f>
        <v>0.82499014210779475</v>
      </c>
      <c r="S15" s="15">
        <f>IF(('user page'!$N$39=0),$N15^(M15^0.25),IF(('user page'!$N$39=1),$N15^(M15^0.5),IF(('user page'!$N$39=2),$N15^(M15^0.375),IF(('user page'!$N$39=4),$N15^(M15),IF(('user page'!$N$39=3),$N15^(LN(1+M15)),"")))))</f>
        <v>0.74855617332045343</v>
      </c>
      <c r="T15" s="18">
        <f t="shared" si="13"/>
        <v>1</v>
      </c>
      <c r="U15" s="18">
        <f t="shared" si="13"/>
        <v>0.91481260081339655</v>
      </c>
      <c r="V15" s="18">
        <f t="shared" si="13"/>
        <v>0.88268308893053449</v>
      </c>
      <c r="W15" s="186">
        <f t="shared" si="13"/>
        <v>0.84176765527043595</v>
      </c>
      <c r="X15" s="186">
        <f t="shared" si="13"/>
        <v>0.7637792777066138</v>
      </c>
      <c r="Y15" s="31">
        <f t="shared" si="8"/>
        <v>8.0073261307696209E-2</v>
      </c>
      <c r="Z15" s="344">
        <f t="shared" si="14"/>
        <v>0.91992673869230379</v>
      </c>
      <c r="AA15" s="344">
        <f>'Inflammatory HD'!F15</f>
        <v>1</v>
      </c>
      <c r="AB15" s="356">
        <f>Z15*AA15*GBDUS!O49/($T15+$U15+$X15+V15+W15)</f>
        <v>7.3975363989047069E-4</v>
      </c>
      <c r="AC15" s="360">
        <f t="shared" si="15"/>
        <v>6.767359512693783E-4</v>
      </c>
      <c r="AD15" s="360">
        <f t="shared" si="15"/>
        <v>6.5296802790612693E-4</v>
      </c>
      <c r="AE15" s="360">
        <f t="shared" si="15"/>
        <v>6.2270068692837194E-4</v>
      </c>
      <c r="AF15" s="360">
        <f t="shared" si="15"/>
        <v>5.650085007563822E-4</v>
      </c>
      <c r="AG15" s="356">
        <f>Z15*AA15*GBDUS!$P49/($T15+$U15+$X15+V15+W15)</f>
        <v>1.321242132553033E-2</v>
      </c>
      <c r="AH15" s="360">
        <f t="shared" si="16"/>
        <v>1.2086889515850786E-2</v>
      </c>
      <c r="AI15" s="360">
        <f t="shared" si="16"/>
        <v>1.1662380867870779E-2</v>
      </c>
      <c r="AJ15" s="360">
        <f t="shared" si="16"/>
        <v>1.1121788919636772E-2</v>
      </c>
      <c r="AK15" s="360">
        <f t="shared" si="16"/>
        <v>1.0091373616769017E-2</v>
      </c>
      <c r="AL15" s="356">
        <f>Z15*GBDUS!$Q49/($T15+$U15+$X15+V15+W15)</f>
        <v>7.1314717310997696E-3</v>
      </c>
      <c r="AM15" s="360">
        <f t="shared" si="17"/>
        <v>6.5239602019545959E-3</v>
      </c>
      <c r="AN15" s="360">
        <f t="shared" si="17"/>
        <v>6.2948294962279303E-3</v>
      </c>
      <c r="AO15" s="360">
        <f t="shared" si="17"/>
        <v>6.0030422377152504E-3</v>
      </c>
      <c r="AP15" s="360">
        <f t="shared" si="17"/>
        <v>5.4468703277645164E-3</v>
      </c>
      <c r="AQ15" s="356">
        <f t="shared" si="9"/>
        <v>-2.8351384721185026E-4</v>
      </c>
      <c r="AR15" s="356">
        <f t="shared" si="10"/>
        <v>-5.0637187828364415E-3</v>
      </c>
      <c r="AS15" s="356">
        <f t="shared" si="11"/>
        <v>-2.7331680139701759E-3</v>
      </c>
      <c r="AT15" s="356">
        <f t="shared" si="18"/>
        <v>-7.7968867968066175E-3</v>
      </c>
      <c r="AU15" s="361"/>
      <c r="AV15" s="361"/>
      <c r="AW15" s="361"/>
      <c r="AX15" s="361"/>
    </row>
    <row r="16" spans="1:50" s="351" customFormat="1" ht="12.75" x14ac:dyDescent="0.2">
      <c r="A16" s="347">
        <v>1</v>
      </c>
      <c r="B16" s="347">
        <v>2</v>
      </c>
      <c r="C16" s="347" t="s">
        <v>37</v>
      </c>
      <c r="D16" s="17">
        <f>Scenario!AN32</f>
        <v>0.85341118968805019</v>
      </c>
      <c r="E16" s="17">
        <f>Scenario!AO32</f>
        <v>1.9339504622810642</v>
      </c>
      <c r="F16" s="17">
        <f>Scenario!AP32</f>
        <v>3.4081291838393759</v>
      </c>
      <c r="G16" s="17">
        <f>Scenario!AQ32</f>
        <v>6.0060196785172764</v>
      </c>
      <c r="H16" s="17">
        <f>Scenario!AR32</f>
        <v>13.610490082727217</v>
      </c>
      <c r="I16" s="17">
        <f t="shared" si="12"/>
        <v>0.1</v>
      </c>
      <c r="J16" s="17">
        <f t="shared" si="1"/>
        <v>0.1</v>
      </c>
      <c r="K16" s="17">
        <f t="shared" si="1"/>
        <v>3.4081291838393759</v>
      </c>
      <c r="L16" s="17">
        <f t="shared" si="1"/>
        <v>6.0060196785172764</v>
      </c>
      <c r="M16" s="17">
        <f t="shared" si="1"/>
        <v>13.610490082727217</v>
      </c>
      <c r="N16" s="19">
        <f>'Phy activity RRs'!$G$4</f>
        <v>0.93831941951583364</v>
      </c>
      <c r="O16" s="15">
        <f>IF(('user page'!$N$39=0),$N16^(I16^0.25),IF(('user page'!$N$39=1),$N16^(I16^0.5),IF(('user page'!$N$39=2),$N16^(I16^0.375),IF(('user page'!$N$39=4),$N16^(I16),IF(('user page'!$N$39=3),$N16^(LN(1+I16)),"")))))</f>
        <v>0.98006871247951299</v>
      </c>
      <c r="P16" s="15">
        <f>IF(('user page'!$N$39=0),$N16^(J16^0.25),IF(('user page'!$N$39=1),$N16^(J16^0.5),IF(('user page'!$N$39=2),$N16^(J16^0.375),IF(('user page'!$N$39=4),$N16^(J16),IF(('user page'!$N$39=3),$N16^(LN(1+J16)),"")))))</f>
        <v>0.98006871247951299</v>
      </c>
      <c r="Q16" s="15">
        <f>IF(('user page'!$N$39=0),$N16^(K16^0.25),IF(('user page'!$N$39=1),$N16^(K16^0.5),IF(('user page'!$N$39=2),$N16^(K16^0.375),IF(('user page'!$N$39=4),$N16^(K16),IF(('user page'!$N$39=3),$N16^(LN(1+K16)),"")))))</f>
        <v>0.88911166154691845</v>
      </c>
      <c r="R16" s="15">
        <f>IF(('user page'!$N$39=0),$N16^(L16^0.25),IF(('user page'!$N$39=1),$N16^(L16^0.5),IF(('user page'!$N$39=2),$N16^(L16^0.375),IF(('user page'!$N$39=4),$N16^(L16),IF(('user page'!$N$39=3),$N16^(LN(1+L16)),"")))))</f>
        <v>0.85553812707815702</v>
      </c>
      <c r="S16" s="15">
        <f>IF(('user page'!$N$39=0),$N16^(M16^0.25),IF(('user page'!$N$39=1),$N16^(M16^0.5),IF(('user page'!$N$39=2),$N16^(M16^0.375),IF(('user page'!$N$39=4),$N16^(M16),IF(('user page'!$N$39=3),$N16^(LN(1+M16)),"")))))</f>
        <v>0.7906697431408154</v>
      </c>
      <c r="T16" s="18">
        <f t="shared" si="13"/>
        <v>1</v>
      </c>
      <c r="U16" s="18">
        <f t="shared" si="13"/>
        <v>1</v>
      </c>
      <c r="V16" s="18">
        <f t="shared" si="13"/>
        <v>0.90719318985045561</v>
      </c>
      <c r="W16" s="186">
        <f t="shared" si="13"/>
        <v>0.87293688308210415</v>
      </c>
      <c r="X16" s="186">
        <f t="shared" si="13"/>
        <v>0.80674929530243855</v>
      </c>
      <c r="Y16" s="31">
        <f t="shared" si="8"/>
        <v>6.3110106265750643E-2</v>
      </c>
      <c r="Z16" s="344">
        <f t="shared" si="14"/>
        <v>0.93688989373424936</v>
      </c>
      <c r="AA16" s="344">
        <f>'Inflammatory HD'!F16</f>
        <v>1</v>
      </c>
      <c r="AB16" s="356">
        <f>Z16*AA16*GBDUS!O50/($T16+$U16+$X16+V16+W16)</f>
        <v>1.2955355388903991E-3</v>
      </c>
      <c r="AC16" s="360">
        <f t="shared" si="15"/>
        <v>1.2955355388903991E-3</v>
      </c>
      <c r="AD16" s="360">
        <f t="shared" si="15"/>
        <v>1.1753010180906101E-3</v>
      </c>
      <c r="AE16" s="360">
        <f t="shared" si="15"/>
        <v>1.1309207552410792E-3</v>
      </c>
      <c r="AF16" s="360">
        <f t="shared" si="15"/>
        <v>1.0451723830390944E-3</v>
      </c>
      <c r="AG16" s="356">
        <f>Z16*AA16*GBDUS!$P50/($T16+$U16+$X16+V16+W16)</f>
        <v>1.5488025879259324E-2</v>
      </c>
      <c r="AH16" s="360">
        <f t="shared" si="16"/>
        <v>1.5488025879259324E-2</v>
      </c>
      <c r="AI16" s="360">
        <f t="shared" si="16"/>
        <v>1.4050631601891673E-2</v>
      </c>
      <c r="AJ16" s="360">
        <f t="shared" si="16"/>
        <v>1.3520069036135601E-2</v>
      </c>
      <c r="AK16" s="360">
        <f t="shared" si="16"/>
        <v>1.2494953963718391E-2</v>
      </c>
      <c r="AL16" s="356">
        <f>Z16*GBDUS!$Q50/($T16+$U16+$X16+V16+W16)</f>
        <v>1.1218161858935434E-2</v>
      </c>
      <c r="AM16" s="360">
        <f t="shared" si="17"/>
        <v>1.1218161858935434E-2</v>
      </c>
      <c r="AN16" s="360">
        <f t="shared" si="17"/>
        <v>1.0177040041066353E-2</v>
      </c>
      <c r="AO16" s="360">
        <f t="shared" si="17"/>
        <v>9.7927472470496404E-3</v>
      </c>
      <c r="AP16" s="360">
        <f t="shared" si="17"/>
        <v>9.0502441742848546E-3</v>
      </c>
      <c r="AQ16" s="356">
        <f t="shared" si="9"/>
        <v>-4.0029208866054116E-4</v>
      </c>
      <c r="AR16" s="356">
        <f t="shared" si="10"/>
        <v>-4.7854605623147747E-3</v>
      </c>
      <c r="AS16" s="356">
        <f t="shared" si="11"/>
        <v>-3.4661661580440723E-3</v>
      </c>
      <c r="AT16" s="356">
        <f t="shared" si="18"/>
        <v>-8.251626720358847E-3</v>
      </c>
      <c r="AU16" s="361"/>
      <c r="AV16" s="361"/>
      <c r="AW16" s="361"/>
      <c r="AX16" s="361"/>
    </row>
    <row r="17" spans="1:50" s="351" customFormat="1" ht="12.75" x14ac:dyDescent="0.2">
      <c r="A17" s="347">
        <v>1</v>
      </c>
      <c r="B17" s="347">
        <v>2</v>
      </c>
      <c r="C17" s="347" t="s">
        <v>36</v>
      </c>
      <c r="D17" s="17">
        <f>Scenario!AN33</f>
        <v>0.77504695374177146</v>
      </c>
      <c r="E17" s="17">
        <f>Scenario!AO33</f>
        <v>1.7563660197920845</v>
      </c>
      <c r="F17" s="17">
        <f>Scenario!AP33</f>
        <v>3.0951787061272027</v>
      </c>
      <c r="G17" s="17">
        <f>Scenario!AQ33</f>
        <v>5.4545186566507038</v>
      </c>
      <c r="H17" s="17">
        <f>Scenario!AR33</f>
        <v>12.360710762892898</v>
      </c>
      <c r="I17" s="17">
        <f t="shared" si="12"/>
        <v>0.1</v>
      </c>
      <c r="J17" s="17">
        <f t="shared" si="1"/>
        <v>0.1</v>
      </c>
      <c r="K17" s="17">
        <f t="shared" si="1"/>
        <v>3.0951787061272027</v>
      </c>
      <c r="L17" s="17">
        <f t="shared" si="1"/>
        <v>5.4545186566507038</v>
      </c>
      <c r="M17" s="17">
        <f t="shared" si="1"/>
        <v>12.360710762892898</v>
      </c>
      <c r="N17" s="19">
        <f>'Phy activity RRs'!$G$4</f>
        <v>0.93831941951583364</v>
      </c>
      <c r="O17" s="15">
        <f>IF(('user page'!$N$39=0),$N17^(I17^0.25),IF(('user page'!$N$39=1),$N17^(I17^0.5),IF(('user page'!$N$39=2),$N17^(I17^0.375),IF(('user page'!$N$39=4),$N17^(I17),IF(('user page'!$N$39=3),$N17^(LN(1+I17)),"")))))</f>
        <v>0.98006871247951299</v>
      </c>
      <c r="P17" s="15">
        <f>IF(('user page'!$N$39=0),$N17^(J17^0.25),IF(('user page'!$N$39=1),$N17^(J17^0.5),IF(('user page'!$N$39=2),$N17^(J17^0.375),IF(('user page'!$N$39=4),$N17^(J17),IF(('user page'!$N$39=3),$N17^(LN(1+J17)),"")))))</f>
        <v>0.98006871247951299</v>
      </c>
      <c r="Q17" s="15">
        <f>IF(('user page'!$N$39=0),$N17^(K17^0.25),IF(('user page'!$N$39=1),$N17^(K17^0.5),IF(('user page'!$N$39=2),$N17^(K17^0.375),IF(('user page'!$N$39=4),$N17^(K17),IF(('user page'!$N$39=3),$N17^(LN(1+K17)),"")))))</f>
        <v>0.89403858572624817</v>
      </c>
      <c r="R17" s="15">
        <f>IF(('user page'!$N$39=0),$N17^(L17^0.25),IF(('user page'!$N$39=1),$N17^(L17^0.5),IF(('user page'!$N$39=2),$N17^(L17^0.375),IF(('user page'!$N$39=4),$N17^(L17),IF(('user page'!$N$39=3),$N17^(LN(1+L17)),"")))))</f>
        <v>0.861837360614092</v>
      </c>
      <c r="S17" s="15">
        <f>IF(('user page'!$N$39=0),$N17^(M17^0.25),IF(('user page'!$N$39=1),$N17^(M17^0.5),IF(('user page'!$N$39=2),$N17^(M17^0.375),IF(('user page'!$N$39=4),$N17^(M17),IF(('user page'!$N$39=3),$N17^(LN(1+M17)),"")))))</f>
        <v>0.79944971740092752</v>
      </c>
      <c r="T17" s="18">
        <f t="shared" si="13"/>
        <v>1</v>
      </c>
      <c r="U17" s="18">
        <f t="shared" si="13"/>
        <v>1</v>
      </c>
      <c r="V17" s="18">
        <f t="shared" si="13"/>
        <v>0.91222031102736256</v>
      </c>
      <c r="W17" s="186">
        <f t="shared" si="13"/>
        <v>0.87936422175308193</v>
      </c>
      <c r="X17" s="186">
        <f t="shared" si="13"/>
        <v>0.8157078245854511</v>
      </c>
      <c r="Y17" s="31">
        <f t="shared" si="8"/>
        <v>5.9996094910016007E-2</v>
      </c>
      <c r="Z17" s="344">
        <f t="shared" si="14"/>
        <v>0.94000390508998399</v>
      </c>
      <c r="AA17" s="344">
        <f>'Inflammatory HD'!F17</f>
        <v>1</v>
      </c>
      <c r="AB17" s="356">
        <f>Z17*AA17*GBDUS!O51/($T17+$U17+$X17+V17+W17)</f>
        <v>5.0299181207232643E-3</v>
      </c>
      <c r="AC17" s="360">
        <f t="shared" si="15"/>
        <v>5.0299181207232643E-3</v>
      </c>
      <c r="AD17" s="360">
        <f t="shared" si="15"/>
        <v>4.5883934725283433E-3</v>
      </c>
      <c r="AE17" s="360">
        <f t="shared" si="15"/>
        <v>4.4231300337115378E-3</v>
      </c>
      <c r="AF17" s="360">
        <f t="shared" si="15"/>
        <v>4.1029435680981141E-3</v>
      </c>
      <c r="AG17" s="356">
        <f>Z17*AA17*GBDUS!$P51/($T17+$U17+$X17+V17+W17)</f>
        <v>3.8406904819890314E-2</v>
      </c>
      <c r="AH17" s="360">
        <f t="shared" si="16"/>
        <v>3.8406904819890314E-2</v>
      </c>
      <c r="AI17" s="360">
        <f t="shared" si="16"/>
        <v>3.5035558660398654E-2</v>
      </c>
      <c r="AJ17" s="360">
        <f t="shared" si="16"/>
        <v>3.3773657966887534E-2</v>
      </c>
      <c r="AK17" s="360">
        <f t="shared" si="16"/>
        <v>3.1328812779693203E-2</v>
      </c>
      <c r="AL17" s="356">
        <f>Z17*GBDUS!$Q51/($T17+$U17+$X17+V17+W17)</f>
        <v>1.4941500865898816E-2</v>
      </c>
      <c r="AM17" s="360">
        <f t="shared" si="17"/>
        <v>1.4941500865898816E-2</v>
      </c>
      <c r="AN17" s="360">
        <f t="shared" si="17"/>
        <v>1.3629940567105824E-2</v>
      </c>
      <c r="AO17" s="360">
        <f t="shared" si="17"/>
        <v>1.3139021280764112E-2</v>
      </c>
      <c r="AP17" s="360">
        <f t="shared" si="17"/>
        <v>1.2187899167363958E-2</v>
      </c>
      <c r="AQ17" s="356">
        <f t="shared" si="9"/>
        <v>-1.4791084310168019E-3</v>
      </c>
      <c r="AR17" s="356">
        <f t="shared" si="10"/>
        <v>-1.1294016197661474E-2</v>
      </c>
      <c r="AS17" s="356">
        <f t="shared" si="11"/>
        <v>-4.3937295543128828E-3</v>
      </c>
      <c r="AT17" s="356">
        <f t="shared" si="18"/>
        <v>-1.5687745751974357E-2</v>
      </c>
      <c r="AU17" s="361"/>
      <c r="AV17" s="361"/>
      <c r="AW17" s="361"/>
      <c r="AX17" s="361"/>
    </row>
    <row r="18" spans="1:50" s="351" customFormat="1" ht="12.75" x14ac:dyDescent="0.2">
      <c r="A18" s="347">
        <v>1</v>
      </c>
      <c r="B18" s="347">
        <v>2</v>
      </c>
      <c r="C18" s="347" t="s">
        <v>35</v>
      </c>
      <c r="D18" s="17">
        <f>Scenario!AN34</f>
        <v>0.40295615512215294</v>
      </c>
      <c r="E18" s="17">
        <f>Scenario!AO34</f>
        <v>0.91315564161087048</v>
      </c>
      <c r="F18" s="17">
        <f>Scenario!AP34</f>
        <v>1.6092203250598482</v>
      </c>
      <c r="G18" s="17">
        <f>Scenario!AQ34</f>
        <v>2.8358693048399783</v>
      </c>
      <c r="H18" s="17">
        <f>Scenario!AR34</f>
        <v>6.4264809500197613</v>
      </c>
      <c r="I18" s="17">
        <f t="shared" si="12"/>
        <v>0.1</v>
      </c>
      <c r="J18" s="17">
        <f t="shared" si="1"/>
        <v>0.1</v>
      </c>
      <c r="K18" s="17">
        <f t="shared" si="1"/>
        <v>0.1</v>
      </c>
      <c r="L18" s="17">
        <f t="shared" si="1"/>
        <v>2.8358693048399783</v>
      </c>
      <c r="M18" s="17">
        <f t="shared" si="1"/>
        <v>6.4264809500197613</v>
      </c>
      <c r="N18" s="19">
        <f>'Phy activity RRs'!$G$4</f>
        <v>0.93831941951583364</v>
      </c>
      <c r="O18" s="15">
        <f>IF(('user page'!$N$39=0),$N18^(I18^0.25),IF(('user page'!$N$39=1),$N18^(I18^0.5),IF(('user page'!$N$39=2),$N18^(I18^0.375),IF(('user page'!$N$39=4),$N18^(I18),IF(('user page'!$N$39=3),$N18^(LN(1+I18)),"")))))</f>
        <v>0.98006871247951299</v>
      </c>
      <c r="P18" s="15">
        <f>IF(('user page'!$N$39=0),$N18^(J18^0.25),IF(('user page'!$N$39=1),$N18^(J18^0.5),IF(('user page'!$N$39=2),$N18^(J18^0.375),IF(('user page'!$N$39=4),$N18^(J18),IF(('user page'!$N$39=3),$N18^(LN(1+J18)),"")))))</f>
        <v>0.98006871247951299</v>
      </c>
      <c r="Q18" s="15">
        <f>IF(('user page'!$N$39=0),$N18^(K18^0.25),IF(('user page'!$N$39=1),$N18^(K18^0.5),IF(('user page'!$N$39=2),$N18^(K18^0.375),IF(('user page'!$N$39=4),$N18^(K18),IF(('user page'!$N$39=3),$N18^(LN(1+K18)),"")))))</f>
        <v>0.98006871247951299</v>
      </c>
      <c r="R18" s="15">
        <f>IF(('user page'!$N$39=0),$N18^(L18^0.25),IF(('user page'!$N$39=1),$N18^(L18^0.5),IF(('user page'!$N$39=2),$N18^(L18^0.375),IF(('user page'!$N$39=4),$N18^(L18),IF(('user page'!$N$39=3),$N18^(LN(1+L18)),"")))))</f>
        <v>0.89833532430771834</v>
      </c>
      <c r="S18" s="15">
        <f>IF(('user page'!$N$39=0),$N18^(M18^0.25),IF(('user page'!$N$39=1),$N18^(M18^0.5),IF(('user page'!$N$39=2),$N18^(M18^0.375),IF(('user page'!$N$39=4),$N18^(M18),IF(('user page'!$N$39=3),$N18^(LN(1+M18)),"")))))</f>
        <v>0.85095704938262029</v>
      </c>
      <c r="T18" s="18">
        <f t="shared" si="13"/>
        <v>1</v>
      </c>
      <c r="U18" s="18">
        <f t="shared" si="13"/>
        <v>1</v>
      </c>
      <c r="V18" s="18">
        <f t="shared" si="13"/>
        <v>1</v>
      </c>
      <c r="W18" s="186">
        <f t="shared" si="13"/>
        <v>0.91660443075974307</v>
      </c>
      <c r="X18" s="186">
        <f t="shared" si="13"/>
        <v>0.86826264173840606</v>
      </c>
      <c r="Y18" s="31">
        <f t="shared" si="8"/>
        <v>4.3026585500370307E-2</v>
      </c>
      <c r="Z18" s="344">
        <f t="shared" si="14"/>
        <v>0.95697341449962969</v>
      </c>
      <c r="AA18" s="344">
        <f>'Inflammatory HD'!F18</f>
        <v>1</v>
      </c>
      <c r="AB18" s="356">
        <f>Z18*AA18*GBDUS!O52/($T18+$U18+$X18+V18+W18)</f>
        <v>1.0220831628070045E-2</v>
      </c>
      <c r="AC18" s="360">
        <f t="shared" si="15"/>
        <v>1.0220831628070045E-2</v>
      </c>
      <c r="AD18" s="360">
        <f t="shared" si="15"/>
        <v>1.0220831628070045E-2</v>
      </c>
      <c r="AE18" s="360">
        <f t="shared" si="15"/>
        <v>9.3684595563383218E-3</v>
      </c>
      <c r="AF18" s="360">
        <f t="shared" si="15"/>
        <v>8.874366270151552E-3</v>
      </c>
      <c r="AG18" s="356">
        <f>Z18*AA18*GBDUS!$P52/($T18+$U18+$X18+V18+W18)</f>
        <v>3.1783910925247412E-2</v>
      </c>
      <c r="AH18" s="360">
        <f t="shared" si="16"/>
        <v>3.1783910925247412E-2</v>
      </c>
      <c r="AI18" s="360">
        <f t="shared" si="16"/>
        <v>3.1783910925247412E-2</v>
      </c>
      <c r="AJ18" s="360">
        <f t="shared" si="16"/>
        <v>2.9133273580954782E-2</v>
      </c>
      <c r="AK18" s="360">
        <f t="shared" si="16"/>
        <v>2.7596782464733505E-2</v>
      </c>
      <c r="AL18" s="356">
        <f>Z18*GBDUS!$Q52/($T18+$U18+$X18+V18+W18)</f>
        <v>2.6565540444941794E-3</v>
      </c>
      <c r="AM18" s="360">
        <f t="shared" si="17"/>
        <v>2.6565540444941794E-3</v>
      </c>
      <c r="AN18" s="360">
        <f t="shared" si="17"/>
        <v>2.6565540444941794E-3</v>
      </c>
      <c r="AO18" s="360">
        <f t="shared" si="17"/>
        <v>2.4350092077360806E-3</v>
      </c>
      <c r="AP18" s="360">
        <f t="shared" si="17"/>
        <v>2.3065866325933633E-3</v>
      </c>
      <c r="AQ18" s="356">
        <f t="shared" si="9"/>
        <v>-2.1988374296502203E-3</v>
      </c>
      <c r="AR18" s="356">
        <f t="shared" si="10"/>
        <v>-6.837765804806592E-3</v>
      </c>
      <c r="AS18" s="356">
        <f t="shared" si="11"/>
        <v>-5.7151224865891435E-4</v>
      </c>
      <c r="AT18" s="356">
        <f t="shared" si="18"/>
        <v>-7.4092780534655064E-3</v>
      </c>
      <c r="AU18" s="361"/>
      <c r="AV18" s="361"/>
      <c r="AW18" s="361"/>
      <c r="AX18" s="361"/>
    </row>
    <row r="19" spans="1:50" s="351" customFormat="1" ht="12.75" x14ac:dyDescent="0.2">
      <c r="A19" s="347"/>
      <c r="B19" s="347"/>
      <c r="C19" s="347"/>
      <c r="D19" s="17"/>
      <c r="E19" s="16"/>
      <c r="F19" s="17"/>
      <c r="G19" s="16"/>
      <c r="H19" s="17"/>
      <c r="I19" s="17"/>
      <c r="J19" s="17"/>
      <c r="K19" s="17"/>
      <c r="L19" s="17"/>
      <c r="M19" s="17"/>
      <c r="N19" s="19"/>
      <c r="O19" s="15"/>
      <c r="P19" s="15"/>
      <c r="Q19" s="15"/>
      <c r="R19" s="15"/>
      <c r="S19" s="15"/>
      <c r="T19" s="18"/>
      <c r="U19" s="18"/>
      <c r="V19" s="18"/>
      <c r="W19" s="186"/>
      <c r="X19" s="187"/>
      <c r="Y19" s="358"/>
      <c r="Z19" s="360"/>
      <c r="AA19" s="362"/>
      <c r="AB19" s="356"/>
      <c r="AC19" s="360"/>
      <c r="AD19" s="360"/>
      <c r="AE19" s="360"/>
      <c r="AF19" s="360"/>
      <c r="AG19" s="356"/>
      <c r="AH19" s="360"/>
      <c r="AI19" s="360"/>
      <c r="AJ19" s="360"/>
      <c r="AK19" s="360"/>
      <c r="AL19" s="356"/>
      <c r="AM19" s="360"/>
      <c r="AN19" s="360"/>
      <c r="AO19" s="360"/>
      <c r="AP19" s="360"/>
      <c r="AQ19" s="363">
        <f>SUM(AQ3:AQ18)</f>
        <v>-1.312695056307491E-2</v>
      </c>
      <c r="AR19" s="363">
        <f>SUM(AR3:AR18)</f>
        <v>-0.10245850486706712</v>
      </c>
      <c r="AS19" s="363">
        <f>SUM(AS3:AS18)</f>
        <v>-2.2158793949289261E-2</v>
      </c>
      <c r="AT19" s="363">
        <f>SUM(AT3:AT18)</f>
        <v>-0.12461729881635637</v>
      </c>
      <c r="AU19" s="361"/>
      <c r="AV19" s="361"/>
      <c r="AW19" s="361"/>
      <c r="AX19" s="361"/>
    </row>
    <row r="20" spans="1:50" s="351" customFormat="1" ht="12.75" x14ac:dyDescent="0.2">
      <c r="A20" s="347">
        <v>0</v>
      </c>
      <c r="B20" s="347">
        <v>1</v>
      </c>
      <c r="C20" s="347" t="s">
        <v>2</v>
      </c>
      <c r="D20" s="17"/>
      <c r="E20" s="17"/>
      <c r="F20" s="17"/>
      <c r="G20" s="17"/>
      <c r="H20" s="17"/>
      <c r="I20" s="17"/>
      <c r="J20" s="17"/>
      <c r="K20" s="17"/>
      <c r="L20" s="17"/>
      <c r="M20" s="17"/>
      <c r="N20" s="19"/>
      <c r="O20" s="15"/>
      <c r="P20" s="15"/>
      <c r="Q20" s="15"/>
      <c r="R20" s="15"/>
      <c r="S20" s="15"/>
      <c r="T20" s="18"/>
      <c r="U20" s="18"/>
      <c r="V20" s="18"/>
      <c r="W20" s="186"/>
      <c r="X20" s="186"/>
      <c r="Y20" s="358"/>
      <c r="Z20" s="360"/>
      <c r="AA20" s="360"/>
      <c r="AB20" s="356"/>
      <c r="AC20" s="360"/>
      <c r="AD20" s="360"/>
      <c r="AE20" s="360"/>
      <c r="AF20" s="360"/>
      <c r="AG20" s="356"/>
      <c r="AH20" s="360"/>
      <c r="AI20" s="360"/>
      <c r="AJ20" s="360"/>
      <c r="AK20" s="360"/>
      <c r="AL20" s="356"/>
      <c r="AM20" s="360"/>
      <c r="AN20" s="360"/>
      <c r="AO20" s="360"/>
      <c r="AP20" s="360"/>
      <c r="AQ20" s="33">
        <f>AQ19/GBDUS!O53</f>
        <v>-6.1585428311077516E-2</v>
      </c>
      <c r="AR20" s="33">
        <f>AR19/GBDUS!P53</f>
        <v>-6.9153623977227921E-2</v>
      </c>
      <c r="AS20" s="33">
        <f>AS19/GBDUS!Q53</f>
        <v>-6.8905505163248226E-2</v>
      </c>
      <c r="AT20" s="33">
        <f>AT19/GBDUS!R53</f>
        <v>-6.9109374257728298E-2</v>
      </c>
      <c r="AU20" s="364"/>
      <c r="AV20" s="364"/>
      <c r="AW20" s="364"/>
      <c r="AX20" s="364"/>
    </row>
    <row r="21" spans="1:50" s="351" customFormat="1" ht="12.75" x14ac:dyDescent="0.2">
      <c r="A21" s="347">
        <v>0</v>
      </c>
      <c r="B21" s="347">
        <v>1</v>
      </c>
      <c r="C21" s="347" t="s">
        <v>41</v>
      </c>
      <c r="D21" s="17"/>
      <c r="E21" s="17"/>
      <c r="F21" s="17"/>
      <c r="G21" s="17"/>
      <c r="H21" s="17"/>
      <c r="I21" s="17"/>
      <c r="J21" s="17"/>
      <c r="K21" s="17"/>
      <c r="L21" s="17"/>
      <c r="M21" s="17"/>
      <c r="N21" s="19"/>
      <c r="O21" s="15"/>
      <c r="P21" s="15"/>
      <c r="Q21" s="15"/>
      <c r="R21" s="15"/>
      <c r="S21" s="15"/>
      <c r="T21" s="18"/>
      <c r="U21" s="18"/>
      <c r="V21" s="18"/>
      <c r="W21" s="186"/>
      <c r="X21" s="186"/>
      <c r="Y21" s="358"/>
      <c r="Z21" s="360"/>
      <c r="AA21" s="360"/>
      <c r="AB21" s="356"/>
      <c r="AC21" s="360"/>
      <c r="AD21" s="360"/>
      <c r="AE21" s="360"/>
      <c r="AF21" s="360"/>
      <c r="AG21" s="356"/>
      <c r="AH21" s="360"/>
      <c r="AI21" s="360"/>
      <c r="AJ21" s="360"/>
      <c r="AK21" s="360"/>
      <c r="AL21" s="356"/>
      <c r="AM21" s="360"/>
      <c r="AN21" s="360"/>
      <c r="AO21" s="360"/>
      <c r="AP21" s="360"/>
      <c r="AQ21" s="357"/>
      <c r="AR21" s="357"/>
      <c r="AS21" s="357"/>
      <c r="AT21" s="357"/>
      <c r="AU21" s="364"/>
      <c r="AV21" s="364"/>
      <c r="AW21" s="364"/>
      <c r="AX21" s="364"/>
    </row>
    <row r="22" spans="1:50" s="351" customFormat="1" ht="12.75" x14ac:dyDescent="0.2">
      <c r="A22" s="347">
        <v>0</v>
      </c>
      <c r="B22" s="347">
        <v>1</v>
      </c>
      <c r="C22" s="347" t="s">
        <v>40</v>
      </c>
      <c r="D22" s="17">
        <f>Baseline!AN21</f>
        <v>0.60295678095886318</v>
      </c>
      <c r="E22" s="17">
        <f>Baseline!AO21</f>
        <v>1.3663853478381727</v>
      </c>
      <c r="F22" s="17">
        <f>Baseline!AP21</f>
        <v>2.4079302294253959</v>
      </c>
      <c r="G22" s="17">
        <f>Baseline!AQ21</f>
        <v>4.2434061510935761</v>
      </c>
      <c r="H22" s="17">
        <f>Baseline!AR21</f>
        <v>9.6161585255912687</v>
      </c>
      <c r="I22" s="17">
        <f t="shared" ref="I22:M27" si="19">IF(D22&gt;2.5,D22,0.1)</f>
        <v>0.1</v>
      </c>
      <c r="J22" s="17">
        <f t="shared" si="19"/>
        <v>0.1</v>
      </c>
      <c r="K22" s="17">
        <f t="shared" si="19"/>
        <v>0.1</v>
      </c>
      <c r="L22" s="17">
        <f t="shared" si="19"/>
        <v>4.2434061510935761</v>
      </c>
      <c r="M22" s="17">
        <f t="shared" si="19"/>
        <v>9.6161585255912687</v>
      </c>
      <c r="N22" s="19">
        <f>'Phy activity RRs'!$G$4</f>
        <v>0.93831941951583364</v>
      </c>
      <c r="O22" s="15">
        <f>IF(('user page'!$N$39=0),$N22^(I22^0.25),IF(('user page'!$N$39=1),$N22^(I22^0.5),IF(('user page'!$N$39=2),$N22^(I22^0.375),IF(('user page'!$N$39=4),$N22^(I22),IF(('user page'!$N$39=3),$N22^(LN(1+I22)),"")))))</f>
        <v>0.98006871247951299</v>
      </c>
      <c r="P22" s="15">
        <f>IF(('user page'!$N$39=0),$N22^(J22^0.25),IF(('user page'!$N$39=1),$N22^(J22^0.5),IF(('user page'!$N$39=2),$N22^(J22^0.375),IF(('user page'!$N$39=4),$N22^(J22),IF(('user page'!$N$39=3),$N22^(LN(1+J22)),"")))))</f>
        <v>0.98006871247951299</v>
      </c>
      <c r="Q22" s="15">
        <f>IF(('user page'!$N$39=0),$N22^(K22^0.25),IF(('user page'!$N$39=1),$N22^(K22^0.5),IF(('user page'!$N$39=2),$N22^(K22^0.375),IF(('user page'!$N$39=4),$N22^(K22),IF(('user page'!$N$39=3),$N22^(LN(1+K22)),"")))))</f>
        <v>0.98006871247951299</v>
      </c>
      <c r="R22" s="15">
        <f>IF(('user page'!$N$39=0),$N22^(L22^0.25),IF(('user page'!$N$39=1),$N22^(L22^0.5),IF(('user page'!$N$39=2),$N22^(L22^0.375),IF(('user page'!$N$39=4),$N22^(L22),IF(('user page'!$N$39=3),$N22^(LN(1+L22)),"")))))</f>
        <v>0.87708917787065044</v>
      </c>
      <c r="S22" s="15">
        <f>IF(('user page'!$N$39=0),$N22^(M22^0.25),IF(('user page'!$N$39=1),$N22^(M22^0.5),IF(('user page'!$N$39=2),$N22^(M22^0.375),IF(('user page'!$N$39=4),$N22^(M22),IF(('user page'!$N$39=3),$N22^(LN(1+M22)),"")))))</f>
        <v>0.8208422919437548</v>
      </c>
      <c r="T22" s="18">
        <f t="shared" ref="T22:X27" si="20">O22/$O22</f>
        <v>1</v>
      </c>
      <c r="U22" s="18">
        <f t="shared" si="20"/>
        <v>1</v>
      </c>
      <c r="V22" s="18">
        <f t="shared" si="20"/>
        <v>1</v>
      </c>
      <c r="W22" s="186">
        <f t="shared" si="20"/>
        <v>0.89492620946103796</v>
      </c>
      <c r="X22" s="186">
        <f t="shared" si="20"/>
        <v>0.83753545184303946</v>
      </c>
      <c r="Y22" s="358"/>
      <c r="Z22" s="360"/>
      <c r="AA22" s="360"/>
      <c r="AB22" s="356">
        <f>GBDUS!O39/($T22+$U22+$X22+V22+W22)</f>
        <v>5.1646672403981534E-5</v>
      </c>
      <c r="AC22" s="360">
        <f t="shared" ref="AC22:AF27" si="21">$AB22*U22</f>
        <v>5.1646672403981534E-5</v>
      </c>
      <c r="AD22" s="360">
        <f t="shared" si="21"/>
        <v>5.1646672403981534E-5</v>
      </c>
      <c r="AE22" s="360">
        <f t="shared" si="21"/>
        <v>4.6219960765771187E-5</v>
      </c>
      <c r="AF22" s="360">
        <f t="shared" si="21"/>
        <v>4.3255919108058113E-5</v>
      </c>
      <c r="AG22" s="356">
        <f>GBDUS!P39/($T22+$U22+$X22+V22+W22)</f>
        <v>1.4888916474517188E-3</v>
      </c>
      <c r="AH22" s="360">
        <f t="shared" ref="AH22:AK27" si="22">$AG22*U22</f>
        <v>1.4888916474517188E-3</v>
      </c>
      <c r="AI22" s="360">
        <f t="shared" si="22"/>
        <v>1.4888916474517188E-3</v>
      </c>
      <c r="AJ22" s="360">
        <f t="shared" si="22"/>
        <v>1.3324481583521668E-3</v>
      </c>
      <c r="AK22" s="360">
        <f t="shared" si="22"/>
        <v>1.2469995386938026E-3</v>
      </c>
      <c r="AL22" s="356">
        <f>GBDUS!Q39/($T22+$U22+$X22+V22+W22)</f>
        <v>4.4349082773846907E-4</v>
      </c>
      <c r="AM22" s="360">
        <f t="shared" ref="AM22:AP27" si="23">U22*$AL22</f>
        <v>4.4349082773846907E-4</v>
      </c>
      <c r="AN22" s="360">
        <f t="shared" si="23"/>
        <v>4.4349082773846907E-4</v>
      </c>
      <c r="AO22" s="360">
        <f t="shared" si="23"/>
        <v>3.9689156539872628E-4</v>
      </c>
      <c r="AP22" s="360">
        <f t="shared" si="23"/>
        <v>3.7143929079818229E-4</v>
      </c>
      <c r="AQ22" s="357"/>
      <c r="AR22" s="357"/>
      <c r="AS22" s="357"/>
      <c r="AT22" s="357"/>
      <c r="AU22" s="364"/>
      <c r="AV22" s="364"/>
      <c r="AW22" s="364"/>
      <c r="AX22" s="364"/>
    </row>
    <row r="23" spans="1:50" s="351" customFormat="1" ht="12.75" x14ac:dyDescent="0.2">
      <c r="A23" s="347">
        <v>0</v>
      </c>
      <c r="B23" s="347">
        <v>1</v>
      </c>
      <c r="C23" s="347" t="s">
        <v>39</v>
      </c>
      <c r="D23" s="17">
        <f>Baseline!AN22</f>
        <v>0.34976362929541344</v>
      </c>
      <c r="E23" s="17">
        <f>Baseline!AO22</f>
        <v>0.79261385453854083</v>
      </c>
      <c r="F23" s="17">
        <f>Baseline!AP22</f>
        <v>1.396794003700613</v>
      </c>
      <c r="G23" s="17">
        <f>Baseline!AQ22</f>
        <v>2.4615182760208985</v>
      </c>
      <c r="H23" s="17">
        <f>Baseline!AR22</f>
        <v>5.5781485705196889</v>
      </c>
      <c r="I23" s="17">
        <f t="shared" si="19"/>
        <v>0.1</v>
      </c>
      <c r="J23" s="17">
        <f t="shared" si="19"/>
        <v>0.1</v>
      </c>
      <c r="K23" s="17">
        <f t="shared" si="19"/>
        <v>0.1</v>
      </c>
      <c r="L23" s="17">
        <f t="shared" si="19"/>
        <v>0.1</v>
      </c>
      <c r="M23" s="17">
        <f t="shared" si="19"/>
        <v>5.5781485705196889</v>
      </c>
      <c r="N23" s="19">
        <f>'Phy activity RRs'!$G$4</f>
        <v>0.93831941951583364</v>
      </c>
      <c r="O23" s="15">
        <f>IF(('user page'!$N$39=0),$N23^(I23^0.25),IF(('user page'!$N$39=1),$N23^(I23^0.5),IF(('user page'!$N$39=2),$N23^(I23^0.375),IF(('user page'!$N$39=4),$N23^(I23),IF(('user page'!$N$39=3),$N23^(LN(1+I23)),"")))))</f>
        <v>0.98006871247951299</v>
      </c>
      <c r="P23" s="15">
        <f>IF(('user page'!$N$39=0),$N23^(J23^0.25),IF(('user page'!$N$39=1),$N23^(J23^0.5),IF(('user page'!$N$39=2),$N23^(J23^0.375),IF(('user page'!$N$39=4),$N23^(J23),IF(('user page'!$N$39=3),$N23^(LN(1+J23)),"")))))</f>
        <v>0.98006871247951299</v>
      </c>
      <c r="Q23" s="15">
        <f>IF(('user page'!$N$39=0),$N23^(K23^0.25),IF(('user page'!$N$39=1),$N23^(K23^0.5),IF(('user page'!$N$39=2),$N23^(K23^0.375),IF(('user page'!$N$39=4),$N23^(K23),IF(('user page'!$N$39=3),$N23^(LN(1+K23)),"")))))</f>
        <v>0.98006871247951299</v>
      </c>
      <c r="R23" s="15">
        <f>IF(('user page'!$N$39=0),$N23^(L23^0.25),IF(('user page'!$N$39=1),$N23^(L23^0.5),IF(('user page'!$N$39=2),$N23^(L23^0.375),IF(('user page'!$N$39=4),$N23^(L23),IF(('user page'!$N$39=3),$N23^(LN(1+L23)),"")))))</f>
        <v>0.98006871247951299</v>
      </c>
      <c r="S23" s="15">
        <f>IF(('user page'!$N$39=0),$N23^(M23^0.25),IF(('user page'!$N$39=1),$N23^(M23^0.5),IF(('user page'!$N$39=2),$N23^(M23^0.375),IF(('user page'!$N$39=4),$N23^(M23),IF(('user page'!$N$39=3),$N23^(LN(1+M23)),"")))))</f>
        <v>0.86039446007566256</v>
      </c>
      <c r="T23" s="18">
        <f t="shared" si="20"/>
        <v>1</v>
      </c>
      <c r="U23" s="18">
        <f t="shared" si="20"/>
        <v>1</v>
      </c>
      <c r="V23" s="18">
        <f t="shared" si="20"/>
        <v>1</v>
      </c>
      <c r="W23" s="186">
        <f t="shared" si="20"/>
        <v>1</v>
      </c>
      <c r="X23" s="186">
        <f t="shared" si="20"/>
        <v>0.87789197749096382</v>
      </c>
      <c r="Y23" s="358"/>
      <c r="Z23" s="360"/>
      <c r="AA23" s="360"/>
      <c r="AB23" s="356">
        <f>GBDUS!O40/($T23+$U23+$X23+V23+W23)</f>
        <v>2.8914025035233561E-4</v>
      </c>
      <c r="AC23" s="360">
        <f t="shared" si="21"/>
        <v>2.8914025035233561E-4</v>
      </c>
      <c r="AD23" s="360">
        <f t="shared" si="21"/>
        <v>2.8914025035233561E-4</v>
      </c>
      <c r="AE23" s="360">
        <f t="shared" si="21"/>
        <v>2.8914025035233561E-4</v>
      </c>
      <c r="AF23" s="360">
        <f t="shared" si="21"/>
        <v>2.5383390615404424E-4</v>
      </c>
      <c r="AG23" s="356">
        <f>GBDUS!P40/($T23+$U23+$X23+V23+W23)</f>
        <v>7.0799932525666574E-3</v>
      </c>
      <c r="AH23" s="360">
        <f t="shared" si="22"/>
        <v>7.0799932525666574E-3</v>
      </c>
      <c r="AI23" s="360">
        <f t="shared" si="22"/>
        <v>7.0799932525666574E-3</v>
      </c>
      <c r="AJ23" s="360">
        <f t="shared" si="22"/>
        <v>7.0799932525666574E-3</v>
      </c>
      <c r="AK23" s="360">
        <f t="shared" si="22"/>
        <v>6.2154692771184241E-3</v>
      </c>
      <c r="AL23" s="356">
        <f>GBDUS!Q40/($T23+$U23+$X23+V23+W23)</f>
        <v>1.4295912924106435E-3</v>
      </c>
      <c r="AM23" s="360">
        <f t="shared" si="23"/>
        <v>1.4295912924106435E-3</v>
      </c>
      <c r="AN23" s="360">
        <f t="shared" si="23"/>
        <v>1.4295912924106435E-3</v>
      </c>
      <c r="AO23" s="360">
        <f t="shared" si="23"/>
        <v>1.4295912924106435E-3</v>
      </c>
      <c r="AP23" s="360">
        <f t="shared" si="23"/>
        <v>1.2550267266982424E-3</v>
      </c>
      <c r="AQ23" s="357"/>
      <c r="AR23" s="357"/>
      <c r="AS23" s="357"/>
      <c r="AT23" s="357"/>
      <c r="AU23" s="364"/>
      <c r="AV23" s="364"/>
      <c r="AW23" s="364"/>
      <c r="AX23" s="364"/>
    </row>
    <row r="24" spans="1:50" s="351" customFormat="1" ht="12.75" x14ac:dyDescent="0.2">
      <c r="A24" s="347">
        <v>0</v>
      </c>
      <c r="B24" s="347">
        <v>1</v>
      </c>
      <c r="C24" s="347" t="s">
        <v>38</v>
      </c>
      <c r="D24" s="17">
        <f>Baseline!AN23</f>
        <v>0.35151125659111732</v>
      </c>
      <c r="E24" s="17">
        <f>Baseline!AO23</f>
        <v>0.79657422517494758</v>
      </c>
      <c r="F24" s="17">
        <f>Baseline!AP23</f>
        <v>1.4037732180124616</v>
      </c>
      <c r="G24" s="17">
        <f>Baseline!AQ23</f>
        <v>2.4738174865955198</v>
      </c>
      <c r="H24" s="17">
        <f>Baseline!AR23</f>
        <v>5.6060203212816786</v>
      </c>
      <c r="I24" s="17">
        <f t="shared" si="19"/>
        <v>0.1</v>
      </c>
      <c r="J24" s="17">
        <f t="shared" si="19"/>
        <v>0.1</v>
      </c>
      <c r="K24" s="17">
        <f t="shared" si="19"/>
        <v>0.1</v>
      </c>
      <c r="L24" s="17">
        <f t="shared" si="19"/>
        <v>0.1</v>
      </c>
      <c r="M24" s="17">
        <f t="shared" si="19"/>
        <v>5.6060203212816786</v>
      </c>
      <c r="N24" s="19">
        <f>'Phy activity RRs'!$G$4</f>
        <v>0.93831941951583364</v>
      </c>
      <c r="O24" s="15">
        <f>IF(('user page'!$N$39=0),$N24^(I24^0.25),IF(('user page'!$N$39=1),$N24^(I24^0.5),IF(('user page'!$N$39=2),$N24^(I24^0.375),IF(('user page'!$N$39=4),$N24^(I24),IF(('user page'!$N$39=3),$N24^(LN(1+I24)),"")))))</f>
        <v>0.98006871247951299</v>
      </c>
      <c r="P24" s="15">
        <f>IF(('user page'!$N$39=0),$N24^(J24^0.25),IF(('user page'!$N$39=1),$N24^(J24^0.5),IF(('user page'!$N$39=2),$N24^(J24^0.375),IF(('user page'!$N$39=4),$N24^(J24),IF(('user page'!$N$39=3),$N24^(LN(1+J24)),"")))))</f>
        <v>0.98006871247951299</v>
      </c>
      <c r="Q24" s="15">
        <f>IF(('user page'!$N$39=0),$N24^(K24^0.25),IF(('user page'!$N$39=1),$N24^(K24^0.5),IF(('user page'!$N$39=2),$N24^(K24^0.375),IF(('user page'!$N$39=4),$N24^(K24),IF(('user page'!$N$39=3),$N24^(LN(1+K24)),"")))))</f>
        <v>0.98006871247951299</v>
      </c>
      <c r="R24" s="15">
        <f>IF(('user page'!$N$39=0),$N24^(L24^0.25),IF(('user page'!$N$39=1),$N24^(L24^0.5),IF(('user page'!$N$39=2),$N24^(L24^0.375),IF(('user page'!$N$39=4),$N24^(L24),IF(('user page'!$N$39=3),$N24^(LN(1+L24)),"")))))</f>
        <v>0.98006871247951299</v>
      </c>
      <c r="S24" s="15">
        <f>IF(('user page'!$N$39=0),$N24^(M24^0.25),IF(('user page'!$N$39=1),$N24^(M24^0.5),IF(('user page'!$N$39=2),$N24^(M24^0.375),IF(('user page'!$N$39=4),$N24^(M24),IF(('user page'!$N$39=3),$N24^(LN(1+M24)),"")))))</f>
        <v>0.86007171202718313</v>
      </c>
      <c r="T24" s="18">
        <f t="shared" si="20"/>
        <v>1</v>
      </c>
      <c r="U24" s="18">
        <f t="shared" si="20"/>
        <v>1</v>
      </c>
      <c r="V24" s="18">
        <f t="shared" si="20"/>
        <v>1</v>
      </c>
      <c r="W24" s="186">
        <f t="shared" si="20"/>
        <v>1</v>
      </c>
      <c r="X24" s="186">
        <f t="shared" si="20"/>
        <v>0.87756266583722997</v>
      </c>
      <c r="Y24" s="358"/>
      <c r="Z24" s="360"/>
      <c r="AA24" s="360"/>
      <c r="AB24" s="356">
        <f>GBDUS!O41/($T24+$U24+$X24+V24+W24)</f>
        <v>3.0844490846144474E-3</v>
      </c>
      <c r="AC24" s="360">
        <f t="shared" si="21"/>
        <v>3.0844490846144474E-3</v>
      </c>
      <c r="AD24" s="360">
        <f t="shared" si="21"/>
        <v>3.0844490846144474E-3</v>
      </c>
      <c r="AE24" s="360">
        <f t="shared" si="21"/>
        <v>3.0844490846144474E-3</v>
      </c>
      <c r="AF24" s="360">
        <f t="shared" si="21"/>
        <v>2.7067973613334583E-3</v>
      </c>
      <c r="AG24" s="356">
        <f>GBDUS!P41/($T24+$U24+$X24+V24+W24)</f>
        <v>5.226283036995949E-2</v>
      </c>
      <c r="AH24" s="360">
        <f t="shared" si="22"/>
        <v>5.226283036995949E-2</v>
      </c>
      <c r="AI24" s="360">
        <f t="shared" si="22"/>
        <v>5.226283036995949E-2</v>
      </c>
      <c r="AJ24" s="360">
        <f t="shared" si="22"/>
        <v>5.226283036995949E-2</v>
      </c>
      <c r="AK24" s="360">
        <f t="shared" si="22"/>
        <v>4.5863908743660593E-2</v>
      </c>
      <c r="AL24" s="356">
        <f>GBDUS!Q41/($T24+$U24+$X24+V24+W24)</f>
        <v>6.9174024517068495E-3</v>
      </c>
      <c r="AM24" s="360">
        <f t="shared" si="23"/>
        <v>6.9174024517068495E-3</v>
      </c>
      <c r="AN24" s="360">
        <f t="shared" si="23"/>
        <v>6.9174024517068495E-3</v>
      </c>
      <c r="AO24" s="360">
        <f t="shared" si="23"/>
        <v>6.9174024517068495E-3</v>
      </c>
      <c r="AP24" s="360">
        <f t="shared" si="23"/>
        <v>6.070454136188853E-3</v>
      </c>
      <c r="AQ24" s="357"/>
      <c r="AR24" s="357"/>
      <c r="AS24" s="357"/>
      <c r="AT24" s="357"/>
      <c r="AU24" s="364"/>
      <c r="AV24" s="364"/>
      <c r="AW24" s="364"/>
      <c r="AX24" s="364"/>
    </row>
    <row r="25" spans="1:50" s="351" customFormat="1" ht="12.75" x14ac:dyDescent="0.2">
      <c r="A25" s="347">
        <v>0</v>
      </c>
      <c r="B25" s="347">
        <v>1</v>
      </c>
      <c r="C25" s="347" t="s">
        <v>37</v>
      </c>
      <c r="D25" s="17">
        <f>Baseline!AN24</f>
        <v>0.31868617612515476</v>
      </c>
      <c r="E25" s="17">
        <f>Baseline!AO24</f>
        <v>0.72218795006087733</v>
      </c>
      <c r="F25" s="17">
        <f>Baseline!AP24</f>
        <v>1.2726850438126185</v>
      </c>
      <c r="G25" s="17">
        <f>Baseline!AQ24</f>
        <v>2.2428056582885252</v>
      </c>
      <c r="H25" s="17">
        <f>Baseline!AR24</f>
        <v>5.0825148440333541</v>
      </c>
      <c r="I25" s="17">
        <f t="shared" si="19"/>
        <v>0.1</v>
      </c>
      <c r="J25" s="17">
        <f t="shared" si="19"/>
        <v>0.1</v>
      </c>
      <c r="K25" s="17">
        <f t="shared" si="19"/>
        <v>0.1</v>
      </c>
      <c r="L25" s="17">
        <f t="shared" si="19"/>
        <v>0.1</v>
      </c>
      <c r="M25" s="17">
        <f t="shared" si="19"/>
        <v>5.0825148440333541</v>
      </c>
      <c r="N25" s="19">
        <f>'Phy activity RRs'!$G$4</f>
        <v>0.93831941951583364</v>
      </c>
      <c r="O25" s="15">
        <f>IF(('user page'!$N$39=0),$N25^(I25^0.25),IF(('user page'!$N$39=1),$N25^(I25^0.5),IF(('user page'!$N$39=2),$N25^(I25^0.375),IF(('user page'!$N$39=4),$N25^(I25),IF(('user page'!$N$39=3),$N25^(LN(1+I25)),"")))))</f>
        <v>0.98006871247951299</v>
      </c>
      <c r="P25" s="15">
        <f>IF(('user page'!$N$39=0),$N25^(J25^0.25),IF(('user page'!$N$39=1),$N25^(J25^0.5),IF(('user page'!$N$39=2),$N25^(J25^0.375),IF(('user page'!$N$39=4),$N25^(J25),IF(('user page'!$N$39=3),$N25^(LN(1+J25)),"")))))</f>
        <v>0.98006871247951299</v>
      </c>
      <c r="Q25" s="15">
        <f>IF(('user page'!$N$39=0),$N25^(K25^0.25),IF(('user page'!$N$39=1),$N25^(K25^0.5),IF(('user page'!$N$39=2),$N25^(K25^0.375),IF(('user page'!$N$39=4),$N25^(K25),IF(('user page'!$N$39=3),$N25^(LN(1+K25)),"")))))</f>
        <v>0.98006871247951299</v>
      </c>
      <c r="R25" s="15">
        <f>IF(('user page'!$N$39=0),$N25^(L25^0.25),IF(('user page'!$N$39=1),$N25^(L25^0.5),IF(('user page'!$N$39=2),$N25^(L25^0.375),IF(('user page'!$N$39=4),$N25^(L25),IF(('user page'!$N$39=3),$N25^(LN(1+L25)),"")))))</f>
        <v>0.98006871247951299</v>
      </c>
      <c r="S25" s="15">
        <f>IF(('user page'!$N$39=0),$N25^(M25^0.25),IF(('user page'!$N$39=1),$N25^(M25^0.5),IF(('user page'!$N$39=2),$N25^(M25^0.375),IF(('user page'!$N$39=4),$N25^(M25),IF(('user page'!$N$39=3),$N25^(LN(1+M25)),"")))))</f>
        <v>0.86629584160824002</v>
      </c>
      <c r="T25" s="18">
        <f t="shared" si="20"/>
        <v>1</v>
      </c>
      <c r="U25" s="18">
        <f t="shared" si="20"/>
        <v>1</v>
      </c>
      <c r="V25" s="18">
        <f t="shared" si="20"/>
        <v>1</v>
      </c>
      <c r="W25" s="186">
        <f t="shared" si="20"/>
        <v>1</v>
      </c>
      <c r="X25" s="186">
        <f t="shared" si="20"/>
        <v>0.88391337319254415</v>
      </c>
      <c r="Y25" s="358"/>
      <c r="Z25" s="360"/>
      <c r="AA25" s="360"/>
      <c r="AB25" s="356">
        <f>GBDUS!O42/($T25+$U25+$X25+V25+W25)</f>
        <v>5.3816848580272077E-3</v>
      </c>
      <c r="AC25" s="360">
        <f t="shared" si="21"/>
        <v>5.3816848580272077E-3</v>
      </c>
      <c r="AD25" s="360">
        <f t="shared" si="21"/>
        <v>5.3816848580272077E-3</v>
      </c>
      <c r="AE25" s="360">
        <f t="shared" si="21"/>
        <v>5.3816848580272077E-3</v>
      </c>
      <c r="AF25" s="360">
        <f t="shared" si="21"/>
        <v>4.7569432163180672E-3</v>
      </c>
      <c r="AG25" s="356">
        <f>GBDUS!P42/($T25+$U25+$X25+V25+W25)</f>
        <v>6.0055729872654819E-2</v>
      </c>
      <c r="AH25" s="360">
        <f t="shared" si="22"/>
        <v>6.0055729872654819E-2</v>
      </c>
      <c r="AI25" s="360">
        <f t="shared" si="22"/>
        <v>6.0055729872654819E-2</v>
      </c>
      <c r="AJ25" s="360">
        <f t="shared" si="22"/>
        <v>6.0055729872654819E-2</v>
      </c>
      <c r="AK25" s="360">
        <f t="shared" si="22"/>
        <v>5.3084062771278563E-2</v>
      </c>
      <c r="AL25" s="356">
        <f>GBDUS!Q42/($T25+$U25+$X25+V25+W25)</f>
        <v>2.8059774351537922E-3</v>
      </c>
      <c r="AM25" s="360">
        <f t="shared" si="23"/>
        <v>2.8059774351537922E-3</v>
      </c>
      <c r="AN25" s="360">
        <f t="shared" si="23"/>
        <v>2.8059774351537922E-3</v>
      </c>
      <c r="AO25" s="360">
        <f t="shared" si="23"/>
        <v>2.8059774351537922E-3</v>
      </c>
      <c r="AP25" s="360">
        <f t="shared" si="23"/>
        <v>2.4802409798089517E-3</v>
      </c>
      <c r="AQ25" s="357"/>
      <c r="AR25" s="357"/>
      <c r="AS25" s="357"/>
      <c r="AT25" s="357"/>
      <c r="AU25" s="364"/>
      <c r="AV25" s="364"/>
      <c r="AW25" s="364"/>
      <c r="AX25" s="364"/>
    </row>
    <row r="26" spans="1:50" s="351" customFormat="1" ht="12.75" x14ac:dyDescent="0.2">
      <c r="A26" s="347">
        <v>0</v>
      </c>
      <c r="B26" s="347">
        <v>1</v>
      </c>
      <c r="C26" s="347" t="s">
        <v>36</v>
      </c>
      <c r="D26" s="17">
        <f>Baseline!AN25</f>
        <v>0.30266188092522223</v>
      </c>
      <c r="E26" s="17">
        <f>Baseline!AO25</f>
        <v>0.68587463066209398</v>
      </c>
      <c r="F26" s="17">
        <f>Baseline!AP25</f>
        <v>1.2086914276270724</v>
      </c>
      <c r="G26" s="17">
        <f>Baseline!AQ25</f>
        <v>2.130032081531998</v>
      </c>
      <c r="H26" s="17">
        <f>Baseline!AR25</f>
        <v>4.8269539684124263</v>
      </c>
      <c r="I26" s="17">
        <f t="shared" si="19"/>
        <v>0.1</v>
      </c>
      <c r="J26" s="17">
        <f t="shared" si="19"/>
        <v>0.1</v>
      </c>
      <c r="K26" s="17">
        <f t="shared" si="19"/>
        <v>0.1</v>
      </c>
      <c r="L26" s="17">
        <f t="shared" si="19"/>
        <v>0.1</v>
      </c>
      <c r="M26" s="17">
        <f t="shared" si="19"/>
        <v>4.8269539684124263</v>
      </c>
      <c r="N26" s="19">
        <f>'Phy activity RRs'!$G$4</f>
        <v>0.93831941951583364</v>
      </c>
      <c r="O26" s="15">
        <f>IF(('user page'!$N$39=0),$N26^(I26^0.25),IF(('user page'!$N$39=1),$N26^(I26^0.5),IF(('user page'!$N$39=2),$N26^(I26^0.375),IF(('user page'!$N$39=4),$N26^(I26),IF(('user page'!$N$39=3),$N26^(LN(1+I26)),"")))))</f>
        <v>0.98006871247951299</v>
      </c>
      <c r="P26" s="15">
        <f>IF(('user page'!$N$39=0),$N26^(J26^0.25),IF(('user page'!$N$39=1),$N26^(J26^0.5),IF(('user page'!$N$39=2),$N26^(J26^0.375),IF(('user page'!$N$39=4),$N26^(J26),IF(('user page'!$N$39=3),$N26^(LN(1+J26)),"")))))</f>
        <v>0.98006871247951299</v>
      </c>
      <c r="Q26" s="15">
        <f>IF(('user page'!$N$39=0),$N26^(K26^0.25),IF(('user page'!$N$39=1),$N26^(K26^0.5),IF(('user page'!$N$39=2),$N26^(K26^0.375),IF(('user page'!$N$39=4),$N26^(K26),IF(('user page'!$N$39=3),$N26^(LN(1+K26)),"")))))</f>
        <v>0.98006871247951299</v>
      </c>
      <c r="R26" s="15">
        <f>IF(('user page'!$N$39=0),$N26^(L26^0.25),IF(('user page'!$N$39=1),$N26^(L26^0.5),IF(('user page'!$N$39=2),$N26^(L26^0.375),IF(('user page'!$N$39=4),$N26^(L26),IF(('user page'!$N$39=3),$N26^(LN(1+L26)),"")))))</f>
        <v>0.98006871247951299</v>
      </c>
      <c r="S26" s="15">
        <f>IF(('user page'!$N$39=0),$N26^(M26^0.25),IF(('user page'!$N$39=1),$N26^(M26^0.5),IF(('user page'!$N$39=2),$N26^(M26^0.375),IF(('user page'!$N$39=4),$N26^(M26),IF(('user page'!$N$39=3),$N26^(LN(1+M26)),"")))))</f>
        <v>0.86946796595970866</v>
      </c>
      <c r="T26" s="18">
        <f t="shared" si="20"/>
        <v>1</v>
      </c>
      <c r="U26" s="18">
        <f t="shared" si="20"/>
        <v>1</v>
      </c>
      <c r="V26" s="18">
        <f t="shared" si="20"/>
        <v>1</v>
      </c>
      <c r="W26" s="186">
        <f t="shared" si="20"/>
        <v>1</v>
      </c>
      <c r="X26" s="186">
        <f t="shared" si="20"/>
        <v>0.88715000783976528</v>
      </c>
      <c r="Y26" s="358"/>
      <c r="Z26" s="360"/>
      <c r="AA26" s="360"/>
      <c r="AB26" s="356">
        <f>GBDUS!O43/($T26+$U26+$X26+V26+W26)</f>
        <v>6.9837891591641782E-3</v>
      </c>
      <c r="AC26" s="360">
        <f t="shared" si="21"/>
        <v>6.9837891591641782E-3</v>
      </c>
      <c r="AD26" s="360">
        <f t="shared" si="21"/>
        <v>6.9837891591641782E-3</v>
      </c>
      <c r="AE26" s="360">
        <f t="shared" si="21"/>
        <v>6.9837891591641782E-3</v>
      </c>
      <c r="AF26" s="360">
        <f t="shared" si="21"/>
        <v>6.1956686073037686E-3</v>
      </c>
      <c r="AG26" s="356">
        <f>GBDUS!P43/($T26+$U26+$X26+V26+W26)</f>
        <v>4.4425209280713675E-2</v>
      </c>
      <c r="AH26" s="360">
        <f t="shared" si="22"/>
        <v>4.4425209280713675E-2</v>
      </c>
      <c r="AI26" s="360">
        <f t="shared" si="22"/>
        <v>4.4425209280713675E-2</v>
      </c>
      <c r="AJ26" s="360">
        <f t="shared" si="22"/>
        <v>4.4425209280713675E-2</v>
      </c>
      <c r="AK26" s="360">
        <f t="shared" si="22"/>
        <v>3.9411824761668351E-2</v>
      </c>
      <c r="AL26" s="356">
        <f>GBDUS!Q43/($T26+$U26+$X26+V26+W26)</f>
        <v>1.3276938730861486E-2</v>
      </c>
      <c r="AM26" s="360">
        <f t="shared" si="23"/>
        <v>1.3276938730861486E-2</v>
      </c>
      <c r="AN26" s="360">
        <f t="shared" si="23"/>
        <v>1.3276938730861486E-2</v>
      </c>
      <c r="AO26" s="360">
        <f t="shared" si="23"/>
        <v>1.3276938730861486E-2</v>
      </c>
      <c r="AP26" s="360">
        <f t="shared" si="23"/>
        <v>1.1778636299171851E-2</v>
      </c>
      <c r="AQ26" s="357"/>
      <c r="AR26" s="357"/>
      <c r="AS26" s="357"/>
      <c r="AT26" s="357"/>
      <c r="AU26" s="364"/>
      <c r="AV26" s="364"/>
      <c r="AW26" s="364"/>
      <c r="AX26" s="364"/>
    </row>
    <row r="27" spans="1:50" s="351" customFormat="1" ht="12.75" x14ac:dyDescent="0.2">
      <c r="A27" s="347">
        <v>0</v>
      </c>
      <c r="B27" s="347">
        <v>1</v>
      </c>
      <c r="C27" s="347" t="s">
        <v>35</v>
      </c>
      <c r="D27" s="17">
        <f>Baseline!AN26</f>
        <v>0.24350710807091377</v>
      </c>
      <c r="E27" s="17">
        <f>Baseline!AO26</f>
        <v>0.55182154852528853</v>
      </c>
      <c r="F27" s="17">
        <f>Baseline!AP26</f>
        <v>0.97245465200915271</v>
      </c>
      <c r="G27" s="17">
        <f>Baseline!AQ26</f>
        <v>1.7137207721254923</v>
      </c>
      <c r="H27" s="17">
        <f>Baseline!AR26</f>
        <v>3.8835336582406703</v>
      </c>
      <c r="I27" s="17">
        <f t="shared" si="19"/>
        <v>0.1</v>
      </c>
      <c r="J27" s="17">
        <f t="shared" si="19"/>
        <v>0.1</v>
      </c>
      <c r="K27" s="17">
        <f t="shared" si="19"/>
        <v>0.1</v>
      </c>
      <c r="L27" s="17">
        <f t="shared" si="19"/>
        <v>0.1</v>
      </c>
      <c r="M27" s="17">
        <f t="shared" si="19"/>
        <v>3.8835336582406703</v>
      </c>
      <c r="N27" s="19">
        <f>'Phy activity RRs'!$G$4</f>
        <v>0.93831941951583364</v>
      </c>
      <c r="O27" s="15">
        <f>IF(('user page'!$N$39=0),$N27^(I27^0.25),IF(('user page'!$N$39=1),$N27^(I27^0.5),IF(('user page'!$N$39=2),$N27^(I27^0.375),IF(('user page'!$N$39=4),$N27^(I27),IF(('user page'!$N$39=3),$N27^(LN(1+I27)),"")))))</f>
        <v>0.98006871247951299</v>
      </c>
      <c r="P27" s="15">
        <f>IF(('user page'!$N$39=0),$N27^(J27^0.25),IF(('user page'!$N$39=1),$N27^(J27^0.5),IF(('user page'!$N$39=2),$N27^(J27^0.375),IF(('user page'!$N$39=4),$N27^(J27),IF(('user page'!$N$39=3),$N27^(LN(1+J27)),"")))))</f>
        <v>0.98006871247951299</v>
      </c>
      <c r="Q27" s="15">
        <f>IF(('user page'!$N$39=0),$N27^(K27^0.25),IF(('user page'!$N$39=1),$N27^(K27^0.5),IF(('user page'!$N$39=2),$N27^(K27^0.375),IF(('user page'!$N$39=4),$N27^(K27),IF(('user page'!$N$39=3),$N27^(LN(1+K27)),"")))))</f>
        <v>0.98006871247951299</v>
      </c>
      <c r="R27" s="15">
        <f>IF(('user page'!$N$39=0),$N27^(L27^0.25),IF(('user page'!$N$39=1),$N27^(L27^0.5),IF(('user page'!$N$39=2),$N27^(L27^0.375),IF(('user page'!$N$39=4),$N27^(L27),IF(('user page'!$N$39=3),$N27^(LN(1+L27)),"")))))</f>
        <v>0.98006871247951299</v>
      </c>
      <c r="S27" s="15">
        <f>IF(('user page'!$N$39=0),$N27^(M27^0.25),IF(('user page'!$N$39=1),$N27^(M27^0.5),IF(('user page'!$N$39=2),$N27^(M27^0.375),IF(('user page'!$N$39=4),$N27^(M27),IF(('user page'!$N$39=3),$N27^(LN(1+M27)),"")))))</f>
        <v>0.88208900607167995</v>
      </c>
      <c r="T27" s="18">
        <f t="shared" si="20"/>
        <v>1</v>
      </c>
      <c r="U27" s="18">
        <f t="shared" si="20"/>
        <v>1</v>
      </c>
      <c r="V27" s="18">
        <f t="shared" si="20"/>
        <v>1</v>
      </c>
      <c r="W27" s="186">
        <f t="shared" si="20"/>
        <v>1</v>
      </c>
      <c r="X27" s="186">
        <f t="shared" si="20"/>
        <v>0.90002771728121955</v>
      </c>
      <c r="Y27" s="358"/>
      <c r="Z27" s="360"/>
      <c r="AA27" s="360"/>
      <c r="AB27" s="356">
        <f>GBDUS!O44/($T27+$U27+$X27+V27+W27)</f>
        <v>9.9317981826829282E-3</v>
      </c>
      <c r="AC27" s="360">
        <f t="shared" si="21"/>
        <v>9.9317981826829282E-3</v>
      </c>
      <c r="AD27" s="360">
        <f t="shared" si="21"/>
        <v>9.9317981826829282E-3</v>
      </c>
      <c r="AE27" s="360">
        <f t="shared" si="21"/>
        <v>9.9317981826829282E-3</v>
      </c>
      <c r="AF27" s="360">
        <f t="shared" si="21"/>
        <v>8.9388936468578813E-3</v>
      </c>
      <c r="AG27" s="356">
        <f>GBDUS!P44/($T27+$U27+$X27+V27+W27)</f>
        <v>2.9839576208733783E-2</v>
      </c>
      <c r="AH27" s="360">
        <f t="shared" si="22"/>
        <v>2.9839576208733783E-2</v>
      </c>
      <c r="AI27" s="360">
        <f t="shared" si="22"/>
        <v>2.9839576208733783E-2</v>
      </c>
      <c r="AJ27" s="360">
        <f t="shared" si="22"/>
        <v>2.9839576208733783E-2</v>
      </c>
      <c r="AK27" s="360">
        <f t="shared" si="22"/>
        <v>2.6856445659785656E-2</v>
      </c>
      <c r="AL27" s="356">
        <f>GBDUS!Q44/($T27+$U27+$X27+V27+W27)</f>
        <v>2.9892516141513067E-3</v>
      </c>
      <c r="AM27" s="360">
        <f t="shared" si="23"/>
        <v>2.9892516141513067E-3</v>
      </c>
      <c r="AN27" s="360">
        <f t="shared" si="23"/>
        <v>2.9892516141513067E-3</v>
      </c>
      <c r="AO27" s="360">
        <f t="shared" si="23"/>
        <v>2.9892516141513067E-3</v>
      </c>
      <c r="AP27" s="360">
        <f t="shared" si="23"/>
        <v>2.6904093066638015E-3</v>
      </c>
      <c r="AQ27" s="357"/>
      <c r="AR27" s="357"/>
      <c r="AS27" s="357"/>
      <c r="AT27" s="357"/>
      <c r="AU27" s="364"/>
      <c r="AV27" s="364"/>
      <c r="AW27" s="364"/>
      <c r="AX27" s="364"/>
    </row>
    <row r="28" spans="1:50" s="351" customFormat="1" ht="12.75" x14ac:dyDescent="0.2">
      <c r="A28" s="347">
        <v>0</v>
      </c>
      <c r="B28" s="347">
        <v>2</v>
      </c>
      <c r="C28" s="347" t="s">
        <v>2</v>
      </c>
      <c r="D28" s="17"/>
      <c r="E28" s="17"/>
      <c r="F28" s="17"/>
      <c r="G28" s="17"/>
      <c r="H28" s="17"/>
      <c r="I28" s="17"/>
      <c r="J28" s="17"/>
      <c r="K28" s="17"/>
      <c r="L28" s="17"/>
      <c r="M28" s="17"/>
      <c r="N28" s="19"/>
      <c r="O28" s="15"/>
      <c r="P28" s="15"/>
      <c r="Q28" s="15"/>
      <c r="R28" s="15"/>
      <c r="S28" s="15"/>
      <c r="T28" s="18"/>
      <c r="U28" s="18"/>
      <c r="V28" s="18"/>
      <c r="W28" s="186"/>
      <c r="X28" s="186"/>
      <c r="Y28" s="358"/>
      <c r="Z28" s="360"/>
      <c r="AA28" s="360"/>
      <c r="AB28" s="356"/>
      <c r="AC28" s="360"/>
      <c r="AD28" s="360"/>
      <c r="AE28" s="360"/>
      <c r="AF28" s="360"/>
      <c r="AG28" s="356"/>
      <c r="AH28" s="360"/>
      <c r="AI28" s="360"/>
      <c r="AJ28" s="360"/>
      <c r="AK28" s="360"/>
      <c r="AL28" s="356"/>
      <c r="AM28" s="360"/>
      <c r="AN28" s="360"/>
      <c r="AO28" s="360"/>
      <c r="AP28" s="360"/>
      <c r="AQ28" s="357"/>
      <c r="AR28" s="357"/>
      <c r="AS28" s="357"/>
      <c r="AT28" s="357"/>
      <c r="AU28" s="364"/>
      <c r="AV28" s="364"/>
      <c r="AW28" s="364"/>
      <c r="AX28" s="364"/>
    </row>
    <row r="29" spans="1:50" s="351" customFormat="1" ht="12.75" x14ac:dyDescent="0.2">
      <c r="A29" s="347">
        <v>0</v>
      </c>
      <c r="B29" s="347">
        <v>2</v>
      </c>
      <c r="C29" s="347" t="s">
        <v>41</v>
      </c>
      <c r="D29" s="17"/>
      <c r="E29" s="17"/>
      <c r="F29" s="17"/>
      <c r="G29" s="17"/>
      <c r="H29" s="17"/>
      <c r="I29" s="17"/>
      <c r="J29" s="17"/>
      <c r="K29" s="17"/>
      <c r="L29" s="17"/>
      <c r="M29" s="17"/>
      <c r="N29" s="19"/>
      <c r="O29" s="15"/>
      <c r="P29" s="15"/>
      <c r="Q29" s="15"/>
      <c r="R29" s="15"/>
      <c r="S29" s="15"/>
      <c r="T29" s="18"/>
      <c r="U29" s="18"/>
      <c r="V29" s="18"/>
      <c r="W29" s="186"/>
      <c r="X29" s="186"/>
      <c r="Y29" s="358"/>
      <c r="Z29" s="360"/>
      <c r="AA29" s="360"/>
      <c r="AB29" s="356"/>
      <c r="AC29" s="360"/>
      <c r="AD29" s="360"/>
      <c r="AE29" s="360"/>
      <c r="AF29" s="360"/>
      <c r="AG29" s="356"/>
      <c r="AH29" s="360"/>
      <c r="AI29" s="360"/>
      <c r="AJ29" s="360"/>
      <c r="AK29" s="360"/>
      <c r="AL29" s="356"/>
      <c r="AM29" s="360"/>
      <c r="AN29" s="360"/>
      <c r="AO29" s="360"/>
      <c r="AP29" s="360"/>
      <c r="AQ29" s="357"/>
      <c r="AR29" s="357"/>
      <c r="AS29" s="357"/>
      <c r="AT29" s="357"/>
      <c r="AU29" s="364"/>
      <c r="AV29" s="364"/>
      <c r="AW29" s="364"/>
      <c r="AX29" s="364"/>
    </row>
    <row r="30" spans="1:50" s="351" customFormat="1" ht="12.75" x14ac:dyDescent="0.2">
      <c r="A30" s="347">
        <v>0</v>
      </c>
      <c r="B30" s="347">
        <v>2</v>
      </c>
      <c r="C30" s="347" t="s">
        <v>40</v>
      </c>
      <c r="D30" s="17">
        <f>Baseline!AN29</f>
        <v>0.78305520090183223</v>
      </c>
      <c r="E30" s="17">
        <f>Baseline!AO29</f>
        <v>1.774513840542973</v>
      </c>
      <c r="F30" s="17">
        <f>Baseline!AP29</f>
        <v>3.1271599376688002</v>
      </c>
      <c r="G30" s="17">
        <f>Baseline!AQ29</f>
        <v>5.5108779950504481</v>
      </c>
      <c r="H30" s="17">
        <f>Baseline!AR29</f>
        <v>12.488428995169523</v>
      </c>
      <c r="I30" s="17">
        <f t="shared" ref="I30:M35" si="24">IF(D30&gt;2.5,D30,0.1)</f>
        <v>0.1</v>
      </c>
      <c r="J30" s="17">
        <f t="shared" si="24"/>
        <v>0.1</v>
      </c>
      <c r="K30" s="17">
        <f t="shared" si="24"/>
        <v>3.1271599376688002</v>
      </c>
      <c r="L30" s="17">
        <f t="shared" si="24"/>
        <v>5.5108779950504481</v>
      </c>
      <c r="M30" s="17">
        <f t="shared" si="24"/>
        <v>12.488428995169523</v>
      </c>
      <c r="N30" s="19">
        <f>'Phy activity RRs'!$G$4</f>
        <v>0.93831941951583364</v>
      </c>
      <c r="O30" s="15">
        <f>IF(('user page'!$N$39=0),$N30^(I30^0.25),IF(('user page'!$N$39=1),$N30^(I30^0.5),IF(('user page'!$N$39=2),$N30^(I30^0.375),IF(('user page'!$N$39=4),$N30^(I30),IF(('user page'!$N$39=3),$N30^(LN(1+I30)),"")))))</f>
        <v>0.98006871247951299</v>
      </c>
      <c r="P30" s="15">
        <f>IF(('user page'!$N$39=0),$N30^(J30^0.25),IF(('user page'!$N$39=1),$N30^(J30^0.5),IF(('user page'!$N$39=2),$N30^(J30^0.375),IF(('user page'!$N$39=4),$N30^(J30),IF(('user page'!$N$39=3),$N30^(LN(1+J30)),"")))))</f>
        <v>0.98006871247951299</v>
      </c>
      <c r="Q30" s="15">
        <f>IF(('user page'!$N$39=0),$N30^(K30^0.25),IF(('user page'!$N$39=1),$N30^(K30^0.5),IF(('user page'!$N$39=2),$N30^(K30^0.375),IF(('user page'!$N$39=4),$N30^(K30),IF(('user page'!$N$39=3),$N30^(LN(1+K30)),"")))))</f>
        <v>0.89352272140340971</v>
      </c>
      <c r="R30" s="15">
        <f>IF(('user page'!$N$39=0),$N30^(L30^0.25),IF(('user page'!$N$39=1),$N30^(L30^0.5),IF(('user page'!$N$39=2),$N30^(L30^0.375),IF(('user page'!$N$39=4),$N30^(L30),IF(('user page'!$N$39=3),$N30^(LN(1+L30)),"")))))</f>
        <v>0.86117727714476722</v>
      </c>
      <c r="S30" s="15">
        <f>IF(('user page'!$N$39=0),$N30^(M30^0.25),IF(('user page'!$N$39=1),$N30^(M30^0.5),IF(('user page'!$N$39=2),$N30^(M30^0.375),IF(('user page'!$N$39=4),$N30^(M30),IF(('user page'!$N$39=3),$N30^(LN(1+M30)),"")))))</f>
        <v>0.79852815630885332</v>
      </c>
      <c r="T30" s="18">
        <f t="shared" ref="T30:X35" si="25">O30/$O30</f>
        <v>1</v>
      </c>
      <c r="U30" s="18">
        <f t="shared" si="25"/>
        <v>1</v>
      </c>
      <c r="V30" s="18">
        <f t="shared" si="25"/>
        <v>0.9116939557664816</v>
      </c>
      <c r="W30" s="186">
        <f t="shared" si="25"/>
        <v>0.87869071441536195</v>
      </c>
      <c r="X30" s="186">
        <f t="shared" si="25"/>
        <v>0.81476752205325143</v>
      </c>
      <c r="Y30" s="358"/>
      <c r="Z30" s="360"/>
      <c r="AA30" s="360"/>
      <c r="AB30" s="356">
        <f>GBDUS!O47/($T30+$U30+$X30+V30+W30)</f>
        <v>0</v>
      </c>
      <c r="AC30" s="360">
        <f t="shared" ref="AC30:AF35" si="26">$AB30*U30</f>
        <v>0</v>
      </c>
      <c r="AD30" s="360">
        <f t="shared" si="26"/>
        <v>0</v>
      </c>
      <c r="AE30" s="360">
        <f t="shared" si="26"/>
        <v>0</v>
      </c>
      <c r="AF30" s="360">
        <f t="shared" si="26"/>
        <v>0</v>
      </c>
      <c r="AG30" s="356">
        <f>GBDUS!P47/($T30+$U30+$X30+V30+W30)</f>
        <v>0</v>
      </c>
      <c r="AH30" s="360">
        <f t="shared" ref="AH30:AK35" si="27">$AG30*U30</f>
        <v>0</v>
      </c>
      <c r="AI30" s="360">
        <f t="shared" si="27"/>
        <v>0</v>
      </c>
      <c r="AJ30" s="360">
        <f t="shared" si="27"/>
        <v>0</v>
      </c>
      <c r="AK30" s="360">
        <f t="shared" si="27"/>
        <v>0</v>
      </c>
      <c r="AL30" s="356">
        <f>GBDUS!Q47/($T30+$U30+$X30+V30+W30)</f>
        <v>3.907286661724582E-4</v>
      </c>
      <c r="AM30" s="360">
        <f t="shared" ref="AM30:AP35" si="28">U30*$AL30</f>
        <v>3.907286661724582E-4</v>
      </c>
      <c r="AN30" s="360">
        <f t="shared" si="28"/>
        <v>3.5622496329412945E-4</v>
      </c>
      <c r="AO30" s="360">
        <f t="shared" si="28"/>
        <v>3.4332965082163879E-4</v>
      </c>
      <c r="AP30" s="360">
        <f t="shared" si="28"/>
        <v>3.1835302713250583E-4</v>
      </c>
      <c r="AQ30" s="357"/>
      <c r="AR30" s="357"/>
      <c r="AS30" s="357"/>
      <c r="AT30" s="357"/>
      <c r="AU30" s="364"/>
      <c r="AV30" s="364"/>
      <c r="AW30" s="364"/>
      <c r="AX30" s="364"/>
    </row>
    <row r="31" spans="1:50" s="351" customFormat="1" ht="12.75" x14ac:dyDescent="0.2">
      <c r="A31" s="347">
        <v>0</v>
      </c>
      <c r="B31" s="347">
        <v>2</v>
      </c>
      <c r="C31" s="347" t="s">
        <v>39</v>
      </c>
      <c r="D31" s="17">
        <f>Baseline!AN30</f>
        <v>0.47165676213737562</v>
      </c>
      <c r="E31" s="17">
        <f>Baseline!AO30</f>
        <v>1.0688409341187475</v>
      </c>
      <c r="F31" s="17">
        <f>Baseline!AP30</f>
        <v>1.8835787428369182</v>
      </c>
      <c r="G31" s="17">
        <f>Baseline!AQ30</f>
        <v>3.3193609705753828</v>
      </c>
      <c r="H31" s="17">
        <f>Baseline!AR30</f>
        <v>7.5221414496199817</v>
      </c>
      <c r="I31" s="17">
        <f t="shared" si="24"/>
        <v>0.1</v>
      </c>
      <c r="J31" s="17">
        <f t="shared" si="24"/>
        <v>0.1</v>
      </c>
      <c r="K31" s="17">
        <f t="shared" si="24"/>
        <v>0.1</v>
      </c>
      <c r="L31" s="17">
        <f t="shared" si="24"/>
        <v>3.3193609705753828</v>
      </c>
      <c r="M31" s="17">
        <f t="shared" si="24"/>
        <v>7.5221414496199817</v>
      </c>
      <c r="N31" s="19">
        <f>'Phy activity RRs'!$G$4</f>
        <v>0.93831941951583364</v>
      </c>
      <c r="O31" s="15">
        <f>IF(('user page'!$N$39=0),$N31^(I31^0.25),IF(('user page'!$N$39=1),$N31^(I31^0.5),IF(('user page'!$N$39=2),$N31^(I31^0.375),IF(('user page'!$N$39=4),$N31^(I31),IF(('user page'!$N$39=3),$N31^(LN(1+I31)),"")))))</f>
        <v>0.98006871247951299</v>
      </c>
      <c r="P31" s="15">
        <f>IF(('user page'!$N$39=0),$N31^(J31^0.25),IF(('user page'!$N$39=1),$N31^(J31^0.5),IF(('user page'!$N$39=2),$N31^(J31^0.375),IF(('user page'!$N$39=4),$N31^(J31),IF(('user page'!$N$39=3),$N31^(LN(1+J31)),"")))))</f>
        <v>0.98006871247951299</v>
      </c>
      <c r="Q31" s="15">
        <f>IF(('user page'!$N$39=0),$N31^(K31^0.25),IF(('user page'!$N$39=1),$N31^(K31^0.5),IF(('user page'!$N$39=2),$N31^(K31^0.375),IF(('user page'!$N$39=4),$N31^(K31),IF(('user page'!$N$39=3),$N31^(LN(1+K31)),"")))))</f>
        <v>0.98006871247951299</v>
      </c>
      <c r="R31" s="15">
        <f>IF(('user page'!$N$39=0),$N31^(L31^0.25),IF(('user page'!$N$39=1),$N31^(L31^0.5),IF(('user page'!$N$39=2),$N31^(L31^0.375),IF(('user page'!$N$39=4),$N31^(L31),IF(('user page'!$N$39=3),$N31^(LN(1+L31)),"")))))</f>
        <v>0.89048259403404628</v>
      </c>
      <c r="S31" s="15">
        <f>IF(('user page'!$N$39=0),$N31^(M31^0.25),IF(('user page'!$N$39=1),$N31^(M31^0.5),IF(('user page'!$N$39=2),$N31^(M31^0.375),IF(('user page'!$N$39=4),$N31^(M31),IF(('user page'!$N$39=3),$N31^(LN(1+M31)),"")))))</f>
        <v>0.83978400263770103</v>
      </c>
      <c r="T31" s="18">
        <f t="shared" si="25"/>
        <v>1</v>
      </c>
      <c r="U31" s="18">
        <f t="shared" si="25"/>
        <v>1</v>
      </c>
      <c r="V31" s="18">
        <f t="shared" si="25"/>
        <v>1</v>
      </c>
      <c r="W31" s="186">
        <f t="shared" si="25"/>
        <v>0.90859200247417404</v>
      </c>
      <c r="X31" s="186">
        <f t="shared" si="25"/>
        <v>0.85686237295862622</v>
      </c>
      <c r="Y31" s="358"/>
      <c r="Z31" s="360"/>
      <c r="AA31" s="360"/>
      <c r="AB31" s="356">
        <f>GBDUS!O48/($T31+$U31+$X31+V31+W31)</f>
        <v>3.6287443913080231E-4</v>
      </c>
      <c r="AC31" s="360">
        <f t="shared" si="26"/>
        <v>3.6287443913080231E-4</v>
      </c>
      <c r="AD31" s="360">
        <f t="shared" si="26"/>
        <v>3.6287443913080231E-4</v>
      </c>
      <c r="AE31" s="360">
        <f t="shared" si="26"/>
        <v>3.2970481329654843E-4</v>
      </c>
      <c r="AF31" s="360">
        <f t="shared" si="26"/>
        <v>3.1093345299964984E-4</v>
      </c>
      <c r="AG31" s="356">
        <f>GBDUS!P48/($T31+$U31+$X31+V31+W31)</f>
        <v>8.8648056317196071E-3</v>
      </c>
      <c r="AH31" s="360">
        <f t="shared" si="27"/>
        <v>8.8648056317196071E-3</v>
      </c>
      <c r="AI31" s="360">
        <f t="shared" si="27"/>
        <v>8.8648056317196071E-3</v>
      </c>
      <c r="AJ31" s="360">
        <f t="shared" si="27"/>
        <v>8.0544915004684536E-3</v>
      </c>
      <c r="AK31" s="360">
        <f t="shared" si="27"/>
        <v>7.595918389412256E-3</v>
      </c>
      <c r="AL31" s="356">
        <f>GBDUS!Q48/($T31+$U31+$X31+V31+W31)</f>
        <v>1.6203057063898432E-3</v>
      </c>
      <c r="AM31" s="360">
        <f t="shared" si="28"/>
        <v>1.6203057063898432E-3</v>
      </c>
      <c r="AN31" s="360">
        <f t="shared" si="28"/>
        <v>1.6203057063898432E-3</v>
      </c>
      <c r="AO31" s="360">
        <f t="shared" si="28"/>
        <v>1.4721968063890786E-3</v>
      </c>
      <c r="AP31" s="360">
        <f t="shared" si="28"/>
        <v>1.3883789924956042E-3</v>
      </c>
      <c r="AQ31" s="357"/>
      <c r="AR31" s="357"/>
      <c r="AS31" s="357"/>
      <c r="AT31" s="357"/>
      <c r="AU31" s="364"/>
      <c r="AV31" s="364"/>
      <c r="AW31" s="364"/>
      <c r="AX31" s="364"/>
    </row>
    <row r="32" spans="1:50" s="351" customFormat="1" ht="12.75" x14ac:dyDescent="0.2">
      <c r="A32" s="347">
        <v>0</v>
      </c>
      <c r="B32" s="347">
        <v>2</v>
      </c>
      <c r="C32" s="347" t="s">
        <v>38</v>
      </c>
      <c r="D32" s="17">
        <f>Baseline!AN31</f>
        <v>0.39813871625667402</v>
      </c>
      <c r="E32" s="17">
        <f>Baseline!AO31</f>
        <v>0.90223864376331542</v>
      </c>
      <c r="F32" s="17">
        <f>Baseline!AP31</f>
        <v>1.5899817045833551</v>
      </c>
      <c r="G32" s="17">
        <f>Baseline!AQ31</f>
        <v>2.8019657973915968</v>
      </c>
      <c r="H32" s="17">
        <f>Baseline!AR31</f>
        <v>6.3496508068308559</v>
      </c>
      <c r="I32" s="17">
        <f t="shared" si="24"/>
        <v>0.1</v>
      </c>
      <c r="J32" s="17">
        <f t="shared" si="24"/>
        <v>0.1</v>
      </c>
      <c r="K32" s="17">
        <f t="shared" si="24"/>
        <v>0.1</v>
      </c>
      <c r="L32" s="17">
        <f t="shared" si="24"/>
        <v>2.8019657973915968</v>
      </c>
      <c r="M32" s="17">
        <f t="shared" si="24"/>
        <v>6.3496508068308559</v>
      </c>
      <c r="N32" s="19">
        <f>'Phy activity RRs'!$G$4</f>
        <v>0.93831941951583364</v>
      </c>
      <c r="O32" s="15">
        <f>IF(('user page'!$N$39=0),$N32^(I32^0.25),IF(('user page'!$N$39=1),$N32^(I32^0.5),IF(('user page'!$N$39=2),$N32^(I32^0.375),IF(('user page'!$N$39=4),$N32^(I32),IF(('user page'!$N$39=3),$N32^(LN(1+I32)),"")))))</f>
        <v>0.98006871247951299</v>
      </c>
      <c r="P32" s="15">
        <f>IF(('user page'!$N$39=0),$N32^(J32^0.25),IF(('user page'!$N$39=1),$N32^(J32^0.5),IF(('user page'!$N$39=2),$N32^(J32^0.375),IF(('user page'!$N$39=4),$N32^(J32),IF(('user page'!$N$39=3),$N32^(LN(1+J32)),"")))))</f>
        <v>0.98006871247951299</v>
      </c>
      <c r="Q32" s="15">
        <f>IF(('user page'!$N$39=0),$N32^(K32^0.25),IF(('user page'!$N$39=1),$N32^(K32^0.5),IF(('user page'!$N$39=2),$N32^(K32^0.375),IF(('user page'!$N$39=4),$N32^(K32),IF(('user page'!$N$39=3),$N32^(LN(1+K32)),"")))))</f>
        <v>0.98006871247951299</v>
      </c>
      <c r="R32" s="15">
        <f>IF(('user page'!$N$39=0),$N32^(L32^0.25),IF(('user page'!$N$39=1),$N32^(L32^0.5),IF(('user page'!$N$39=2),$N32^(L32^0.375),IF(('user page'!$N$39=4),$N32^(L32),IF(('user page'!$N$39=3),$N32^(LN(1+L32)),"")))))</f>
        <v>0.89891295895461276</v>
      </c>
      <c r="S32" s="15">
        <f>IF(('user page'!$N$39=0),$N32^(M32^0.25),IF(('user page'!$N$39=1),$N32^(M32^0.5),IF(('user page'!$N$39=2),$N32^(M32^0.375),IF(('user page'!$N$39=4),$N32^(M32),IF(('user page'!$N$39=3),$N32^(LN(1+M32)),"")))))</f>
        <v>0.85178087720348661</v>
      </c>
      <c r="T32" s="18">
        <f t="shared" si="25"/>
        <v>1</v>
      </c>
      <c r="U32" s="18">
        <f t="shared" si="25"/>
        <v>1</v>
      </c>
      <c r="V32" s="18">
        <f t="shared" si="25"/>
        <v>1</v>
      </c>
      <c r="W32" s="186">
        <f t="shared" si="25"/>
        <v>0.91719381254444776</v>
      </c>
      <c r="X32" s="186">
        <f t="shared" si="25"/>
        <v>0.86910322343474655</v>
      </c>
      <c r="Y32" s="358"/>
      <c r="Z32" s="360"/>
      <c r="AA32" s="360"/>
      <c r="AB32" s="356">
        <f>GBDUS!O49/($T32+$U32+$X32+V32+W32)</f>
        <v>7.397536398904708E-4</v>
      </c>
      <c r="AC32" s="360">
        <f t="shared" si="26"/>
        <v>7.397536398904708E-4</v>
      </c>
      <c r="AD32" s="360">
        <f t="shared" si="26"/>
        <v>7.397536398904708E-4</v>
      </c>
      <c r="AE32" s="360">
        <f t="shared" si="26"/>
        <v>6.784974613147734E-4</v>
      </c>
      <c r="AF32" s="360">
        <f t="shared" si="26"/>
        <v>6.4292227297639483E-4</v>
      </c>
      <c r="AG32" s="356">
        <f>GBDUS!P49/($T32+$U32+$X32+V32+W32)</f>
        <v>1.321242132553033E-2</v>
      </c>
      <c r="AH32" s="360">
        <f t="shared" si="27"/>
        <v>1.321242132553033E-2</v>
      </c>
      <c r="AI32" s="360">
        <f t="shared" si="27"/>
        <v>1.321242132553033E-2</v>
      </c>
      <c r="AJ32" s="360">
        <f t="shared" si="27"/>
        <v>1.2118351088506729E-2</v>
      </c>
      <c r="AK32" s="360">
        <f t="shared" si="27"/>
        <v>1.1482957963396398E-2</v>
      </c>
      <c r="AL32" s="356">
        <f>GBDUS!Q49/($T32+$U32+$X32+V32+W32)</f>
        <v>7.1314717310997696E-3</v>
      </c>
      <c r="AM32" s="360">
        <f t="shared" si="28"/>
        <v>7.1314717310997696E-3</v>
      </c>
      <c r="AN32" s="360">
        <f t="shared" si="28"/>
        <v>7.1314717310997696E-3</v>
      </c>
      <c r="AO32" s="360">
        <f t="shared" si="28"/>
        <v>6.5409417461003505E-3</v>
      </c>
      <c r="AP32" s="360">
        <f t="shared" si="28"/>
        <v>6.1979850693325818E-3</v>
      </c>
      <c r="AQ32" s="357"/>
      <c r="AR32" s="357"/>
      <c r="AS32" s="357"/>
      <c r="AT32" s="357"/>
      <c r="AU32" s="364"/>
      <c r="AV32" s="364"/>
      <c r="AW32" s="364"/>
      <c r="AX32" s="364"/>
    </row>
    <row r="33" spans="1:50" s="351" customFormat="1" ht="12.75" x14ac:dyDescent="0.2">
      <c r="A33" s="347">
        <v>0</v>
      </c>
      <c r="B33" s="347">
        <v>2</v>
      </c>
      <c r="C33" s="347" t="s">
        <v>37</v>
      </c>
      <c r="D33" s="17">
        <f>Baseline!AN32</f>
        <v>0.26186863902756607</v>
      </c>
      <c r="E33" s="17">
        <f>Baseline!AO32</f>
        <v>0.59343137472733987</v>
      </c>
      <c r="F33" s="17">
        <f>Baseline!AP32</f>
        <v>1.0457821057260546</v>
      </c>
      <c r="G33" s="17">
        <f>Baseline!AQ32</f>
        <v>1.8429430246409162</v>
      </c>
      <c r="H33" s="17">
        <f>Baseline!AR32</f>
        <v>4.1763695596313646</v>
      </c>
      <c r="I33" s="17">
        <f t="shared" si="24"/>
        <v>0.1</v>
      </c>
      <c r="J33" s="17">
        <f t="shared" si="24"/>
        <v>0.1</v>
      </c>
      <c r="K33" s="17">
        <f t="shared" si="24"/>
        <v>0.1</v>
      </c>
      <c r="L33" s="17">
        <f t="shared" si="24"/>
        <v>0.1</v>
      </c>
      <c r="M33" s="17">
        <f t="shared" si="24"/>
        <v>4.1763695596313646</v>
      </c>
      <c r="N33" s="19">
        <f>'Phy activity RRs'!$G$4</f>
        <v>0.93831941951583364</v>
      </c>
      <c r="O33" s="15">
        <f>IF(('user page'!$N$39=0),$N33^(I33^0.25),IF(('user page'!$N$39=1),$N33^(I33^0.5),IF(('user page'!$N$39=2),$N33^(I33^0.375),IF(('user page'!$N$39=4),$N33^(I33),IF(('user page'!$N$39=3),$N33^(LN(1+I33)),"")))))</f>
        <v>0.98006871247951299</v>
      </c>
      <c r="P33" s="15">
        <f>IF(('user page'!$N$39=0),$N33^(J33^0.25),IF(('user page'!$N$39=1),$N33^(J33^0.5),IF(('user page'!$N$39=2),$N33^(J33^0.375),IF(('user page'!$N$39=4),$N33^(J33),IF(('user page'!$N$39=3),$N33^(LN(1+J33)),"")))))</f>
        <v>0.98006871247951299</v>
      </c>
      <c r="Q33" s="15">
        <f>IF(('user page'!$N$39=0),$N33^(K33^0.25),IF(('user page'!$N$39=1),$N33^(K33^0.5),IF(('user page'!$N$39=2),$N33^(K33^0.375),IF(('user page'!$N$39=4),$N33^(K33),IF(('user page'!$N$39=3),$N33^(LN(1+K33)),"")))))</f>
        <v>0.98006871247951299</v>
      </c>
      <c r="R33" s="15">
        <f>IF(('user page'!$N$39=0),$N33^(L33^0.25),IF(('user page'!$N$39=1),$N33^(L33^0.5),IF(('user page'!$N$39=2),$N33^(L33^0.375),IF(('user page'!$N$39=4),$N33^(L33),IF(('user page'!$N$39=3),$N33^(LN(1+L33)),"")))))</f>
        <v>0.98006871247951299</v>
      </c>
      <c r="S33" s="15">
        <f>IF(('user page'!$N$39=0),$N33^(M33^0.25),IF(('user page'!$N$39=1),$N33^(M33^0.5),IF(('user page'!$N$39=2),$N33^(M33^0.375),IF(('user page'!$N$39=4),$N33^(M33),IF(('user page'!$N$39=3),$N33^(LN(1+M33)),"")))))</f>
        <v>0.87800185985299239</v>
      </c>
      <c r="T33" s="18">
        <f t="shared" si="25"/>
        <v>1</v>
      </c>
      <c r="U33" s="18">
        <f t="shared" si="25"/>
        <v>1</v>
      </c>
      <c r="V33" s="18">
        <f t="shared" si="25"/>
        <v>1</v>
      </c>
      <c r="W33" s="186">
        <f t="shared" si="25"/>
        <v>1</v>
      </c>
      <c r="X33" s="186">
        <f t="shared" si="25"/>
        <v>0.89585745231240188</v>
      </c>
      <c r="Y33" s="358"/>
      <c r="Z33" s="360"/>
      <c r="AA33" s="360"/>
      <c r="AB33" s="356">
        <f>GBDUS!O50/($T33+$U33+$X33+V33+W33)</f>
        <v>1.2955355388903989E-3</v>
      </c>
      <c r="AC33" s="360">
        <f t="shared" si="26"/>
        <v>1.2955355388903989E-3</v>
      </c>
      <c r="AD33" s="360">
        <f t="shared" si="26"/>
        <v>1.2955355388903989E-3</v>
      </c>
      <c r="AE33" s="360">
        <f t="shared" si="26"/>
        <v>1.2955355388903989E-3</v>
      </c>
      <c r="AF33" s="360">
        <f t="shared" si="26"/>
        <v>1.1606151672505275E-3</v>
      </c>
      <c r="AG33" s="356">
        <f>GBDUS!P50/($T33+$U33+$X33+V33+W33)</f>
        <v>1.5488025879259322E-2</v>
      </c>
      <c r="AH33" s="360">
        <f t="shared" si="27"/>
        <v>1.5488025879259322E-2</v>
      </c>
      <c r="AI33" s="360">
        <f t="shared" si="27"/>
        <v>1.5488025879259322E-2</v>
      </c>
      <c r="AJ33" s="360">
        <f t="shared" si="27"/>
        <v>1.5488025879259322E-2</v>
      </c>
      <c r="AK33" s="360">
        <f t="shared" si="27"/>
        <v>1.3875063405541805E-2</v>
      </c>
      <c r="AL33" s="356">
        <f>GBDUS!Q50/($T33+$U33+$X33+V33+W33)</f>
        <v>1.1218161858935432E-2</v>
      </c>
      <c r="AM33" s="360">
        <f t="shared" si="28"/>
        <v>1.1218161858935432E-2</v>
      </c>
      <c r="AN33" s="360">
        <f t="shared" si="28"/>
        <v>1.1218161858935432E-2</v>
      </c>
      <c r="AO33" s="360">
        <f t="shared" si="28"/>
        <v>1.1218161858935432E-2</v>
      </c>
      <c r="AP33" s="360">
        <f t="shared" si="28"/>
        <v>1.0049873902574055E-2</v>
      </c>
      <c r="AQ33" s="357"/>
      <c r="AR33" s="357"/>
      <c r="AS33" s="357"/>
      <c r="AT33" s="357"/>
      <c r="AU33" s="364"/>
      <c r="AV33" s="364"/>
      <c r="AW33" s="364"/>
      <c r="AX33" s="364"/>
    </row>
    <row r="34" spans="1:50" s="351" customFormat="1" ht="12.75" x14ac:dyDescent="0.2">
      <c r="A34" s="347">
        <v>0</v>
      </c>
      <c r="B34" s="347">
        <v>2</v>
      </c>
      <c r="C34" s="347" t="s">
        <v>36</v>
      </c>
      <c r="D34" s="17">
        <f>Baseline!AN33</f>
        <v>0.23782262690158459</v>
      </c>
      <c r="E34" s="17">
        <f>Baseline!AO33</f>
        <v>0.53893971018277653</v>
      </c>
      <c r="F34" s="17">
        <f>Baseline!AP33</f>
        <v>0.94975346598971733</v>
      </c>
      <c r="G34" s="17">
        <f>Baseline!AQ33</f>
        <v>1.6737153138215863</v>
      </c>
      <c r="H34" s="17">
        <f>Baseline!AR33</f>
        <v>3.7928756313534393</v>
      </c>
      <c r="I34" s="17">
        <f t="shared" si="24"/>
        <v>0.1</v>
      </c>
      <c r="J34" s="17">
        <f t="shared" si="24"/>
        <v>0.1</v>
      </c>
      <c r="K34" s="17">
        <f t="shared" si="24"/>
        <v>0.1</v>
      </c>
      <c r="L34" s="17">
        <f t="shared" si="24"/>
        <v>0.1</v>
      </c>
      <c r="M34" s="17">
        <f t="shared" si="24"/>
        <v>3.7928756313534393</v>
      </c>
      <c r="N34" s="19">
        <f>'Phy activity RRs'!$G$4</f>
        <v>0.93831941951583364</v>
      </c>
      <c r="O34" s="15">
        <f>IF(('user page'!$N$39=0),$N34^(I34^0.25),IF(('user page'!$N$39=1),$N34^(I34^0.5),IF(('user page'!$N$39=2),$N34^(I34^0.375),IF(('user page'!$N$39=4),$N34^(I34),IF(('user page'!$N$39=3),$N34^(LN(1+I34)),"")))))</f>
        <v>0.98006871247951299</v>
      </c>
      <c r="P34" s="15">
        <f>IF(('user page'!$N$39=0),$N34^(J34^0.25),IF(('user page'!$N$39=1),$N34^(J34^0.5),IF(('user page'!$N$39=2),$N34^(J34^0.375),IF(('user page'!$N$39=4),$N34^(J34),IF(('user page'!$N$39=3),$N34^(LN(1+J34)),"")))))</f>
        <v>0.98006871247951299</v>
      </c>
      <c r="Q34" s="15">
        <f>IF(('user page'!$N$39=0),$N34^(K34^0.25),IF(('user page'!$N$39=1),$N34^(K34^0.5),IF(('user page'!$N$39=2),$N34^(K34^0.375),IF(('user page'!$N$39=4),$N34^(K34),IF(('user page'!$N$39=3),$N34^(LN(1+K34)),"")))))</f>
        <v>0.98006871247951299</v>
      </c>
      <c r="R34" s="15">
        <f>IF(('user page'!$N$39=0),$N34^(L34^0.25),IF(('user page'!$N$39=1),$N34^(L34^0.5),IF(('user page'!$N$39=2),$N34^(L34^0.375),IF(('user page'!$N$39=4),$N34^(L34),IF(('user page'!$N$39=3),$N34^(LN(1+L34)),"")))))</f>
        <v>0.98006871247951299</v>
      </c>
      <c r="S34" s="15">
        <f>IF(('user page'!$N$39=0),$N34^(M34^0.25),IF(('user page'!$N$39=1),$N34^(M34^0.5),IF(('user page'!$N$39=2),$N34^(M34^0.375),IF(('user page'!$N$39=4),$N34^(M34),IF(('user page'!$N$39=3),$N34^(LN(1+M34)),"")))))</f>
        <v>0.88338933088983584</v>
      </c>
      <c r="T34" s="18">
        <f t="shared" si="25"/>
        <v>1</v>
      </c>
      <c r="U34" s="18">
        <f t="shared" si="25"/>
        <v>1</v>
      </c>
      <c r="V34" s="18">
        <f t="shared" si="25"/>
        <v>1</v>
      </c>
      <c r="W34" s="186">
        <f t="shared" si="25"/>
        <v>1</v>
      </c>
      <c r="X34" s="186">
        <f t="shared" si="25"/>
        <v>0.90135448631445003</v>
      </c>
      <c r="Y34" s="358"/>
      <c r="Z34" s="360"/>
      <c r="AA34" s="360"/>
      <c r="AB34" s="356">
        <f>GBDUS!O51/($T34+$U34+$X34+V34+W34)</f>
        <v>5.0299181207232651E-3</v>
      </c>
      <c r="AC34" s="360">
        <f t="shared" si="26"/>
        <v>5.0299181207232651E-3</v>
      </c>
      <c r="AD34" s="360">
        <f t="shared" si="26"/>
        <v>5.0299181207232651E-3</v>
      </c>
      <c r="AE34" s="360">
        <f t="shared" si="26"/>
        <v>5.0299181207232651E-3</v>
      </c>
      <c r="AF34" s="360">
        <f t="shared" si="26"/>
        <v>4.5337392639082626E-3</v>
      </c>
      <c r="AG34" s="356">
        <f>GBDUS!P51/($T34+$U34+$X34+V34+W34)</f>
        <v>3.8406904819890321E-2</v>
      </c>
      <c r="AH34" s="360">
        <f t="shared" si="27"/>
        <v>3.8406904819890321E-2</v>
      </c>
      <c r="AI34" s="360">
        <f t="shared" si="27"/>
        <v>3.8406904819890321E-2</v>
      </c>
      <c r="AJ34" s="360">
        <f t="shared" si="27"/>
        <v>3.8406904819890321E-2</v>
      </c>
      <c r="AK34" s="360">
        <f t="shared" si="27"/>
        <v>3.4618235964860217E-2</v>
      </c>
      <c r="AL34" s="356">
        <f>GBDUS!Q51/($T34+$U34+$X34+V34+W34)</f>
        <v>1.4941500865898818E-2</v>
      </c>
      <c r="AM34" s="360">
        <f t="shared" si="28"/>
        <v>1.4941500865898818E-2</v>
      </c>
      <c r="AN34" s="360">
        <f t="shared" si="28"/>
        <v>1.4941500865898818E-2</v>
      </c>
      <c r="AO34" s="360">
        <f t="shared" si="28"/>
        <v>1.4941500865898818E-2</v>
      </c>
      <c r="AP34" s="360">
        <f t="shared" si="28"/>
        <v>1.346758883774914E-2</v>
      </c>
      <c r="AQ34" s="357"/>
      <c r="AR34" s="357"/>
      <c r="AS34" s="357"/>
      <c r="AT34" s="357"/>
      <c r="AU34" s="364"/>
      <c r="AV34" s="364"/>
      <c r="AW34" s="364"/>
      <c r="AX34" s="364"/>
    </row>
    <row r="35" spans="1:50" s="351" customFormat="1" ht="12.75" x14ac:dyDescent="0.2">
      <c r="A35" s="347">
        <v>0</v>
      </c>
      <c r="B35" s="347">
        <v>2</v>
      </c>
      <c r="C35" s="347" t="s">
        <v>35</v>
      </c>
      <c r="D35" s="17">
        <f>Baseline!AN34</f>
        <v>0.12364682020186614</v>
      </c>
      <c r="E35" s="17">
        <f>Baseline!AO34</f>
        <v>0.28020118317922604</v>
      </c>
      <c r="F35" s="17">
        <f>Baseline!AP34</f>
        <v>0.49378815453891239</v>
      </c>
      <c r="G35" s="17">
        <f>Baseline!AQ34</f>
        <v>0.87018455381391113</v>
      </c>
      <c r="H35" s="17">
        <f>Baseline!AR34</f>
        <v>1.9719612778142819</v>
      </c>
      <c r="I35" s="17">
        <f t="shared" si="24"/>
        <v>0.1</v>
      </c>
      <c r="J35" s="17">
        <f t="shared" si="24"/>
        <v>0.1</v>
      </c>
      <c r="K35" s="17">
        <f t="shared" si="24"/>
        <v>0.1</v>
      </c>
      <c r="L35" s="17">
        <f t="shared" si="24"/>
        <v>0.1</v>
      </c>
      <c r="M35" s="17">
        <f t="shared" si="24"/>
        <v>0.1</v>
      </c>
      <c r="N35" s="19">
        <f>'Phy activity RRs'!$G$4</f>
        <v>0.93831941951583364</v>
      </c>
      <c r="O35" s="15">
        <f>IF(('user page'!$N$39=0),$N35^(I35^0.25),IF(('user page'!$N$39=1),$N35^(I35^0.5),IF(('user page'!$N$39=2),$N35^(I35^0.375),IF(('user page'!$N$39=4),$N35^(I35),IF(('user page'!$N$39=3),$N35^(LN(1+I35)),"")))))</f>
        <v>0.98006871247951299</v>
      </c>
      <c r="P35" s="15">
        <f>IF(('user page'!$N$39=0),$N35^(J35^0.25),IF(('user page'!$N$39=1),$N35^(J35^0.5),IF(('user page'!$N$39=2),$N35^(J35^0.375),IF(('user page'!$N$39=4),$N35^(J35),IF(('user page'!$N$39=3),$N35^(LN(1+J35)),"")))))</f>
        <v>0.98006871247951299</v>
      </c>
      <c r="Q35" s="15">
        <f>IF(('user page'!$N$39=0),$N35^(K35^0.25),IF(('user page'!$N$39=1),$N35^(K35^0.5),IF(('user page'!$N$39=2),$N35^(K35^0.375),IF(('user page'!$N$39=4),$N35^(K35),IF(('user page'!$N$39=3),$N35^(LN(1+K35)),"")))))</f>
        <v>0.98006871247951299</v>
      </c>
      <c r="R35" s="15">
        <f>IF(('user page'!$N$39=0),$N35^(L35^0.25),IF(('user page'!$N$39=1),$N35^(L35^0.5),IF(('user page'!$N$39=2),$N35^(L35^0.375),IF(('user page'!$N$39=4),$N35^(L35),IF(('user page'!$N$39=3),$N35^(LN(1+L35)),"")))))</f>
        <v>0.98006871247951299</v>
      </c>
      <c r="S35" s="15">
        <f>IF(('user page'!$N$39=0),$N35^(M35^0.25),IF(('user page'!$N$39=1),$N35^(M35^0.5),IF(('user page'!$N$39=2),$N35^(M35^0.375),IF(('user page'!$N$39=4),$N35^(M35),IF(('user page'!$N$39=3),$N35^(LN(1+M35)),"")))))</f>
        <v>0.98006871247951299</v>
      </c>
      <c r="T35" s="18">
        <f t="shared" si="25"/>
        <v>1</v>
      </c>
      <c r="U35" s="18">
        <f t="shared" si="25"/>
        <v>1</v>
      </c>
      <c r="V35" s="18">
        <f t="shared" si="25"/>
        <v>1</v>
      </c>
      <c r="W35" s="186">
        <f t="shared" si="25"/>
        <v>1</v>
      </c>
      <c r="X35" s="186">
        <f t="shared" si="25"/>
        <v>1</v>
      </c>
      <c r="Y35" s="358"/>
      <c r="Z35" s="360"/>
      <c r="AA35" s="360"/>
      <c r="AB35" s="356">
        <f>GBDUS!O52/($T35+$U35+$X35+V35+W35)</f>
        <v>1.0220831628070047E-2</v>
      </c>
      <c r="AC35" s="360">
        <f t="shared" si="26"/>
        <v>1.0220831628070047E-2</v>
      </c>
      <c r="AD35" s="360">
        <f t="shared" si="26"/>
        <v>1.0220831628070047E-2</v>
      </c>
      <c r="AE35" s="360">
        <f t="shared" si="26"/>
        <v>1.0220831628070047E-2</v>
      </c>
      <c r="AF35" s="360">
        <f t="shared" si="26"/>
        <v>1.0220831628070047E-2</v>
      </c>
      <c r="AG35" s="356">
        <f>GBDUS!P52/($T35+$U35+$X35+V35+W35)</f>
        <v>3.1783910925247419E-2</v>
      </c>
      <c r="AH35" s="360">
        <f t="shared" si="27"/>
        <v>3.1783910925247419E-2</v>
      </c>
      <c r="AI35" s="360">
        <f t="shared" si="27"/>
        <v>3.1783910925247419E-2</v>
      </c>
      <c r="AJ35" s="360">
        <f t="shared" si="27"/>
        <v>3.1783910925247419E-2</v>
      </c>
      <c r="AK35" s="360">
        <f t="shared" si="27"/>
        <v>3.1783910925247419E-2</v>
      </c>
      <c r="AL35" s="356">
        <f>GBDUS!Q52/($T35+$U35+$X35+V35+W35)</f>
        <v>2.6565540444941794E-3</v>
      </c>
      <c r="AM35" s="360">
        <f t="shared" si="28"/>
        <v>2.6565540444941794E-3</v>
      </c>
      <c r="AN35" s="360">
        <f t="shared" si="28"/>
        <v>2.6565540444941794E-3</v>
      </c>
      <c r="AO35" s="360">
        <f t="shared" si="28"/>
        <v>2.6565540444941794E-3</v>
      </c>
      <c r="AP35" s="360">
        <f t="shared" si="28"/>
        <v>2.6565540444941794E-3</v>
      </c>
      <c r="AQ35" s="357"/>
      <c r="AR35" s="357"/>
      <c r="AS35" s="357"/>
      <c r="AT35" s="357"/>
      <c r="AU35" s="364"/>
      <c r="AV35" s="364"/>
      <c r="AW35" s="364"/>
      <c r="AX35" s="364"/>
    </row>
  </sheetData>
  <mergeCells count="9">
    <mergeCell ref="AG1:AK1"/>
    <mergeCell ref="AL1:AP1"/>
    <mergeCell ref="AQ1:AT1"/>
    <mergeCell ref="AU1:AX1"/>
    <mergeCell ref="D1:H1"/>
    <mergeCell ref="I1:M1"/>
    <mergeCell ref="O1:S1"/>
    <mergeCell ref="T1:X1"/>
    <mergeCell ref="AB1:AF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82"/>
  <sheetViews>
    <sheetView workbookViewId="0">
      <selection activeCell="S23" sqref="S23"/>
    </sheetView>
  </sheetViews>
  <sheetFormatPr defaultRowHeight="15" x14ac:dyDescent="0.25"/>
  <cols>
    <col min="1" max="1" width="8.28515625" customWidth="1"/>
    <col min="2" max="2" width="9.28515625" customWidth="1"/>
    <col min="3" max="3" width="13" customWidth="1"/>
    <col min="4" max="4" width="8.7109375" customWidth="1"/>
    <col min="5" max="5" width="8.140625" customWidth="1"/>
    <col min="6" max="6" width="12" customWidth="1"/>
    <col min="7" max="7" width="8.5703125" customWidth="1"/>
    <col min="8" max="8" width="7" customWidth="1"/>
    <col min="9" max="9" width="7.42578125" customWidth="1"/>
    <col min="10" max="10" width="7.5703125" customWidth="1"/>
    <col min="11" max="11" width="5.7109375" customWidth="1"/>
    <col min="12" max="12" width="7.28515625" customWidth="1"/>
    <col min="13" max="13" width="5.7109375" customWidth="1"/>
    <col min="14" max="14" width="5.7109375" style="189" customWidth="1"/>
    <col min="15" max="20" width="5.7109375" customWidth="1"/>
    <col min="21" max="21" width="5.42578125" customWidth="1"/>
    <col min="22" max="22" width="12.42578125" customWidth="1"/>
    <col min="23" max="26" width="5.7109375" customWidth="1"/>
  </cols>
  <sheetData>
    <row r="1" spans="1:21" ht="12.75" customHeight="1" x14ac:dyDescent="0.25">
      <c r="B1" s="1169" t="s">
        <v>168</v>
      </c>
      <c r="C1" s="1170"/>
      <c r="D1" s="1170"/>
      <c r="E1" s="1170"/>
      <c r="F1" s="1170"/>
      <c r="G1" s="1170"/>
      <c r="H1" s="1170"/>
      <c r="I1" s="1170"/>
      <c r="J1" s="1170"/>
      <c r="K1" s="1170"/>
      <c r="L1" s="1170"/>
      <c r="M1" s="1170"/>
      <c r="N1" s="1170"/>
      <c r="O1" s="1170"/>
      <c r="S1" t="s">
        <v>482</v>
      </c>
      <c r="U1">
        <f>'user page'!U1:V2</f>
        <v>1</v>
      </c>
    </row>
    <row r="2" spans="1:21" x14ac:dyDescent="0.25">
      <c r="B2" s="1171"/>
      <c r="C2" s="1172"/>
      <c r="D2" s="1172"/>
      <c r="E2" s="1172"/>
      <c r="F2" s="1172"/>
      <c r="G2" s="1172"/>
      <c r="H2" s="1172"/>
      <c r="I2" s="1172"/>
      <c r="J2" s="1172"/>
      <c r="K2" s="1172"/>
      <c r="L2" s="1172"/>
      <c r="M2" s="1172"/>
      <c r="N2" s="1172"/>
      <c r="O2" s="1172"/>
    </row>
    <row r="3" spans="1:21" ht="12.75" customHeight="1" x14ac:dyDescent="0.25">
      <c r="B3" s="105"/>
      <c r="C3" s="105"/>
      <c r="D3" s="1173" t="s">
        <v>218</v>
      </c>
      <c r="E3" s="1174"/>
      <c r="F3" s="1173" t="s">
        <v>514</v>
      </c>
      <c r="G3" s="1174"/>
      <c r="H3" s="1173" t="s">
        <v>417</v>
      </c>
      <c r="I3" s="1174"/>
      <c r="J3" s="1173" t="s">
        <v>419</v>
      </c>
      <c r="K3" s="1174"/>
      <c r="L3" s="1176"/>
      <c r="M3" s="1177"/>
      <c r="N3" s="1145" t="s">
        <v>62</v>
      </c>
      <c r="O3" s="1146"/>
      <c r="P3" t="s">
        <v>173</v>
      </c>
    </row>
    <row r="4" spans="1:21" x14ac:dyDescent="0.25">
      <c r="B4" s="1152" t="s">
        <v>436</v>
      </c>
      <c r="C4" s="370" t="s">
        <v>93</v>
      </c>
      <c r="D4" s="371" t="e">
        <f>'user page'!C26</f>
        <v>#REF!</v>
      </c>
      <c r="E4" s="372"/>
      <c r="F4" s="371" t="e">
        <f>'user page'!E26</f>
        <v>#REF!</v>
      </c>
      <c r="G4" s="372"/>
      <c r="H4" s="371">
        <f>'user page'!G26</f>
        <v>0.17142857142857143</v>
      </c>
      <c r="I4" s="372"/>
      <c r="J4" s="371">
        <f>'user page'!I26</f>
        <v>0.16428571428571428</v>
      </c>
      <c r="K4" s="372"/>
      <c r="L4" s="373"/>
      <c r="M4" s="374"/>
      <c r="N4" s="378" t="e">
        <f>IF(($U$1=0),D4,IF(($U$1=1),F4,IF(($U$1=2),H4,IF(($U$1=3),J4,IF(($U$1=4),L4,IF(($U$1=5),F4,""))))))</f>
        <v>#REF!</v>
      </c>
      <c r="O4" s="376"/>
    </row>
    <row r="5" spans="1:21" x14ac:dyDescent="0.25">
      <c r="B5" s="1153"/>
      <c r="C5" s="370" t="s">
        <v>491</v>
      </c>
      <c r="D5" s="371" t="e">
        <f>'user page'!C27</f>
        <v>#REF!</v>
      </c>
      <c r="E5" s="371"/>
      <c r="F5" s="371" t="e">
        <f>'user page'!E27</f>
        <v>#REF!</v>
      </c>
      <c r="G5" s="371"/>
      <c r="H5" s="371">
        <f>'user page'!G27</f>
        <v>1.5714285714285714</v>
      </c>
      <c r="I5" s="371"/>
      <c r="J5" s="371">
        <f>'user page'!I27</f>
        <v>1.92</v>
      </c>
      <c r="K5" s="371"/>
      <c r="L5" s="371"/>
      <c r="M5" s="371"/>
      <c r="N5" s="375" t="e">
        <f>'user page'!M27</f>
        <v>#REF!</v>
      </c>
      <c r="O5" s="376"/>
    </row>
    <row r="6" spans="1:21" x14ac:dyDescent="0.25">
      <c r="B6" s="1153"/>
      <c r="C6" s="377" t="s">
        <v>95</v>
      </c>
      <c r="D6" s="371">
        <f>'user page'!C28+'user page'!C29</f>
        <v>0</v>
      </c>
      <c r="E6" s="371"/>
      <c r="F6" s="371">
        <f>'user page'!E28+'user page'!E29</f>
        <v>0</v>
      </c>
      <c r="G6" s="371"/>
      <c r="H6" s="371">
        <f>'user page'!G28+'user page'!G29</f>
        <v>8.5714285714285715E-2</v>
      </c>
      <c r="I6" s="371"/>
      <c r="J6" s="371">
        <f>'user page'!I28+'user page'!I29</f>
        <v>9.4285714285714292E-2</v>
      </c>
      <c r="K6" s="371"/>
      <c r="L6" s="371"/>
      <c r="M6" s="374"/>
      <c r="N6" s="375">
        <f>'user page'!M28+'user page'!M29</f>
        <v>0</v>
      </c>
      <c r="O6" s="376"/>
    </row>
    <row r="7" spans="1:21" x14ac:dyDescent="0.25">
      <c r="B7" s="1153"/>
      <c r="C7" s="370" t="s">
        <v>165</v>
      </c>
      <c r="D7" s="371" t="e">
        <f>'user page'!C31+'user page'!C32</f>
        <v>#REF!</v>
      </c>
      <c r="E7" s="372"/>
      <c r="F7" s="371">
        <f>'user page'!E31+'user page'!E32</f>
        <v>0</v>
      </c>
      <c r="G7" s="372"/>
      <c r="H7" s="371">
        <f>'user page'!G31+'user page'!G32</f>
        <v>19.328571428571429</v>
      </c>
      <c r="I7" s="372"/>
      <c r="J7" s="371">
        <f>'user page'!I31+'user page'!I32</f>
        <v>17.728571428571428</v>
      </c>
      <c r="K7" s="371"/>
      <c r="L7" s="371"/>
      <c r="M7" s="374"/>
      <c r="N7" s="375">
        <f>'user page'!M31+'user page'!M32</f>
        <v>0</v>
      </c>
      <c r="O7" s="376"/>
    </row>
    <row r="8" spans="1:21" x14ac:dyDescent="0.25">
      <c r="B8" s="1153"/>
      <c r="C8" s="370"/>
      <c r="D8" s="371"/>
      <c r="E8" s="372"/>
      <c r="F8" s="371"/>
      <c r="G8" s="372"/>
      <c r="H8" s="371"/>
      <c r="I8" s="372"/>
      <c r="J8" s="371"/>
      <c r="K8" s="371"/>
      <c r="L8" s="371"/>
      <c r="M8" s="374"/>
      <c r="N8" s="375"/>
      <c r="O8" s="376"/>
    </row>
    <row r="9" spans="1:21" x14ac:dyDescent="0.25">
      <c r="B9" s="1153"/>
      <c r="C9" s="370" t="s">
        <v>254</v>
      </c>
      <c r="D9" s="371">
        <f>'Visions person'!C45/7</f>
        <v>0</v>
      </c>
      <c r="E9" s="371"/>
      <c r="F9" s="371">
        <f>'Visions person'!E45/7</f>
        <v>0</v>
      </c>
      <c r="G9" s="371"/>
      <c r="H9" s="371">
        <f>'Visions person'!G45/7</f>
        <v>0.14285714285714285</v>
      </c>
      <c r="I9" s="371"/>
      <c r="J9" s="371">
        <f>'Visions person'!I45/7</f>
        <v>0.14285714285714285</v>
      </c>
      <c r="K9" s="371"/>
      <c r="L9" s="371"/>
      <c r="M9" s="371"/>
      <c r="N9" s="378">
        <f>IF(($U$1=0),D9,IF(($U$1=1),F9,IF(($U$1=2),H9,IF(($U$1=3),J9,IF(($U$1=4),L9,IF(($U$1=5),F9,""))))))</f>
        <v>0</v>
      </c>
      <c r="O9" s="371"/>
    </row>
    <row r="10" spans="1:21" x14ac:dyDescent="0.25">
      <c r="B10" s="1153"/>
      <c r="C10" s="370"/>
      <c r="D10" s="371"/>
      <c r="E10" s="371"/>
      <c r="F10" s="371" t="s">
        <v>223</v>
      </c>
      <c r="G10" s="371"/>
      <c r="H10" s="371"/>
      <c r="I10" s="371"/>
      <c r="J10" s="371"/>
      <c r="K10" s="371"/>
      <c r="L10" s="371"/>
      <c r="M10" s="371"/>
      <c r="N10" s="378"/>
      <c r="O10" s="371"/>
    </row>
    <row r="11" spans="1:21" x14ac:dyDescent="0.25">
      <c r="B11" s="1153"/>
      <c r="C11" s="377" t="s">
        <v>248</v>
      </c>
      <c r="D11" s="371">
        <f>'Visions person'!$C$42/7</f>
        <v>0.14285714285714285</v>
      </c>
      <c r="E11" s="372"/>
      <c r="F11" s="371">
        <f>'Visions person'!E42/7</f>
        <v>0</v>
      </c>
      <c r="G11" s="372"/>
      <c r="H11" s="371">
        <f>'Visions person'!G42/7</f>
        <v>0.14285714285714285</v>
      </c>
      <c r="I11" s="372"/>
      <c r="J11" s="371">
        <f>'Visions person'!I42/7</f>
        <v>0</v>
      </c>
      <c r="K11" s="371"/>
      <c r="L11" s="371"/>
      <c r="M11" s="374"/>
      <c r="N11" s="375">
        <f>D11</f>
        <v>0.14285714285714285</v>
      </c>
      <c r="O11" s="376"/>
      <c r="R11" s="626"/>
    </row>
    <row r="12" spans="1:21" x14ac:dyDescent="0.25">
      <c r="B12" s="1153"/>
      <c r="C12" s="379"/>
      <c r="D12" s="380"/>
      <c r="E12" s="372"/>
      <c r="F12" s="371" t="s">
        <v>223</v>
      </c>
      <c r="G12" s="372"/>
      <c r="H12" s="371"/>
      <c r="I12" s="372"/>
      <c r="J12" s="371"/>
      <c r="K12" s="371"/>
      <c r="L12" s="371"/>
      <c r="M12" s="374"/>
      <c r="N12" s="375" t="s">
        <v>223</v>
      </c>
      <c r="O12" s="376"/>
    </row>
    <row r="13" spans="1:21" x14ac:dyDescent="0.25">
      <c r="B13" s="1153"/>
      <c r="C13" s="370" t="s">
        <v>74</v>
      </c>
      <c r="D13" s="371" t="e">
        <f>SUM(D4:D12)</f>
        <v>#REF!</v>
      </c>
      <c r="E13" s="371"/>
      <c r="F13" s="371" t="e">
        <f>SUM(F4:F12)</f>
        <v>#REF!</v>
      </c>
      <c r="G13" s="371"/>
      <c r="H13" s="371">
        <f>SUM(H4:H12)</f>
        <v>21.442857142857143</v>
      </c>
      <c r="I13" s="371"/>
      <c r="J13" s="371">
        <f>SUM(J4:J12)</f>
        <v>20.049999999999997</v>
      </c>
      <c r="K13" s="371"/>
      <c r="L13" s="373"/>
      <c r="M13" s="371"/>
      <c r="N13" s="371" t="e">
        <f>SUM(N4:N12)</f>
        <v>#REF!</v>
      </c>
      <c r="O13" s="376"/>
    </row>
    <row r="14" spans="1:21" x14ac:dyDescent="0.25">
      <c r="A14" s="1152" t="s">
        <v>169</v>
      </c>
      <c r="B14" s="1152" t="s">
        <v>488</v>
      </c>
      <c r="C14" s="370" t="s">
        <v>93</v>
      </c>
      <c r="D14" s="380" t="e">
        <f>D4/D41*E14</f>
        <v>#REF!</v>
      </c>
      <c r="E14" s="382">
        <v>0.75</v>
      </c>
      <c r="F14" s="371" t="e">
        <f>F4/F41*G14</f>
        <v>#REF!</v>
      </c>
      <c r="G14" s="382">
        <f>E14</f>
        <v>0.75</v>
      </c>
      <c r="H14" s="371">
        <f>H4/H41*I14</f>
        <v>0.12857142857142856</v>
      </c>
      <c r="I14" s="382">
        <f>E14</f>
        <v>0.75</v>
      </c>
      <c r="J14" s="371">
        <f>J4/J41*K14</f>
        <v>0.12321428571428572</v>
      </c>
      <c r="K14" s="382">
        <f>E14</f>
        <v>0.75</v>
      </c>
      <c r="L14" s="371"/>
      <c r="M14" s="382"/>
      <c r="N14" s="553" t="e">
        <f>IF(($U$1=0),D14,IF(($U$1=1),F14,IF(($U$1=2),H14,IF(($U$1=3),J14,IF(($U$1=4),L14,IF(($U$1=5),N14,""))))))</f>
        <v>#REF!</v>
      </c>
      <c r="O14" s="382">
        <f>IF(($U$1=0),E14,IF(($U$1=1),G14,IF(($U$1=2),I14,IF(($U$1=3),K14,IF(($U$1=4),M14,IF(($U$1=5),O14,""))))))</f>
        <v>0.75</v>
      </c>
      <c r="P14" s="141">
        <f>'Scenario Injury Multiplier'!AG4</f>
        <v>0.5</v>
      </c>
    </row>
    <row r="15" spans="1:21" x14ac:dyDescent="0.25">
      <c r="A15" s="1153"/>
      <c r="B15" s="1153"/>
      <c r="C15" s="370" t="s">
        <v>491</v>
      </c>
      <c r="D15" s="371" t="e">
        <f>D5/D42*E15</f>
        <v>#REF!</v>
      </c>
      <c r="E15" s="383">
        <v>0.53</v>
      </c>
      <c r="F15" s="371" t="e">
        <f>F5/F42*G15</f>
        <v>#REF!</v>
      </c>
      <c r="G15" s="382">
        <f t="shared" ref="G15:G39" si="0">E15</f>
        <v>0.53</v>
      </c>
      <c r="H15" s="371">
        <f>H5/H42*I15</f>
        <v>0.83285714285714285</v>
      </c>
      <c r="I15" s="382">
        <f t="shared" ref="I15:I21" si="1">E15</f>
        <v>0.53</v>
      </c>
      <c r="J15" s="371">
        <f>J5/J42*K15</f>
        <v>1.0176000000000001</v>
      </c>
      <c r="K15" s="382">
        <f>E15</f>
        <v>0.53</v>
      </c>
      <c r="L15" s="371"/>
      <c r="M15" s="382"/>
      <c r="N15" s="553" t="e">
        <f t="shared" ref="N15:N75" si="2">IF(($U$1=0),D15,IF(($U$1=1),F15,IF(($U$1=2),H15,IF(($U$1=3),J15,IF(($U$1=4),L15,IF(($U$1=5),N15,""))))))</f>
        <v>#REF!</v>
      </c>
      <c r="O15" s="382">
        <f t="shared" ref="O15:O39" si="3">IF(($U$1=0),E15,IF(($U$1=1),G15,IF(($U$1=2),I15,IF(($U$1=3),K15,IF(($U$1=4),M15,IF(($U$1=5),O15,""))))))</f>
        <v>0.53</v>
      </c>
      <c r="P15" s="141">
        <f>'Scenario Injury Multiplier'!AG5</f>
        <v>0.5</v>
      </c>
    </row>
    <row r="16" spans="1:21" x14ac:dyDescent="0.25">
      <c r="A16" s="1153"/>
      <c r="B16" s="1153"/>
      <c r="C16" s="377" t="s">
        <v>95</v>
      </c>
      <c r="D16" s="371">
        <f>D52*$D$43</f>
        <v>3.4798966512458174</v>
      </c>
      <c r="E16" s="382">
        <v>0.26</v>
      </c>
      <c r="F16" s="371">
        <f>D16</f>
        <v>3.4798966512458174</v>
      </c>
      <c r="G16" s="382">
        <f t="shared" si="0"/>
        <v>0.26</v>
      </c>
      <c r="H16" s="371">
        <f>D16</f>
        <v>3.4798966512458174</v>
      </c>
      <c r="I16" s="382">
        <f t="shared" si="1"/>
        <v>0.26</v>
      </c>
      <c r="J16" s="371">
        <f>D16</f>
        <v>3.4798966512458174</v>
      </c>
      <c r="K16" s="382">
        <f>E16</f>
        <v>0.26</v>
      </c>
      <c r="L16" s="371"/>
      <c r="M16" s="382"/>
      <c r="N16" s="553">
        <f t="shared" si="2"/>
        <v>3.4798966512458174</v>
      </c>
      <c r="O16" s="382">
        <f t="shared" si="3"/>
        <v>0.26</v>
      </c>
      <c r="P16" s="141">
        <f>'Scenario Injury Multiplier'!AG6</f>
        <v>0.5</v>
      </c>
    </row>
    <row r="17" spans="1:22" x14ac:dyDescent="0.25">
      <c r="A17" s="1153"/>
      <c r="B17" s="1153"/>
      <c r="C17" s="370" t="s">
        <v>165</v>
      </c>
      <c r="D17" s="371" t="e">
        <f>D7/D44*E17</f>
        <v>#REF!</v>
      </c>
      <c r="E17" s="382">
        <v>0.23</v>
      </c>
      <c r="F17" s="371" t="e">
        <f>F7/F44*G17</f>
        <v>#REF!</v>
      </c>
      <c r="G17" s="382">
        <f t="shared" si="0"/>
        <v>0.23</v>
      </c>
      <c r="H17" s="371" t="e">
        <f>H7/H44*I17</f>
        <v>#REF!</v>
      </c>
      <c r="I17" s="382">
        <f t="shared" si="1"/>
        <v>0.23</v>
      </c>
      <c r="J17" s="371" t="e">
        <f>J7/J44*K17</f>
        <v>#REF!</v>
      </c>
      <c r="K17" s="382">
        <f>E17</f>
        <v>0.23</v>
      </c>
      <c r="L17" s="371"/>
      <c r="M17" s="382"/>
      <c r="N17" s="553" t="e">
        <f t="shared" si="2"/>
        <v>#REF!</v>
      </c>
      <c r="O17" s="382">
        <f t="shared" si="3"/>
        <v>0.23</v>
      </c>
      <c r="P17" s="141">
        <f>'Scenario Injury Multiplier'!AG7</f>
        <v>0.5</v>
      </c>
    </row>
    <row r="18" spans="1:22" x14ac:dyDescent="0.25">
      <c r="A18" s="1153"/>
      <c r="B18" s="1153"/>
      <c r="C18" s="370"/>
      <c r="D18" s="371"/>
      <c r="E18" s="382"/>
      <c r="F18" s="371"/>
      <c r="G18" s="382" t="s">
        <v>223</v>
      </c>
      <c r="H18" s="371"/>
      <c r="I18" s="382"/>
      <c r="J18" s="371"/>
      <c r="K18" s="382"/>
      <c r="L18" s="371"/>
      <c r="M18" s="382"/>
      <c r="N18" s="553"/>
      <c r="O18" s="382" t="str">
        <f t="shared" si="3"/>
        <v xml:space="preserve"> </v>
      </c>
      <c r="P18" s="141">
        <f>'Scenario Injury Multiplier'!AG8</f>
        <v>0.5</v>
      </c>
    </row>
    <row r="19" spans="1:22" x14ac:dyDescent="0.25">
      <c r="A19" s="1153"/>
      <c r="B19" s="1153"/>
      <c r="C19" s="370" t="s">
        <v>254</v>
      </c>
      <c r="D19" s="371">
        <f>D9/D46*E19</f>
        <v>0</v>
      </c>
      <c r="E19" s="382">
        <v>0.15</v>
      </c>
      <c r="F19" s="371">
        <f>F9/F46*G19</f>
        <v>0</v>
      </c>
      <c r="G19" s="382">
        <f t="shared" si="0"/>
        <v>0.15</v>
      </c>
      <c r="H19" s="371">
        <f>H9/H46*I19</f>
        <v>2.1428571428571425E-2</v>
      </c>
      <c r="I19" s="382">
        <f t="shared" si="1"/>
        <v>0.15</v>
      </c>
      <c r="J19" s="371">
        <f>J9/J46*K19</f>
        <v>2.1428571428571425E-2</v>
      </c>
      <c r="K19" s="382">
        <f>E19</f>
        <v>0.15</v>
      </c>
      <c r="L19" s="371"/>
      <c r="M19" s="382"/>
      <c r="N19" s="553">
        <f t="shared" si="2"/>
        <v>0</v>
      </c>
      <c r="O19" s="382">
        <f t="shared" si="3"/>
        <v>0.15</v>
      </c>
      <c r="P19" s="141">
        <f>'Scenario Injury Multiplier'!AG9</f>
        <v>0.5</v>
      </c>
      <c r="V19" s="401"/>
    </row>
    <row r="20" spans="1:22" x14ac:dyDescent="0.25">
      <c r="A20" s="1153"/>
      <c r="B20" s="1153"/>
      <c r="C20" s="370"/>
      <c r="D20" s="371"/>
      <c r="E20" s="382"/>
      <c r="F20" s="371"/>
      <c r="G20" s="382" t="s">
        <v>223</v>
      </c>
      <c r="H20" s="371"/>
      <c r="I20" s="382"/>
      <c r="J20" s="371"/>
      <c r="K20" s="382"/>
      <c r="L20" s="371"/>
      <c r="M20" s="382"/>
      <c r="N20" s="553">
        <f t="shared" si="2"/>
        <v>0</v>
      </c>
      <c r="O20" s="382"/>
      <c r="P20" s="141">
        <f>'Scenario Injury Multiplier'!AG10</f>
        <v>0.5</v>
      </c>
    </row>
    <row r="21" spans="1:22" x14ac:dyDescent="0.25">
      <c r="A21" s="1153"/>
      <c r="B21" s="1153"/>
      <c r="C21" s="377" t="s">
        <v>248</v>
      </c>
      <c r="D21" s="371">
        <f>D11/D48*E21</f>
        <v>1.2848150728403182E-2</v>
      </c>
      <c r="E21" s="382">
        <v>0.09</v>
      </c>
      <c r="F21" s="371">
        <f>F11/F48*G21</f>
        <v>0</v>
      </c>
      <c r="G21" s="382">
        <f t="shared" si="0"/>
        <v>0.09</v>
      </c>
      <c r="H21" s="371">
        <f>H11/H48*I21</f>
        <v>1.2848150728403182E-2</v>
      </c>
      <c r="I21" s="382">
        <f t="shared" si="1"/>
        <v>0.09</v>
      </c>
      <c r="J21" s="371">
        <f>J11/J48*K21</f>
        <v>0</v>
      </c>
      <c r="K21" s="382">
        <f>E21</f>
        <v>0.09</v>
      </c>
      <c r="L21" s="371"/>
      <c r="M21" s="382"/>
      <c r="N21" s="553">
        <f t="shared" si="2"/>
        <v>0</v>
      </c>
      <c r="O21" s="382">
        <f t="shared" si="3"/>
        <v>0.09</v>
      </c>
      <c r="P21" s="141">
        <f>'Scenario Injury Multiplier'!AG11</f>
        <v>0.5</v>
      </c>
    </row>
    <row r="22" spans="1:22" x14ac:dyDescent="0.25">
      <c r="A22" s="1153"/>
      <c r="B22" s="1153"/>
      <c r="C22" s="379"/>
      <c r="D22" s="371"/>
      <c r="E22" s="382"/>
      <c r="F22" s="371"/>
      <c r="G22" s="382" t="s">
        <v>223</v>
      </c>
      <c r="H22" s="371"/>
      <c r="I22" s="382"/>
      <c r="J22" s="371"/>
      <c r="K22" s="382"/>
      <c r="L22" s="371"/>
      <c r="M22" s="382"/>
      <c r="N22" s="553"/>
      <c r="O22" s="382"/>
      <c r="P22" s="141">
        <f>'Scenario Injury Multiplier'!AG12</f>
        <v>0.5</v>
      </c>
    </row>
    <row r="23" spans="1:22" x14ac:dyDescent="0.25">
      <c r="A23" s="1153"/>
      <c r="B23" s="1152" t="s">
        <v>489</v>
      </c>
      <c r="C23" s="370" t="s">
        <v>93</v>
      </c>
      <c r="D23" s="371" t="e">
        <f>D4/D41*E23</f>
        <v>#REF!</v>
      </c>
      <c r="E23" s="382">
        <v>0.25</v>
      </c>
      <c r="F23" s="371" t="e">
        <f>F4/F41*G23</f>
        <v>#REF!</v>
      </c>
      <c r="G23" s="382">
        <f t="shared" si="0"/>
        <v>0.25</v>
      </c>
      <c r="H23" s="371">
        <f>H4/H41*I23</f>
        <v>4.2857142857142858E-2</v>
      </c>
      <c r="I23" s="382">
        <f>E23</f>
        <v>0.25</v>
      </c>
      <c r="J23" s="371">
        <f>J4/J41*K23</f>
        <v>4.1071428571428571E-2</v>
      </c>
      <c r="K23" s="382">
        <f>E23</f>
        <v>0.25</v>
      </c>
      <c r="L23" s="371"/>
      <c r="M23" s="382"/>
      <c r="N23" s="553" t="e">
        <f t="shared" si="2"/>
        <v>#REF!</v>
      </c>
      <c r="O23" s="382">
        <f t="shared" si="3"/>
        <v>0.25</v>
      </c>
      <c r="P23" s="141">
        <f>'Scenario Injury Multiplier'!AG13</f>
        <v>0.5</v>
      </c>
    </row>
    <row r="24" spans="1:22" x14ac:dyDescent="0.25">
      <c r="A24" s="1153"/>
      <c r="B24" s="1153"/>
      <c r="C24" s="370" t="s">
        <v>491</v>
      </c>
      <c r="D24" s="371" t="e">
        <f>D5/D42*E24</f>
        <v>#REF!</v>
      </c>
      <c r="E24" s="383">
        <v>0.47</v>
      </c>
      <c r="F24" s="371" t="e">
        <f>F5/F42*G24</f>
        <v>#REF!</v>
      </c>
      <c r="G24" s="382">
        <f t="shared" si="0"/>
        <v>0.47</v>
      </c>
      <c r="H24" s="371">
        <f>H5/H42*I24</f>
        <v>0.73857142857142855</v>
      </c>
      <c r="I24" s="382">
        <f t="shared" ref="I24:I30" si="4">E24</f>
        <v>0.47</v>
      </c>
      <c r="J24" s="371">
        <f>J5/J42*K24</f>
        <v>0.90239999999999987</v>
      </c>
      <c r="K24" s="382">
        <f>E24</f>
        <v>0.47</v>
      </c>
      <c r="L24" s="371"/>
      <c r="M24" s="382"/>
      <c r="N24" s="553" t="e">
        <f t="shared" si="2"/>
        <v>#REF!</v>
      </c>
      <c r="O24" s="382">
        <f t="shared" si="3"/>
        <v>0.47</v>
      </c>
      <c r="P24" s="141">
        <f>'Scenario Injury Multiplier'!AG14</f>
        <v>0.5</v>
      </c>
    </row>
    <row r="25" spans="1:22" x14ac:dyDescent="0.25">
      <c r="A25" s="1153"/>
      <c r="B25" s="1153"/>
      <c r="C25" s="377" t="s">
        <v>95</v>
      </c>
      <c r="D25" s="371">
        <f>D61*$D$43</f>
        <v>38.814602591589612</v>
      </c>
      <c r="E25" s="383">
        <v>0.59</v>
      </c>
      <c r="F25" s="371">
        <f>D25</f>
        <v>38.814602591589612</v>
      </c>
      <c r="G25" s="382">
        <f t="shared" si="0"/>
        <v>0.59</v>
      </c>
      <c r="H25" s="371">
        <f>F25</f>
        <v>38.814602591589612</v>
      </c>
      <c r="I25" s="382">
        <f t="shared" si="4"/>
        <v>0.59</v>
      </c>
      <c r="J25" s="371">
        <f>H25</f>
        <v>38.814602591589612</v>
      </c>
      <c r="K25" s="382">
        <f>E25</f>
        <v>0.59</v>
      </c>
      <c r="L25" s="371"/>
      <c r="M25" s="382"/>
      <c r="N25" s="553">
        <f t="shared" si="2"/>
        <v>38.814602591589612</v>
      </c>
      <c r="O25" s="382">
        <f t="shared" si="3"/>
        <v>0.59</v>
      </c>
      <c r="P25" s="141">
        <f>'Scenario Injury Multiplier'!AG15</f>
        <v>0.5</v>
      </c>
    </row>
    <row r="26" spans="1:22" x14ac:dyDescent="0.25">
      <c r="A26" s="1153"/>
      <c r="B26" s="1153"/>
      <c r="C26" s="370" t="s">
        <v>165</v>
      </c>
      <c r="D26" s="371" t="e">
        <f>D7/D44*E26</f>
        <v>#REF!</v>
      </c>
      <c r="E26" s="382">
        <v>0.45</v>
      </c>
      <c r="F26" s="371" t="e">
        <f>F7/F44*G26</f>
        <v>#REF!</v>
      </c>
      <c r="G26" s="382">
        <f t="shared" si="0"/>
        <v>0.45</v>
      </c>
      <c r="H26" s="371" t="e">
        <f>H7/H44*I26</f>
        <v>#REF!</v>
      </c>
      <c r="I26" s="382">
        <f t="shared" si="4"/>
        <v>0.45</v>
      </c>
      <c r="J26" s="371" t="e">
        <f>J7/J44*K26</f>
        <v>#REF!</v>
      </c>
      <c r="K26" s="382">
        <f>E26</f>
        <v>0.45</v>
      </c>
      <c r="L26" s="371"/>
      <c r="M26" s="382"/>
      <c r="N26" s="553" t="e">
        <f t="shared" si="2"/>
        <v>#REF!</v>
      </c>
      <c r="O26" s="382">
        <f t="shared" si="3"/>
        <v>0.45</v>
      </c>
      <c r="P26" s="141">
        <f>'Scenario Injury Multiplier'!AG16</f>
        <v>0.5</v>
      </c>
    </row>
    <row r="27" spans="1:22" x14ac:dyDescent="0.25">
      <c r="A27" s="1153"/>
      <c r="B27" s="1153"/>
      <c r="C27" s="370"/>
      <c r="D27" s="371"/>
      <c r="E27" s="382"/>
      <c r="F27" s="371"/>
      <c r="G27" s="382" t="s">
        <v>223</v>
      </c>
      <c r="H27" s="371"/>
      <c r="I27" s="382"/>
      <c r="J27" s="371"/>
      <c r="K27" s="382"/>
      <c r="L27" s="371"/>
      <c r="M27" s="382"/>
      <c r="N27" s="553"/>
      <c r="O27" s="382"/>
      <c r="P27" s="141">
        <f>'Scenario Injury Multiplier'!AG17</f>
        <v>0.5</v>
      </c>
    </row>
    <row r="28" spans="1:22" x14ac:dyDescent="0.25">
      <c r="A28" s="1153"/>
      <c r="B28" s="1153"/>
      <c r="C28" s="370" t="s">
        <v>254</v>
      </c>
      <c r="D28" s="371">
        <f>D9/D46*E28</f>
        <v>0</v>
      </c>
      <c r="E28" s="382">
        <v>0.4</v>
      </c>
      <c r="F28" s="371">
        <f>F9/F46*G28</f>
        <v>0</v>
      </c>
      <c r="G28" s="382">
        <f t="shared" si="0"/>
        <v>0.4</v>
      </c>
      <c r="H28" s="371">
        <f>H9/H46*I28</f>
        <v>5.7142857142857141E-2</v>
      </c>
      <c r="I28" s="382">
        <f t="shared" si="4"/>
        <v>0.4</v>
      </c>
      <c r="J28" s="371">
        <f>J9/J46*K28</f>
        <v>5.7142857142857141E-2</v>
      </c>
      <c r="K28" s="382">
        <f>E28</f>
        <v>0.4</v>
      </c>
      <c r="L28" s="371"/>
      <c r="M28" s="382"/>
      <c r="N28" s="553">
        <f t="shared" si="2"/>
        <v>0</v>
      </c>
      <c r="O28" s="382">
        <f t="shared" si="3"/>
        <v>0.4</v>
      </c>
      <c r="P28" s="141">
        <f>'Scenario Injury Multiplier'!AG18</f>
        <v>0.5</v>
      </c>
    </row>
    <row r="29" spans="1:22" x14ac:dyDescent="0.25">
      <c r="A29" s="1153"/>
      <c r="B29" s="1153"/>
      <c r="C29" s="370"/>
      <c r="D29" s="371"/>
      <c r="E29" s="382"/>
      <c r="F29" s="371"/>
      <c r="G29" s="382" t="s">
        <v>223</v>
      </c>
      <c r="H29" s="371"/>
      <c r="I29" s="382"/>
      <c r="J29" s="371"/>
      <c r="K29" s="382"/>
      <c r="L29" s="371"/>
      <c r="M29" s="382"/>
      <c r="N29" s="553"/>
      <c r="O29" s="382"/>
      <c r="P29" s="141">
        <f>'Scenario Injury Multiplier'!AG19</f>
        <v>0.5</v>
      </c>
    </row>
    <row r="30" spans="1:22" x14ac:dyDescent="0.25">
      <c r="A30" s="1153"/>
      <c r="B30" s="1153"/>
      <c r="C30" s="377" t="s">
        <v>248</v>
      </c>
      <c r="D30" s="371">
        <f>D11/D48*E30</f>
        <v>4.425474139783319E-2</v>
      </c>
      <c r="E30" s="382">
        <v>0.31</v>
      </c>
      <c r="F30" s="371">
        <f>F11/F48*G30</f>
        <v>0</v>
      </c>
      <c r="G30" s="382">
        <f t="shared" si="0"/>
        <v>0.31</v>
      </c>
      <c r="H30" s="371">
        <f>H11/H48*I30</f>
        <v>4.425474139783319E-2</v>
      </c>
      <c r="I30" s="382">
        <f t="shared" si="4"/>
        <v>0.31</v>
      </c>
      <c r="J30" s="371">
        <f>J11/J48*K30</f>
        <v>0</v>
      </c>
      <c r="K30" s="382">
        <f>E30</f>
        <v>0.31</v>
      </c>
      <c r="L30" s="371"/>
      <c r="M30" s="382"/>
      <c r="N30" s="553">
        <f t="shared" si="2"/>
        <v>0</v>
      </c>
      <c r="O30" s="382">
        <f t="shared" si="3"/>
        <v>0.31</v>
      </c>
      <c r="P30" s="141">
        <f>'Scenario Injury Multiplier'!AG20</f>
        <v>0.5</v>
      </c>
    </row>
    <row r="31" spans="1:22" x14ac:dyDescent="0.25">
      <c r="A31" s="1153"/>
      <c r="B31" s="1153"/>
      <c r="C31" s="379"/>
      <c r="D31" s="371"/>
      <c r="E31" s="382"/>
      <c r="F31" s="371"/>
      <c r="G31" s="382" t="s">
        <v>223</v>
      </c>
      <c r="H31" s="371"/>
      <c r="I31" s="382"/>
      <c r="J31" s="371"/>
      <c r="K31" s="382"/>
      <c r="L31" s="371"/>
      <c r="M31" s="382"/>
      <c r="N31" s="553">
        <f t="shared" si="2"/>
        <v>0</v>
      </c>
      <c r="O31" s="382"/>
      <c r="P31" s="141">
        <f>'Scenario Injury Multiplier'!AG21</f>
        <v>0.5</v>
      </c>
    </row>
    <row r="32" spans="1:22" x14ac:dyDescent="0.25">
      <c r="A32" s="1153"/>
      <c r="B32" s="1152" t="s">
        <v>490</v>
      </c>
      <c r="C32" s="370" t="s">
        <v>93</v>
      </c>
      <c r="D32" s="371" t="e">
        <f>D4/D41*E32</f>
        <v>#REF!</v>
      </c>
      <c r="E32" s="382">
        <v>1E-3</v>
      </c>
      <c r="F32" s="371" t="e">
        <f>F4/F41*G32</f>
        <v>#REF!</v>
      </c>
      <c r="G32" s="382">
        <f t="shared" si="0"/>
        <v>1E-3</v>
      </c>
      <c r="H32" s="371">
        <f>H4/H41*I32</f>
        <v>1.7142857142857143E-4</v>
      </c>
      <c r="I32" s="382">
        <f>E32</f>
        <v>1E-3</v>
      </c>
      <c r="J32" s="371">
        <f>J4/J41*K32</f>
        <v>1.6428571428571428E-4</v>
      </c>
      <c r="K32" s="382">
        <f>E32</f>
        <v>1E-3</v>
      </c>
      <c r="L32" s="371"/>
      <c r="M32" s="382"/>
      <c r="N32" s="553" t="e">
        <f t="shared" si="2"/>
        <v>#REF!</v>
      </c>
      <c r="O32" s="384">
        <f t="shared" si="3"/>
        <v>1E-3</v>
      </c>
      <c r="P32" s="141">
        <f>'Scenario Injury Multiplier'!AG22</f>
        <v>0.5</v>
      </c>
    </row>
    <row r="33" spans="1:16" x14ac:dyDescent="0.25">
      <c r="A33" s="1153"/>
      <c r="B33" s="1153"/>
      <c r="C33" s="370" t="s">
        <v>491</v>
      </c>
      <c r="D33" s="371" t="e">
        <f>D5/D42*E33</f>
        <v>#REF!</v>
      </c>
      <c r="E33" s="382">
        <v>0</v>
      </c>
      <c r="F33" s="371" t="e">
        <f>F5/F42*G33</f>
        <v>#REF!</v>
      </c>
      <c r="G33" s="382">
        <f t="shared" si="0"/>
        <v>0</v>
      </c>
      <c r="H33" s="371">
        <f>H5/H42*I33</f>
        <v>0</v>
      </c>
      <c r="I33" s="382">
        <f t="shared" ref="I33:I39" si="5">E33</f>
        <v>0</v>
      </c>
      <c r="J33" s="371">
        <f>J5/J42*K33</f>
        <v>0</v>
      </c>
      <c r="K33" s="382">
        <f>E33</f>
        <v>0</v>
      </c>
      <c r="L33" s="371"/>
      <c r="M33" s="382"/>
      <c r="N33" s="553" t="e">
        <f t="shared" si="2"/>
        <v>#REF!</v>
      </c>
      <c r="O33" s="382">
        <f t="shared" si="3"/>
        <v>0</v>
      </c>
      <c r="P33" s="141">
        <f>'Scenario Injury Multiplier'!AG23</f>
        <v>0.5</v>
      </c>
    </row>
    <row r="34" spans="1:16" x14ac:dyDescent="0.25">
      <c r="A34" s="1153"/>
      <c r="B34" s="1153"/>
      <c r="C34" s="377" t="s">
        <v>95</v>
      </c>
      <c r="D34" s="371">
        <f>D70*$D$43</f>
        <v>3.4496393705044994</v>
      </c>
      <c r="E34" s="382">
        <v>0.15</v>
      </c>
      <c r="F34" s="371">
        <f>D34</f>
        <v>3.4496393705044994</v>
      </c>
      <c r="G34" s="382">
        <f t="shared" si="0"/>
        <v>0.15</v>
      </c>
      <c r="H34" s="371">
        <f>D34</f>
        <v>3.4496393705044994</v>
      </c>
      <c r="I34" s="382">
        <f t="shared" si="5"/>
        <v>0.15</v>
      </c>
      <c r="J34" s="371">
        <f>D34</f>
        <v>3.4496393705044994</v>
      </c>
      <c r="K34" s="382">
        <f>E34</f>
        <v>0.15</v>
      </c>
      <c r="L34" s="371"/>
      <c r="M34" s="382"/>
      <c r="N34" s="553">
        <f t="shared" si="2"/>
        <v>3.4496393705044994</v>
      </c>
      <c r="O34" s="382">
        <f t="shared" si="3"/>
        <v>0.15</v>
      </c>
      <c r="P34" s="141">
        <f>'Scenario Injury Multiplier'!AG24</f>
        <v>0.5</v>
      </c>
    </row>
    <row r="35" spans="1:16" x14ac:dyDescent="0.25">
      <c r="A35" s="1153"/>
      <c r="B35" s="1153"/>
      <c r="C35" s="370" t="s">
        <v>165</v>
      </c>
      <c r="D35" s="371" t="e">
        <f>D7/D44*E35</f>
        <v>#REF!</v>
      </c>
      <c r="E35" s="382">
        <v>0.32</v>
      </c>
      <c r="F35" s="371" t="e">
        <f>F7/F44*G35</f>
        <v>#REF!</v>
      </c>
      <c r="G35" s="382">
        <f t="shared" si="0"/>
        <v>0.32</v>
      </c>
      <c r="H35" s="371" t="e">
        <f>H7/H44*I35</f>
        <v>#REF!</v>
      </c>
      <c r="I35" s="382">
        <f t="shared" si="5"/>
        <v>0.32</v>
      </c>
      <c r="J35" s="371" t="e">
        <f>J7/J44*K35</f>
        <v>#REF!</v>
      </c>
      <c r="K35" s="382">
        <f>E35</f>
        <v>0.32</v>
      </c>
      <c r="L35" s="371"/>
      <c r="M35" s="382"/>
      <c r="N35" s="553" t="e">
        <f t="shared" si="2"/>
        <v>#REF!</v>
      </c>
      <c r="O35" s="382">
        <f t="shared" si="3"/>
        <v>0.32</v>
      </c>
      <c r="P35" s="141">
        <f>'Scenario Injury Multiplier'!AG25</f>
        <v>0.5</v>
      </c>
    </row>
    <row r="36" spans="1:16" x14ac:dyDescent="0.25">
      <c r="A36" s="1153"/>
      <c r="B36" s="1153"/>
      <c r="C36" s="370"/>
      <c r="D36" s="371"/>
      <c r="E36" s="382"/>
      <c r="F36" s="371"/>
      <c r="G36" s="382" t="s">
        <v>223</v>
      </c>
      <c r="H36" s="371"/>
      <c r="I36" s="382"/>
      <c r="J36" s="371"/>
      <c r="K36" s="382"/>
      <c r="L36" s="371"/>
      <c r="M36" s="382"/>
      <c r="N36" s="553"/>
      <c r="O36" s="382"/>
      <c r="P36" s="141">
        <f>'Scenario Injury Multiplier'!AG26</f>
        <v>0.5</v>
      </c>
    </row>
    <row r="37" spans="1:16" x14ac:dyDescent="0.25">
      <c r="A37" s="1153"/>
      <c r="B37" s="1153"/>
      <c r="C37" s="370" t="s">
        <v>254</v>
      </c>
      <c r="D37" s="371">
        <f>D9/D46*E37</f>
        <v>0</v>
      </c>
      <c r="E37" s="382">
        <v>0.45</v>
      </c>
      <c r="F37" s="371">
        <f>F9/F46*G37</f>
        <v>0</v>
      </c>
      <c r="G37" s="382">
        <f t="shared" si="0"/>
        <v>0.45</v>
      </c>
      <c r="H37" s="371">
        <f>H9/H46*I37</f>
        <v>6.4285714285714279E-2</v>
      </c>
      <c r="I37" s="382">
        <f t="shared" si="5"/>
        <v>0.45</v>
      </c>
      <c r="J37" s="371">
        <f>J9/J46*K37</f>
        <v>6.4285714285714279E-2</v>
      </c>
      <c r="K37" s="382">
        <f>E37</f>
        <v>0.45</v>
      </c>
      <c r="L37" s="371"/>
      <c r="M37" s="382"/>
      <c r="N37" s="553">
        <f t="shared" si="2"/>
        <v>0</v>
      </c>
      <c r="O37" s="382">
        <f t="shared" si="3"/>
        <v>0.45</v>
      </c>
      <c r="P37" s="141">
        <f>'Scenario Injury Multiplier'!AG27</f>
        <v>0.5</v>
      </c>
    </row>
    <row r="38" spans="1:16" x14ac:dyDescent="0.25">
      <c r="A38" s="1153"/>
      <c r="B38" s="1153"/>
      <c r="C38" s="370"/>
      <c r="D38" s="371"/>
      <c r="E38" s="382"/>
      <c r="F38" s="371"/>
      <c r="G38" s="382" t="s">
        <v>223</v>
      </c>
      <c r="H38" s="371"/>
      <c r="I38" s="382"/>
      <c r="J38" s="371"/>
      <c r="K38" s="382"/>
      <c r="L38" s="371"/>
      <c r="M38" s="382"/>
      <c r="N38" s="553"/>
      <c r="O38" s="382"/>
      <c r="P38" s="141">
        <f>'Scenario Injury Multiplier'!AG28</f>
        <v>0.5</v>
      </c>
    </row>
    <row r="39" spans="1:16" x14ac:dyDescent="0.25">
      <c r="A39" s="1153"/>
      <c r="B39" s="1153"/>
      <c r="C39" s="377" t="s">
        <v>248</v>
      </c>
      <c r="D39" s="371">
        <f>D11/D48*E39</f>
        <v>8.5654338189354556E-2</v>
      </c>
      <c r="E39" s="382">
        <v>0.6</v>
      </c>
      <c r="F39" s="371">
        <f>F11/F48*G39</f>
        <v>0</v>
      </c>
      <c r="G39" s="382">
        <f t="shared" si="0"/>
        <v>0.6</v>
      </c>
      <c r="H39" s="371">
        <f>H11/H48*I39</f>
        <v>8.5654338189354556E-2</v>
      </c>
      <c r="I39" s="382">
        <f t="shared" si="5"/>
        <v>0.6</v>
      </c>
      <c r="J39" s="371">
        <f>J11/J48*K39</f>
        <v>0</v>
      </c>
      <c r="K39" s="382">
        <f>E39</f>
        <v>0.6</v>
      </c>
      <c r="L39" s="371"/>
      <c r="M39" s="382"/>
      <c r="N39" s="553">
        <f t="shared" si="2"/>
        <v>0</v>
      </c>
      <c r="O39" s="382">
        <f t="shared" si="3"/>
        <v>0.6</v>
      </c>
      <c r="P39" s="141">
        <f>'Scenario Injury Multiplier'!AG29</f>
        <v>0.5</v>
      </c>
    </row>
    <row r="40" spans="1:16" x14ac:dyDescent="0.25">
      <c r="A40" s="1153"/>
      <c r="B40" s="1153"/>
      <c r="C40" s="379"/>
      <c r="D40" s="371"/>
      <c r="E40" s="382"/>
      <c r="F40" s="371"/>
      <c r="G40" s="382"/>
      <c r="H40" s="371"/>
      <c r="I40" s="382"/>
      <c r="J40" s="371"/>
      <c r="K40" s="382"/>
      <c r="L40" s="371"/>
      <c r="M40" s="382"/>
      <c r="N40" s="371"/>
      <c r="O40" s="382"/>
      <c r="P40" s="141">
        <f>'Scenario Injury Multiplier'!AG30</f>
        <v>0.5</v>
      </c>
    </row>
    <row r="41" spans="1:16" x14ac:dyDescent="0.25">
      <c r="B41" s="1152" t="s">
        <v>141</v>
      </c>
      <c r="C41" s="370" t="s">
        <v>93</v>
      </c>
      <c r="D41" s="371">
        <v>1</v>
      </c>
      <c r="E41" s="386"/>
      <c r="F41" s="387">
        <f>D41</f>
        <v>1</v>
      </c>
      <c r="G41" s="386"/>
      <c r="H41" s="387">
        <f>D41</f>
        <v>1</v>
      </c>
      <c r="I41" s="386"/>
      <c r="J41" s="387">
        <f>D41</f>
        <v>1</v>
      </c>
      <c r="K41" s="386"/>
      <c r="L41" s="387"/>
      <c r="M41" s="386"/>
      <c r="N41" s="553">
        <f t="shared" si="2"/>
        <v>1</v>
      </c>
      <c r="O41" s="386"/>
    </row>
    <row r="42" spans="1:16" x14ac:dyDescent="0.25">
      <c r="B42" s="1153"/>
      <c r="C42" s="370" t="s">
        <v>491</v>
      </c>
      <c r="D42" s="371">
        <v>1</v>
      </c>
      <c r="E42" s="386"/>
      <c r="F42" s="387">
        <f t="shared" ref="F42:F48" si="6">D42</f>
        <v>1</v>
      </c>
      <c r="G42" s="386"/>
      <c r="H42" s="387">
        <f>D42</f>
        <v>1</v>
      </c>
      <c r="I42" s="386"/>
      <c r="J42" s="387">
        <f>D42</f>
        <v>1</v>
      </c>
      <c r="K42" s="386"/>
      <c r="L42" s="387"/>
      <c r="M42" s="386"/>
      <c r="N42" s="553">
        <f t="shared" si="2"/>
        <v>1</v>
      </c>
      <c r="O42" s="386"/>
    </row>
    <row r="43" spans="1:16" x14ac:dyDescent="0.25">
      <c r="B43" s="1153"/>
      <c r="C43" s="377" t="s">
        <v>95</v>
      </c>
      <c r="D43" s="371">
        <f>'Calibration Data'!$Q$890</f>
        <v>6.7070885073897131</v>
      </c>
      <c r="E43" s="386"/>
      <c r="F43" s="387">
        <f t="shared" si="6"/>
        <v>6.7070885073897131</v>
      </c>
      <c r="G43" s="386"/>
      <c r="H43" s="387">
        <f>D43</f>
        <v>6.7070885073897131</v>
      </c>
      <c r="I43" s="386"/>
      <c r="J43" s="387">
        <f>D43</f>
        <v>6.7070885073897131</v>
      </c>
      <c r="K43" s="386"/>
      <c r="L43" s="387"/>
      <c r="M43" s="386"/>
      <c r="N43" s="553">
        <f t="shared" si="2"/>
        <v>6.7070885073897131</v>
      </c>
      <c r="O43" s="386"/>
    </row>
    <row r="44" spans="1:16" x14ac:dyDescent="0.25">
      <c r="B44" s="1153"/>
      <c r="C44" s="370" t="s">
        <v>165</v>
      </c>
      <c r="D44" s="371" t="e">
        <f>SUM('Visions person'!C40:C41)/'Visions person'!C40</f>
        <v>#REF!</v>
      </c>
      <c r="E44" s="386"/>
      <c r="F44" s="387" t="e">
        <f t="shared" si="6"/>
        <v>#REF!</v>
      </c>
      <c r="G44" s="386"/>
      <c r="H44" s="387" t="e">
        <f>D44</f>
        <v>#REF!</v>
      </c>
      <c r="I44" s="386"/>
      <c r="J44" s="387" t="e">
        <f>D44</f>
        <v>#REF!</v>
      </c>
      <c r="K44" s="386"/>
      <c r="L44" s="387"/>
      <c r="M44" s="386"/>
      <c r="N44" s="553" t="e">
        <f t="shared" si="2"/>
        <v>#REF!</v>
      </c>
      <c r="O44" s="386"/>
    </row>
    <row r="45" spans="1:16" x14ac:dyDescent="0.25">
      <c r="B45" s="1153"/>
      <c r="C45" s="370"/>
      <c r="D45" s="371" t="s">
        <v>223</v>
      </c>
      <c r="E45" s="386"/>
      <c r="F45" s="387" t="str">
        <f>D45</f>
        <v xml:space="preserve"> </v>
      </c>
      <c r="G45" s="386"/>
      <c r="H45" s="387"/>
      <c r="I45" s="386"/>
      <c r="J45" s="387"/>
      <c r="K45" s="386"/>
      <c r="L45" s="387"/>
      <c r="M45" s="386"/>
      <c r="N45" s="387" t="str">
        <f>D45</f>
        <v xml:space="preserve"> </v>
      </c>
      <c r="O45" s="386"/>
    </row>
    <row r="46" spans="1:16" x14ac:dyDescent="0.25">
      <c r="B46" s="1153"/>
      <c r="C46" s="370" t="s">
        <v>254</v>
      </c>
      <c r="D46" s="371">
        <v>1</v>
      </c>
      <c r="E46" s="386"/>
      <c r="F46" s="387">
        <f t="shared" si="6"/>
        <v>1</v>
      </c>
      <c r="G46" s="386"/>
      <c r="H46" s="387">
        <f>D46</f>
        <v>1</v>
      </c>
      <c r="I46" s="386"/>
      <c r="J46" s="387">
        <f>D46</f>
        <v>1</v>
      </c>
      <c r="K46" s="386"/>
      <c r="L46" s="387"/>
      <c r="M46" s="386"/>
      <c r="N46" s="553">
        <f t="shared" si="2"/>
        <v>1</v>
      </c>
      <c r="O46" s="386"/>
    </row>
    <row r="47" spans="1:16" x14ac:dyDescent="0.25">
      <c r="B47" s="1153"/>
      <c r="C47" s="370"/>
      <c r="D47" s="371"/>
      <c r="E47" s="386"/>
      <c r="F47" s="387"/>
      <c r="G47" s="386"/>
      <c r="H47" s="387"/>
      <c r="I47" s="386"/>
      <c r="J47" s="387"/>
      <c r="K47" s="386"/>
      <c r="L47" s="387"/>
      <c r="M47" s="386"/>
      <c r="N47" s="387"/>
      <c r="O47" s="386"/>
    </row>
    <row r="48" spans="1:16" x14ac:dyDescent="0.25">
      <c r="B48" s="1153"/>
      <c r="C48" s="377" t="s">
        <v>248</v>
      </c>
      <c r="D48" s="371">
        <v>1.0006998772764857</v>
      </c>
      <c r="E48" s="386"/>
      <c r="F48" s="387">
        <f t="shared" si="6"/>
        <v>1.0006998772764857</v>
      </c>
      <c r="G48" s="386"/>
      <c r="H48" s="387">
        <f>D48</f>
        <v>1.0006998772764857</v>
      </c>
      <c r="I48" s="386"/>
      <c r="J48" s="387">
        <f>D48</f>
        <v>1.0006998772764857</v>
      </c>
      <c r="K48" s="386"/>
      <c r="L48" s="387"/>
      <c r="M48" s="386"/>
      <c r="N48" s="553">
        <f t="shared" si="2"/>
        <v>1.0006998772764857</v>
      </c>
      <c r="O48" s="386"/>
    </row>
    <row r="49" spans="1:15" x14ac:dyDescent="0.25">
      <c r="B49" s="1153"/>
      <c r="C49" s="379"/>
      <c r="D49" s="371"/>
      <c r="E49" s="388"/>
      <c r="F49" s="387"/>
      <c r="G49" s="386"/>
      <c r="H49" s="387"/>
      <c r="I49" s="386"/>
      <c r="J49" s="387"/>
      <c r="K49" s="386"/>
      <c r="L49" s="387"/>
      <c r="M49" s="386"/>
      <c r="N49" s="387"/>
      <c r="O49" s="386"/>
    </row>
    <row r="50" spans="1:15" ht="12.75" customHeight="1" x14ac:dyDescent="0.25">
      <c r="A50" s="1152" t="s">
        <v>170</v>
      </c>
      <c r="B50" s="1152" t="s">
        <v>488</v>
      </c>
      <c r="C50" s="370" t="s">
        <v>93</v>
      </c>
      <c r="D50" s="552" t="e">
        <f>D14/D41</f>
        <v>#REF!</v>
      </c>
      <c r="E50" s="387"/>
      <c r="F50" s="387" t="e">
        <f>F14/F41</f>
        <v>#REF!</v>
      </c>
      <c r="G50" s="387"/>
      <c r="H50" s="387">
        <f>H14/H41</f>
        <v>0.12857142857142856</v>
      </c>
      <c r="I50" s="387"/>
      <c r="J50" s="387">
        <f>J14/J41</f>
        <v>0.12321428571428572</v>
      </c>
      <c r="K50" s="387"/>
      <c r="L50" s="387"/>
      <c r="M50" s="387"/>
      <c r="N50" s="553" t="e">
        <f t="shared" si="2"/>
        <v>#REF!</v>
      </c>
      <c r="O50" s="386"/>
    </row>
    <row r="51" spans="1:15" x14ac:dyDescent="0.25">
      <c r="A51" s="1153"/>
      <c r="B51" s="1153"/>
      <c r="C51" s="370" t="s">
        <v>491</v>
      </c>
      <c r="D51" s="387" t="e">
        <f>D15/D42</f>
        <v>#REF!</v>
      </c>
      <c r="E51" s="387"/>
      <c r="F51" s="387" t="e">
        <f>F15/F42</f>
        <v>#REF!</v>
      </c>
      <c r="G51" s="387"/>
      <c r="H51" s="387">
        <f>H15/H42</f>
        <v>0.83285714285714285</v>
      </c>
      <c r="I51" s="387"/>
      <c r="J51" s="387">
        <f>J15/J42</f>
        <v>1.0176000000000001</v>
      </c>
      <c r="K51" s="387"/>
      <c r="L51" s="387"/>
      <c r="M51" s="387"/>
      <c r="N51" s="553" t="e">
        <f t="shared" si="2"/>
        <v>#REF!</v>
      </c>
      <c r="O51" s="386"/>
    </row>
    <row r="52" spans="1:15" x14ac:dyDescent="0.25">
      <c r="A52" s="1153"/>
      <c r="B52" s="1153"/>
      <c r="C52" s="377" t="s">
        <v>95</v>
      </c>
      <c r="D52" s="552">
        <f>'Calibration Data'!$Q$882/'user page'!C36</f>
        <v>0.51883863578238887</v>
      </c>
      <c r="E52" s="382"/>
      <c r="F52" s="387">
        <f>D52</f>
        <v>0.51883863578238887</v>
      </c>
      <c r="G52" s="387"/>
      <c r="H52" s="387">
        <f>D52</f>
        <v>0.51883863578238887</v>
      </c>
      <c r="I52" s="387"/>
      <c r="J52" s="387">
        <f>D52</f>
        <v>0.51883863578238887</v>
      </c>
      <c r="K52" s="387"/>
      <c r="L52" s="387"/>
      <c r="M52" s="387"/>
      <c r="N52" s="553">
        <f t="shared" si="2"/>
        <v>0.51883863578238887</v>
      </c>
      <c r="O52" s="386"/>
    </row>
    <row r="53" spans="1:15" x14ac:dyDescent="0.25">
      <c r="A53" s="1153"/>
      <c r="B53" s="1153"/>
      <c r="C53" s="370" t="s">
        <v>165</v>
      </c>
      <c r="D53" s="387" t="e">
        <f>D17/D44</f>
        <v>#REF!</v>
      </c>
      <c r="E53" s="387"/>
      <c r="F53" s="387" t="e">
        <f>F17/F44</f>
        <v>#REF!</v>
      </c>
      <c r="G53" s="387"/>
      <c r="H53" s="387" t="e">
        <f>H17/H44</f>
        <v>#REF!</v>
      </c>
      <c r="I53" s="387"/>
      <c r="J53" s="387" t="e">
        <f>J17/J44</f>
        <v>#REF!</v>
      </c>
      <c r="K53" s="387"/>
      <c r="L53" s="387"/>
      <c r="M53" s="387"/>
      <c r="N53" s="553" t="e">
        <f t="shared" si="2"/>
        <v>#REF!</v>
      </c>
      <c r="O53" s="386"/>
    </row>
    <row r="54" spans="1:15" x14ac:dyDescent="0.25">
      <c r="A54" s="1153"/>
      <c r="B54" s="1153"/>
      <c r="C54" s="370"/>
      <c r="D54" s="387"/>
      <c r="E54" s="387"/>
      <c r="F54" s="387"/>
      <c r="G54" s="387"/>
      <c r="H54" s="387"/>
      <c r="I54" s="387"/>
      <c r="J54" s="387"/>
      <c r="K54" s="387"/>
      <c r="L54" s="387"/>
      <c r="M54" s="387"/>
      <c r="N54" s="387"/>
      <c r="O54" s="386"/>
    </row>
    <row r="55" spans="1:15" x14ac:dyDescent="0.25">
      <c r="A55" s="1153"/>
      <c r="B55" s="1153"/>
      <c r="C55" s="370" t="s">
        <v>254</v>
      </c>
      <c r="D55" s="387">
        <f>D19/D46</f>
        <v>0</v>
      </c>
      <c r="E55" s="387"/>
      <c r="F55" s="387">
        <f>F19/F46</f>
        <v>0</v>
      </c>
      <c r="G55" s="387"/>
      <c r="H55" s="387">
        <f>H19/H46</f>
        <v>2.1428571428571425E-2</v>
      </c>
      <c r="I55" s="387"/>
      <c r="J55" s="387">
        <f>J19/J46</f>
        <v>2.1428571428571425E-2</v>
      </c>
      <c r="K55" s="387"/>
      <c r="L55" s="387"/>
      <c r="M55" s="387"/>
      <c r="N55" s="553">
        <f t="shared" si="2"/>
        <v>0</v>
      </c>
      <c r="O55" s="386"/>
    </row>
    <row r="56" spans="1:15" x14ac:dyDescent="0.25">
      <c r="A56" s="1153"/>
      <c r="B56" s="1153"/>
      <c r="C56" s="370"/>
      <c r="D56" s="387"/>
      <c r="E56" s="387"/>
      <c r="F56" s="387"/>
      <c r="G56" s="387"/>
      <c r="H56" s="387"/>
      <c r="I56" s="387"/>
      <c r="J56" s="387"/>
      <c r="K56" s="387"/>
      <c r="L56" s="387"/>
      <c r="M56" s="387"/>
      <c r="N56" s="387"/>
      <c r="O56" s="386"/>
    </row>
    <row r="57" spans="1:15" x14ac:dyDescent="0.25">
      <c r="A57" s="1153"/>
      <c r="B57" s="1153"/>
      <c r="C57" s="377" t="s">
        <v>248</v>
      </c>
      <c r="D57" s="387">
        <f>D21/D48</f>
        <v>1.2839164888648565E-2</v>
      </c>
      <c r="E57" s="387"/>
      <c r="F57" s="387">
        <f>F21/F48</f>
        <v>0</v>
      </c>
      <c r="G57" s="387"/>
      <c r="H57" s="387">
        <f>H21/H48</f>
        <v>1.2839164888648565E-2</v>
      </c>
      <c r="I57" s="387"/>
      <c r="J57" s="387">
        <f>J21/J48</f>
        <v>0</v>
      </c>
      <c r="K57" s="387"/>
      <c r="L57" s="387"/>
      <c r="M57" s="387"/>
      <c r="N57" s="553">
        <f t="shared" si="2"/>
        <v>0</v>
      </c>
      <c r="O57" s="386"/>
    </row>
    <row r="58" spans="1:15" x14ac:dyDescent="0.25">
      <c r="A58" s="1153"/>
      <c r="B58" s="1153"/>
      <c r="C58" s="379"/>
      <c r="D58" s="387"/>
      <c r="E58" s="387"/>
      <c r="F58" s="387"/>
      <c r="G58" s="387"/>
      <c r="H58" s="387"/>
      <c r="I58" s="387"/>
      <c r="J58" s="387"/>
      <c r="K58" s="387"/>
      <c r="L58" s="387"/>
      <c r="M58" s="387"/>
      <c r="N58" s="387"/>
      <c r="O58" s="386"/>
    </row>
    <row r="59" spans="1:15" ht="12.75" customHeight="1" x14ac:dyDescent="0.25">
      <c r="A59" s="1153"/>
      <c r="B59" s="1152" t="s">
        <v>489</v>
      </c>
      <c r="C59" s="370" t="s">
        <v>93</v>
      </c>
      <c r="D59" s="387" t="e">
        <f>D23/D41</f>
        <v>#REF!</v>
      </c>
      <c r="E59" s="387"/>
      <c r="F59" s="387" t="e">
        <f>F23/F41</f>
        <v>#REF!</v>
      </c>
      <c r="G59" s="387"/>
      <c r="H59" s="387">
        <f>H23/H41</f>
        <v>4.2857142857142858E-2</v>
      </c>
      <c r="I59" s="387"/>
      <c r="J59" s="387">
        <f>J23/J41</f>
        <v>4.1071428571428571E-2</v>
      </c>
      <c r="K59" s="387"/>
      <c r="L59" s="387"/>
      <c r="M59" s="387"/>
      <c r="N59" s="553" t="e">
        <f t="shared" si="2"/>
        <v>#REF!</v>
      </c>
      <c r="O59" s="386"/>
    </row>
    <row r="60" spans="1:15" x14ac:dyDescent="0.25">
      <c r="A60" s="1153"/>
      <c r="B60" s="1153"/>
      <c r="C60" s="370" t="s">
        <v>491</v>
      </c>
      <c r="D60" s="387" t="e">
        <f>D24/D42</f>
        <v>#REF!</v>
      </c>
      <c r="E60" s="387"/>
      <c r="F60" s="387" t="e">
        <f>F24/F42</f>
        <v>#REF!</v>
      </c>
      <c r="G60" s="387"/>
      <c r="H60" s="387">
        <f>H24/H42</f>
        <v>0.73857142857142855</v>
      </c>
      <c r="I60" s="387"/>
      <c r="J60" s="387">
        <f>J24/J42</f>
        <v>0.90239999999999987</v>
      </c>
      <c r="K60" s="387"/>
      <c r="L60" s="387"/>
      <c r="M60" s="387"/>
      <c r="N60" s="553" t="e">
        <f t="shared" si="2"/>
        <v>#REF!</v>
      </c>
      <c r="O60" s="386"/>
    </row>
    <row r="61" spans="1:15" x14ac:dyDescent="0.25">
      <c r="A61" s="1153"/>
      <c r="B61" s="1153"/>
      <c r="C61" s="377" t="s">
        <v>95</v>
      </c>
      <c r="D61" s="552">
        <f>'Calibration Data'!$Q$880/'user page'!$C$36</f>
        <v>5.7871015939068933</v>
      </c>
      <c r="E61" s="385"/>
      <c r="F61" s="387">
        <f>D61</f>
        <v>5.7871015939068933</v>
      </c>
      <c r="G61" s="387"/>
      <c r="H61" s="387">
        <f>D61</f>
        <v>5.7871015939068933</v>
      </c>
      <c r="I61" s="387"/>
      <c r="J61" s="387">
        <f>D61</f>
        <v>5.7871015939068933</v>
      </c>
      <c r="K61" s="387"/>
      <c r="L61" s="389"/>
      <c r="M61" s="387"/>
      <c r="N61" s="553">
        <f t="shared" si="2"/>
        <v>5.7871015939068933</v>
      </c>
      <c r="O61" s="386"/>
    </row>
    <row r="62" spans="1:15" x14ac:dyDescent="0.25">
      <c r="A62" s="1153"/>
      <c r="B62" s="1153"/>
      <c r="C62" s="370" t="s">
        <v>165</v>
      </c>
      <c r="D62" s="387" t="e">
        <f>D26/D44</f>
        <v>#REF!</v>
      </c>
      <c r="E62" s="387"/>
      <c r="F62" s="387" t="e">
        <f>F26/F44</f>
        <v>#REF!</v>
      </c>
      <c r="G62" s="387"/>
      <c r="H62" s="387" t="e">
        <f>H26/H44</f>
        <v>#REF!</v>
      </c>
      <c r="I62" s="387"/>
      <c r="J62" s="387" t="e">
        <f>J26/J44</f>
        <v>#REF!</v>
      </c>
      <c r="K62" s="387"/>
      <c r="L62" s="387"/>
      <c r="M62" s="387"/>
      <c r="N62" s="553" t="e">
        <f t="shared" si="2"/>
        <v>#REF!</v>
      </c>
      <c r="O62" s="386"/>
    </row>
    <row r="63" spans="1:15" x14ac:dyDescent="0.25">
      <c r="A63" s="1153"/>
      <c r="B63" s="1153"/>
      <c r="C63" s="370"/>
      <c r="D63" s="387"/>
      <c r="E63" s="387"/>
      <c r="F63" s="387"/>
      <c r="G63" s="387"/>
      <c r="H63" s="387"/>
      <c r="I63" s="387"/>
      <c r="J63" s="387"/>
      <c r="K63" s="387"/>
      <c r="L63" s="387"/>
      <c r="M63" s="387"/>
      <c r="N63" s="387"/>
      <c r="O63" s="386"/>
    </row>
    <row r="64" spans="1:15" x14ac:dyDescent="0.25">
      <c r="A64" s="1153"/>
      <c r="B64" s="1153"/>
      <c r="C64" s="370" t="s">
        <v>254</v>
      </c>
      <c r="D64" s="387">
        <f>D28/D46</f>
        <v>0</v>
      </c>
      <c r="E64" s="387"/>
      <c r="F64" s="387">
        <f>F28/F46</f>
        <v>0</v>
      </c>
      <c r="G64" s="387"/>
      <c r="H64" s="387">
        <f>H28/H46</f>
        <v>5.7142857142857141E-2</v>
      </c>
      <c r="I64" s="387"/>
      <c r="J64" s="387">
        <f>J28/J46</f>
        <v>5.7142857142857141E-2</v>
      </c>
      <c r="K64" s="387"/>
      <c r="L64" s="387"/>
      <c r="M64" s="387"/>
      <c r="N64" s="553">
        <f t="shared" si="2"/>
        <v>0</v>
      </c>
      <c r="O64" s="386"/>
    </row>
    <row r="65" spans="1:29" x14ac:dyDescent="0.25">
      <c r="A65" s="1153"/>
      <c r="B65" s="1153"/>
      <c r="C65" s="370"/>
      <c r="D65" s="387"/>
      <c r="E65" s="387"/>
      <c r="F65" s="387"/>
      <c r="G65" s="387"/>
      <c r="H65" s="387"/>
      <c r="I65" s="387"/>
      <c r="J65" s="387"/>
      <c r="K65" s="387"/>
      <c r="L65" s="387"/>
      <c r="M65" s="387"/>
      <c r="N65" s="387"/>
      <c r="O65" s="386"/>
    </row>
    <row r="66" spans="1:29" x14ac:dyDescent="0.25">
      <c r="A66" s="1153"/>
      <c r="B66" s="1153"/>
      <c r="C66" s="377" t="s">
        <v>248</v>
      </c>
      <c r="D66" s="387">
        <f>D30/D48</f>
        <v>4.422379017201173E-2</v>
      </c>
      <c r="E66" s="387"/>
      <c r="F66" s="387">
        <f>F30/F48</f>
        <v>0</v>
      </c>
      <c r="G66" s="387"/>
      <c r="H66" s="387">
        <f>H30/H48</f>
        <v>4.422379017201173E-2</v>
      </c>
      <c r="I66" s="387"/>
      <c r="J66" s="387">
        <f>J30/J48</f>
        <v>0</v>
      </c>
      <c r="K66" s="387"/>
      <c r="L66" s="387"/>
      <c r="M66" s="387"/>
      <c r="N66" s="553">
        <f t="shared" si="2"/>
        <v>0</v>
      </c>
      <c r="O66" s="386"/>
    </row>
    <row r="67" spans="1:29" x14ac:dyDescent="0.25">
      <c r="A67" s="1153"/>
      <c r="B67" s="1153"/>
      <c r="C67" s="379"/>
      <c r="D67" s="387"/>
      <c r="E67" s="387"/>
      <c r="F67" s="387"/>
      <c r="G67" s="387"/>
      <c r="H67" s="387"/>
      <c r="I67" s="387"/>
      <c r="J67" s="387"/>
      <c r="K67" s="387"/>
      <c r="L67" s="387"/>
      <c r="M67" s="387"/>
      <c r="N67" s="387"/>
      <c r="O67" s="386"/>
    </row>
    <row r="68" spans="1:29" x14ac:dyDescent="0.25">
      <c r="A68" s="1153"/>
      <c r="B68" s="1152" t="s">
        <v>490</v>
      </c>
      <c r="C68" s="370" t="s">
        <v>93</v>
      </c>
      <c r="D68" s="387" t="e">
        <f>D32/D41</f>
        <v>#REF!</v>
      </c>
      <c r="E68" s="387"/>
      <c r="F68" s="387" t="e">
        <f>F32/F41</f>
        <v>#REF!</v>
      </c>
      <c r="G68" s="387"/>
      <c r="H68" s="387">
        <f>H32/H41</f>
        <v>1.7142857142857143E-4</v>
      </c>
      <c r="I68" s="387"/>
      <c r="J68" s="387">
        <f>J32/J41</f>
        <v>1.6428571428571428E-4</v>
      </c>
      <c r="K68" s="387"/>
      <c r="L68" s="387"/>
      <c r="M68" s="387"/>
      <c r="N68" s="553" t="e">
        <f t="shared" si="2"/>
        <v>#REF!</v>
      </c>
      <c r="O68" s="386"/>
    </row>
    <row r="69" spans="1:29" x14ac:dyDescent="0.25">
      <c r="A69" s="1153"/>
      <c r="B69" s="1153"/>
      <c r="C69" s="370" t="s">
        <v>491</v>
      </c>
      <c r="D69" s="387" t="e">
        <f>D33/D42</f>
        <v>#REF!</v>
      </c>
      <c r="E69" s="387"/>
      <c r="F69" s="387" t="e">
        <f>F33/F42</f>
        <v>#REF!</v>
      </c>
      <c r="G69" s="387"/>
      <c r="H69" s="387">
        <f>H33/H42</f>
        <v>0</v>
      </c>
      <c r="I69" s="387"/>
      <c r="J69" s="387">
        <f>J33/J42</f>
        <v>0</v>
      </c>
      <c r="K69" s="387"/>
      <c r="L69" s="387"/>
      <c r="M69" s="387"/>
      <c r="N69" s="553" t="e">
        <f t="shared" si="2"/>
        <v>#REF!</v>
      </c>
      <c r="O69" s="386"/>
    </row>
    <row r="70" spans="1:29" x14ac:dyDescent="0.25">
      <c r="A70" s="1153"/>
      <c r="B70" s="1153"/>
      <c r="C70" s="377" t="s">
        <v>95</v>
      </c>
      <c r="D70" s="552">
        <f>'Calibration Data'!$Q$881/'user page'!$C$36</f>
        <v>0.51432739656018667</v>
      </c>
      <c r="E70" s="382"/>
      <c r="F70" s="387">
        <f>D70</f>
        <v>0.51432739656018667</v>
      </c>
      <c r="G70" s="387"/>
      <c r="H70" s="387">
        <f>D70</f>
        <v>0.51432739656018667</v>
      </c>
      <c r="I70" s="387"/>
      <c r="J70" s="387">
        <f>D70</f>
        <v>0.51432739656018667</v>
      </c>
      <c r="K70" s="387"/>
      <c r="L70" s="387"/>
      <c r="M70" s="387"/>
      <c r="N70" s="553">
        <f t="shared" si="2"/>
        <v>0.51432739656018667</v>
      </c>
      <c r="O70" s="386"/>
    </row>
    <row r="71" spans="1:29" x14ac:dyDescent="0.25">
      <c r="A71" s="1153"/>
      <c r="B71" s="1153"/>
      <c r="C71" s="370" t="s">
        <v>165</v>
      </c>
      <c r="D71" s="387" t="e">
        <f>D35/D44</f>
        <v>#REF!</v>
      </c>
      <c r="E71" s="387"/>
      <c r="F71" s="387" t="e">
        <f>F35/F44</f>
        <v>#REF!</v>
      </c>
      <c r="G71" s="387"/>
      <c r="H71" s="387" t="e">
        <f>H35/H44</f>
        <v>#REF!</v>
      </c>
      <c r="I71" s="387"/>
      <c r="J71" s="387" t="e">
        <f>J35/J44</f>
        <v>#REF!</v>
      </c>
      <c r="K71" s="387"/>
      <c r="L71" s="387"/>
      <c r="M71" s="387"/>
      <c r="N71" s="553" t="e">
        <f t="shared" si="2"/>
        <v>#REF!</v>
      </c>
      <c r="O71" s="386"/>
    </row>
    <row r="72" spans="1:29" x14ac:dyDescent="0.25">
      <c r="A72" s="1153"/>
      <c r="B72" s="1153"/>
      <c r="C72" s="370"/>
      <c r="D72" s="387"/>
      <c r="E72" s="387"/>
      <c r="F72" s="387"/>
      <c r="G72" s="387"/>
      <c r="H72" s="387"/>
      <c r="I72" s="387"/>
      <c r="J72" s="387"/>
      <c r="K72" s="387"/>
      <c r="L72" s="387"/>
      <c r="M72" s="387"/>
      <c r="N72" s="387"/>
      <c r="O72" s="386"/>
    </row>
    <row r="73" spans="1:29" x14ac:dyDescent="0.25">
      <c r="A73" s="1153"/>
      <c r="B73" s="1153"/>
      <c r="C73" s="370" t="s">
        <v>254</v>
      </c>
      <c r="D73" s="387">
        <f>D37/D46</f>
        <v>0</v>
      </c>
      <c r="E73" s="387"/>
      <c r="F73" s="387">
        <f>F37/F46</f>
        <v>0</v>
      </c>
      <c r="G73" s="387"/>
      <c r="H73" s="387">
        <f>H37/H46</f>
        <v>6.4285714285714279E-2</v>
      </c>
      <c r="I73" s="387"/>
      <c r="J73" s="387">
        <f>J37/J46</f>
        <v>6.4285714285714279E-2</v>
      </c>
      <c r="K73" s="387"/>
      <c r="L73" s="387"/>
      <c r="M73" s="387"/>
      <c r="N73" s="553">
        <f t="shared" si="2"/>
        <v>0</v>
      </c>
      <c r="O73" s="386"/>
    </row>
    <row r="74" spans="1:29" x14ac:dyDescent="0.25">
      <c r="A74" s="1153"/>
      <c r="B74" s="1153"/>
      <c r="C74" s="370"/>
      <c r="D74" s="387"/>
      <c r="E74" s="387"/>
      <c r="F74" s="387"/>
      <c r="G74" s="387"/>
      <c r="H74" s="387"/>
      <c r="I74" s="387"/>
      <c r="J74" s="387"/>
      <c r="K74" s="387"/>
      <c r="L74" s="387"/>
      <c r="M74" s="387"/>
      <c r="N74" s="387"/>
      <c r="O74" s="386"/>
    </row>
    <row r="75" spans="1:29" x14ac:dyDescent="0.25">
      <c r="A75" s="1153"/>
      <c r="B75" s="1153"/>
      <c r="C75" s="377" t="s">
        <v>248</v>
      </c>
      <c r="D75" s="387">
        <f>D39/D48</f>
        <v>8.5594432590990435E-2</v>
      </c>
      <c r="E75" s="387"/>
      <c r="F75" s="387">
        <f>F39/F48</f>
        <v>0</v>
      </c>
      <c r="G75" s="387"/>
      <c r="H75" s="387">
        <f>H39/H48</f>
        <v>8.5594432590990435E-2</v>
      </c>
      <c r="I75" s="387"/>
      <c r="J75" s="387">
        <f>J39/J48</f>
        <v>0</v>
      </c>
      <c r="K75" s="387"/>
      <c r="L75" s="387"/>
      <c r="M75" s="387"/>
      <c r="N75" s="553">
        <f t="shared" si="2"/>
        <v>0</v>
      </c>
      <c r="O75" s="386"/>
    </row>
    <row r="76" spans="1:29" x14ac:dyDescent="0.25">
      <c r="A76" s="1153"/>
      <c r="B76" s="1153"/>
      <c r="C76" s="379"/>
      <c r="D76" s="387"/>
      <c r="E76" s="387"/>
      <c r="F76" s="387"/>
      <c r="G76" s="387"/>
      <c r="H76" s="387"/>
      <c r="I76" s="387"/>
      <c r="J76" s="387"/>
      <c r="K76" s="387"/>
      <c r="L76" s="387"/>
      <c r="M76" s="387"/>
      <c r="N76" s="387"/>
      <c r="O76" s="386"/>
    </row>
    <row r="77" spans="1:29" x14ac:dyDescent="0.25">
      <c r="C77" s="381"/>
      <c r="D77" s="381"/>
      <c r="E77" s="381"/>
      <c r="F77" s="381"/>
      <c r="G77" s="381"/>
      <c r="H77" s="381"/>
      <c r="I77" s="381"/>
      <c r="J77" s="381"/>
      <c r="K77" s="381"/>
      <c r="L77" s="381"/>
      <c r="M77" s="381"/>
      <c r="N77" s="554"/>
      <c r="O77" s="381"/>
    </row>
    <row r="78" spans="1:29" x14ac:dyDescent="0.25">
      <c r="C78" s="1152" t="s">
        <v>170</v>
      </c>
      <c r="D78" s="1153"/>
      <c r="E78" s="1153"/>
      <c r="F78" s="1153"/>
      <c r="G78" s="1153"/>
      <c r="H78" s="1153"/>
      <c r="I78" s="1153"/>
      <c r="J78" s="1153"/>
      <c r="K78" s="1153"/>
      <c r="L78" s="1153"/>
      <c r="M78" s="1153"/>
      <c r="N78" s="1153"/>
      <c r="O78" s="1153"/>
      <c r="P78" s="1153"/>
      <c r="Q78" s="1153"/>
      <c r="R78" s="1153"/>
      <c r="S78" s="1153"/>
      <c r="T78" s="1153"/>
      <c r="U78" s="1153"/>
      <c r="V78" s="1153"/>
      <c r="W78" s="1153"/>
      <c r="X78" s="1153"/>
      <c r="Y78" s="1153"/>
      <c r="Z78" s="1153"/>
    </row>
    <row r="79" spans="1:29" x14ac:dyDescent="0.25">
      <c r="C79" s="1152" t="s">
        <v>161</v>
      </c>
      <c r="D79" s="1153"/>
      <c r="E79" s="1153"/>
      <c r="F79" s="1153"/>
      <c r="G79" s="1153"/>
      <c r="H79" s="1153"/>
      <c r="I79" s="1153"/>
      <c r="J79" s="1153"/>
      <c r="K79" s="1152" t="s">
        <v>162</v>
      </c>
      <c r="L79" s="1153"/>
      <c r="M79" s="1153"/>
      <c r="N79" s="1153"/>
      <c r="O79" s="1153"/>
      <c r="P79" s="1153"/>
      <c r="Q79" s="1153"/>
      <c r="R79" s="1153"/>
      <c r="S79" s="1152" t="s">
        <v>166</v>
      </c>
      <c r="T79" s="1153"/>
      <c r="U79" s="1153"/>
      <c r="V79" s="1153"/>
      <c r="W79" s="1153"/>
      <c r="X79" s="1153"/>
      <c r="Y79" s="1153"/>
      <c r="Z79" s="1153"/>
    </row>
    <row r="80" spans="1:29" ht="24.75" x14ac:dyDescent="0.25">
      <c r="C80" s="106" t="str">
        <f t="array" ref="C80:AC81">TRANSPOSE(C50:D76)</f>
        <v>walk</v>
      </c>
      <c r="D80" s="106" t="str">
        <v>bike</v>
      </c>
      <c r="E80" s="142" t="str">
        <v>bus</v>
      </c>
      <c r="F80" s="106" t="str">
        <v>car</v>
      </c>
      <c r="G80" s="106">
        <v>0</v>
      </c>
      <c r="H80" s="106" t="str">
        <v>truck</v>
      </c>
      <c r="I80" s="142">
        <v>0</v>
      </c>
      <c r="J80" s="130" t="str">
        <v>motorcycle</v>
      </c>
      <c r="K80" s="106">
        <v>0</v>
      </c>
      <c r="L80" s="106" t="str">
        <v>walk</v>
      </c>
      <c r="M80" s="142" t="str">
        <v>bike</v>
      </c>
      <c r="N80" s="555" t="str">
        <v>bus</v>
      </c>
      <c r="O80" s="106" t="str">
        <v>car</v>
      </c>
      <c r="P80" s="106">
        <v>0</v>
      </c>
      <c r="Q80" s="106" t="str">
        <v>truck</v>
      </c>
      <c r="R80" s="130">
        <v>0</v>
      </c>
      <c r="S80" s="106" t="str">
        <v>motorcycle</v>
      </c>
      <c r="T80" s="106">
        <v>0</v>
      </c>
      <c r="U80" s="142" t="str">
        <v>walk</v>
      </c>
      <c r="V80" s="106" t="str">
        <v>bike</v>
      </c>
      <c r="W80" s="106" t="str">
        <v>bus</v>
      </c>
      <c r="X80" s="106" t="str">
        <v>car</v>
      </c>
      <c r="Y80" s="106">
        <v>0</v>
      </c>
      <c r="Z80" s="130" t="str">
        <v>truck</v>
      </c>
      <c r="AA80">
        <v>0</v>
      </c>
      <c r="AB80" t="str">
        <v>motorcycle</v>
      </c>
      <c r="AC80">
        <v>0</v>
      </c>
    </row>
    <row r="81" spans="1:29" x14ac:dyDescent="0.25">
      <c r="A81" t="s">
        <v>176</v>
      </c>
      <c r="C81" t="e">
        <v>#REF!</v>
      </c>
      <c r="D81" t="e">
        <v>#REF!</v>
      </c>
      <c r="E81">
        <v>0.51883863578238887</v>
      </c>
      <c r="F81" t="e">
        <v>#REF!</v>
      </c>
      <c r="G81">
        <v>0</v>
      </c>
      <c r="H81">
        <v>0</v>
      </c>
      <c r="I81">
        <v>0</v>
      </c>
      <c r="J81">
        <v>1.2839164888648565E-2</v>
      </c>
      <c r="K81">
        <v>0</v>
      </c>
      <c r="L81" t="e">
        <v>#REF!</v>
      </c>
      <c r="M81" t="e">
        <v>#REF!</v>
      </c>
      <c r="N81" s="189">
        <v>5.7871015939068933</v>
      </c>
      <c r="O81" t="e">
        <v>#REF!</v>
      </c>
      <c r="P81">
        <v>0</v>
      </c>
      <c r="Q81">
        <v>0</v>
      </c>
      <c r="R81">
        <v>0</v>
      </c>
      <c r="S81">
        <v>4.422379017201173E-2</v>
      </c>
      <c r="T81">
        <v>0</v>
      </c>
      <c r="U81" t="e">
        <v>#REF!</v>
      </c>
      <c r="V81" t="e">
        <v>#REF!</v>
      </c>
      <c r="W81">
        <v>0.51432739656018667</v>
      </c>
      <c r="X81" t="e">
        <v>#REF!</v>
      </c>
      <c r="Y81">
        <v>0</v>
      </c>
      <c r="Z81">
        <v>0</v>
      </c>
      <c r="AA81">
        <v>0</v>
      </c>
      <c r="AB81">
        <v>8.5594432590990435E-2</v>
      </c>
      <c r="AC81">
        <v>0</v>
      </c>
    </row>
    <row r="82" spans="1:29" x14ac:dyDescent="0.25">
      <c r="A82" t="s">
        <v>62</v>
      </c>
      <c r="C82" t="e">
        <f t="array" ref="C82:AC82">TRANSPOSE(N50:N76)</f>
        <v>#REF!</v>
      </c>
      <c r="D82" t="e">
        <v>#REF!</v>
      </c>
      <c r="E82">
        <v>0.51883863578238887</v>
      </c>
      <c r="F82" t="e">
        <v>#REF!</v>
      </c>
      <c r="G82">
        <v>0</v>
      </c>
      <c r="H82">
        <v>0</v>
      </c>
      <c r="I82">
        <v>0</v>
      </c>
      <c r="J82">
        <v>0</v>
      </c>
      <c r="K82">
        <v>0</v>
      </c>
      <c r="L82" t="e">
        <v>#REF!</v>
      </c>
      <c r="M82" t="e">
        <v>#REF!</v>
      </c>
      <c r="N82" s="189">
        <v>5.7871015939068933</v>
      </c>
      <c r="O82" t="e">
        <v>#REF!</v>
      </c>
      <c r="P82">
        <v>0</v>
      </c>
      <c r="Q82">
        <v>0</v>
      </c>
      <c r="R82">
        <v>0</v>
      </c>
      <c r="S82">
        <v>0</v>
      </c>
      <c r="T82">
        <v>0</v>
      </c>
      <c r="U82" t="e">
        <v>#REF!</v>
      </c>
      <c r="V82" t="e">
        <v>#REF!</v>
      </c>
      <c r="W82">
        <v>0.51432739656018667</v>
      </c>
      <c r="X82" t="e">
        <v>#REF!</v>
      </c>
      <c r="Y82">
        <v>0</v>
      </c>
      <c r="Z82">
        <v>0</v>
      </c>
      <c r="AA82">
        <v>0</v>
      </c>
      <c r="AB82">
        <v>0</v>
      </c>
      <c r="AC82">
        <v>0</v>
      </c>
    </row>
  </sheetData>
  <mergeCells count="21">
    <mergeCell ref="B4:B13"/>
    <mergeCell ref="B59:B67"/>
    <mergeCell ref="B68:B76"/>
    <mergeCell ref="B14:B22"/>
    <mergeCell ref="B23:B31"/>
    <mergeCell ref="B32:B40"/>
    <mergeCell ref="B1:O2"/>
    <mergeCell ref="D3:E3"/>
    <mergeCell ref="F3:G3"/>
    <mergeCell ref="H3:I3"/>
    <mergeCell ref="J3:K3"/>
    <mergeCell ref="L3:M3"/>
    <mergeCell ref="N3:O3"/>
    <mergeCell ref="C78:Z78"/>
    <mergeCell ref="C79:J79"/>
    <mergeCell ref="K79:R79"/>
    <mergeCell ref="S79:Z79"/>
    <mergeCell ref="A14:A40"/>
    <mergeCell ref="A50:A76"/>
    <mergeCell ref="B50:B58"/>
    <mergeCell ref="B41:B49"/>
  </mergeCells>
  <pageMargins left="0.7" right="0.7" top="0.75" bottom="0.75" header="0.3" footer="0.3"/>
  <pageSetup paperSize="9" orientation="portrait" r:id="rId1"/>
  <ignoredErrors>
    <ignoredError sqref="G14 G15:G17 O15:O39 G19 G23:G26 G28 G30 G21 G32:G35 G37 G39"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zoomScale="130" zoomScaleNormal="130" workbookViewId="0">
      <selection activeCell="B8" sqref="B8"/>
    </sheetView>
  </sheetViews>
  <sheetFormatPr defaultRowHeight="15" x14ac:dyDescent="0.25"/>
  <cols>
    <col min="1" max="1" width="23.42578125" style="927" customWidth="1"/>
    <col min="2" max="2" width="29.140625" style="937" customWidth="1"/>
    <col min="3" max="3" width="2.28515625" style="633" customWidth="1"/>
    <col min="4" max="4" width="2.7109375" customWidth="1"/>
    <col min="5" max="5" width="16.28515625" customWidth="1"/>
    <col min="6" max="6" width="35" customWidth="1"/>
  </cols>
  <sheetData>
    <row r="1" spans="1:7" s="633" customFormat="1" ht="48.75" customHeight="1" x14ac:dyDescent="0.35">
      <c r="A1" s="1058" t="s">
        <v>639</v>
      </c>
      <c r="B1" s="1059"/>
      <c r="C1" s="1016"/>
      <c r="D1" s="1016"/>
      <c r="E1" s="1054" t="str">
        <f>'Inputs TO'!G10</f>
        <v>Annual physical activity benefit per 5192.231 participants</v>
      </c>
      <c r="F1" s="1055"/>
      <c r="G1" s="1021"/>
    </row>
    <row r="2" spans="1:7" s="633" customFormat="1" ht="46.5" customHeight="1" x14ac:dyDescent="0.25">
      <c r="A2" s="1056" t="s">
        <v>640</v>
      </c>
      <c r="B2" s="1057"/>
      <c r="C2" s="1016"/>
      <c r="D2" s="1016"/>
      <c r="E2" s="1056" t="s">
        <v>682</v>
      </c>
      <c r="F2" s="1057"/>
      <c r="G2" s="1021"/>
    </row>
    <row r="3" spans="1:7" x14ac:dyDescent="0.25">
      <c r="A3" s="938" t="s">
        <v>637</v>
      </c>
      <c r="B3" s="943" t="s">
        <v>544</v>
      </c>
      <c r="C3" s="1016"/>
      <c r="D3" s="1016"/>
      <c r="E3" s="1011" t="s">
        <v>80</v>
      </c>
      <c r="F3" s="1012">
        <f>Outputs!I5</f>
        <v>-1.0346933561825691</v>
      </c>
      <c r="G3" s="1021"/>
    </row>
    <row r="4" spans="1:7" s="633" customFormat="1" x14ac:dyDescent="0.25">
      <c r="A4" s="938" t="s">
        <v>583</v>
      </c>
      <c r="B4" s="939" t="str">
        <f>VLOOKUP(B3,Counties!$A$2:$F$40,3)</f>
        <v>Rural</v>
      </c>
      <c r="C4" s="1016"/>
      <c r="D4" s="1016"/>
      <c r="E4" s="1010" t="s">
        <v>78</v>
      </c>
      <c r="F4" s="941">
        <f>Outputs!E5</f>
        <v>-7.4355463972409552</v>
      </c>
      <c r="G4" s="1021"/>
    </row>
    <row r="5" spans="1:7" s="633" customFormat="1" ht="28.5" customHeight="1" x14ac:dyDescent="0.25">
      <c r="A5" s="938" t="s">
        <v>678</v>
      </c>
      <c r="B5" s="945">
        <f>VLOOKUP(B4,'Recreation Calibration'!A13:AF14,HLOOKUP(B8,'Recreation Calibration'!B11:AF12,2,FALSE),FALSE)</f>
        <v>8.3000000000000004E-2</v>
      </c>
      <c r="C5" s="1016"/>
      <c r="D5" s="1016"/>
      <c r="E5" s="938" t="s">
        <v>79</v>
      </c>
      <c r="F5" s="942">
        <f>Outputs!F5</f>
        <v>-6.6931553633521279</v>
      </c>
      <c r="G5" s="1021"/>
    </row>
    <row r="6" spans="1:7" s="633" customFormat="1" ht="20.25" customHeight="1" x14ac:dyDescent="0.25">
      <c r="A6" s="938" t="s">
        <v>641</v>
      </c>
      <c r="B6" s="944">
        <f>VLOOKUP(B3,Counties!A1:G40,7)</f>
        <v>62557</v>
      </c>
      <c r="C6" s="1016"/>
      <c r="D6" s="1016"/>
      <c r="E6" s="938" t="s">
        <v>29</v>
      </c>
      <c r="F6" s="942">
        <f>Outputs!G5</f>
        <v>-14.128701760593081</v>
      </c>
      <c r="G6" s="1021"/>
    </row>
    <row r="7" spans="1:7" s="633" customFormat="1" ht="14.25" customHeight="1" x14ac:dyDescent="0.25">
      <c r="A7" s="928" t="s">
        <v>677</v>
      </c>
      <c r="B7" s="947">
        <f>B6*B5</f>
        <v>5192.2310000000007</v>
      </c>
      <c r="C7" s="1016"/>
      <c r="D7" s="1016"/>
      <c r="E7" s="938" t="s">
        <v>527</v>
      </c>
      <c r="F7" s="946">
        <f>Outputs!H5</f>
        <v>-647700.62233799486</v>
      </c>
      <c r="G7" s="1021"/>
    </row>
    <row r="8" spans="1:7" x14ac:dyDescent="0.25">
      <c r="A8" s="938" t="s">
        <v>638</v>
      </c>
      <c r="B8" s="974" t="s">
        <v>644</v>
      </c>
      <c r="C8" s="1016"/>
      <c r="D8" s="1016"/>
      <c r="E8" s="1016"/>
      <c r="F8" s="1016"/>
      <c r="G8" s="1021"/>
    </row>
    <row r="9" spans="1:7" s="633" customFormat="1" x14ac:dyDescent="0.25">
      <c r="A9" s="938" t="s">
        <v>673</v>
      </c>
      <c r="B9" s="972">
        <f>HLOOKUP(B8,'Recreation Calibration'!B2:AF7,3,FALSE)</f>
        <v>3.8</v>
      </c>
      <c r="C9" s="1016"/>
      <c r="D9" s="1016"/>
      <c r="E9" s="1016"/>
      <c r="F9" s="1016"/>
      <c r="G9" s="1021"/>
    </row>
    <row r="10" spans="1:7" ht="28.5" customHeight="1" x14ac:dyDescent="0.25">
      <c r="A10" s="973" t="str">
        <f>HLOOKUP(B8,'Recreation Calibration'!A2:AF7,4,FALSE)</f>
        <v>Minutes of Moderate Activity/Week</v>
      </c>
      <c r="B10" s="939">
        <f>VLOOKUP(B4,'Recreation Calibration'!A6:AF7,HLOOKUP(B8,'Recreation Calibration'!B2:AF3,2,FALSE),FALSE)</f>
        <v>46.027397260273972</v>
      </c>
      <c r="C10" s="1016"/>
      <c r="D10" s="1016"/>
      <c r="E10" s="1015"/>
      <c r="F10" s="1016"/>
      <c r="G10" s="1021"/>
    </row>
    <row r="11" spans="1:7" s="633" customFormat="1" ht="45.75" customHeight="1" x14ac:dyDescent="0.25">
      <c r="A11" s="973" t="s">
        <v>679</v>
      </c>
      <c r="B11" s="1009">
        <v>150</v>
      </c>
      <c r="C11" s="1016"/>
      <c r="D11" s="1016"/>
      <c r="E11" s="1015"/>
      <c r="F11" s="1016"/>
      <c r="G11" s="1021"/>
    </row>
    <row r="12" spans="1:7" s="633" customFormat="1" ht="14.25" customHeight="1" x14ac:dyDescent="0.25">
      <c r="A12" s="1017"/>
      <c r="B12" s="1023"/>
      <c r="C12" s="1019"/>
      <c r="D12" s="1019"/>
      <c r="E12" s="1019"/>
      <c r="F12" s="1019"/>
      <c r="G12" s="1022"/>
    </row>
    <row r="13" spans="1:7" x14ac:dyDescent="0.25">
      <c r="B13" s="1018"/>
      <c r="D13" s="1020"/>
      <c r="E13" s="1020"/>
    </row>
  </sheetData>
  <mergeCells count="4">
    <mergeCell ref="E1:F1"/>
    <mergeCell ref="E2:F2"/>
    <mergeCell ref="A1:B1"/>
    <mergeCell ref="A2:B2"/>
  </mergeCells>
  <pageMargins left="0.7" right="0.7" top="0.75" bottom="0.75" header="0.3" footer="0.3"/>
  <pageSetup orientation="portrait" horizontalDpi="4294967292"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'Recreation Calibration'!$B$2:$AF$2</xm:f>
          </x14:formula1>
          <xm:sqref>B8</xm:sqref>
        </x14:dataValidation>
        <x14:dataValidation type="list" allowBlank="1" showInputMessage="1" showErrorMessage="1">
          <x14:formula1>
            <xm:f>Counties!$A$2:$A$40</xm:f>
          </x14:formula1>
          <xm:sqref>B3 B8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13"/>
  <sheetViews>
    <sheetView zoomScaleNormal="100" workbookViewId="0">
      <selection activeCell="L12" sqref="L12"/>
    </sheetView>
  </sheetViews>
  <sheetFormatPr defaultRowHeight="15" x14ac:dyDescent="0.25"/>
  <cols>
    <col min="1" max="1" width="7.5703125" customWidth="1"/>
    <col min="2" max="2" width="9.85546875" customWidth="1"/>
    <col min="3" max="3" width="9.28515625" customWidth="1"/>
    <col min="4" max="4" width="9.7109375" customWidth="1"/>
    <col min="5" max="6" width="7.42578125" customWidth="1"/>
    <col min="7" max="7" width="9.5703125" customWidth="1"/>
    <col min="8" max="9" width="7.42578125" customWidth="1"/>
    <col min="10" max="10" width="9.85546875" customWidth="1"/>
    <col min="11" max="11" width="8" customWidth="1"/>
    <col min="12" max="15" width="7.42578125" customWidth="1"/>
    <col min="16" max="16" width="8.5703125" customWidth="1"/>
    <col min="17" max="19" width="7.42578125" customWidth="1"/>
    <col min="20" max="20" width="8" customWidth="1"/>
    <col min="21" max="24" width="7.42578125" customWidth="1"/>
    <col min="25" max="25" width="7.28515625" customWidth="1"/>
    <col min="26" max="28" width="7.42578125" customWidth="1"/>
    <col min="29" max="29" width="8" customWidth="1"/>
    <col min="30" max="30" width="7.42578125" customWidth="1"/>
    <col min="31" max="31" width="8.5703125" customWidth="1"/>
    <col min="33" max="33" width="9.140625" style="633"/>
    <col min="34" max="34" width="52.7109375" customWidth="1"/>
    <col min="35" max="35" width="7.7109375" customWidth="1"/>
  </cols>
  <sheetData>
    <row r="1" spans="1:35" ht="15.75" customHeight="1" thickBot="1" x14ac:dyDescent="0.3">
      <c r="D1" s="1361" t="s">
        <v>171</v>
      </c>
      <c r="E1" s="1361"/>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1"/>
      <c r="AD1" s="1361"/>
      <c r="AE1" s="1361"/>
    </row>
    <row r="2" spans="1:35" ht="13.5" customHeight="1" thickBot="1" x14ac:dyDescent="0.3">
      <c r="B2" s="1367" t="s">
        <v>260</v>
      </c>
      <c r="C2" s="1368"/>
      <c r="D2" s="1373" t="s">
        <v>255</v>
      </c>
      <c r="E2" s="1374"/>
      <c r="F2" s="1374"/>
      <c r="G2" s="1374"/>
      <c r="H2" s="1374"/>
      <c r="I2" s="1374"/>
      <c r="J2" s="1374"/>
      <c r="K2" s="1374"/>
      <c r="L2" s="1375"/>
      <c r="M2" s="1373" t="s">
        <v>256</v>
      </c>
      <c r="N2" s="1374"/>
      <c r="O2" s="1374"/>
      <c r="P2" s="1374"/>
      <c r="Q2" s="1374"/>
      <c r="R2" s="1374"/>
      <c r="S2" s="1374"/>
      <c r="T2" s="1374"/>
      <c r="U2" s="1375"/>
      <c r="V2" s="1373" t="s">
        <v>258</v>
      </c>
      <c r="W2" s="1374"/>
      <c r="X2" s="1374"/>
      <c r="Y2" s="1374"/>
      <c r="Z2" s="1374"/>
      <c r="AA2" s="1374"/>
      <c r="AB2" s="1374"/>
      <c r="AC2" s="1374"/>
      <c r="AD2" s="1375"/>
      <c r="AE2" s="1359" t="s">
        <v>177</v>
      </c>
    </row>
    <row r="3" spans="1:35" ht="13.5" hidden="1" customHeight="1" thickBot="1" x14ac:dyDescent="0.3">
      <c r="B3" s="1369"/>
      <c r="C3" s="1370"/>
      <c r="D3" s="397" t="s">
        <v>255</v>
      </c>
      <c r="E3" s="397" t="s">
        <v>255</v>
      </c>
      <c r="F3" s="397" t="s">
        <v>255</v>
      </c>
      <c r="G3" s="397" t="s">
        <v>255</v>
      </c>
      <c r="H3" s="397" t="s">
        <v>255</v>
      </c>
      <c r="I3" s="397" t="s">
        <v>255</v>
      </c>
      <c r="J3" s="397" t="s">
        <v>255</v>
      </c>
      <c r="K3" s="397" t="s">
        <v>255</v>
      </c>
      <c r="L3" s="397" t="s">
        <v>255</v>
      </c>
      <c r="M3" s="399" t="s">
        <v>256</v>
      </c>
      <c r="N3" s="399" t="s">
        <v>256</v>
      </c>
      <c r="O3" s="399" t="s">
        <v>256</v>
      </c>
      <c r="P3" s="399" t="s">
        <v>256</v>
      </c>
      <c r="Q3" s="399" t="s">
        <v>256</v>
      </c>
      <c r="R3" s="399" t="s">
        <v>256</v>
      </c>
      <c r="S3" s="399" t="s">
        <v>256</v>
      </c>
      <c r="T3" s="399" t="s">
        <v>256</v>
      </c>
      <c r="U3" s="399" t="s">
        <v>256</v>
      </c>
      <c r="V3" s="399" t="s">
        <v>257</v>
      </c>
      <c r="W3" s="399" t="s">
        <v>257</v>
      </c>
      <c r="X3" s="399" t="s">
        <v>257</v>
      </c>
      <c r="Y3" s="399" t="s">
        <v>257</v>
      </c>
      <c r="Z3" s="399" t="s">
        <v>257</v>
      </c>
      <c r="AA3" s="399" t="s">
        <v>257</v>
      </c>
      <c r="AB3" s="399" t="s">
        <v>257</v>
      </c>
      <c r="AC3" s="399" t="s">
        <v>257</v>
      </c>
      <c r="AD3" s="399" t="s">
        <v>257</v>
      </c>
      <c r="AE3" s="1359"/>
    </row>
    <row r="4" spans="1:35" ht="15.75" customHeight="1" thickBot="1" x14ac:dyDescent="0.3">
      <c r="B4" s="1371"/>
      <c r="C4" s="1372"/>
      <c r="D4" s="635" t="s">
        <v>93</v>
      </c>
      <c r="E4" s="636" t="s">
        <v>94</v>
      </c>
      <c r="F4" s="636" t="s">
        <v>95</v>
      </c>
      <c r="G4" s="636" t="s">
        <v>165</v>
      </c>
      <c r="H4" s="636" t="s">
        <v>163</v>
      </c>
      <c r="I4" s="636" t="s">
        <v>164</v>
      </c>
      <c r="J4" s="636" t="s">
        <v>143</v>
      </c>
      <c r="K4" s="637" t="s">
        <v>123</v>
      </c>
      <c r="L4" s="637" t="s">
        <v>175</v>
      </c>
      <c r="M4" s="263" t="s">
        <v>93</v>
      </c>
      <c r="N4" s="264" t="s">
        <v>94</v>
      </c>
      <c r="O4" s="264" t="s">
        <v>95</v>
      </c>
      <c r="P4" s="264" t="s">
        <v>165</v>
      </c>
      <c r="Q4" s="264" t="s">
        <v>163</v>
      </c>
      <c r="R4" s="264" t="s">
        <v>164</v>
      </c>
      <c r="S4" s="264" t="s">
        <v>143</v>
      </c>
      <c r="T4" s="265" t="s">
        <v>123</v>
      </c>
      <c r="U4" s="265" t="s">
        <v>175</v>
      </c>
      <c r="V4" s="263" t="s">
        <v>93</v>
      </c>
      <c r="W4" s="264" t="s">
        <v>94</v>
      </c>
      <c r="X4" s="264" t="s">
        <v>95</v>
      </c>
      <c r="Y4" s="264" t="s">
        <v>165</v>
      </c>
      <c r="Z4" s="264" t="s">
        <v>163</v>
      </c>
      <c r="AA4" s="264" t="s">
        <v>164</v>
      </c>
      <c r="AB4" s="264" t="s">
        <v>143</v>
      </c>
      <c r="AC4" s="265" t="s">
        <v>123</v>
      </c>
      <c r="AD4" s="265" t="s">
        <v>175</v>
      </c>
      <c r="AE4" s="1360"/>
    </row>
    <row r="5" spans="1:35" ht="12.75" customHeight="1" thickBot="1" x14ac:dyDescent="0.3">
      <c r="A5" s="1377" t="s">
        <v>172</v>
      </c>
      <c r="B5" s="1378" t="s">
        <v>255</v>
      </c>
      <c r="C5" s="263" t="s">
        <v>93</v>
      </c>
      <c r="D5" s="642">
        <v>0</v>
      </c>
      <c r="E5" s="642">
        <v>0</v>
      </c>
      <c r="F5" s="642">
        <v>0</v>
      </c>
      <c r="G5" s="642">
        <v>0.8</v>
      </c>
      <c r="H5" s="642">
        <v>0</v>
      </c>
      <c r="I5" s="642"/>
      <c r="J5" s="642">
        <v>0</v>
      </c>
      <c r="K5" s="642">
        <v>0</v>
      </c>
      <c r="L5" s="642">
        <v>0</v>
      </c>
      <c r="M5" s="645"/>
      <c r="N5" s="646"/>
      <c r="O5" s="646"/>
      <c r="P5" s="646"/>
      <c r="Q5" s="646"/>
      <c r="R5" s="646"/>
      <c r="S5" s="646"/>
      <c r="T5" s="646"/>
      <c r="U5" s="646"/>
      <c r="V5" s="645"/>
      <c r="W5" s="646"/>
      <c r="X5" s="646"/>
      <c r="Y5" s="646"/>
      <c r="Z5" s="646"/>
      <c r="AA5" s="646"/>
      <c r="AB5" s="646"/>
      <c r="AC5" s="646"/>
      <c r="AD5" s="647"/>
      <c r="AE5" s="648">
        <f>SUM(D5:AD5)</f>
        <v>0.8</v>
      </c>
      <c r="AF5" s="188">
        <v>0.8</v>
      </c>
      <c r="AG5" s="627">
        <f>IF(AE5&lt;&gt;AF5,1,0)</f>
        <v>0</v>
      </c>
      <c r="AH5" s="133" t="s">
        <v>262</v>
      </c>
      <c r="AI5" s="400">
        <f>SUM('Calibration Data'!$Q$367:$Q$870)</f>
        <v>11439</v>
      </c>
    </row>
    <row r="6" spans="1:35" ht="13.5" customHeight="1" thickBot="1" x14ac:dyDescent="0.3">
      <c r="A6" s="1361"/>
      <c r="B6" s="1379"/>
      <c r="C6" s="264" t="s">
        <v>94</v>
      </c>
      <c r="D6" s="642">
        <v>0</v>
      </c>
      <c r="E6" s="642">
        <v>0</v>
      </c>
      <c r="F6" s="642">
        <v>0</v>
      </c>
      <c r="G6" s="642">
        <v>0</v>
      </c>
      <c r="H6" s="642">
        <v>0</v>
      </c>
      <c r="I6" s="642"/>
      <c r="J6" s="642">
        <v>0</v>
      </c>
      <c r="K6" s="642">
        <v>0</v>
      </c>
      <c r="L6" s="642">
        <v>0</v>
      </c>
      <c r="M6" s="652"/>
      <c r="N6" s="653"/>
      <c r="O6" s="653"/>
      <c r="P6" s="653"/>
      <c r="Q6" s="653"/>
      <c r="R6" s="653"/>
      <c r="S6" s="653"/>
      <c r="T6" s="653"/>
      <c r="U6" s="653"/>
      <c r="V6" s="652"/>
      <c r="W6" s="653"/>
      <c r="X6" s="653"/>
      <c r="Y6" s="653"/>
      <c r="Z6" s="653"/>
      <c r="AA6" s="653"/>
      <c r="AB6" s="653"/>
      <c r="AC6" s="653"/>
      <c r="AD6" s="654"/>
      <c r="AE6" s="648">
        <f t="shared" ref="AE6:AE56" si="0">SUM(D6:AD6)</f>
        <v>0</v>
      </c>
      <c r="AF6" s="188">
        <v>0</v>
      </c>
      <c r="AG6" s="627">
        <f t="shared" ref="AG6:AG29" si="1">IF(AE6&lt;&gt;AF6,1,0)</f>
        <v>0</v>
      </c>
      <c r="AH6" s="133" t="s">
        <v>263</v>
      </c>
      <c r="AI6">
        <f>SUM('Calibration Data'!$Q$556:$Q$618,'Calibration Data'!$Q$808:$Q$870)</f>
        <v>884</v>
      </c>
    </row>
    <row r="7" spans="1:35" ht="13.5" customHeight="1" thickBot="1" x14ac:dyDescent="0.3">
      <c r="A7" s="1361"/>
      <c r="B7" s="1379"/>
      <c r="C7" s="264" t="s">
        <v>95</v>
      </c>
      <c r="D7" s="642">
        <v>0</v>
      </c>
      <c r="E7" s="642">
        <v>0</v>
      </c>
      <c r="F7" s="642">
        <v>0</v>
      </c>
      <c r="G7" s="642">
        <v>0</v>
      </c>
      <c r="H7" s="642">
        <v>0</v>
      </c>
      <c r="I7" s="642"/>
      <c r="J7" s="642">
        <v>0</v>
      </c>
      <c r="K7" s="642">
        <v>0</v>
      </c>
      <c r="L7" s="642">
        <v>0</v>
      </c>
      <c r="M7" s="652"/>
      <c r="N7" s="653"/>
      <c r="O7" s="653"/>
      <c r="P7" s="653"/>
      <c r="Q7" s="653"/>
      <c r="R7" s="653"/>
      <c r="S7" s="653"/>
      <c r="T7" s="653"/>
      <c r="U7" s="653"/>
      <c r="V7" s="652"/>
      <c r="W7" s="653"/>
      <c r="X7" s="653"/>
      <c r="Y7" s="653"/>
      <c r="Z7" s="653"/>
      <c r="AA7" s="653"/>
      <c r="AB7" s="653"/>
      <c r="AC7" s="653"/>
      <c r="AD7" s="654"/>
      <c r="AE7" s="648">
        <f t="shared" si="0"/>
        <v>0</v>
      </c>
      <c r="AF7" s="188">
        <v>0</v>
      </c>
      <c r="AG7" s="627">
        <f t="shared" si="1"/>
        <v>0</v>
      </c>
      <c r="AH7" s="133" t="s">
        <v>264</v>
      </c>
      <c r="AI7" s="297">
        <f>AI6/AI5</f>
        <v>7.7279482472244074E-2</v>
      </c>
    </row>
    <row r="8" spans="1:35" ht="13.5" customHeight="1" thickBot="1" x14ac:dyDescent="0.3">
      <c r="A8" s="1361"/>
      <c r="B8" s="1379"/>
      <c r="C8" s="264" t="s">
        <v>165</v>
      </c>
      <c r="D8" s="642">
        <v>0</v>
      </c>
      <c r="E8" s="642">
        <v>0</v>
      </c>
      <c r="F8" s="642">
        <v>0</v>
      </c>
      <c r="G8" s="642">
        <v>0</v>
      </c>
      <c r="H8" s="642">
        <v>0</v>
      </c>
      <c r="I8" s="642"/>
      <c r="J8" s="642">
        <v>0</v>
      </c>
      <c r="K8" s="642">
        <v>0</v>
      </c>
      <c r="L8" s="642">
        <v>0</v>
      </c>
      <c r="M8" s="652"/>
      <c r="N8" s="653"/>
      <c r="O8" s="653"/>
      <c r="P8" s="653"/>
      <c r="Q8" s="653"/>
      <c r="R8" s="653"/>
      <c r="S8" s="653"/>
      <c r="T8" s="653"/>
      <c r="U8" s="653"/>
      <c r="V8" s="652"/>
      <c r="W8" s="653"/>
      <c r="X8" s="653"/>
      <c r="Y8" s="653"/>
      <c r="Z8" s="653"/>
      <c r="AA8" s="653"/>
      <c r="AB8" s="653"/>
      <c r="AC8" s="653"/>
      <c r="AD8" s="654"/>
      <c r="AE8" s="648">
        <f t="shared" si="0"/>
        <v>0</v>
      </c>
      <c r="AF8" s="188">
        <v>0</v>
      </c>
      <c r="AG8" s="627">
        <f t="shared" si="1"/>
        <v>0</v>
      </c>
    </row>
    <row r="9" spans="1:35" ht="13.5" customHeight="1" thickBot="1" x14ac:dyDescent="0.3">
      <c r="A9" s="1361"/>
      <c r="B9" s="1379"/>
      <c r="C9" s="264" t="s">
        <v>163</v>
      </c>
      <c r="D9" s="642">
        <v>0</v>
      </c>
      <c r="E9" s="642">
        <v>0</v>
      </c>
      <c r="F9" s="642">
        <v>0</v>
      </c>
      <c r="G9" s="642">
        <v>0</v>
      </c>
      <c r="H9" s="642">
        <v>0</v>
      </c>
      <c r="I9" s="642"/>
      <c r="J9" s="642">
        <v>0</v>
      </c>
      <c r="K9" s="642">
        <v>0</v>
      </c>
      <c r="L9" s="642">
        <v>0</v>
      </c>
      <c r="M9" s="652"/>
      <c r="N9" s="653"/>
      <c r="O9" s="653"/>
      <c r="P9" s="653"/>
      <c r="Q9" s="653"/>
      <c r="R9" s="653"/>
      <c r="S9" s="653"/>
      <c r="T9" s="653"/>
      <c r="U9" s="653"/>
      <c r="V9" s="652"/>
      <c r="W9" s="653"/>
      <c r="X9" s="653"/>
      <c r="Y9" s="653"/>
      <c r="Z9" s="653"/>
      <c r="AA9" s="653"/>
      <c r="AB9" s="653"/>
      <c r="AC9" s="653"/>
      <c r="AD9" s="654"/>
      <c r="AE9" s="648">
        <f t="shared" si="0"/>
        <v>0</v>
      </c>
      <c r="AF9" s="188">
        <v>0</v>
      </c>
      <c r="AG9" s="627">
        <f t="shared" si="1"/>
        <v>0</v>
      </c>
    </row>
    <row r="10" spans="1:35" ht="13.5" customHeight="1" thickBot="1" x14ac:dyDescent="0.3">
      <c r="A10" s="1361"/>
      <c r="B10" s="1379"/>
      <c r="C10" s="264" t="s">
        <v>164</v>
      </c>
      <c r="D10" s="649"/>
      <c r="E10" s="649"/>
      <c r="F10" s="649"/>
      <c r="G10" s="649"/>
      <c r="H10" s="649"/>
      <c r="I10" s="649"/>
      <c r="J10" s="649"/>
      <c r="K10" s="649"/>
      <c r="L10" s="649"/>
      <c r="M10" s="652"/>
      <c r="N10" s="653"/>
      <c r="O10" s="653"/>
      <c r="P10" s="653"/>
      <c r="Q10" s="653"/>
      <c r="R10" s="653"/>
      <c r="S10" s="653"/>
      <c r="T10" s="653"/>
      <c r="U10" s="653"/>
      <c r="V10" s="652"/>
      <c r="W10" s="653"/>
      <c r="X10" s="653"/>
      <c r="Y10" s="653"/>
      <c r="Z10" s="653"/>
      <c r="AA10" s="653"/>
      <c r="AB10" s="653"/>
      <c r="AC10" s="653"/>
      <c r="AD10" s="654"/>
      <c r="AE10" s="648"/>
      <c r="AF10" s="188">
        <v>0</v>
      </c>
      <c r="AG10" s="627">
        <f t="shared" si="1"/>
        <v>0</v>
      </c>
      <c r="AI10" s="556"/>
    </row>
    <row r="11" spans="1:35" ht="13.5" customHeight="1" thickBot="1" x14ac:dyDescent="0.3">
      <c r="A11" s="1361"/>
      <c r="B11" s="1379"/>
      <c r="C11" s="264" t="s">
        <v>143</v>
      </c>
      <c r="D11" s="642">
        <v>0</v>
      </c>
      <c r="E11" s="642">
        <v>0</v>
      </c>
      <c r="F11" s="642">
        <v>0</v>
      </c>
      <c r="G11" s="642">
        <v>0</v>
      </c>
      <c r="H11" s="642">
        <v>0</v>
      </c>
      <c r="I11" s="642"/>
      <c r="J11" s="642">
        <v>0</v>
      </c>
      <c r="K11" s="642">
        <v>0</v>
      </c>
      <c r="L11" s="642">
        <v>0</v>
      </c>
      <c r="M11" s="652"/>
      <c r="N11" s="653"/>
      <c r="O11" s="653"/>
      <c r="P11" s="653"/>
      <c r="Q11" s="653"/>
      <c r="R11" s="653"/>
      <c r="S11" s="653"/>
      <c r="T11" s="653"/>
      <c r="U11" s="653"/>
      <c r="V11" s="652"/>
      <c r="W11" s="653"/>
      <c r="X11" s="653"/>
      <c r="Y11" s="653"/>
      <c r="Z11" s="653"/>
      <c r="AA11" s="653"/>
      <c r="AB11" s="653"/>
      <c r="AC11" s="653"/>
      <c r="AD11" s="654"/>
      <c r="AE11" s="648">
        <f t="shared" si="0"/>
        <v>0</v>
      </c>
      <c r="AF11" s="188">
        <v>0</v>
      </c>
      <c r="AG11" s="627">
        <f t="shared" si="1"/>
        <v>0</v>
      </c>
    </row>
    <row r="12" spans="1:35" ht="13.5" customHeight="1" thickBot="1" x14ac:dyDescent="0.3">
      <c r="A12" s="1361"/>
      <c r="B12" s="1379"/>
      <c r="C12" s="265" t="s">
        <v>123</v>
      </c>
      <c r="D12" s="649">
        <v>0</v>
      </c>
      <c r="E12" s="649">
        <v>0</v>
      </c>
      <c r="F12" s="649">
        <v>0</v>
      </c>
      <c r="G12" s="649">
        <v>0</v>
      </c>
      <c r="H12" s="649">
        <v>0</v>
      </c>
      <c r="I12" s="649"/>
      <c r="J12" s="649">
        <v>0</v>
      </c>
      <c r="K12" s="649">
        <v>0</v>
      </c>
      <c r="L12" s="649">
        <v>0</v>
      </c>
      <c r="M12" s="658"/>
      <c r="N12" s="659"/>
      <c r="O12" s="659"/>
      <c r="P12" s="659"/>
      <c r="Q12" s="659"/>
      <c r="R12" s="659"/>
      <c r="S12" s="659"/>
      <c r="T12" s="659"/>
      <c r="U12" s="659"/>
      <c r="V12" s="652"/>
      <c r="W12" s="653"/>
      <c r="X12" s="653"/>
      <c r="Y12" s="653"/>
      <c r="Z12" s="653"/>
      <c r="AA12" s="653"/>
      <c r="AB12" s="653"/>
      <c r="AC12" s="653"/>
      <c r="AD12" s="654"/>
      <c r="AE12" s="648">
        <f t="shared" si="0"/>
        <v>0</v>
      </c>
      <c r="AF12" s="188">
        <v>0</v>
      </c>
      <c r="AG12" s="627">
        <f t="shared" si="1"/>
        <v>0</v>
      </c>
    </row>
    <row r="13" spans="1:35" ht="13.5" customHeight="1" thickBot="1" x14ac:dyDescent="0.3">
      <c r="A13" s="1361"/>
      <c r="B13" s="1380" t="s">
        <v>256</v>
      </c>
      <c r="C13" s="263" t="s">
        <v>93</v>
      </c>
      <c r="D13" s="645"/>
      <c r="E13" s="646"/>
      <c r="F13" s="646"/>
      <c r="G13" s="646"/>
      <c r="H13" s="646"/>
      <c r="I13" s="646"/>
      <c r="J13" s="646"/>
      <c r="K13" s="646"/>
      <c r="L13" s="647"/>
      <c r="M13" s="642">
        <v>0</v>
      </c>
      <c r="N13" s="642">
        <v>0</v>
      </c>
      <c r="O13" s="642">
        <v>0</v>
      </c>
      <c r="P13" s="642">
        <v>2.2000000000000002</v>
      </c>
      <c r="Q13" s="642">
        <v>0</v>
      </c>
      <c r="R13" s="642"/>
      <c r="S13" s="642">
        <v>0</v>
      </c>
      <c r="T13" s="642">
        <v>0</v>
      </c>
      <c r="U13" s="642">
        <v>0</v>
      </c>
      <c r="V13" s="652"/>
      <c r="W13" s="653"/>
      <c r="X13" s="653"/>
      <c r="Y13" s="653"/>
      <c r="Z13" s="653"/>
      <c r="AA13" s="653"/>
      <c r="AB13" s="653"/>
      <c r="AC13" s="653"/>
      <c r="AD13" s="654"/>
      <c r="AE13" s="648">
        <f t="shared" si="0"/>
        <v>2.2000000000000002</v>
      </c>
      <c r="AF13" s="188">
        <v>2.2000000000000002</v>
      </c>
      <c r="AG13" s="627">
        <f t="shared" si="1"/>
        <v>0</v>
      </c>
    </row>
    <row r="14" spans="1:35" ht="13.5" customHeight="1" thickBot="1" x14ac:dyDescent="0.3">
      <c r="A14" s="1361"/>
      <c r="B14" s="1379"/>
      <c r="C14" s="264" t="s">
        <v>94</v>
      </c>
      <c r="D14" s="652"/>
      <c r="E14" s="653"/>
      <c r="F14" s="653"/>
      <c r="G14" s="653"/>
      <c r="H14" s="653"/>
      <c r="I14" s="653"/>
      <c r="J14" s="653"/>
      <c r="K14" s="653"/>
      <c r="L14" s="654"/>
      <c r="M14" s="642">
        <v>0</v>
      </c>
      <c r="N14" s="642">
        <v>0</v>
      </c>
      <c r="O14" s="642">
        <v>0</v>
      </c>
      <c r="P14" s="642">
        <v>1</v>
      </c>
      <c r="Q14" s="642">
        <v>0</v>
      </c>
      <c r="R14" s="642"/>
      <c r="S14" s="642">
        <v>0</v>
      </c>
      <c r="T14" s="642">
        <v>0</v>
      </c>
      <c r="U14" s="642">
        <v>0</v>
      </c>
      <c r="V14" s="652"/>
      <c r="W14" s="653"/>
      <c r="X14" s="653"/>
      <c r="Y14" s="653"/>
      <c r="Z14" s="653"/>
      <c r="AA14" s="653"/>
      <c r="AB14" s="653"/>
      <c r="AC14" s="653"/>
      <c r="AD14" s="654"/>
      <c r="AE14" s="648">
        <f t="shared" si="0"/>
        <v>1</v>
      </c>
      <c r="AF14" s="188">
        <v>1</v>
      </c>
      <c r="AG14" s="627">
        <f t="shared" si="1"/>
        <v>0</v>
      </c>
    </row>
    <row r="15" spans="1:35" ht="13.5" customHeight="1" thickBot="1" x14ac:dyDescent="0.3">
      <c r="A15" s="1361"/>
      <c r="B15" s="1379"/>
      <c r="C15" s="264" t="s">
        <v>95</v>
      </c>
      <c r="D15" s="652"/>
      <c r="E15" s="653"/>
      <c r="F15" s="653"/>
      <c r="G15" s="653"/>
      <c r="H15" s="653"/>
      <c r="I15" s="653"/>
      <c r="J15" s="653"/>
      <c r="K15" s="653"/>
      <c r="L15" s="654"/>
      <c r="M15" s="642">
        <v>0</v>
      </c>
      <c r="N15" s="642">
        <v>0</v>
      </c>
      <c r="O15" s="642">
        <v>0</v>
      </c>
      <c r="P15" s="642">
        <v>0</v>
      </c>
      <c r="Q15" s="642">
        <v>0</v>
      </c>
      <c r="R15" s="642"/>
      <c r="S15" s="642">
        <v>0</v>
      </c>
      <c r="T15" s="642">
        <v>0</v>
      </c>
      <c r="U15" s="642">
        <v>0</v>
      </c>
      <c r="V15" s="652"/>
      <c r="W15" s="653"/>
      <c r="X15" s="653"/>
      <c r="Y15" s="653"/>
      <c r="Z15" s="653"/>
      <c r="AA15" s="653"/>
      <c r="AB15" s="653"/>
      <c r="AC15" s="653"/>
      <c r="AD15" s="654"/>
      <c r="AE15" s="648">
        <f t="shared" si="0"/>
        <v>0</v>
      </c>
      <c r="AF15" s="188">
        <v>0</v>
      </c>
      <c r="AG15" s="627">
        <f t="shared" si="1"/>
        <v>0</v>
      </c>
    </row>
    <row r="16" spans="1:35" ht="13.5" customHeight="1" thickBot="1" x14ac:dyDescent="0.3">
      <c r="A16" s="1361"/>
      <c r="B16" s="1379"/>
      <c r="C16" s="264" t="s">
        <v>165</v>
      </c>
      <c r="D16" s="652"/>
      <c r="E16" s="653"/>
      <c r="F16" s="653"/>
      <c r="G16" s="653"/>
      <c r="H16" s="653"/>
      <c r="I16" s="653"/>
      <c r="J16" s="653"/>
      <c r="K16" s="653"/>
      <c r="L16" s="654"/>
      <c r="M16" s="642">
        <v>0</v>
      </c>
      <c r="N16" s="642">
        <v>0</v>
      </c>
      <c r="O16" s="642">
        <v>0</v>
      </c>
      <c r="P16" s="642">
        <v>3</v>
      </c>
      <c r="Q16" s="642">
        <v>0</v>
      </c>
      <c r="R16" s="642"/>
      <c r="S16" s="642">
        <v>0.2</v>
      </c>
      <c r="T16" s="642">
        <v>0</v>
      </c>
      <c r="U16" s="642">
        <v>0.6</v>
      </c>
      <c r="V16" s="652"/>
      <c r="W16" s="653"/>
      <c r="X16" s="653"/>
      <c r="Y16" s="653"/>
      <c r="Z16" s="653"/>
      <c r="AA16" s="653"/>
      <c r="AB16" s="653"/>
      <c r="AC16" s="653"/>
      <c r="AD16" s="654"/>
      <c r="AE16" s="648">
        <f t="shared" si="0"/>
        <v>3.8000000000000003</v>
      </c>
      <c r="AF16" s="188">
        <v>3.8000000000000003</v>
      </c>
      <c r="AG16" s="627">
        <f t="shared" si="1"/>
        <v>0</v>
      </c>
    </row>
    <row r="17" spans="1:33" ht="13.5" customHeight="1" thickBot="1" x14ac:dyDescent="0.3">
      <c r="A17" s="1361"/>
      <c r="B17" s="1379"/>
      <c r="C17" s="264" t="s">
        <v>163</v>
      </c>
      <c r="D17" s="652"/>
      <c r="E17" s="653"/>
      <c r="F17" s="653"/>
      <c r="G17" s="653"/>
      <c r="H17" s="653"/>
      <c r="I17" s="653"/>
      <c r="J17" s="653"/>
      <c r="K17" s="653"/>
      <c r="L17" s="654"/>
      <c r="M17" s="642">
        <v>0</v>
      </c>
      <c r="N17" s="642">
        <v>0</v>
      </c>
      <c r="O17" s="642">
        <v>0</v>
      </c>
      <c r="P17" s="642">
        <v>0.2</v>
      </c>
      <c r="Q17" s="642">
        <v>0</v>
      </c>
      <c r="R17" s="642"/>
      <c r="S17" s="642">
        <v>0</v>
      </c>
      <c r="T17" s="642">
        <v>0</v>
      </c>
      <c r="U17" s="642">
        <v>0</v>
      </c>
      <c r="V17" s="652"/>
      <c r="W17" s="653"/>
      <c r="X17" s="653"/>
      <c r="Y17" s="653"/>
      <c r="Z17" s="653"/>
      <c r="AA17" s="653"/>
      <c r="AB17" s="653"/>
      <c r="AC17" s="653"/>
      <c r="AD17" s="654"/>
      <c r="AE17" s="648">
        <f t="shared" si="0"/>
        <v>0.2</v>
      </c>
      <c r="AF17" s="188">
        <v>0.2</v>
      </c>
      <c r="AG17" s="627">
        <f t="shared" si="1"/>
        <v>0</v>
      </c>
    </row>
    <row r="18" spans="1:33" ht="13.5" customHeight="1" thickBot="1" x14ac:dyDescent="0.3">
      <c r="A18" s="1361"/>
      <c r="B18" s="1379"/>
      <c r="C18" s="264" t="s">
        <v>164</v>
      </c>
      <c r="D18" s="652"/>
      <c r="E18" s="653"/>
      <c r="F18" s="653"/>
      <c r="G18" s="653"/>
      <c r="H18" s="653"/>
      <c r="I18" s="653"/>
      <c r="J18" s="653"/>
      <c r="K18" s="653"/>
      <c r="L18" s="654"/>
      <c r="M18" s="642"/>
      <c r="N18" s="642"/>
      <c r="O18" s="642"/>
      <c r="P18" s="642"/>
      <c r="Q18" s="642"/>
      <c r="R18" s="642"/>
      <c r="S18" s="642"/>
      <c r="T18" s="642"/>
      <c r="U18" s="642"/>
      <c r="V18" s="652"/>
      <c r="W18" s="653"/>
      <c r="X18" s="653"/>
      <c r="Y18" s="653"/>
      <c r="Z18" s="653"/>
      <c r="AA18" s="653"/>
      <c r="AB18" s="653"/>
      <c r="AC18" s="653"/>
      <c r="AD18" s="654"/>
      <c r="AE18" s="648"/>
      <c r="AF18" s="188">
        <v>0</v>
      </c>
      <c r="AG18" s="627">
        <f t="shared" si="1"/>
        <v>0</v>
      </c>
    </row>
    <row r="19" spans="1:33" ht="13.5" customHeight="1" thickBot="1" x14ac:dyDescent="0.3">
      <c r="A19" s="1361"/>
      <c r="B19" s="1379"/>
      <c r="C19" s="264" t="s">
        <v>143</v>
      </c>
      <c r="D19" s="652"/>
      <c r="E19" s="653"/>
      <c r="F19" s="653"/>
      <c r="G19" s="653"/>
      <c r="H19" s="653"/>
      <c r="I19" s="653"/>
      <c r="J19" s="653"/>
      <c r="K19" s="653"/>
      <c r="L19" s="654"/>
      <c r="M19" s="642">
        <v>0</v>
      </c>
      <c r="N19" s="642">
        <v>0</v>
      </c>
      <c r="O19" s="642">
        <v>0</v>
      </c>
      <c r="P19" s="642">
        <v>0</v>
      </c>
      <c r="Q19" s="642">
        <v>0</v>
      </c>
      <c r="R19" s="642"/>
      <c r="S19" s="642">
        <v>0</v>
      </c>
      <c r="T19" s="642">
        <v>0</v>
      </c>
      <c r="U19" s="642">
        <v>0</v>
      </c>
      <c r="V19" s="652"/>
      <c r="W19" s="653"/>
      <c r="X19" s="653"/>
      <c r="Y19" s="653"/>
      <c r="Z19" s="653"/>
      <c r="AA19" s="653"/>
      <c r="AB19" s="653"/>
      <c r="AC19" s="653"/>
      <c r="AD19" s="654"/>
      <c r="AE19" s="648">
        <f t="shared" si="0"/>
        <v>0</v>
      </c>
      <c r="AF19" s="188">
        <v>0</v>
      </c>
      <c r="AG19" s="627">
        <f t="shared" si="1"/>
        <v>0</v>
      </c>
    </row>
    <row r="20" spans="1:33" ht="13.5" customHeight="1" thickBot="1" x14ac:dyDescent="0.3">
      <c r="A20" s="1361"/>
      <c r="B20" s="1379"/>
      <c r="C20" s="265" t="s">
        <v>123</v>
      </c>
      <c r="D20" s="652"/>
      <c r="E20" s="653"/>
      <c r="F20" s="653"/>
      <c r="G20" s="653"/>
      <c r="H20" s="653"/>
      <c r="I20" s="653"/>
      <c r="J20" s="653"/>
      <c r="K20" s="653"/>
      <c r="L20" s="654"/>
      <c r="M20" s="642">
        <v>0</v>
      </c>
      <c r="N20" s="642">
        <v>0</v>
      </c>
      <c r="O20" s="642">
        <v>0</v>
      </c>
      <c r="P20" s="642">
        <v>0</v>
      </c>
      <c r="Q20" s="642">
        <v>0</v>
      </c>
      <c r="R20" s="642"/>
      <c r="S20" s="642">
        <v>0</v>
      </c>
      <c r="T20" s="642">
        <v>0</v>
      </c>
      <c r="U20" s="642">
        <v>0</v>
      </c>
      <c r="V20" s="658"/>
      <c r="W20" s="659"/>
      <c r="X20" s="659"/>
      <c r="Y20" s="659"/>
      <c r="Z20" s="659"/>
      <c r="AA20" s="659"/>
      <c r="AB20" s="659"/>
      <c r="AC20" s="659"/>
      <c r="AD20" s="660"/>
      <c r="AE20" s="648">
        <f t="shared" si="0"/>
        <v>0</v>
      </c>
      <c r="AF20" s="188">
        <v>0</v>
      </c>
      <c r="AG20" s="627">
        <f t="shared" si="1"/>
        <v>0</v>
      </c>
    </row>
    <row r="21" spans="1:33" ht="13.5" customHeight="1" thickBot="1" x14ac:dyDescent="0.3">
      <c r="A21" s="1361"/>
      <c r="B21" s="1362" t="s">
        <v>251</v>
      </c>
      <c r="C21" s="263" t="s">
        <v>93</v>
      </c>
      <c r="D21" s="652"/>
      <c r="E21" s="653"/>
      <c r="F21" s="653"/>
      <c r="G21" s="653"/>
      <c r="H21" s="653"/>
      <c r="I21" s="653"/>
      <c r="J21" s="653"/>
      <c r="K21" s="653"/>
      <c r="L21" s="653"/>
      <c r="M21" s="645"/>
      <c r="N21" s="646"/>
      <c r="O21" s="646"/>
      <c r="P21" s="646"/>
      <c r="Q21" s="646"/>
      <c r="R21" s="646"/>
      <c r="S21" s="646"/>
      <c r="T21" s="646"/>
      <c r="U21" s="647"/>
      <c r="V21" s="642">
        <v>0</v>
      </c>
      <c r="W21" s="642">
        <v>0</v>
      </c>
      <c r="X21" s="642">
        <v>0</v>
      </c>
      <c r="Y21" s="642">
        <v>0.4</v>
      </c>
      <c r="Z21" s="642">
        <v>0</v>
      </c>
      <c r="AA21" s="642"/>
      <c r="AB21" s="642">
        <v>0</v>
      </c>
      <c r="AC21" s="642">
        <v>0</v>
      </c>
      <c r="AD21" s="642">
        <v>0</v>
      </c>
      <c r="AE21" s="661">
        <f t="shared" si="0"/>
        <v>0.4</v>
      </c>
      <c r="AF21" s="188">
        <v>0</v>
      </c>
      <c r="AG21" s="671">
        <f t="shared" si="1"/>
        <v>1</v>
      </c>
    </row>
    <row r="22" spans="1:33" ht="13.5" customHeight="1" thickBot="1" x14ac:dyDescent="0.3">
      <c r="A22" s="1361"/>
      <c r="B22" s="1363"/>
      <c r="C22" s="264" t="s">
        <v>94</v>
      </c>
      <c r="D22" s="652"/>
      <c r="E22" s="653"/>
      <c r="F22" s="653"/>
      <c r="G22" s="653"/>
      <c r="H22" s="653"/>
      <c r="I22" s="653"/>
      <c r="J22" s="653"/>
      <c r="K22" s="653"/>
      <c r="L22" s="653"/>
      <c r="M22" s="652"/>
      <c r="N22" s="653"/>
      <c r="O22" s="653"/>
      <c r="P22" s="653"/>
      <c r="Q22" s="653"/>
      <c r="R22" s="653"/>
      <c r="S22" s="653"/>
      <c r="T22" s="653"/>
      <c r="U22" s="654"/>
      <c r="V22" s="642">
        <v>0</v>
      </c>
      <c r="W22" s="642">
        <v>0</v>
      </c>
      <c r="X22" s="642">
        <v>0</v>
      </c>
      <c r="Y22" s="642">
        <v>0</v>
      </c>
      <c r="Z22" s="642">
        <v>0</v>
      </c>
      <c r="AA22" s="642"/>
      <c r="AB22" s="642">
        <v>0</v>
      </c>
      <c r="AC22" s="642">
        <v>0</v>
      </c>
      <c r="AD22" s="642">
        <v>0</v>
      </c>
      <c r="AE22" s="661">
        <f t="shared" si="0"/>
        <v>0</v>
      </c>
      <c r="AF22" s="188">
        <v>0</v>
      </c>
      <c r="AG22" s="627">
        <f t="shared" si="1"/>
        <v>0</v>
      </c>
    </row>
    <row r="23" spans="1:33" ht="13.5" customHeight="1" thickBot="1" x14ac:dyDescent="0.3">
      <c r="A23" s="1361"/>
      <c r="B23" s="1363"/>
      <c r="C23" s="264" t="s">
        <v>95</v>
      </c>
      <c r="D23" s="652"/>
      <c r="E23" s="653"/>
      <c r="F23" s="653"/>
      <c r="G23" s="653"/>
      <c r="H23" s="653"/>
      <c r="I23" s="653"/>
      <c r="J23" s="653"/>
      <c r="K23" s="653"/>
      <c r="L23" s="653"/>
      <c r="M23" s="652"/>
      <c r="N23" s="653"/>
      <c r="O23" s="653"/>
      <c r="P23" s="653"/>
      <c r="Q23" s="653"/>
      <c r="R23" s="653"/>
      <c r="S23" s="653"/>
      <c r="T23" s="653"/>
      <c r="U23" s="654"/>
      <c r="V23" s="642">
        <v>0</v>
      </c>
      <c r="W23" s="642">
        <v>0</v>
      </c>
      <c r="X23" s="642">
        <v>0</v>
      </c>
      <c r="Y23" s="642">
        <v>0</v>
      </c>
      <c r="Z23" s="642">
        <v>0</v>
      </c>
      <c r="AA23" s="642"/>
      <c r="AB23" s="642">
        <v>0</v>
      </c>
      <c r="AC23" s="642">
        <v>0</v>
      </c>
      <c r="AD23" s="642">
        <v>0</v>
      </c>
      <c r="AE23" s="661">
        <f t="shared" si="0"/>
        <v>0</v>
      </c>
      <c r="AF23" s="188">
        <v>0</v>
      </c>
      <c r="AG23" s="627">
        <f t="shared" si="1"/>
        <v>0</v>
      </c>
    </row>
    <row r="24" spans="1:33" ht="13.5" customHeight="1" thickBot="1" x14ac:dyDescent="0.3">
      <c r="A24" s="1361"/>
      <c r="B24" s="1363"/>
      <c r="C24" s="264" t="s">
        <v>165</v>
      </c>
      <c r="D24" s="652"/>
      <c r="E24" s="653"/>
      <c r="F24" s="653"/>
      <c r="G24" s="653"/>
      <c r="H24" s="653"/>
      <c r="I24" s="653"/>
      <c r="J24" s="653"/>
      <c r="K24" s="653"/>
      <c r="L24" s="653"/>
      <c r="M24" s="652"/>
      <c r="N24" s="653"/>
      <c r="O24" s="653"/>
      <c r="P24" s="653"/>
      <c r="Q24" s="653"/>
      <c r="R24" s="653"/>
      <c r="S24" s="653"/>
      <c r="T24" s="653"/>
      <c r="U24" s="654"/>
      <c r="V24" s="642">
        <v>0</v>
      </c>
      <c r="W24" s="642">
        <v>0</v>
      </c>
      <c r="X24" s="642">
        <v>0</v>
      </c>
      <c r="Y24" s="642">
        <v>0.6</v>
      </c>
      <c r="Z24" s="642">
        <v>0</v>
      </c>
      <c r="AA24" s="642"/>
      <c r="AB24" s="642">
        <v>0</v>
      </c>
      <c r="AC24" s="642">
        <v>0</v>
      </c>
      <c r="AD24" s="642">
        <v>0.2</v>
      </c>
      <c r="AE24" s="661">
        <f t="shared" si="0"/>
        <v>0.8</v>
      </c>
      <c r="AF24" s="188">
        <v>0.8</v>
      </c>
      <c r="AG24" s="627">
        <f t="shared" si="1"/>
        <v>0</v>
      </c>
    </row>
    <row r="25" spans="1:33" ht="13.5" customHeight="1" thickBot="1" x14ac:dyDescent="0.3">
      <c r="A25" s="1361"/>
      <c r="B25" s="1363"/>
      <c r="C25" s="264" t="s">
        <v>163</v>
      </c>
      <c r="D25" s="652"/>
      <c r="E25" s="653"/>
      <c r="F25" s="653"/>
      <c r="G25" s="653"/>
      <c r="H25" s="653"/>
      <c r="I25" s="653"/>
      <c r="J25" s="653"/>
      <c r="K25" s="653"/>
      <c r="L25" s="653"/>
      <c r="M25" s="652"/>
      <c r="N25" s="653"/>
      <c r="O25" s="653"/>
      <c r="P25" s="653"/>
      <c r="Q25" s="653"/>
      <c r="R25" s="653"/>
      <c r="S25" s="653"/>
      <c r="T25" s="653"/>
      <c r="U25" s="654"/>
      <c r="V25" s="642">
        <v>0</v>
      </c>
      <c r="W25" s="642">
        <v>0</v>
      </c>
      <c r="X25" s="642">
        <v>0</v>
      </c>
      <c r="Y25" s="642">
        <v>0</v>
      </c>
      <c r="Z25" s="642">
        <v>0.2</v>
      </c>
      <c r="AA25" s="642"/>
      <c r="AB25" s="642">
        <v>0</v>
      </c>
      <c r="AC25" s="642">
        <v>0</v>
      </c>
      <c r="AD25" s="642">
        <v>0</v>
      </c>
      <c r="AE25" s="661">
        <f t="shared" si="0"/>
        <v>0.2</v>
      </c>
      <c r="AF25" s="188">
        <v>0.2</v>
      </c>
      <c r="AG25" s="627">
        <f t="shared" si="1"/>
        <v>0</v>
      </c>
    </row>
    <row r="26" spans="1:33" ht="13.5" customHeight="1" thickBot="1" x14ac:dyDescent="0.3">
      <c r="A26" s="1361"/>
      <c r="B26" s="1363"/>
      <c r="C26" s="264" t="s">
        <v>164</v>
      </c>
      <c r="D26" s="652"/>
      <c r="E26" s="653"/>
      <c r="F26" s="653"/>
      <c r="G26" s="653"/>
      <c r="H26" s="653"/>
      <c r="I26" s="653"/>
      <c r="J26" s="653"/>
      <c r="K26" s="653"/>
      <c r="L26" s="653"/>
      <c r="M26" s="652"/>
      <c r="N26" s="653"/>
      <c r="O26" s="653"/>
      <c r="P26" s="653"/>
      <c r="Q26" s="653"/>
      <c r="R26" s="653"/>
      <c r="S26" s="653"/>
      <c r="T26" s="653"/>
      <c r="U26" s="654"/>
      <c r="V26" s="642"/>
      <c r="W26" s="642"/>
      <c r="X26" s="642"/>
      <c r="Y26" s="642"/>
      <c r="Z26" s="642"/>
      <c r="AA26" s="642"/>
      <c r="AB26" s="642"/>
      <c r="AC26" s="642"/>
      <c r="AD26" s="642"/>
      <c r="AE26" s="661"/>
      <c r="AF26" s="188">
        <v>0</v>
      </c>
      <c r="AG26" s="627">
        <f t="shared" si="1"/>
        <v>0</v>
      </c>
    </row>
    <row r="27" spans="1:33" ht="13.5" customHeight="1" thickBot="1" x14ac:dyDescent="0.3">
      <c r="A27" s="1361"/>
      <c r="B27" s="1363"/>
      <c r="C27" s="264" t="s">
        <v>143</v>
      </c>
      <c r="D27" s="652"/>
      <c r="E27" s="653"/>
      <c r="F27" s="653"/>
      <c r="G27" s="653"/>
      <c r="H27" s="653"/>
      <c r="I27" s="653"/>
      <c r="J27" s="653"/>
      <c r="K27" s="653"/>
      <c r="L27" s="653"/>
      <c r="M27" s="652"/>
      <c r="N27" s="653"/>
      <c r="O27" s="653"/>
      <c r="P27" s="653"/>
      <c r="Q27" s="653"/>
      <c r="R27" s="653"/>
      <c r="S27" s="653"/>
      <c r="T27" s="653"/>
      <c r="U27" s="654"/>
      <c r="V27" s="642">
        <v>0</v>
      </c>
      <c r="W27" s="642">
        <v>0</v>
      </c>
      <c r="X27" s="642">
        <v>0</v>
      </c>
      <c r="Y27" s="642">
        <v>0</v>
      </c>
      <c r="Z27" s="642">
        <v>0</v>
      </c>
      <c r="AA27" s="642"/>
      <c r="AB27" s="642">
        <v>0</v>
      </c>
      <c r="AC27" s="642">
        <v>0</v>
      </c>
      <c r="AD27" s="642">
        <v>0.2</v>
      </c>
      <c r="AE27" s="661">
        <f t="shared" si="0"/>
        <v>0.2</v>
      </c>
      <c r="AF27" s="188">
        <v>0.2</v>
      </c>
      <c r="AG27" s="627">
        <f t="shared" si="1"/>
        <v>0</v>
      </c>
    </row>
    <row r="28" spans="1:33" ht="13.5" customHeight="1" thickBot="1" x14ac:dyDescent="0.3">
      <c r="A28" s="1361"/>
      <c r="B28" s="1364"/>
      <c r="C28" s="265" t="s">
        <v>123</v>
      </c>
      <c r="D28" s="658"/>
      <c r="E28" s="659"/>
      <c r="F28" s="659"/>
      <c r="G28" s="659"/>
      <c r="H28" s="659"/>
      <c r="I28" s="659"/>
      <c r="J28" s="659"/>
      <c r="K28" s="659"/>
      <c r="L28" s="659"/>
      <c r="M28" s="658"/>
      <c r="N28" s="659"/>
      <c r="O28" s="659"/>
      <c r="P28" s="659"/>
      <c r="Q28" s="659"/>
      <c r="R28" s="659"/>
      <c r="S28" s="659"/>
      <c r="T28" s="659"/>
      <c r="U28" s="660"/>
      <c r="V28" s="642">
        <v>0</v>
      </c>
      <c r="W28" s="642">
        <v>0</v>
      </c>
      <c r="X28" s="642">
        <v>0</v>
      </c>
      <c r="Y28" s="642">
        <v>0</v>
      </c>
      <c r="Z28" s="642">
        <v>0</v>
      </c>
      <c r="AA28" s="642"/>
      <c r="AB28" s="642">
        <v>0</v>
      </c>
      <c r="AC28" s="642">
        <v>0</v>
      </c>
      <c r="AD28" s="642">
        <v>0</v>
      </c>
      <c r="AE28" s="661">
        <f t="shared" si="0"/>
        <v>0</v>
      </c>
      <c r="AF28" s="188">
        <v>0</v>
      </c>
      <c r="AG28" s="627">
        <f t="shared" si="1"/>
        <v>0</v>
      </c>
    </row>
    <row r="29" spans="1:33" ht="13.5" customHeight="1" thickBot="1" x14ac:dyDescent="0.3">
      <c r="A29" s="1361"/>
      <c r="B29" s="1365" t="s">
        <v>177</v>
      </c>
      <c r="C29" s="1366"/>
      <c r="D29" s="663">
        <f t="shared" ref="D29:V29" si="2">SUM(D4:D28)</f>
        <v>0</v>
      </c>
      <c r="E29" s="663">
        <f t="shared" si="2"/>
        <v>0</v>
      </c>
      <c r="F29" s="663">
        <f t="shared" si="2"/>
        <v>0</v>
      </c>
      <c r="G29" s="663">
        <f t="shared" si="2"/>
        <v>0.8</v>
      </c>
      <c r="H29" s="663">
        <f t="shared" si="2"/>
        <v>0</v>
      </c>
      <c r="I29" s="663">
        <f t="shared" si="2"/>
        <v>0</v>
      </c>
      <c r="J29" s="663">
        <f t="shared" si="2"/>
        <v>0</v>
      </c>
      <c r="K29" s="663">
        <f t="shared" si="2"/>
        <v>0</v>
      </c>
      <c r="L29" s="663">
        <f t="shared" si="2"/>
        <v>0</v>
      </c>
      <c r="M29" s="663">
        <f t="shared" si="2"/>
        <v>0</v>
      </c>
      <c r="N29" s="663">
        <f t="shared" si="2"/>
        <v>0</v>
      </c>
      <c r="O29" s="663">
        <f t="shared" si="2"/>
        <v>0</v>
      </c>
      <c r="P29" s="663">
        <f t="shared" si="2"/>
        <v>6.4</v>
      </c>
      <c r="Q29" s="663">
        <f t="shared" si="2"/>
        <v>0</v>
      </c>
      <c r="R29" s="663">
        <f t="shared" si="2"/>
        <v>0</v>
      </c>
      <c r="S29" s="663">
        <f t="shared" si="2"/>
        <v>0.2</v>
      </c>
      <c r="T29" s="663">
        <f t="shared" si="2"/>
        <v>0</v>
      </c>
      <c r="U29" s="663">
        <f t="shared" si="2"/>
        <v>0.6</v>
      </c>
      <c r="V29" s="663">
        <f t="shared" si="2"/>
        <v>0</v>
      </c>
      <c r="W29" s="663">
        <f t="shared" ref="W29:AD29" si="3">SUM(W4:W28)</f>
        <v>0</v>
      </c>
      <c r="X29" s="663">
        <f t="shared" si="3"/>
        <v>0</v>
      </c>
      <c r="Y29" s="663">
        <f t="shared" si="3"/>
        <v>1</v>
      </c>
      <c r="Z29" s="663">
        <f t="shared" si="3"/>
        <v>0.2</v>
      </c>
      <c r="AA29" s="663">
        <f t="shared" si="3"/>
        <v>0</v>
      </c>
      <c r="AB29" s="663">
        <f t="shared" si="3"/>
        <v>0</v>
      </c>
      <c r="AC29" s="663">
        <f t="shared" si="3"/>
        <v>0</v>
      </c>
      <c r="AD29" s="663">
        <f t="shared" si="3"/>
        <v>0.4</v>
      </c>
      <c r="AE29" s="661">
        <f t="shared" si="0"/>
        <v>9.6</v>
      </c>
      <c r="AF29" s="188">
        <v>9.1999999999999993</v>
      </c>
      <c r="AG29" s="627">
        <f t="shared" si="1"/>
        <v>1</v>
      </c>
    </row>
    <row r="30" spans="1:33" ht="12.75" customHeight="1" thickBot="1" x14ac:dyDescent="0.3">
      <c r="A30" s="1361"/>
      <c r="B30" s="1367" t="s">
        <v>261</v>
      </c>
      <c r="C30" s="1368"/>
      <c r="D30" s="1384" t="s">
        <v>255</v>
      </c>
      <c r="E30" s="1385"/>
      <c r="F30" s="1385"/>
      <c r="G30" s="1385"/>
      <c r="H30" s="1385"/>
      <c r="I30" s="1385"/>
      <c r="J30" s="1385"/>
      <c r="K30" s="1385"/>
      <c r="L30" s="1386"/>
      <c r="M30" s="1384" t="s">
        <v>256</v>
      </c>
      <c r="N30" s="1385"/>
      <c r="O30" s="1385"/>
      <c r="P30" s="1385"/>
      <c r="Q30" s="1385"/>
      <c r="R30" s="1385"/>
      <c r="S30" s="1385"/>
      <c r="T30" s="1385"/>
      <c r="U30" s="1386"/>
      <c r="V30" s="1384" t="s">
        <v>258</v>
      </c>
      <c r="W30" s="1385"/>
      <c r="X30" s="1385"/>
      <c r="Y30" s="1385"/>
      <c r="Z30" s="1385"/>
      <c r="AA30" s="1385"/>
      <c r="AB30" s="1385"/>
      <c r="AC30" s="1385"/>
      <c r="AD30" s="1386"/>
      <c r="AE30" s="247"/>
    </row>
    <row r="31" spans="1:33" ht="19.5" customHeight="1" thickBot="1" x14ac:dyDescent="0.3">
      <c r="A31" s="1361"/>
      <c r="B31" s="1371"/>
      <c r="C31" s="1372"/>
      <c r="D31" s="665" t="s">
        <v>93</v>
      </c>
      <c r="E31" s="666" t="s">
        <v>94</v>
      </c>
      <c r="F31" s="666" t="s">
        <v>95</v>
      </c>
      <c r="G31" s="666" t="s">
        <v>165</v>
      </c>
      <c r="H31" s="666" t="s">
        <v>163</v>
      </c>
      <c r="I31" s="666" t="s">
        <v>164</v>
      </c>
      <c r="J31" s="666" t="s">
        <v>143</v>
      </c>
      <c r="K31" s="667" t="s">
        <v>123</v>
      </c>
      <c r="L31" s="667" t="s">
        <v>175</v>
      </c>
      <c r="M31" s="665" t="s">
        <v>93</v>
      </c>
      <c r="N31" s="666" t="s">
        <v>94</v>
      </c>
      <c r="O31" s="666" t="s">
        <v>95</v>
      </c>
      <c r="P31" s="666" t="s">
        <v>165</v>
      </c>
      <c r="Q31" s="666" t="s">
        <v>163</v>
      </c>
      <c r="R31" s="666" t="s">
        <v>164</v>
      </c>
      <c r="S31" s="666" t="s">
        <v>143</v>
      </c>
      <c r="T31" s="667" t="s">
        <v>123</v>
      </c>
      <c r="U31" s="667" t="s">
        <v>175</v>
      </c>
      <c r="V31" s="665" t="s">
        <v>93</v>
      </c>
      <c r="W31" s="666" t="s">
        <v>94</v>
      </c>
      <c r="X31" s="666" t="s">
        <v>95</v>
      </c>
      <c r="Y31" s="666" t="s">
        <v>165</v>
      </c>
      <c r="Z31" s="666" t="s">
        <v>163</v>
      </c>
      <c r="AA31" s="666" t="s">
        <v>164</v>
      </c>
      <c r="AB31" s="666" t="s">
        <v>143</v>
      </c>
      <c r="AC31" s="667" t="s">
        <v>123</v>
      </c>
      <c r="AD31" s="667" t="s">
        <v>175</v>
      </c>
      <c r="AE31" s="267" t="s">
        <v>177</v>
      </c>
    </row>
    <row r="32" spans="1:33" ht="12.75" customHeight="1" thickBot="1" x14ac:dyDescent="0.3">
      <c r="A32" s="1361"/>
      <c r="B32" s="1378" t="s">
        <v>161</v>
      </c>
      <c r="C32" s="263" t="s">
        <v>93</v>
      </c>
      <c r="D32" s="642">
        <v>0</v>
      </c>
      <c r="E32" s="642">
        <v>0</v>
      </c>
      <c r="F32" s="642">
        <v>0</v>
      </c>
      <c r="G32" s="642">
        <v>0</v>
      </c>
      <c r="H32" s="642">
        <v>0.2</v>
      </c>
      <c r="I32" s="642"/>
      <c r="J32" s="642">
        <v>0</v>
      </c>
      <c r="K32" s="642">
        <v>0</v>
      </c>
      <c r="L32" s="642">
        <v>0</v>
      </c>
      <c r="M32" s="645"/>
      <c r="N32" s="646"/>
      <c r="O32" s="646"/>
      <c r="P32" s="646"/>
      <c r="Q32" s="646"/>
      <c r="R32" s="646"/>
      <c r="S32" s="646"/>
      <c r="T32" s="646"/>
      <c r="U32" s="646"/>
      <c r="V32" s="645"/>
      <c r="W32" s="646"/>
      <c r="X32" s="646"/>
      <c r="Y32" s="646"/>
      <c r="Z32" s="646"/>
      <c r="AA32" s="646"/>
      <c r="AB32" s="646"/>
      <c r="AC32" s="646"/>
      <c r="AD32" s="647"/>
      <c r="AE32" s="648">
        <f t="shared" si="0"/>
        <v>0.2</v>
      </c>
      <c r="AF32" s="188">
        <v>0.2</v>
      </c>
      <c r="AG32" s="627">
        <f t="shared" ref="AG32:AG56" si="4">IF(AE32&lt;&gt;AF32,1,0)</f>
        <v>0</v>
      </c>
    </row>
    <row r="33" spans="1:33" ht="12.75" customHeight="1" thickBot="1" x14ac:dyDescent="0.3">
      <c r="A33" s="1361"/>
      <c r="B33" s="1379"/>
      <c r="C33" s="264" t="s">
        <v>94</v>
      </c>
      <c r="D33" s="642">
        <v>0</v>
      </c>
      <c r="E33" s="642">
        <v>0</v>
      </c>
      <c r="F33" s="642">
        <v>0</v>
      </c>
      <c r="G33" s="642">
        <v>1.2</v>
      </c>
      <c r="H33" s="642">
        <v>0</v>
      </c>
      <c r="I33" s="642"/>
      <c r="J33" s="642">
        <v>0</v>
      </c>
      <c r="K33" s="642">
        <v>0</v>
      </c>
      <c r="L33" s="642">
        <v>0</v>
      </c>
      <c r="M33" s="652"/>
      <c r="N33" s="653"/>
      <c r="O33" s="653"/>
      <c r="P33" s="653"/>
      <c r="Q33" s="653"/>
      <c r="R33" s="653"/>
      <c r="S33" s="653"/>
      <c r="T33" s="653"/>
      <c r="U33" s="653"/>
      <c r="V33" s="652"/>
      <c r="W33" s="653"/>
      <c r="X33" s="653"/>
      <c r="Y33" s="653"/>
      <c r="Z33" s="653"/>
      <c r="AA33" s="653"/>
      <c r="AB33" s="653"/>
      <c r="AC33" s="653"/>
      <c r="AD33" s="654"/>
      <c r="AE33" s="648">
        <f t="shared" si="0"/>
        <v>1.2</v>
      </c>
      <c r="AF33" s="188">
        <v>1.2</v>
      </c>
      <c r="AG33" s="627">
        <f t="shared" si="4"/>
        <v>0</v>
      </c>
    </row>
    <row r="34" spans="1:33" ht="12.75" customHeight="1" thickBot="1" x14ac:dyDescent="0.3">
      <c r="A34" s="1361"/>
      <c r="B34" s="1379"/>
      <c r="C34" s="264" t="s">
        <v>95</v>
      </c>
      <c r="D34" s="642">
        <v>0</v>
      </c>
      <c r="E34" s="642">
        <v>0</v>
      </c>
      <c r="F34" s="642">
        <v>0</v>
      </c>
      <c r="G34" s="642">
        <v>0</v>
      </c>
      <c r="H34" s="642">
        <v>0</v>
      </c>
      <c r="I34" s="642"/>
      <c r="J34" s="642">
        <v>0</v>
      </c>
      <c r="K34" s="642">
        <v>0</v>
      </c>
      <c r="L34" s="642">
        <v>0</v>
      </c>
      <c r="M34" s="652"/>
      <c r="N34" s="653"/>
      <c r="O34" s="653"/>
      <c r="P34" s="653"/>
      <c r="Q34" s="653"/>
      <c r="R34" s="653"/>
      <c r="S34" s="653"/>
      <c r="T34" s="653"/>
      <c r="U34" s="653"/>
      <c r="V34" s="652"/>
      <c r="W34" s="653"/>
      <c r="X34" s="653"/>
      <c r="Y34" s="653"/>
      <c r="Z34" s="653"/>
      <c r="AA34" s="653"/>
      <c r="AB34" s="653"/>
      <c r="AC34" s="653"/>
      <c r="AD34" s="654"/>
      <c r="AE34" s="648">
        <f t="shared" si="0"/>
        <v>0</v>
      </c>
      <c r="AF34" s="188">
        <v>0</v>
      </c>
      <c r="AG34" s="627">
        <f t="shared" si="4"/>
        <v>0</v>
      </c>
    </row>
    <row r="35" spans="1:33" ht="12.75" customHeight="1" thickBot="1" x14ac:dyDescent="0.3">
      <c r="A35" s="1361"/>
      <c r="B35" s="1379"/>
      <c r="C35" s="264" t="s">
        <v>165</v>
      </c>
      <c r="D35" s="642">
        <v>2.2000000000000002</v>
      </c>
      <c r="E35" s="642">
        <v>0.8</v>
      </c>
      <c r="F35" s="642">
        <v>0</v>
      </c>
      <c r="G35" s="642">
        <v>5.6</v>
      </c>
      <c r="H35" s="642">
        <v>0</v>
      </c>
      <c r="I35" s="642"/>
      <c r="J35" s="642">
        <v>0.8</v>
      </c>
      <c r="K35" s="642">
        <v>0</v>
      </c>
      <c r="L35" s="642">
        <v>0</v>
      </c>
      <c r="M35" s="652"/>
      <c r="N35" s="653"/>
      <c r="O35" s="653"/>
      <c r="P35" s="653"/>
      <c r="Q35" s="653"/>
      <c r="R35" s="653"/>
      <c r="S35" s="653"/>
      <c r="T35" s="653"/>
      <c r="U35" s="653"/>
      <c r="V35" s="652"/>
      <c r="W35" s="653"/>
      <c r="X35" s="653"/>
      <c r="Y35" s="653"/>
      <c r="Z35" s="653"/>
      <c r="AA35" s="653"/>
      <c r="AB35" s="653"/>
      <c r="AC35" s="653"/>
      <c r="AD35" s="654"/>
      <c r="AE35" s="648">
        <f t="shared" si="0"/>
        <v>9.4</v>
      </c>
      <c r="AF35" s="188">
        <v>9.4</v>
      </c>
      <c r="AG35" s="3">
        <f t="shared" si="4"/>
        <v>0</v>
      </c>
    </row>
    <row r="36" spans="1:33" ht="12.75" customHeight="1" thickBot="1" x14ac:dyDescent="0.3">
      <c r="A36" s="1361"/>
      <c r="B36" s="1379"/>
      <c r="C36" s="264" t="s">
        <v>163</v>
      </c>
      <c r="D36" s="642">
        <v>0</v>
      </c>
      <c r="E36" s="642">
        <v>0</v>
      </c>
      <c r="F36" s="642">
        <v>0</v>
      </c>
      <c r="G36" s="642">
        <v>0</v>
      </c>
      <c r="H36" s="642">
        <v>0</v>
      </c>
      <c r="I36" s="642"/>
      <c r="J36" s="642">
        <v>0</v>
      </c>
      <c r="K36" s="642">
        <v>0</v>
      </c>
      <c r="L36" s="642">
        <v>0</v>
      </c>
      <c r="M36" s="652"/>
      <c r="N36" s="653"/>
      <c r="O36" s="653"/>
      <c r="P36" s="653"/>
      <c r="Q36" s="653"/>
      <c r="R36" s="653"/>
      <c r="S36" s="653"/>
      <c r="T36" s="653"/>
      <c r="U36" s="653"/>
      <c r="V36" s="652"/>
      <c r="W36" s="653"/>
      <c r="X36" s="653"/>
      <c r="Y36" s="653"/>
      <c r="Z36" s="653"/>
      <c r="AA36" s="653"/>
      <c r="AB36" s="653"/>
      <c r="AC36" s="653"/>
      <c r="AD36" s="654"/>
      <c r="AE36" s="648">
        <f t="shared" si="0"/>
        <v>0</v>
      </c>
      <c r="AF36" s="188">
        <v>0</v>
      </c>
      <c r="AG36" s="627">
        <f t="shared" si="4"/>
        <v>0</v>
      </c>
    </row>
    <row r="37" spans="1:33" ht="12.75" customHeight="1" thickBot="1" x14ac:dyDescent="0.3">
      <c r="A37" s="1361"/>
      <c r="B37" s="1379"/>
      <c r="C37" s="264" t="s">
        <v>164</v>
      </c>
      <c r="D37" s="642"/>
      <c r="E37" s="642"/>
      <c r="F37" s="642"/>
      <c r="G37" s="642"/>
      <c r="H37" s="642"/>
      <c r="I37" s="642"/>
      <c r="J37" s="642"/>
      <c r="K37" s="642"/>
      <c r="L37" s="642"/>
      <c r="M37" s="652"/>
      <c r="N37" s="653"/>
      <c r="O37" s="653"/>
      <c r="P37" s="653"/>
      <c r="Q37" s="653"/>
      <c r="R37" s="653"/>
      <c r="S37" s="653"/>
      <c r="T37" s="653"/>
      <c r="U37" s="653"/>
      <c r="V37" s="652"/>
      <c r="W37" s="653"/>
      <c r="X37" s="653"/>
      <c r="Y37" s="653"/>
      <c r="Z37" s="653"/>
      <c r="AA37" s="653"/>
      <c r="AB37" s="653"/>
      <c r="AC37" s="653"/>
      <c r="AD37" s="654"/>
      <c r="AE37" s="648"/>
      <c r="AF37" s="188">
        <v>0</v>
      </c>
      <c r="AG37" s="627">
        <f t="shared" si="4"/>
        <v>0</v>
      </c>
    </row>
    <row r="38" spans="1:33" ht="12.75" customHeight="1" thickBot="1" x14ac:dyDescent="0.3">
      <c r="A38" s="1361"/>
      <c r="B38" s="1379"/>
      <c r="C38" s="264" t="s">
        <v>143</v>
      </c>
      <c r="D38" s="642">
        <v>0</v>
      </c>
      <c r="E38" s="642">
        <v>0</v>
      </c>
      <c r="F38" s="642">
        <v>0</v>
      </c>
      <c r="G38" s="642">
        <v>0.4</v>
      </c>
      <c r="H38" s="642">
        <v>0</v>
      </c>
      <c r="I38" s="642"/>
      <c r="J38" s="642">
        <v>0</v>
      </c>
      <c r="K38" s="642">
        <v>0</v>
      </c>
      <c r="L38" s="642">
        <v>0.6</v>
      </c>
      <c r="M38" s="652"/>
      <c r="N38" s="653"/>
      <c r="O38" s="653"/>
      <c r="P38" s="653"/>
      <c r="Q38" s="653"/>
      <c r="R38" s="653"/>
      <c r="S38" s="653"/>
      <c r="T38" s="653"/>
      <c r="U38" s="653"/>
      <c r="V38" s="652"/>
      <c r="W38" s="653"/>
      <c r="X38" s="653"/>
      <c r="Y38" s="653"/>
      <c r="Z38" s="653"/>
      <c r="AA38" s="653"/>
      <c r="AB38" s="653"/>
      <c r="AC38" s="653"/>
      <c r="AD38" s="654"/>
      <c r="AE38" s="648">
        <f t="shared" si="0"/>
        <v>1</v>
      </c>
      <c r="AF38" s="188">
        <v>1</v>
      </c>
      <c r="AG38" s="627">
        <f t="shared" si="4"/>
        <v>0</v>
      </c>
    </row>
    <row r="39" spans="1:33" ht="12.75" customHeight="1" thickBot="1" x14ac:dyDescent="0.3">
      <c r="A39" s="1361"/>
      <c r="B39" s="1379"/>
      <c r="C39" s="265" t="s">
        <v>123</v>
      </c>
      <c r="D39" s="649">
        <v>0</v>
      </c>
      <c r="E39" s="649">
        <v>0</v>
      </c>
      <c r="F39" s="649">
        <v>0</v>
      </c>
      <c r="G39" s="649">
        <v>0</v>
      </c>
      <c r="H39" s="649">
        <v>0</v>
      </c>
      <c r="I39" s="649"/>
      <c r="J39" s="649">
        <v>0</v>
      </c>
      <c r="K39" s="649">
        <v>0</v>
      </c>
      <c r="L39" s="649">
        <v>0</v>
      </c>
      <c r="M39" s="658"/>
      <c r="N39" s="659" t="s">
        <v>200</v>
      </c>
      <c r="O39" s="659"/>
      <c r="P39" s="659"/>
      <c r="Q39" s="659"/>
      <c r="R39" s="659"/>
      <c r="S39" s="659"/>
      <c r="T39" s="659"/>
      <c r="U39" s="659"/>
      <c r="V39" s="652"/>
      <c r="W39" s="653"/>
      <c r="X39" s="653"/>
      <c r="Y39" s="653"/>
      <c r="Z39" s="653"/>
      <c r="AA39" s="653"/>
      <c r="AB39" s="653"/>
      <c r="AC39" s="653"/>
      <c r="AD39" s="654"/>
      <c r="AE39" s="648">
        <f t="shared" si="0"/>
        <v>0</v>
      </c>
      <c r="AF39" s="188">
        <v>0</v>
      </c>
      <c r="AG39" s="627">
        <f t="shared" si="4"/>
        <v>0</v>
      </c>
    </row>
    <row r="40" spans="1:33" ht="12.75" customHeight="1" thickBot="1" x14ac:dyDescent="0.3">
      <c r="A40" s="1361"/>
      <c r="B40" s="1380" t="s">
        <v>162</v>
      </c>
      <c r="C40" s="263" t="s">
        <v>93</v>
      </c>
      <c r="D40" s="645"/>
      <c r="E40" s="646"/>
      <c r="F40" s="646"/>
      <c r="G40" s="646"/>
      <c r="H40" s="646"/>
      <c r="I40" s="646"/>
      <c r="J40" s="646"/>
      <c r="K40" s="646"/>
      <c r="L40" s="647"/>
      <c r="M40" s="642">
        <v>0</v>
      </c>
      <c r="N40" s="642">
        <v>0</v>
      </c>
      <c r="O40" s="642">
        <v>0</v>
      </c>
      <c r="P40" s="642">
        <v>0.8</v>
      </c>
      <c r="Q40" s="642">
        <v>0</v>
      </c>
      <c r="R40" s="642"/>
      <c r="S40" s="642">
        <v>0</v>
      </c>
      <c r="T40" s="642">
        <v>0</v>
      </c>
      <c r="U40" s="642">
        <v>0</v>
      </c>
      <c r="V40" s="652"/>
      <c r="W40" s="653"/>
      <c r="X40" s="653"/>
      <c r="Y40" s="653"/>
      <c r="Z40" s="653"/>
      <c r="AA40" s="653"/>
      <c r="AB40" s="653"/>
      <c r="AC40" s="653"/>
      <c r="AD40" s="654"/>
      <c r="AE40" s="648">
        <f t="shared" si="0"/>
        <v>0.8</v>
      </c>
      <c r="AF40" s="188">
        <v>0.8</v>
      </c>
      <c r="AG40" s="3">
        <f t="shared" si="4"/>
        <v>0</v>
      </c>
    </row>
    <row r="41" spans="1:33" ht="12.75" customHeight="1" thickBot="1" x14ac:dyDescent="0.3">
      <c r="A41" s="1361"/>
      <c r="B41" s="1379"/>
      <c r="C41" s="264" t="s">
        <v>94</v>
      </c>
      <c r="D41" s="652"/>
      <c r="E41" s="653"/>
      <c r="F41" s="653"/>
      <c r="G41" s="653"/>
      <c r="H41" s="653"/>
      <c r="I41" s="653"/>
      <c r="J41" s="653"/>
      <c r="K41" s="653"/>
      <c r="L41" s="654"/>
      <c r="M41" s="642">
        <v>0</v>
      </c>
      <c r="N41" s="642">
        <v>0</v>
      </c>
      <c r="O41" s="642">
        <v>0</v>
      </c>
      <c r="P41" s="642">
        <v>0.4</v>
      </c>
      <c r="Q41" s="642">
        <v>0</v>
      </c>
      <c r="R41" s="642"/>
      <c r="S41" s="642">
        <v>0</v>
      </c>
      <c r="T41" s="642">
        <v>0</v>
      </c>
      <c r="U41" s="642">
        <v>0</v>
      </c>
      <c r="V41" s="652"/>
      <c r="W41" s="653"/>
      <c r="X41" s="653"/>
      <c r="Y41" s="653"/>
      <c r="Z41" s="653"/>
      <c r="AA41" s="653"/>
      <c r="AB41" s="653"/>
      <c r="AC41" s="653"/>
      <c r="AD41" s="654"/>
      <c r="AE41" s="648">
        <f t="shared" si="0"/>
        <v>0.4</v>
      </c>
      <c r="AF41" s="188">
        <v>0.4</v>
      </c>
      <c r="AG41" s="627">
        <f t="shared" si="4"/>
        <v>0</v>
      </c>
    </row>
    <row r="42" spans="1:33" ht="12.75" customHeight="1" thickBot="1" x14ac:dyDescent="0.3">
      <c r="A42" s="1361"/>
      <c r="B42" s="1379"/>
      <c r="C42" s="264" t="s">
        <v>95</v>
      </c>
      <c r="D42" s="652"/>
      <c r="E42" s="653"/>
      <c r="F42" s="653"/>
      <c r="G42" s="653"/>
      <c r="H42" s="653"/>
      <c r="I42" s="653"/>
      <c r="J42" s="653"/>
      <c r="K42" s="653"/>
      <c r="L42" s="654"/>
      <c r="M42" s="642">
        <v>0</v>
      </c>
      <c r="N42" s="642">
        <v>0</v>
      </c>
      <c r="O42" s="642">
        <v>0</v>
      </c>
      <c r="P42" s="642">
        <v>0</v>
      </c>
      <c r="Q42" s="642">
        <v>0</v>
      </c>
      <c r="R42" s="642"/>
      <c r="S42" s="642">
        <v>0</v>
      </c>
      <c r="T42" s="642">
        <v>0</v>
      </c>
      <c r="U42" s="642">
        <v>0</v>
      </c>
      <c r="V42" s="652"/>
      <c r="W42" s="653"/>
      <c r="X42" s="653"/>
      <c r="Y42" s="653"/>
      <c r="Z42" s="653"/>
      <c r="AA42" s="653"/>
      <c r="AB42" s="653"/>
      <c r="AC42" s="653"/>
      <c r="AD42" s="654"/>
      <c r="AE42" s="648">
        <f t="shared" si="0"/>
        <v>0</v>
      </c>
      <c r="AF42" s="188">
        <v>0</v>
      </c>
      <c r="AG42" s="627">
        <f t="shared" si="4"/>
        <v>0</v>
      </c>
    </row>
    <row r="43" spans="1:33" ht="12.75" customHeight="1" thickBot="1" x14ac:dyDescent="0.3">
      <c r="A43" s="1361"/>
      <c r="B43" s="1379"/>
      <c r="C43" s="264" t="s">
        <v>165</v>
      </c>
      <c r="D43" s="652"/>
      <c r="E43" s="653"/>
      <c r="F43" s="653"/>
      <c r="G43" s="653"/>
      <c r="H43" s="653"/>
      <c r="I43" s="653"/>
      <c r="J43" s="653"/>
      <c r="K43" s="653"/>
      <c r="L43" s="654"/>
      <c r="M43" s="642">
        <v>3.8</v>
      </c>
      <c r="N43" s="642">
        <v>3.8</v>
      </c>
      <c r="O43" s="642">
        <v>0.2</v>
      </c>
      <c r="P43" s="642">
        <v>21.8</v>
      </c>
      <c r="Q43" s="642">
        <v>0.2</v>
      </c>
      <c r="R43" s="642"/>
      <c r="S43" s="642">
        <v>1.4</v>
      </c>
      <c r="T43" s="642">
        <v>0</v>
      </c>
      <c r="U43" s="642">
        <v>3</v>
      </c>
      <c r="V43" s="652"/>
      <c r="W43" s="653"/>
      <c r="X43" s="653"/>
      <c r="Y43" s="653"/>
      <c r="Z43" s="653"/>
      <c r="AA43" s="653"/>
      <c r="AB43" s="653"/>
      <c r="AC43" s="653"/>
      <c r="AD43" s="654"/>
      <c r="AE43" s="648">
        <f t="shared" si="0"/>
        <v>34.200000000000003</v>
      </c>
      <c r="AF43" s="188">
        <v>34.200000000000003</v>
      </c>
      <c r="AG43" s="627">
        <f t="shared" si="4"/>
        <v>0</v>
      </c>
    </row>
    <row r="44" spans="1:33" ht="12.75" customHeight="1" thickBot="1" x14ac:dyDescent="0.3">
      <c r="A44" s="1361"/>
      <c r="B44" s="1379"/>
      <c r="C44" s="264" t="s">
        <v>163</v>
      </c>
      <c r="D44" s="652"/>
      <c r="E44" s="653"/>
      <c r="F44" s="653"/>
      <c r="G44" s="653"/>
      <c r="H44" s="653"/>
      <c r="I44" s="653"/>
      <c r="J44" s="653"/>
      <c r="K44" s="653"/>
      <c r="L44" s="654"/>
      <c r="M44" s="642">
        <v>0.2</v>
      </c>
      <c r="N44" s="642">
        <v>0</v>
      </c>
      <c r="O44" s="642">
        <v>0</v>
      </c>
      <c r="P44" s="642">
        <v>0</v>
      </c>
      <c r="Q44" s="642">
        <v>0</v>
      </c>
      <c r="R44" s="642"/>
      <c r="S44" s="642">
        <v>0</v>
      </c>
      <c r="T44" s="642">
        <v>0</v>
      </c>
      <c r="U44" s="642">
        <v>0</v>
      </c>
      <c r="V44" s="652"/>
      <c r="W44" s="653"/>
      <c r="X44" s="653"/>
      <c r="Y44" s="653"/>
      <c r="Z44" s="653"/>
      <c r="AA44" s="653"/>
      <c r="AB44" s="653"/>
      <c r="AC44" s="653"/>
      <c r="AD44" s="654"/>
      <c r="AE44" s="648">
        <f t="shared" si="0"/>
        <v>0.2</v>
      </c>
      <c r="AF44" s="188">
        <v>0.2</v>
      </c>
      <c r="AG44" s="627">
        <f t="shared" si="4"/>
        <v>0</v>
      </c>
    </row>
    <row r="45" spans="1:33" ht="12.75" customHeight="1" thickBot="1" x14ac:dyDescent="0.3">
      <c r="A45" s="1361"/>
      <c r="B45" s="1379"/>
      <c r="C45" s="264" t="s">
        <v>164</v>
      </c>
      <c r="D45" s="652"/>
      <c r="E45" s="653"/>
      <c r="F45" s="653"/>
      <c r="G45" s="653"/>
      <c r="H45" s="653"/>
      <c r="I45" s="653"/>
      <c r="J45" s="653"/>
      <c r="K45" s="653"/>
      <c r="L45" s="654"/>
      <c r="M45" s="642"/>
      <c r="N45" s="642"/>
      <c r="O45" s="642"/>
      <c r="P45" s="642"/>
      <c r="Q45" s="642"/>
      <c r="R45" s="642"/>
      <c r="S45" s="642"/>
      <c r="T45" s="642"/>
      <c r="U45" s="642"/>
      <c r="V45" s="652"/>
      <c r="W45" s="653"/>
      <c r="X45" s="653"/>
      <c r="Y45" s="653"/>
      <c r="Z45" s="653"/>
      <c r="AA45" s="653"/>
      <c r="AB45" s="653"/>
      <c r="AC45" s="653"/>
      <c r="AD45" s="654"/>
      <c r="AE45" s="648"/>
      <c r="AF45" s="188">
        <v>0</v>
      </c>
      <c r="AG45" s="627">
        <f t="shared" si="4"/>
        <v>0</v>
      </c>
    </row>
    <row r="46" spans="1:33" ht="12.75" customHeight="1" thickBot="1" x14ac:dyDescent="0.3">
      <c r="A46" s="1361"/>
      <c r="B46" s="1379"/>
      <c r="C46" s="264" t="s">
        <v>143</v>
      </c>
      <c r="D46" s="652"/>
      <c r="E46" s="653"/>
      <c r="F46" s="653"/>
      <c r="G46" s="653"/>
      <c r="H46" s="653"/>
      <c r="I46" s="653"/>
      <c r="J46" s="653"/>
      <c r="K46" s="653"/>
      <c r="L46" s="654"/>
      <c r="M46" s="642">
        <v>0</v>
      </c>
      <c r="N46" s="642">
        <v>0</v>
      </c>
      <c r="O46" s="642">
        <v>0</v>
      </c>
      <c r="P46" s="642">
        <v>1.4</v>
      </c>
      <c r="Q46" s="642">
        <v>0</v>
      </c>
      <c r="R46" s="642"/>
      <c r="S46" s="642">
        <v>0.2</v>
      </c>
      <c r="T46" s="642">
        <v>0</v>
      </c>
      <c r="U46" s="642">
        <v>1</v>
      </c>
      <c r="V46" s="652"/>
      <c r="W46" s="653"/>
      <c r="X46" s="653"/>
      <c r="Y46" s="653"/>
      <c r="Z46" s="653"/>
      <c r="AA46" s="653"/>
      <c r="AB46" s="653"/>
      <c r="AC46" s="653"/>
      <c r="AD46" s="654"/>
      <c r="AE46" s="648">
        <f t="shared" si="0"/>
        <v>2.5999999999999996</v>
      </c>
      <c r="AF46" s="188">
        <v>2.5999999999999996</v>
      </c>
      <c r="AG46" s="627">
        <f t="shared" si="4"/>
        <v>0</v>
      </c>
    </row>
    <row r="47" spans="1:33" ht="12.75" customHeight="1" thickBot="1" x14ac:dyDescent="0.3">
      <c r="A47" s="1361"/>
      <c r="B47" s="1379"/>
      <c r="C47" s="265" t="s">
        <v>123</v>
      </c>
      <c r="D47" s="652"/>
      <c r="E47" s="653"/>
      <c r="F47" s="653"/>
      <c r="G47" s="653"/>
      <c r="H47" s="653"/>
      <c r="I47" s="653"/>
      <c r="J47" s="653"/>
      <c r="K47" s="653"/>
      <c r="L47" s="654"/>
      <c r="M47" s="649">
        <v>0</v>
      </c>
      <c r="N47" s="649">
        <v>0</v>
      </c>
      <c r="O47" s="649">
        <v>0</v>
      </c>
      <c r="P47" s="649">
        <v>0</v>
      </c>
      <c r="Q47" s="649">
        <v>0</v>
      </c>
      <c r="R47" s="649"/>
      <c r="S47" s="649">
        <v>0</v>
      </c>
      <c r="T47" s="649">
        <v>0</v>
      </c>
      <c r="U47" s="649">
        <v>0</v>
      </c>
      <c r="V47" s="658"/>
      <c r="W47" s="659"/>
      <c r="X47" s="659"/>
      <c r="Y47" s="659"/>
      <c r="Z47" s="659"/>
      <c r="AA47" s="659"/>
      <c r="AB47" s="659"/>
      <c r="AC47" s="659"/>
      <c r="AD47" s="660"/>
      <c r="AE47" s="648">
        <f t="shared" si="0"/>
        <v>0</v>
      </c>
      <c r="AF47" s="188">
        <v>0</v>
      </c>
      <c r="AG47" s="627">
        <f t="shared" si="4"/>
        <v>0</v>
      </c>
    </row>
    <row r="48" spans="1:33" ht="12.75" customHeight="1" thickBot="1" x14ac:dyDescent="0.3">
      <c r="A48" s="1361"/>
      <c r="B48" s="1381" t="s">
        <v>166</v>
      </c>
      <c r="C48" s="263" t="s">
        <v>93</v>
      </c>
      <c r="D48" s="652"/>
      <c r="E48" s="653"/>
      <c r="F48" s="653"/>
      <c r="G48" s="653"/>
      <c r="H48" s="653"/>
      <c r="I48" s="653"/>
      <c r="J48" s="653"/>
      <c r="K48" s="653"/>
      <c r="L48" s="653"/>
      <c r="M48" s="645"/>
      <c r="N48" s="646"/>
      <c r="O48" s="646"/>
      <c r="P48" s="646"/>
      <c r="Q48" s="646"/>
      <c r="R48" s="646"/>
      <c r="S48" s="646"/>
      <c r="T48" s="646"/>
      <c r="U48" s="647"/>
      <c r="V48" s="668">
        <v>0</v>
      </c>
      <c r="W48" s="668">
        <v>0</v>
      </c>
      <c r="X48" s="668">
        <v>0</v>
      </c>
      <c r="Y48" s="668">
        <v>0</v>
      </c>
      <c r="Z48" s="668">
        <v>0</v>
      </c>
      <c r="AA48" s="669"/>
      <c r="AB48" s="668">
        <v>0</v>
      </c>
      <c r="AC48" s="668">
        <v>0</v>
      </c>
      <c r="AD48" s="668">
        <v>0</v>
      </c>
      <c r="AE48" s="661">
        <f t="shared" si="0"/>
        <v>0</v>
      </c>
      <c r="AF48" s="188">
        <v>0</v>
      </c>
      <c r="AG48" s="627">
        <f t="shared" si="4"/>
        <v>0</v>
      </c>
    </row>
    <row r="49" spans="1:33" ht="12.75" customHeight="1" thickBot="1" x14ac:dyDescent="0.3">
      <c r="A49" s="1361"/>
      <c r="B49" s="1363"/>
      <c r="C49" s="264" t="s">
        <v>94</v>
      </c>
      <c r="D49" s="652"/>
      <c r="E49" s="653"/>
      <c r="F49" s="653"/>
      <c r="G49" s="653"/>
      <c r="H49" s="653"/>
      <c r="I49" s="653"/>
      <c r="J49" s="653"/>
      <c r="K49" s="653"/>
      <c r="L49" s="653"/>
      <c r="M49" s="652"/>
      <c r="N49" s="653"/>
      <c r="O49" s="653"/>
      <c r="P49" s="653"/>
      <c r="Q49" s="653"/>
      <c r="R49" s="653"/>
      <c r="S49" s="653"/>
      <c r="T49" s="653"/>
      <c r="U49" s="654"/>
      <c r="V49" s="668">
        <v>0</v>
      </c>
      <c r="W49" s="668">
        <v>0</v>
      </c>
      <c r="X49" s="668">
        <v>0</v>
      </c>
      <c r="Y49" s="668">
        <v>0</v>
      </c>
      <c r="Z49" s="668">
        <v>0</v>
      </c>
      <c r="AA49" s="669"/>
      <c r="AB49" s="668">
        <v>0</v>
      </c>
      <c r="AC49" s="668">
        <v>0</v>
      </c>
      <c r="AD49" s="668">
        <v>0</v>
      </c>
      <c r="AE49" s="661">
        <f t="shared" si="0"/>
        <v>0</v>
      </c>
      <c r="AF49" s="188">
        <v>0</v>
      </c>
      <c r="AG49" s="627">
        <f t="shared" si="4"/>
        <v>0</v>
      </c>
    </row>
    <row r="50" spans="1:33" ht="12.75" customHeight="1" thickBot="1" x14ac:dyDescent="0.3">
      <c r="A50" s="1361"/>
      <c r="B50" s="1363"/>
      <c r="C50" s="264" t="s">
        <v>95</v>
      </c>
      <c r="D50" s="652"/>
      <c r="E50" s="653"/>
      <c r="F50" s="653"/>
      <c r="G50" s="653"/>
      <c r="H50" s="653"/>
      <c r="I50" s="653"/>
      <c r="J50" s="653"/>
      <c r="K50" s="653"/>
      <c r="L50" s="653"/>
      <c r="M50" s="652"/>
      <c r="N50" s="653"/>
      <c r="O50" s="653"/>
      <c r="P50" s="653"/>
      <c r="Q50" s="653"/>
      <c r="R50" s="653"/>
      <c r="S50" s="653"/>
      <c r="T50" s="653"/>
      <c r="U50" s="654"/>
      <c r="V50" s="668">
        <v>0</v>
      </c>
      <c r="W50" s="668">
        <v>0</v>
      </c>
      <c r="X50" s="668">
        <v>0</v>
      </c>
      <c r="Y50" s="668">
        <v>0</v>
      </c>
      <c r="Z50" s="668">
        <v>0</v>
      </c>
      <c r="AA50" s="669"/>
      <c r="AB50" s="668">
        <v>0</v>
      </c>
      <c r="AC50" s="668">
        <v>0</v>
      </c>
      <c r="AD50" s="668">
        <v>0</v>
      </c>
      <c r="AE50" s="661">
        <f t="shared" si="0"/>
        <v>0</v>
      </c>
      <c r="AF50" s="188">
        <v>0</v>
      </c>
      <c r="AG50" s="627">
        <f t="shared" si="4"/>
        <v>0</v>
      </c>
    </row>
    <row r="51" spans="1:33" ht="12.75" customHeight="1" thickBot="1" x14ac:dyDescent="0.3">
      <c r="A51" s="1361"/>
      <c r="B51" s="1363"/>
      <c r="C51" s="264" t="s">
        <v>165</v>
      </c>
      <c r="D51" s="652"/>
      <c r="E51" s="653"/>
      <c r="F51" s="653"/>
      <c r="G51" s="653"/>
      <c r="H51" s="653"/>
      <c r="I51" s="653"/>
      <c r="J51" s="653"/>
      <c r="K51" s="653"/>
      <c r="L51" s="653"/>
      <c r="M51" s="652"/>
      <c r="N51" s="653"/>
      <c r="O51" s="653"/>
      <c r="P51" s="653"/>
      <c r="Q51" s="653"/>
      <c r="R51" s="653"/>
      <c r="S51" s="653"/>
      <c r="T51" s="653"/>
      <c r="U51" s="654"/>
      <c r="V51" s="668">
        <v>0</v>
      </c>
      <c r="W51" s="668">
        <v>0</v>
      </c>
      <c r="X51" s="668">
        <v>0.2</v>
      </c>
      <c r="Y51" s="668">
        <v>3.8</v>
      </c>
      <c r="Z51" s="668">
        <v>0.2</v>
      </c>
      <c r="AA51" s="669"/>
      <c r="AB51" s="668">
        <v>0</v>
      </c>
      <c r="AC51" s="668">
        <v>0</v>
      </c>
      <c r="AD51" s="668">
        <v>0.6</v>
      </c>
      <c r="AE51" s="661">
        <f t="shared" si="0"/>
        <v>4.8</v>
      </c>
      <c r="AF51" s="188">
        <v>4.8</v>
      </c>
      <c r="AG51" s="627">
        <f t="shared" si="4"/>
        <v>0</v>
      </c>
    </row>
    <row r="52" spans="1:33" ht="12.75" customHeight="1" thickBot="1" x14ac:dyDescent="0.3">
      <c r="A52" s="1361"/>
      <c r="B52" s="1363"/>
      <c r="C52" s="264" t="s">
        <v>163</v>
      </c>
      <c r="D52" s="652"/>
      <c r="E52" s="653"/>
      <c r="F52" s="653"/>
      <c r="G52" s="653"/>
      <c r="H52" s="653"/>
      <c r="I52" s="653"/>
      <c r="J52" s="653"/>
      <c r="K52" s="653"/>
      <c r="L52" s="653"/>
      <c r="M52" s="652"/>
      <c r="N52" s="653"/>
      <c r="O52" s="653"/>
      <c r="P52" s="653"/>
      <c r="Q52" s="653"/>
      <c r="R52" s="653"/>
      <c r="S52" s="653"/>
      <c r="T52" s="653"/>
      <c r="U52" s="654"/>
      <c r="V52" s="668">
        <v>0</v>
      </c>
      <c r="W52" s="668">
        <v>0</v>
      </c>
      <c r="X52" s="668">
        <v>0</v>
      </c>
      <c r="Y52" s="668">
        <v>0</v>
      </c>
      <c r="Z52" s="668">
        <v>0</v>
      </c>
      <c r="AA52" s="669"/>
      <c r="AB52" s="668">
        <v>0</v>
      </c>
      <c r="AC52" s="668">
        <v>0</v>
      </c>
      <c r="AD52" s="668">
        <v>0.2</v>
      </c>
      <c r="AE52" s="661">
        <f t="shared" si="0"/>
        <v>0.2</v>
      </c>
      <c r="AF52" s="188">
        <v>0.2</v>
      </c>
      <c r="AG52" s="627">
        <f t="shared" si="4"/>
        <v>0</v>
      </c>
    </row>
    <row r="53" spans="1:33" ht="12.75" customHeight="1" thickBot="1" x14ac:dyDescent="0.3">
      <c r="A53" s="1361"/>
      <c r="B53" s="1363"/>
      <c r="C53" s="264" t="s">
        <v>164</v>
      </c>
      <c r="D53" s="652"/>
      <c r="E53" s="653"/>
      <c r="F53" s="653"/>
      <c r="G53" s="653"/>
      <c r="H53" s="653"/>
      <c r="I53" s="653"/>
      <c r="J53" s="653"/>
      <c r="K53" s="653"/>
      <c r="L53" s="653"/>
      <c r="M53" s="652"/>
      <c r="N53" s="653"/>
      <c r="O53" s="653"/>
      <c r="P53" s="653"/>
      <c r="Q53" s="653"/>
      <c r="R53" s="653"/>
      <c r="S53" s="653"/>
      <c r="T53" s="653"/>
      <c r="U53" s="654"/>
      <c r="V53" s="669"/>
      <c r="W53" s="669"/>
      <c r="X53" s="669"/>
      <c r="Y53" s="669"/>
      <c r="Z53" s="669"/>
      <c r="AA53" s="669"/>
      <c r="AB53" s="669"/>
      <c r="AC53" s="668"/>
      <c r="AD53" s="669"/>
      <c r="AE53" s="661"/>
      <c r="AF53" s="188">
        <v>0</v>
      </c>
      <c r="AG53" s="627">
        <f t="shared" si="4"/>
        <v>0</v>
      </c>
    </row>
    <row r="54" spans="1:33" ht="13.5" customHeight="1" thickBot="1" x14ac:dyDescent="0.3">
      <c r="A54" s="1361"/>
      <c r="B54" s="1363"/>
      <c r="C54" s="264" t="s">
        <v>143</v>
      </c>
      <c r="D54" s="652"/>
      <c r="E54" s="653"/>
      <c r="F54" s="653"/>
      <c r="G54" s="653"/>
      <c r="H54" s="653"/>
      <c r="I54" s="653"/>
      <c r="J54" s="653"/>
      <c r="K54" s="653"/>
      <c r="L54" s="653"/>
      <c r="M54" s="652"/>
      <c r="N54" s="653"/>
      <c r="O54" s="653"/>
      <c r="P54" s="653"/>
      <c r="Q54" s="653"/>
      <c r="R54" s="653"/>
      <c r="S54" s="653"/>
      <c r="T54" s="653"/>
      <c r="U54" s="654"/>
      <c r="V54" s="668">
        <v>0</v>
      </c>
      <c r="W54" s="668">
        <v>0</v>
      </c>
      <c r="X54" s="668">
        <v>0</v>
      </c>
      <c r="Y54" s="668">
        <v>0.2</v>
      </c>
      <c r="Z54" s="668">
        <v>0</v>
      </c>
      <c r="AA54" s="669"/>
      <c r="AB54" s="668">
        <v>0</v>
      </c>
      <c r="AC54" s="668">
        <v>0</v>
      </c>
      <c r="AD54" s="668">
        <v>0.4</v>
      </c>
      <c r="AE54" s="661">
        <f t="shared" si="0"/>
        <v>0.60000000000000009</v>
      </c>
      <c r="AF54" s="188">
        <v>0.60000000000000009</v>
      </c>
      <c r="AG54" s="627">
        <f t="shared" si="4"/>
        <v>0</v>
      </c>
    </row>
    <row r="55" spans="1:33" ht="15.75" thickBot="1" x14ac:dyDescent="0.3">
      <c r="A55" s="1361"/>
      <c r="B55" s="1364"/>
      <c r="C55" s="265" t="s">
        <v>123</v>
      </c>
      <c r="D55" s="658"/>
      <c r="E55" s="659"/>
      <c r="F55" s="659"/>
      <c r="G55" s="659"/>
      <c r="H55" s="659"/>
      <c r="I55" s="659"/>
      <c r="J55" s="659"/>
      <c r="K55" s="659"/>
      <c r="L55" s="659"/>
      <c r="M55" s="658"/>
      <c r="N55" s="659"/>
      <c r="O55" s="659"/>
      <c r="P55" s="659"/>
      <c r="Q55" s="659"/>
      <c r="R55" s="659"/>
      <c r="S55" s="659"/>
      <c r="T55" s="659"/>
      <c r="U55" s="660"/>
      <c r="V55" s="669">
        <v>0</v>
      </c>
      <c r="W55" s="669">
        <v>0</v>
      </c>
      <c r="X55" s="669">
        <v>0</v>
      </c>
      <c r="Y55" s="669">
        <v>0</v>
      </c>
      <c r="Z55" s="669">
        <v>0</v>
      </c>
      <c r="AA55" s="669"/>
      <c r="AB55" s="669">
        <v>0</v>
      </c>
      <c r="AC55" s="670">
        <v>0</v>
      </c>
      <c r="AD55" s="669">
        <v>0</v>
      </c>
      <c r="AE55" s="661">
        <f t="shared" si="0"/>
        <v>0</v>
      </c>
      <c r="AF55" s="188">
        <v>0</v>
      </c>
      <c r="AG55" s="627">
        <f t="shared" si="4"/>
        <v>0</v>
      </c>
    </row>
    <row r="56" spans="1:33" ht="15.75" thickBot="1" x14ac:dyDescent="0.3">
      <c r="A56" s="1361"/>
      <c r="B56" s="1382" t="s">
        <v>177</v>
      </c>
      <c r="C56" s="1383"/>
      <c r="D56" s="662">
        <f>SUM(D32:D55)</f>
        <v>2.2000000000000002</v>
      </c>
      <c r="E56" s="662">
        <f t="shared" ref="E56:AC56" si="5">SUM(E32:E55)</f>
        <v>0.8</v>
      </c>
      <c r="F56" s="662">
        <f t="shared" si="5"/>
        <v>0</v>
      </c>
      <c r="G56" s="662">
        <f t="shared" si="5"/>
        <v>7.2</v>
      </c>
      <c r="H56" s="662">
        <f t="shared" si="5"/>
        <v>0.2</v>
      </c>
      <c r="I56" s="662">
        <f t="shared" si="5"/>
        <v>0</v>
      </c>
      <c r="J56" s="662">
        <f t="shared" si="5"/>
        <v>0.8</v>
      </c>
      <c r="K56" s="662">
        <f t="shared" si="5"/>
        <v>0</v>
      </c>
      <c r="L56" s="662">
        <f t="shared" si="5"/>
        <v>0.6</v>
      </c>
      <c r="M56" s="662">
        <f t="shared" si="5"/>
        <v>4</v>
      </c>
      <c r="N56" s="662">
        <f t="shared" si="5"/>
        <v>3.8</v>
      </c>
      <c r="O56" s="662">
        <f t="shared" si="5"/>
        <v>0.2</v>
      </c>
      <c r="P56" s="662">
        <f t="shared" si="5"/>
        <v>24.4</v>
      </c>
      <c r="Q56" s="662">
        <f t="shared" si="5"/>
        <v>0.2</v>
      </c>
      <c r="R56" s="662">
        <f t="shared" si="5"/>
        <v>0</v>
      </c>
      <c r="S56" s="662">
        <f t="shared" si="5"/>
        <v>1.5999999999999999</v>
      </c>
      <c r="T56" s="662">
        <f t="shared" si="5"/>
        <v>0</v>
      </c>
      <c r="U56" s="662">
        <f t="shared" si="5"/>
        <v>4</v>
      </c>
      <c r="V56" s="663">
        <f t="shared" si="5"/>
        <v>0</v>
      </c>
      <c r="W56" s="663">
        <f t="shared" si="5"/>
        <v>0</v>
      </c>
      <c r="X56" s="663">
        <f t="shared" si="5"/>
        <v>0.2</v>
      </c>
      <c r="Y56" s="663">
        <f t="shared" si="5"/>
        <v>4</v>
      </c>
      <c r="Z56" s="663">
        <f t="shared" si="5"/>
        <v>0.2</v>
      </c>
      <c r="AA56" s="663">
        <f t="shared" si="5"/>
        <v>0</v>
      </c>
      <c r="AB56" s="663">
        <f t="shared" si="5"/>
        <v>0</v>
      </c>
      <c r="AC56" s="663">
        <f t="shared" si="5"/>
        <v>0</v>
      </c>
      <c r="AD56" s="664">
        <f>SUM(AD32:AD55)</f>
        <v>1.2000000000000002</v>
      </c>
      <c r="AE56" s="661">
        <f t="shared" si="0"/>
        <v>55.600000000000009</v>
      </c>
      <c r="AF56" s="188">
        <v>55.600000000000009</v>
      </c>
      <c r="AG56" s="627">
        <f t="shared" si="4"/>
        <v>0</v>
      </c>
    </row>
    <row r="57" spans="1:33" x14ac:dyDescent="0.25">
      <c r="AE57" s="247"/>
    </row>
    <row r="58" spans="1:33" x14ac:dyDescent="0.25">
      <c r="AE58" s="247"/>
    </row>
    <row r="59" spans="1:33" ht="15.75" thickBot="1" x14ac:dyDescent="0.3">
      <c r="V59" s="1376" t="s">
        <v>201</v>
      </c>
      <c r="W59" s="1376"/>
      <c r="X59" s="1376"/>
      <c r="Y59" s="1376"/>
      <c r="Z59" s="1376"/>
      <c r="AA59" s="1376"/>
      <c r="AB59" s="1376"/>
      <c r="AC59" s="1376"/>
      <c r="AD59" s="1376"/>
      <c r="AE59" s="189">
        <v>0.9</v>
      </c>
    </row>
    <row r="60" spans="1:33" ht="15.75" thickBot="1" x14ac:dyDescent="0.3">
      <c r="V60" s="1373" t="s">
        <v>166</v>
      </c>
      <c r="W60" s="1374"/>
      <c r="X60" s="1374"/>
      <c r="Y60" s="1374"/>
      <c r="Z60" s="1374"/>
      <c r="AA60" s="1374"/>
      <c r="AB60" s="1374"/>
      <c r="AC60" s="1374"/>
      <c r="AD60" s="278"/>
      <c r="AE60" s="247"/>
    </row>
    <row r="61" spans="1:33" ht="15.75" thickBot="1" x14ac:dyDescent="0.3">
      <c r="V61" s="250" t="s">
        <v>93</v>
      </c>
      <c r="W61" s="250" t="s">
        <v>94</v>
      </c>
      <c r="X61" s="250" t="s">
        <v>95</v>
      </c>
      <c r="Y61" s="250" t="s">
        <v>165</v>
      </c>
      <c r="Z61" s="250" t="s">
        <v>163</v>
      </c>
      <c r="AA61" s="250" t="s">
        <v>164</v>
      </c>
      <c r="AB61" s="250" t="s">
        <v>143</v>
      </c>
      <c r="AC61" s="276" t="s">
        <v>123</v>
      </c>
      <c r="AD61" s="277" t="s">
        <v>175</v>
      </c>
      <c r="AE61" s="247"/>
    </row>
    <row r="62" spans="1:33" x14ac:dyDescent="0.25">
      <c r="V62" s="271"/>
      <c r="W62" s="272"/>
      <c r="X62" s="272"/>
      <c r="Y62" s="272"/>
      <c r="Z62" s="272"/>
      <c r="AA62" s="272"/>
      <c r="AB62" s="272"/>
      <c r="AC62" s="272"/>
      <c r="AD62" s="255"/>
      <c r="AE62" s="247"/>
    </row>
    <row r="63" spans="1:33" x14ac:dyDescent="0.25">
      <c r="V63" s="273"/>
      <c r="W63" s="245"/>
      <c r="X63" s="245"/>
      <c r="Y63" s="245"/>
      <c r="Z63" s="245"/>
      <c r="AA63" s="245"/>
      <c r="AB63" s="245"/>
      <c r="AC63" s="245"/>
      <c r="AD63" s="256"/>
      <c r="AE63" s="247"/>
    </row>
    <row r="64" spans="1:33" x14ac:dyDescent="0.25">
      <c r="V64" s="273"/>
      <c r="W64" s="245"/>
      <c r="X64" s="245"/>
      <c r="Y64" s="245"/>
      <c r="Z64" s="245"/>
      <c r="AA64" s="245"/>
      <c r="AB64" s="245"/>
      <c r="AC64" s="245"/>
      <c r="AD64" s="256"/>
      <c r="AE64" s="247"/>
    </row>
    <row r="65" spans="22:31" x14ac:dyDescent="0.25">
      <c r="V65" s="273"/>
      <c r="W65" s="245"/>
      <c r="X65" s="245"/>
      <c r="Y65" s="245"/>
      <c r="Z65" s="245"/>
      <c r="AA65" s="245"/>
      <c r="AB65" s="245"/>
      <c r="AC65" s="245"/>
      <c r="AD65" s="256"/>
      <c r="AE65" s="247"/>
    </row>
    <row r="66" spans="22:31" x14ac:dyDescent="0.25">
      <c r="V66" s="273"/>
      <c r="W66" s="245"/>
      <c r="X66" s="245"/>
      <c r="Y66" s="245"/>
      <c r="Z66" s="245"/>
      <c r="AA66" s="245"/>
      <c r="AB66" s="245"/>
      <c r="AC66" s="245"/>
      <c r="AD66" s="256"/>
      <c r="AE66" s="247"/>
    </row>
    <row r="67" spans="22:31" x14ac:dyDescent="0.25">
      <c r="V67" s="273"/>
      <c r="W67" s="245"/>
      <c r="X67" s="245"/>
      <c r="Y67" s="245"/>
      <c r="Z67" s="245"/>
      <c r="AA67" s="245"/>
      <c r="AB67" s="245"/>
      <c r="AC67" s="245"/>
      <c r="AD67" s="256"/>
    </row>
    <row r="68" spans="22:31" x14ac:dyDescent="0.25">
      <c r="V68" s="273"/>
      <c r="W68" s="245"/>
      <c r="X68" s="245"/>
      <c r="Y68" s="245"/>
      <c r="Z68" s="245"/>
      <c r="AA68" s="245"/>
      <c r="AB68" s="245"/>
      <c r="AC68" s="245"/>
      <c r="AD68" s="256"/>
    </row>
    <row r="69" spans="22:31" x14ac:dyDescent="0.25">
      <c r="V69" s="273"/>
      <c r="W69" s="245"/>
      <c r="X69" s="245"/>
      <c r="Y69" s="245"/>
      <c r="Z69" s="245"/>
      <c r="AA69" s="245"/>
      <c r="AB69" s="245"/>
      <c r="AC69" s="245"/>
      <c r="AD69" s="256"/>
    </row>
    <row r="70" spans="22:31" x14ac:dyDescent="0.25">
      <c r="V70" s="273"/>
      <c r="W70" s="245"/>
      <c r="X70" s="245"/>
      <c r="Y70" s="245"/>
      <c r="Z70" s="245"/>
      <c r="AA70" s="245"/>
      <c r="AB70" s="245"/>
      <c r="AC70" s="245"/>
      <c r="AD70" s="256"/>
    </row>
    <row r="71" spans="22:31" ht="13.5" customHeight="1" x14ac:dyDescent="0.25">
      <c r="V71" s="273"/>
      <c r="W71" s="245"/>
      <c r="X71" s="245"/>
      <c r="Y71" s="245"/>
      <c r="Z71" s="245"/>
      <c r="AA71" s="245"/>
      <c r="AB71" s="245"/>
      <c r="AC71" s="245"/>
      <c r="AD71" s="256"/>
    </row>
    <row r="72" spans="22:31" x14ac:dyDescent="0.25">
      <c r="V72" s="273"/>
      <c r="W72" s="245"/>
      <c r="X72" s="245"/>
      <c r="Y72" s="245"/>
      <c r="Z72" s="245"/>
      <c r="AA72" s="245"/>
      <c r="AB72" s="245"/>
      <c r="AC72" s="245"/>
      <c r="AD72" s="256"/>
    </row>
    <row r="73" spans="22:31" x14ac:dyDescent="0.25">
      <c r="V73" s="273"/>
      <c r="W73" s="245"/>
      <c r="X73" s="245"/>
      <c r="Y73" s="245"/>
      <c r="Z73" s="245"/>
      <c r="AA73" s="245"/>
      <c r="AB73" s="245"/>
      <c r="AC73" s="245"/>
      <c r="AD73" s="256"/>
    </row>
    <row r="74" spans="22:31" x14ac:dyDescent="0.25">
      <c r="V74" s="273"/>
      <c r="W74" s="245"/>
      <c r="X74" s="245"/>
      <c r="Y74" s="245"/>
      <c r="Z74" s="245"/>
      <c r="AA74" s="245"/>
      <c r="AB74" s="245"/>
      <c r="AC74" s="245"/>
      <c r="AD74" s="256"/>
    </row>
    <row r="75" spans="22:31" x14ac:dyDescent="0.25">
      <c r="V75" s="273"/>
      <c r="W75" s="245"/>
      <c r="X75" s="245"/>
      <c r="Y75" s="245"/>
      <c r="Z75" s="245"/>
      <c r="AA75" s="245"/>
      <c r="AB75" s="245"/>
      <c r="AC75" s="245"/>
      <c r="AD75" s="256"/>
    </row>
    <row r="76" spans="22:31" x14ac:dyDescent="0.25">
      <c r="V76" s="273"/>
      <c r="W76" s="245"/>
      <c r="X76" s="245"/>
      <c r="Y76" s="245"/>
      <c r="Z76" s="245"/>
      <c r="AA76" s="245"/>
      <c r="AB76" s="245"/>
      <c r="AC76" s="245"/>
      <c r="AD76" s="256"/>
    </row>
    <row r="77" spans="22:31" ht="15.75" thickBot="1" x14ac:dyDescent="0.3">
      <c r="V77" s="274"/>
      <c r="W77" s="275"/>
      <c r="X77" s="275"/>
      <c r="Y77" s="275"/>
      <c r="Z77" s="275"/>
      <c r="AA77" s="275"/>
      <c r="AB77" s="275"/>
      <c r="AC77" s="275"/>
      <c r="AD77" s="257"/>
    </row>
    <row r="78" spans="22:31" x14ac:dyDescent="0.25">
      <c r="V78" s="251"/>
      <c r="W78" s="252"/>
      <c r="X78" s="252">
        <v>0.85714000000000001</v>
      </c>
      <c r="Y78" s="252">
        <v>12.2857</v>
      </c>
      <c r="Z78" s="281">
        <v>8.8571399999999993</v>
      </c>
      <c r="AA78" s="252">
        <v>1.7142900000000001</v>
      </c>
      <c r="AB78" s="252">
        <v>0</v>
      </c>
      <c r="AC78" s="281"/>
      <c r="AD78" s="253"/>
    </row>
    <row r="79" spans="22:31" x14ac:dyDescent="0.25">
      <c r="V79" s="248">
        <v>0</v>
      </c>
      <c r="W79" s="242">
        <v>0</v>
      </c>
      <c r="X79" s="242">
        <v>0</v>
      </c>
      <c r="Y79" s="109">
        <v>0.14285999999999999</v>
      </c>
      <c r="Z79" s="242">
        <v>0</v>
      </c>
      <c r="AA79" s="242">
        <v>0</v>
      </c>
      <c r="AB79" s="242">
        <v>0</v>
      </c>
      <c r="AC79" s="109">
        <v>0</v>
      </c>
      <c r="AD79" s="254"/>
    </row>
    <row r="80" spans="22:31" x14ac:dyDescent="0.25">
      <c r="V80" s="248">
        <v>0</v>
      </c>
      <c r="W80" s="242">
        <v>0</v>
      </c>
      <c r="X80" s="242">
        <v>3</v>
      </c>
      <c r="Y80" s="242">
        <v>0</v>
      </c>
      <c r="Z80" s="109">
        <v>0.43</v>
      </c>
      <c r="AA80" s="242">
        <v>0</v>
      </c>
      <c r="AB80" s="242">
        <v>0</v>
      </c>
      <c r="AC80" s="242">
        <v>0</v>
      </c>
      <c r="AD80" s="254"/>
    </row>
    <row r="81" spans="22:30" x14ac:dyDescent="0.25">
      <c r="V81" s="248">
        <v>0</v>
      </c>
      <c r="W81" s="242">
        <v>0</v>
      </c>
      <c r="X81" s="242">
        <v>1.14286</v>
      </c>
      <c r="Y81" s="242">
        <v>68</v>
      </c>
      <c r="Z81" s="242">
        <v>37.714300000000001</v>
      </c>
      <c r="AA81" s="242">
        <v>5.8571400000000002</v>
      </c>
      <c r="AB81" s="242">
        <v>0</v>
      </c>
      <c r="AC81" s="242">
        <v>0</v>
      </c>
      <c r="AD81" s="254"/>
    </row>
    <row r="82" spans="22:30" x14ac:dyDescent="0.25">
      <c r="V82" s="248">
        <v>0</v>
      </c>
      <c r="W82" s="242">
        <v>0</v>
      </c>
      <c r="X82" s="242">
        <v>0</v>
      </c>
      <c r="Y82" s="242">
        <v>0</v>
      </c>
      <c r="Z82" s="242">
        <v>19.428599999999999</v>
      </c>
      <c r="AA82" s="242">
        <v>0</v>
      </c>
      <c r="AB82" s="242">
        <v>0</v>
      </c>
      <c r="AC82" s="242">
        <v>0</v>
      </c>
      <c r="AD82" s="254"/>
    </row>
    <row r="83" spans="22:30" x14ac:dyDescent="0.25">
      <c r="V83" s="248"/>
      <c r="W83" s="242"/>
      <c r="X83" s="242">
        <v>0.28750999999999999</v>
      </c>
      <c r="Y83" s="242"/>
      <c r="Z83" s="242">
        <v>5.2857099999999999</v>
      </c>
      <c r="AA83" s="242">
        <v>5.7142900000000001</v>
      </c>
      <c r="AB83" s="242"/>
      <c r="AC83" s="242"/>
      <c r="AD83" s="254"/>
    </row>
    <row r="84" spans="22:30" x14ac:dyDescent="0.25">
      <c r="V84" s="248">
        <v>0</v>
      </c>
      <c r="W84" s="242">
        <v>0</v>
      </c>
      <c r="X84" s="242">
        <v>0.42857000000000001</v>
      </c>
      <c r="Y84" s="242">
        <v>6.5714300000000003</v>
      </c>
      <c r="Z84" s="242">
        <v>4.5712999999999999</v>
      </c>
      <c r="AA84" s="242">
        <v>1</v>
      </c>
      <c r="AB84" s="242">
        <v>6.2857099999999999</v>
      </c>
      <c r="AC84" s="242">
        <v>0</v>
      </c>
      <c r="AD84" s="254"/>
    </row>
    <row r="85" spans="22:30" ht="15.75" thickBot="1" x14ac:dyDescent="0.3">
      <c r="V85" s="246"/>
      <c r="W85" s="249"/>
      <c r="X85" s="249"/>
      <c r="Y85" s="249"/>
      <c r="Z85" s="249"/>
      <c r="AA85" s="249"/>
      <c r="AB85" s="249"/>
      <c r="AC85" s="249"/>
      <c r="AD85" s="266"/>
    </row>
    <row r="86" spans="22:30" ht="15.75" thickBot="1" x14ac:dyDescent="0.3">
      <c r="V86" s="279">
        <f>SUM(V61:V85)</f>
        <v>0</v>
      </c>
      <c r="W86" s="279">
        <f t="shared" ref="W86:AD86" si="6">SUM(W61:W85)</f>
        <v>0</v>
      </c>
      <c r="X86" s="279">
        <f t="shared" si="6"/>
        <v>5.7160799999999998</v>
      </c>
      <c r="Y86" s="279">
        <f t="shared" si="6"/>
        <v>86.999990000000011</v>
      </c>
      <c r="Z86" s="279">
        <f t="shared" si="6"/>
        <v>76.287049999999994</v>
      </c>
      <c r="AA86" s="279">
        <f t="shared" si="6"/>
        <v>14.285720000000001</v>
      </c>
      <c r="AB86" s="279">
        <f t="shared" si="6"/>
        <v>6.2857099999999999</v>
      </c>
      <c r="AC86" s="279">
        <f t="shared" si="6"/>
        <v>0</v>
      </c>
      <c r="AD86" s="279">
        <f t="shared" si="6"/>
        <v>0</v>
      </c>
    </row>
    <row r="87" spans="22:30" ht="15.75" thickBot="1" x14ac:dyDescent="0.3">
      <c r="V87" s="1153" t="s">
        <v>166</v>
      </c>
      <c r="W87" s="1153"/>
      <c r="X87" s="1153"/>
      <c r="Y87" s="1153"/>
      <c r="Z87" s="1153"/>
      <c r="AA87" s="1153"/>
      <c r="AB87" s="1153"/>
      <c r="AC87" s="1153"/>
      <c r="AD87" s="293"/>
    </row>
    <row r="88" spans="22:30" ht="15.75" thickBot="1" x14ac:dyDescent="0.3">
      <c r="V88" s="250" t="s">
        <v>93</v>
      </c>
      <c r="W88" s="250" t="s">
        <v>94</v>
      </c>
      <c r="X88" s="250" t="s">
        <v>95</v>
      </c>
      <c r="Y88" s="250" t="s">
        <v>165</v>
      </c>
      <c r="Z88" s="250" t="s">
        <v>163</v>
      </c>
      <c r="AA88" s="250" t="s">
        <v>164</v>
      </c>
      <c r="AB88" s="250" t="s">
        <v>143</v>
      </c>
      <c r="AC88" s="276" t="s">
        <v>123</v>
      </c>
      <c r="AD88" s="277" t="s">
        <v>175</v>
      </c>
    </row>
    <row r="89" spans="22:30" x14ac:dyDescent="0.25">
      <c r="V89" s="271"/>
      <c r="W89" s="272"/>
      <c r="X89" s="272"/>
      <c r="Y89" s="272"/>
      <c r="Z89" s="272"/>
      <c r="AA89" s="272"/>
      <c r="AB89" s="272"/>
      <c r="AC89" s="272"/>
      <c r="AD89" s="255"/>
    </row>
    <row r="90" spans="22:30" x14ac:dyDescent="0.25">
      <c r="V90" s="273"/>
      <c r="W90" s="245"/>
      <c r="X90" s="245"/>
      <c r="Y90" s="245"/>
      <c r="Z90" s="245"/>
      <c r="AA90" s="245"/>
      <c r="AB90" s="245"/>
      <c r="AC90" s="245"/>
      <c r="AD90" s="256"/>
    </row>
    <row r="91" spans="22:30" x14ac:dyDescent="0.25">
      <c r="V91" s="273"/>
      <c r="W91" s="245"/>
      <c r="X91" s="245"/>
      <c r="Y91" s="245"/>
      <c r="Z91" s="245"/>
      <c r="AA91" s="245"/>
      <c r="AB91" s="245"/>
      <c r="AC91" s="245"/>
      <c r="AD91" s="256"/>
    </row>
    <row r="92" spans="22:30" x14ac:dyDescent="0.25">
      <c r="V92" s="273"/>
      <c r="W92" s="245"/>
      <c r="X92" s="245"/>
      <c r="Y92" s="245"/>
      <c r="Z92" s="245"/>
      <c r="AA92" s="245"/>
      <c r="AB92" s="245"/>
      <c r="AC92" s="245"/>
      <c r="AD92" s="256"/>
    </row>
    <row r="93" spans="22:30" x14ac:dyDescent="0.25">
      <c r="V93" s="273"/>
      <c r="W93" s="245"/>
      <c r="X93" s="245"/>
      <c r="Y93" s="245"/>
      <c r="Z93" s="245"/>
      <c r="AA93" s="245"/>
      <c r="AB93" s="245"/>
      <c r="AC93" s="245"/>
      <c r="AD93" s="256"/>
    </row>
    <row r="94" spans="22:30" x14ac:dyDescent="0.25">
      <c r="V94" s="273"/>
      <c r="W94" s="245"/>
      <c r="X94" s="245"/>
      <c r="Y94" s="245"/>
      <c r="Z94" s="245"/>
      <c r="AA94" s="245"/>
      <c r="AB94" s="245"/>
      <c r="AC94" s="245"/>
      <c r="AD94" s="256"/>
    </row>
    <row r="95" spans="22:30" x14ac:dyDescent="0.25">
      <c r="V95" s="273"/>
      <c r="W95" s="245"/>
      <c r="X95" s="245"/>
      <c r="Y95" s="245"/>
      <c r="Z95" s="245"/>
      <c r="AA95" s="245"/>
      <c r="AB95" s="245"/>
      <c r="AC95" s="245"/>
      <c r="AD95" s="256"/>
    </row>
    <row r="96" spans="22:30" x14ac:dyDescent="0.25">
      <c r="V96" s="273"/>
      <c r="W96" s="245"/>
      <c r="X96" s="245"/>
      <c r="Y96" s="245"/>
      <c r="Z96" s="245"/>
      <c r="AA96" s="245"/>
      <c r="AB96" s="245"/>
      <c r="AC96" s="245"/>
      <c r="AD96" s="256"/>
    </row>
    <row r="97" spans="22:30" x14ac:dyDescent="0.25">
      <c r="V97" s="273"/>
      <c r="W97" s="245"/>
      <c r="X97" s="245"/>
      <c r="Y97" s="245"/>
      <c r="Z97" s="245"/>
      <c r="AA97" s="245"/>
      <c r="AB97" s="245"/>
      <c r="AC97" s="245"/>
      <c r="AD97" s="256"/>
    </row>
    <row r="98" spans="22:30" x14ac:dyDescent="0.25">
      <c r="V98" s="273"/>
      <c r="W98" s="245"/>
      <c r="X98" s="245"/>
      <c r="Y98" s="245"/>
      <c r="Z98" s="245"/>
      <c r="AA98" s="245"/>
      <c r="AB98" s="245"/>
      <c r="AC98" s="245"/>
      <c r="AD98" s="256"/>
    </row>
    <row r="99" spans="22:30" x14ac:dyDescent="0.25">
      <c r="V99" s="273"/>
      <c r="W99" s="245"/>
      <c r="X99" s="245"/>
      <c r="Y99" s="245"/>
      <c r="Z99" s="245"/>
      <c r="AA99" s="245"/>
      <c r="AB99" s="245"/>
      <c r="AC99" s="245"/>
      <c r="AD99" s="256"/>
    </row>
    <row r="100" spans="22:30" x14ac:dyDescent="0.25">
      <c r="V100" s="273"/>
      <c r="W100" s="245"/>
      <c r="X100" s="245"/>
      <c r="Y100" s="245"/>
      <c r="Z100" s="245"/>
      <c r="AA100" s="245"/>
      <c r="AB100" s="245"/>
      <c r="AC100" s="245"/>
      <c r="AD100" s="256"/>
    </row>
    <row r="101" spans="22:30" x14ac:dyDescent="0.25">
      <c r="V101" s="273"/>
      <c r="W101" s="245"/>
      <c r="X101" s="245"/>
      <c r="Y101" s="245"/>
      <c r="Z101" s="245"/>
      <c r="AA101" s="245"/>
      <c r="AB101" s="245"/>
      <c r="AC101" s="245"/>
      <c r="AD101" s="256"/>
    </row>
    <row r="102" spans="22:30" x14ac:dyDescent="0.25">
      <c r="V102" s="273"/>
      <c r="W102" s="245"/>
      <c r="X102" s="245"/>
      <c r="Y102" s="245"/>
      <c r="Z102" s="245"/>
      <c r="AA102" s="245"/>
      <c r="AB102" s="245"/>
      <c r="AC102" s="245"/>
      <c r="AD102" s="256"/>
    </row>
    <row r="103" spans="22:30" x14ac:dyDescent="0.25">
      <c r="V103" s="273"/>
      <c r="W103" s="245"/>
      <c r="X103" s="245"/>
      <c r="Y103" s="245"/>
      <c r="Z103" s="245"/>
      <c r="AA103" s="245"/>
      <c r="AB103" s="245"/>
      <c r="AC103" s="245"/>
      <c r="AD103" s="256"/>
    </row>
    <row r="104" spans="22:30" ht="15.75" thickBot="1" x14ac:dyDescent="0.3">
      <c r="V104" s="274"/>
      <c r="W104" s="275"/>
      <c r="X104" s="275"/>
      <c r="Y104" s="275"/>
      <c r="Z104" s="275"/>
      <c r="AA104" s="275"/>
      <c r="AB104" s="275"/>
      <c r="AC104" s="275"/>
      <c r="AD104" s="257"/>
    </row>
    <row r="105" spans="22:30" x14ac:dyDescent="0.25">
      <c r="V105" s="251"/>
      <c r="W105" s="251"/>
      <c r="X105" s="251">
        <v>0.42857000000000001</v>
      </c>
      <c r="Y105" s="251">
        <v>15.428599999999999</v>
      </c>
      <c r="Z105" s="251">
        <v>8.1428600000000007</v>
      </c>
      <c r="AA105" s="251">
        <v>1.14286</v>
      </c>
      <c r="AB105" s="251">
        <v>0.14285999999999999</v>
      </c>
      <c r="AC105" s="251"/>
      <c r="AD105" s="251"/>
    </row>
    <row r="106" spans="22:30" x14ac:dyDescent="0.25">
      <c r="V106" s="251">
        <v>0</v>
      </c>
      <c r="W106" s="251">
        <v>0.42857000000000001</v>
      </c>
      <c r="X106" s="292">
        <v>0.14285999999999999</v>
      </c>
      <c r="Y106" s="251">
        <v>3.8571399999999998</v>
      </c>
      <c r="Z106" s="292">
        <v>0.42857000000000001</v>
      </c>
      <c r="AA106" s="251">
        <v>0.14285709999999999</v>
      </c>
      <c r="AB106" s="251">
        <v>0</v>
      </c>
      <c r="AC106" s="251">
        <v>0</v>
      </c>
      <c r="AD106" s="251"/>
    </row>
    <row r="107" spans="22:30" x14ac:dyDescent="0.25">
      <c r="V107" s="251">
        <v>0</v>
      </c>
      <c r="W107" s="251">
        <v>0</v>
      </c>
      <c r="X107" s="251">
        <v>19.714300000000001</v>
      </c>
      <c r="Y107" s="251">
        <v>0</v>
      </c>
      <c r="Z107" s="251">
        <v>3</v>
      </c>
      <c r="AA107" s="251">
        <v>0.71428570000000002</v>
      </c>
      <c r="AB107" s="251">
        <v>0</v>
      </c>
      <c r="AC107" s="251">
        <v>0</v>
      </c>
      <c r="AD107" s="251"/>
    </row>
    <row r="108" spans="22:30" x14ac:dyDescent="0.25">
      <c r="V108" s="251">
        <v>0</v>
      </c>
      <c r="W108" s="251">
        <v>0</v>
      </c>
      <c r="X108" s="251">
        <v>6</v>
      </c>
      <c r="Y108" s="251">
        <v>552.42899999999997</v>
      </c>
      <c r="Z108" s="251">
        <v>156.286</v>
      </c>
      <c r="AA108" s="251">
        <v>45.142899999999997</v>
      </c>
      <c r="AB108" s="251">
        <v>0</v>
      </c>
      <c r="AC108" s="251">
        <v>0</v>
      </c>
      <c r="AD108" s="251"/>
    </row>
    <row r="109" spans="22:30" x14ac:dyDescent="0.25">
      <c r="V109" s="251">
        <v>0</v>
      </c>
      <c r="W109" s="251">
        <v>0</v>
      </c>
      <c r="X109" s="251">
        <v>0</v>
      </c>
      <c r="Y109" s="251">
        <v>0</v>
      </c>
      <c r="Z109" s="251">
        <v>87.714299999999994</v>
      </c>
      <c r="AA109" s="251">
        <v>0</v>
      </c>
      <c r="AB109" s="251">
        <v>0</v>
      </c>
      <c r="AC109" s="251">
        <v>0</v>
      </c>
      <c r="AD109" s="251"/>
    </row>
    <row r="110" spans="22:30" x14ac:dyDescent="0.25">
      <c r="V110" s="251"/>
      <c r="W110" s="251"/>
      <c r="X110" s="251">
        <v>0.28750999999999999</v>
      </c>
      <c r="Y110" s="251"/>
      <c r="Z110" s="251">
        <v>28.857099999999999</v>
      </c>
      <c r="AA110" s="251">
        <v>39</v>
      </c>
      <c r="AB110" s="251"/>
      <c r="AC110" s="251"/>
      <c r="AD110" s="251"/>
    </row>
    <row r="111" spans="22:30" x14ac:dyDescent="0.25">
      <c r="V111" s="251">
        <v>0</v>
      </c>
      <c r="W111" s="251">
        <v>0</v>
      </c>
      <c r="X111" s="251">
        <v>0.14285999999999999</v>
      </c>
      <c r="Y111" s="251">
        <v>67.142899999999997</v>
      </c>
      <c r="Z111" s="251">
        <v>9.5714299999999994</v>
      </c>
      <c r="AA111" s="251">
        <v>8.1428569999999993</v>
      </c>
      <c r="AB111" s="251">
        <v>56.714300000000001</v>
      </c>
      <c r="AC111" s="251">
        <v>0</v>
      </c>
      <c r="AD111" s="251">
        <v>0</v>
      </c>
    </row>
    <row r="112" spans="22:30" ht="15.75" thickBot="1" x14ac:dyDescent="0.3">
      <c r="V112" s="251"/>
      <c r="W112" s="251"/>
      <c r="X112" s="251"/>
      <c r="Y112" s="251"/>
      <c r="Z112" s="251"/>
      <c r="AA112" s="251"/>
      <c r="AB112" s="251"/>
      <c r="AC112" s="251"/>
      <c r="AD112" s="251"/>
    </row>
    <row r="113" spans="22:30" ht="15.75" thickBot="1" x14ac:dyDescent="0.3">
      <c r="V113" s="279">
        <f t="shared" ref="V113:AC113" si="7">SUM(V89:V112)</f>
        <v>0</v>
      </c>
      <c r="W113" s="279">
        <f t="shared" si="7"/>
        <v>0.42857000000000001</v>
      </c>
      <c r="X113" s="279">
        <f t="shared" si="7"/>
        <v>26.716100000000001</v>
      </c>
      <c r="Y113" s="279">
        <f t="shared" si="7"/>
        <v>638.85763999999995</v>
      </c>
      <c r="Z113" s="279">
        <f t="shared" si="7"/>
        <v>294.00026000000003</v>
      </c>
      <c r="AA113" s="279">
        <f t="shared" si="7"/>
        <v>94.285759799999994</v>
      </c>
      <c r="AB113" s="279">
        <f t="shared" si="7"/>
        <v>56.85716</v>
      </c>
      <c r="AC113" s="279">
        <f t="shared" si="7"/>
        <v>0</v>
      </c>
      <c r="AD113" s="280">
        <f>SUM(AD89:AD112)</f>
        <v>0</v>
      </c>
    </row>
  </sheetData>
  <mergeCells count="22">
    <mergeCell ref="V60:AC60"/>
    <mergeCell ref="V87:AC87"/>
    <mergeCell ref="V59:AD59"/>
    <mergeCell ref="A5:A56"/>
    <mergeCell ref="B32:B39"/>
    <mergeCell ref="B5:B12"/>
    <mergeCell ref="B13:B20"/>
    <mergeCell ref="B40:B47"/>
    <mergeCell ref="B48:B55"/>
    <mergeCell ref="B30:C31"/>
    <mergeCell ref="B56:C56"/>
    <mergeCell ref="D30:L30"/>
    <mergeCell ref="M30:U30"/>
    <mergeCell ref="V30:AD30"/>
    <mergeCell ref="AE2:AE4"/>
    <mergeCell ref="D1:AE1"/>
    <mergeCell ref="B21:B28"/>
    <mergeCell ref="B29:C29"/>
    <mergeCell ref="B2:C4"/>
    <mergeCell ref="M2:U2"/>
    <mergeCell ref="V2:AD2"/>
    <mergeCell ref="D2:L2"/>
  </mergeCell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4"/>
  <sheetViews>
    <sheetView zoomScale="110" zoomScaleNormal="110" workbookViewId="0">
      <selection activeCell="W26" sqref="W26"/>
    </sheetView>
  </sheetViews>
  <sheetFormatPr defaultRowHeight="15" x14ac:dyDescent="0.25"/>
  <cols>
    <col min="1" max="1" width="12" customWidth="1"/>
    <col min="2" max="2" width="9.85546875" customWidth="1"/>
    <col min="3" max="3" width="9.28515625" customWidth="1"/>
    <col min="4" max="4" width="9" customWidth="1"/>
    <col min="5" max="6" width="6.28515625" customWidth="1"/>
    <col min="7" max="7" width="9" customWidth="1"/>
    <col min="8" max="8" width="6.28515625" customWidth="1"/>
    <col min="9" max="9" width="4.5703125" customWidth="1"/>
    <col min="10" max="10" width="9.28515625" customWidth="1"/>
    <col min="11" max="11" width="4.85546875" customWidth="1"/>
    <col min="12" max="12" width="6.28515625" customWidth="1"/>
    <col min="13" max="13" width="9" customWidth="1"/>
    <col min="14" max="15" width="6.28515625" customWidth="1"/>
    <col min="16" max="16" width="9" customWidth="1"/>
    <col min="17" max="17" width="6.28515625" customWidth="1"/>
    <col min="18" max="18" width="4.5703125" customWidth="1"/>
    <col min="19" max="19" width="9.28515625" customWidth="1"/>
    <col min="20" max="20" width="4.85546875" customWidth="1"/>
    <col min="21" max="21" width="6.28515625" customWidth="1"/>
    <col min="22" max="22" width="9" customWidth="1"/>
    <col min="23" max="24" width="6.28515625" customWidth="1"/>
    <col min="25" max="25" width="9" customWidth="1"/>
    <col min="26" max="26" width="6.28515625" customWidth="1"/>
    <col min="27" max="27" width="4.5703125" customWidth="1"/>
    <col min="28" max="28" width="9.28515625" customWidth="1"/>
    <col min="29" max="29" width="4.85546875" customWidth="1"/>
    <col min="30" max="30" width="6.28515625" customWidth="1"/>
    <col min="31" max="31" width="9.85546875" customWidth="1"/>
    <col min="32" max="32" width="7.7109375" customWidth="1"/>
    <col min="33" max="33" width="25.140625" customWidth="1"/>
  </cols>
  <sheetData>
    <row r="1" spans="1:33" ht="16.5" customHeight="1" x14ac:dyDescent="0.25">
      <c r="D1" s="1388" t="s">
        <v>171</v>
      </c>
      <c r="E1" s="1388"/>
      <c r="F1" s="1388"/>
      <c r="G1" s="1388"/>
      <c r="H1" s="1388"/>
      <c r="I1" s="1388"/>
      <c r="J1" s="1388"/>
      <c r="K1" s="1388"/>
      <c r="L1" s="1388"/>
      <c r="M1" s="1388"/>
      <c r="N1" s="1388"/>
      <c r="O1" s="1388"/>
      <c r="P1" s="1388"/>
      <c r="Q1" s="1388"/>
      <c r="R1" s="1388"/>
      <c r="S1" s="1388"/>
      <c r="T1" s="1388"/>
      <c r="U1" s="1388"/>
      <c r="V1" s="1388"/>
      <c r="W1" s="1388"/>
      <c r="X1" s="1388"/>
      <c r="Y1" s="1388"/>
      <c r="Z1" s="1388"/>
      <c r="AA1" s="1388"/>
      <c r="AB1" s="1388"/>
      <c r="AC1" s="1152"/>
      <c r="AD1" s="243"/>
      <c r="AF1" s="1387"/>
      <c r="AG1" s="1387"/>
    </row>
    <row r="2" spans="1:33" ht="12.75" customHeight="1" thickBot="1" x14ac:dyDescent="0.3">
      <c r="A2" s="1390" t="s">
        <v>180</v>
      </c>
      <c r="B2" s="1390"/>
      <c r="C2" s="1390"/>
      <c r="D2" s="1152" t="s">
        <v>161</v>
      </c>
      <c r="E2" s="1153"/>
      <c r="F2" s="1153"/>
      <c r="G2" s="1153"/>
      <c r="H2" s="1153"/>
      <c r="I2" s="1153"/>
      <c r="J2" s="1153"/>
      <c r="K2" s="1153"/>
      <c r="L2" s="241"/>
      <c r="M2" s="1152" t="s">
        <v>162</v>
      </c>
      <c r="N2" s="1153"/>
      <c r="O2" s="1153"/>
      <c r="P2" s="1153"/>
      <c r="Q2" s="1153"/>
      <c r="R2" s="1153"/>
      <c r="S2" s="1153"/>
      <c r="T2" s="1153"/>
      <c r="U2" s="1152" t="s">
        <v>166</v>
      </c>
      <c r="V2" s="1153"/>
      <c r="W2" s="1153"/>
      <c r="X2" s="1153"/>
      <c r="Y2" s="1153"/>
      <c r="Z2" s="1153"/>
      <c r="AA2" s="1153"/>
      <c r="AB2" s="1153"/>
      <c r="AC2" s="1153"/>
      <c r="AD2" s="243"/>
      <c r="AF2" s="290"/>
      <c r="AG2" s="1389" t="s">
        <v>195</v>
      </c>
    </row>
    <row r="3" spans="1:33" ht="39" customHeight="1" thickBot="1" x14ac:dyDescent="0.3">
      <c r="A3" s="1391"/>
      <c r="B3" s="1391"/>
      <c r="C3" s="1391"/>
      <c r="D3" s="263" t="s">
        <v>253</v>
      </c>
      <c r="E3" s="264" t="s">
        <v>245</v>
      </c>
      <c r="F3" s="264" t="s">
        <v>95</v>
      </c>
      <c r="G3" s="264" t="s">
        <v>252</v>
      </c>
      <c r="H3" s="264" t="s">
        <v>254</v>
      </c>
      <c r="I3" s="264" t="s">
        <v>98</v>
      </c>
      <c r="J3" s="264" t="s">
        <v>248</v>
      </c>
      <c r="K3" s="265" t="s">
        <v>259</v>
      </c>
      <c r="L3" s="265" t="s">
        <v>175</v>
      </c>
      <c r="M3" s="263" t="s">
        <v>253</v>
      </c>
      <c r="N3" s="264" t="s">
        <v>245</v>
      </c>
      <c r="O3" s="264" t="s">
        <v>95</v>
      </c>
      <c r="P3" s="264" t="s">
        <v>252</v>
      </c>
      <c r="Q3" s="264" t="s">
        <v>254</v>
      </c>
      <c r="R3" s="264" t="s">
        <v>98</v>
      </c>
      <c r="S3" s="264" t="s">
        <v>248</v>
      </c>
      <c r="T3" s="265" t="s">
        <v>259</v>
      </c>
      <c r="U3" s="265" t="s">
        <v>175</v>
      </c>
      <c r="V3" s="263" t="s">
        <v>253</v>
      </c>
      <c r="W3" s="264" t="s">
        <v>245</v>
      </c>
      <c r="X3" s="264" t="s">
        <v>95</v>
      </c>
      <c r="Y3" s="264" t="s">
        <v>252</v>
      </c>
      <c r="Z3" s="264" t="s">
        <v>254</v>
      </c>
      <c r="AA3" s="264" t="s">
        <v>98</v>
      </c>
      <c r="AB3" s="264" t="s">
        <v>248</v>
      </c>
      <c r="AC3" s="265" t="s">
        <v>259</v>
      </c>
      <c r="AD3" s="265" t="s">
        <v>175</v>
      </c>
      <c r="AE3" s="291"/>
      <c r="AF3" s="291"/>
      <c r="AG3" s="1387"/>
    </row>
    <row r="4" spans="1:33" ht="12.75" customHeight="1" thickBot="1" x14ac:dyDescent="0.3">
      <c r="A4" s="1152" t="s">
        <v>172</v>
      </c>
      <c r="B4" s="1152" t="s">
        <v>161</v>
      </c>
      <c r="C4" s="263" t="s">
        <v>93</v>
      </c>
      <c r="D4" s="109" t="e">
        <f>('Dist by road type'!$N14/'Dist by road type'!$D14)^'Dist by road type'!$P14*('Dist by road type'!C$82/'Dist by road type'!C$81)^D$32*D$33*D$34</f>
        <v>#REF!</v>
      </c>
      <c r="E4" s="109" t="e">
        <f>('Dist by road type'!$N14/'Dist by road type'!$D14)^'Dist by road type'!$P14*('Dist by road type'!D$82/'Dist by road type'!D$81)^E$32*E$33*E$34</f>
        <v>#REF!</v>
      </c>
      <c r="F4" s="109" t="e">
        <f>('Dist by road type'!$N14/'Dist by road type'!$D14)^'Dist by road type'!$P14*('Dist by road type'!E$82/'Dist by road type'!E$81)^F$32*F$33*F$34</f>
        <v>#REF!</v>
      </c>
      <c r="G4" s="109" t="e">
        <f>('Dist by road type'!$N14/'Dist by road type'!$D14)^'Dist by road type'!$P14*(('Dist by road type'!F$82+'Dist by road type'!G$82)/('Dist by road type'!F$81+'Dist by road type'!G$81))^G$32*G$33*G$34</f>
        <v>#REF!</v>
      </c>
      <c r="H4" s="109" t="e">
        <f>('Dist by road type'!$N14/'Dist by road type'!$D14)^'Dist by road type'!$P14*('Dist by road type'!H$82/'Dist by road type'!H$81)^H$32*H$33*H$34</f>
        <v>#REF!</v>
      </c>
      <c r="I4" s="109"/>
      <c r="J4" s="109" t="e">
        <f>('Dist by road type'!$N14/'Dist by road type'!$D14)^'Dist by road type'!$P14*('Dist by road type'!J$82/'Dist by road type'!J$81)^I$32*I$33*I$34</f>
        <v>#REF!</v>
      </c>
      <c r="K4" s="109"/>
      <c r="L4" s="109" t="e">
        <f>('Dist by road type'!$N14/'Dist by road type'!$D14)^'Dist by road type'!$P14</f>
        <v>#REF!</v>
      </c>
      <c r="M4" s="109"/>
      <c r="N4" s="109"/>
      <c r="O4" s="109"/>
      <c r="P4" s="109"/>
      <c r="Q4" s="109"/>
      <c r="R4" s="109"/>
      <c r="S4" s="109"/>
      <c r="T4" s="109"/>
      <c r="U4" s="109"/>
      <c r="V4" s="109"/>
      <c r="W4" s="109"/>
      <c r="X4" s="109"/>
      <c r="Y4" s="109"/>
      <c r="Z4" s="109"/>
      <c r="AA4" s="109"/>
      <c r="AB4" s="109"/>
      <c r="AC4" s="109"/>
      <c r="AD4" s="141"/>
      <c r="AE4" s="1152" t="s">
        <v>161</v>
      </c>
      <c r="AF4" s="106" t="s">
        <v>93</v>
      </c>
      <c r="AG4" s="109">
        <v>0.5</v>
      </c>
    </row>
    <row r="5" spans="1:33" ht="15.75" thickBot="1" x14ac:dyDescent="0.3">
      <c r="A5" s="1153"/>
      <c r="B5" s="1153"/>
      <c r="C5" s="264" t="s">
        <v>94</v>
      </c>
      <c r="D5" s="109" t="e">
        <f>('Dist by road type'!$N15/'Dist by road type'!$D15)^'Dist by road type'!$P15*('Dist by road type'!C$82/'Dist by road type'!C$81)^D$32*D$33*D$34</f>
        <v>#REF!</v>
      </c>
      <c r="E5" s="109" t="e">
        <f>('Dist by road type'!$N15/'Dist by road type'!$D15)^'Dist by road type'!$P15*('Dist by road type'!D$82/'Dist by road type'!D$81)^E$32*E$33*E$34</f>
        <v>#REF!</v>
      </c>
      <c r="F5" s="109" t="e">
        <f>('Dist by road type'!$N15/'Dist by road type'!$D15)^'Dist by road type'!$P15*('Dist by road type'!E$82/'Dist by road type'!E$81)^F$32*F$33*F$34</f>
        <v>#REF!</v>
      </c>
      <c r="G5" s="109" t="e">
        <f>('Dist by road type'!$N15/'Dist by road type'!$D15)^'Dist by road type'!$P15*(('Dist by road type'!F$82+'Dist by road type'!G$82)/('Dist by road type'!F$81+'Dist by road type'!G$81))^G$32*G$33*G$34</f>
        <v>#REF!</v>
      </c>
      <c r="H5" s="109" t="e">
        <f>('Dist by road type'!$N15/'Dist by road type'!$D15)^'Dist by road type'!$P15*('Dist by road type'!H$82/'Dist by road type'!H$81)^H$32*H$33*H$34</f>
        <v>#REF!</v>
      </c>
      <c r="I5" s="109"/>
      <c r="J5" s="109" t="e">
        <f>('Dist by road type'!$N15/'Dist by road type'!$D15)^'Dist by road type'!$P15*('Dist by road type'!J$82/'Dist by road type'!J$81)^I$32*I$33*I$34</f>
        <v>#REF!</v>
      </c>
      <c r="K5" s="109"/>
      <c r="L5" s="109" t="e">
        <f>('Dist by road type'!$N15/'Dist by road type'!$D15)^'Dist by road type'!$P15</f>
        <v>#REF!</v>
      </c>
      <c r="M5" s="109"/>
      <c r="N5" s="109"/>
      <c r="O5" s="109"/>
      <c r="P5" s="109"/>
      <c r="Q5" s="109"/>
      <c r="R5" s="109"/>
      <c r="S5" s="109"/>
      <c r="T5" s="109"/>
      <c r="U5" s="109"/>
      <c r="V5" s="109"/>
      <c r="W5" s="109"/>
      <c r="X5" s="109"/>
      <c r="Y5" s="109"/>
      <c r="Z5" s="109"/>
      <c r="AA5" s="109"/>
      <c r="AB5" s="109"/>
      <c r="AC5" s="109"/>
      <c r="AD5" s="141"/>
      <c r="AE5" s="1153"/>
      <c r="AF5" s="106" t="s">
        <v>94</v>
      </c>
      <c r="AG5" s="605">
        <v>0.5</v>
      </c>
    </row>
    <row r="6" spans="1:33" ht="15.75" thickBot="1" x14ac:dyDescent="0.3">
      <c r="A6" s="1153"/>
      <c r="B6" s="1153"/>
      <c r="C6" s="264" t="s">
        <v>95</v>
      </c>
      <c r="D6" s="109" t="e">
        <f>('Dist by road type'!$N16/'Dist by road type'!$D16)^'Dist by road type'!$P16*('Dist by road type'!C$82/'Dist by road type'!C$81)^D$32*D$33*D$34</f>
        <v>#REF!</v>
      </c>
      <c r="E6" s="109" t="e">
        <f>('Dist by road type'!$N16/'Dist by road type'!$D16)^'Dist by road type'!$P16*('Dist by road type'!D$82/'Dist by road type'!D$81)^E$32*E$33*E$34</f>
        <v>#REF!</v>
      </c>
      <c r="F6" s="109">
        <f>('Dist by road type'!$N16/'Dist by road type'!$D16)^'Dist by road type'!$P16*('Dist by road type'!E$82/'Dist by road type'!E$81)^F$32*F$33*F$34</f>
        <v>1</v>
      </c>
      <c r="G6" s="109" t="e">
        <f>('Dist by road type'!$N16/'Dist by road type'!$D16)^'Dist by road type'!$P16*(('Dist by road type'!F$82+'Dist by road type'!G$82)/('Dist by road type'!F$81+'Dist by road type'!G$81))^G$32*G$33*G$34</f>
        <v>#REF!</v>
      </c>
      <c r="H6" s="109" t="e">
        <f>('Dist by road type'!$N16/'Dist by road type'!$D16)^'Dist by road type'!$P16*('Dist by road type'!H$82/'Dist by road type'!H$81)^H$32*H$33*H$34</f>
        <v>#DIV/0!</v>
      </c>
      <c r="I6" s="109"/>
      <c r="J6" s="109">
        <f>('Dist by road type'!$N16/'Dist by road type'!$D16)^'Dist by road type'!$P16*('Dist by road type'!J$82/'Dist by road type'!J$81)^I$32*I$33*I$34</f>
        <v>0</v>
      </c>
      <c r="K6" s="109"/>
      <c r="L6" s="109">
        <f>('Dist by road type'!$N16/'Dist by road type'!$D16)^'Dist by road type'!$P16</f>
        <v>1</v>
      </c>
      <c r="M6" s="109"/>
      <c r="N6" s="109"/>
      <c r="O6" s="109"/>
      <c r="P6" s="109"/>
      <c r="Q6" s="109"/>
      <c r="R6" s="109"/>
      <c r="S6" s="109"/>
      <c r="T6" s="109"/>
      <c r="U6" s="109"/>
      <c r="V6" s="109"/>
      <c r="W6" s="109"/>
      <c r="X6" s="109"/>
      <c r="Y6" s="109"/>
      <c r="Z6" s="109"/>
      <c r="AA6" s="109"/>
      <c r="AB6" s="109"/>
      <c r="AC6" s="109"/>
      <c r="AD6" s="141"/>
      <c r="AE6" s="1153"/>
      <c r="AF6" s="142" t="s">
        <v>95</v>
      </c>
      <c r="AG6" s="605">
        <v>0.5</v>
      </c>
    </row>
    <row r="7" spans="1:33" ht="12.75" customHeight="1" thickBot="1" x14ac:dyDescent="0.3">
      <c r="A7" s="1153"/>
      <c r="B7" s="1153"/>
      <c r="C7" s="264" t="s">
        <v>165</v>
      </c>
      <c r="D7" s="109" t="e">
        <f>(('Dist by road type'!$N17+'Dist by road type'!$N18)/('Dist by road type'!$D17+'Dist by road type'!$D18))^'Dist by road type'!$P17*('Dist by road type'!C$82/'Dist by road type'!C$81)^D$32*D$33*D$34</f>
        <v>#REF!</v>
      </c>
      <c r="E7" s="109" t="e">
        <f>(('Dist by road type'!$N17+'Dist by road type'!$N18)/('Dist by road type'!$D17+'Dist by road type'!$D18))^'Dist by road type'!$P17*('Dist by road type'!D$82/'Dist by road type'!D$81)^E$32*E$33*E$34</f>
        <v>#REF!</v>
      </c>
      <c r="F7" s="109" t="e">
        <f>(('Dist by road type'!$N17+'Dist by road type'!$N18)/('Dist by road type'!$D17+'Dist by road type'!$D18))^('Dist by road type'!$P17*'Dist by road type'!E$82/'Dist by road type'!E$81)^F$32*F$33*F$34</f>
        <v>#REF!</v>
      </c>
      <c r="G7" s="109" t="e">
        <f>(('Dist by road type'!$N17+'Dist by road type'!$N18)/('Dist by road type'!$D17+'Dist by road type'!$D18))^'Dist by road type'!$P17*(('Dist by road type'!F$82+'Dist by road type'!G$82)/('Dist by road type'!F$81+'Dist by road type'!G$81))^G$32*G$33*G$34</f>
        <v>#REF!</v>
      </c>
      <c r="H7" s="109" t="e">
        <f>(('Dist by road type'!$N17+'Dist by road type'!$N18)/('Dist by road type'!$D17+'Dist by road type'!$D18))^'Dist by road type'!$P17*('Dist by road type'!H$82/'Dist by road type'!H$81)^H$32*H$33*H$34</f>
        <v>#REF!</v>
      </c>
      <c r="I7" s="109"/>
      <c r="J7" s="109" t="e">
        <f>(('Dist by road type'!$N17+'Dist by road type'!$N18)/('Dist by road type'!$D17+'Dist by road type'!$D18))^'Dist by road type'!$P17*('Dist by road type'!J$82/'Dist by road type'!J$81)^J$32*J$33*J$34</f>
        <v>#REF!</v>
      </c>
      <c r="K7" s="109"/>
      <c r="L7" s="109" t="e">
        <f>('Dist by road type'!$N17/'Dist by road type'!$D17)^'Dist by road type'!$P17</f>
        <v>#REF!</v>
      </c>
      <c r="M7" s="109"/>
      <c r="N7" s="109"/>
      <c r="O7" s="109"/>
      <c r="P7" s="109"/>
      <c r="Q7" s="109"/>
      <c r="R7" s="109"/>
      <c r="S7" s="109"/>
      <c r="T7" s="109"/>
      <c r="U7" s="109"/>
      <c r="V7" s="109"/>
      <c r="W7" s="109"/>
      <c r="X7" s="109"/>
      <c r="Y7" s="109"/>
      <c r="Z7" s="109"/>
      <c r="AA7" s="109"/>
      <c r="AB7" s="109"/>
      <c r="AC7" s="109"/>
      <c r="AD7" s="141"/>
      <c r="AE7" s="1153"/>
      <c r="AF7" s="106" t="s">
        <v>121</v>
      </c>
      <c r="AG7" s="605">
        <v>0.5</v>
      </c>
    </row>
    <row r="8" spans="1:33" ht="15.75" thickBot="1" x14ac:dyDescent="0.3">
      <c r="A8" s="1153"/>
      <c r="B8" s="1153"/>
      <c r="C8" s="264" t="s">
        <v>163</v>
      </c>
      <c r="D8" s="109" t="e">
        <f>('Dist by road type'!$N19/'Dist by road type'!$D19)^'Dist by road type'!$P19*('Dist by road type'!C$82/'Dist by road type'!C$81)^D$32*D$33*D$34</f>
        <v>#DIV/0!</v>
      </c>
      <c r="E8" s="109" t="e">
        <f>('Dist by road type'!$N19/'Dist by road type'!$D19)^'Dist by road type'!$P19*('Dist by road type'!D$82/'Dist by road type'!D$81)^E$32*E$33*E$34</f>
        <v>#DIV/0!</v>
      </c>
      <c r="F8" s="109" t="e">
        <f>('Dist by road type'!$N19/'Dist by road type'!$D19)^'Dist by road type'!$P19*('Dist by road type'!E$82/'Dist by road type'!E$81)^F$32*F$33*F$34</f>
        <v>#DIV/0!</v>
      </c>
      <c r="G8" s="109" t="e">
        <f>('Dist by road type'!$N19/'Dist by road type'!$D19)^'Dist by road type'!$P19*('Dist by road type'!F$82/'Dist by road type'!F$81)^G$32*G$33*G$34</f>
        <v>#DIV/0!</v>
      </c>
      <c r="H8" s="109" t="e">
        <f>('Dist by road type'!$N19/'Dist by road type'!$D19)^'Dist by road type'!$P19*('Dist by road type'!H$82/'Dist by road type'!H$81)^H$32*H$33*H$34</f>
        <v>#DIV/0!</v>
      </c>
      <c r="I8" s="109"/>
      <c r="J8" s="109" t="e">
        <f>('Dist by road type'!$N19/'Dist by road type'!$D19)^'Dist by road type'!$P19*('Dist by road type'!J$82/'Dist by road type'!J$81)^I$32*I$33*I$34</f>
        <v>#DIV/0!</v>
      </c>
      <c r="K8" s="109"/>
      <c r="L8" s="109" t="e">
        <f>('Dist by road type'!$N19/'Dist by road type'!$D19)^'Dist by road type'!$P18</f>
        <v>#DIV/0!</v>
      </c>
      <c r="M8" s="109"/>
      <c r="N8" s="109"/>
      <c r="O8" s="109"/>
      <c r="P8" s="109"/>
      <c r="Q8" s="109"/>
      <c r="R8" s="109"/>
      <c r="S8" s="109"/>
      <c r="T8" s="109"/>
      <c r="U8" s="109"/>
      <c r="V8" s="109"/>
      <c r="W8" s="109"/>
      <c r="X8" s="109"/>
      <c r="Y8" s="109"/>
      <c r="Z8" s="109"/>
      <c r="AA8" s="109"/>
      <c r="AB8" s="109"/>
      <c r="AC8" s="109"/>
      <c r="AD8" s="141"/>
      <c r="AE8" s="1153"/>
      <c r="AF8" s="106" t="s">
        <v>178</v>
      </c>
      <c r="AG8" s="605">
        <v>0.5</v>
      </c>
    </row>
    <row r="9" spans="1:33" ht="15.75" thickBot="1" x14ac:dyDescent="0.3">
      <c r="A9" s="1153"/>
      <c r="B9" s="1153"/>
      <c r="C9" s="264" t="s">
        <v>164</v>
      </c>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41"/>
      <c r="AE9" s="1153"/>
      <c r="AF9" s="106" t="s">
        <v>163</v>
      </c>
      <c r="AG9" s="605">
        <v>0.5</v>
      </c>
    </row>
    <row r="10" spans="1:33" ht="15.75" thickBot="1" x14ac:dyDescent="0.3">
      <c r="A10" s="1153"/>
      <c r="B10" s="1153"/>
      <c r="C10" s="264" t="s">
        <v>143</v>
      </c>
      <c r="D10" s="109" t="e">
        <f>('Dist by road type'!$N21/'Dist by road type'!$D21)^'Dist by road type'!$P21*('Dist by road type'!C$82/'Dist by road type'!C$81)^D$32*D$33*D$34</f>
        <v>#REF!</v>
      </c>
      <c r="E10" s="109" t="e">
        <f>('Dist by road type'!$N21/'Dist by road type'!$D21)^'Dist by road type'!$P21*('Dist by road type'!D$82/'Dist by road type'!D$81)^E$32*E$33*E$34</f>
        <v>#REF!</v>
      </c>
      <c r="F10" s="109">
        <f>('Dist by road type'!$N21/'Dist by road type'!$D21)^'Dist by road type'!$P21*('Dist by road type'!E$82/'Dist by road type'!E$81)^F$32*F$33*F$34</f>
        <v>0</v>
      </c>
      <c r="G10" s="109" t="e">
        <f>('Dist by road type'!$N21/'Dist by road type'!$D21)^'Dist by road type'!$P21*('Dist by road type'!F$82/'Dist by road type'!F$81)^G$32*G$33*G$34</f>
        <v>#REF!</v>
      </c>
      <c r="H10" s="109" t="e">
        <f>('Dist by road type'!$N21/'Dist by road type'!$D21)^'Dist by road type'!$P21*('Dist by road type'!H$82/'Dist by road type'!H$81)^H$32*H$33*H$34</f>
        <v>#DIV/0!</v>
      </c>
      <c r="I10" s="109"/>
      <c r="J10" s="109">
        <f>('Dist by road type'!$N21/'Dist by road type'!$D21)^'Dist by road type'!$P21*('Dist by road type'!J$82/'Dist by road type'!J$81)^I$32*I$33*I$34</f>
        <v>0</v>
      </c>
      <c r="K10" s="109"/>
      <c r="L10" s="109">
        <f>('Dist by road type'!$N21/'Dist by road type'!$D21)^'Dist by road type'!$P20</f>
        <v>0</v>
      </c>
      <c r="M10" s="109"/>
      <c r="N10" s="109"/>
      <c r="O10" s="109"/>
      <c r="P10" s="109"/>
      <c r="Q10" s="109"/>
      <c r="R10" s="109"/>
      <c r="S10" s="109"/>
      <c r="T10" s="109"/>
      <c r="U10" s="109"/>
      <c r="V10" s="109"/>
      <c r="W10" s="109"/>
      <c r="X10" s="109"/>
      <c r="Y10" s="109"/>
      <c r="Z10" s="109"/>
      <c r="AA10" s="109"/>
      <c r="AB10" s="109"/>
      <c r="AC10" s="109"/>
      <c r="AD10" s="141"/>
      <c r="AE10" s="1153"/>
      <c r="AF10" s="106" t="s">
        <v>164</v>
      </c>
      <c r="AG10" s="605">
        <v>0.5</v>
      </c>
    </row>
    <row r="11" spans="1:33" ht="15.75" thickBot="1" x14ac:dyDescent="0.3">
      <c r="A11" s="1153"/>
      <c r="B11" s="1153"/>
      <c r="C11" s="265" t="s">
        <v>123</v>
      </c>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41"/>
      <c r="AE11" s="1153"/>
      <c r="AF11" s="106" t="s">
        <v>143</v>
      </c>
      <c r="AG11" s="605">
        <v>0.5</v>
      </c>
    </row>
    <row r="12" spans="1:33" ht="15.75" thickBot="1" x14ac:dyDescent="0.3">
      <c r="A12" s="1153"/>
      <c r="B12" s="241"/>
      <c r="C12" s="130"/>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41"/>
      <c r="AE12" s="1153"/>
      <c r="AF12" s="130" t="s">
        <v>123</v>
      </c>
      <c r="AG12" s="605">
        <v>0.5</v>
      </c>
    </row>
    <row r="13" spans="1:33" ht="12.75" customHeight="1" thickBot="1" x14ac:dyDescent="0.3">
      <c r="A13" s="1153"/>
      <c r="B13" s="1152" t="s">
        <v>162</v>
      </c>
      <c r="C13" s="263" t="s">
        <v>93</v>
      </c>
      <c r="D13" s="109"/>
      <c r="E13" s="109"/>
      <c r="F13" s="109"/>
      <c r="G13" s="109"/>
      <c r="H13" s="109"/>
      <c r="I13" s="109"/>
      <c r="J13" s="109"/>
      <c r="K13" s="109"/>
      <c r="L13" s="109"/>
      <c r="M13" s="109" t="e">
        <f>('Dist by road type'!$N23/'Dist by road type'!$D23)^'Dist by road type'!$P23*('Dist by road type'!L$82/'Dist by road type'!L$81)^M$32*M$33*M$34</f>
        <v>#REF!</v>
      </c>
      <c r="N13" s="109" t="e">
        <f>('Dist by road type'!$N23/'Dist by road type'!$D23)^'Dist by road type'!$P23*('Dist by road type'!M$82/'Dist by road type'!M$81)^N$32*N$33*N$34</f>
        <v>#REF!</v>
      </c>
      <c r="O13" s="109" t="e">
        <f>('Dist by road type'!$N23/'Dist by road type'!$D23)^'Dist by road type'!$P23*('Dist by road type'!N$82/'Dist by road type'!N$81)^O$32*O$33*O$34</f>
        <v>#REF!</v>
      </c>
      <c r="P13" s="109" t="e">
        <f>('Dist by road type'!$N23/'Dist by road type'!$D23)^'Dist by road type'!$P23*(('Dist by road type'!O$82+'Dist by road type'!P$82)/('Dist by road type'!O$81+'Dist by road type'!P$81))^P$32*P$33*P$34</f>
        <v>#REF!</v>
      </c>
      <c r="Q13" s="109" t="e">
        <f>('Dist by road type'!$N23/'Dist by road type'!$D23)^'Dist by road type'!$P23*('Dist by road type'!Q$82/'Dist by road type'!Q$81)^Q$32*Q$33*Q$34</f>
        <v>#REF!</v>
      </c>
      <c r="R13" s="109"/>
      <c r="S13" s="109" t="e">
        <f>('Dist by road type'!$N23/'Dist by road type'!$D23)^'Dist by road type'!$P23*('Dist by road type'!S$82/'Dist by road type'!S$81)^R$32*R$33*R$34</f>
        <v>#REF!</v>
      </c>
      <c r="T13" s="109"/>
      <c r="U13" s="109" t="e">
        <f>('Dist by road type'!$N23/'Dist by road type'!$D23)^'Dist by road type'!$P23</f>
        <v>#REF!</v>
      </c>
      <c r="V13" s="109"/>
      <c r="W13" s="109"/>
      <c r="X13" s="109"/>
      <c r="Y13" s="109"/>
      <c r="Z13" s="109"/>
      <c r="AA13" s="109"/>
      <c r="AB13" s="109"/>
      <c r="AC13" s="109"/>
      <c r="AD13" s="141"/>
      <c r="AE13" s="1152" t="s">
        <v>162</v>
      </c>
      <c r="AF13" s="106" t="s">
        <v>93</v>
      </c>
      <c r="AG13" s="605">
        <v>0.5</v>
      </c>
    </row>
    <row r="14" spans="1:33" ht="15.75" thickBot="1" x14ac:dyDescent="0.3">
      <c r="A14" s="1153"/>
      <c r="B14" s="1153"/>
      <c r="C14" s="264" t="s">
        <v>94</v>
      </c>
      <c r="D14" s="109"/>
      <c r="E14" s="109"/>
      <c r="F14" s="109"/>
      <c r="G14" s="109"/>
      <c r="H14" s="109"/>
      <c r="I14" s="109"/>
      <c r="J14" s="109"/>
      <c r="K14" s="109"/>
      <c r="L14" s="109"/>
      <c r="M14" s="109" t="e">
        <f>('Dist by road type'!$N24/'Dist by road type'!$D24)^'Dist by road type'!$P24*('Dist by road type'!L$82/'Dist by road type'!L$81)^M$32*M$33*M$34</f>
        <v>#REF!</v>
      </c>
      <c r="N14" s="109" t="e">
        <f>('Dist by road type'!$N24/'Dist by road type'!$D24)^'Dist by road type'!$P24*('Dist by road type'!M$82/'Dist by road type'!M$81)^N$32*N$33*N$34</f>
        <v>#REF!</v>
      </c>
      <c r="O14" s="109" t="e">
        <f>('Dist by road type'!$N24/'Dist by road type'!$D24)^'Dist by road type'!$P24*('Dist by road type'!N$82/'Dist by road type'!N$81)^O$32*O$33*O$34</f>
        <v>#REF!</v>
      </c>
      <c r="P14" s="109" t="e">
        <f>('Dist by road type'!$N24/'Dist by road type'!$D24)^'Dist by road type'!$P24*(('Dist by road type'!O$82+'Dist by road type'!P$82)/('Dist by road type'!O$81+'Dist by road type'!P$81))^P$32*P$33*P$34</f>
        <v>#REF!</v>
      </c>
      <c r="Q14" s="109" t="e">
        <f>('Dist by road type'!$N24/'Dist by road type'!$D24)^'Dist by road type'!$P24*('Dist by road type'!Q$82/'Dist by road type'!Q$81)^Q$32*Q$33*Q$34</f>
        <v>#REF!</v>
      </c>
      <c r="R14" s="109"/>
      <c r="S14" s="109" t="e">
        <f>('Dist by road type'!$N24/'Dist by road type'!$D24)^'Dist by road type'!$P24*('Dist by road type'!S$82/'Dist by road type'!S$81)^R$32*R$33*R$34</f>
        <v>#REF!</v>
      </c>
      <c r="T14" s="109"/>
      <c r="U14" s="109" t="e">
        <f>('Dist by road type'!$N24/'Dist by road type'!$D24)^'Dist by road type'!$P24</f>
        <v>#REF!</v>
      </c>
      <c r="V14" s="109"/>
      <c r="W14" s="109"/>
      <c r="X14" s="109"/>
      <c r="Y14" s="109"/>
      <c r="Z14" s="109"/>
      <c r="AA14" s="109"/>
      <c r="AB14" s="109"/>
      <c r="AC14" s="109"/>
      <c r="AD14" s="141"/>
      <c r="AE14" s="1153"/>
      <c r="AF14" s="106" t="s">
        <v>94</v>
      </c>
      <c r="AG14" s="605">
        <v>0.5</v>
      </c>
    </row>
    <row r="15" spans="1:33" ht="15.75" thickBot="1" x14ac:dyDescent="0.3">
      <c r="A15" s="1153"/>
      <c r="B15" s="1153"/>
      <c r="C15" s="264" t="s">
        <v>95</v>
      </c>
      <c r="D15" s="109"/>
      <c r="E15" s="109"/>
      <c r="F15" s="109"/>
      <c r="G15" s="109"/>
      <c r="H15" s="109"/>
      <c r="I15" s="109"/>
      <c r="J15" s="109"/>
      <c r="K15" s="109"/>
      <c r="L15" s="109"/>
      <c r="M15" s="109" t="e">
        <f>('Dist by road type'!$N25/'Dist by road type'!$D25)^'Dist by road type'!$P25*('Dist by road type'!L$82/'Dist by road type'!L$81)^M$32*M$33*M$34</f>
        <v>#REF!</v>
      </c>
      <c r="N15" s="109" t="e">
        <f>('Dist by road type'!$N25/'Dist by road type'!$D25)^'Dist by road type'!$P25*('Dist by road type'!M$82/'Dist by road type'!M$81)^N$32*N$33*N$34</f>
        <v>#REF!</v>
      </c>
      <c r="O15" s="109">
        <f>('Dist by road type'!$N25/'Dist by road type'!$D25)^'Dist by road type'!$P25*('Dist by road type'!N$82/'Dist by road type'!N$81)^O$32*O$33*O$34</f>
        <v>1</v>
      </c>
      <c r="P15" s="109" t="e">
        <f>('Dist by road type'!$N25/'Dist by road type'!$D25)^'Dist by road type'!$P25*(('Dist by road type'!O$82+'Dist by road type'!P$82)/('Dist by road type'!O$81+'Dist by road type'!P$81))^P$32*P$33*P$34</f>
        <v>#REF!</v>
      </c>
      <c r="Q15" s="109" t="e">
        <f>('Dist by road type'!$N25/'Dist by road type'!$D25)^'Dist by road type'!$P25*('Dist by road type'!Q$82/'Dist by road type'!Q$81)^Q$32*Q$33*Q$34</f>
        <v>#DIV/0!</v>
      </c>
      <c r="R15" s="109"/>
      <c r="S15" s="109">
        <f>('Dist by road type'!$N25/'Dist by road type'!$D25)^'Dist by road type'!$P25*('Dist by road type'!S$82/'Dist by road type'!S$81)^R$32*R$33*R$34</f>
        <v>0</v>
      </c>
      <c r="T15" s="109"/>
      <c r="U15" s="109">
        <f>('Dist by road type'!$N25/'Dist by road type'!$D25)^'Dist by road type'!$P25</f>
        <v>1</v>
      </c>
      <c r="V15" s="109"/>
      <c r="W15" s="109"/>
      <c r="X15" s="109"/>
      <c r="Y15" s="109"/>
      <c r="Z15" s="109"/>
      <c r="AA15" s="109"/>
      <c r="AB15" s="109"/>
      <c r="AC15" s="109"/>
      <c r="AD15" s="141"/>
      <c r="AE15" s="1153"/>
      <c r="AF15" s="142" t="s">
        <v>95</v>
      </c>
      <c r="AG15" s="605">
        <v>0.5</v>
      </c>
    </row>
    <row r="16" spans="1:33" ht="12.75" customHeight="1" thickBot="1" x14ac:dyDescent="0.3">
      <c r="A16" s="1153"/>
      <c r="B16" s="1153"/>
      <c r="C16" s="264" t="s">
        <v>165</v>
      </c>
      <c r="D16" s="109"/>
      <c r="E16" s="109"/>
      <c r="F16" s="109"/>
      <c r="G16" s="109"/>
      <c r="H16" s="109"/>
      <c r="I16" s="109"/>
      <c r="J16" s="109"/>
      <c r="K16" s="109"/>
      <c r="L16" s="109"/>
      <c r="M16" s="109" t="e">
        <f>(('Dist by road type'!$N26+'Dist by road type'!$N27)/('Dist by road type'!$D26+'Dist by road type'!$D27))^'Dist by road type'!$P26*('Dist by road type'!L$82/'Dist by road type'!L$81)^M$32*M$33*M$34</f>
        <v>#REF!</v>
      </c>
      <c r="N16" s="109" t="e">
        <f>(('Dist by road type'!$N26+'Dist by road type'!$N27)/('Dist by road type'!$D26+'Dist by road type'!$D27))^'Dist by road type'!$P26*('Dist by road type'!M$82/'Dist by road type'!M$81)^N$32*N$33*N$34</f>
        <v>#REF!</v>
      </c>
      <c r="O16" s="109" t="e">
        <f>(('Dist by road type'!$N26+'Dist by road type'!$N27)/('Dist by road type'!$D26+'Dist by road type'!$D27))^('Dist by road type'!$P26*'Dist by road type'!N$82/'Dist by road type'!N$81)^O$32*O$33*O$34</f>
        <v>#REF!</v>
      </c>
      <c r="P16" s="109" t="e">
        <f>(('Dist by road type'!$N26+'Dist by road type'!$N27)/('Dist by road type'!$D26+'Dist by road type'!$D27))^'Dist by road type'!$P26*(('Dist by road type'!O$82+'Dist by road type'!P$82)/('Dist by road type'!O$81+'Dist by road type'!P$81))^P$32*P$33*P$34</f>
        <v>#REF!</v>
      </c>
      <c r="Q16" s="109" t="e">
        <f>(('Dist by road type'!$N26+'Dist by road type'!$N27)/('Dist by road type'!$D26+'Dist by road type'!$D27))^'Dist by road type'!$P26*('Dist by road type'!Q$82/'Dist by road type'!Q$81)^Q$32*Q$33*Q$34</f>
        <v>#REF!</v>
      </c>
      <c r="R16" s="109"/>
      <c r="S16" s="109" t="e">
        <f>(('Dist by road type'!$N26+'Dist by road type'!$N27)/('Dist by road type'!$D26+'Dist by road type'!$D27))^'Dist by road type'!$P26*('Dist by road type'!S$82/'Dist by road type'!S$81)^S$32*S$33*S$34</f>
        <v>#REF!</v>
      </c>
      <c r="T16" s="109"/>
      <c r="U16" s="109" t="e">
        <f>('Dist by road type'!$N26/'Dist by road type'!$D26)^'Dist by road type'!$P26</f>
        <v>#REF!</v>
      </c>
      <c r="V16" s="109"/>
      <c r="W16" s="109"/>
      <c r="X16" s="109"/>
      <c r="Y16" s="109"/>
      <c r="Z16" s="109"/>
      <c r="AA16" s="109"/>
      <c r="AB16" s="109"/>
      <c r="AC16" s="109"/>
      <c r="AD16" s="141"/>
      <c r="AE16" s="1153"/>
      <c r="AF16" s="106" t="s">
        <v>121</v>
      </c>
      <c r="AG16" s="605">
        <v>0.5</v>
      </c>
    </row>
    <row r="17" spans="1:33" ht="15.75" thickBot="1" x14ac:dyDescent="0.3">
      <c r="A17" s="1153"/>
      <c r="B17" s="1153"/>
      <c r="C17" s="264" t="s">
        <v>163</v>
      </c>
      <c r="D17" s="109"/>
      <c r="E17" s="109"/>
      <c r="F17" s="109"/>
      <c r="G17" s="109"/>
      <c r="H17" s="109"/>
      <c r="I17" s="109"/>
      <c r="J17" s="109"/>
      <c r="K17" s="109"/>
      <c r="L17" s="109"/>
      <c r="M17" s="109" t="e">
        <f>('Dist by road type'!$N28/'Dist by road type'!$D28)^'Dist by road type'!$P28*('Dist by road type'!L$82/'Dist by road type'!L$81)^M$32*M$33*M$34</f>
        <v>#DIV/0!</v>
      </c>
      <c r="N17" s="109" t="e">
        <f>('Dist by road type'!$N28/'Dist by road type'!$D28)^'Dist by road type'!$P28*('Dist by road type'!M$82/'Dist by road type'!M$81)^N$32*N$33*N$34</f>
        <v>#DIV/0!</v>
      </c>
      <c r="O17" s="109" t="e">
        <f>('Dist by road type'!$N28/'Dist by road type'!$D28)^'Dist by road type'!$P28*('Dist by road type'!N$82/'Dist by road type'!N$81)^O$32*O$33*O$34</f>
        <v>#DIV/0!</v>
      </c>
      <c r="P17" s="109" t="e">
        <f>('Dist by road type'!$N28/'Dist by road type'!$D28)^'Dist by road type'!$P28*('Dist by road type'!O$82/'Dist by road type'!O$81)^P$32*P$33*P$34</f>
        <v>#DIV/0!</v>
      </c>
      <c r="Q17" s="109" t="e">
        <f>('Dist by road type'!$N28/'Dist by road type'!$D28)^'Dist by road type'!$P28*('Dist by road type'!Q$82/'Dist by road type'!Q$81)^Q$32*Q$33*Q$34</f>
        <v>#DIV/0!</v>
      </c>
      <c r="R17" s="109"/>
      <c r="S17" s="109" t="e">
        <f>('Dist by road type'!$N28/'Dist by road type'!$D28)^'Dist by road type'!$P28*('Dist by road type'!S$82/'Dist by road type'!S$81)^R$32*R$33*R$34</f>
        <v>#DIV/0!</v>
      </c>
      <c r="T17" s="109"/>
      <c r="U17" s="109" t="e">
        <f>('Dist by road type'!$N28/'Dist by road type'!$D28)^'Dist by road type'!$P27</f>
        <v>#DIV/0!</v>
      </c>
      <c r="V17" s="109"/>
      <c r="W17" s="109"/>
      <c r="X17" s="109"/>
      <c r="Y17" s="109"/>
      <c r="Z17" s="109"/>
      <c r="AA17" s="109"/>
      <c r="AB17" s="109"/>
      <c r="AC17" s="109"/>
      <c r="AD17" s="141"/>
      <c r="AE17" s="1153"/>
      <c r="AF17" s="106" t="s">
        <v>178</v>
      </c>
      <c r="AG17" s="605">
        <v>0.5</v>
      </c>
    </row>
    <row r="18" spans="1:33" ht="15.75" thickBot="1" x14ac:dyDescent="0.3">
      <c r="A18" s="1153"/>
      <c r="B18" s="1153"/>
      <c r="C18" s="264" t="s">
        <v>164</v>
      </c>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41"/>
      <c r="AE18" s="1153"/>
      <c r="AF18" s="106" t="s">
        <v>163</v>
      </c>
      <c r="AG18" s="605">
        <v>0.5</v>
      </c>
    </row>
    <row r="19" spans="1:33" ht="15.75" thickBot="1" x14ac:dyDescent="0.3">
      <c r="A19" s="1153"/>
      <c r="B19" s="1153"/>
      <c r="C19" s="264" t="s">
        <v>143</v>
      </c>
      <c r="D19" s="109"/>
      <c r="E19" s="109"/>
      <c r="F19" s="109"/>
      <c r="G19" s="109"/>
      <c r="H19" s="109"/>
      <c r="I19" s="109"/>
      <c r="J19" s="109"/>
      <c r="K19" s="109"/>
      <c r="L19" s="109"/>
      <c r="M19" s="109" t="e">
        <f>('Dist by road type'!$N30/'Dist by road type'!$D30)^'Dist by road type'!$P30*('Dist by road type'!L$82/'Dist by road type'!L$81)^M$32*M$33*M$34</f>
        <v>#REF!</v>
      </c>
      <c r="N19" s="109" t="e">
        <f>('Dist by road type'!$N30/'Dist by road type'!$D30)^'Dist by road type'!$P30*('Dist by road type'!M$82/'Dist by road type'!M$81)^N$32*N$33*N$34</f>
        <v>#REF!</v>
      </c>
      <c r="O19" s="109">
        <f>('Dist by road type'!$N30/'Dist by road type'!$D30)^'Dist by road type'!$P30*('Dist by road type'!N$82/'Dist by road type'!N$81)^O$32*O$33*O$34</f>
        <v>0</v>
      </c>
      <c r="P19" s="109" t="e">
        <f>('Dist by road type'!$N30/'Dist by road type'!$D30)^'Dist by road type'!$P30*('Dist by road type'!O$82/'Dist by road type'!O$81)^P$32*P$33*P$34</f>
        <v>#REF!</v>
      </c>
      <c r="Q19" s="109" t="e">
        <f>('Dist by road type'!$N30/'Dist by road type'!$D30)^'Dist by road type'!$P30*('Dist by road type'!Q$82/'Dist by road type'!Q$81)^Q$32*Q$33*Q$34</f>
        <v>#DIV/0!</v>
      </c>
      <c r="R19" s="109"/>
      <c r="S19" s="109">
        <f>('Dist by road type'!$N30/'Dist by road type'!$D30)^'Dist by road type'!$P30*('Dist by road type'!S$82/'Dist by road type'!S$81)^R$32*R$33*R$34</f>
        <v>0</v>
      </c>
      <c r="T19" s="109"/>
      <c r="U19" s="109">
        <f>('Dist by road type'!$N30/'Dist by road type'!$D30)^'Dist by road type'!$P29</f>
        <v>0</v>
      </c>
      <c r="V19" s="109"/>
      <c r="W19" s="109"/>
      <c r="X19" s="109"/>
      <c r="Y19" s="109"/>
      <c r="Z19" s="109"/>
      <c r="AA19" s="109"/>
      <c r="AB19" s="109"/>
      <c r="AC19" s="109"/>
      <c r="AD19" s="141"/>
      <c r="AE19" s="1153"/>
      <c r="AF19" s="106" t="s">
        <v>164</v>
      </c>
      <c r="AG19" s="605">
        <v>0.5</v>
      </c>
    </row>
    <row r="20" spans="1:33" ht="15.75" thickBot="1" x14ac:dyDescent="0.3">
      <c r="A20" s="1153"/>
      <c r="B20" s="1153"/>
      <c r="C20" s="265" t="s">
        <v>123</v>
      </c>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41"/>
      <c r="AE20" s="1153"/>
      <c r="AF20" s="106" t="s">
        <v>143</v>
      </c>
      <c r="AG20" s="605">
        <v>0.5</v>
      </c>
    </row>
    <row r="21" spans="1:33" ht="15.75" thickBot="1" x14ac:dyDescent="0.3">
      <c r="A21" s="1153"/>
      <c r="B21" s="241"/>
      <c r="C21" s="130"/>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41"/>
      <c r="AE21" s="1153"/>
      <c r="AF21" s="130" t="s">
        <v>123</v>
      </c>
      <c r="AG21" s="605">
        <v>0.5</v>
      </c>
    </row>
    <row r="22" spans="1:33" ht="15.75" thickBot="1" x14ac:dyDescent="0.3">
      <c r="A22" s="1153"/>
      <c r="B22" s="1152" t="s">
        <v>166</v>
      </c>
      <c r="C22" s="263" t="s">
        <v>93</v>
      </c>
      <c r="D22" s="109"/>
      <c r="E22" s="109"/>
      <c r="F22" s="109"/>
      <c r="G22" s="109"/>
      <c r="H22" s="109"/>
      <c r="I22" s="109"/>
      <c r="J22" s="109"/>
      <c r="K22" s="109"/>
      <c r="L22" s="109"/>
      <c r="M22" s="109"/>
      <c r="N22" s="109"/>
      <c r="O22" s="109"/>
      <c r="P22" s="109"/>
      <c r="Q22" s="109"/>
      <c r="R22" s="109"/>
      <c r="S22" s="109"/>
      <c r="T22" s="109"/>
      <c r="U22" s="109"/>
      <c r="V22" s="109" t="e">
        <f>IF('Dist by road type'!U$81=0,0,IF('Dist by road type'!$D32=0,0,('Dist by road type'!$N32/'Dist by road type'!$D32)^'Dist by road type'!$P32*('Dist by road type'!U$82/'Dist by road type'!U$81)^V$32*V$33*V$34))</f>
        <v>#REF!</v>
      </c>
      <c r="W22" s="109" t="e">
        <f>IF('Dist by road type'!V$81=0,0,IF('Dist by road type'!$D32=0,0,('Dist by road type'!$N32/'Dist by road type'!$D32)^'Dist by road type'!$P32*('Dist by road type'!V$82/'Dist by road type'!V$81)^W$32*W$33*W$34))</f>
        <v>#REF!</v>
      </c>
      <c r="X22" s="109" t="e">
        <f>IF('Dist by road type'!W$81=0,0,IF('Dist by road type'!$D32=0,0,('Dist by road type'!$N32/'Dist by road type'!$D32)^'Dist by road type'!$P32*('Dist by road type'!W$82/'Dist by road type'!W$81)^X$32*X$33*X$34))</f>
        <v>#REF!</v>
      </c>
      <c r="Y22" s="109" t="e">
        <f>IF(('Dist by road type'!X$81+'Dist by road type'!Y$81)=0,0,IF('Dist by road type'!$D32=0,0,('Dist by road type'!$N32/'Dist by road type'!$D32)^'Dist by road type'!$P32*(('Dist by road type'!X$82+'Dist by road type'!Y$82)/('Dist by road type'!X$81+'Dist by road type'!Y$81))^Y$32*Y$33*Y$34))</f>
        <v>#REF!</v>
      </c>
      <c r="Z22" s="109">
        <f>IF('Dist by road type'!Z$81=0,0,IF('Dist by road type'!$D32=0,0,('Dist by road type'!$N32/'Dist by road type'!$D32)^'Dist by road type'!$P32*('Dist by road type'!Z$82/'Dist by road type'!Z$81)^Z$32*Z$33*Z$34))</f>
        <v>0</v>
      </c>
      <c r="AA22" s="109"/>
      <c r="AB22" s="109" t="e">
        <f>IF('Dist by road type'!AB$81=0,0,IF('Dist by road type'!$D32=0,0,('Dist by road type'!$N32/'Dist by road type'!$D32)^'Dist by road type'!$P32*('Dist by road type'!AB$82/'Dist by road type'!AB$81)^AA$32*AA$33*AA$34))</f>
        <v>#REF!</v>
      </c>
      <c r="AC22" s="109"/>
      <c r="AD22" s="109" t="e">
        <f>IF('Dist by road type'!$D32=0,0,('Dist by road type'!$N32/'Dist by road type'!$D32)^'Dist by road type'!$P32)</f>
        <v>#REF!</v>
      </c>
      <c r="AE22" s="1152" t="s">
        <v>166</v>
      </c>
      <c r="AF22" s="106" t="s">
        <v>93</v>
      </c>
      <c r="AG22" s="605">
        <v>0.5</v>
      </c>
    </row>
    <row r="23" spans="1:33" ht="15.75" thickBot="1" x14ac:dyDescent="0.3">
      <c r="A23" s="1153"/>
      <c r="B23" s="1153"/>
      <c r="C23" s="264" t="s">
        <v>94</v>
      </c>
      <c r="D23" s="109"/>
      <c r="E23" s="109"/>
      <c r="F23" s="109"/>
      <c r="G23" s="109"/>
      <c r="H23" s="109"/>
      <c r="I23" s="109"/>
      <c r="J23" s="109"/>
      <c r="K23" s="109"/>
      <c r="L23" s="109"/>
      <c r="M23" s="109"/>
      <c r="N23" s="109"/>
      <c r="O23" s="109"/>
      <c r="P23" s="109"/>
      <c r="Q23" s="109"/>
      <c r="R23" s="109"/>
      <c r="S23" s="109"/>
      <c r="T23" s="109"/>
      <c r="U23" s="109"/>
      <c r="V23" s="109" t="e">
        <f>IF('Dist by road type'!U$81=0,0,IF('Dist by road type'!$D33=0,0,('Dist by road type'!$N33/'Dist by road type'!$D33)^'Dist by road type'!$P33*('Dist by road type'!U$82/'Dist by road type'!U$81)^V$32*V$33*V$34))</f>
        <v>#REF!</v>
      </c>
      <c r="W23" s="109" t="e">
        <f>IF('Dist by road type'!V$81=0,0,IF('Dist by road type'!$D33=0,0,('Dist by road type'!$N33/'Dist by road type'!$D33)^'Dist by road type'!$P33*('Dist by road type'!V$82/'Dist by road type'!V$81)^W$32*W$33*W$34))</f>
        <v>#REF!</v>
      </c>
      <c r="X23" s="109" t="e">
        <f>IF('Dist by road type'!W$81=0,0,IF('Dist by road type'!$D33=0,0,('Dist by road type'!$N33/'Dist by road type'!$D33)^'Dist by road type'!$P33*('Dist by road type'!W$82/'Dist by road type'!W$81)^X$32*X$33*X$34))</f>
        <v>#REF!</v>
      </c>
      <c r="Y23" s="109" t="e">
        <f>IF(('Dist by road type'!X$81+'Dist by road type'!Y$81)=0,0,IF('Dist by road type'!$D33=0,0,('Dist by road type'!$N33/'Dist by road type'!$D33)^'Dist by road type'!$P33*(('Dist by road type'!X$82+'Dist by road type'!Y$82)/('Dist by road type'!X$81+'Dist by road type'!Y$81))^Y$32*Y$33*Y$34))</f>
        <v>#REF!</v>
      </c>
      <c r="Z23" s="109">
        <f>IF('Dist by road type'!Z$81=0,0,IF('Dist by road type'!$D33=0,0,('Dist by road type'!$N33/'Dist by road type'!$D33)^'Dist by road type'!$P33*('Dist by road type'!Z$82/'Dist by road type'!Z$81)^Z$32*Z$33*Z$34))</f>
        <v>0</v>
      </c>
      <c r="AA23" s="109"/>
      <c r="AB23" s="109" t="e">
        <f>IF('Dist by road type'!AB$81=0,0,IF('Dist by road type'!$D33=0,0,('Dist by road type'!$N33/'Dist by road type'!$D33)^'Dist by road type'!$P33*('Dist by road type'!AB$82/'Dist by road type'!AB$81)^AA$32*AA$33*AA$34))</f>
        <v>#REF!</v>
      </c>
      <c r="AC23" s="109"/>
      <c r="AD23" s="109" t="e">
        <f>IF('Dist by road type'!$D33=0,0,('Dist by road type'!$N33/'Dist by road type'!$D33)^'Dist by road type'!$P33)</f>
        <v>#REF!</v>
      </c>
      <c r="AE23" s="1153"/>
      <c r="AF23" s="106" t="s">
        <v>94</v>
      </c>
      <c r="AG23" s="605">
        <v>0.5</v>
      </c>
    </row>
    <row r="24" spans="1:33" ht="15.75" thickBot="1" x14ac:dyDescent="0.3">
      <c r="A24" s="1153"/>
      <c r="B24" s="1153"/>
      <c r="C24" s="264" t="s">
        <v>95</v>
      </c>
      <c r="D24" s="109"/>
      <c r="E24" s="109"/>
      <c r="F24" s="109"/>
      <c r="G24" s="109"/>
      <c r="H24" s="109"/>
      <c r="I24" s="109"/>
      <c r="J24" s="109"/>
      <c r="K24" s="109"/>
      <c r="L24" s="109"/>
      <c r="M24" s="109"/>
      <c r="N24" s="109"/>
      <c r="O24" s="109"/>
      <c r="P24" s="109"/>
      <c r="Q24" s="109"/>
      <c r="R24" s="109"/>
      <c r="S24" s="109"/>
      <c r="T24" s="109"/>
      <c r="U24" s="109"/>
      <c r="V24" s="109" t="e">
        <f>IF('Dist by road type'!U$81=0,0,IF('Dist by road type'!$D34=0,0,('Dist by road type'!$N34/'Dist by road type'!$D34)^'Dist by road type'!$P34*('Dist by road type'!U$82/'Dist by road type'!U$81)^V$32*V$33*V$34))</f>
        <v>#REF!</v>
      </c>
      <c r="W24" s="109" t="e">
        <f>IF('Dist by road type'!V$81=0,0,IF('Dist by road type'!$D34=0,0,('Dist by road type'!$N34/'Dist by road type'!$D34)^'Dist by road type'!$P34*('Dist by road type'!V$82/'Dist by road type'!V$81)^W$32*W$33*W$34))</f>
        <v>#REF!</v>
      </c>
      <c r="X24" s="109">
        <f>('Dist by road type'!$N34/'Dist by road type'!$D34)^'Dist by road type'!$P34*('Dist by road type'!W$82/'Dist by road type'!W$81)^X$32*X$33*X$34</f>
        <v>1</v>
      </c>
      <c r="Y24" s="109" t="e">
        <f>('Dist by road type'!$N34/'Dist by road type'!$D34)^'Dist by road type'!$P34*(('Dist by road type'!X$82+'Dist by road type'!Y$82)/('Dist by road type'!X$81+'Dist by road type'!Y$81))^Y$32*Y$33*Y$34</f>
        <v>#REF!</v>
      </c>
      <c r="Z24" s="109" t="e">
        <f>('Dist by road type'!$N34/'Dist by road type'!$D34)^'Dist by road type'!$P34*('Dist by road type'!Z$82/'Dist by road type'!Z$81)^Z$32*Z$33*Z$34</f>
        <v>#DIV/0!</v>
      </c>
      <c r="AA24" s="109"/>
      <c r="AB24" s="109">
        <f>('Dist by road type'!$N34/'Dist by road type'!$D34)^'Dist by road type'!$P34*('Dist by road type'!AB$82/'Dist by road type'!AB$81)^AA$32*AA$33*AA$34</f>
        <v>0</v>
      </c>
      <c r="AC24" s="109"/>
      <c r="AD24" s="109">
        <f>('Dist by road type'!$N34/'Dist by road type'!$D34)^'Dist by road type'!$P34</f>
        <v>1</v>
      </c>
      <c r="AE24" s="1153"/>
      <c r="AF24" s="142" t="s">
        <v>95</v>
      </c>
      <c r="AG24" s="605">
        <v>0.5</v>
      </c>
    </row>
    <row r="25" spans="1:33" ht="15.75" thickBot="1" x14ac:dyDescent="0.3">
      <c r="A25" s="1153"/>
      <c r="B25" s="1153"/>
      <c r="C25" s="264" t="s">
        <v>165</v>
      </c>
      <c r="D25" s="109"/>
      <c r="E25" s="109"/>
      <c r="F25" s="109"/>
      <c r="G25" s="109"/>
      <c r="H25" s="109"/>
      <c r="I25" s="109"/>
      <c r="J25" s="109"/>
      <c r="K25" s="109"/>
      <c r="L25" s="109"/>
      <c r="M25" s="109"/>
      <c r="N25" s="109"/>
      <c r="O25" s="109"/>
      <c r="P25" s="109"/>
      <c r="Q25" s="109"/>
      <c r="R25" s="109"/>
      <c r="S25" s="109"/>
      <c r="T25" s="109"/>
      <c r="U25" s="109"/>
      <c r="V25" s="109" t="e">
        <f>IF('Dist by road type'!U$81=0,0,IF(('Dist by road type'!$D35+'Dist by road type'!$D36)=0,0,(('Dist by road type'!$N35+'Dist by road type'!$N36)/('Dist by road type'!$D35+'Dist by road type'!$D36))^'Dist by road type'!$P35*('Dist by road type'!U$82/'Dist by road type'!U$81)^V$32*V$33*V$34))</f>
        <v>#REF!</v>
      </c>
      <c r="W25" s="109" t="e">
        <f>IF('Dist by road type'!V$81=0,0,IF(('Dist by road type'!$D35+'Dist by road type'!$D36)=0,0,(('Dist by road type'!$N35+'Dist by road type'!$N36)/('Dist by road type'!$D35+'Dist by road type'!$D36))^'Dist by road type'!$P35*('Dist by road type'!V$82/'Dist by road type'!V$81)^W$32*W$33*W$34))</f>
        <v>#REF!</v>
      </c>
      <c r="X25" s="109" t="e">
        <f>(('Dist by road type'!$N35+'Dist by road type'!$N36)/('Dist by road type'!$D35+'Dist by road type'!$D36))^('Dist by road type'!$P35*'Dist by road type'!W$82/'Dist by road type'!W$81)^X$32*X$33*X$34</f>
        <v>#REF!</v>
      </c>
      <c r="Y25" s="109" t="e">
        <f>(('Dist by road type'!$N35+'Dist by road type'!$N36)/('Dist by road type'!$D35+'Dist by road type'!$D36))^'Dist by road type'!$P35*(('Dist by road type'!X$82+'Dist by road type'!Y$82)/('Dist by road type'!X$81+'Dist by road type'!Y$81))^Y$32*Y$33*Y$34</f>
        <v>#REF!</v>
      </c>
      <c r="Z25" s="109" t="e">
        <f>(('Dist by road type'!$N35+'Dist by road type'!$N36)/('Dist by road type'!$D35+'Dist by road type'!$D36))^'Dist by road type'!$P35*('Dist by road type'!Z$82/'Dist by road type'!Z$81)^Z$32*Z$33*Z$34</f>
        <v>#REF!</v>
      </c>
      <c r="AA25" s="109"/>
      <c r="AB25" s="109" t="e">
        <f>(('Dist by road type'!$N35+'Dist by road type'!$N36)/('Dist by road type'!$D35+'Dist by road type'!$D36))^'Dist by road type'!$P35*('Dist by road type'!AB$82/'Dist by road type'!AB$81)^AB$32*AB$33*AB$34</f>
        <v>#REF!</v>
      </c>
      <c r="AC25" s="109"/>
      <c r="AD25" s="109" t="e">
        <f>('Dist by road type'!$N35/'Dist by road type'!$D35)^'Dist by road type'!$P35</f>
        <v>#REF!</v>
      </c>
      <c r="AE25" s="1153"/>
      <c r="AF25" s="106" t="s">
        <v>121</v>
      </c>
      <c r="AG25" s="605">
        <v>0.5</v>
      </c>
    </row>
    <row r="26" spans="1:33" ht="15.75" thickBot="1" x14ac:dyDescent="0.3">
      <c r="A26" s="1153"/>
      <c r="B26" s="1153"/>
      <c r="C26" s="264" t="s">
        <v>163</v>
      </c>
      <c r="D26" s="109"/>
      <c r="E26" s="109"/>
      <c r="F26" s="109"/>
      <c r="G26" s="109"/>
      <c r="H26" s="109"/>
      <c r="I26" s="109"/>
      <c r="J26" s="109"/>
      <c r="K26" s="109"/>
      <c r="L26" s="109"/>
      <c r="M26" s="109"/>
      <c r="N26" s="109"/>
      <c r="O26" s="109"/>
      <c r="P26" s="109"/>
      <c r="Q26" s="109"/>
      <c r="R26" s="109"/>
      <c r="S26" s="109"/>
      <c r="T26" s="109"/>
      <c r="U26" s="109"/>
      <c r="V26" s="109" t="e">
        <f>IF('Dist by road type'!U$81=0,0,IF('Dist by road type'!$D37=0,0,('Dist by road type'!$N37/'Dist by road type'!$D37)^'Dist by road type'!$P37*('Dist by road type'!U$82/'Dist by road type'!U$81)^V$32*V$33*V$34))</f>
        <v>#REF!</v>
      </c>
      <c r="W26" s="109" t="e">
        <f>IF('Dist by road type'!V$81=0,0,IF('Dist by road type'!$D37=0,0,('Dist by road type'!$N37/'Dist by road type'!$D37)^'Dist by road type'!$P37*('Dist by road type'!V$82/'Dist by road type'!V$81)^W$32*W$33*W$34))</f>
        <v>#REF!</v>
      </c>
      <c r="X26" s="109" t="e">
        <f>('Dist by road type'!$N37/'Dist by road type'!$D37)^'Dist by road type'!$P37*('Dist by road type'!W$82/'Dist by road type'!W$81)^X$32*X$33*X$34</f>
        <v>#DIV/0!</v>
      </c>
      <c r="Y26" s="109" t="e">
        <f>('Dist by road type'!$N37/'Dist by road type'!$D37)^'Dist by road type'!$P37*('Dist by road type'!X$82/'Dist by road type'!X$81)^Y$32*Y$33*Y$34</f>
        <v>#DIV/0!</v>
      </c>
      <c r="Z26" s="109" t="e">
        <f>('Dist by road type'!$N37/'Dist by road type'!$D37)^'Dist by road type'!$P37*('Dist by road type'!Z$82/'Dist by road type'!Z$81)^Z$32*Z$33*Z$34</f>
        <v>#DIV/0!</v>
      </c>
      <c r="AA26" s="109"/>
      <c r="AB26" s="109" t="e">
        <f>('Dist by road type'!$N37/'Dist by road type'!$D37)^'Dist by road type'!$P37*('Dist by road type'!AB$82/'Dist by road type'!AB$81)^AA$32*AA$33*AA$34</f>
        <v>#DIV/0!</v>
      </c>
      <c r="AC26" s="109"/>
      <c r="AD26" s="109" t="e">
        <f>('Dist by road type'!$N37/'Dist by road type'!$D37)^'Dist by road type'!$P36</f>
        <v>#DIV/0!</v>
      </c>
      <c r="AE26" s="1153"/>
      <c r="AF26" s="106" t="s">
        <v>178</v>
      </c>
      <c r="AG26" s="605">
        <v>0.5</v>
      </c>
    </row>
    <row r="27" spans="1:33" ht="15.75" thickBot="1" x14ac:dyDescent="0.3">
      <c r="A27" s="1153"/>
      <c r="B27" s="1153"/>
      <c r="C27" s="264" t="s">
        <v>164</v>
      </c>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153"/>
      <c r="AF27" s="106" t="s">
        <v>163</v>
      </c>
      <c r="AG27" s="605">
        <v>0.5</v>
      </c>
    </row>
    <row r="28" spans="1:33" ht="15.75" thickBot="1" x14ac:dyDescent="0.3">
      <c r="A28" s="1153"/>
      <c r="B28" s="1153"/>
      <c r="C28" s="264" t="s">
        <v>143</v>
      </c>
      <c r="D28" s="109"/>
      <c r="E28" s="109"/>
      <c r="F28" s="109"/>
      <c r="G28" s="109"/>
      <c r="H28" s="109"/>
      <c r="I28" s="109"/>
      <c r="J28" s="109"/>
      <c r="K28" s="109"/>
      <c r="L28" s="109"/>
      <c r="M28" s="109"/>
      <c r="N28" s="109"/>
      <c r="O28" s="109"/>
      <c r="P28" s="109"/>
      <c r="Q28" s="109"/>
      <c r="R28" s="109"/>
      <c r="S28" s="109"/>
      <c r="T28" s="109"/>
      <c r="U28" s="109"/>
      <c r="V28" s="109" t="e">
        <f>IF('Dist by road type'!U$81=0,0,IF('Dist by road type'!$D39=0,0,('Dist by road type'!$N39/'Dist by road type'!$D39)^'Dist by road type'!$P39*('Dist by road type'!U$82/'Dist by road type'!U$81)^V$32*V$33*V$34))</f>
        <v>#REF!</v>
      </c>
      <c r="W28" s="109" t="e">
        <f>IF('Dist by road type'!V$81=0,0,IF('Dist by road type'!$D39=0,0,('Dist by road type'!$N39/'Dist by road type'!$D39)^'Dist by road type'!$P39*('Dist by road type'!V$82/'Dist by road type'!V$81)^W$32*W$33*W$34))</f>
        <v>#REF!</v>
      </c>
      <c r="X28" s="109">
        <f>('Dist by road type'!$N39/'Dist by road type'!$D39)^'Dist by road type'!$P39*('Dist by road type'!W$82/'Dist by road type'!W$81)^X$32*X$33*X$34</f>
        <v>0</v>
      </c>
      <c r="Y28" s="109" t="e">
        <f>('Dist by road type'!$N39/'Dist by road type'!$D39)^'Dist by road type'!$P39*('Dist by road type'!X$82/'Dist by road type'!X$81)^Y$32*Y$33*Y$34</f>
        <v>#REF!</v>
      </c>
      <c r="Z28" s="109" t="e">
        <f>('Dist by road type'!$N39/'Dist by road type'!$D39)^'Dist by road type'!$P39*('Dist by road type'!Z$82/'Dist by road type'!Z$81)^Z$32*Z$33*Z$34</f>
        <v>#DIV/0!</v>
      </c>
      <c r="AA28" s="109"/>
      <c r="AB28" s="109">
        <f>('Dist by road type'!$N39/'Dist by road type'!$D39)^'Dist by road type'!$P39*('Dist by road type'!AB$82/'Dist by road type'!AB$81)^AA$32*AA$33*AA$34</f>
        <v>0</v>
      </c>
      <c r="AC28" s="109"/>
      <c r="AD28" s="109">
        <f>('Dist by road type'!$N39/'Dist by road type'!$D39)^'Dist by road type'!$P38</f>
        <v>0</v>
      </c>
      <c r="AE28" s="1153"/>
      <c r="AF28" s="106" t="s">
        <v>164</v>
      </c>
      <c r="AG28" s="605">
        <v>0.5</v>
      </c>
    </row>
    <row r="29" spans="1:33" ht="15.75" thickBot="1" x14ac:dyDescent="0.3">
      <c r="A29" s="1153"/>
      <c r="B29" s="1153"/>
      <c r="C29" s="265" t="s">
        <v>123</v>
      </c>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153"/>
      <c r="AF29" s="106" t="s">
        <v>143</v>
      </c>
      <c r="AG29" s="605">
        <v>0.5</v>
      </c>
    </row>
    <row r="30" spans="1:33" ht="12.75" customHeight="1" x14ac:dyDescent="0.25">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153"/>
      <c r="AF30" s="130" t="s">
        <v>123</v>
      </c>
      <c r="AG30" s="605">
        <v>0.5</v>
      </c>
    </row>
    <row r="31" spans="1:33" ht="19.5" customHeight="1" x14ac:dyDescent="0.25"/>
    <row r="32" spans="1:33" ht="12.75" customHeight="1" x14ac:dyDescent="0.25">
      <c r="A32" s="1389" t="s">
        <v>196</v>
      </c>
      <c r="B32" s="1389"/>
      <c r="C32" s="1153"/>
      <c r="D32" s="109">
        <v>0.5</v>
      </c>
      <c r="E32" s="109">
        <v>0.5</v>
      </c>
      <c r="F32" s="109">
        <v>0.5</v>
      </c>
      <c r="G32" s="109">
        <v>0.5</v>
      </c>
      <c r="H32" s="109">
        <v>0.5</v>
      </c>
      <c r="I32" s="109">
        <v>0.5</v>
      </c>
      <c r="J32" s="109">
        <v>0.5</v>
      </c>
      <c r="K32" s="109">
        <v>0.5</v>
      </c>
      <c r="L32" s="109">
        <v>0.5</v>
      </c>
      <c r="M32" s="109">
        <v>0.5</v>
      </c>
      <c r="N32" s="109">
        <v>0.5</v>
      </c>
      <c r="O32" s="109">
        <v>0.5</v>
      </c>
      <c r="P32" s="109">
        <v>0.5</v>
      </c>
      <c r="Q32" s="109">
        <v>0.5</v>
      </c>
      <c r="R32" s="109">
        <v>0.5</v>
      </c>
      <c r="S32" s="109">
        <v>0.5</v>
      </c>
      <c r="T32" s="109">
        <v>0.5</v>
      </c>
      <c r="U32" s="109">
        <v>0.5</v>
      </c>
      <c r="V32" s="109">
        <v>0.5</v>
      </c>
      <c r="W32" s="109">
        <v>0.5</v>
      </c>
      <c r="X32" s="109">
        <v>0.5</v>
      </c>
      <c r="Y32" s="109">
        <v>0.5</v>
      </c>
      <c r="Z32" s="109">
        <v>0.5</v>
      </c>
      <c r="AA32" s="109">
        <v>0.5</v>
      </c>
      <c r="AB32" s="109">
        <v>0.5</v>
      </c>
      <c r="AC32" s="109">
        <v>0.5</v>
      </c>
      <c r="AD32" s="109">
        <v>0.5</v>
      </c>
    </row>
    <row r="33" spans="1:30" ht="12.75" customHeight="1" x14ac:dyDescent="0.25">
      <c r="A33" s="1389" t="s">
        <v>193</v>
      </c>
      <c r="B33" s="1389"/>
      <c r="C33" s="1153"/>
      <c r="D33" s="109">
        <v>1</v>
      </c>
      <c r="E33" s="109">
        <v>1</v>
      </c>
      <c r="F33" s="109">
        <v>1</v>
      </c>
      <c r="G33" s="109">
        <v>1</v>
      </c>
      <c r="H33" s="109">
        <v>1</v>
      </c>
      <c r="I33" s="109">
        <v>1</v>
      </c>
      <c r="J33" s="109">
        <v>1</v>
      </c>
      <c r="K33" s="109">
        <v>1</v>
      </c>
      <c r="L33" s="109">
        <v>1</v>
      </c>
      <c r="M33" s="109">
        <v>1</v>
      </c>
      <c r="N33" s="109">
        <v>1</v>
      </c>
      <c r="O33" s="109">
        <v>1</v>
      </c>
      <c r="P33" s="109">
        <v>1</v>
      </c>
      <c r="Q33" s="109">
        <v>1</v>
      </c>
      <c r="R33" s="109">
        <v>1</v>
      </c>
      <c r="S33" s="109">
        <v>1</v>
      </c>
      <c r="T33" s="109">
        <v>1</v>
      </c>
      <c r="U33" s="109">
        <v>1</v>
      </c>
      <c r="V33" s="109">
        <v>1</v>
      </c>
      <c r="W33" s="109">
        <v>1</v>
      </c>
      <c r="X33" s="109">
        <v>1</v>
      </c>
      <c r="Y33" s="109">
        <v>1</v>
      </c>
      <c r="Z33" s="109">
        <v>1</v>
      </c>
      <c r="AA33" s="109">
        <v>1</v>
      </c>
      <c r="AB33" s="109">
        <v>1</v>
      </c>
      <c r="AC33" s="109">
        <v>1</v>
      </c>
      <c r="AD33" s="109">
        <v>1</v>
      </c>
    </row>
    <row r="34" spans="1:30" ht="12.75" customHeight="1" x14ac:dyDescent="0.25">
      <c r="A34" s="1389" t="s">
        <v>194</v>
      </c>
      <c r="B34" s="1389"/>
      <c r="C34" s="1153"/>
      <c r="D34" s="109">
        <v>1</v>
      </c>
      <c r="E34" s="109">
        <v>1</v>
      </c>
      <c r="F34" s="109">
        <v>1</v>
      </c>
      <c r="G34" s="109">
        <v>1</v>
      </c>
      <c r="H34" s="109">
        <v>1</v>
      </c>
      <c r="I34" s="109">
        <v>1</v>
      </c>
      <c r="J34" s="109">
        <v>1</v>
      </c>
      <c r="K34" s="109">
        <v>1</v>
      </c>
      <c r="L34" s="109">
        <v>1</v>
      </c>
      <c r="M34" s="109">
        <v>1</v>
      </c>
      <c r="N34" s="109">
        <v>1</v>
      </c>
      <c r="O34" s="109">
        <v>1</v>
      </c>
      <c r="P34" s="109">
        <v>1</v>
      </c>
      <c r="Q34" s="109">
        <v>1</v>
      </c>
      <c r="R34" s="109">
        <v>1</v>
      </c>
      <c r="S34" s="109">
        <v>1</v>
      </c>
      <c r="T34" s="109">
        <v>1</v>
      </c>
      <c r="U34" s="109">
        <v>1</v>
      </c>
      <c r="V34" s="109">
        <v>1</v>
      </c>
      <c r="W34" s="109">
        <v>1</v>
      </c>
      <c r="X34" s="109">
        <v>1</v>
      </c>
      <c r="Y34" s="109">
        <v>1</v>
      </c>
      <c r="Z34" s="109">
        <v>1</v>
      </c>
      <c r="AA34" s="109">
        <v>1</v>
      </c>
      <c r="AB34" s="109">
        <v>1</v>
      </c>
      <c r="AC34" s="109">
        <v>1</v>
      </c>
      <c r="AD34" s="109">
        <v>1</v>
      </c>
    </row>
  </sheetData>
  <mergeCells count="17">
    <mergeCell ref="B13:B20"/>
    <mergeCell ref="AF1:AG1"/>
    <mergeCell ref="D1:AC1"/>
    <mergeCell ref="A32:C32"/>
    <mergeCell ref="A33:C33"/>
    <mergeCell ref="A34:C34"/>
    <mergeCell ref="AG2:AG3"/>
    <mergeCell ref="A4:A29"/>
    <mergeCell ref="A2:C3"/>
    <mergeCell ref="AE4:AE12"/>
    <mergeCell ref="AE13:AE21"/>
    <mergeCell ref="AE22:AE30"/>
    <mergeCell ref="B22:B29"/>
    <mergeCell ref="D2:K2"/>
    <mergeCell ref="M2:T2"/>
    <mergeCell ref="U2:AC2"/>
    <mergeCell ref="B4:B1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topLeftCell="D1" zoomScale="85" zoomScaleNormal="85" workbookViewId="0">
      <selection activeCell="Y20" sqref="Y20"/>
    </sheetView>
  </sheetViews>
  <sheetFormatPr defaultRowHeight="15" x14ac:dyDescent="0.25"/>
  <cols>
    <col min="2" max="2" width="11.140625" customWidth="1"/>
    <col min="4" max="4" width="8.28515625" customWidth="1"/>
    <col min="5" max="5" width="7.85546875" customWidth="1"/>
    <col min="6" max="6" width="5.7109375" customWidth="1"/>
    <col min="7" max="8" width="7.7109375" customWidth="1"/>
    <col min="9" max="9" width="5.7109375" customWidth="1"/>
    <col min="10" max="10" width="6.5703125" customWidth="1"/>
    <col min="11" max="11" width="9.42578125" customWidth="1"/>
    <col min="12" max="12" width="7.5703125" customWidth="1"/>
    <col min="13" max="13" width="5.7109375" customWidth="1"/>
    <col min="14" max="14" width="7.7109375" customWidth="1"/>
    <col min="15" max="18" width="5.7109375" customWidth="1"/>
    <col min="19" max="19" width="6.42578125" customWidth="1"/>
    <col min="20" max="20" width="9.7109375" customWidth="1"/>
    <col min="21" max="21" width="7.85546875" customWidth="1"/>
    <col min="22" max="22" width="6.85546875" customWidth="1"/>
    <col min="23" max="23" width="8.140625" customWidth="1"/>
    <col min="24" max="27" width="5.7109375" customWidth="1"/>
    <col min="28" max="28" width="6.5703125" customWidth="1"/>
    <col min="29" max="29" width="7.7109375" customWidth="1"/>
    <col min="30" max="30" width="8.28515625" customWidth="1"/>
  </cols>
  <sheetData>
    <row r="1" spans="1:31" ht="12.75" customHeight="1" thickBot="1" x14ac:dyDescent="0.3">
      <c r="D1" s="1361" t="s">
        <v>171</v>
      </c>
      <c r="E1" s="1361"/>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1"/>
      <c r="AD1" s="1361"/>
      <c r="AE1" s="1361"/>
    </row>
    <row r="2" spans="1:31" ht="12.75" customHeight="1" thickBot="1" x14ac:dyDescent="0.3">
      <c r="B2" s="1367" t="s">
        <v>174</v>
      </c>
      <c r="C2" s="1368"/>
      <c r="D2" s="1373" t="s">
        <v>161</v>
      </c>
      <c r="E2" s="1374"/>
      <c r="F2" s="1374"/>
      <c r="G2" s="1374"/>
      <c r="H2" s="1374"/>
      <c r="I2" s="1374"/>
      <c r="J2" s="1374"/>
      <c r="K2" s="1374"/>
      <c r="L2" s="278"/>
      <c r="M2" s="1373" t="s">
        <v>162</v>
      </c>
      <c r="N2" s="1374"/>
      <c r="O2" s="1374"/>
      <c r="P2" s="1374"/>
      <c r="Q2" s="1374"/>
      <c r="R2" s="1374"/>
      <c r="S2" s="1374"/>
      <c r="T2" s="1374"/>
      <c r="U2" s="278"/>
      <c r="V2" s="1373" t="s">
        <v>166</v>
      </c>
      <c r="W2" s="1374"/>
      <c r="X2" s="1374"/>
      <c r="Y2" s="1374"/>
      <c r="Z2" s="1374"/>
      <c r="AA2" s="1374"/>
      <c r="AB2" s="1374"/>
      <c r="AC2" s="1374"/>
      <c r="AD2" s="278"/>
      <c r="AE2" s="1359" t="s">
        <v>177</v>
      </c>
    </row>
    <row r="3" spans="1:31" ht="15.75" customHeight="1" thickBot="1" x14ac:dyDescent="0.3">
      <c r="B3" s="1371"/>
      <c r="C3" s="1372"/>
      <c r="D3" s="263" t="s">
        <v>93</v>
      </c>
      <c r="E3" s="264" t="s">
        <v>94</v>
      </c>
      <c r="F3" s="264" t="s">
        <v>95</v>
      </c>
      <c r="G3" s="264" t="s">
        <v>165</v>
      </c>
      <c r="H3" s="264" t="s">
        <v>163</v>
      </c>
      <c r="I3" s="264" t="s">
        <v>164</v>
      </c>
      <c r="J3" s="264" t="s">
        <v>143</v>
      </c>
      <c r="K3" s="265" t="s">
        <v>123</v>
      </c>
      <c r="L3" s="265" t="s">
        <v>175</v>
      </c>
      <c r="M3" s="250" t="s">
        <v>93</v>
      </c>
      <c r="N3" s="250" t="s">
        <v>94</v>
      </c>
      <c r="O3" s="250" t="s">
        <v>95</v>
      </c>
      <c r="P3" s="250" t="s">
        <v>165</v>
      </c>
      <c r="Q3" s="250" t="s">
        <v>163</v>
      </c>
      <c r="R3" s="250" t="s">
        <v>164</v>
      </c>
      <c r="S3" s="250" t="s">
        <v>143</v>
      </c>
      <c r="T3" s="276" t="s">
        <v>123</v>
      </c>
      <c r="U3" s="276" t="s">
        <v>175</v>
      </c>
      <c r="V3" s="250" t="s">
        <v>93</v>
      </c>
      <c r="W3" s="250" t="s">
        <v>94</v>
      </c>
      <c r="X3" s="250" t="s">
        <v>95</v>
      </c>
      <c r="Y3" s="250" t="s">
        <v>165</v>
      </c>
      <c r="Z3" s="250" t="s">
        <v>163</v>
      </c>
      <c r="AA3" s="250" t="s">
        <v>164</v>
      </c>
      <c r="AB3" s="250" t="s">
        <v>143</v>
      </c>
      <c r="AC3" s="276" t="s">
        <v>123</v>
      </c>
      <c r="AD3" s="277" t="s">
        <v>175</v>
      </c>
      <c r="AE3" s="1360" t="s">
        <v>74</v>
      </c>
    </row>
    <row r="4" spans="1:31" ht="12.75" customHeight="1" thickBot="1" x14ac:dyDescent="0.3">
      <c r="A4" s="1377" t="s">
        <v>172</v>
      </c>
      <c r="B4" s="1378" t="s">
        <v>161</v>
      </c>
      <c r="C4" s="259" t="s">
        <v>93</v>
      </c>
      <c r="D4" s="642" t="e">
        <f>'Baseline injuries'!D5*'Scenario Injury Multiplier'!D4</f>
        <v>#REF!</v>
      </c>
      <c r="E4" s="643" t="e">
        <f>'Baseline injuries'!E5*'Scenario Injury Multiplier'!E4</f>
        <v>#REF!</v>
      </c>
      <c r="F4" s="643" t="e">
        <f>'Baseline injuries'!F5*'Scenario Injury Multiplier'!F4</f>
        <v>#REF!</v>
      </c>
      <c r="G4" s="643" t="e">
        <f>'Baseline injuries'!G5*'Scenario Injury Multiplier'!G4</f>
        <v>#REF!</v>
      </c>
      <c r="H4" s="643" t="e">
        <f>'Baseline injuries'!H5*'Scenario Injury Multiplier'!H4</f>
        <v>#REF!</v>
      </c>
      <c r="I4" s="643"/>
      <c r="J4" s="643" t="e">
        <f>'Baseline injuries'!J5*'Scenario Injury Multiplier'!J4</f>
        <v>#REF!</v>
      </c>
      <c r="K4" s="643"/>
      <c r="L4" s="644" t="e">
        <f>'Baseline injuries'!L5*'Scenario Injury Multiplier'!L4</f>
        <v>#REF!</v>
      </c>
      <c r="M4" s="645"/>
      <c r="N4" s="646"/>
      <c r="O4" s="646"/>
      <c r="P4" s="646"/>
      <c r="Q4" s="646"/>
      <c r="R4" s="646"/>
      <c r="S4" s="646"/>
      <c r="T4" s="646"/>
      <c r="U4" s="646"/>
      <c r="V4" s="645"/>
      <c r="W4" s="646"/>
      <c r="X4" s="646"/>
      <c r="Y4" s="646"/>
      <c r="Z4" s="646"/>
      <c r="AA4" s="646"/>
      <c r="AB4" s="646"/>
      <c r="AC4" s="646"/>
      <c r="AD4" s="647"/>
      <c r="AE4" s="648" t="e">
        <f>SUM(D4:AD4)</f>
        <v>#REF!</v>
      </c>
    </row>
    <row r="5" spans="1:31" ht="15.75" thickBot="1" x14ac:dyDescent="0.3">
      <c r="A5" s="1361"/>
      <c r="B5" s="1379"/>
      <c r="C5" s="260" t="s">
        <v>94</v>
      </c>
      <c r="D5" s="649" t="e">
        <f>'Baseline injuries'!D6*'Scenario Injury Multiplier'!D5</f>
        <v>#REF!</v>
      </c>
      <c r="E5" s="650" t="e">
        <f>'Baseline injuries'!E6*'Scenario Injury Multiplier'!E5</f>
        <v>#REF!</v>
      </c>
      <c r="F5" s="650" t="e">
        <f>'Baseline injuries'!F6*'Scenario Injury Multiplier'!F5</f>
        <v>#REF!</v>
      </c>
      <c r="G5" s="650" t="e">
        <f>'Baseline injuries'!G6*'Scenario Injury Multiplier'!G5</f>
        <v>#REF!</v>
      </c>
      <c r="H5" s="650" t="e">
        <f>'Baseline injuries'!H6*'Scenario Injury Multiplier'!H5</f>
        <v>#REF!</v>
      </c>
      <c r="I5" s="650"/>
      <c r="J5" s="650" t="e">
        <f>'Baseline injuries'!J6*'Scenario Injury Multiplier'!J5</f>
        <v>#REF!</v>
      </c>
      <c r="K5" s="650"/>
      <c r="L5" s="651" t="e">
        <f>'Baseline injuries'!L6*'Scenario Injury Multiplier'!L5</f>
        <v>#REF!</v>
      </c>
      <c r="M5" s="652"/>
      <c r="N5" s="653"/>
      <c r="O5" s="653"/>
      <c r="P5" s="653"/>
      <c r="Q5" s="653"/>
      <c r="R5" s="653"/>
      <c r="S5" s="653"/>
      <c r="T5" s="653"/>
      <c r="U5" s="653"/>
      <c r="V5" s="652"/>
      <c r="W5" s="653"/>
      <c r="X5" s="653"/>
      <c r="Y5" s="653"/>
      <c r="Z5" s="653"/>
      <c r="AA5" s="653"/>
      <c r="AB5" s="653"/>
      <c r="AC5" s="653"/>
      <c r="AD5" s="654"/>
      <c r="AE5" s="648" t="e">
        <f t="shared" ref="AE5:AE55" si="0">SUM(D5:AD5)</f>
        <v>#REF!</v>
      </c>
    </row>
    <row r="6" spans="1:31" ht="15.75" thickBot="1" x14ac:dyDescent="0.3">
      <c r="A6" s="1361"/>
      <c r="B6" s="1379"/>
      <c r="C6" s="261" t="s">
        <v>95</v>
      </c>
      <c r="D6" s="649" t="e">
        <f>'Baseline injuries'!D7*'Scenario Injury Multiplier'!D6</f>
        <v>#REF!</v>
      </c>
      <c r="E6" s="650" t="e">
        <f>'Baseline injuries'!E7*'Scenario Injury Multiplier'!E6</f>
        <v>#REF!</v>
      </c>
      <c r="F6" s="650">
        <f>'Baseline injuries'!F7*'Scenario Injury Multiplier'!F6</f>
        <v>0</v>
      </c>
      <c r="G6" s="650" t="e">
        <f>'Baseline injuries'!G7*'Scenario Injury Multiplier'!G6</f>
        <v>#REF!</v>
      </c>
      <c r="H6" s="650" t="e">
        <f>'Baseline injuries'!H7*'Scenario Injury Multiplier'!H6</f>
        <v>#DIV/0!</v>
      </c>
      <c r="I6" s="650"/>
      <c r="J6" s="650">
        <f>'Baseline injuries'!J7*'Scenario Injury Multiplier'!J6</f>
        <v>0</v>
      </c>
      <c r="K6" s="650"/>
      <c r="L6" s="651">
        <f>'Baseline injuries'!L7*'Scenario Injury Multiplier'!L6</f>
        <v>0</v>
      </c>
      <c r="M6" s="652"/>
      <c r="N6" s="653"/>
      <c r="O6" s="653"/>
      <c r="P6" s="653"/>
      <c r="Q6" s="653"/>
      <c r="R6" s="653"/>
      <c r="S6" s="653"/>
      <c r="T6" s="653"/>
      <c r="U6" s="653"/>
      <c r="V6" s="652"/>
      <c r="W6" s="653"/>
      <c r="X6" s="653"/>
      <c r="Y6" s="653"/>
      <c r="Z6" s="653"/>
      <c r="AA6" s="653"/>
      <c r="AB6" s="653"/>
      <c r="AC6" s="653"/>
      <c r="AD6" s="654"/>
      <c r="AE6" s="648" t="e">
        <f t="shared" si="0"/>
        <v>#REF!</v>
      </c>
    </row>
    <row r="7" spans="1:31" ht="15.75" thickBot="1" x14ac:dyDescent="0.3">
      <c r="A7" s="1361"/>
      <c r="B7" s="1379"/>
      <c r="C7" s="260" t="s">
        <v>165</v>
      </c>
      <c r="D7" s="649" t="e">
        <f>'Baseline injuries'!D8*'Scenario Injury Multiplier'!D7</f>
        <v>#REF!</v>
      </c>
      <c r="E7" s="650" t="e">
        <f>'Baseline injuries'!E8*'Scenario Injury Multiplier'!E7</f>
        <v>#REF!</v>
      </c>
      <c r="F7" s="650" t="e">
        <f>'Baseline injuries'!F8*'Scenario Injury Multiplier'!F7</f>
        <v>#REF!</v>
      </c>
      <c r="G7" s="650" t="e">
        <f>'Baseline injuries'!G8*'Scenario Injury Multiplier'!G7</f>
        <v>#REF!</v>
      </c>
      <c r="H7" s="650" t="e">
        <f>'Baseline injuries'!H8*'Scenario Injury Multiplier'!H7</f>
        <v>#REF!</v>
      </c>
      <c r="I7" s="650"/>
      <c r="J7" s="650" t="e">
        <f>'Baseline injuries'!J8*'Scenario Injury Multiplier'!J7</f>
        <v>#REF!</v>
      </c>
      <c r="K7" s="650"/>
      <c r="L7" s="651" t="e">
        <f>'Baseline injuries'!L8*'Scenario Injury Multiplier'!L7</f>
        <v>#REF!</v>
      </c>
      <c r="M7" s="652"/>
      <c r="N7" s="653"/>
      <c r="O7" s="653"/>
      <c r="P7" s="653"/>
      <c r="Q7" s="653"/>
      <c r="R7" s="653"/>
      <c r="S7" s="653"/>
      <c r="T7" s="653"/>
      <c r="U7" s="653"/>
      <c r="V7" s="652"/>
      <c r="W7" s="653"/>
      <c r="X7" s="653"/>
      <c r="Y7" s="653"/>
      <c r="Z7" s="653"/>
      <c r="AA7" s="653"/>
      <c r="AB7" s="653"/>
      <c r="AC7" s="653"/>
      <c r="AD7" s="654"/>
      <c r="AE7" s="648" t="e">
        <f t="shared" si="0"/>
        <v>#REF!</v>
      </c>
    </row>
    <row r="8" spans="1:31" ht="15.75" thickBot="1" x14ac:dyDescent="0.3">
      <c r="A8" s="1361"/>
      <c r="B8" s="1379"/>
      <c r="C8" s="260" t="s">
        <v>163</v>
      </c>
      <c r="D8" s="649" t="e">
        <f>'Baseline injuries'!D9*'Scenario Injury Multiplier'!D8</f>
        <v>#DIV/0!</v>
      </c>
      <c r="E8" s="650" t="e">
        <f>'Baseline injuries'!E9*'Scenario Injury Multiplier'!E8</f>
        <v>#DIV/0!</v>
      </c>
      <c r="F8" s="650" t="e">
        <f>'Baseline injuries'!F9*'Scenario Injury Multiplier'!F8</f>
        <v>#DIV/0!</v>
      </c>
      <c r="G8" s="650" t="e">
        <f>'Baseline injuries'!G9*'Scenario Injury Multiplier'!G8</f>
        <v>#DIV/0!</v>
      </c>
      <c r="H8" s="650" t="e">
        <f>'Baseline injuries'!H9*'Scenario Injury Multiplier'!H8</f>
        <v>#DIV/0!</v>
      </c>
      <c r="I8" s="650"/>
      <c r="J8" s="650" t="e">
        <f>'Baseline injuries'!J9*'Scenario Injury Multiplier'!J8</f>
        <v>#DIV/0!</v>
      </c>
      <c r="K8" s="650"/>
      <c r="L8" s="651" t="e">
        <f>'Baseline injuries'!L9*'Scenario Injury Multiplier'!L8</f>
        <v>#DIV/0!</v>
      </c>
      <c r="M8" s="652"/>
      <c r="N8" s="653"/>
      <c r="O8" s="653"/>
      <c r="P8" s="653"/>
      <c r="Q8" s="653"/>
      <c r="R8" s="653"/>
      <c r="S8" s="653"/>
      <c r="T8" s="653"/>
      <c r="U8" s="653"/>
      <c r="V8" s="652"/>
      <c r="W8" s="653"/>
      <c r="X8" s="653"/>
      <c r="Y8" s="653"/>
      <c r="Z8" s="653"/>
      <c r="AA8" s="653"/>
      <c r="AB8" s="653"/>
      <c r="AC8" s="653"/>
      <c r="AD8" s="654"/>
      <c r="AE8" s="648" t="e">
        <f t="shared" si="0"/>
        <v>#DIV/0!</v>
      </c>
    </row>
    <row r="9" spans="1:31" ht="15.75" thickBot="1" x14ac:dyDescent="0.3">
      <c r="A9" s="1361"/>
      <c r="B9" s="1379"/>
      <c r="C9" s="260" t="s">
        <v>164</v>
      </c>
      <c r="D9" s="649"/>
      <c r="E9" s="650"/>
      <c r="F9" s="650"/>
      <c r="G9" s="650"/>
      <c r="H9" s="650"/>
      <c r="I9" s="650"/>
      <c r="J9" s="650"/>
      <c r="K9" s="650"/>
      <c r="L9" s="651"/>
      <c r="M9" s="652"/>
      <c r="N9" s="653"/>
      <c r="O9" s="653"/>
      <c r="P9" s="653"/>
      <c r="Q9" s="653"/>
      <c r="R9" s="653"/>
      <c r="S9" s="653"/>
      <c r="T9" s="653"/>
      <c r="U9" s="653"/>
      <c r="V9" s="652"/>
      <c r="W9" s="653"/>
      <c r="X9" s="653"/>
      <c r="Y9" s="653"/>
      <c r="Z9" s="653"/>
      <c r="AA9" s="653"/>
      <c r="AB9" s="653"/>
      <c r="AC9" s="653"/>
      <c r="AD9" s="654"/>
      <c r="AE9" s="648">
        <f t="shared" si="0"/>
        <v>0</v>
      </c>
    </row>
    <row r="10" spans="1:31" ht="15.75" thickBot="1" x14ac:dyDescent="0.3">
      <c r="A10" s="1361"/>
      <c r="B10" s="1379"/>
      <c r="C10" s="260" t="s">
        <v>143</v>
      </c>
      <c r="D10" s="649" t="e">
        <f>'Baseline injuries'!D11*'Scenario Injury Multiplier'!D10</f>
        <v>#REF!</v>
      </c>
      <c r="E10" s="650" t="e">
        <f>'Baseline injuries'!E11*'Scenario Injury Multiplier'!E10</f>
        <v>#REF!</v>
      </c>
      <c r="F10" s="650">
        <f>'Baseline injuries'!F11*'Scenario Injury Multiplier'!F10</f>
        <v>0</v>
      </c>
      <c r="G10" s="650" t="e">
        <f>'Baseline injuries'!G11*'Scenario Injury Multiplier'!G10</f>
        <v>#REF!</v>
      </c>
      <c r="H10" s="650" t="e">
        <f>'Baseline injuries'!H11*'Scenario Injury Multiplier'!H10</f>
        <v>#DIV/0!</v>
      </c>
      <c r="I10" s="650"/>
      <c r="J10" s="650">
        <f>'Baseline injuries'!J11*'Scenario Injury Multiplier'!J10</f>
        <v>0</v>
      </c>
      <c r="K10" s="650"/>
      <c r="L10" s="651">
        <f>'Baseline injuries'!L11*'Scenario Injury Multiplier'!L10</f>
        <v>0</v>
      </c>
      <c r="M10" s="652"/>
      <c r="N10" s="653"/>
      <c r="O10" s="653"/>
      <c r="P10" s="653"/>
      <c r="Q10" s="653"/>
      <c r="R10" s="653"/>
      <c r="S10" s="653"/>
      <c r="T10" s="653"/>
      <c r="U10" s="653"/>
      <c r="V10" s="652"/>
      <c r="W10" s="653"/>
      <c r="X10" s="653"/>
      <c r="Y10" s="653"/>
      <c r="Z10" s="653"/>
      <c r="AA10" s="653"/>
      <c r="AB10" s="653"/>
      <c r="AC10" s="653"/>
      <c r="AD10" s="654"/>
      <c r="AE10" s="648" t="e">
        <f t="shared" si="0"/>
        <v>#REF!</v>
      </c>
    </row>
    <row r="11" spans="1:31" ht="15.75" thickBot="1" x14ac:dyDescent="0.3">
      <c r="A11" s="1361"/>
      <c r="B11" s="1379"/>
      <c r="C11" s="262" t="s">
        <v>123</v>
      </c>
      <c r="D11" s="655"/>
      <c r="E11" s="656"/>
      <c r="F11" s="656"/>
      <c r="G11" s="656"/>
      <c r="H11" s="656"/>
      <c r="I11" s="656"/>
      <c r="J11" s="656"/>
      <c r="K11" s="656"/>
      <c r="L11" s="657"/>
      <c r="M11" s="658"/>
      <c r="N11" s="659"/>
      <c r="O11" s="659"/>
      <c r="P11" s="659"/>
      <c r="Q11" s="659"/>
      <c r="R11" s="659"/>
      <c r="S11" s="659"/>
      <c r="T11" s="659"/>
      <c r="U11" s="659"/>
      <c r="V11" s="652"/>
      <c r="W11" s="653"/>
      <c r="X11" s="653"/>
      <c r="Y11" s="653"/>
      <c r="Z11" s="653"/>
      <c r="AA11" s="653"/>
      <c r="AB11" s="653"/>
      <c r="AC11" s="653"/>
      <c r="AD11" s="654"/>
      <c r="AE11" s="648">
        <f t="shared" si="0"/>
        <v>0</v>
      </c>
    </row>
    <row r="12" spans="1:31" ht="12.75" customHeight="1" thickBot="1" x14ac:dyDescent="0.3">
      <c r="A12" s="1361"/>
      <c r="B12" s="1380" t="s">
        <v>162</v>
      </c>
      <c r="C12" s="268" t="s">
        <v>93</v>
      </c>
      <c r="D12" s="645"/>
      <c r="E12" s="646"/>
      <c r="F12" s="646"/>
      <c r="G12" s="646"/>
      <c r="H12" s="646"/>
      <c r="I12" s="646"/>
      <c r="J12" s="646"/>
      <c r="K12" s="646"/>
      <c r="L12" s="647"/>
      <c r="M12" s="642" t="e">
        <f>'Baseline injuries'!M13*'Scenario Injury Multiplier'!M13</f>
        <v>#REF!</v>
      </c>
      <c r="N12" s="642" t="e">
        <f>'Baseline injuries'!N13*'Scenario Injury Multiplier'!N13</f>
        <v>#REF!</v>
      </c>
      <c r="O12" s="642" t="e">
        <f>'Baseline injuries'!O13*'Scenario Injury Multiplier'!O13</f>
        <v>#REF!</v>
      </c>
      <c r="P12" s="642" t="e">
        <f>'Baseline injuries'!P13*'Scenario Injury Multiplier'!P13</f>
        <v>#REF!</v>
      </c>
      <c r="Q12" s="642" t="e">
        <f>'Baseline injuries'!Q13*'Scenario Injury Multiplier'!Q13</f>
        <v>#REF!</v>
      </c>
      <c r="R12" s="642"/>
      <c r="S12" s="642" t="e">
        <f>'Baseline injuries'!S13*'Scenario Injury Multiplier'!S13</f>
        <v>#REF!</v>
      </c>
      <c r="T12" s="642"/>
      <c r="U12" s="642" t="e">
        <f>'Baseline injuries'!U13*'Scenario Injury Multiplier'!U13</f>
        <v>#REF!</v>
      </c>
      <c r="V12" s="652"/>
      <c r="W12" s="653"/>
      <c r="X12" s="653"/>
      <c r="Y12" s="653"/>
      <c r="Z12" s="653"/>
      <c r="AA12" s="653"/>
      <c r="AB12" s="653"/>
      <c r="AC12" s="653"/>
      <c r="AD12" s="654"/>
      <c r="AE12" s="648" t="e">
        <f t="shared" si="0"/>
        <v>#REF!</v>
      </c>
    </row>
    <row r="13" spans="1:31" ht="15.75" thickBot="1" x14ac:dyDescent="0.3">
      <c r="A13" s="1361"/>
      <c r="B13" s="1379"/>
      <c r="C13" s="268" t="s">
        <v>94</v>
      </c>
      <c r="D13" s="652"/>
      <c r="E13" s="653"/>
      <c r="F13" s="653"/>
      <c r="G13" s="653"/>
      <c r="H13" s="653"/>
      <c r="I13" s="653"/>
      <c r="J13" s="653"/>
      <c r="K13" s="653"/>
      <c r="L13" s="654"/>
      <c r="M13" s="642" t="e">
        <f>'Baseline injuries'!M14*'Scenario Injury Multiplier'!M14</f>
        <v>#REF!</v>
      </c>
      <c r="N13" s="642" t="e">
        <f>'Baseline injuries'!N14*'Scenario Injury Multiplier'!N14</f>
        <v>#REF!</v>
      </c>
      <c r="O13" s="642" t="e">
        <f>'Baseline injuries'!O14*'Scenario Injury Multiplier'!O14</f>
        <v>#REF!</v>
      </c>
      <c r="P13" s="642" t="e">
        <f>'Baseline injuries'!P14*'Scenario Injury Multiplier'!P14</f>
        <v>#REF!</v>
      </c>
      <c r="Q13" s="642" t="e">
        <f>'Baseline injuries'!Q14*'Scenario Injury Multiplier'!Q14</f>
        <v>#REF!</v>
      </c>
      <c r="R13" s="642"/>
      <c r="S13" s="642" t="e">
        <f>'Baseline injuries'!S14*'Scenario Injury Multiplier'!S14</f>
        <v>#REF!</v>
      </c>
      <c r="T13" s="642"/>
      <c r="U13" s="642" t="e">
        <f>'Baseline injuries'!U14*'Scenario Injury Multiplier'!U14</f>
        <v>#REF!</v>
      </c>
      <c r="V13" s="652"/>
      <c r="W13" s="653"/>
      <c r="X13" s="653"/>
      <c r="Y13" s="653"/>
      <c r="Z13" s="653"/>
      <c r="AA13" s="653"/>
      <c r="AB13" s="653"/>
      <c r="AC13" s="653"/>
      <c r="AD13" s="654"/>
      <c r="AE13" s="648" t="e">
        <f t="shared" si="0"/>
        <v>#REF!</v>
      </c>
    </row>
    <row r="14" spans="1:31" ht="15.75" thickBot="1" x14ac:dyDescent="0.3">
      <c r="A14" s="1361"/>
      <c r="B14" s="1379"/>
      <c r="C14" s="269" t="s">
        <v>95</v>
      </c>
      <c r="D14" s="652"/>
      <c r="E14" s="653"/>
      <c r="F14" s="653"/>
      <c r="G14" s="653"/>
      <c r="H14" s="653"/>
      <c r="I14" s="653"/>
      <c r="J14" s="653"/>
      <c r="K14" s="653"/>
      <c r="L14" s="654"/>
      <c r="M14" s="642" t="e">
        <f>'Baseline injuries'!M15*'Scenario Injury Multiplier'!M15</f>
        <v>#REF!</v>
      </c>
      <c r="N14" s="642" t="e">
        <f>'Baseline injuries'!N15*'Scenario Injury Multiplier'!N15</f>
        <v>#REF!</v>
      </c>
      <c r="O14" s="642">
        <f>'Baseline injuries'!O15*'Scenario Injury Multiplier'!O15</f>
        <v>0</v>
      </c>
      <c r="P14" s="642" t="e">
        <f>'Baseline injuries'!P15*'Scenario Injury Multiplier'!P15</f>
        <v>#REF!</v>
      </c>
      <c r="Q14" s="642" t="e">
        <f>'Baseline injuries'!Q15*'Scenario Injury Multiplier'!Q15</f>
        <v>#DIV/0!</v>
      </c>
      <c r="R14" s="642"/>
      <c r="S14" s="642">
        <f>'Baseline injuries'!S15*'Scenario Injury Multiplier'!S15</f>
        <v>0</v>
      </c>
      <c r="T14" s="642"/>
      <c r="U14" s="642">
        <f>'Baseline injuries'!U15*'Scenario Injury Multiplier'!U15</f>
        <v>0</v>
      </c>
      <c r="V14" s="652"/>
      <c r="W14" s="653"/>
      <c r="X14" s="653"/>
      <c r="Y14" s="653"/>
      <c r="Z14" s="653"/>
      <c r="AA14" s="653"/>
      <c r="AB14" s="653"/>
      <c r="AC14" s="653"/>
      <c r="AD14" s="654"/>
      <c r="AE14" s="648" t="e">
        <f t="shared" si="0"/>
        <v>#REF!</v>
      </c>
    </row>
    <row r="15" spans="1:31" ht="15.75" thickBot="1" x14ac:dyDescent="0.3">
      <c r="A15" s="1361"/>
      <c r="B15" s="1379"/>
      <c r="C15" s="268" t="s">
        <v>165</v>
      </c>
      <c r="D15" s="652"/>
      <c r="E15" s="653"/>
      <c r="F15" s="653"/>
      <c r="G15" s="653"/>
      <c r="H15" s="653"/>
      <c r="I15" s="653"/>
      <c r="J15" s="653"/>
      <c r="K15" s="653"/>
      <c r="L15" s="654"/>
      <c r="M15" s="642" t="e">
        <f>'Baseline injuries'!M16*'Scenario Injury Multiplier'!M16</f>
        <v>#REF!</v>
      </c>
      <c r="N15" s="642" t="e">
        <f>'Baseline injuries'!N16*'Scenario Injury Multiplier'!N16</f>
        <v>#REF!</v>
      </c>
      <c r="O15" s="642" t="e">
        <f>'Baseline injuries'!O16*'Scenario Injury Multiplier'!O16</f>
        <v>#REF!</v>
      </c>
      <c r="P15" s="642" t="e">
        <f>'Baseline injuries'!P16*'Scenario Injury Multiplier'!P16</f>
        <v>#REF!</v>
      </c>
      <c r="Q15" s="642" t="e">
        <f>'Baseline injuries'!Q16*'Scenario Injury Multiplier'!Q16</f>
        <v>#REF!</v>
      </c>
      <c r="R15" s="642"/>
      <c r="S15" s="642" t="e">
        <f>'Baseline injuries'!S16*'Scenario Injury Multiplier'!S16</f>
        <v>#REF!</v>
      </c>
      <c r="T15" s="642"/>
      <c r="U15" s="642" t="e">
        <f>'Baseline injuries'!U16*'Scenario Injury Multiplier'!U16</f>
        <v>#REF!</v>
      </c>
      <c r="V15" s="652"/>
      <c r="W15" s="653"/>
      <c r="X15" s="653"/>
      <c r="Y15" s="653"/>
      <c r="Z15" s="653"/>
      <c r="AA15" s="653"/>
      <c r="AB15" s="653"/>
      <c r="AC15" s="653"/>
      <c r="AD15" s="654"/>
      <c r="AE15" s="648" t="e">
        <f t="shared" si="0"/>
        <v>#REF!</v>
      </c>
    </row>
    <row r="16" spans="1:31" ht="15.75" thickBot="1" x14ac:dyDescent="0.3">
      <c r="A16" s="1361"/>
      <c r="B16" s="1379"/>
      <c r="C16" s="268" t="s">
        <v>163</v>
      </c>
      <c r="D16" s="652"/>
      <c r="E16" s="653"/>
      <c r="F16" s="653"/>
      <c r="G16" s="653"/>
      <c r="H16" s="653"/>
      <c r="I16" s="653"/>
      <c r="J16" s="653"/>
      <c r="K16" s="653"/>
      <c r="L16" s="654"/>
      <c r="M16" s="642" t="e">
        <f>'Baseline injuries'!M17*'Scenario Injury Multiplier'!M17</f>
        <v>#DIV/0!</v>
      </c>
      <c r="N16" s="642" t="e">
        <f>'Baseline injuries'!N17*'Scenario Injury Multiplier'!N17</f>
        <v>#DIV/0!</v>
      </c>
      <c r="O16" s="642" t="e">
        <f>'Baseline injuries'!O17*'Scenario Injury Multiplier'!O17</f>
        <v>#DIV/0!</v>
      </c>
      <c r="P16" s="642" t="e">
        <f>'Baseline injuries'!P17*'Scenario Injury Multiplier'!P17</f>
        <v>#DIV/0!</v>
      </c>
      <c r="Q16" s="642" t="e">
        <f>'Baseline injuries'!Q17*'Scenario Injury Multiplier'!Q17</f>
        <v>#DIV/0!</v>
      </c>
      <c r="R16" s="642"/>
      <c r="S16" s="642" t="e">
        <f>'Baseline injuries'!S17*'Scenario Injury Multiplier'!S17</f>
        <v>#DIV/0!</v>
      </c>
      <c r="T16" s="642"/>
      <c r="U16" s="642" t="e">
        <f>'Baseline injuries'!U17*'Scenario Injury Multiplier'!U17</f>
        <v>#DIV/0!</v>
      </c>
      <c r="V16" s="652"/>
      <c r="W16" s="653"/>
      <c r="X16" s="653"/>
      <c r="Y16" s="653"/>
      <c r="Z16" s="653"/>
      <c r="AA16" s="653"/>
      <c r="AB16" s="653"/>
      <c r="AC16" s="653"/>
      <c r="AD16" s="654"/>
      <c r="AE16" s="648" t="e">
        <f t="shared" si="0"/>
        <v>#DIV/0!</v>
      </c>
    </row>
    <row r="17" spans="1:31" ht="15.75" thickBot="1" x14ac:dyDescent="0.3">
      <c r="A17" s="1361"/>
      <c r="B17" s="1379"/>
      <c r="C17" s="268" t="s">
        <v>164</v>
      </c>
      <c r="D17" s="652"/>
      <c r="E17" s="653"/>
      <c r="F17" s="653"/>
      <c r="G17" s="653"/>
      <c r="H17" s="653"/>
      <c r="I17" s="653"/>
      <c r="J17" s="653"/>
      <c r="K17" s="653"/>
      <c r="L17" s="654"/>
      <c r="M17" s="642"/>
      <c r="N17" s="642"/>
      <c r="O17" s="642"/>
      <c r="P17" s="642"/>
      <c r="Q17" s="642"/>
      <c r="R17" s="642"/>
      <c r="S17" s="642"/>
      <c r="T17" s="642"/>
      <c r="U17" s="642"/>
      <c r="V17" s="652"/>
      <c r="W17" s="653"/>
      <c r="X17" s="653"/>
      <c r="Y17" s="653"/>
      <c r="Z17" s="653"/>
      <c r="AA17" s="653"/>
      <c r="AB17" s="653"/>
      <c r="AC17" s="653"/>
      <c r="AD17" s="654"/>
      <c r="AE17" s="648">
        <f t="shared" si="0"/>
        <v>0</v>
      </c>
    </row>
    <row r="18" spans="1:31" ht="15.75" thickBot="1" x14ac:dyDescent="0.3">
      <c r="A18" s="1361"/>
      <c r="B18" s="1379"/>
      <c r="C18" s="268" t="s">
        <v>143</v>
      </c>
      <c r="D18" s="652"/>
      <c r="E18" s="653"/>
      <c r="F18" s="653"/>
      <c r="G18" s="653"/>
      <c r="H18" s="653"/>
      <c r="I18" s="653"/>
      <c r="J18" s="653"/>
      <c r="K18" s="653"/>
      <c r="L18" s="654"/>
      <c r="M18" s="642" t="e">
        <f>'Baseline injuries'!M19*'Scenario Injury Multiplier'!M19</f>
        <v>#REF!</v>
      </c>
      <c r="N18" s="642" t="e">
        <f>'Baseline injuries'!N19*'Scenario Injury Multiplier'!N19</f>
        <v>#REF!</v>
      </c>
      <c r="O18" s="642">
        <f>'Baseline injuries'!O19*'Scenario Injury Multiplier'!O19</f>
        <v>0</v>
      </c>
      <c r="P18" s="642" t="e">
        <f>'Baseline injuries'!P19*'Scenario Injury Multiplier'!P19</f>
        <v>#REF!</v>
      </c>
      <c r="Q18" s="642" t="e">
        <f>'Baseline injuries'!Q19*'Scenario Injury Multiplier'!Q19</f>
        <v>#DIV/0!</v>
      </c>
      <c r="R18" s="642"/>
      <c r="S18" s="642">
        <f>'Baseline injuries'!S19*'Scenario Injury Multiplier'!S19</f>
        <v>0</v>
      </c>
      <c r="T18" s="642"/>
      <c r="U18" s="642">
        <f>'Baseline injuries'!U19*'Scenario Injury Multiplier'!U19</f>
        <v>0</v>
      </c>
      <c r="V18" s="652"/>
      <c r="W18" s="653"/>
      <c r="X18" s="653"/>
      <c r="Y18" s="653"/>
      <c r="Z18" s="653"/>
      <c r="AA18" s="653"/>
      <c r="AB18" s="653"/>
      <c r="AC18" s="653"/>
      <c r="AD18" s="654"/>
      <c r="AE18" s="648" t="e">
        <f t="shared" si="0"/>
        <v>#REF!</v>
      </c>
    </row>
    <row r="19" spans="1:31" ht="15.75" thickBot="1" x14ac:dyDescent="0.3">
      <c r="A19" s="1361"/>
      <c r="B19" s="1379"/>
      <c r="C19" s="270" t="s">
        <v>123</v>
      </c>
      <c r="D19" s="652"/>
      <c r="E19" s="653"/>
      <c r="F19" s="653"/>
      <c r="G19" s="653"/>
      <c r="H19" s="653"/>
      <c r="I19" s="653"/>
      <c r="J19" s="653"/>
      <c r="K19" s="653"/>
      <c r="L19" s="654"/>
      <c r="M19" s="642"/>
      <c r="N19" s="642"/>
      <c r="O19" s="642"/>
      <c r="P19" s="642"/>
      <c r="Q19" s="642"/>
      <c r="R19" s="642"/>
      <c r="S19" s="642"/>
      <c r="T19" s="642"/>
      <c r="U19" s="642"/>
      <c r="V19" s="658"/>
      <c r="W19" s="659"/>
      <c r="X19" s="659"/>
      <c r="Y19" s="659"/>
      <c r="Z19" s="659"/>
      <c r="AA19" s="659"/>
      <c r="AB19" s="659"/>
      <c r="AC19" s="659"/>
      <c r="AD19" s="660"/>
      <c r="AE19" s="648">
        <f t="shared" si="0"/>
        <v>0</v>
      </c>
    </row>
    <row r="20" spans="1:31" ht="15.75" thickBot="1" x14ac:dyDescent="0.3">
      <c r="A20" s="1361"/>
      <c r="B20" s="1362" t="s">
        <v>166</v>
      </c>
      <c r="C20" s="268" t="s">
        <v>93</v>
      </c>
      <c r="D20" s="652"/>
      <c r="E20" s="653"/>
      <c r="F20" s="653"/>
      <c r="G20" s="653"/>
      <c r="H20" s="653"/>
      <c r="I20" s="653"/>
      <c r="J20" s="653"/>
      <c r="K20" s="653"/>
      <c r="L20" s="653"/>
      <c r="M20" s="645"/>
      <c r="N20" s="646"/>
      <c r="O20" s="646"/>
      <c r="P20" s="646"/>
      <c r="Q20" s="646"/>
      <c r="R20" s="646"/>
      <c r="S20" s="646"/>
      <c r="T20" s="646"/>
      <c r="U20" s="647"/>
      <c r="V20" s="642" t="e">
        <f>'Baseline injuries'!V21*'Scenario Injury Multiplier'!V22</f>
        <v>#REF!</v>
      </c>
      <c r="W20" s="642" t="e">
        <f>'Baseline injuries'!W21*'Scenario Injury Multiplier'!W22</f>
        <v>#REF!</v>
      </c>
      <c r="X20" s="642" t="e">
        <f>'Baseline injuries'!X21*'Scenario Injury Multiplier'!X22</f>
        <v>#REF!</v>
      </c>
      <c r="Y20" s="642" t="e">
        <f>'Baseline injuries'!Y21*'Scenario Injury Multiplier'!Y22</f>
        <v>#REF!</v>
      </c>
      <c r="Z20" s="642">
        <f>'Baseline injuries'!Z21*'Scenario Injury Multiplier'!Z22</f>
        <v>0</v>
      </c>
      <c r="AA20" s="642"/>
      <c r="AB20" s="642" t="e">
        <f>'Baseline injuries'!AB21*'Scenario Injury Multiplier'!AB22</f>
        <v>#REF!</v>
      </c>
      <c r="AC20" s="642"/>
      <c r="AD20" s="642" t="e">
        <f>'Baseline injuries'!AD21*'Scenario Injury Multiplier'!AD22</f>
        <v>#REF!</v>
      </c>
      <c r="AE20" s="661" t="e">
        <f t="shared" si="0"/>
        <v>#REF!</v>
      </c>
    </row>
    <row r="21" spans="1:31" ht="15.75" thickBot="1" x14ac:dyDescent="0.3">
      <c r="A21" s="1361"/>
      <c r="B21" s="1363"/>
      <c r="C21" s="268" t="s">
        <v>94</v>
      </c>
      <c r="D21" s="652"/>
      <c r="E21" s="653"/>
      <c r="F21" s="653"/>
      <c r="G21" s="653"/>
      <c r="H21" s="653"/>
      <c r="I21" s="653"/>
      <c r="J21" s="653"/>
      <c r="K21" s="653"/>
      <c r="L21" s="653"/>
      <c r="M21" s="652"/>
      <c r="N21" s="653"/>
      <c r="O21" s="653"/>
      <c r="P21" s="653"/>
      <c r="Q21" s="653"/>
      <c r="R21" s="653"/>
      <c r="S21" s="653"/>
      <c r="T21" s="653"/>
      <c r="U21" s="654"/>
      <c r="V21" s="642" t="e">
        <f>'Baseline injuries'!V22*'Scenario Injury Multiplier'!V23</f>
        <v>#REF!</v>
      </c>
      <c r="W21" s="642" t="e">
        <f>'Baseline injuries'!W22*'Scenario Injury Multiplier'!W23</f>
        <v>#REF!</v>
      </c>
      <c r="X21" s="642" t="e">
        <f>'Baseline injuries'!X22*'Scenario Injury Multiplier'!X23</f>
        <v>#REF!</v>
      </c>
      <c r="Y21" s="642" t="e">
        <f>'Baseline injuries'!Y22*'Scenario Injury Multiplier'!Y23</f>
        <v>#REF!</v>
      </c>
      <c r="Z21" s="642">
        <f>'Baseline injuries'!Z22*'Scenario Injury Multiplier'!Z23</f>
        <v>0</v>
      </c>
      <c r="AA21" s="642"/>
      <c r="AB21" s="642" t="e">
        <f>'Baseline injuries'!AB22*'Scenario Injury Multiplier'!AB23</f>
        <v>#REF!</v>
      </c>
      <c r="AC21" s="642"/>
      <c r="AD21" s="642" t="e">
        <f>'Baseline injuries'!AD22*'Scenario Injury Multiplier'!AD23</f>
        <v>#REF!</v>
      </c>
      <c r="AE21" s="661" t="e">
        <f t="shared" si="0"/>
        <v>#REF!</v>
      </c>
    </row>
    <row r="22" spans="1:31" ht="15.75" thickBot="1" x14ac:dyDescent="0.3">
      <c r="A22" s="1361"/>
      <c r="B22" s="1363"/>
      <c r="C22" s="269" t="s">
        <v>95</v>
      </c>
      <c r="D22" s="652"/>
      <c r="E22" s="653"/>
      <c r="F22" s="653"/>
      <c r="G22" s="653"/>
      <c r="H22" s="653"/>
      <c r="I22" s="653"/>
      <c r="J22" s="653"/>
      <c r="K22" s="653"/>
      <c r="L22" s="653"/>
      <c r="M22" s="652"/>
      <c r="N22" s="653"/>
      <c r="O22" s="653"/>
      <c r="P22" s="653"/>
      <c r="Q22" s="653"/>
      <c r="R22" s="653"/>
      <c r="S22" s="653"/>
      <c r="T22" s="653"/>
      <c r="U22" s="654"/>
      <c r="V22" s="642" t="e">
        <f>'Baseline injuries'!V23*'Scenario Injury Multiplier'!V24</f>
        <v>#REF!</v>
      </c>
      <c r="W22" s="642" t="e">
        <f>'Baseline injuries'!W23*'Scenario Injury Multiplier'!W24</f>
        <v>#REF!</v>
      </c>
      <c r="X22" s="642">
        <f>'Baseline injuries'!X23*'Scenario Injury Multiplier'!X24</f>
        <v>0</v>
      </c>
      <c r="Y22" s="642" t="e">
        <f>'Baseline injuries'!Y23*'Scenario Injury Multiplier'!Y24</f>
        <v>#REF!</v>
      </c>
      <c r="Z22" s="642" t="e">
        <f>'Baseline injuries'!Z23*'Scenario Injury Multiplier'!Z24</f>
        <v>#DIV/0!</v>
      </c>
      <c r="AA22" s="642"/>
      <c r="AB22" s="642">
        <f>'Baseline injuries'!AB23*'Scenario Injury Multiplier'!AB24</f>
        <v>0</v>
      </c>
      <c r="AC22" s="642"/>
      <c r="AD22" s="642">
        <f>'Baseline injuries'!AD23*'Scenario Injury Multiplier'!AD24</f>
        <v>0</v>
      </c>
      <c r="AE22" s="661" t="e">
        <f t="shared" si="0"/>
        <v>#REF!</v>
      </c>
    </row>
    <row r="23" spans="1:31" ht="15.75" thickBot="1" x14ac:dyDescent="0.3">
      <c r="A23" s="1361"/>
      <c r="B23" s="1363"/>
      <c r="C23" s="268" t="s">
        <v>165</v>
      </c>
      <c r="D23" s="652"/>
      <c r="E23" s="653"/>
      <c r="F23" s="653"/>
      <c r="G23" s="653"/>
      <c r="H23" s="653"/>
      <c r="I23" s="653"/>
      <c r="J23" s="653"/>
      <c r="K23" s="653"/>
      <c r="L23" s="653"/>
      <c r="M23" s="652"/>
      <c r="N23" s="653"/>
      <c r="O23" s="653"/>
      <c r="P23" s="653"/>
      <c r="Q23" s="653"/>
      <c r="R23" s="653"/>
      <c r="S23" s="653"/>
      <c r="T23" s="653"/>
      <c r="U23" s="654"/>
      <c r="V23" s="642" t="e">
        <f>'Baseline injuries'!V24*'Scenario Injury Multiplier'!V25</f>
        <v>#REF!</v>
      </c>
      <c r="W23" s="642" t="e">
        <f>'Baseline injuries'!W24*'Scenario Injury Multiplier'!W25</f>
        <v>#REF!</v>
      </c>
      <c r="X23" s="642" t="e">
        <f>'Baseline injuries'!X24*'Scenario Injury Multiplier'!X25</f>
        <v>#REF!</v>
      </c>
      <c r="Y23" s="642" t="e">
        <f>'Baseline injuries'!Y24*'Scenario Injury Multiplier'!Y25</f>
        <v>#REF!</v>
      </c>
      <c r="Z23" s="642" t="e">
        <f>'Baseline injuries'!Z24*'Scenario Injury Multiplier'!Z25</f>
        <v>#REF!</v>
      </c>
      <c r="AA23" s="642"/>
      <c r="AB23" s="642" t="e">
        <f>'Baseline injuries'!AB24*'Scenario Injury Multiplier'!AB25</f>
        <v>#REF!</v>
      </c>
      <c r="AC23" s="642"/>
      <c r="AD23" s="642" t="e">
        <f>'Baseline injuries'!AD24*'Scenario Injury Multiplier'!AD25</f>
        <v>#REF!</v>
      </c>
      <c r="AE23" s="661" t="e">
        <f t="shared" si="0"/>
        <v>#REF!</v>
      </c>
    </row>
    <row r="24" spans="1:31" ht="15.75" thickBot="1" x14ac:dyDescent="0.3">
      <c r="A24" s="1361"/>
      <c r="B24" s="1363"/>
      <c r="C24" s="268" t="s">
        <v>163</v>
      </c>
      <c r="D24" s="652"/>
      <c r="E24" s="653"/>
      <c r="F24" s="653"/>
      <c r="G24" s="653"/>
      <c r="H24" s="653"/>
      <c r="I24" s="653"/>
      <c r="J24" s="653"/>
      <c r="K24" s="653"/>
      <c r="L24" s="653"/>
      <c r="M24" s="652"/>
      <c r="N24" s="653"/>
      <c r="O24" s="653"/>
      <c r="P24" s="653"/>
      <c r="Q24" s="653"/>
      <c r="R24" s="653"/>
      <c r="S24" s="653"/>
      <c r="T24" s="653"/>
      <c r="U24" s="654"/>
      <c r="V24" s="642" t="e">
        <f>'Baseline injuries'!V25*'Scenario Injury Multiplier'!V26</f>
        <v>#REF!</v>
      </c>
      <c r="W24" s="642" t="e">
        <f>'Baseline injuries'!W25*'Scenario Injury Multiplier'!W26</f>
        <v>#REF!</v>
      </c>
      <c r="X24" s="642" t="e">
        <f>'Baseline injuries'!X25*'Scenario Injury Multiplier'!X26</f>
        <v>#DIV/0!</v>
      </c>
      <c r="Y24" s="642" t="e">
        <f>'Baseline injuries'!Y25*'Scenario Injury Multiplier'!Y26</f>
        <v>#DIV/0!</v>
      </c>
      <c r="Z24" s="642" t="e">
        <f>'Baseline injuries'!Z25*'Scenario Injury Multiplier'!Z26</f>
        <v>#DIV/0!</v>
      </c>
      <c r="AA24" s="642"/>
      <c r="AB24" s="642" t="e">
        <f>'Baseline injuries'!AB25*'Scenario Injury Multiplier'!AB26</f>
        <v>#DIV/0!</v>
      </c>
      <c r="AC24" s="642"/>
      <c r="AD24" s="642" t="e">
        <f>'Baseline injuries'!AD25*'Scenario Injury Multiplier'!AD26</f>
        <v>#DIV/0!</v>
      </c>
      <c r="AE24" s="661" t="e">
        <f t="shared" si="0"/>
        <v>#REF!</v>
      </c>
    </row>
    <row r="25" spans="1:31" ht="15.75" thickBot="1" x14ac:dyDescent="0.3">
      <c r="A25" s="1361"/>
      <c r="B25" s="1363"/>
      <c r="C25" s="268" t="s">
        <v>164</v>
      </c>
      <c r="D25" s="652"/>
      <c r="E25" s="653"/>
      <c r="F25" s="653"/>
      <c r="G25" s="653"/>
      <c r="H25" s="653"/>
      <c r="I25" s="653"/>
      <c r="J25" s="653"/>
      <c r="K25" s="653"/>
      <c r="L25" s="653"/>
      <c r="M25" s="652"/>
      <c r="N25" s="653"/>
      <c r="O25" s="653"/>
      <c r="P25" s="653"/>
      <c r="Q25" s="653"/>
      <c r="R25" s="653"/>
      <c r="S25" s="653"/>
      <c r="T25" s="653"/>
      <c r="U25" s="654"/>
      <c r="V25" s="642"/>
      <c r="W25" s="642"/>
      <c r="X25" s="642"/>
      <c r="Y25" s="642"/>
      <c r="Z25" s="642"/>
      <c r="AA25" s="642"/>
      <c r="AB25" s="642"/>
      <c r="AC25" s="642"/>
      <c r="AD25" s="642"/>
      <c r="AE25" s="661">
        <f t="shared" si="0"/>
        <v>0</v>
      </c>
    </row>
    <row r="26" spans="1:31" ht="15.75" thickBot="1" x14ac:dyDescent="0.3">
      <c r="A26" s="1361"/>
      <c r="B26" s="1363"/>
      <c r="C26" s="268" t="s">
        <v>143</v>
      </c>
      <c r="D26" s="652"/>
      <c r="E26" s="653"/>
      <c r="F26" s="653"/>
      <c r="G26" s="653"/>
      <c r="H26" s="653"/>
      <c r="I26" s="653"/>
      <c r="J26" s="653"/>
      <c r="K26" s="653"/>
      <c r="L26" s="653"/>
      <c r="M26" s="652"/>
      <c r="N26" s="653"/>
      <c r="O26" s="653"/>
      <c r="P26" s="653"/>
      <c r="Q26" s="653"/>
      <c r="R26" s="653"/>
      <c r="S26" s="653"/>
      <c r="T26" s="653"/>
      <c r="U26" s="654"/>
      <c r="V26" s="642" t="e">
        <f>'Baseline injuries'!V27*'Scenario Injury Multiplier'!V28</f>
        <v>#REF!</v>
      </c>
      <c r="W26" s="642" t="e">
        <f>'Baseline injuries'!W27*'Scenario Injury Multiplier'!W28</f>
        <v>#REF!</v>
      </c>
      <c r="X26" s="642">
        <f>'Baseline injuries'!X27*'Scenario Injury Multiplier'!X28</f>
        <v>0</v>
      </c>
      <c r="Y26" s="642" t="e">
        <f>'Baseline injuries'!Y27*'Scenario Injury Multiplier'!Y28</f>
        <v>#REF!</v>
      </c>
      <c r="Z26" s="642" t="e">
        <f>'Baseline injuries'!Z27*'Scenario Injury Multiplier'!Z28</f>
        <v>#DIV/0!</v>
      </c>
      <c r="AA26" s="642"/>
      <c r="AB26" s="642">
        <f>'Baseline injuries'!AB27*'Scenario Injury Multiplier'!AB28</f>
        <v>0</v>
      </c>
      <c r="AC26" s="642"/>
      <c r="AD26" s="642">
        <f>'Baseline injuries'!AD27*'Scenario Injury Multiplier'!AD28</f>
        <v>0</v>
      </c>
      <c r="AE26" s="661" t="e">
        <f t="shared" si="0"/>
        <v>#REF!</v>
      </c>
    </row>
    <row r="27" spans="1:31" ht="15.75" thickBot="1" x14ac:dyDescent="0.3">
      <c r="A27" s="1361"/>
      <c r="B27" s="1364"/>
      <c r="C27" s="270" t="s">
        <v>123</v>
      </c>
      <c r="D27" s="658"/>
      <c r="E27" s="659"/>
      <c r="F27" s="659"/>
      <c r="G27" s="659"/>
      <c r="H27" s="659"/>
      <c r="I27" s="659"/>
      <c r="J27" s="659"/>
      <c r="K27" s="659"/>
      <c r="L27" s="659"/>
      <c r="M27" s="658"/>
      <c r="N27" s="659"/>
      <c r="O27" s="659"/>
      <c r="P27" s="659"/>
      <c r="Q27" s="659"/>
      <c r="R27" s="659"/>
      <c r="S27" s="659"/>
      <c r="T27" s="659"/>
      <c r="U27" s="660"/>
      <c r="V27" s="642"/>
      <c r="W27" s="642"/>
      <c r="X27" s="642"/>
      <c r="Y27" s="642"/>
      <c r="Z27" s="642"/>
      <c r="AA27" s="642"/>
      <c r="AB27" s="642"/>
      <c r="AC27" s="642"/>
      <c r="AD27" s="642"/>
      <c r="AE27" s="661">
        <f t="shared" si="0"/>
        <v>0</v>
      </c>
    </row>
    <row r="28" spans="1:31" ht="15.75" thickBot="1" x14ac:dyDescent="0.3">
      <c r="A28" s="1361"/>
      <c r="B28" s="1365" t="s">
        <v>177</v>
      </c>
      <c r="C28" s="1366" t="s">
        <v>74</v>
      </c>
      <c r="D28" s="662" t="e">
        <f>SUM(D4:D27)</f>
        <v>#REF!</v>
      </c>
      <c r="E28" s="662" t="e">
        <f t="shared" ref="E28:AB28" si="1">SUM(E4:E27)</f>
        <v>#REF!</v>
      </c>
      <c r="F28" s="662" t="e">
        <f t="shared" si="1"/>
        <v>#REF!</v>
      </c>
      <c r="G28" s="662" t="e">
        <f t="shared" si="1"/>
        <v>#REF!</v>
      </c>
      <c r="H28" s="662" t="e">
        <f t="shared" si="1"/>
        <v>#REF!</v>
      </c>
      <c r="I28" s="662">
        <f t="shared" si="1"/>
        <v>0</v>
      </c>
      <c r="J28" s="662" t="e">
        <f t="shared" si="1"/>
        <v>#REF!</v>
      </c>
      <c r="K28" s="662">
        <f t="shared" si="1"/>
        <v>0</v>
      </c>
      <c r="L28" s="662" t="e">
        <f t="shared" si="1"/>
        <v>#REF!</v>
      </c>
      <c r="M28" s="662" t="e">
        <f t="shared" si="1"/>
        <v>#REF!</v>
      </c>
      <c r="N28" s="662" t="e">
        <f t="shared" si="1"/>
        <v>#REF!</v>
      </c>
      <c r="O28" s="662" t="e">
        <f t="shared" si="1"/>
        <v>#REF!</v>
      </c>
      <c r="P28" s="662" t="e">
        <f t="shared" si="1"/>
        <v>#REF!</v>
      </c>
      <c r="Q28" s="662" t="e">
        <f t="shared" si="1"/>
        <v>#REF!</v>
      </c>
      <c r="R28" s="662">
        <f t="shared" si="1"/>
        <v>0</v>
      </c>
      <c r="S28" s="662" t="e">
        <f t="shared" si="1"/>
        <v>#REF!</v>
      </c>
      <c r="T28" s="662">
        <f t="shared" si="1"/>
        <v>0</v>
      </c>
      <c r="U28" s="662" t="e">
        <f t="shared" si="1"/>
        <v>#REF!</v>
      </c>
      <c r="V28" s="663" t="e">
        <f t="shared" si="1"/>
        <v>#REF!</v>
      </c>
      <c r="W28" s="663" t="e">
        <f t="shared" si="1"/>
        <v>#REF!</v>
      </c>
      <c r="X28" s="663" t="e">
        <f t="shared" si="1"/>
        <v>#REF!</v>
      </c>
      <c r="Y28" s="663" t="e">
        <f t="shared" si="1"/>
        <v>#REF!</v>
      </c>
      <c r="Z28" s="663" t="e">
        <f t="shared" si="1"/>
        <v>#DIV/0!</v>
      </c>
      <c r="AA28" s="663"/>
      <c r="AB28" s="663" t="e">
        <f t="shared" si="1"/>
        <v>#REF!</v>
      </c>
      <c r="AC28" s="663"/>
      <c r="AD28" s="664" t="e">
        <f>SUM(AD4:AD27)</f>
        <v>#REF!</v>
      </c>
      <c r="AE28" s="661" t="e">
        <f t="shared" si="0"/>
        <v>#REF!</v>
      </c>
    </row>
    <row r="29" spans="1:31" ht="12.75" customHeight="1" thickBot="1" x14ac:dyDescent="0.3">
      <c r="A29" s="1361"/>
      <c r="B29" s="1392" t="s">
        <v>179</v>
      </c>
      <c r="C29" s="1392"/>
      <c r="D29" s="1153" t="s">
        <v>161</v>
      </c>
      <c r="E29" s="1153"/>
      <c r="F29" s="1153"/>
      <c r="G29" s="1153"/>
      <c r="H29" s="1153"/>
      <c r="I29" s="1153"/>
      <c r="J29" s="1153"/>
      <c r="K29" s="1153"/>
      <c r="L29" s="241"/>
      <c r="M29" s="1153" t="s">
        <v>162</v>
      </c>
      <c r="N29" s="1153"/>
      <c r="O29" s="1153"/>
      <c r="P29" s="1153"/>
      <c r="Q29" s="1153"/>
      <c r="R29" s="1153"/>
      <c r="S29" s="1153"/>
      <c r="T29" s="1153"/>
      <c r="U29" s="241"/>
      <c r="V29" s="1153" t="s">
        <v>166</v>
      </c>
      <c r="W29" s="1153"/>
      <c r="X29" s="1153"/>
      <c r="Y29" s="1153"/>
      <c r="Z29" s="1153"/>
      <c r="AA29" s="1153"/>
      <c r="AB29" s="1153"/>
      <c r="AC29" s="1153"/>
      <c r="AD29" s="243"/>
      <c r="AE29" s="247"/>
    </row>
    <row r="30" spans="1:31" ht="19.5" customHeight="1" thickBot="1" x14ac:dyDescent="0.3">
      <c r="A30" s="1361"/>
      <c r="B30" s="1393"/>
      <c r="C30" s="1393"/>
      <c r="D30" s="263" t="s">
        <v>93</v>
      </c>
      <c r="E30" s="264" t="s">
        <v>94</v>
      </c>
      <c r="F30" s="264" t="s">
        <v>95</v>
      </c>
      <c r="G30" s="264" t="s">
        <v>165</v>
      </c>
      <c r="H30" s="264" t="s">
        <v>163</v>
      </c>
      <c r="I30" s="264" t="s">
        <v>164</v>
      </c>
      <c r="J30" s="264" t="s">
        <v>143</v>
      </c>
      <c r="K30" s="265" t="s">
        <v>123</v>
      </c>
      <c r="L30" s="265" t="s">
        <v>175</v>
      </c>
      <c r="M30" s="250" t="s">
        <v>93</v>
      </c>
      <c r="N30" s="250" t="s">
        <v>94</v>
      </c>
      <c r="O30" s="250" t="s">
        <v>95</v>
      </c>
      <c r="P30" s="250" t="s">
        <v>165</v>
      </c>
      <c r="Q30" s="250" t="s">
        <v>163</v>
      </c>
      <c r="R30" s="250" t="s">
        <v>164</v>
      </c>
      <c r="S30" s="250" t="s">
        <v>143</v>
      </c>
      <c r="T30" s="276" t="s">
        <v>123</v>
      </c>
      <c r="U30" s="276" t="s">
        <v>175</v>
      </c>
      <c r="V30" s="250" t="s">
        <v>93</v>
      </c>
      <c r="W30" s="250" t="s">
        <v>94</v>
      </c>
      <c r="X30" s="250" t="s">
        <v>95</v>
      </c>
      <c r="Y30" s="250" t="s">
        <v>165</v>
      </c>
      <c r="Z30" s="250" t="s">
        <v>163</v>
      </c>
      <c r="AA30" s="250" t="s">
        <v>164</v>
      </c>
      <c r="AB30" s="250" t="s">
        <v>143</v>
      </c>
      <c r="AC30" s="276" t="s">
        <v>123</v>
      </c>
      <c r="AD30" s="277" t="s">
        <v>175</v>
      </c>
      <c r="AE30" s="267" t="s">
        <v>177</v>
      </c>
    </row>
    <row r="31" spans="1:31" ht="12.75" customHeight="1" thickBot="1" x14ac:dyDescent="0.3">
      <c r="A31" s="1361"/>
      <c r="B31" s="1378" t="s">
        <v>161</v>
      </c>
      <c r="C31" s="259" t="s">
        <v>93</v>
      </c>
      <c r="D31" s="642" t="e">
        <f>'Baseline injuries'!D32*'Scenario Injury Multiplier'!D4</f>
        <v>#REF!</v>
      </c>
      <c r="E31" s="642" t="e">
        <f>'Baseline injuries'!E32*'Scenario Injury Multiplier'!E4</f>
        <v>#REF!</v>
      </c>
      <c r="F31" s="642" t="e">
        <f>'Baseline injuries'!F32*'Scenario Injury Multiplier'!F4</f>
        <v>#REF!</v>
      </c>
      <c r="G31" s="642" t="e">
        <f>'Baseline injuries'!G32*'Scenario Injury Multiplier'!G4</f>
        <v>#REF!</v>
      </c>
      <c r="H31" s="642" t="e">
        <f>'Baseline injuries'!H32*'Scenario Injury Multiplier'!H4</f>
        <v>#REF!</v>
      </c>
      <c r="I31" s="642"/>
      <c r="J31" s="642" t="e">
        <f>'Baseline injuries'!J32*'Scenario Injury Multiplier'!J4</f>
        <v>#REF!</v>
      </c>
      <c r="K31" s="642"/>
      <c r="L31" s="642" t="e">
        <f>'Baseline injuries'!L32*'Scenario Injury Multiplier'!L4</f>
        <v>#REF!</v>
      </c>
      <c r="M31" s="645"/>
      <c r="N31" s="646"/>
      <c r="O31" s="646"/>
      <c r="P31" s="646"/>
      <c r="Q31" s="646"/>
      <c r="R31" s="646"/>
      <c r="S31" s="646"/>
      <c r="T31" s="646"/>
      <c r="U31" s="646"/>
      <c r="V31" s="645"/>
      <c r="W31" s="646"/>
      <c r="X31" s="646"/>
      <c r="Y31" s="646"/>
      <c r="Z31" s="646"/>
      <c r="AA31" s="646"/>
      <c r="AB31" s="646"/>
      <c r="AC31" s="646"/>
      <c r="AD31" s="647"/>
      <c r="AE31" s="648" t="e">
        <f t="shared" si="0"/>
        <v>#REF!</v>
      </c>
    </row>
    <row r="32" spans="1:31" ht="15.75" thickBot="1" x14ac:dyDescent="0.3">
      <c r="A32" s="1361"/>
      <c r="B32" s="1379"/>
      <c r="C32" s="260" t="s">
        <v>94</v>
      </c>
      <c r="D32" s="642" t="e">
        <f>'Baseline injuries'!D33*'Scenario Injury Multiplier'!D5</f>
        <v>#REF!</v>
      </c>
      <c r="E32" s="642" t="e">
        <f>'Baseline injuries'!E33*'Scenario Injury Multiplier'!E5</f>
        <v>#REF!</v>
      </c>
      <c r="F32" s="642" t="e">
        <f>'Baseline injuries'!F33*'Scenario Injury Multiplier'!F5</f>
        <v>#REF!</v>
      </c>
      <c r="G32" s="642" t="e">
        <f>'Baseline injuries'!G33*'Scenario Injury Multiplier'!G5</f>
        <v>#REF!</v>
      </c>
      <c r="H32" s="642" t="e">
        <f>'Baseline injuries'!H33*'Scenario Injury Multiplier'!H5</f>
        <v>#REF!</v>
      </c>
      <c r="I32" s="642"/>
      <c r="J32" s="642" t="e">
        <f>'Baseline injuries'!J33*'Scenario Injury Multiplier'!J5</f>
        <v>#REF!</v>
      </c>
      <c r="K32" s="642"/>
      <c r="L32" s="642" t="e">
        <f>'Baseline injuries'!L33*'Scenario Injury Multiplier'!L5</f>
        <v>#REF!</v>
      </c>
      <c r="M32" s="652"/>
      <c r="N32" s="653"/>
      <c r="O32" s="653"/>
      <c r="P32" s="653"/>
      <c r="Q32" s="653"/>
      <c r="R32" s="653"/>
      <c r="S32" s="653"/>
      <c r="T32" s="653"/>
      <c r="U32" s="653"/>
      <c r="V32" s="652"/>
      <c r="W32" s="653"/>
      <c r="X32" s="653"/>
      <c r="Y32" s="653"/>
      <c r="Z32" s="653"/>
      <c r="AA32" s="653"/>
      <c r="AB32" s="653"/>
      <c r="AC32" s="653"/>
      <c r="AD32" s="654"/>
      <c r="AE32" s="648" t="e">
        <f t="shared" si="0"/>
        <v>#REF!</v>
      </c>
    </row>
    <row r="33" spans="1:31" ht="15.75" thickBot="1" x14ac:dyDescent="0.3">
      <c r="A33" s="1361"/>
      <c r="B33" s="1379"/>
      <c r="C33" s="261" t="s">
        <v>95</v>
      </c>
      <c r="D33" s="642" t="e">
        <f>'Baseline injuries'!D34*'Scenario Injury Multiplier'!D6</f>
        <v>#REF!</v>
      </c>
      <c r="E33" s="642" t="e">
        <f>'Baseline injuries'!E34*'Scenario Injury Multiplier'!E6</f>
        <v>#REF!</v>
      </c>
      <c r="F33" s="642">
        <f>'Baseline injuries'!F34*'Scenario Injury Multiplier'!F6</f>
        <v>0</v>
      </c>
      <c r="G33" s="642" t="e">
        <f>'Baseline injuries'!G34*'Scenario Injury Multiplier'!G6</f>
        <v>#REF!</v>
      </c>
      <c r="H33" s="642" t="e">
        <f>'Baseline injuries'!H34*'Scenario Injury Multiplier'!H6</f>
        <v>#DIV/0!</v>
      </c>
      <c r="I33" s="642"/>
      <c r="J33" s="642">
        <f>'Baseline injuries'!J34*'Scenario Injury Multiplier'!J6</f>
        <v>0</v>
      </c>
      <c r="K33" s="642"/>
      <c r="L33" s="642">
        <f>'Baseline injuries'!L34*'Scenario Injury Multiplier'!L6</f>
        <v>0</v>
      </c>
      <c r="M33" s="652"/>
      <c r="N33" s="653"/>
      <c r="O33" s="653"/>
      <c r="P33" s="653"/>
      <c r="Q33" s="653"/>
      <c r="R33" s="653"/>
      <c r="S33" s="653"/>
      <c r="T33" s="653"/>
      <c r="U33" s="653"/>
      <c r="V33" s="652"/>
      <c r="W33" s="653"/>
      <c r="X33" s="653"/>
      <c r="Y33" s="653"/>
      <c r="Z33" s="653"/>
      <c r="AA33" s="653"/>
      <c r="AB33" s="653"/>
      <c r="AC33" s="653"/>
      <c r="AD33" s="654"/>
      <c r="AE33" s="648" t="e">
        <f t="shared" si="0"/>
        <v>#REF!</v>
      </c>
    </row>
    <row r="34" spans="1:31" ht="15.75" thickBot="1" x14ac:dyDescent="0.3">
      <c r="A34" s="1361"/>
      <c r="B34" s="1379"/>
      <c r="C34" s="260" t="s">
        <v>165</v>
      </c>
      <c r="D34" s="642" t="e">
        <f>'Baseline injuries'!D35*'Scenario Injury Multiplier'!D7</f>
        <v>#REF!</v>
      </c>
      <c r="E34" s="642" t="e">
        <f>'Baseline injuries'!E35*'Scenario Injury Multiplier'!E7</f>
        <v>#REF!</v>
      </c>
      <c r="F34" s="642" t="e">
        <f>'Baseline injuries'!F35*'Scenario Injury Multiplier'!F7</f>
        <v>#REF!</v>
      </c>
      <c r="G34" s="642" t="e">
        <f>'Baseline injuries'!G35*'Scenario Injury Multiplier'!G7</f>
        <v>#REF!</v>
      </c>
      <c r="H34" s="642" t="e">
        <f>'Baseline injuries'!H35*'Scenario Injury Multiplier'!H7</f>
        <v>#REF!</v>
      </c>
      <c r="I34" s="642"/>
      <c r="J34" s="642" t="e">
        <f>'Baseline injuries'!J35*'Scenario Injury Multiplier'!J7</f>
        <v>#REF!</v>
      </c>
      <c r="K34" s="642"/>
      <c r="L34" s="642" t="e">
        <f>'Baseline injuries'!L35*'Scenario Injury Multiplier'!L7</f>
        <v>#REF!</v>
      </c>
      <c r="M34" s="652"/>
      <c r="N34" s="653"/>
      <c r="O34" s="653"/>
      <c r="P34" s="653"/>
      <c r="Q34" s="653"/>
      <c r="R34" s="653"/>
      <c r="S34" s="653"/>
      <c r="T34" s="653"/>
      <c r="U34" s="653"/>
      <c r="V34" s="652"/>
      <c r="W34" s="653"/>
      <c r="X34" s="653"/>
      <c r="Y34" s="653"/>
      <c r="Z34" s="653"/>
      <c r="AA34" s="653"/>
      <c r="AB34" s="653"/>
      <c r="AC34" s="653"/>
      <c r="AD34" s="654"/>
      <c r="AE34" s="648" t="e">
        <f t="shared" si="0"/>
        <v>#REF!</v>
      </c>
    </row>
    <row r="35" spans="1:31" ht="15.75" thickBot="1" x14ac:dyDescent="0.3">
      <c r="A35" s="1361"/>
      <c r="B35" s="1379"/>
      <c r="C35" s="260" t="s">
        <v>163</v>
      </c>
      <c r="D35" s="642" t="e">
        <f>'Baseline injuries'!D36*'Scenario Injury Multiplier'!D8</f>
        <v>#DIV/0!</v>
      </c>
      <c r="E35" s="642" t="e">
        <f>'Baseline injuries'!E36*'Scenario Injury Multiplier'!E8</f>
        <v>#DIV/0!</v>
      </c>
      <c r="F35" s="642" t="e">
        <f>'Baseline injuries'!F36*'Scenario Injury Multiplier'!F8</f>
        <v>#DIV/0!</v>
      </c>
      <c r="G35" s="642" t="e">
        <f>'Baseline injuries'!G36*'Scenario Injury Multiplier'!G8</f>
        <v>#DIV/0!</v>
      </c>
      <c r="H35" s="642" t="e">
        <f>'Baseline injuries'!H36*'Scenario Injury Multiplier'!H8</f>
        <v>#DIV/0!</v>
      </c>
      <c r="I35" s="642"/>
      <c r="J35" s="642" t="e">
        <f>'Baseline injuries'!J36*'Scenario Injury Multiplier'!J8</f>
        <v>#DIV/0!</v>
      </c>
      <c r="K35" s="642"/>
      <c r="L35" s="642" t="e">
        <f>'Baseline injuries'!L36*'Scenario Injury Multiplier'!L8</f>
        <v>#DIV/0!</v>
      </c>
      <c r="M35" s="652"/>
      <c r="N35" s="653"/>
      <c r="O35" s="653"/>
      <c r="P35" s="653"/>
      <c r="Q35" s="653"/>
      <c r="R35" s="653"/>
      <c r="S35" s="653"/>
      <c r="T35" s="653"/>
      <c r="U35" s="653"/>
      <c r="V35" s="652"/>
      <c r="W35" s="653"/>
      <c r="X35" s="653"/>
      <c r="Y35" s="653"/>
      <c r="Z35" s="653"/>
      <c r="AA35" s="653"/>
      <c r="AB35" s="653"/>
      <c r="AC35" s="653"/>
      <c r="AD35" s="654"/>
      <c r="AE35" s="648" t="e">
        <f t="shared" si="0"/>
        <v>#DIV/0!</v>
      </c>
    </row>
    <row r="36" spans="1:31" ht="15.75" thickBot="1" x14ac:dyDescent="0.3">
      <c r="A36" s="1361"/>
      <c r="B36" s="1379"/>
      <c r="C36" s="260" t="s">
        <v>164</v>
      </c>
      <c r="D36" s="642"/>
      <c r="E36" s="642"/>
      <c r="F36" s="642"/>
      <c r="G36" s="642"/>
      <c r="H36" s="642"/>
      <c r="I36" s="642"/>
      <c r="J36" s="642"/>
      <c r="K36" s="642"/>
      <c r="L36" s="642"/>
      <c r="M36" s="652"/>
      <c r="N36" s="653"/>
      <c r="O36" s="653"/>
      <c r="P36" s="653"/>
      <c r="Q36" s="653"/>
      <c r="R36" s="653"/>
      <c r="S36" s="653"/>
      <c r="T36" s="653"/>
      <c r="U36" s="653"/>
      <c r="V36" s="652"/>
      <c r="W36" s="653"/>
      <c r="X36" s="653"/>
      <c r="Y36" s="653"/>
      <c r="Z36" s="653"/>
      <c r="AA36" s="653"/>
      <c r="AB36" s="653"/>
      <c r="AC36" s="653"/>
      <c r="AD36" s="654"/>
      <c r="AE36" s="648">
        <f t="shared" si="0"/>
        <v>0</v>
      </c>
    </row>
    <row r="37" spans="1:31" ht="15.75" thickBot="1" x14ac:dyDescent="0.3">
      <c r="A37" s="1361"/>
      <c r="B37" s="1379"/>
      <c r="C37" s="260" t="s">
        <v>143</v>
      </c>
      <c r="D37" s="642" t="e">
        <f>'Baseline injuries'!D38*'Scenario Injury Multiplier'!D10</f>
        <v>#REF!</v>
      </c>
      <c r="E37" s="642" t="e">
        <f>'Baseline injuries'!E38*'Scenario Injury Multiplier'!E10</f>
        <v>#REF!</v>
      </c>
      <c r="F37" s="642">
        <f>'Baseline injuries'!F38*'Scenario Injury Multiplier'!F10</f>
        <v>0</v>
      </c>
      <c r="G37" s="642" t="e">
        <f>'Baseline injuries'!G38*'Scenario Injury Multiplier'!G10</f>
        <v>#REF!</v>
      </c>
      <c r="H37" s="642" t="e">
        <f>'Baseline injuries'!H38*'Scenario Injury Multiplier'!H10</f>
        <v>#DIV/0!</v>
      </c>
      <c r="I37" s="642"/>
      <c r="J37" s="642">
        <f>'Baseline injuries'!J38*'Scenario Injury Multiplier'!J10</f>
        <v>0</v>
      </c>
      <c r="K37" s="642"/>
      <c r="L37" s="642">
        <f>'Baseline injuries'!L38*'Scenario Injury Multiplier'!L10</f>
        <v>0</v>
      </c>
      <c r="M37" s="652"/>
      <c r="N37" s="653"/>
      <c r="O37" s="653"/>
      <c r="P37" s="653"/>
      <c r="Q37" s="653"/>
      <c r="R37" s="653"/>
      <c r="S37" s="653"/>
      <c r="T37" s="653"/>
      <c r="U37" s="653"/>
      <c r="V37" s="652"/>
      <c r="W37" s="653"/>
      <c r="X37" s="653"/>
      <c r="Y37" s="653"/>
      <c r="Z37" s="653"/>
      <c r="AA37" s="653"/>
      <c r="AB37" s="653"/>
      <c r="AC37" s="653"/>
      <c r="AD37" s="654"/>
      <c r="AE37" s="648" t="e">
        <f t="shared" si="0"/>
        <v>#REF!</v>
      </c>
    </row>
    <row r="38" spans="1:31" ht="15.75" thickBot="1" x14ac:dyDescent="0.3">
      <c r="A38" s="1361"/>
      <c r="B38" s="1379"/>
      <c r="C38" s="262" t="s">
        <v>123</v>
      </c>
      <c r="D38" s="642"/>
      <c r="E38" s="642"/>
      <c r="F38" s="642"/>
      <c r="G38" s="642"/>
      <c r="H38" s="642"/>
      <c r="I38" s="642"/>
      <c r="J38" s="642"/>
      <c r="K38" s="642"/>
      <c r="L38" s="642"/>
      <c r="M38" s="658"/>
      <c r="N38" s="659"/>
      <c r="O38" s="659"/>
      <c r="P38" s="659"/>
      <c r="Q38" s="659"/>
      <c r="R38" s="659"/>
      <c r="S38" s="659"/>
      <c r="T38" s="659"/>
      <c r="U38" s="659"/>
      <c r="V38" s="652"/>
      <c r="W38" s="653"/>
      <c r="X38" s="653"/>
      <c r="Y38" s="653"/>
      <c r="Z38" s="653"/>
      <c r="AA38" s="653"/>
      <c r="AB38" s="653"/>
      <c r="AC38" s="653"/>
      <c r="AD38" s="654"/>
      <c r="AE38" s="648">
        <f t="shared" si="0"/>
        <v>0</v>
      </c>
    </row>
    <row r="39" spans="1:31" ht="12.75" customHeight="1" thickBot="1" x14ac:dyDescent="0.3">
      <c r="A39" s="1361"/>
      <c r="B39" s="1380" t="s">
        <v>162</v>
      </c>
      <c r="C39" s="260" t="s">
        <v>93</v>
      </c>
      <c r="D39" s="645"/>
      <c r="E39" s="646"/>
      <c r="F39" s="646"/>
      <c r="G39" s="646"/>
      <c r="H39" s="646"/>
      <c r="I39" s="646"/>
      <c r="J39" s="646"/>
      <c r="K39" s="646"/>
      <c r="L39" s="647"/>
      <c r="M39" s="642" t="e">
        <f>'Baseline injuries'!M40*'Scenario Injury Multiplier'!M13</f>
        <v>#REF!</v>
      </c>
      <c r="N39" s="642" t="e">
        <f>'Baseline injuries'!N40*'Scenario Injury Multiplier'!N13</f>
        <v>#REF!</v>
      </c>
      <c r="O39" s="642" t="e">
        <f>'Baseline injuries'!O40*'Scenario Injury Multiplier'!O13</f>
        <v>#REF!</v>
      </c>
      <c r="P39" s="642" t="e">
        <f>'Baseline injuries'!P40*'Scenario Injury Multiplier'!P13</f>
        <v>#REF!</v>
      </c>
      <c r="Q39" s="642" t="e">
        <f>'Baseline injuries'!Q40*'Scenario Injury Multiplier'!Q13</f>
        <v>#REF!</v>
      </c>
      <c r="R39" s="642"/>
      <c r="S39" s="642" t="e">
        <f>'Baseline injuries'!S40*'Scenario Injury Multiplier'!S13</f>
        <v>#REF!</v>
      </c>
      <c r="T39" s="642"/>
      <c r="U39" s="642" t="e">
        <f>'Baseline injuries'!U40*'Scenario Injury Multiplier'!U13</f>
        <v>#REF!</v>
      </c>
      <c r="V39" s="652"/>
      <c r="W39" s="653"/>
      <c r="X39" s="653"/>
      <c r="Y39" s="653"/>
      <c r="Z39" s="653"/>
      <c r="AA39" s="653"/>
      <c r="AB39" s="653"/>
      <c r="AC39" s="653"/>
      <c r="AD39" s="654"/>
      <c r="AE39" s="648" t="e">
        <f t="shared" si="0"/>
        <v>#REF!</v>
      </c>
    </row>
    <row r="40" spans="1:31" ht="15.75" thickBot="1" x14ac:dyDescent="0.3">
      <c r="A40" s="1361"/>
      <c r="B40" s="1379"/>
      <c r="C40" s="260" t="s">
        <v>94</v>
      </c>
      <c r="D40" s="652"/>
      <c r="E40" s="653"/>
      <c r="F40" s="653"/>
      <c r="G40" s="653"/>
      <c r="H40" s="653"/>
      <c r="I40" s="653"/>
      <c r="J40" s="653"/>
      <c r="K40" s="653"/>
      <c r="L40" s="654"/>
      <c r="M40" s="642" t="e">
        <f>'Baseline injuries'!M41*'Scenario Injury Multiplier'!M14</f>
        <v>#REF!</v>
      </c>
      <c r="N40" s="642" t="e">
        <f>'Baseline injuries'!N41*'Scenario Injury Multiplier'!N14</f>
        <v>#REF!</v>
      </c>
      <c r="O40" s="642" t="e">
        <f>'Baseline injuries'!O41*'Scenario Injury Multiplier'!O14</f>
        <v>#REF!</v>
      </c>
      <c r="P40" s="642" t="e">
        <f>'Baseline injuries'!P41*'Scenario Injury Multiplier'!P14</f>
        <v>#REF!</v>
      </c>
      <c r="Q40" s="642" t="e">
        <f>'Baseline injuries'!Q41*'Scenario Injury Multiplier'!Q14</f>
        <v>#REF!</v>
      </c>
      <c r="R40" s="642"/>
      <c r="S40" s="642" t="e">
        <f>'Baseline injuries'!S41*'Scenario Injury Multiplier'!S14</f>
        <v>#REF!</v>
      </c>
      <c r="T40" s="642"/>
      <c r="U40" s="642" t="e">
        <f>'Baseline injuries'!U41*'Scenario Injury Multiplier'!U14</f>
        <v>#REF!</v>
      </c>
      <c r="V40" s="652"/>
      <c r="W40" s="653"/>
      <c r="X40" s="653"/>
      <c r="Y40" s="653"/>
      <c r="Z40" s="653"/>
      <c r="AA40" s="653"/>
      <c r="AB40" s="653"/>
      <c r="AC40" s="653"/>
      <c r="AD40" s="654"/>
      <c r="AE40" s="648" t="e">
        <f t="shared" si="0"/>
        <v>#REF!</v>
      </c>
    </row>
    <row r="41" spans="1:31" ht="15.75" thickBot="1" x14ac:dyDescent="0.3">
      <c r="A41" s="1361"/>
      <c r="B41" s="1379"/>
      <c r="C41" s="261" t="s">
        <v>95</v>
      </c>
      <c r="D41" s="652"/>
      <c r="E41" s="653"/>
      <c r="F41" s="653"/>
      <c r="G41" s="653"/>
      <c r="H41" s="653"/>
      <c r="I41" s="653"/>
      <c r="J41" s="653"/>
      <c r="K41" s="653"/>
      <c r="L41" s="654"/>
      <c r="M41" s="642" t="e">
        <f>'Baseline injuries'!M42*'Scenario Injury Multiplier'!M15</f>
        <v>#REF!</v>
      </c>
      <c r="N41" s="642" t="e">
        <f>'Baseline injuries'!N42*'Scenario Injury Multiplier'!N15</f>
        <v>#REF!</v>
      </c>
      <c r="O41" s="642">
        <f>'Baseline injuries'!O42*'Scenario Injury Multiplier'!O15</f>
        <v>0</v>
      </c>
      <c r="P41" s="642" t="e">
        <f>'Baseline injuries'!P42*'Scenario Injury Multiplier'!P15</f>
        <v>#REF!</v>
      </c>
      <c r="Q41" s="642" t="e">
        <f>'Baseline injuries'!Q42*'Scenario Injury Multiplier'!Q15</f>
        <v>#DIV/0!</v>
      </c>
      <c r="R41" s="642"/>
      <c r="S41" s="642">
        <f>'Baseline injuries'!S42*'Scenario Injury Multiplier'!S15</f>
        <v>0</v>
      </c>
      <c r="T41" s="642"/>
      <c r="U41" s="642">
        <f>'Baseline injuries'!U42*'Scenario Injury Multiplier'!U15</f>
        <v>0</v>
      </c>
      <c r="V41" s="652"/>
      <c r="W41" s="653"/>
      <c r="X41" s="653"/>
      <c r="Y41" s="653"/>
      <c r="Z41" s="653"/>
      <c r="AA41" s="653"/>
      <c r="AB41" s="653"/>
      <c r="AC41" s="653"/>
      <c r="AD41" s="654"/>
      <c r="AE41" s="648" t="e">
        <f t="shared" si="0"/>
        <v>#REF!</v>
      </c>
    </row>
    <row r="42" spans="1:31" ht="15.75" thickBot="1" x14ac:dyDescent="0.3">
      <c r="A42" s="1361"/>
      <c r="B42" s="1379"/>
      <c r="C42" s="260" t="s">
        <v>165</v>
      </c>
      <c r="D42" s="652"/>
      <c r="E42" s="653"/>
      <c r="F42" s="653"/>
      <c r="G42" s="653"/>
      <c r="H42" s="653"/>
      <c r="I42" s="653"/>
      <c r="J42" s="653"/>
      <c r="K42" s="653"/>
      <c r="L42" s="654"/>
      <c r="M42" s="642" t="e">
        <f>'Baseline injuries'!M43*'Scenario Injury Multiplier'!M16</f>
        <v>#REF!</v>
      </c>
      <c r="N42" s="642" t="e">
        <f>'Baseline injuries'!N43*'Scenario Injury Multiplier'!N16</f>
        <v>#REF!</v>
      </c>
      <c r="O42" s="642" t="e">
        <f>'Baseline injuries'!O43*'Scenario Injury Multiplier'!O16</f>
        <v>#REF!</v>
      </c>
      <c r="P42" s="642" t="e">
        <f>'Baseline injuries'!P43*'Scenario Injury Multiplier'!P16</f>
        <v>#REF!</v>
      </c>
      <c r="Q42" s="642" t="e">
        <f>'Baseline injuries'!Q43*'Scenario Injury Multiplier'!Q16</f>
        <v>#REF!</v>
      </c>
      <c r="R42" s="642"/>
      <c r="S42" s="642" t="e">
        <f>'Baseline injuries'!S43*'Scenario Injury Multiplier'!S16</f>
        <v>#REF!</v>
      </c>
      <c r="T42" s="642"/>
      <c r="U42" s="642" t="e">
        <f>'Baseline injuries'!U43*'Scenario Injury Multiplier'!U16</f>
        <v>#REF!</v>
      </c>
      <c r="V42" s="652"/>
      <c r="W42" s="653"/>
      <c r="X42" s="653"/>
      <c r="Y42" s="653"/>
      <c r="Z42" s="653"/>
      <c r="AA42" s="653"/>
      <c r="AB42" s="653"/>
      <c r="AC42" s="653"/>
      <c r="AD42" s="654"/>
      <c r="AE42" s="648" t="e">
        <f t="shared" si="0"/>
        <v>#REF!</v>
      </c>
    </row>
    <row r="43" spans="1:31" ht="15.75" thickBot="1" x14ac:dyDescent="0.3">
      <c r="A43" s="1361"/>
      <c r="B43" s="1379"/>
      <c r="C43" s="260" t="s">
        <v>163</v>
      </c>
      <c r="D43" s="652"/>
      <c r="E43" s="653"/>
      <c r="F43" s="653"/>
      <c r="G43" s="653"/>
      <c r="H43" s="653"/>
      <c r="I43" s="653"/>
      <c r="J43" s="653"/>
      <c r="K43" s="653"/>
      <c r="L43" s="654"/>
      <c r="M43" s="642" t="e">
        <f>'Baseline injuries'!M44*'Scenario Injury Multiplier'!M17</f>
        <v>#DIV/0!</v>
      </c>
      <c r="N43" s="642" t="e">
        <f>'Baseline injuries'!N44*'Scenario Injury Multiplier'!N17</f>
        <v>#DIV/0!</v>
      </c>
      <c r="O43" s="642" t="e">
        <f>'Baseline injuries'!O44*'Scenario Injury Multiplier'!O17</f>
        <v>#DIV/0!</v>
      </c>
      <c r="P43" s="642" t="e">
        <f>'Baseline injuries'!P44*'Scenario Injury Multiplier'!P17</f>
        <v>#DIV/0!</v>
      </c>
      <c r="Q43" s="642" t="e">
        <f>'Baseline injuries'!Q44*'Scenario Injury Multiplier'!Q17</f>
        <v>#DIV/0!</v>
      </c>
      <c r="R43" s="642"/>
      <c r="S43" s="642" t="e">
        <f>'Baseline injuries'!S44*'Scenario Injury Multiplier'!S17</f>
        <v>#DIV/0!</v>
      </c>
      <c r="T43" s="642"/>
      <c r="U43" s="642" t="e">
        <f>'Baseline injuries'!U44*'Scenario Injury Multiplier'!U17</f>
        <v>#DIV/0!</v>
      </c>
      <c r="V43" s="652"/>
      <c r="W43" s="653"/>
      <c r="X43" s="653"/>
      <c r="Y43" s="653"/>
      <c r="Z43" s="653"/>
      <c r="AA43" s="653"/>
      <c r="AB43" s="653"/>
      <c r="AC43" s="653"/>
      <c r="AD43" s="654"/>
      <c r="AE43" s="648" t="e">
        <f t="shared" si="0"/>
        <v>#DIV/0!</v>
      </c>
    </row>
    <row r="44" spans="1:31" ht="15.75" thickBot="1" x14ac:dyDescent="0.3">
      <c r="A44" s="1361"/>
      <c r="B44" s="1379"/>
      <c r="C44" s="260" t="s">
        <v>164</v>
      </c>
      <c r="D44" s="652"/>
      <c r="E44" s="653"/>
      <c r="F44" s="653"/>
      <c r="G44" s="653"/>
      <c r="H44" s="653"/>
      <c r="I44" s="653"/>
      <c r="J44" s="653"/>
      <c r="K44" s="653"/>
      <c r="L44" s="654"/>
      <c r="M44" s="642"/>
      <c r="N44" s="642"/>
      <c r="O44" s="642"/>
      <c r="P44" s="642"/>
      <c r="Q44" s="642"/>
      <c r="R44" s="642"/>
      <c r="S44" s="642"/>
      <c r="T44" s="642"/>
      <c r="U44" s="642"/>
      <c r="V44" s="652"/>
      <c r="W44" s="653"/>
      <c r="X44" s="653"/>
      <c r="Y44" s="653"/>
      <c r="Z44" s="653"/>
      <c r="AA44" s="653"/>
      <c r="AB44" s="653"/>
      <c r="AC44" s="653"/>
      <c r="AD44" s="654"/>
      <c r="AE44" s="648">
        <f t="shared" si="0"/>
        <v>0</v>
      </c>
    </row>
    <row r="45" spans="1:31" ht="15.75" thickBot="1" x14ac:dyDescent="0.3">
      <c r="A45" s="1361"/>
      <c r="B45" s="1379"/>
      <c r="C45" s="260" t="s">
        <v>143</v>
      </c>
      <c r="D45" s="652"/>
      <c r="E45" s="653"/>
      <c r="F45" s="653"/>
      <c r="G45" s="653"/>
      <c r="H45" s="653"/>
      <c r="I45" s="653"/>
      <c r="J45" s="653"/>
      <c r="K45" s="653"/>
      <c r="L45" s="654"/>
      <c r="M45" s="642" t="e">
        <f>'Baseline injuries'!M46*'Scenario Injury Multiplier'!M19</f>
        <v>#REF!</v>
      </c>
      <c r="N45" s="642" t="e">
        <f>'Baseline injuries'!N46*'Scenario Injury Multiplier'!N19</f>
        <v>#REF!</v>
      </c>
      <c r="O45" s="642">
        <f>'Baseline injuries'!O46*'Scenario Injury Multiplier'!O19</f>
        <v>0</v>
      </c>
      <c r="P45" s="642" t="e">
        <f>'Baseline injuries'!P46*'Scenario Injury Multiplier'!P19</f>
        <v>#REF!</v>
      </c>
      <c r="Q45" s="642" t="e">
        <f>'Baseline injuries'!Q46*'Scenario Injury Multiplier'!Q19</f>
        <v>#DIV/0!</v>
      </c>
      <c r="R45" s="642"/>
      <c r="S45" s="642">
        <f>'Baseline injuries'!S46*'Scenario Injury Multiplier'!S19</f>
        <v>0</v>
      </c>
      <c r="T45" s="642"/>
      <c r="U45" s="642">
        <f>'Baseline injuries'!U46*'Scenario Injury Multiplier'!U19</f>
        <v>0</v>
      </c>
      <c r="V45" s="652"/>
      <c r="W45" s="653"/>
      <c r="X45" s="653"/>
      <c r="Y45" s="653"/>
      <c r="Z45" s="653"/>
      <c r="AA45" s="653"/>
      <c r="AB45" s="653"/>
      <c r="AC45" s="653"/>
      <c r="AD45" s="654"/>
      <c r="AE45" s="648" t="e">
        <f t="shared" si="0"/>
        <v>#REF!</v>
      </c>
    </row>
    <row r="46" spans="1:31" ht="15.75" thickBot="1" x14ac:dyDescent="0.3">
      <c r="A46" s="1361"/>
      <c r="B46" s="1379"/>
      <c r="C46" s="262" t="s">
        <v>123</v>
      </c>
      <c r="D46" s="652"/>
      <c r="E46" s="653"/>
      <c r="F46" s="653"/>
      <c r="G46" s="653"/>
      <c r="H46" s="653"/>
      <c r="I46" s="653"/>
      <c r="J46" s="653"/>
      <c r="K46" s="653"/>
      <c r="L46" s="654"/>
      <c r="M46" s="642"/>
      <c r="N46" s="642"/>
      <c r="O46" s="642"/>
      <c r="P46" s="642"/>
      <c r="Q46" s="642"/>
      <c r="R46" s="642"/>
      <c r="S46" s="642"/>
      <c r="T46" s="642"/>
      <c r="U46" s="642"/>
      <c r="V46" s="658"/>
      <c r="W46" s="659"/>
      <c r="X46" s="659"/>
      <c r="Y46" s="659"/>
      <c r="Z46" s="659"/>
      <c r="AA46" s="659"/>
      <c r="AB46" s="659"/>
      <c r="AC46" s="659"/>
      <c r="AD46" s="660"/>
      <c r="AE46" s="648">
        <f t="shared" si="0"/>
        <v>0</v>
      </c>
    </row>
    <row r="47" spans="1:31" ht="15.75" thickBot="1" x14ac:dyDescent="0.3">
      <c r="A47" s="1361"/>
      <c r="B47" s="1380" t="s">
        <v>166</v>
      </c>
      <c r="C47" s="260" t="s">
        <v>93</v>
      </c>
      <c r="D47" s="652"/>
      <c r="E47" s="653"/>
      <c r="F47" s="653"/>
      <c r="G47" s="653"/>
      <c r="H47" s="653"/>
      <c r="I47" s="653"/>
      <c r="J47" s="653"/>
      <c r="K47" s="653"/>
      <c r="L47" s="653"/>
      <c r="M47" s="645"/>
      <c r="N47" s="646"/>
      <c r="O47" s="646"/>
      <c r="P47" s="646"/>
      <c r="Q47" s="646"/>
      <c r="R47" s="646"/>
      <c r="S47" s="646"/>
      <c r="T47" s="646"/>
      <c r="U47" s="647"/>
      <c r="V47" s="642" t="e">
        <f>'Baseline injuries'!V48*'Scenario Injury Multiplier'!V22</f>
        <v>#REF!</v>
      </c>
      <c r="W47" s="642" t="e">
        <f>'Baseline injuries'!W48*'Scenario Injury Multiplier'!W22</f>
        <v>#REF!</v>
      </c>
      <c r="X47" s="642" t="e">
        <f>'Baseline injuries'!X48*'Scenario Injury Multiplier'!X22</f>
        <v>#REF!</v>
      </c>
      <c r="Y47" s="642" t="e">
        <f>'Baseline injuries'!Y48*'Scenario Injury Multiplier'!Y22</f>
        <v>#REF!</v>
      </c>
      <c r="Z47" s="642">
        <f>'Baseline injuries'!Z48*'Scenario Injury Multiplier'!Z22</f>
        <v>0</v>
      </c>
      <c r="AA47" s="642"/>
      <c r="AB47" s="642" t="e">
        <f>'Baseline injuries'!AB48*'Scenario Injury Multiplier'!AB22</f>
        <v>#REF!</v>
      </c>
      <c r="AC47" s="642"/>
      <c r="AD47" s="642" t="e">
        <f>'Baseline injuries'!AD48*'Scenario Injury Multiplier'!AD22</f>
        <v>#REF!</v>
      </c>
      <c r="AE47" s="661" t="e">
        <f t="shared" si="0"/>
        <v>#REF!</v>
      </c>
    </row>
    <row r="48" spans="1:31" ht="15.75" thickBot="1" x14ac:dyDescent="0.3">
      <c r="A48" s="1361"/>
      <c r="B48" s="1379"/>
      <c r="C48" s="260" t="s">
        <v>94</v>
      </c>
      <c r="D48" s="652"/>
      <c r="E48" s="653"/>
      <c r="F48" s="653"/>
      <c r="G48" s="653"/>
      <c r="H48" s="653"/>
      <c r="I48" s="653"/>
      <c r="J48" s="653"/>
      <c r="K48" s="653"/>
      <c r="L48" s="653"/>
      <c r="M48" s="652"/>
      <c r="N48" s="653"/>
      <c r="O48" s="653"/>
      <c r="P48" s="653"/>
      <c r="Q48" s="653"/>
      <c r="R48" s="653"/>
      <c r="S48" s="653"/>
      <c r="T48" s="653"/>
      <c r="U48" s="654"/>
      <c r="V48" s="642" t="e">
        <f>'Baseline injuries'!V49*'Scenario Injury Multiplier'!V23</f>
        <v>#REF!</v>
      </c>
      <c r="W48" s="642" t="e">
        <f>'Baseline injuries'!W49*'Scenario Injury Multiplier'!W23</f>
        <v>#REF!</v>
      </c>
      <c r="X48" s="642" t="e">
        <f>'Baseline injuries'!X49*'Scenario Injury Multiplier'!X23</f>
        <v>#REF!</v>
      </c>
      <c r="Y48" s="642" t="e">
        <f>'Baseline injuries'!Y49*'Scenario Injury Multiplier'!Y23</f>
        <v>#REF!</v>
      </c>
      <c r="Z48" s="642">
        <f>'Baseline injuries'!Z49*'Scenario Injury Multiplier'!Z23</f>
        <v>0</v>
      </c>
      <c r="AA48" s="642"/>
      <c r="AB48" s="642" t="e">
        <f>'Baseline injuries'!AB49*'Scenario Injury Multiplier'!AB23</f>
        <v>#REF!</v>
      </c>
      <c r="AC48" s="642"/>
      <c r="AD48" s="642" t="e">
        <f>'Baseline injuries'!AD49*'Scenario Injury Multiplier'!AD23</f>
        <v>#REF!</v>
      </c>
      <c r="AE48" s="661" t="e">
        <f t="shared" si="0"/>
        <v>#REF!</v>
      </c>
    </row>
    <row r="49" spans="1:31" ht="15.75" thickBot="1" x14ac:dyDescent="0.3">
      <c r="A49" s="1361"/>
      <c r="B49" s="1379"/>
      <c r="C49" s="261" t="s">
        <v>95</v>
      </c>
      <c r="D49" s="652"/>
      <c r="E49" s="653"/>
      <c r="F49" s="653"/>
      <c r="G49" s="653"/>
      <c r="H49" s="653"/>
      <c r="I49" s="653"/>
      <c r="J49" s="653"/>
      <c r="K49" s="653"/>
      <c r="L49" s="653"/>
      <c r="M49" s="652"/>
      <c r="N49" s="653"/>
      <c r="O49" s="653"/>
      <c r="P49" s="653"/>
      <c r="Q49" s="653"/>
      <c r="R49" s="653"/>
      <c r="S49" s="653"/>
      <c r="T49" s="653"/>
      <c r="U49" s="654"/>
      <c r="V49" s="642" t="e">
        <f>'Baseline injuries'!V50*'Scenario Injury Multiplier'!V24</f>
        <v>#REF!</v>
      </c>
      <c r="W49" s="642" t="e">
        <f>'Baseline injuries'!W50*'Scenario Injury Multiplier'!W24</f>
        <v>#REF!</v>
      </c>
      <c r="X49" s="642">
        <f>'Baseline injuries'!X50*'Scenario Injury Multiplier'!X24</f>
        <v>0</v>
      </c>
      <c r="Y49" s="642" t="e">
        <f>'Baseline injuries'!Y50*'Scenario Injury Multiplier'!Y24</f>
        <v>#REF!</v>
      </c>
      <c r="Z49" s="642" t="e">
        <f>'Baseline injuries'!Z50*'Scenario Injury Multiplier'!Z24</f>
        <v>#DIV/0!</v>
      </c>
      <c r="AA49" s="642"/>
      <c r="AB49" s="642">
        <f>'Baseline injuries'!AB50*'Scenario Injury Multiplier'!AB24</f>
        <v>0</v>
      </c>
      <c r="AC49" s="642"/>
      <c r="AD49" s="642">
        <f>'Baseline injuries'!AD50*'Scenario Injury Multiplier'!AD24</f>
        <v>0</v>
      </c>
      <c r="AE49" s="661" t="e">
        <f t="shared" si="0"/>
        <v>#REF!</v>
      </c>
    </row>
    <row r="50" spans="1:31" ht="15.75" thickBot="1" x14ac:dyDescent="0.3">
      <c r="A50" s="1361"/>
      <c r="B50" s="1379"/>
      <c r="C50" s="260" t="s">
        <v>165</v>
      </c>
      <c r="D50" s="652"/>
      <c r="E50" s="653"/>
      <c r="F50" s="653"/>
      <c r="G50" s="653"/>
      <c r="H50" s="653"/>
      <c r="I50" s="653"/>
      <c r="J50" s="653"/>
      <c r="K50" s="653"/>
      <c r="L50" s="653"/>
      <c r="M50" s="652"/>
      <c r="N50" s="653"/>
      <c r="O50" s="653"/>
      <c r="P50" s="653"/>
      <c r="Q50" s="653"/>
      <c r="R50" s="653"/>
      <c r="S50" s="653"/>
      <c r="T50" s="653"/>
      <c r="U50" s="654"/>
      <c r="V50" s="642" t="e">
        <f>'Baseline injuries'!V51*'Scenario Injury Multiplier'!V25</f>
        <v>#REF!</v>
      </c>
      <c r="W50" s="642" t="e">
        <f>'Baseline injuries'!W51*'Scenario Injury Multiplier'!W25</f>
        <v>#REF!</v>
      </c>
      <c r="X50" s="642" t="e">
        <f>'Baseline injuries'!X51*'Scenario Injury Multiplier'!X25</f>
        <v>#REF!</v>
      </c>
      <c r="Y50" s="642" t="e">
        <f>'Baseline injuries'!Y51*'Scenario Injury Multiplier'!Y25</f>
        <v>#REF!</v>
      </c>
      <c r="Z50" s="642" t="e">
        <f>'Baseline injuries'!Z51*'Scenario Injury Multiplier'!Z25</f>
        <v>#REF!</v>
      </c>
      <c r="AA50" s="642"/>
      <c r="AB50" s="642" t="e">
        <f>'Baseline injuries'!AB51*'Scenario Injury Multiplier'!AB25</f>
        <v>#REF!</v>
      </c>
      <c r="AC50" s="642"/>
      <c r="AD50" s="642" t="e">
        <f>'Baseline injuries'!AD51*'Scenario Injury Multiplier'!AD25</f>
        <v>#REF!</v>
      </c>
      <c r="AE50" s="661" t="e">
        <f t="shared" si="0"/>
        <v>#REF!</v>
      </c>
    </row>
    <row r="51" spans="1:31" ht="15.75" thickBot="1" x14ac:dyDescent="0.3">
      <c r="A51" s="1361"/>
      <c r="B51" s="1379"/>
      <c r="C51" s="260" t="s">
        <v>163</v>
      </c>
      <c r="D51" s="652"/>
      <c r="E51" s="653"/>
      <c r="F51" s="653"/>
      <c r="G51" s="653"/>
      <c r="H51" s="653"/>
      <c r="I51" s="653"/>
      <c r="J51" s="653"/>
      <c r="K51" s="653"/>
      <c r="L51" s="653"/>
      <c r="M51" s="652"/>
      <c r="N51" s="653"/>
      <c r="O51" s="653"/>
      <c r="P51" s="653"/>
      <c r="Q51" s="653"/>
      <c r="R51" s="653"/>
      <c r="S51" s="653"/>
      <c r="T51" s="653"/>
      <c r="U51" s="654"/>
      <c r="V51" s="642" t="e">
        <f>'Baseline injuries'!V52*'Scenario Injury Multiplier'!V26</f>
        <v>#REF!</v>
      </c>
      <c r="W51" s="642" t="e">
        <f>'Baseline injuries'!W52*'Scenario Injury Multiplier'!W26</f>
        <v>#REF!</v>
      </c>
      <c r="X51" s="642" t="e">
        <f>'Baseline injuries'!X52*'Scenario Injury Multiplier'!X26</f>
        <v>#DIV/0!</v>
      </c>
      <c r="Y51" s="642" t="e">
        <f>'Baseline injuries'!Y52*'Scenario Injury Multiplier'!Y26</f>
        <v>#DIV/0!</v>
      </c>
      <c r="Z51" s="642" t="e">
        <f>'Baseline injuries'!Z52*'Scenario Injury Multiplier'!Z26</f>
        <v>#DIV/0!</v>
      </c>
      <c r="AA51" s="642"/>
      <c r="AB51" s="642" t="e">
        <f>'Baseline injuries'!AB52*'Scenario Injury Multiplier'!AB26</f>
        <v>#DIV/0!</v>
      </c>
      <c r="AC51" s="642"/>
      <c r="AD51" s="642" t="e">
        <f>'Baseline injuries'!AD52*'Scenario Injury Multiplier'!AD26</f>
        <v>#DIV/0!</v>
      </c>
      <c r="AE51" s="661" t="e">
        <f t="shared" si="0"/>
        <v>#REF!</v>
      </c>
    </row>
    <row r="52" spans="1:31" ht="15.75" thickBot="1" x14ac:dyDescent="0.3">
      <c r="A52" s="1361"/>
      <c r="B52" s="1379"/>
      <c r="C52" s="260" t="s">
        <v>164</v>
      </c>
      <c r="D52" s="652"/>
      <c r="E52" s="653"/>
      <c r="F52" s="653"/>
      <c r="G52" s="653"/>
      <c r="H52" s="653"/>
      <c r="I52" s="653"/>
      <c r="J52" s="653"/>
      <c r="K52" s="653"/>
      <c r="L52" s="653"/>
      <c r="M52" s="652"/>
      <c r="N52" s="653"/>
      <c r="O52" s="653"/>
      <c r="P52" s="653"/>
      <c r="Q52" s="653"/>
      <c r="R52" s="653"/>
      <c r="S52" s="653"/>
      <c r="T52" s="653"/>
      <c r="U52" s="654"/>
      <c r="V52" s="642"/>
      <c r="W52" s="642"/>
      <c r="X52" s="642"/>
      <c r="Y52" s="642"/>
      <c r="Z52" s="642"/>
      <c r="AA52" s="642"/>
      <c r="AB52" s="642"/>
      <c r="AC52" s="642"/>
      <c r="AD52" s="642"/>
      <c r="AE52" s="661">
        <f t="shared" si="0"/>
        <v>0</v>
      </c>
    </row>
    <row r="53" spans="1:31" ht="15.75" thickBot="1" x14ac:dyDescent="0.3">
      <c r="A53" s="1361"/>
      <c r="B53" s="1379"/>
      <c r="C53" s="260" t="s">
        <v>143</v>
      </c>
      <c r="D53" s="652"/>
      <c r="E53" s="653"/>
      <c r="F53" s="653"/>
      <c r="G53" s="653"/>
      <c r="H53" s="653"/>
      <c r="I53" s="653"/>
      <c r="J53" s="653"/>
      <c r="K53" s="653"/>
      <c r="L53" s="653"/>
      <c r="M53" s="652"/>
      <c r="N53" s="653"/>
      <c r="O53" s="653"/>
      <c r="P53" s="653"/>
      <c r="Q53" s="653"/>
      <c r="R53" s="653"/>
      <c r="S53" s="653"/>
      <c r="T53" s="653"/>
      <c r="U53" s="654"/>
      <c r="V53" s="642" t="e">
        <f>'Baseline injuries'!V54*'Scenario Injury Multiplier'!V28</f>
        <v>#REF!</v>
      </c>
      <c r="W53" s="642" t="e">
        <f>'Baseline injuries'!W54*'Scenario Injury Multiplier'!W28</f>
        <v>#REF!</v>
      </c>
      <c r="X53" s="642">
        <f>'Baseline injuries'!X54*'Scenario Injury Multiplier'!X28</f>
        <v>0</v>
      </c>
      <c r="Y53" s="642" t="e">
        <f>'Baseline injuries'!Y54*'Scenario Injury Multiplier'!Y28</f>
        <v>#REF!</v>
      </c>
      <c r="Z53" s="642" t="e">
        <f>'Baseline injuries'!Z54*'Scenario Injury Multiplier'!Z28</f>
        <v>#DIV/0!</v>
      </c>
      <c r="AA53" s="642"/>
      <c r="AB53" s="642">
        <f>'Baseline injuries'!AB54*'Scenario Injury Multiplier'!AB28</f>
        <v>0</v>
      </c>
      <c r="AC53" s="642"/>
      <c r="AD53" s="642">
        <f>'Baseline injuries'!AD54*'Scenario Injury Multiplier'!AD28</f>
        <v>0</v>
      </c>
      <c r="AE53" s="661" t="e">
        <f t="shared" si="0"/>
        <v>#REF!</v>
      </c>
    </row>
    <row r="54" spans="1:31" ht="15.75" thickBot="1" x14ac:dyDescent="0.3">
      <c r="A54" s="1361"/>
      <c r="B54" s="1394"/>
      <c r="C54" s="262" t="s">
        <v>123</v>
      </c>
      <c r="D54" s="658"/>
      <c r="E54" s="659"/>
      <c r="F54" s="659"/>
      <c r="G54" s="659"/>
      <c r="H54" s="659"/>
      <c r="I54" s="659"/>
      <c r="J54" s="659"/>
      <c r="K54" s="659"/>
      <c r="L54" s="659"/>
      <c r="M54" s="658"/>
      <c r="N54" s="659"/>
      <c r="O54" s="659"/>
      <c r="P54" s="659"/>
      <c r="Q54" s="659"/>
      <c r="R54" s="659"/>
      <c r="S54" s="659"/>
      <c r="T54" s="659"/>
      <c r="U54" s="660"/>
      <c r="V54" s="642"/>
      <c r="W54" s="642"/>
      <c r="X54" s="642"/>
      <c r="Y54" s="642"/>
      <c r="Z54" s="642"/>
      <c r="AA54" s="642"/>
      <c r="AB54" s="642"/>
      <c r="AC54" s="642"/>
      <c r="AD54" s="642"/>
      <c r="AE54" s="661">
        <f t="shared" si="0"/>
        <v>0</v>
      </c>
    </row>
    <row r="55" spans="1:31" ht="15.75" thickBot="1" x14ac:dyDescent="0.3">
      <c r="A55" s="1361"/>
      <c r="B55" s="1382" t="s">
        <v>177</v>
      </c>
      <c r="C55" s="1383"/>
      <c r="D55" s="662" t="e">
        <f t="shared" ref="D55:Z55" si="2">SUM(D31:D54)</f>
        <v>#REF!</v>
      </c>
      <c r="E55" s="662" t="e">
        <f t="shared" si="2"/>
        <v>#REF!</v>
      </c>
      <c r="F55" s="662" t="e">
        <f t="shared" si="2"/>
        <v>#REF!</v>
      </c>
      <c r="G55" s="662" t="e">
        <f t="shared" si="2"/>
        <v>#REF!</v>
      </c>
      <c r="H55" s="662" t="e">
        <f t="shared" si="2"/>
        <v>#REF!</v>
      </c>
      <c r="I55" s="662">
        <f t="shared" si="2"/>
        <v>0</v>
      </c>
      <c r="J55" s="662" t="e">
        <f t="shared" si="2"/>
        <v>#REF!</v>
      </c>
      <c r="K55" s="662">
        <f t="shared" si="2"/>
        <v>0</v>
      </c>
      <c r="L55" s="662" t="e">
        <f t="shared" si="2"/>
        <v>#REF!</v>
      </c>
      <c r="M55" s="662" t="e">
        <f t="shared" si="2"/>
        <v>#REF!</v>
      </c>
      <c r="N55" s="662" t="e">
        <f t="shared" si="2"/>
        <v>#REF!</v>
      </c>
      <c r="O55" s="662" t="e">
        <f t="shared" si="2"/>
        <v>#REF!</v>
      </c>
      <c r="P55" s="662" t="e">
        <f t="shared" si="2"/>
        <v>#REF!</v>
      </c>
      <c r="Q55" s="662" t="e">
        <f t="shared" si="2"/>
        <v>#REF!</v>
      </c>
      <c r="R55" s="662">
        <f t="shared" si="2"/>
        <v>0</v>
      </c>
      <c r="S55" s="662" t="e">
        <f t="shared" si="2"/>
        <v>#REF!</v>
      </c>
      <c r="T55" s="662">
        <f t="shared" si="2"/>
        <v>0</v>
      </c>
      <c r="U55" s="662" t="e">
        <f t="shared" si="2"/>
        <v>#REF!</v>
      </c>
      <c r="V55" s="663" t="e">
        <f t="shared" si="2"/>
        <v>#REF!</v>
      </c>
      <c r="W55" s="663" t="e">
        <f t="shared" si="2"/>
        <v>#REF!</v>
      </c>
      <c r="X55" s="663" t="e">
        <f t="shared" si="2"/>
        <v>#REF!</v>
      </c>
      <c r="Y55" s="663" t="e">
        <f t="shared" si="2"/>
        <v>#REF!</v>
      </c>
      <c r="Z55" s="663" t="e">
        <f t="shared" si="2"/>
        <v>#DIV/0!</v>
      </c>
      <c r="AA55" s="663"/>
      <c r="AB55" s="663" t="e">
        <f>SUM(AB31:AB54)</f>
        <v>#REF!</v>
      </c>
      <c r="AC55" s="663"/>
      <c r="AD55" s="664" t="e">
        <f>SUM(AD31:AD54)</f>
        <v>#REF!</v>
      </c>
      <c r="AE55" s="661" t="e">
        <f t="shared" si="0"/>
        <v>#REF!</v>
      </c>
    </row>
    <row r="56" spans="1:31" x14ac:dyDescent="0.25">
      <c r="AE56" s="247"/>
    </row>
    <row r="57" spans="1:31" x14ac:dyDescent="0.25">
      <c r="AE57" s="247"/>
    </row>
    <row r="58" spans="1:31" x14ac:dyDescent="0.25">
      <c r="AE58" s="247"/>
    </row>
    <row r="59" spans="1:31" x14ac:dyDescent="0.25">
      <c r="AE59" s="247"/>
    </row>
    <row r="60" spans="1:31" x14ac:dyDescent="0.25">
      <c r="AE60" s="247"/>
    </row>
    <row r="61" spans="1:31" x14ac:dyDescent="0.25">
      <c r="AE61" s="247"/>
    </row>
    <row r="62" spans="1:31" x14ac:dyDescent="0.25">
      <c r="AE62" s="247"/>
    </row>
    <row r="63" spans="1:31" x14ac:dyDescent="0.25">
      <c r="AE63" s="247"/>
    </row>
    <row r="64" spans="1:31" x14ac:dyDescent="0.25">
      <c r="AE64" s="247"/>
    </row>
  </sheetData>
  <mergeCells count="19">
    <mergeCell ref="A4:A55"/>
    <mergeCell ref="B55:C55"/>
    <mergeCell ref="B20:B27"/>
    <mergeCell ref="B29:C30"/>
    <mergeCell ref="D29:K29"/>
    <mergeCell ref="B31:B38"/>
    <mergeCell ref="B4:B11"/>
    <mergeCell ref="B12:B19"/>
    <mergeCell ref="B39:B46"/>
    <mergeCell ref="B47:B54"/>
    <mergeCell ref="D1:AE1"/>
    <mergeCell ref="AE2:AE3"/>
    <mergeCell ref="B28:C28"/>
    <mergeCell ref="M29:T29"/>
    <mergeCell ref="V29:AC29"/>
    <mergeCell ref="B2:C3"/>
    <mergeCell ref="D2:K2"/>
    <mergeCell ref="M2:T2"/>
    <mergeCell ref="V2:AC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workbookViewId="0">
      <selection activeCell="F5" sqref="F5"/>
    </sheetView>
  </sheetViews>
  <sheetFormatPr defaultRowHeight="15" x14ac:dyDescent="0.25"/>
  <sheetData>
    <row r="1" spans="1:25" ht="21.75" thickBot="1" x14ac:dyDescent="0.3">
      <c r="A1" s="1395" t="s">
        <v>199</v>
      </c>
      <c r="B1" s="1396"/>
      <c r="C1" s="1396"/>
      <c r="D1" s="1396"/>
      <c r="E1" s="1396"/>
      <c r="F1" s="1396"/>
      <c r="G1" s="1396"/>
      <c r="H1" s="1396"/>
    </row>
    <row r="2" spans="1:25" ht="15.75" thickBot="1" x14ac:dyDescent="0.3"/>
    <row r="3" spans="1:25" ht="15.75" thickBot="1" x14ac:dyDescent="0.3">
      <c r="A3" s="1367" t="s">
        <v>167</v>
      </c>
      <c r="B3" s="1368"/>
      <c r="C3" s="1373" t="s">
        <v>198</v>
      </c>
      <c r="D3" s="1374"/>
      <c r="E3" s="1374"/>
      <c r="F3" s="1374"/>
      <c r="G3" s="1374"/>
      <c r="H3" s="1374"/>
      <c r="I3" s="1374"/>
      <c r="J3" s="1374"/>
      <c r="K3" s="278"/>
      <c r="L3" s="258"/>
      <c r="N3" s="1367" t="s">
        <v>174</v>
      </c>
      <c r="O3" s="1368"/>
      <c r="P3" s="1373" t="s">
        <v>198</v>
      </c>
      <c r="Q3" s="1374"/>
      <c r="R3" s="1374"/>
      <c r="S3" s="1374"/>
      <c r="T3" s="1374"/>
      <c r="U3" s="1374"/>
      <c r="V3" s="1374"/>
      <c r="W3" s="1374"/>
      <c r="X3" s="278"/>
    </row>
    <row r="4" spans="1:25" ht="13.5" customHeight="1" thickBot="1" x14ac:dyDescent="0.3">
      <c r="A4" s="1371"/>
      <c r="B4" s="1372"/>
      <c r="C4" s="263" t="s">
        <v>93</v>
      </c>
      <c r="D4" s="264" t="s">
        <v>94</v>
      </c>
      <c r="E4" s="264" t="s">
        <v>95</v>
      </c>
      <c r="F4" s="264" t="s">
        <v>165</v>
      </c>
      <c r="G4" s="264" t="s">
        <v>163</v>
      </c>
      <c r="H4" s="264" t="s">
        <v>164</v>
      </c>
      <c r="I4" s="264" t="s">
        <v>143</v>
      </c>
      <c r="J4" s="265" t="s">
        <v>123</v>
      </c>
      <c r="K4" s="265" t="s">
        <v>175</v>
      </c>
      <c r="L4" s="244" t="s">
        <v>182</v>
      </c>
      <c r="N4" s="1371"/>
      <c r="O4" s="1372"/>
      <c r="P4" s="263" t="s">
        <v>93</v>
      </c>
      <c r="Q4" s="264" t="s">
        <v>94</v>
      </c>
      <c r="R4" s="264" t="s">
        <v>95</v>
      </c>
      <c r="S4" s="264" t="s">
        <v>165</v>
      </c>
      <c r="T4" s="264" t="s">
        <v>163</v>
      </c>
      <c r="U4" s="264" t="s">
        <v>164</v>
      </c>
      <c r="V4" s="264" t="s">
        <v>143</v>
      </c>
      <c r="W4" s="265" t="s">
        <v>123</v>
      </c>
      <c r="X4" s="265" t="s">
        <v>175</v>
      </c>
      <c r="Y4" s="142" t="s">
        <v>74</v>
      </c>
    </row>
    <row r="5" spans="1:25" ht="13.5" customHeight="1" x14ac:dyDescent="0.25">
      <c r="A5" s="1378"/>
      <c r="B5" s="259" t="s">
        <v>93</v>
      </c>
      <c r="C5" s="641">
        <f>'Baseline injuries'!D5+'Baseline injuries'!M13+'Baseline injuries'!V21</f>
        <v>0</v>
      </c>
      <c r="D5" s="641">
        <f>'Baseline injuries'!E5+'Baseline injuries'!N13+'Baseline injuries'!W21</f>
        <v>0</v>
      </c>
      <c r="E5" s="641">
        <f>'Baseline injuries'!F5+'Baseline injuries'!O13+'Baseline injuries'!X21</f>
        <v>0</v>
      </c>
      <c r="F5" s="641">
        <f>'Baseline injuries'!G5+'Baseline injuries'!P13+'Baseline injuries'!Y21</f>
        <v>3.4</v>
      </c>
      <c r="G5" s="641">
        <f>'Baseline injuries'!H5+'Baseline injuries'!Q13+'Baseline injuries'!Z21</f>
        <v>0</v>
      </c>
      <c r="H5" s="641">
        <f>'Baseline injuries'!I5+'Baseline injuries'!R13+'Baseline injuries'!AA21</f>
        <v>0</v>
      </c>
      <c r="I5" s="641">
        <f>'Baseline injuries'!J5+'Baseline injuries'!S13+'Baseline injuries'!AB21</f>
        <v>0</v>
      </c>
      <c r="J5" s="641">
        <f>'Baseline injuries'!K5+'Baseline injuries'!T13+'Baseline injuries'!AC21</f>
        <v>0</v>
      </c>
      <c r="K5" s="641">
        <f>'Baseline injuries'!L5+'Baseline injuries'!U13+'Baseline injuries'!AD21</f>
        <v>0</v>
      </c>
      <c r="L5" s="245">
        <f>SUM(C5:K5)</f>
        <v>3.4</v>
      </c>
      <c r="N5" s="1378"/>
      <c r="O5" s="259" t="s">
        <v>93</v>
      </c>
      <c r="P5" s="641" t="e">
        <f>'Scenario Injuries'!D4+'Scenario Injuries'!M12+'Scenario Injuries'!V20</f>
        <v>#REF!</v>
      </c>
      <c r="Q5" s="641" t="e">
        <f>'Scenario Injuries'!E4+'Scenario Injuries'!N12+'Scenario Injuries'!W20</f>
        <v>#REF!</v>
      </c>
      <c r="R5" s="641" t="e">
        <f>'Scenario Injuries'!F4+'Scenario Injuries'!O12+'Scenario Injuries'!X20</f>
        <v>#REF!</v>
      </c>
      <c r="S5" s="641" t="e">
        <f>'Scenario Injuries'!G4+'Scenario Injuries'!P12+'Scenario Injuries'!Y20</f>
        <v>#REF!</v>
      </c>
      <c r="T5" s="641" t="e">
        <f>'Scenario Injuries'!H4+'Scenario Injuries'!Q12+'Scenario Injuries'!Z20</f>
        <v>#REF!</v>
      </c>
      <c r="U5" s="641">
        <f>'Scenario Injuries'!I4+'Scenario Injuries'!R12+'Scenario Injuries'!AA20</f>
        <v>0</v>
      </c>
      <c r="V5" s="641" t="e">
        <f>'Scenario Injuries'!J4+'Scenario Injuries'!S12+'Scenario Injuries'!AB20</f>
        <v>#REF!</v>
      </c>
      <c r="W5" s="641">
        <f>'Scenario Injuries'!K4+'Scenario Injuries'!T12+'Scenario Injuries'!AC20</f>
        <v>0</v>
      </c>
      <c r="X5" s="641" t="e">
        <f>'Scenario Injuries'!L4+'Scenario Injuries'!U12+'Scenario Injuries'!AD20</f>
        <v>#REF!</v>
      </c>
      <c r="Y5" s="245" t="e">
        <f>SUM(P5:X5)</f>
        <v>#REF!</v>
      </c>
    </row>
    <row r="6" spans="1:25" ht="12.75" customHeight="1" x14ac:dyDescent="0.25">
      <c r="A6" s="1379"/>
      <c r="B6" s="260" t="s">
        <v>94</v>
      </c>
      <c r="C6" s="641">
        <f>'Baseline injuries'!D6+'Baseline injuries'!M14+'Baseline injuries'!V22</f>
        <v>0</v>
      </c>
      <c r="D6" s="251">
        <f>'Baseline injuries'!E6+'Baseline injuries'!N14+'Baseline injuries'!W22</f>
        <v>0</v>
      </c>
      <c r="E6" s="251">
        <f>'Baseline injuries'!F6+'Baseline injuries'!O14+'Baseline injuries'!X22</f>
        <v>0</v>
      </c>
      <c r="F6" s="251">
        <f>'Baseline injuries'!G6+'Baseline injuries'!P14+'Baseline injuries'!Y22</f>
        <v>1</v>
      </c>
      <c r="G6" s="251">
        <f>'Baseline injuries'!H6+'Baseline injuries'!Q14+'Baseline injuries'!Z22</f>
        <v>0</v>
      </c>
      <c r="H6" s="251">
        <f>'Baseline injuries'!I6+'Baseline injuries'!R14+'Baseline injuries'!AA22</f>
        <v>0</v>
      </c>
      <c r="I6" s="251">
        <f>'Baseline injuries'!J6+'Baseline injuries'!S14+'Baseline injuries'!AB22</f>
        <v>0</v>
      </c>
      <c r="J6" s="251">
        <f>'Baseline injuries'!K6+'Baseline injuries'!T14+'Baseline injuries'!AC22</f>
        <v>0</v>
      </c>
      <c r="K6" s="251">
        <f>'Baseline injuries'!L6+'Baseline injuries'!U14+'Baseline injuries'!AD22</f>
        <v>0</v>
      </c>
      <c r="L6" s="245">
        <f t="shared" ref="L6:L12" si="0">SUM(C6:K6)</f>
        <v>1</v>
      </c>
      <c r="N6" s="1379"/>
      <c r="O6" s="260" t="s">
        <v>94</v>
      </c>
      <c r="P6" s="641" t="e">
        <f>'Scenario Injuries'!D5+'Scenario Injuries'!M13+'Scenario Injuries'!V21</f>
        <v>#REF!</v>
      </c>
      <c r="Q6" s="251" t="e">
        <f>'Scenario Injuries'!E5+'Scenario Injuries'!N13+'Scenario Injuries'!W21</f>
        <v>#REF!</v>
      </c>
      <c r="R6" s="251" t="e">
        <f>'Scenario Injuries'!F5+'Scenario Injuries'!O13+'Scenario Injuries'!X21</f>
        <v>#REF!</v>
      </c>
      <c r="S6" s="251" t="e">
        <f>'Scenario Injuries'!G5+'Scenario Injuries'!P13+'Scenario Injuries'!Y21</f>
        <v>#REF!</v>
      </c>
      <c r="T6" s="251" t="e">
        <f>'Scenario Injuries'!H5+'Scenario Injuries'!Q13+'Scenario Injuries'!Z21</f>
        <v>#REF!</v>
      </c>
      <c r="U6" s="251">
        <f>'Scenario Injuries'!I5+'Scenario Injuries'!R13+'Scenario Injuries'!AA21</f>
        <v>0</v>
      </c>
      <c r="V6" s="251" t="e">
        <f>'Scenario Injuries'!J5+'Scenario Injuries'!S13+'Scenario Injuries'!AB21</f>
        <v>#REF!</v>
      </c>
      <c r="W6" s="251">
        <f>'Scenario Injuries'!K5+'Scenario Injuries'!T13+'Scenario Injuries'!AC21</f>
        <v>0</v>
      </c>
      <c r="X6" s="251" t="e">
        <f>'Scenario Injuries'!L5+'Scenario Injuries'!U13+'Scenario Injuries'!AD21</f>
        <v>#REF!</v>
      </c>
      <c r="Y6" s="245" t="e">
        <f t="shared" ref="Y6:Y12" si="1">SUM(P6:X6)</f>
        <v>#REF!</v>
      </c>
    </row>
    <row r="7" spans="1:25" x14ac:dyDescent="0.25">
      <c r="A7" s="1379"/>
      <c r="B7" s="261" t="s">
        <v>95</v>
      </c>
      <c r="C7" s="641">
        <f>'Baseline injuries'!D7+'Baseline injuries'!M15+'Baseline injuries'!V23</f>
        <v>0</v>
      </c>
      <c r="D7" s="251">
        <f>'Baseline injuries'!E7+'Baseline injuries'!N15+'Baseline injuries'!W23</f>
        <v>0</v>
      </c>
      <c r="E7" s="251">
        <f>'Baseline injuries'!F7+'Baseline injuries'!O15+'Baseline injuries'!X23</f>
        <v>0</v>
      </c>
      <c r="F7" s="251">
        <f>'Baseline injuries'!G7+'Baseline injuries'!P15+'Baseline injuries'!Y23</f>
        <v>0</v>
      </c>
      <c r="G7" s="251">
        <f>'Baseline injuries'!H7+'Baseline injuries'!Q15+'Baseline injuries'!Z23</f>
        <v>0</v>
      </c>
      <c r="H7" s="251">
        <f>'Baseline injuries'!I7+'Baseline injuries'!R15+'Baseline injuries'!AA23</f>
        <v>0</v>
      </c>
      <c r="I7" s="251">
        <f>'Baseline injuries'!J7+'Baseline injuries'!S15+'Baseline injuries'!AB23</f>
        <v>0</v>
      </c>
      <c r="J7" s="251">
        <f>'Baseline injuries'!K7+'Baseline injuries'!T15+'Baseline injuries'!AC23</f>
        <v>0</v>
      </c>
      <c r="K7" s="251">
        <f>'Baseline injuries'!L7+'Baseline injuries'!U15+'Baseline injuries'!AD23</f>
        <v>0</v>
      </c>
      <c r="L7" s="245">
        <f t="shared" si="0"/>
        <v>0</v>
      </c>
      <c r="N7" s="1379"/>
      <c r="O7" s="261" t="s">
        <v>95</v>
      </c>
      <c r="P7" s="641" t="e">
        <f>'Scenario Injuries'!D6+'Scenario Injuries'!M14+'Scenario Injuries'!V22</f>
        <v>#REF!</v>
      </c>
      <c r="Q7" s="251" t="e">
        <f>'Scenario Injuries'!E6+'Scenario Injuries'!N14+'Scenario Injuries'!W22</f>
        <v>#REF!</v>
      </c>
      <c r="R7" s="251">
        <f>'Scenario Injuries'!F6+'Scenario Injuries'!O14+'Scenario Injuries'!X22</f>
        <v>0</v>
      </c>
      <c r="S7" s="251" t="e">
        <f>'Scenario Injuries'!G6+'Scenario Injuries'!P14+'Scenario Injuries'!Y22</f>
        <v>#REF!</v>
      </c>
      <c r="T7" s="251" t="e">
        <f>'Scenario Injuries'!H6+'Scenario Injuries'!Q14+'Scenario Injuries'!Z22</f>
        <v>#DIV/0!</v>
      </c>
      <c r="U7" s="251">
        <f>'Scenario Injuries'!I6+'Scenario Injuries'!R14+'Scenario Injuries'!AA22</f>
        <v>0</v>
      </c>
      <c r="V7" s="251">
        <f>'Scenario Injuries'!J6+'Scenario Injuries'!S14+'Scenario Injuries'!AB22</f>
        <v>0</v>
      </c>
      <c r="W7" s="251">
        <f>'Scenario Injuries'!K6+'Scenario Injuries'!T14+'Scenario Injuries'!AC22</f>
        <v>0</v>
      </c>
      <c r="X7" s="251">
        <f>'Scenario Injuries'!L6+'Scenario Injuries'!U14+'Scenario Injuries'!AD22</f>
        <v>0</v>
      </c>
      <c r="Y7" s="245" t="e">
        <f t="shared" si="1"/>
        <v>#REF!</v>
      </c>
    </row>
    <row r="8" spans="1:25" x14ac:dyDescent="0.25">
      <c r="A8" s="1379"/>
      <c r="B8" s="260" t="s">
        <v>165</v>
      </c>
      <c r="C8" s="641">
        <f>'Baseline injuries'!D8+'Baseline injuries'!M16+'Baseline injuries'!V24</f>
        <v>0</v>
      </c>
      <c r="D8" s="251">
        <f>'Baseline injuries'!E8+'Baseline injuries'!N16+'Baseline injuries'!W24</f>
        <v>0</v>
      </c>
      <c r="E8" s="251">
        <f>'Baseline injuries'!F8+'Baseline injuries'!O16+'Baseline injuries'!X24</f>
        <v>0</v>
      </c>
      <c r="F8" s="251">
        <f>'Baseline injuries'!G8+'Baseline injuries'!P16+'Baseline injuries'!Y24</f>
        <v>3.6</v>
      </c>
      <c r="G8" s="251">
        <f>'Baseline injuries'!H8+'Baseline injuries'!Q16+'Baseline injuries'!Z24</f>
        <v>0</v>
      </c>
      <c r="H8" s="251">
        <f>'Baseline injuries'!I8+'Baseline injuries'!R16+'Baseline injuries'!AA24</f>
        <v>0</v>
      </c>
      <c r="I8" s="251">
        <f>'Baseline injuries'!J8+'Baseline injuries'!S16+'Baseline injuries'!AB24</f>
        <v>0.2</v>
      </c>
      <c r="J8" s="251">
        <f>'Baseline injuries'!K8+'Baseline injuries'!T16+'Baseline injuries'!AC24</f>
        <v>0</v>
      </c>
      <c r="K8" s="251">
        <f>'Baseline injuries'!L8+'Baseline injuries'!U16+'Baseline injuries'!AD24</f>
        <v>0.8</v>
      </c>
      <c r="L8" s="245">
        <f t="shared" si="0"/>
        <v>4.6000000000000005</v>
      </c>
      <c r="N8" s="1379"/>
      <c r="O8" s="260" t="s">
        <v>165</v>
      </c>
      <c r="P8" s="641" t="e">
        <f>'Scenario Injuries'!D7+'Scenario Injuries'!M15+'Scenario Injuries'!V23</f>
        <v>#REF!</v>
      </c>
      <c r="Q8" s="251" t="e">
        <f>'Scenario Injuries'!E7+'Scenario Injuries'!N15+'Scenario Injuries'!W23</f>
        <v>#REF!</v>
      </c>
      <c r="R8" s="251" t="e">
        <f>'Scenario Injuries'!F7+'Scenario Injuries'!O15+'Scenario Injuries'!X23</f>
        <v>#REF!</v>
      </c>
      <c r="S8" s="251" t="e">
        <f>'Scenario Injuries'!G7+'Scenario Injuries'!P15+'Scenario Injuries'!Y23</f>
        <v>#REF!</v>
      </c>
      <c r="T8" s="251" t="e">
        <f>'Scenario Injuries'!H7+'Scenario Injuries'!Q15+'Scenario Injuries'!Z23</f>
        <v>#REF!</v>
      </c>
      <c r="U8" s="251">
        <f>'Scenario Injuries'!I7+'Scenario Injuries'!R15+'Scenario Injuries'!AA23</f>
        <v>0</v>
      </c>
      <c r="V8" s="251" t="e">
        <f>'Scenario Injuries'!J7+'Scenario Injuries'!S15+'Scenario Injuries'!AB23</f>
        <v>#REF!</v>
      </c>
      <c r="W8" s="251">
        <f>'Scenario Injuries'!K7+'Scenario Injuries'!T15+'Scenario Injuries'!AC23</f>
        <v>0</v>
      </c>
      <c r="X8" s="251" t="e">
        <f>'Scenario Injuries'!L7+'Scenario Injuries'!U15+'Scenario Injuries'!AD23</f>
        <v>#REF!</v>
      </c>
      <c r="Y8" s="245" t="e">
        <f t="shared" si="1"/>
        <v>#REF!</v>
      </c>
    </row>
    <row r="9" spans="1:25" x14ac:dyDescent="0.25">
      <c r="A9" s="1379"/>
      <c r="B9" s="260" t="s">
        <v>163</v>
      </c>
      <c r="C9" s="641">
        <f>'Baseline injuries'!D9+'Baseline injuries'!M17+'Baseline injuries'!V25</f>
        <v>0</v>
      </c>
      <c r="D9" s="251">
        <f>'Baseline injuries'!E9+'Baseline injuries'!N17+'Baseline injuries'!W25</f>
        <v>0</v>
      </c>
      <c r="E9" s="251">
        <f>'Baseline injuries'!F9+'Baseline injuries'!O17+'Baseline injuries'!X25</f>
        <v>0</v>
      </c>
      <c r="F9" s="251">
        <f>'Baseline injuries'!G9+'Baseline injuries'!P17+'Baseline injuries'!Y25</f>
        <v>0.2</v>
      </c>
      <c r="G9" s="251">
        <f>'Baseline injuries'!H9+'Baseline injuries'!Q17+'Baseline injuries'!Z25</f>
        <v>0.2</v>
      </c>
      <c r="H9" s="251">
        <f>'Baseline injuries'!I9+'Baseline injuries'!R17+'Baseline injuries'!AA25</f>
        <v>0</v>
      </c>
      <c r="I9" s="251">
        <f>'Baseline injuries'!J9+'Baseline injuries'!S17+'Baseline injuries'!AB25</f>
        <v>0</v>
      </c>
      <c r="J9" s="251">
        <f>'Baseline injuries'!K9+'Baseline injuries'!T17+'Baseline injuries'!AC25</f>
        <v>0</v>
      </c>
      <c r="K9" s="251">
        <f>'Baseline injuries'!L9+'Baseline injuries'!U17+'Baseline injuries'!AD25</f>
        <v>0</v>
      </c>
      <c r="L9" s="245">
        <f t="shared" si="0"/>
        <v>0.4</v>
      </c>
      <c r="N9" s="1379"/>
      <c r="O9" s="260" t="s">
        <v>163</v>
      </c>
      <c r="P9" s="641" t="e">
        <f>'Scenario Injuries'!D8+'Scenario Injuries'!M16+'Scenario Injuries'!V24</f>
        <v>#DIV/0!</v>
      </c>
      <c r="Q9" s="251" t="e">
        <f>'Scenario Injuries'!E8+'Scenario Injuries'!N16+'Scenario Injuries'!W24</f>
        <v>#DIV/0!</v>
      </c>
      <c r="R9" s="251" t="e">
        <f>'Scenario Injuries'!F8+'Scenario Injuries'!O16+'Scenario Injuries'!X24</f>
        <v>#DIV/0!</v>
      </c>
      <c r="S9" s="251" t="e">
        <f>'Scenario Injuries'!G8+'Scenario Injuries'!P16+'Scenario Injuries'!Y24</f>
        <v>#DIV/0!</v>
      </c>
      <c r="T9" s="251" t="e">
        <f>'Scenario Injuries'!H8+'Scenario Injuries'!Q16+'Scenario Injuries'!Z24</f>
        <v>#DIV/0!</v>
      </c>
      <c r="U9" s="251">
        <f>'Scenario Injuries'!I8+'Scenario Injuries'!R16+'Scenario Injuries'!AA24</f>
        <v>0</v>
      </c>
      <c r="V9" s="251" t="e">
        <f>'Scenario Injuries'!J8+'Scenario Injuries'!S16+'Scenario Injuries'!AB24</f>
        <v>#DIV/0!</v>
      </c>
      <c r="W9" s="251">
        <f>'Scenario Injuries'!K8+'Scenario Injuries'!T16+'Scenario Injuries'!AC24</f>
        <v>0</v>
      </c>
      <c r="X9" s="251" t="e">
        <f>'Scenario Injuries'!L8+'Scenario Injuries'!U16+'Scenario Injuries'!AD24</f>
        <v>#DIV/0!</v>
      </c>
      <c r="Y9" s="245" t="e">
        <f t="shared" si="1"/>
        <v>#DIV/0!</v>
      </c>
    </row>
    <row r="10" spans="1:25" x14ac:dyDescent="0.25">
      <c r="A10" s="1379"/>
      <c r="B10" s="260" t="s">
        <v>164</v>
      </c>
      <c r="C10" s="641">
        <f>'Baseline injuries'!D10+'Baseline injuries'!M18+'Baseline injuries'!V26</f>
        <v>0</v>
      </c>
      <c r="D10" s="251">
        <f>'Baseline injuries'!E10+'Baseline injuries'!N18+'Baseline injuries'!W26</f>
        <v>0</v>
      </c>
      <c r="E10" s="251">
        <f>'Baseline injuries'!F10+'Baseline injuries'!O18+'Baseline injuries'!X26</f>
        <v>0</v>
      </c>
      <c r="F10" s="251">
        <f>'Baseline injuries'!G10+'Baseline injuries'!P18+'Baseline injuries'!Y26</f>
        <v>0</v>
      </c>
      <c r="G10" s="251">
        <f>'Baseline injuries'!H10+'Baseline injuries'!Q18+'Baseline injuries'!Z26</f>
        <v>0</v>
      </c>
      <c r="H10" s="251">
        <f>'Baseline injuries'!I10+'Baseline injuries'!R18+'Baseline injuries'!AA26</f>
        <v>0</v>
      </c>
      <c r="I10" s="251">
        <f>'Baseline injuries'!J10+'Baseline injuries'!S18+'Baseline injuries'!AB26</f>
        <v>0</v>
      </c>
      <c r="J10" s="251">
        <f>'Baseline injuries'!K10+'Baseline injuries'!T18+'Baseline injuries'!AC26</f>
        <v>0</v>
      </c>
      <c r="K10" s="251">
        <f>'Baseline injuries'!L10+'Baseline injuries'!U18+'Baseline injuries'!AD26</f>
        <v>0</v>
      </c>
      <c r="L10" s="245">
        <f t="shared" si="0"/>
        <v>0</v>
      </c>
      <c r="N10" s="1379"/>
      <c r="O10" s="260" t="s">
        <v>164</v>
      </c>
      <c r="P10" s="641">
        <f>'Scenario Injuries'!D9+'Scenario Injuries'!M17+'Scenario Injuries'!V25</f>
        <v>0</v>
      </c>
      <c r="Q10" s="251">
        <f>'Scenario Injuries'!E9+'Scenario Injuries'!N17+'Scenario Injuries'!W25</f>
        <v>0</v>
      </c>
      <c r="R10" s="251">
        <f>'Scenario Injuries'!F9+'Scenario Injuries'!O17+'Scenario Injuries'!X25</f>
        <v>0</v>
      </c>
      <c r="S10" s="251">
        <f>'Scenario Injuries'!G9+'Scenario Injuries'!P17+'Scenario Injuries'!Y25</f>
        <v>0</v>
      </c>
      <c r="T10" s="251">
        <f>'Scenario Injuries'!H9+'Scenario Injuries'!Q17+'Scenario Injuries'!Z25</f>
        <v>0</v>
      </c>
      <c r="U10" s="251">
        <f>'Scenario Injuries'!I9+'Scenario Injuries'!R17+'Scenario Injuries'!AA25</f>
        <v>0</v>
      </c>
      <c r="V10" s="251">
        <f>'Scenario Injuries'!J9+'Scenario Injuries'!S17+'Scenario Injuries'!AB25</f>
        <v>0</v>
      </c>
      <c r="W10" s="251">
        <f>'Scenario Injuries'!K9+'Scenario Injuries'!T17+'Scenario Injuries'!AC25</f>
        <v>0</v>
      </c>
      <c r="X10" s="251">
        <f>'Scenario Injuries'!L9+'Scenario Injuries'!U17+'Scenario Injuries'!AD25</f>
        <v>0</v>
      </c>
      <c r="Y10" s="245">
        <f t="shared" si="1"/>
        <v>0</v>
      </c>
    </row>
    <row r="11" spans="1:25" x14ac:dyDescent="0.25">
      <c r="A11" s="1379"/>
      <c r="B11" s="260" t="s">
        <v>143</v>
      </c>
      <c r="C11" s="641">
        <f>'Baseline injuries'!D11+'Baseline injuries'!M19+'Baseline injuries'!V27</f>
        <v>0</v>
      </c>
      <c r="D11" s="251">
        <f>'Baseline injuries'!E11+'Baseline injuries'!N19+'Baseline injuries'!W27</f>
        <v>0</v>
      </c>
      <c r="E11" s="251">
        <f>'Baseline injuries'!F11+'Baseline injuries'!O19+'Baseline injuries'!X27</f>
        <v>0</v>
      </c>
      <c r="F11" s="251">
        <f>'Baseline injuries'!G11+'Baseline injuries'!P19+'Baseline injuries'!Y27</f>
        <v>0</v>
      </c>
      <c r="G11" s="251">
        <f>'Baseline injuries'!H11+'Baseline injuries'!Q19+'Baseline injuries'!Z27</f>
        <v>0</v>
      </c>
      <c r="H11" s="251">
        <f>'Baseline injuries'!I11+'Baseline injuries'!R19+'Baseline injuries'!AA27</f>
        <v>0</v>
      </c>
      <c r="I11" s="251">
        <f>'Baseline injuries'!J11+'Baseline injuries'!S19+'Baseline injuries'!AB27</f>
        <v>0</v>
      </c>
      <c r="J11" s="251">
        <f>'Baseline injuries'!K11+'Baseline injuries'!T19+'Baseline injuries'!AC27</f>
        <v>0</v>
      </c>
      <c r="K11" s="251">
        <f>'Baseline injuries'!L11+'Baseline injuries'!U19+'Baseline injuries'!AD27</f>
        <v>0.2</v>
      </c>
      <c r="L11" s="245">
        <f t="shared" si="0"/>
        <v>0.2</v>
      </c>
      <c r="N11" s="1379"/>
      <c r="O11" s="260" t="s">
        <v>143</v>
      </c>
      <c r="P11" s="641" t="e">
        <f>'Scenario Injuries'!D10+'Scenario Injuries'!M18+'Scenario Injuries'!V26</f>
        <v>#REF!</v>
      </c>
      <c r="Q11" s="251" t="e">
        <f>'Scenario Injuries'!E10+'Scenario Injuries'!N18+'Scenario Injuries'!W26</f>
        <v>#REF!</v>
      </c>
      <c r="R11" s="251">
        <f>'Scenario Injuries'!F10+'Scenario Injuries'!O18+'Scenario Injuries'!X26</f>
        <v>0</v>
      </c>
      <c r="S11" s="251" t="e">
        <f>'Scenario Injuries'!G10+'Scenario Injuries'!P18+'Scenario Injuries'!Y26</f>
        <v>#REF!</v>
      </c>
      <c r="T11" s="251" t="e">
        <f>'Scenario Injuries'!H10+'Scenario Injuries'!Q18+'Scenario Injuries'!Z26</f>
        <v>#DIV/0!</v>
      </c>
      <c r="U11" s="251">
        <f>'Scenario Injuries'!I10+'Scenario Injuries'!R18+'Scenario Injuries'!AA26</f>
        <v>0</v>
      </c>
      <c r="V11" s="251">
        <f>'Scenario Injuries'!J10+'Scenario Injuries'!S18+'Scenario Injuries'!AB26</f>
        <v>0</v>
      </c>
      <c r="W11" s="251">
        <f>'Scenario Injuries'!K10+'Scenario Injuries'!T18+'Scenario Injuries'!AC26</f>
        <v>0</v>
      </c>
      <c r="X11" s="251">
        <f>'Scenario Injuries'!L10+'Scenario Injuries'!U18+'Scenario Injuries'!AD26</f>
        <v>0</v>
      </c>
      <c r="Y11" s="245" t="e">
        <f t="shared" si="1"/>
        <v>#REF!</v>
      </c>
    </row>
    <row r="12" spans="1:25" x14ac:dyDescent="0.25">
      <c r="A12" s="1379"/>
      <c r="B12" s="262" t="s">
        <v>123</v>
      </c>
      <c r="C12" s="641">
        <f>'Baseline injuries'!D12+'Baseline injuries'!M20+'Baseline injuries'!V28</f>
        <v>0</v>
      </c>
      <c r="D12" s="251">
        <f>'Baseline injuries'!E12+'Baseline injuries'!N20+'Baseline injuries'!W28</f>
        <v>0</v>
      </c>
      <c r="E12" s="251">
        <f>'Baseline injuries'!F12+'Baseline injuries'!O20+'Baseline injuries'!X28</f>
        <v>0</v>
      </c>
      <c r="F12" s="251">
        <f>'Baseline injuries'!G12+'Baseline injuries'!P20+'Baseline injuries'!Y28</f>
        <v>0</v>
      </c>
      <c r="G12" s="251">
        <f>'Baseline injuries'!H12+'Baseline injuries'!Q20+'Baseline injuries'!Z28</f>
        <v>0</v>
      </c>
      <c r="H12" s="251">
        <f>'Baseline injuries'!I12+'Baseline injuries'!R20+'Baseline injuries'!AA28</f>
        <v>0</v>
      </c>
      <c r="I12" s="251">
        <f>'Baseline injuries'!J12+'Baseline injuries'!S20+'Baseline injuries'!AB28</f>
        <v>0</v>
      </c>
      <c r="J12" s="251">
        <f>'Baseline injuries'!K12+'Baseline injuries'!T20+'Baseline injuries'!AC28</f>
        <v>0</v>
      </c>
      <c r="K12" s="251">
        <f>'Baseline injuries'!L12+'Baseline injuries'!U20+'Baseline injuries'!AD28</f>
        <v>0</v>
      </c>
      <c r="L12" s="245">
        <f t="shared" si="0"/>
        <v>0</v>
      </c>
      <c r="N12" s="1379"/>
      <c r="O12" s="262" t="s">
        <v>123</v>
      </c>
      <c r="P12" s="641">
        <f>'Scenario Injuries'!D11+'Scenario Injuries'!M19+'Scenario Injuries'!V27</f>
        <v>0</v>
      </c>
      <c r="Q12" s="251">
        <f>'Scenario Injuries'!E11+'Scenario Injuries'!N19+'Scenario Injuries'!W27</f>
        <v>0</v>
      </c>
      <c r="R12" s="251">
        <f>'Scenario Injuries'!F11+'Scenario Injuries'!O19+'Scenario Injuries'!X27</f>
        <v>0</v>
      </c>
      <c r="S12" s="251">
        <f>'Scenario Injuries'!G11+'Scenario Injuries'!P19+'Scenario Injuries'!Y27</f>
        <v>0</v>
      </c>
      <c r="T12" s="251">
        <f>'Scenario Injuries'!H11+'Scenario Injuries'!Q19+'Scenario Injuries'!Z27</f>
        <v>0</v>
      </c>
      <c r="U12" s="251">
        <f>'Scenario Injuries'!I11+'Scenario Injuries'!R19+'Scenario Injuries'!AA27</f>
        <v>0</v>
      </c>
      <c r="V12" s="251">
        <f>'Scenario Injuries'!J11+'Scenario Injuries'!S19+'Scenario Injuries'!AB27</f>
        <v>0</v>
      </c>
      <c r="W12" s="251">
        <f>'Scenario Injuries'!K11+'Scenario Injuries'!T19+'Scenario Injuries'!AC27</f>
        <v>0</v>
      </c>
      <c r="X12" s="251">
        <f>'Scenario Injuries'!L11+'Scenario Injuries'!U19+'Scenario Injuries'!AD27</f>
        <v>0</v>
      </c>
      <c r="Y12" s="245">
        <f t="shared" si="1"/>
        <v>0</v>
      </c>
    </row>
    <row r="13" spans="1:25" x14ac:dyDescent="0.25">
      <c r="A13" s="258"/>
      <c r="B13" s="244" t="s">
        <v>74</v>
      </c>
      <c r="C13" s="245">
        <f>SUM(C5:C12)</f>
        <v>0</v>
      </c>
      <c r="D13" s="245">
        <f t="shared" ref="D13:K13" si="2">SUM(D5:D12)</f>
        <v>0</v>
      </c>
      <c r="E13" s="245">
        <f t="shared" si="2"/>
        <v>0</v>
      </c>
      <c r="F13" s="245">
        <f t="shared" si="2"/>
        <v>8.1999999999999993</v>
      </c>
      <c r="G13" s="245">
        <f t="shared" si="2"/>
        <v>0.2</v>
      </c>
      <c r="H13" s="245">
        <f t="shared" si="2"/>
        <v>0</v>
      </c>
      <c r="I13" s="245">
        <f t="shared" si="2"/>
        <v>0.2</v>
      </c>
      <c r="J13" s="245">
        <f t="shared" si="2"/>
        <v>0</v>
      </c>
      <c r="K13" s="245">
        <f t="shared" si="2"/>
        <v>1</v>
      </c>
      <c r="L13" s="245">
        <f>SUM(L5:L12)</f>
        <v>9.6</v>
      </c>
      <c r="N13" s="258"/>
      <c r="O13" s="244" t="s">
        <v>74</v>
      </c>
      <c r="P13" s="251" t="e">
        <f t="shared" ref="P13:Y13" si="3">SUM(P5:P12)</f>
        <v>#REF!</v>
      </c>
      <c r="Q13" s="251" t="e">
        <f t="shared" si="3"/>
        <v>#REF!</v>
      </c>
      <c r="R13" s="251" t="e">
        <f t="shared" si="3"/>
        <v>#REF!</v>
      </c>
      <c r="S13" s="251" t="e">
        <f t="shared" si="3"/>
        <v>#REF!</v>
      </c>
      <c r="T13" s="251" t="e">
        <f t="shared" si="3"/>
        <v>#REF!</v>
      </c>
      <c r="U13" s="251">
        <f t="shared" si="3"/>
        <v>0</v>
      </c>
      <c r="V13" s="251" t="e">
        <f t="shared" si="3"/>
        <v>#REF!</v>
      </c>
      <c r="W13" s="251">
        <f t="shared" si="3"/>
        <v>0</v>
      </c>
      <c r="X13" s="251" t="e">
        <f t="shared" si="3"/>
        <v>#REF!</v>
      </c>
      <c r="Y13" s="245" t="e">
        <f t="shared" si="3"/>
        <v>#REF!</v>
      </c>
    </row>
    <row r="14" spans="1:25" ht="15.75" thickBot="1" x14ac:dyDescent="0.3"/>
    <row r="15" spans="1:25" ht="13.5" customHeight="1" thickBot="1" x14ac:dyDescent="0.3">
      <c r="A15" s="1367" t="s">
        <v>197</v>
      </c>
      <c r="B15" s="1368"/>
      <c r="C15" s="1373" t="s">
        <v>198</v>
      </c>
      <c r="D15" s="1374"/>
      <c r="E15" s="1374"/>
      <c r="F15" s="1374"/>
      <c r="G15" s="1374"/>
      <c r="H15" s="1374"/>
      <c r="I15" s="1374"/>
      <c r="J15" s="1374"/>
      <c r="K15" s="278"/>
      <c r="L15" s="258"/>
      <c r="N15" s="1367" t="s">
        <v>181</v>
      </c>
      <c r="O15" s="1368"/>
      <c r="P15" s="1373" t="s">
        <v>198</v>
      </c>
      <c r="Q15" s="1374"/>
      <c r="R15" s="1374"/>
      <c r="S15" s="1374"/>
      <c r="T15" s="1374"/>
      <c r="U15" s="1374"/>
      <c r="V15" s="1374"/>
      <c r="W15" s="1374"/>
      <c r="X15" s="278"/>
    </row>
    <row r="16" spans="1:25" ht="13.5" customHeight="1" thickBot="1" x14ac:dyDescent="0.3">
      <c r="A16" s="1371"/>
      <c r="B16" s="1372"/>
      <c r="C16" s="263" t="s">
        <v>93</v>
      </c>
      <c r="D16" s="264" t="s">
        <v>94</v>
      </c>
      <c r="E16" s="264" t="s">
        <v>95</v>
      </c>
      <c r="F16" s="264" t="s">
        <v>165</v>
      </c>
      <c r="G16" s="264" t="s">
        <v>163</v>
      </c>
      <c r="H16" s="264" t="s">
        <v>164</v>
      </c>
      <c r="I16" s="264" t="s">
        <v>143</v>
      </c>
      <c r="J16" s="265" t="s">
        <v>123</v>
      </c>
      <c r="K16" s="265" t="s">
        <v>175</v>
      </c>
      <c r="L16" s="244" t="s">
        <v>74</v>
      </c>
      <c r="N16" s="1371"/>
      <c r="O16" s="1372"/>
      <c r="P16" s="263" t="s">
        <v>93</v>
      </c>
      <c r="Q16" s="264" t="s">
        <v>94</v>
      </c>
      <c r="R16" s="264" t="s">
        <v>95</v>
      </c>
      <c r="S16" s="264" t="s">
        <v>165</v>
      </c>
      <c r="T16" s="264" t="s">
        <v>163</v>
      </c>
      <c r="U16" s="264" t="s">
        <v>164</v>
      </c>
      <c r="V16" s="264" t="s">
        <v>143</v>
      </c>
      <c r="W16" s="265" t="s">
        <v>123</v>
      </c>
      <c r="X16" s="265" t="s">
        <v>175</v>
      </c>
      <c r="Y16" s="142" t="s">
        <v>74</v>
      </c>
    </row>
    <row r="17" spans="1:25" ht="13.5" customHeight="1" x14ac:dyDescent="0.25">
      <c r="A17" s="1378"/>
      <c r="B17" s="259" t="s">
        <v>93</v>
      </c>
      <c r="C17" s="641">
        <f>'Baseline injuries'!D32+'Baseline injuries'!M40+'Baseline injuries'!V48</f>
        <v>0</v>
      </c>
      <c r="D17" s="641">
        <f>'Baseline injuries'!E32+'Baseline injuries'!N40+'Baseline injuries'!W48</f>
        <v>0</v>
      </c>
      <c r="E17" s="641">
        <f>'Baseline injuries'!F32+'Baseline injuries'!O40+'Baseline injuries'!X48</f>
        <v>0</v>
      </c>
      <c r="F17" s="641">
        <f>'Baseline injuries'!G32+'Baseline injuries'!P40+'Baseline injuries'!Y48</f>
        <v>0.8</v>
      </c>
      <c r="G17" s="641">
        <f>'Baseline injuries'!H32+'Baseline injuries'!Q40+'Baseline injuries'!Z48</f>
        <v>0.2</v>
      </c>
      <c r="H17" s="641">
        <f>'Baseline injuries'!I32+'Baseline injuries'!R40+'Baseline injuries'!AA48</f>
        <v>0</v>
      </c>
      <c r="I17" s="641">
        <f>'Baseline injuries'!J32+'Baseline injuries'!S40+'Baseline injuries'!AB48</f>
        <v>0</v>
      </c>
      <c r="J17" s="641">
        <f>'Baseline injuries'!K32+'Baseline injuries'!T40+'Baseline injuries'!AC48</f>
        <v>0</v>
      </c>
      <c r="K17" s="641">
        <f>'Baseline injuries'!L32+'Baseline injuries'!U40+'Baseline injuries'!AD48</f>
        <v>0</v>
      </c>
      <c r="L17" s="245">
        <f>SUM(C17:K17)</f>
        <v>1</v>
      </c>
      <c r="N17" s="1378"/>
      <c r="O17" s="259" t="s">
        <v>93</v>
      </c>
      <c r="P17" s="641" t="e">
        <f>'Scenario Injuries'!D31+'Scenario Injuries'!M39+'Scenario Injuries'!V47</f>
        <v>#REF!</v>
      </c>
      <c r="Q17" s="641" t="e">
        <f>'Scenario Injuries'!E31+'Scenario Injuries'!N39+'Scenario Injuries'!W47</f>
        <v>#REF!</v>
      </c>
      <c r="R17" s="641" t="e">
        <f>'Scenario Injuries'!F31+'Scenario Injuries'!O39+'Scenario Injuries'!X47</f>
        <v>#REF!</v>
      </c>
      <c r="S17" s="641" t="e">
        <f>'Scenario Injuries'!G31+'Scenario Injuries'!P39+'Scenario Injuries'!Y47</f>
        <v>#REF!</v>
      </c>
      <c r="T17" s="641" t="e">
        <f>'Scenario Injuries'!H31+'Scenario Injuries'!Q39+'Scenario Injuries'!Z47</f>
        <v>#REF!</v>
      </c>
      <c r="U17" s="641">
        <f>'Scenario Injuries'!I31+'Scenario Injuries'!R39+'Scenario Injuries'!AA47</f>
        <v>0</v>
      </c>
      <c r="V17" s="641" t="e">
        <f>'Scenario Injuries'!J31+'Scenario Injuries'!S39+'Scenario Injuries'!AB47</f>
        <v>#REF!</v>
      </c>
      <c r="W17" s="641">
        <f>'Scenario Injuries'!K31+'Scenario Injuries'!T39+'Scenario Injuries'!AC47</f>
        <v>0</v>
      </c>
      <c r="X17" s="641" t="e">
        <f>'Scenario Injuries'!L31+'Scenario Injuries'!U39+'Scenario Injuries'!AD47</f>
        <v>#REF!</v>
      </c>
      <c r="Y17" s="245" t="e">
        <f>SUM(P17:X17)</f>
        <v>#REF!</v>
      </c>
    </row>
    <row r="18" spans="1:25" ht="12.75" customHeight="1" x14ac:dyDescent="0.25">
      <c r="A18" s="1379"/>
      <c r="B18" s="260" t="s">
        <v>94</v>
      </c>
      <c r="C18" s="641">
        <f>'Baseline injuries'!D33+'Baseline injuries'!M41+'Baseline injuries'!V49</f>
        <v>0</v>
      </c>
      <c r="D18" s="251">
        <f>'Baseline injuries'!E33+'Baseline injuries'!N41+'Baseline injuries'!W49</f>
        <v>0</v>
      </c>
      <c r="E18" s="251">
        <f>'Baseline injuries'!F33+'Baseline injuries'!O41+'Baseline injuries'!X49</f>
        <v>0</v>
      </c>
      <c r="F18" s="251">
        <f>'Baseline injuries'!G33+'Baseline injuries'!P41+'Baseline injuries'!Y49</f>
        <v>1.6</v>
      </c>
      <c r="G18" s="251">
        <f>'Baseline injuries'!H33+'Baseline injuries'!Q41+'Baseline injuries'!Z49</f>
        <v>0</v>
      </c>
      <c r="H18" s="251">
        <f>'Baseline injuries'!I33+'Baseline injuries'!R41+'Baseline injuries'!AA49</f>
        <v>0</v>
      </c>
      <c r="I18" s="251">
        <f>'Baseline injuries'!J33+'Baseline injuries'!S41+'Baseline injuries'!AB49</f>
        <v>0</v>
      </c>
      <c r="J18" s="251">
        <f>'Baseline injuries'!K33+'Baseline injuries'!T41+'Baseline injuries'!AC49</f>
        <v>0</v>
      </c>
      <c r="K18" s="251">
        <f>'Baseline injuries'!L33+'Baseline injuries'!U41+'Baseline injuries'!AD49</f>
        <v>0</v>
      </c>
      <c r="L18" s="245">
        <f t="shared" ref="L18:L24" si="4">SUM(C18:K18)</f>
        <v>1.6</v>
      </c>
      <c r="N18" s="1379"/>
      <c r="O18" s="260" t="s">
        <v>94</v>
      </c>
      <c r="P18" s="641" t="e">
        <f>'Scenario Injuries'!D32+'Scenario Injuries'!M40+'Scenario Injuries'!V48</f>
        <v>#REF!</v>
      </c>
      <c r="Q18" s="251" t="e">
        <f>'Scenario Injuries'!E32+'Scenario Injuries'!N40+'Scenario Injuries'!W48</f>
        <v>#REF!</v>
      </c>
      <c r="R18" s="251" t="e">
        <f>'Scenario Injuries'!F32+'Scenario Injuries'!O40+'Scenario Injuries'!X48</f>
        <v>#REF!</v>
      </c>
      <c r="S18" s="251" t="e">
        <f>'Scenario Injuries'!G32+'Scenario Injuries'!P40+'Scenario Injuries'!Y48</f>
        <v>#REF!</v>
      </c>
      <c r="T18" s="251" t="e">
        <f>'Scenario Injuries'!H32+'Scenario Injuries'!Q40+'Scenario Injuries'!Z48</f>
        <v>#REF!</v>
      </c>
      <c r="U18" s="251">
        <f>'Scenario Injuries'!I32+'Scenario Injuries'!R40+'Scenario Injuries'!AA48</f>
        <v>0</v>
      </c>
      <c r="V18" s="251" t="e">
        <f>'Scenario Injuries'!J32+'Scenario Injuries'!S40+'Scenario Injuries'!AB48</f>
        <v>#REF!</v>
      </c>
      <c r="W18" s="251">
        <f>'Scenario Injuries'!K32+'Scenario Injuries'!T40+'Scenario Injuries'!AC48</f>
        <v>0</v>
      </c>
      <c r="X18" s="251" t="e">
        <f>'Scenario Injuries'!L32+'Scenario Injuries'!U40+'Scenario Injuries'!AD48</f>
        <v>#REF!</v>
      </c>
      <c r="Y18" s="245" t="e">
        <f t="shared" ref="Y18:Y24" si="5">SUM(P18:X18)</f>
        <v>#REF!</v>
      </c>
    </row>
    <row r="19" spans="1:25" x14ac:dyDescent="0.25">
      <c r="A19" s="1379"/>
      <c r="B19" s="261" t="s">
        <v>95</v>
      </c>
      <c r="C19" s="641">
        <f>'Baseline injuries'!D34+'Baseline injuries'!M42+'Baseline injuries'!V50</f>
        <v>0</v>
      </c>
      <c r="D19" s="251">
        <f>'Baseline injuries'!E34+'Baseline injuries'!N42+'Baseline injuries'!W50</f>
        <v>0</v>
      </c>
      <c r="E19" s="251">
        <f>'Baseline injuries'!F34+'Baseline injuries'!O42+'Baseline injuries'!X50</f>
        <v>0</v>
      </c>
      <c r="F19" s="251">
        <f>'Baseline injuries'!G34+'Baseline injuries'!P42+'Baseline injuries'!Y50</f>
        <v>0</v>
      </c>
      <c r="G19" s="251">
        <f>'Baseline injuries'!H34+'Baseline injuries'!Q42+'Baseline injuries'!Z50</f>
        <v>0</v>
      </c>
      <c r="H19" s="251">
        <f>'Baseline injuries'!I34+'Baseline injuries'!R42+'Baseline injuries'!AA50</f>
        <v>0</v>
      </c>
      <c r="I19" s="251">
        <f>'Baseline injuries'!J34+'Baseline injuries'!S42+'Baseline injuries'!AB50</f>
        <v>0</v>
      </c>
      <c r="J19" s="251">
        <f>'Baseline injuries'!K34+'Baseline injuries'!T42+'Baseline injuries'!AC50</f>
        <v>0</v>
      </c>
      <c r="K19" s="251">
        <f>'Baseline injuries'!L34+'Baseline injuries'!U42+'Baseline injuries'!AD50</f>
        <v>0</v>
      </c>
      <c r="L19" s="245">
        <f t="shared" si="4"/>
        <v>0</v>
      </c>
      <c r="N19" s="1379"/>
      <c r="O19" s="261" t="s">
        <v>95</v>
      </c>
      <c r="P19" s="641" t="e">
        <f>'Scenario Injuries'!D33+'Scenario Injuries'!M41+'Scenario Injuries'!V49</f>
        <v>#REF!</v>
      </c>
      <c r="Q19" s="251" t="e">
        <f>'Scenario Injuries'!E33+'Scenario Injuries'!N41+'Scenario Injuries'!W49</f>
        <v>#REF!</v>
      </c>
      <c r="R19" s="251">
        <f>'Scenario Injuries'!F33+'Scenario Injuries'!O41+'Scenario Injuries'!X49</f>
        <v>0</v>
      </c>
      <c r="S19" s="251" t="e">
        <f>'Scenario Injuries'!G33+'Scenario Injuries'!P41+'Scenario Injuries'!Y49</f>
        <v>#REF!</v>
      </c>
      <c r="T19" s="251" t="e">
        <f>'Scenario Injuries'!H33+'Scenario Injuries'!Q41+'Scenario Injuries'!Z49</f>
        <v>#DIV/0!</v>
      </c>
      <c r="U19" s="251">
        <f>'Scenario Injuries'!I33+'Scenario Injuries'!R41+'Scenario Injuries'!AA49</f>
        <v>0</v>
      </c>
      <c r="V19" s="251">
        <f>'Scenario Injuries'!J33+'Scenario Injuries'!S41+'Scenario Injuries'!AB49</f>
        <v>0</v>
      </c>
      <c r="W19" s="251">
        <f>'Scenario Injuries'!K33+'Scenario Injuries'!T41+'Scenario Injuries'!AC49</f>
        <v>0</v>
      </c>
      <c r="X19" s="251">
        <f>'Scenario Injuries'!L33+'Scenario Injuries'!U41+'Scenario Injuries'!AD49</f>
        <v>0</v>
      </c>
      <c r="Y19" s="245" t="e">
        <f t="shared" si="5"/>
        <v>#REF!</v>
      </c>
    </row>
    <row r="20" spans="1:25" x14ac:dyDescent="0.25">
      <c r="A20" s="1379"/>
      <c r="B20" s="260" t="s">
        <v>165</v>
      </c>
      <c r="C20" s="641">
        <f>'Baseline injuries'!D35+'Baseline injuries'!M43+'Baseline injuries'!V51</f>
        <v>6</v>
      </c>
      <c r="D20" s="251">
        <f>'Baseline injuries'!E35+'Baseline injuries'!N43+'Baseline injuries'!W51</f>
        <v>4.5999999999999996</v>
      </c>
      <c r="E20" s="251">
        <f>'Baseline injuries'!F35+'Baseline injuries'!O43+'Baseline injuries'!X51</f>
        <v>0.4</v>
      </c>
      <c r="F20" s="251">
        <f>'Baseline injuries'!G35+'Baseline injuries'!P43+'Baseline injuries'!Y51</f>
        <v>31.2</v>
      </c>
      <c r="G20" s="251">
        <f>'Baseline injuries'!H35+'Baseline injuries'!Q43+'Baseline injuries'!Z51</f>
        <v>0.4</v>
      </c>
      <c r="H20" s="251">
        <f>'Baseline injuries'!I35+'Baseline injuries'!R43+'Baseline injuries'!AA51</f>
        <v>0</v>
      </c>
      <c r="I20" s="251">
        <f>'Baseline injuries'!J35+'Baseline injuries'!S43+'Baseline injuries'!AB51</f>
        <v>2.2000000000000002</v>
      </c>
      <c r="J20" s="251">
        <f>'Baseline injuries'!K35+'Baseline injuries'!T43+'Baseline injuries'!AC51</f>
        <v>0</v>
      </c>
      <c r="K20" s="251">
        <f>'Baseline injuries'!L35+'Baseline injuries'!U43+'Baseline injuries'!AD51</f>
        <v>3.6</v>
      </c>
      <c r="L20" s="245">
        <f t="shared" si="4"/>
        <v>48.400000000000006</v>
      </c>
      <c r="N20" s="1379"/>
      <c r="O20" s="260" t="s">
        <v>165</v>
      </c>
      <c r="P20" s="641" t="e">
        <f>'Scenario Injuries'!D34+'Scenario Injuries'!M42+'Scenario Injuries'!V50</f>
        <v>#REF!</v>
      </c>
      <c r="Q20" s="251" t="e">
        <f>'Scenario Injuries'!E34+'Scenario Injuries'!N42+'Scenario Injuries'!W50</f>
        <v>#REF!</v>
      </c>
      <c r="R20" s="251" t="e">
        <f>'Scenario Injuries'!F34+'Scenario Injuries'!O42+'Scenario Injuries'!X50</f>
        <v>#REF!</v>
      </c>
      <c r="S20" s="251" t="e">
        <f>'Scenario Injuries'!G34+'Scenario Injuries'!P42+'Scenario Injuries'!Y50</f>
        <v>#REF!</v>
      </c>
      <c r="T20" s="251" t="e">
        <f>'Scenario Injuries'!H34+'Scenario Injuries'!Q42+'Scenario Injuries'!Z50</f>
        <v>#REF!</v>
      </c>
      <c r="U20" s="251">
        <f>'Scenario Injuries'!I34+'Scenario Injuries'!R42+'Scenario Injuries'!AA50</f>
        <v>0</v>
      </c>
      <c r="V20" s="251" t="e">
        <f>'Scenario Injuries'!J34+'Scenario Injuries'!S42+'Scenario Injuries'!AB50</f>
        <v>#REF!</v>
      </c>
      <c r="W20" s="251">
        <f>'Scenario Injuries'!K34+'Scenario Injuries'!T42+'Scenario Injuries'!AC50</f>
        <v>0</v>
      </c>
      <c r="X20" s="251" t="e">
        <f>'Scenario Injuries'!L34+'Scenario Injuries'!U42+'Scenario Injuries'!AD50</f>
        <v>#REF!</v>
      </c>
      <c r="Y20" s="245" t="e">
        <f t="shared" si="5"/>
        <v>#REF!</v>
      </c>
    </row>
    <row r="21" spans="1:25" x14ac:dyDescent="0.25">
      <c r="A21" s="1379"/>
      <c r="B21" s="260" t="s">
        <v>163</v>
      </c>
      <c r="C21" s="641">
        <f>'Baseline injuries'!D36+'Baseline injuries'!M44+'Baseline injuries'!V52</f>
        <v>0.2</v>
      </c>
      <c r="D21" s="251">
        <f>'Baseline injuries'!E36+'Baseline injuries'!N44+'Baseline injuries'!W52</f>
        <v>0</v>
      </c>
      <c r="E21" s="251">
        <f>'Baseline injuries'!F36+'Baseline injuries'!O44+'Baseline injuries'!X52</f>
        <v>0</v>
      </c>
      <c r="F21" s="251">
        <f>'Baseline injuries'!G36+'Baseline injuries'!P44+'Baseline injuries'!Y52</f>
        <v>0</v>
      </c>
      <c r="G21" s="251">
        <f>'Baseline injuries'!H36+'Baseline injuries'!Q44+'Baseline injuries'!Z52</f>
        <v>0</v>
      </c>
      <c r="H21" s="251">
        <f>'Baseline injuries'!I36+'Baseline injuries'!R44+'Baseline injuries'!AA52</f>
        <v>0</v>
      </c>
      <c r="I21" s="251">
        <f>'Baseline injuries'!J36+'Baseline injuries'!S44+'Baseline injuries'!AB52</f>
        <v>0</v>
      </c>
      <c r="J21" s="251">
        <f>'Baseline injuries'!K36+'Baseline injuries'!T44+'Baseline injuries'!AC52</f>
        <v>0</v>
      </c>
      <c r="K21" s="251">
        <f>'Baseline injuries'!L36+'Baseline injuries'!U44+'Baseline injuries'!AD52</f>
        <v>0.2</v>
      </c>
      <c r="L21" s="245">
        <f t="shared" si="4"/>
        <v>0.4</v>
      </c>
      <c r="N21" s="1379"/>
      <c r="O21" s="260" t="s">
        <v>163</v>
      </c>
      <c r="P21" s="641" t="e">
        <f>'Scenario Injuries'!D35+'Scenario Injuries'!M43+'Scenario Injuries'!V51</f>
        <v>#DIV/0!</v>
      </c>
      <c r="Q21" s="251" t="e">
        <f>'Scenario Injuries'!E35+'Scenario Injuries'!N43+'Scenario Injuries'!W51</f>
        <v>#DIV/0!</v>
      </c>
      <c r="R21" s="251" t="e">
        <f>'Scenario Injuries'!F35+'Scenario Injuries'!O43+'Scenario Injuries'!X51</f>
        <v>#DIV/0!</v>
      </c>
      <c r="S21" s="251" t="e">
        <f>'Scenario Injuries'!G35+'Scenario Injuries'!P43+'Scenario Injuries'!Y51</f>
        <v>#DIV/0!</v>
      </c>
      <c r="T21" s="251" t="e">
        <f>'Scenario Injuries'!H35+'Scenario Injuries'!Q43+'Scenario Injuries'!Z51</f>
        <v>#DIV/0!</v>
      </c>
      <c r="U21" s="251">
        <f>'Scenario Injuries'!I35+'Scenario Injuries'!R43+'Scenario Injuries'!AA51</f>
        <v>0</v>
      </c>
      <c r="V21" s="251" t="e">
        <f>'Scenario Injuries'!J35+'Scenario Injuries'!S43+'Scenario Injuries'!AB51</f>
        <v>#DIV/0!</v>
      </c>
      <c r="W21" s="251">
        <f>'Scenario Injuries'!K35+'Scenario Injuries'!T43+'Scenario Injuries'!AC51</f>
        <v>0</v>
      </c>
      <c r="X21" s="251" t="e">
        <f>'Scenario Injuries'!L35+'Scenario Injuries'!U43+'Scenario Injuries'!AD51</f>
        <v>#DIV/0!</v>
      </c>
      <c r="Y21" s="245" t="e">
        <f t="shared" si="5"/>
        <v>#DIV/0!</v>
      </c>
    </row>
    <row r="22" spans="1:25" x14ac:dyDescent="0.25">
      <c r="A22" s="1379"/>
      <c r="B22" s="260" t="s">
        <v>164</v>
      </c>
      <c r="C22" s="641">
        <f>'Baseline injuries'!D37+'Baseline injuries'!M45+'Baseline injuries'!V53</f>
        <v>0</v>
      </c>
      <c r="D22" s="251">
        <f>'Baseline injuries'!E37+'Baseline injuries'!N45+'Baseline injuries'!W53</f>
        <v>0</v>
      </c>
      <c r="E22" s="251">
        <f>'Baseline injuries'!F37+'Baseline injuries'!O45+'Baseline injuries'!X53</f>
        <v>0</v>
      </c>
      <c r="F22" s="251">
        <f>'Baseline injuries'!G37+'Baseline injuries'!P45+'Baseline injuries'!Y53</f>
        <v>0</v>
      </c>
      <c r="G22" s="251">
        <f>'Baseline injuries'!H37+'Baseline injuries'!Q45+'Baseline injuries'!Z53</f>
        <v>0</v>
      </c>
      <c r="H22" s="251">
        <f>'Baseline injuries'!I37+'Baseline injuries'!R45+'Baseline injuries'!AA53</f>
        <v>0</v>
      </c>
      <c r="I22" s="251">
        <f>'Baseline injuries'!J37+'Baseline injuries'!S45+'Baseline injuries'!AB53</f>
        <v>0</v>
      </c>
      <c r="J22" s="251">
        <f>'Baseline injuries'!K37+'Baseline injuries'!T45+'Baseline injuries'!AC53</f>
        <v>0</v>
      </c>
      <c r="K22" s="251">
        <f>'Baseline injuries'!L37+'Baseline injuries'!U45+'Baseline injuries'!AD53</f>
        <v>0</v>
      </c>
      <c r="L22" s="245">
        <f t="shared" si="4"/>
        <v>0</v>
      </c>
      <c r="N22" s="1379"/>
      <c r="O22" s="260" t="s">
        <v>164</v>
      </c>
      <c r="P22" s="641">
        <f>'Scenario Injuries'!D36+'Scenario Injuries'!M44+'Scenario Injuries'!V52</f>
        <v>0</v>
      </c>
      <c r="Q22" s="251">
        <f>'Scenario Injuries'!E36+'Scenario Injuries'!N44+'Scenario Injuries'!W52</f>
        <v>0</v>
      </c>
      <c r="R22" s="251">
        <f>'Scenario Injuries'!F36+'Scenario Injuries'!O44+'Scenario Injuries'!X52</f>
        <v>0</v>
      </c>
      <c r="S22" s="251">
        <f>'Scenario Injuries'!G36+'Scenario Injuries'!P44+'Scenario Injuries'!Y52</f>
        <v>0</v>
      </c>
      <c r="T22" s="251">
        <f>'Scenario Injuries'!H36+'Scenario Injuries'!Q44+'Scenario Injuries'!Z52</f>
        <v>0</v>
      </c>
      <c r="U22" s="251">
        <f>'Scenario Injuries'!I36+'Scenario Injuries'!R44+'Scenario Injuries'!AA52</f>
        <v>0</v>
      </c>
      <c r="V22" s="251">
        <f>'Scenario Injuries'!J36+'Scenario Injuries'!S44+'Scenario Injuries'!AB52</f>
        <v>0</v>
      </c>
      <c r="W22" s="251">
        <f>'Scenario Injuries'!K36+'Scenario Injuries'!T44+'Scenario Injuries'!AC52</f>
        <v>0</v>
      </c>
      <c r="X22" s="251">
        <f>'Scenario Injuries'!L36+'Scenario Injuries'!U44+'Scenario Injuries'!AD52</f>
        <v>0</v>
      </c>
      <c r="Y22" s="245">
        <f t="shared" si="5"/>
        <v>0</v>
      </c>
    </row>
    <row r="23" spans="1:25" x14ac:dyDescent="0.25">
      <c r="A23" s="1379"/>
      <c r="B23" s="260" t="s">
        <v>143</v>
      </c>
      <c r="C23" s="641">
        <f>'Baseline injuries'!D38+'Baseline injuries'!M46+'Baseline injuries'!V54</f>
        <v>0</v>
      </c>
      <c r="D23" s="251">
        <f>'Baseline injuries'!E38+'Baseline injuries'!N46+'Baseline injuries'!W54</f>
        <v>0</v>
      </c>
      <c r="E23" s="251">
        <f>'Baseline injuries'!F38+'Baseline injuries'!O46+'Baseline injuries'!X54</f>
        <v>0</v>
      </c>
      <c r="F23" s="251">
        <f>'Baseline injuries'!G38+'Baseline injuries'!P46+'Baseline injuries'!Y54</f>
        <v>1.9999999999999998</v>
      </c>
      <c r="G23" s="251">
        <f>'Baseline injuries'!H38+'Baseline injuries'!Q46+'Baseline injuries'!Z54</f>
        <v>0</v>
      </c>
      <c r="H23" s="251">
        <f>'Baseline injuries'!I38+'Baseline injuries'!R46+'Baseline injuries'!AA54</f>
        <v>0</v>
      </c>
      <c r="I23" s="251">
        <f>'Baseline injuries'!J38+'Baseline injuries'!S46+'Baseline injuries'!AB54</f>
        <v>0.2</v>
      </c>
      <c r="J23" s="251">
        <f>'Baseline injuries'!K38+'Baseline injuries'!T46+'Baseline injuries'!AC54</f>
        <v>0</v>
      </c>
      <c r="K23" s="251">
        <f>'Baseline injuries'!L38+'Baseline injuries'!U46+'Baseline injuries'!AD54</f>
        <v>2</v>
      </c>
      <c r="L23" s="245">
        <f t="shared" si="4"/>
        <v>4.1999999999999993</v>
      </c>
      <c r="N23" s="1379"/>
      <c r="O23" s="260" t="s">
        <v>143</v>
      </c>
      <c r="P23" s="641" t="e">
        <f>'Scenario Injuries'!D37+'Scenario Injuries'!M45+'Scenario Injuries'!V53</f>
        <v>#REF!</v>
      </c>
      <c r="Q23" s="251" t="e">
        <f>'Scenario Injuries'!E37+'Scenario Injuries'!N45+'Scenario Injuries'!W53</f>
        <v>#REF!</v>
      </c>
      <c r="R23" s="251">
        <f>'Scenario Injuries'!F37+'Scenario Injuries'!O45+'Scenario Injuries'!X53</f>
        <v>0</v>
      </c>
      <c r="S23" s="251" t="e">
        <f>'Scenario Injuries'!G37+'Scenario Injuries'!P45+'Scenario Injuries'!Y53</f>
        <v>#REF!</v>
      </c>
      <c r="T23" s="251" t="e">
        <f>'Scenario Injuries'!H37+'Scenario Injuries'!Q45+'Scenario Injuries'!Z53</f>
        <v>#DIV/0!</v>
      </c>
      <c r="U23" s="251">
        <f>'Scenario Injuries'!I37+'Scenario Injuries'!R45+'Scenario Injuries'!AA53</f>
        <v>0</v>
      </c>
      <c r="V23" s="251">
        <f>'Scenario Injuries'!J37+'Scenario Injuries'!S45+'Scenario Injuries'!AB53</f>
        <v>0</v>
      </c>
      <c r="W23" s="251">
        <f>'Scenario Injuries'!K37+'Scenario Injuries'!T45+'Scenario Injuries'!AC53</f>
        <v>0</v>
      </c>
      <c r="X23" s="251">
        <f>'Scenario Injuries'!L37+'Scenario Injuries'!U45+'Scenario Injuries'!AD53</f>
        <v>0</v>
      </c>
      <c r="Y23" s="245" t="e">
        <f t="shared" si="5"/>
        <v>#REF!</v>
      </c>
    </row>
    <row r="24" spans="1:25" x14ac:dyDescent="0.25">
      <c r="A24" s="1379"/>
      <c r="B24" s="262" t="s">
        <v>123</v>
      </c>
      <c r="C24" s="641">
        <f>'Baseline injuries'!D39+'Baseline injuries'!M47+'Baseline injuries'!V55</f>
        <v>0</v>
      </c>
      <c r="D24" s="251">
        <f>'Baseline injuries'!E39+'Baseline injuries'!N47+'Baseline injuries'!W55</f>
        <v>0</v>
      </c>
      <c r="E24" s="251">
        <f>'Baseline injuries'!F39+'Baseline injuries'!O47+'Baseline injuries'!X55</f>
        <v>0</v>
      </c>
      <c r="F24" s="251">
        <f>'Baseline injuries'!G39+'Baseline injuries'!P47+'Baseline injuries'!Y55</f>
        <v>0</v>
      </c>
      <c r="G24" s="251">
        <f>'Baseline injuries'!H39+'Baseline injuries'!Q47+'Baseline injuries'!Z55</f>
        <v>0</v>
      </c>
      <c r="H24" s="251">
        <f>'Baseline injuries'!I39+'Baseline injuries'!R47+'Baseline injuries'!AA55</f>
        <v>0</v>
      </c>
      <c r="I24" s="251">
        <f>'Baseline injuries'!J39+'Baseline injuries'!S47+'Baseline injuries'!AB55</f>
        <v>0</v>
      </c>
      <c r="J24" s="251">
        <f>'Baseline injuries'!K39+'Baseline injuries'!T47+'Baseline injuries'!AC55</f>
        <v>0</v>
      </c>
      <c r="K24" s="251">
        <f>'Baseline injuries'!L39+'Baseline injuries'!U47+'Baseline injuries'!AD55</f>
        <v>0</v>
      </c>
      <c r="L24" s="245">
        <f t="shared" si="4"/>
        <v>0</v>
      </c>
      <c r="N24" s="1379"/>
      <c r="O24" s="262" t="s">
        <v>123</v>
      </c>
      <c r="P24" s="641">
        <f>'Scenario Injuries'!D38+'Scenario Injuries'!M46+'Scenario Injuries'!V54</f>
        <v>0</v>
      </c>
      <c r="Q24" s="251">
        <f>'Scenario Injuries'!E38+'Scenario Injuries'!N46+'Scenario Injuries'!W54</f>
        <v>0</v>
      </c>
      <c r="R24" s="251">
        <f>'Scenario Injuries'!F38+'Scenario Injuries'!O46+'Scenario Injuries'!X54</f>
        <v>0</v>
      </c>
      <c r="S24" s="251">
        <f>'Scenario Injuries'!G38+'Scenario Injuries'!P46+'Scenario Injuries'!Y54</f>
        <v>0</v>
      </c>
      <c r="T24" s="251">
        <f>'Scenario Injuries'!H38+'Scenario Injuries'!Q46+'Scenario Injuries'!Z54</f>
        <v>0</v>
      </c>
      <c r="U24" s="251">
        <f>'Scenario Injuries'!I38+'Scenario Injuries'!R46+'Scenario Injuries'!AA54</f>
        <v>0</v>
      </c>
      <c r="V24" s="251">
        <f>'Scenario Injuries'!J38+'Scenario Injuries'!S46+'Scenario Injuries'!AB54</f>
        <v>0</v>
      </c>
      <c r="W24" s="251">
        <f>'Scenario Injuries'!K38+'Scenario Injuries'!T46+'Scenario Injuries'!AC54</f>
        <v>0</v>
      </c>
      <c r="X24" s="251">
        <f>'Scenario Injuries'!L38+'Scenario Injuries'!U46+'Scenario Injuries'!AD54</f>
        <v>0</v>
      </c>
      <c r="Y24" s="245">
        <f t="shared" si="5"/>
        <v>0</v>
      </c>
    </row>
    <row r="25" spans="1:25" x14ac:dyDescent="0.25">
      <c r="B25" s="261" t="s">
        <v>182</v>
      </c>
      <c r="C25" s="251">
        <f>SUM(C17:C24)</f>
        <v>6.2</v>
      </c>
      <c r="D25" s="251">
        <f t="shared" ref="D25:K25" si="6">SUM(D17:D24)</f>
        <v>4.5999999999999996</v>
      </c>
      <c r="E25" s="251">
        <f t="shared" si="6"/>
        <v>0.4</v>
      </c>
      <c r="F25" s="251">
        <f t="shared" si="6"/>
        <v>35.6</v>
      </c>
      <c r="G25" s="251">
        <f t="shared" si="6"/>
        <v>0.60000000000000009</v>
      </c>
      <c r="H25" s="251">
        <f t="shared" si="6"/>
        <v>0</v>
      </c>
      <c r="I25" s="251">
        <f t="shared" si="6"/>
        <v>2.4000000000000004</v>
      </c>
      <c r="J25" s="251">
        <f t="shared" si="6"/>
        <v>0</v>
      </c>
      <c r="K25" s="251">
        <f t="shared" si="6"/>
        <v>5.8000000000000007</v>
      </c>
      <c r="L25" s="245">
        <f>SUM(L17:L24)</f>
        <v>55.600000000000009</v>
      </c>
      <c r="O25" s="261" t="s">
        <v>74</v>
      </c>
      <c r="P25" s="251" t="e">
        <f t="shared" ref="P25:Y25" si="7">SUM(P17:P24)</f>
        <v>#REF!</v>
      </c>
      <c r="Q25" s="251" t="e">
        <f t="shared" si="7"/>
        <v>#REF!</v>
      </c>
      <c r="R25" s="251" t="e">
        <f t="shared" si="7"/>
        <v>#REF!</v>
      </c>
      <c r="S25" s="251" t="e">
        <f t="shared" si="7"/>
        <v>#REF!</v>
      </c>
      <c r="T25" s="251" t="e">
        <f t="shared" si="7"/>
        <v>#REF!</v>
      </c>
      <c r="U25" s="251">
        <f t="shared" si="7"/>
        <v>0</v>
      </c>
      <c r="V25" s="251" t="e">
        <f t="shared" si="7"/>
        <v>#REF!</v>
      </c>
      <c r="W25" s="251">
        <f t="shared" si="7"/>
        <v>0</v>
      </c>
      <c r="X25" s="251" t="e">
        <f t="shared" si="7"/>
        <v>#REF!</v>
      </c>
      <c r="Y25" s="245" t="e">
        <f t="shared" si="7"/>
        <v>#REF!</v>
      </c>
    </row>
    <row r="28" spans="1:25" x14ac:dyDescent="0.25">
      <c r="C28" s="1397" t="s">
        <v>183</v>
      </c>
      <c r="D28" s="1398"/>
      <c r="F28" s="260" t="s">
        <v>184</v>
      </c>
      <c r="G28" s="260"/>
    </row>
    <row r="29" spans="1:25" ht="15.75" thickBot="1" x14ac:dyDescent="0.3">
      <c r="C29" s="282" t="s">
        <v>58</v>
      </c>
      <c r="D29" s="282" t="s">
        <v>62</v>
      </c>
      <c r="E29" s="282" t="s">
        <v>145</v>
      </c>
      <c r="F29" s="282" t="s">
        <v>185</v>
      </c>
      <c r="G29" s="282" t="s">
        <v>62</v>
      </c>
      <c r="H29" s="284" t="s">
        <v>145</v>
      </c>
    </row>
    <row r="30" spans="1:25" x14ac:dyDescent="0.25">
      <c r="B30" s="259" t="s">
        <v>93</v>
      </c>
      <c r="C30" s="641">
        <f>L5</f>
        <v>3.4</v>
      </c>
      <c r="D30" s="641" t="e">
        <f>Y5</f>
        <v>#REF!</v>
      </c>
      <c r="E30" s="283" t="e">
        <f>D30/C30</f>
        <v>#REF!</v>
      </c>
      <c r="F30" s="641">
        <f>L17</f>
        <v>1</v>
      </c>
      <c r="G30" s="641" t="e">
        <f>Y17</f>
        <v>#REF!</v>
      </c>
      <c r="H30" s="283" t="e">
        <f>G30/F30</f>
        <v>#REF!</v>
      </c>
    </row>
    <row r="31" spans="1:25" x14ac:dyDescent="0.25">
      <c r="B31" s="260" t="s">
        <v>94</v>
      </c>
      <c r="C31" s="641">
        <f t="shared" ref="C31:C38" si="8">L6</f>
        <v>1</v>
      </c>
      <c r="D31" s="641" t="e">
        <f t="shared" ref="D31:D38" si="9">Y6</f>
        <v>#REF!</v>
      </c>
      <c r="E31" s="283" t="e">
        <f t="shared" ref="E31:E38" si="10">D31/C31</f>
        <v>#REF!</v>
      </c>
      <c r="F31" s="641">
        <f t="shared" ref="F31:F38" si="11">L18</f>
        <v>1.6</v>
      </c>
      <c r="G31" s="641" t="e">
        <f t="shared" ref="G31:G38" si="12">Y18</f>
        <v>#REF!</v>
      </c>
      <c r="H31" s="283" t="e">
        <f t="shared" ref="H31:H38" si="13">G31/F31</f>
        <v>#REF!</v>
      </c>
    </row>
    <row r="32" spans="1:25" x14ac:dyDescent="0.25">
      <c r="B32" s="261" t="s">
        <v>95</v>
      </c>
      <c r="C32" s="641">
        <f t="shared" si="8"/>
        <v>0</v>
      </c>
      <c r="D32" s="641" t="e">
        <f t="shared" si="9"/>
        <v>#REF!</v>
      </c>
      <c r="E32" s="283">
        <f>IF(C32=0,0,D32/C32)</f>
        <v>0</v>
      </c>
      <c r="F32" s="641">
        <f t="shared" si="11"/>
        <v>0</v>
      </c>
      <c r="G32" s="641" t="e">
        <f t="shared" si="12"/>
        <v>#REF!</v>
      </c>
      <c r="H32" s="283">
        <f>IF(F32=0,0,G32/F32)</f>
        <v>0</v>
      </c>
    </row>
    <row r="33" spans="2:10" x14ac:dyDescent="0.25">
      <c r="B33" s="260" t="s">
        <v>165</v>
      </c>
      <c r="C33" s="641">
        <f t="shared" si="8"/>
        <v>4.6000000000000005</v>
      </c>
      <c r="D33" s="641" t="e">
        <f t="shared" si="9"/>
        <v>#REF!</v>
      </c>
      <c r="E33" s="283" t="e">
        <f t="shared" si="10"/>
        <v>#REF!</v>
      </c>
      <c r="F33" s="641">
        <f t="shared" si="11"/>
        <v>48.400000000000006</v>
      </c>
      <c r="G33" s="641" t="e">
        <f t="shared" si="12"/>
        <v>#REF!</v>
      </c>
      <c r="H33" s="283" t="e">
        <f t="shared" si="13"/>
        <v>#REF!</v>
      </c>
    </row>
    <row r="34" spans="2:10" x14ac:dyDescent="0.25">
      <c r="B34" s="260" t="s">
        <v>163</v>
      </c>
      <c r="C34" s="641">
        <f t="shared" si="8"/>
        <v>0.4</v>
      </c>
      <c r="D34" s="641" t="e">
        <f t="shared" si="9"/>
        <v>#DIV/0!</v>
      </c>
      <c r="E34" s="283" t="e">
        <f t="shared" si="10"/>
        <v>#DIV/0!</v>
      </c>
      <c r="F34" s="641">
        <f t="shared" si="11"/>
        <v>0.4</v>
      </c>
      <c r="G34" s="641" t="e">
        <f t="shared" si="12"/>
        <v>#DIV/0!</v>
      </c>
      <c r="H34" s="283" t="e">
        <f t="shared" si="13"/>
        <v>#DIV/0!</v>
      </c>
    </row>
    <row r="35" spans="2:10" x14ac:dyDescent="0.25">
      <c r="B35" s="260" t="s">
        <v>164</v>
      </c>
      <c r="C35" s="641"/>
      <c r="D35" s="641"/>
      <c r="E35" s="283"/>
      <c r="F35" s="641"/>
      <c r="G35" s="641"/>
      <c r="H35" s="283"/>
    </row>
    <row r="36" spans="2:10" x14ac:dyDescent="0.25">
      <c r="B36" s="260" t="s">
        <v>143</v>
      </c>
      <c r="C36" s="641">
        <f t="shared" si="8"/>
        <v>0.2</v>
      </c>
      <c r="D36" s="641" t="e">
        <f t="shared" si="9"/>
        <v>#REF!</v>
      </c>
      <c r="E36" s="283" t="e">
        <f t="shared" si="10"/>
        <v>#REF!</v>
      </c>
      <c r="F36" s="641">
        <f t="shared" si="11"/>
        <v>4.1999999999999993</v>
      </c>
      <c r="G36" s="641" t="e">
        <f t="shared" si="12"/>
        <v>#REF!</v>
      </c>
      <c r="H36" s="283" t="e">
        <f t="shared" si="13"/>
        <v>#REF!</v>
      </c>
    </row>
    <row r="37" spans="2:10" x14ac:dyDescent="0.25">
      <c r="B37" s="262" t="s">
        <v>123</v>
      </c>
      <c r="C37" s="641"/>
      <c r="D37" s="641"/>
      <c r="E37" s="283"/>
      <c r="F37" s="251"/>
      <c r="G37" s="641"/>
      <c r="H37" s="283"/>
    </row>
    <row r="38" spans="2:10" ht="15.75" x14ac:dyDescent="0.25">
      <c r="B38" s="285" t="s">
        <v>182</v>
      </c>
      <c r="C38" s="286">
        <f t="shared" si="8"/>
        <v>9.6</v>
      </c>
      <c r="D38" s="286" t="e">
        <f t="shared" si="9"/>
        <v>#REF!</v>
      </c>
      <c r="E38" s="287" t="e">
        <f t="shared" si="10"/>
        <v>#REF!</v>
      </c>
      <c r="F38" s="286">
        <f t="shared" si="11"/>
        <v>55.600000000000009</v>
      </c>
      <c r="G38" s="286" t="e">
        <f t="shared" si="12"/>
        <v>#REF!</v>
      </c>
      <c r="H38" s="287" t="e">
        <f t="shared" si="13"/>
        <v>#REF!</v>
      </c>
    </row>
    <row r="40" spans="2:10" x14ac:dyDescent="0.25">
      <c r="I40" s="133"/>
      <c r="J40" s="133"/>
    </row>
    <row r="41" spans="2:10" x14ac:dyDescent="0.25">
      <c r="C41" s="245"/>
      <c r="D41" s="245"/>
      <c r="F41" s="245"/>
      <c r="G41" s="245"/>
      <c r="I41" s="247"/>
      <c r="J41" s="247"/>
    </row>
  </sheetData>
  <mergeCells count="14">
    <mergeCell ref="A1:H1"/>
    <mergeCell ref="C15:J15"/>
    <mergeCell ref="A17:A24"/>
    <mergeCell ref="C28:D28"/>
    <mergeCell ref="A3:B4"/>
    <mergeCell ref="C3:J3"/>
    <mergeCell ref="A5:A12"/>
    <mergeCell ref="A15:B16"/>
    <mergeCell ref="N17:N24"/>
    <mergeCell ref="N3:O4"/>
    <mergeCell ref="P3:W3"/>
    <mergeCell ref="N5:N12"/>
    <mergeCell ref="N15:O16"/>
    <mergeCell ref="P15:W15"/>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5"/>
  <sheetViews>
    <sheetView zoomScaleNormal="100" workbookViewId="0"/>
  </sheetViews>
  <sheetFormatPr defaultColWidth="9.140625" defaultRowHeight="15" x14ac:dyDescent="0.25"/>
  <cols>
    <col min="1" max="2" width="11.140625" style="10" customWidth="1"/>
    <col min="3" max="3" width="10.5703125" style="10" customWidth="1"/>
    <col min="4" max="4" width="13" style="10" customWidth="1"/>
    <col min="5" max="5" width="16" style="492" customWidth="1"/>
    <col min="6" max="6" width="16" style="10" customWidth="1"/>
    <col min="7" max="7" width="8.85546875" style="12" customWidth="1"/>
    <col min="8" max="8" width="12.140625" style="10" customWidth="1"/>
    <col min="9" max="9" width="11" style="10" customWidth="1"/>
    <col min="10" max="10" width="13" style="12" customWidth="1"/>
    <col min="11" max="11" width="12.42578125" style="10" customWidth="1"/>
    <col min="12" max="12" width="9" style="10" customWidth="1"/>
    <col min="13" max="14" width="6" style="10" customWidth="1"/>
    <col min="15" max="16384" width="9.140625" style="10"/>
  </cols>
  <sheetData>
    <row r="1" spans="1:21" s="13" customFormat="1" ht="46.5" customHeight="1" x14ac:dyDescent="0.2">
      <c r="A1" s="20"/>
      <c r="B1" s="20"/>
      <c r="C1" s="20"/>
      <c r="D1" s="227" t="s">
        <v>148</v>
      </c>
      <c r="E1" s="490"/>
      <c r="F1" s="224" t="s">
        <v>54</v>
      </c>
      <c r="G1" s="225" t="s">
        <v>75</v>
      </c>
      <c r="H1" s="224" t="s">
        <v>152</v>
      </c>
      <c r="I1" s="224" t="s">
        <v>150</v>
      </c>
      <c r="J1" s="225" t="s">
        <v>151</v>
      </c>
      <c r="K1" s="225" t="s">
        <v>153</v>
      </c>
      <c r="L1" s="1357" t="s">
        <v>49</v>
      </c>
      <c r="M1" s="1357"/>
      <c r="N1" s="1357"/>
      <c r="O1" s="1357"/>
      <c r="U1" s="13">
        <f>'user page'!U1</f>
        <v>1</v>
      </c>
    </row>
    <row r="2" spans="1:21" s="23" customFormat="1" ht="44.25" customHeight="1" x14ac:dyDescent="0.2">
      <c r="A2" s="29" t="s">
        <v>48</v>
      </c>
      <c r="B2" s="29" t="s">
        <v>47</v>
      </c>
      <c r="C2" s="29" t="s">
        <v>46</v>
      </c>
      <c r="D2" s="20"/>
      <c r="E2" s="491" t="s">
        <v>149</v>
      </c>
      <c r="F2" s="224"/>
      <c r="G2" s="225"/>
      <c r="H2" s="224"/>
      <c r="I2" s="224"/>
      <c r="J2" s="224"/>
      <c r="K2" s="224"/>
      <c r="L2" s="568" t="s">
        <v>44</v>
      </c>
      <c r="M2" s="567" t="s">
        <v>43</v>
      </c>
      <c r="N2" s="567" t="s">
        <v>42</v>
      </c>
      <c r="O2" s="567" t="s">
        <v>29</v>
      </c>
    </row>
    <row r="3" spans="1:21" s="13" customFormat="1" ht="12.75" x14ac:dyDescent="0.2">
      <c r="A3" s="20">
        <v>1</v>
      </c>
      <c r="B3" s="20">
        <v>1</v>
      </c>
      <c r="C3" s="20" t="s">
        <v>2</v>
      </c>
      <c r="D3" s="20">
        <f>IF(($U$1=0),'user page'!C$43,IF(($U$1=1),'user page'!E$43,IF(($U$1=2),'user page'!G$43,IF(($U$1=3),'user page'!I$43,IF(($U$1=4),'user page'!K$43,IF(($U$1=5),'user page'!M$43,""))))))</f>
        <v>9.4</v>
      </c>
      <c r="E3" s="237"/>
      <c r="F3" s="237">
        <v>1</v>
      </c>
      <c r="G3" s="16"/>
      <c r="H3" s="17"/>
      <c r="I3" s="17"/>
      <c r="J3" s="17"/>
      <c r="K3" s="17"/>
      <c r="L3" s="23"/>
      <c r="M3" s="23"/>
      <c r="N3" s="23"/>
    </row>
    <row r="4" spans="1:21" s="13" customFormat="1" ht="12.75" x14ac:dyDescent="0.2">
      <c r="A4" s="20">
        <v>1</v>
      </c>
      <c r="B4" s="20">
        <v>1</v>
      </c>
      <c r="C4" s="20" t="s">
        <v>41</v>
      </c>
      <c r="D4" s="20"/>
      <c r="E4" s="237"/>
      <c r="F4" s="237">
        <v>1</v>
      </c>
      <c r="G4" s="16"/>
      <c r="H4" s="17"/>
      <c r="I4" s="17"/>
      <c r="J4" s="17"/>
      <c r="K4" s="17"/>
      <c r="L4" s="23"/>
      <c r="M4" s="23"/>
      <c r="N4" s="23"/>
    </row>
    <row r="5" spans="1:21" s="13" customFormat="1" ht="12.75" x14ac:dyDescent="0.2">
      <c r="A5" s="20">
        <v>1</v>
      </c>
      <c r="B5" s="20">
        <v>1</v>
      </c>
      <c r="C5" s="20" t="s">
        <v>40</v>
      </c>
      <c r="D5" s="20"/>
      <c r="E5" s="237"/>
      <c r="F5" s="237">
        <v>1</v>
      </c>
      <c r="G5" s="31"/>
      <c r="H5" s="17"/>
      <c r="I5" s="17"/>
      <c r="J5" s="17"/>
      <c r="K5" s="17"/>
      <c r="L5" s="23"/>
      <c r="M5" s="23"/>
      <c r="N5" s="23"/>
    </row>
    <row r="6" spans="1:21" s="13" customFormat="1" ht="12.75" x14ac:dyDescent="0.2">
      <c r="A6" s="20">
        <v>1</v>
      </c>
      <c r="B6" s="20">
        <v>1</v>
      </c>
      <c r="C6" s="20" t="s">
        <v>39</v>
      </c>
      <c r="D6" s="20">
        <f>IF(($U$1=0),'user page'!C$43,IF(($U$1=1),'user page'!E$43,IF(($U$1=2),'user page'!G$43,IF(($U$1=3),'user page'!I$43,IF(($U$1=4),'user page'!K$43,IF(($U$1=5),'user page'!M$43,""))))))</f>
        <v>9.4</v>
      </c>
      <c r="E6" s="565">
        <v>8.6180000000000007E-3</v>
      </c>
      <c r="F6" s="237">
        <f>EXP(E6*(D6-D23))</f>
        <v>1</v>
      </c>
      <c r="G6" s="344">
        <f>1-F6</f>
        <v>0</v>
      </c>
      <c r="H6" s="17">
        <f>$G6*GBDUS!O166</f>
        <v>0</v>
      </c>
      <c r="I6" s="17">
        <f>$G6*GBDUS!P166</f>
        <v>0</v>
      </c>
      <c r="J6" s="17">
        <v>0</v>
      </c>
      <c r="K6" s="17">
        <f t="shared" ref="K6:K18" si="0">I6+J6</f>
        <v>0</v>
      </c>
      <c r="L6" s="23"/>
      <c r="M6" s="23"/>
      <c r="N6" s="23"/>
    </row>
    <row r="7" spans="1:21" s="13" customFormat="1" ht="12.75" x14ac:dyDescent="0.2">
      <c r="A7" s="20">
        <v>1</v>
      </c>
      <c r="B7" s="20">
        <v>1</v>
      </c>
      <c r="C7" s="20" t="s">
        <v>38</v>
      </c>
      <c r="D7" s="20">
        <f>IF(($U$1=0),'user page'!C$43,IF(($U$1=1),'user page'!E$43,IF(($U$1=2),'user page'!G$43,IF(($U$1=3),'user page'!I$43,IF(($U$1=4),'user page'!K$43,IF(($U$1=5),'user page'!M$43,""))))))</f>
        <v>9.4</v>
      </c>
      <c r="E7" s="565">
        <v>8.6180000000000007E-3</v>
      </c>
      <c r="F7" s="237">
        <f>EXP(E7*(D7-D24))</f>
        <v>1</v>
      </c>
      <c r="G7" s="344">
        <f>1-F7</f>
        <v>0</v>
      </c>
      <c r="H7" s="17">
        <f>$G7*GBDUS!O167</f>
        <v>0</v>
      </c>
      <c r="I7" s="17">
        <f>$G7*GBDUS!P167</f>
        <v>0</v>
      </c>
      <c r="J7" s="17">
        <v>0</v>
      </c>
      <c r="K7" s="17">
        <f t="shared" si="0"/>
        <v>0</v>
      </c>
      <c r="L7" s="23"/>
      <c r="M7" s="23"/>
      <c r="N7" s="23"/>
    </row>
    <row r="8" spans="1:21" s="13" customFormat="1" ht="12.75" x14ac:dyDescent="0.2">
      <c r="A8" s="20">
        <v>1</v>
      </c>
      <c r="B8" s="20">
        <v>1</v>
      </c>
      <c r="C8" s="20" t="s">
        <v>37</v>
      </c>
      <c r="D8" s="20">
        <f>IF(($U$1=0),'user page'!C$43,IF(($U$1=1),'user page'!E$43,IF(($U$1=2),'user page'!G$43,IF(($U$1=3),'user page'!I$43,IF(($U$1=4),'user page'!K$43,IF(($U$1=5),'user page'!M$43,""))))))</f>
        <v>9.4</v>
      </c>
      <c r="E8" s="565">
        <v>8.6180000000000007E-3</v>
      </c>
      <c r="F8" s="237">
        <f>EXP(E8*(D8-D25))</f>
        <v>1</v>
      </c>
      <c r="G8" s="344">
        <f>1-F8</f>
        <v>0</v>
      </c>
      <c r="H8" s="17">
        <f>$G8*GBDUS!O168</f>
        <v>0</v>
      </c>
      <c r="I8" s="17">
        <f>$G8*GBDUS!P168</f>
        <v>0</v>
      </c>
      <c r="J8" s="17">
        <v>0</v>
      </c>
      <c r="K8" s="17">
        <f t="shared" si="0"/>
        <v>0</v>
      </c>
      <c r="L8" s="23"/>
      <c r="M8" s="23"/>
      <c r="N8" s="23"/>
    </row>
    <row r="9" spans="1:21" s="13" customFormat="1" ht="12.75" x14ac:dyDescent="0.2">
      <c r="A9" s="20">
        <v>1</v>
      </c>
      <c r="B9" s="20">
        <v>1</v>
      </c>
      <c r="C9" s="20" t="s">
        <v>36</v>
      </c>
      <c r="D9" s="20">
        <f>IF(($U$1=0),'user page'!C$43,IF(($U$1=1),'user page'!E$43,IF(($U$1=2),'user page'!G$43,IF(($U$1=3),'user page'!I$43,IF(($U$1=4),'user page'!K$43,IF(($U$1=5),'user page'!M$43,""))))))</f>
        <v>9.4</v>
      </c>
      <c r="E9" s="565">
        <v>8.6180000000000007E-3</v>
      </c>
      <c r="F9" s="237">
        <f>EXP(E9*(D9-D26))</f>
        <v>1</v>
      </c>
      <c r="G9" s="344">
        <f>1-F9</f>
        <v>0</v>
      </c>
      <c r="H9" s="17">
        <f>$G9*GBDUS!O169</f>
        <v>0</v>
      </c>
      <c r="I9" s="17">
        <f>$G9*GBDUS!P169</f>
        <v>0</v>
      </c>
      <c r="J9" s="17">
        <v>0</v>
      </c>
      <c r="K9" s="17">
        <f t="shared" si="0"/>
        <v>0</v>
      </c>
      <c r="L9" s="23"/>
      <c r="M9" s="23"/>
      <c r="N9" s="23"/>
    </row>
    <row r="10" spans="1:21" s="13" customFormat="1" ht="12.75" x14ac:dyDescent="0.2">
      <c r="A10" s="20">
        <v>1</v>
      </c>
      <c r="B10" s="20">
        <v>1</v>
      </c>
      <c r="C10" s="20" t="s">
        <v>35</v>
      </c>
      <c r="D10" s="20">
        <f>IF(($U$1=0),'user page'!C$43,IF(($U$1=1),'user page'!E$43,IF(($U$1=2),'user page'!G$43,IF(($U$1=3),'user page'!I$43,IF(($U$1=4),'user page'!K$43,IF(($U$1=5),'user page'!M$43,""))))))</f>
        <v>9.4</v>
      </c>
      <c r="E10" s="565">
        <v>8.6180000000000007E-3</v>
      </c>
      <c r="F10" s="237">
        <f>EXP(E10*(D10-D27))</f>
        <v>1</v>
      </c>
      <c r="G10" s="344">
        <f>1-F10</f>
        <v>0</v>
      </c>
      <c r="H10" s="17">
        <f>$G10*GBDUS!O170</f>
        <v>0</v>
      </c>
      <c r="I10" s="17">
        <f>$G10*GBDUS!P170</f>
        <v>0</v>
      </c>
      <c r="J10" s="17">
        <v>0</v>
      </c>
      <c r="K10" s="17">
        <f t="shared" si="0"/>
        <v>0</v>
      </c>
      <c r="L10" s="23"/>
      <c r="M10" s="23"/>
      <c r="N10" s="23"/>
    </row>
    <row r="11" spans="1:21" s="13" customFormat="1" ht="12.75" x14ac:dyDescent="0.2">
      <c r="A11" s="20">
        <v>1</v>
      </c>
      <c r="B11" s="20">
        <v>2</v>
      </c>
      <c r="C11" s="20" t="s">
        <v>2</v>
      </c>
      <c r="D11" s="20">
        <f>IF(($U$1=0),'user page'!C$43,IF(($U$1=1),'user page'!E$43,IF(($U$1=2),'user page'!G$43,IF(($U$1=3),'user page'!I$43,IF(($U$1=4),'user page'!K$43,IF(($U$1=5),'user page'!M$43,""))))))</f>
        <v>9.4</v>
      </c>
      <c r="E11" s="237"/>
      <c r="F11" s="237">
        <v>1</v>
      </c>
      <c r="G11" s="344"/>
      <c r="J11" s="17">
        <v>0</v>
      </c>
      <c r="L11" s="17">
        <f>SUM(H5:H10)</f>
        <v>0</v>
      </c>
      <c r="M11" s="17">
        <f>SUM(I5:I10)</f>
        <v>0</v>
      </c>
      <c r="N11" s="17">
        <f>SUM(J5:J10)</f>
        <v>0</v>
      </c>
      <c r="O11" s="17">
        <f>M11+N11</f>
        <v>0</v>
      </c>
    </row>
    <row r="12" spans="1:21" s="13" customFormat="1" ht="12.75" x14ac:dyDescent="0.2">
      <c r="A12" s="20">
        <v>1</v>
      </c>
      <c r="B12" s="20">
        <v>2</v>
      </c>
      <c r="C12" s="20" t="s">
        <v>41</v>
      </c>
      <c r="D12" s="20"/>
      <c r="E12" s="237"/>
      <c r="F12" s="237">
        <v>1</v>
      </c>
      <c r="G12" s="344"/>
      <c r="H12" s="17"/>
      <c r="I12" s="17"/>
      <c r="J12" s="17">
        <v>0</v>
      </c>
      <c r="K12" s="17">
        <f t="shared" si="0"/>
        <v>0</v>
      </c>
      <c r="L12" s="23"/>
      <c r="M12" s="23"/>
      <c r="N12" s="23"/>
    </row>
    <row r="13" spans="1:21" s="13" customFormat="1" ht="12.75" x14ac:dyDescent="0.2">
      <c r="A13" s="20">
        <v>1</v>
      </c>
      <c r="B13" s="20">
        <v>2</v>
      </c>
      <c r="C13" s="20" t="s">
        <v>40</v>
      </c>
      <c r="D13" s="20"/>
      <c r="E13" s="237"/>
      <c r="F13" s="237">
        <v>1</v>
      </c>
      <c r="G13" s="344"/>
      <c r="H13" s="17"/>
      <c r="I13" s="17"/>
      <c r="J13" s="17">
        <v>0</v>
      </c>
      <c r="K13" s="17"/>
      <c r="L13" s="23"/>
      <c r="M13" s="23"/>
      <c r="N13" s="23"/>
    </row>
    <row r="14" spans="1:21" s="13" customFormat="1" ht="12.75" x14ac:dyDescent="0.2">
      <c r="A14" s="20">
        <v>1</v>
      </c>
      <c r="B14" s="20">
        <v>2</v>
      </c>
      <c r="C14" s="20" t="s">
        <v>39</v>
      </c>
      <c r="D14" s="20">
        <f>IF(($U$1=0),'user page'!C$43,IF(($U$1=1),'user page'!E$43,IF(($U$1=2),'user page'!G$43,IF(($U$1=3),'user page'!I$43,IF(($U$1=4),'user page'!K$43,IF(($U$1=5),'user page'!M$43,""))))))</f>
        <v>9.4</v>
      </c>
      <c r="E14" s="565">
        <v>8.6180000000000007E-3</v>
      </c>
      <c r="F14" s="237">
        <f>EXP(E14*(D14-D31))</f>
        <v>1</v>
      </c>
      <c r="G14" s="344">
        <f>1-F14</f>
        <v>0</v>
      </c>
      <c r="H14" s="17">
        <f>$G14*GBDUS!O174</f>
        <v>0</v>
      </c>
      <c r="I14" s="17">
        <f>$G14*GBDUS!P174</f>
        <v>0</v>
      </c>
      <c r="J14" s="17">
        <v>0</v>
      </c>
      <c r="K14" s="17">
        <f t="shared" si="0"/>
        <v>0</v>
      </c>
      <c r="L14" s="23"/>
      <c r="M14" s="23"/>
      <c r="N14" s="23"/>
    </row>
    <row r="15" spans="1:21" s="13" customFormat="1" ht="12.75" x14ac:dyDescent="0.2">
      <c r="A15" s="20">
        <v>1</v>
      </c>
      <c r="B15" s="20">
        <v>2</v>
      </c>
      <c r="C15" s="20" t="s">
        <v>38</v>
      </c>
      <c r="D15" s="20">
        <f>IF(($U$1=0),'user page'!C$43,IF(($U$1=1),'user page'!E$43,IF(($U$1=2),'user page'!G$43,IF(($U$1=3),'user page'!I$43,IF(($U$1=4),'user page'!K$43,IF(($U$1=5),'user page'!M$43,""))))))</f>
        <v>9.4</v>
      </c>
      <c r="E15" s="565">
        <v>8.6180000000000007E-3</v>
      </c>
      <c r="F15" s="237">
        <f>EXP(E15*(D15-D32))</f>
        <v>1</v>
      </c>
      <c r="G15" s="344">
        <f>1-F15</f>
        <v>0</v>
      </c>
      <c r="H15" s="17">
        <f>$G15*GBDUS!O175</f>
        <v>0</v>
      </c>
      <c r="I15" s="17">
        <f>$G15*GBDUS!P175</f>
        <v>0</v>
      </c>
      <c r="J15" s="17">
        <v>0</v>
      </c>
      <c r="K15" s="17">
        <f t="shared" si="0"/>
        <v>0</v>
      </c>
      <c r="L15" s="23"/>
      <c r="M15" s="23"/>
      <c r="N15" s="23"/>
    </row>
    <row r="16" spans="1:21" s="13" customFormat="1" ht="12.75" x14ac:dyDescent="0.2">
      <c r="A16" s="20">
        <v>1</v>
      </c>
      <c r="B16" s="20">
        <v>2</v>
      </c>
      <c r="C16" s="20" t="s">
        <v>37</v>
      </c>
      <c r="D16" s="20">
        <f>IF(($U$1=0),'user page'!C$43,IF(($U$1=1),'user page'!E$43,IF(($U$1=2),'user page'!G$43,IF(($U$1=3),'user page'!I$43,IF(($U$1=4),'user page'!K$43,IF(($U$1=5),'user page'!M$43,""))))))</f>
        <v>9.4</v>
      </c>
      <c r="E16" s="565">
        <v>8.6180000000000007E-3</v>
      </c>
      <c r="F16" s="237">
        <f>EXP(E16*(D16-D33))</f>
        <v>1</v>
      </c>
      <c r="G16" s="344">
        <f>1-F16</f>
        <v>0</v>
      </c>
      <c r="H16" s="17">
        <f>$G16*GBDUS!O176</f>
        <v>0</v>
      </c>
      <c r="I16" s="17">
        <f>$G16*GBDUS!P176</f>
        <v>0</v>
      </c>
      <c r="J16" s="17">
        <v>0</v>
      </c>
      <c r="K16" s="17">
        <f t="shared" si="0"/>
        <v>0</v>
      </c>
      <c r="L16" s="23"/>
      <c r="M16" s="23"/>
      <c r="N16" s="23"/>
    </row>
    <row r="17" spans="1:15" s="13" customFormat="1" ht="12.75" x14ac:dyDescent="0.2">
      <c r="A17" s="20">
        <v>1</v>
      </c>
      <c r="B17" s="20">
        <v>2</v>
      </c>
      <c r="C17" s="20" t="s">
        <v>36</v>
      </c>
      <c r="D17" s="20">
        <f>IF(($U$1=0),'user page'!C$43,IF(($U$1=1),'user page'!E$43,IF(($U$1=2),'user page'!G$43,IF(($U$1=3),'user page'!I$43,IF(($U$1=4),'user page'!K$43,IF(($U$1=5),'user page'!M$43,""))))))</f>
        <v>9.4</v>
      </c>
      <c r="E17" s="565">
        <v>8.6180000000000007E-3</v>
      </c>
      <c r="F17" s="237">
        <f>EXP(E17*(D17-D34))</f>
        <v>1</v>
      </c>
      <c r="G17" s="344">
        <f>1-F17</f>
        <v>0</v>
      </c>
      <c r="H17" s="17">
        <f>$G17*GBDUS!O177</f>
        <v>0</v>
      </c>
      <c r="I17" s="17">
        <f>$G17*GBDUS!P177</f>
        <v>0</v>
      </c>
      <c r="J17" s="17">
        <v>0</v>
      </c>
      <c r="K17" s="17">
        <f t="shared" si="0"/>
        <v>0</v>
      </c>
      <c r="L17" s="23"/>
      <c r="M17" s="23"/>
      <c r="N17" s="23"/>
    </row>
    <row r="18" spans="1:15" s="13" customFormat="1" ht="12.75" x14ac:dyDescent="0.2">
      <c r="A18" s="20">
        <v>1</v>
      </c>
      <c r="B18" s="20">
        <v>2</v>
      </c>
      <c r="C18" s="20" t="s">
        <v>35</v>
      </c>
      <c r="D18" s="20">
        <f>IF(($U$1=0),'user page'!C$43,IF(($U$1=1),'user page'!E$43,IF(($U$1=2),'user page'!G$43,IF(($U$1=3),'user page'!I$43,IF(($U$1=4),'user page'!K$43,IF(($U$1=5),'user page'!M$43,""))))))</f>
        <v>9.4</v>
      </c>
      <c r="E18" s="565">
        <v>8.6180000000000007E-3</v>
      </c>
      <c r="F18" s="237">
        <f>EXP(E18*(D18-D35))</f>
        <v>1</v>
      </c>
      <c r="G18" s="344">
        <f>1-F18</f>
        <v>0</v>
      </c>
      <c r="H18" s="17">
        <f>$G18*GBDUS!O178</f>
        <v>0</v>
      </c>
      <c r="I18" s="17">
        <f>$G18*GBDUS!P178</f>
        <v>0</v>
      </c>
      <c r="J18" s="17">
        <v>0</v>
      </c>
      <c r="K18" s="17">
        <f t="shared" si="0"/>
        <v>0</v>
      </c>
      <c r="L18" s="23"/>
      <c r="M18" s="23"/>
      <c r="N18" s="23"/>
    </row>
    <row r="19" spans="1:15" s="13" customFormat="1" ht="12.75" x14ac:dyDescent="0.2">
      <c r="A19" s="20"/>
      <c r="B19" s="20"/>
      <c r="C19" s="20"/>
      <c r="D19" s="20"/>
      <c r="E19" s="237"/>
      <c r="F19" s="15"/>
      <c r="G19" s="16"/>
      <c r="L19" s="17">
        <f>SUM(H13:H18)</f>
        <v>0</v>
      </c>
      <c r="M19" s="17">
        <f>SUM(I13:I18)</f>
        <v>0</v>
      </c>
      <c r="N19" s="17">
        <f>SUM(J13:J18)</f>
        <v>0</v>
      </c>
      <c r="O19" s="17">
        <f>SUM(K13:K18)</f>
        <v>0</v>
      </c>
    </row>
    <row r="20" spans="1:15" s="13" customFormat="1" ht="12.75" x14ac:dyDescent="0.2">
      <c r="A20" s="20">
        <v>0</v>
      </c>
      <c r="B20" s="20">
        <v>1</v>
      </c>
      <c r="C20" s="20" t="s">
        <v>2</v>
      </c>
      <c r="D20" s="20">
        <f>'user page'!$C$43</f>
        <v>9.4</v>
      </c>
      <c r="E20" s="237"/>
      <c r="F20" s="15"/>
      <c r="G20" s="16"/>
      <c r="L20" s="574">
        <f>L11+L19</f>
        <v>0</v>
      </c>
      <c r="M20" s="228">
        <f>M11+M19</f>
        <v>0</v>
      </c>
      <c r="N20" s="228">
        <f>N11+N19</f>
        <v>0</v>
      </c>
      <c r="O20" s="228">
        <f>O11+O19</f>
        <v>0</v>
      </c>
    </row>
    <row r="21" spans="1:15" s="13" customFormat="1" ht="12.75" x14ac:dyDescent="0.2">
      <c r="A21" s="20">
        <v>0</v>
      </c>
      <c r="B21" s="20">
        <v>1</v>
      </c>
      <c r="C21" s="20" t="s">
        <v>41</v>
      </c>
      <c r="D21" s="20">
        <f>'user page'!$C$43</f>
        <v>9.4</v>
      </c>
      <c r="E21" s="237"/>
      <c r="F21" s="15"/>
      <c r="G21" s="16"/>
      <c r="L21" s="240">
        <f>L20/GBDUS!O179</f>
        <v>0</v>
      </c>
      <c r="M21" s="240">
        <f>M20/GBDUS!P179</f>
        <v>0</v>
      </c>
      <c r="N21" s="240">
        <f>N20/GBDUS!Q179</f>
        <v>0</v>
      </c>
      <c r="O21" s="402">
        <f>O20/GBDUS!R179</f>
        <v>0</v>
      </c>
    </row>
    <row r="22" spans="1:15" s="13" customFormat="1" ht="12.75" x14ac:dyDescent="0.2">
      <c r="A22" s="20">
        <v>0</v>
      </c>
      <c r="B22" s="20">
        <v>1</v>
      </c>
      <c r="C22" s="20" t="s">
        <v>40</v>
      </c>
      <c r="D22" s="20"/>
      <c r="E22" s="237">
        <f t="shared" ref="E22:E27" si="1">E5</f>
        <v>0</v>
      </c>
      <c r="F22" s="19"/>
      <c r="G22" s="16"/>
      <c r="H22" s="17"/>
      <c r="I22" s="17"/>
      <c r="J22" s="17"/>
      <c r="K22" s="23"/>
      <c r="L22" s="23"/>
      <c r="M22" s="23"/>
      <c r="N22" s="23"/>
    </row>
    <row r="23" spans="1:15" s="13" customFormat="1" ht="12.75" x14ac:dyDescent="0.2">
      <c r="A23" s="20">
        <v>0</v>
      </c>
      <c r="B23" s="20">
        <v>1</v>
      </c>
      <c r="C23" s="20" t="s">
        <v>39</v>
      </c>
      <c r="D23" s="20">
        <f>'user page'!$C$43</f>
        <v>9.4</v>
      </c>
      <c r="E23" s="237">
        <f t="shared" si="1"/>
        <v>8.6180000000000007E-3</v>
      </c>
      <c r="F23" s="19"/>
      <c r="G23" s="16"/>
      <c r="H23" s="17"/>
      <c r="I23" s="17"/>
      <c r="J23" s="17"/>
      <c r="K23" s="23"/>
      <c r="L23" s="23"/>
      <c r="M23" s="23"/>
      <c r="N23" s="23"/>
    </row>
    <row r="24" spans="1:15" s="13" customFormat="1" ht="12.75" x14ac:dyDescent="0.2">
      <c r="A24" s="20">
        <v>0</v>
      </c>
      <c r="B24" s="20">
        <v>1</v>
      </c>
      <c r="C24" s="20" t="s">
        <v>38</v>
      </c>
      <c r="D24" s="20">
        <f>'user page'!$C$43</f>
        <v>9.4</v>
      </c>
      <c r="E24" s="237">
        <f t="shared" si="1"/>
        <v>8.6180000000000007E-3</v>
      </c>
      <c r="F24" s="19"/>
      <c r="G24" s="16"/>
      <c r="H24" s="17"/>
      <c r="I24" s="17"/>
      <c r="J24" s="17"/>
      <c r="K24" s="23"/>
      <c r="L24" s="23"/>
      <c r="M24" s="23"/>
      <c r="N24" s="23"/>
    </row>
    <row r="25" spans="1:15" s="13" customFormat="1" ht="12.75" x14ac:dyDescent="0.2">
      <c r="A25" s="20">
        <v>0</v>
      </c>
      <c r="B25" s="20">
        <v>1</v>
      </c>
      <c r="C25" s="20" t="s">
        <v>37</v>
      </c>
      <c r="D25" s="20">
        <f>'user page'!$C$43</f>
        <v>9.4</v>
      </c>
      <c r="E25" s="237">
        <f t="shared" si="1"/>
        <v>8.6180000000000007E-3</v>
      </c>
      <c r="F25" s="19"/>
      <c r="G25" s="16"/>
      <c r="H25" s="17"/>
      <c r="I25" s="17"/>
      <c r="J25" s="17"/>
      <c r="K25" s="23"/>
      <c r="L25" s="23"/>
      <c r="M25" s="23"/>
      <c r="N25" s="23"/>
    </row>
    <row r="26" spans="1:15" s="13" customFormat="1" ht="12.75" x14ac:dyDescent="0.2">
      <c r="A26" s="20">
        <v>0</v>
      </c>
      <c r="B26" s="20">
        <v>1</v>
      </c>
      <c r="C26" s="20" t="s">
        <v>36</v>
      </c>
      <c r="D26" s="20">
        <f>'user page'!$C$43</f>
        <v>9.4</v>
      </c>
      <c r="E26" s="237">
        <f t="shared" si="1"/>
        <v>8.6180000000000007E-3</v>
      </c>
      <c r="F26" s="19"/>
      <c r="G26" s="16"/>
      <c r="H26" s="17"/>
      <c r="I26" s="17"/>
      <c r="J26" s="17"/>
      <c r="K26" s="23"/>
      <c r="L26" s="23"/>
      <c r="M26" s="23"/>
      <c r="N26" s="23"/>
    </row>
    <row r="27" spans="1:15" s="13" customFormat="1" ht="12.75" x14ac:dyDescent="0.2">
      <c r="A27" s="20">
        <v>0</v>
      </c>
      <c r="B27" s="20">
        <v>1</v>
      </c>
      <c r="C27" s="20" t="s">
        <v>35</v>
      </c>
      <c r="D27" s="20">
        <f>'user page'!$C$43</f>
        <v>9.4</v>
      </c>
      <c r="E27" s="237">
        <f t="shared" si="1"/>
        <v>8.6180000000000007E-3</v>
      </c>
      <c r="F27" s="19"/>
      <c r="G27" s="16"/>
      <c r="H27" s="17"/>
      <c r="I27" s="17"/>
      <c r="J27" s="17"/>
      <c r="K27" s="23"/>
      <c r="L27" s="23"/>
      <c r="M27" s="23"/>
      <c r="N27" s="23"/>
    </row>
    <row r="28" spans="1:15" s="13" customFormat="1" ht="12.75" x14ac:dyDescent="0.2">
      <c r="A28" s="20">
        <v>0</v>
      </c>
      <c r="B28" s="20">
        <v>2</v>
      </c>
      <c r="C28" s="20" t="s">
        <v>2</v>
      </c>
      <c r="D28" s="20">
        <f>'user page'!$C$43</f>
        <v>9.4</v>
      </c>
      <c r="E28" s="237"/>
      <c r="F28" s="19"/>
      <c r="G28" s="16"/>
      <c r="H28" s="17"/>
      <c r="I28" s="17"/>
      <c r="J28" s="17"/>
      <c r="K28" s="23"/>
      <c r="L28" s="23"/>
      <c r="M28" s="23"/>
      <c r="N28" s="23"/>
    </row>
    <row r="29" spans="1:15" s="13" customFormat="1" ht="12.75" x14ac:dyDescent="0.2">
      <c r="A29" s="20">
        <v>0</v>
      </c>
      <c r="B29" s="20">
        <v>2</v>
      </c>
      <c r="C29" s="20" t="s">
        <v>41</v>
      </c>
      <c r="D29" s="20"/>
      <c r="E29" s="237"/>
      <c r="F29" s="19"/>
      <c r="G29" s="16"/>
      <c r="H29" s="17"/>
      <c r="I29" s="17"/>
      <c r="J29" s="17"/>
      <c r="K29" s="23"/>
      <c r="L29" s="23"/>
      <c r="M29" s="23"/>
      <c r="N29" s="23"/>
    </row>
    <row r="30" spans="1:15" s="13" customFormat="1" ht="12.75" x14ac:dyDescent="0.2">
      <c r="A30" s="20">
        <v>0</v>
      </c>
      <c r="B30" s="20">
        <v>2</v>
      </c>
      <c r="C30" s="20" t="s">
        <v>40</v>
      </c>
      <c r="D30" s="20"/>
      <c r="E30" s="237">
        <f t="shared" ref="E30:E35" si="2">E13</f>
        <v>0</v>
      </c>
      <c r="F30" s="19"/>
      <c r="G30" s="16"/>
      <c r="H30" s="17"/>
      <c r="I30" s="17"/>
      <c r="J30" s="17"/>
      <c r="K30" s="23"/>
      <c r="L30" s="23"/>
      <c r="M30" s="23"/>
      <c r="N30" s="23"/>
    </row>
    <row r="31" spans="1:15" s="13" customFormat="1" ht="12.75" x14ac:dyDescent="0.2">
      <c r="A31" s="20">
        <v>0</v>
      </c>
      <c r="B31" s="20">
        <v>2</v>
      </c>
      <c r="C31" s="20" t="s">
        <v>39</v>
      </c>
      <c r="D31" s="20">
        <f>'user page'!$C$43</f>
        <v>9.4</v>
      </c>
      <c r="E31" s="237">
        <f t="shared" si="2"/>
        <v>8.6180000000000007E-3</v>
      </c>
      <c r="F31" s="19"/>
      <c r="G31" s="16"/>
      <c r="H31" s="17"/>
      <c r="I31" s="17"/>
      <c r="J31" s="17"/>
      <c r="K31" s="23"/>
      <c r="L31" s="23"/>
      <c r="M31" s="23"/>
      <c r="N31" s="23"/>
    </row>
    <row r="32" spans="1:15" s="13" customFormat="1" ht="12.75" x14ac:dyDescent="0.2">
      <c r="A32" s="20">
        <v>0</v>
      </c>
      <c r="B32" s="20">
        <v>2</v>
      </c>
      <c r="C32" s="20" t="s">
        <v>38</v>
      </c>
      <c r="D32" s="20">
        <f>'user page'!$C$43</f>
        <v>9.4</v>
      </c>
      <c r="E32" s="237">
        <f t="shared" si="2"/>
        <v>8.6180000000000007E-3</v>
      </c>
      <c r="F32" s="19"/>
      <c r="G32" s="16"/>
      <c r="H32" s="17"/>
      <c r="I32" s="17"/>
      <c r="J32" s="17"/>
      <c r="K32" s="23"/>
      <c r="L32" s="23"/>
      <c r="M32" s="23"/>
      <c r="N32" s="23"/>
    </row>
    <row r="33" spans="1:14" s="13" customFormat="1" ht="12.75" x14ac:dyDescent="0.2">
      <c r="A33" s="20">
        <v>0</v>
      </c>
      <c r="B33" s="20">
        <v>2</v>
      </c>
      <c r="C33" s="20" t="s">
        <v>37</v>
      </c>
      <c r="D33" s="20">
        <f>'user page'!$C$43</f>
        <v>9.4</v>
      </c>
      <c r="E33" s="237">
        <f t="shared" si="2"/>
        <v>8.6180000000000007E-3</v>
      </c>
      <c r="F33" s="19"/>
      <c r="G33" s="16"/>
      <c r="H33" s="17"/>
      <c r="I33" s="17"/>
      <c r="J33" s="17"/>
      <c r="K33" s="23"/>
      <c r="L33" s="23"/>
      <c r="M33" s="23"/>
      <c r="N33" s="23"/>
    </row>
    <row r="34" spans="1:14" s="13" customFormat="1" ht="12.75" x14ac:dyDescent="0.2">
      <c r="A34" s="20">
        <v>0</v>
      </c>
      <c r="B34" s="20">
        <v>2</v>
      </c>
      <c r="C34" s="20" t="s">
        <v>36</v>
      </c>
      <c r="D34" s="20">
        <f>'user page'!$C$43</f>
        <v>9.4</v>
      </c>
      <c r="E34" s="237">
        <f t="shared" si="2"/>
        <v>8.6180000000000007E-3</v>
      </c>
      <c r="F34" s="19"/>
      <c r="G34" s="16"/>
      <c r="H34" s="17"/>
      <c r="I34" s="17"/>
      <c r="J34" s="17"/>
      <c r="K34" s="23"/>
      <c r="L34" s="23"/>
      <c r="M34" s="23"/>
      <c r="N34" s="23"/>
    </row>
    <row r="35" spans="1:14" s="13" customFormat="1" ht="12.75" x14ac:dyDescent="0.2">
      <c r="A35" s="20">
        <v>0</v>
      </c>
      <c r="B35" s="20">
        <v>2</v>
      </c>
      <c r="C35" s="20" t="s">
        <v>35</v>
      </c>
      <c r="D35" s="20">
        <f>'user page'!$C$43</f>
        <v>9.4</v>
      </c>
      <c r="E35" s="237">
        <f t="shared" si="2"/>
        <v>8.6180000000000007E-3</v>
      </c>
      <c r="F35" s="19"/>
      <c r="G35" s="16"/>
      <c r="H35" s="17"/>
      <c r="I35" s="17"/>
      <c r="J35" s="17"/>
      <c r="K35" s="23"/>
      <c r="L35" s="23"/>
      <c r="M35" s="23"/>
      <c r="N35" s="23"/>
    </row>
  </sheetData>
  <mergeCells count="1">
    <mergeCell ref="L1:O1"/>
  </mergeCells>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5"/>
  <sheetViews>
    <sheetView zoomScaleNormal="100" workbookViewId="0"/>
  </sheetViews>
  <sheetFormatPr defaultColWidth="9.140625" defaultRowHeight="15" x14ac:dyDescent="0.25"/>
  <cols>
    <col min="1" max="2" width="11.140625" style="10" customWidth="1"/>
    <col min="3" max="3" width="10.5703125" style="10" customWidth="1"/>
    <col min="4" max="4" width="13" style="10" customWidth="1"/>
    <col min="5" max="6" width="16" style="10" customWidth="1"/>
    <col min="7" max="7" width="8.85546875" style="12" customWidth="1"/>
    <col min="8" max="8" width="12.140625" style="10" customWidth="1"/>
    <col min="9" max="9" width="11" style="10" customWidth="1"/>
    <col min="10" max="10" width="13" style="12" customWidth="1"/>
    <col min="11" max="11" width="12.42578125" style="10" customWidth="1"/>
    <col min="12" max="12" width="5.42578125" style="10" customWidth="1"/>
    <col min="13" max="13" width="4.5703125" style="10" customWidth="1"/>
    <col min="14" max="14" width="6" style="10" customWidth="1"/>
    <col min="15" max="16384" width="9.140625" style="10"/>
  </cols>
  <sheetData>
    <row r="1" spans="1:15" s="13" customFormat="1" ht="46.5" customHeight="1" x14ac:dyDescent="0.2">
      <c r="A1" s="20"/>
      <c r="B1" s="20"/>
      <c r="C1" s="20"/>
      <c r="D1" s="227" t="s">
        <v>148</v>
      </c>
      <c r="E1" s="29"/>
      <c r="F1" s="224" t="s">
        <v>54</v>
      </c>
      <c r="G1" s="225" t="s">
        <v>75</v>
      </c>
      <c r="H1" s="224" t="s">
        <v>152</v>
      </c>
      <c r="I1" s="224" t="s">
        <v>150</v>
      </c>
      <c r="J1" s="225" t="s">
        <v>151</v>
      </c>
      <c r="K1" s="225" t="s">
        <v>153</v>
      </c>
      <c r="L1" s="1357" t="s">
        <v>49</v>
      </c>
      <c r="M1" s="1357"/>
      <c r="N1" s="1357"/>
      <c r="O1" s="1357"/>
    </row>
    <row r="2" spans="1:15" s="23" customFormat="1" ht="44.25" customHeight="1" x14ac:dyDescent="0.2">
      <c r="A2" s="29" t="s">
        <v>48</v>
      </c>
      <c r="B2" s="29" t="s">
        <v>47</v>
      </c>
      <c r="C2" s="29" t="s">
        <v>46</v>
      </c>
      <c r="D2" s="20"/>
      <c r="E2" s="224" t="s">
        <v>149</v>
      </c>
      <c r="F2" s="224"/>
      <c r="G2" s="225"/>
      <c r="H2" s="224"/>
      <c r="I2" s="224"/>
      <c r="J2" s="224"/>
      <c r="K2" s="224"/>
      <c r="L2" s="568" t="s">
        <v>44</v>
      </c>
      <c r="M2" s="567" t="s">
        <v>43</v>
      </c>
      <c r="N2" s="567" t="s">
        <v>42</v>
      </c>
      <c r="O2" s="567" t="s">
        <v>29</v>
      </c>
    </row>
    <row r="3" spans="1:15" s="13" customFormat="1" ht="12.75" x14ac:dyDescent="0.2">
      <c r="A3" s="20">
        <v>1</v>
      </c>
      <c r="B3" s="20">
        <v>1</v>
      </c>
      <c r="C3" s="20" t="s">
        <v>2</v>
      </c>
      <c r="D3" s="20">
        <f>'Inflammatory HD'!D3</f>
        <v>9.4</v>
      </c>
      <c r="E3" s="15"/>
      <c r="F3" s="15"/>
      <c r="G3" s="16"/>
      <c r="H3" s="17"/>
      <c r="I3" s="17"/>
      <c r="J3" s="17"/>
      <c r="K3" s="17"/>
      <c r="L3" s="23"/>
      <c r="M3" s="23"/>
      <c r="N3" s="23"/>
    </row>
    <row r="4" spans="1:15" s="13" customFormat="1" ht="12.75" x14ac:dyDescent="0.2">
      <c r="A4" s="20">
        <v>1</v>
      </c>
      <c r="B4" s="20">
        <v>1</v>
      </c>
      <c r="C4" s="20" t="s">
        <v>41</v>
      </c>
      <c r="D4" s="20">
        <f>'Inflammatory HD'!D4</f>
        <v>0</v>
      </c>
      <c r="E4" s="15"/>
      <c r="F4" s="15"/>
      <c r="G4" s="16"/>
      <c r="H4" s="17"/>
      <c r="I4" s="17"/>
      <c r="J4" s="17"/>
      <c r="K4" s="17"/>
      <c r="L4" s="23"/>
      <c r="M4" s="23"/>
      <c r="N4" s="23"/>
    </row>
    <row r="5" spans="1:15" s="13" customFormat="1" ht="12.75" x14ac:dyDescent="0.2">
      <c r="A5" s="20">
        <v>1</v>
      </c>
      <c r="B5" s="20">
        <v>1</v>
      </c>
      <c r="C5" s="20" t="s">
        <v>40</v>
      </c>
      <c r="D5" s="20">
        <f>'Inflammatory HD'!D5</f>
        <v>0</v>
      </c>
      <c r="E5" s="236">
        <v>1.31028262406404E-2</v>
      </c>
      <c r="F5" s="301">
        <f t="shared" ref="F5:F10" si="0">EXP(E5*(D5-D22))</f>
        <v>1</v>
      </c>
      <c r="G5" s="31">
        <f t="shared" ref="G5:G10" si="1">1-F5</f>
        <v>0</v>
      </c>
      <c r="H5" s="17">
        <f>$G5*GBDUS!O143</f>
        <v>0</v>
      </c>
      <c r="I5" s="17">
        <f>$G5*GBDUS!P143</f>
        <v>0</v>
      </c>
      <c r="J5" s="17">
        <v>0</v>
      </c>
      <c r="K5" s="17">
        <f>I5+J5</f>
        <v>0</v>
      </c>
      <c r="L5" s="23"/>
      <c r="M5" s="23"/>
      <c r="N5" s="23"/>
    </row>
    <row r="6" spans="1:15" s="13" customFormat="1" ht="12.75" x14ac:dyDescent="0.2">
      <c r="A6" s="20">
        <v>1</v>
      </c>
      <c r="B6" s="20">
        <v>1</v>
      </c>
      <c r="C6" s="20" t="s">
        <v>39</v>
      </c>
      <c r="D6" s="20">
        <f>'Inflammatory HD'!D6</f>
        <v>9.4</v>
      </c>
      <c r="E6" s="236">
        <v>1.31028262406404E-2</v>
      </c>
      <c r="F6" s="301">
        <f t="shared" si="0"/>
        <v>1</v>
      </c>
      <c r="G6" s="31">
        <f t="shared" si="1"/>
        <v>0</v>
      </c>
      <c r="H6" s="17">
        <f>$G6*GBDUS!O144</f>
        <v>0</v>
      </c>
      <c r="I6" s="17">
        <f>$G6*GBDUS!P144</f>
        <v>0</v>
      </c>
      <c r="J6" s="17">
        <v>0</v>
      </c>
      <c r="K6" s="17">
        <f t="shared" ref="K6:K18" si="2">I6+J6</f>
        <v>0</v>
      </c>
      <c r="L6" s="23"/>
      <c r="M6" s="23"/>
      <c r="N6" s="23"/>
    </row>
    <row r="7" spans="1:15" s="13" customFormat="1" ht="12.75" x14ac:dyDescent="0.2">
      <c r="A7" s="20">
        <v>1</v>
      </c>
      <c r="B7" s="20">
        <v>1</v>
      </c>
      <c r="C7" s="20" t="s">
        <v>38</v>
      </c>
      <c r="D7" s="20">
        <f>'Inflammatory HD'!D7</f>
        <v>9.4</v>
      </c>
      <c r="E7" s="236">
        <v>1.31028262406404E-2</v>
      </c>
      <c r="F7" s="301">
        <f t="shared" si="0"/>
        <v>1</v>
      </c>
      <c r="G7" s="31">
        <f t="shared" si="1"/>
        <v>0</v>
      </c>
      <c r="H7" s="17">
        <f>$G7*GBDUS!O145</f>
        <v>0</v>
      </c>
      <c r="I7" s="17">
        <f>$G7*GBDUS!P145</f>
        <v>0</v>
      </c>
      <c r="J7" s="17">
        <v>0</v>
      </c>
      <c r="K7" s="17">
        <f t="shared" si="2"/>
        <v>0</v>
      </c>
      <c r="L7" s="23"/>
      <c r="M7" s="23"/>
      <c r="N7" s="23"/>
    </row>
    <row r="8" spans="1:15" s="13" customFormat="1" ht="12.75" x14ac:dyDescent="0.2">
      <c r="A8" s="20">
        <v>1</v>
      </c>
      <c r="B8" s="20">
        <v>1</v>
      </c>
      <c r="C8" s="20" t="s">
        <v>37</v>
      </c>
      <c r="D8" s="20">
        <f>'Inflammatory HD'!D8</f>
        <v>9.4</v>
      </c>
      <c r="E8" s="236">
        <v>1.31028262406404E-2</v>
      </c>
      <c r="F8" s="301">
        <f t="shared" si="0"/>
        <v>1</v>
      </c>
      <c r="G8" s="31">
        <f t="shared" si="1"/>
        <v>0</v>
      </c>
      <c r="H8" s="17">
        <f>$G8*GBDUS!O146</f>
        <v>0</v>
      </c>
      <c r="I8" s="17">
        <f>$G8*GBDUS!P146</f>
        <v>0</v>
      </c>
      <c r="J8" s="17">
        <v>0</v>
      </c>
      <c r="K8" s="17">
        <f t="shared" si="2"/>
        <v>0</v>
      </c>
      <c r="L8" s="23"/>
      <c r="M8" s="23"/>
      <c r="N8" s="23"/>
    </row>
    <row r="9" spans="1:15" s="13" customFormat="1" ht="12.75" x14ac:dyDescent="0.2">
      <c r="A9" s="20">
        <v>1</v>
      </c>
      <c r="B9" s="20">
        <v>1</v>
      </c>
      <c r="C9" s="20" t="s">
        <v>36</v>
      </c>
      <c r="D9" s="20">
        <f>'Inflammatory HD'!D9</f>
        <v>9.4</v>
      </c>
      <c r="E9" s="236">
        <v>1.31028262406404E-2</v>
      </c>
      <c r="F9" s="301">
        <f t="shared" si="0"/>
        <v>1</v>
      </c>
      <c r="G9" s="31">
        <f t="shared" si="1"/>
        <v>0</v>
      </c>
      <c r="H9" s="17">
        <f>$G9*GBDUS!O147</f>
        <v>0</v>
      </c>
      <c r="I9" s="17">
        <f>$G9*GBDUS!P147</f>
        <v>0</v>
      </c>
      <c r="J9" s="17">
        <v>0</v>
      </c>
      <c r="K9" s="17">
        <f t="shared" si="2"/>
        <v>0</v>
      </c>
      <c r="L9" s="23"/>
      <c r="M9" s="23"/>
      <c r="N9" s="23"/>
    </row>
    <row r="10" spans="1:15" s="13" customFormat="1" ht="12.75" x14ac:dyDescent="0.2">
      <c r="A10" s="20">
        <v>1</v>
      </c>
      <c r="B10" s="20">
        <v>1</v>
      </c>
      <c r="C10" s="20" t="s">
        <v>35</v>
      </c>
      <c r="D10" s="20">
        <f>'Inflammatory HD'!D10</f>
        <v>9.4</v>
      </c>
      <c r="E10" s="236">
        <v>1.31028262406404E-2</v>
      </c>
      <c r="F10" s="301">
        <f t="shared" si="0"/>
        <v>1</v>
      </c>
      <c r="G10" s="31">
        <f t="shared" si="1"/>
        <v>0</v>
      </c>
      <c r="H10" s="17">
        <f>$G10*GBDUS!O148</f>
        <v>0</v>
      </c>
      <c r="I10" s="17">
        <f>$G10*GBDUS!P148</f>
        <v>0</v>
      </c>
      <c r="J10" s="17">
        <v>0</v>
      </c>
      <c r="K10" s="17">
        <f t="shared" si="2"/>
        <v>0</v>
      </c>
      <c r="L10" s="23"/>
      <c r="M10" s="23"/>
      <c r="N10" s="23"/>
    </row>
    <row r="11" spans="1:15" s="13" customFormat="1" ht="12.75" x14ac:dyDescent="0.2">
      <c r="A11" s="20">
        <v>1</v>
      </c>
      <c r="B11" s="20">
        <v>2</v>
      </c>
      <c r="C11" s="20" t="s">
        <v>2</v>
      </c>
      <c r="D11" s="20">
        <f>'Inflammatory HD'!D11</f>
        <v>9.4</v>
      </c>
      <c r="E11" s="236"/>
      <c r="F11" s="301"/>
      <c r="G11" s="31"/>
      <c r="J11" s="17">
        <v>0</v>
      </c>
      <c r="L11" s="17">
        <f>SUM(H5:H10)</f>
        <v>0</v>
      </c>
      <c r="M11" s="17">
        <f>SUM(I5:I10)</f>
        <v>0</v>
      </c>
      <c r="N11" s="17">
        <f>SUM(J5:J10)</f>
        <v>0</v>
      </c>
      <c r="O11" s="17">
        <f>M11+N11</f>
        <v>0</v>
      </c>
    </row>
    <row r="12" spans="1:15" s="13" customFormat="1" ht="12.75" x14ac:dyDescent="0.2">
      <c r="A12" s="20">
        <v>1</v>
      </c>
      <c r="B12" s="20">
        <v>2</v>
      </c>
      <c r="C12" s="20" t="s">
        <v>41</v>
      </c>
      <c r="D12" s="20">
        <f>'Inflammatory HD'!D12</f>
        <v>0</v>
      </c>
      <c r="E12" s="236"/>
      <c r="F12" s="301"/>
      <c r="G12" s="31"/>
      <c r="H12" s="17"/>
      <c r="I12" s="17"/>
      <c r="J12" s="17">
        <v>0</v>
      </c>
      <c r="K12" s="17">
        <f t="shared" si="2"/>
        <v>0</v>
      </c>
      <c r="L12" s="23"/>
      <c r="M12" s="23"/>
      <c r="N12" s="23"/>
    </row>
    <row r="13" spans="1:15" s="13" customFormat="1" ht="12.75" x14ac:dyDescent="0.2">
      <c r="A13" s="20">
        <v>1</v>
      </c>
      <c r="B13" s="20">
        <v>2</v>
      </c>
      <c r="C13" s="20" t="s">
        <v>40</v>
      </c>
      <c r="D13" s="20">
        <f>'Inflammatory HD'!D13</f>
        <v>0</v>
      </c>
      <c r="E13" s="236">
        <v>1.31028262406404E-2</v>
      </c>
      <c r="F13" s="301">
        <f t="shared" ref="F13:F18" si="3">EXP(E13*(D13-D30))</f>
        <v>1</v>
      </c>
      <c r="G13" s="31">
        <f t="shared" ref="G13:G18" si="4">1-F13</f>
        <v>0</v>
      </c>
      <c r="H13" s="17">
        <f>$G13*GBDUS!O151</f>
        <v>0</v>
      </c>
      <c r="I13" s="17">
        <f>$G13*GBDUS!P151</f>
        <v>0</v>
      </c>
      <c r="J13" s="17">
        <v>0</v>
      </c>
      <c r="K13" s="17">
        <f t="shared" si="2"/>
        <v>0</v>
      </c>
      <c r="L13" s="23"/>
      <c r="M13" s="23"/>
      <c r="N13" s="23"/>
    </row>
    <row r="14" spans="1:15" s="13" customFormat="1" ht="12.75" x14ac:dyDescent="0.2">
      <c r="A14" s="20">
        <v>1</v>
      </c>
      <c r="B14" s="20">
        <v>2</v>
      </c>
      <c r="C14" s="20" t="s">
        <v>39</v>
      </c>
      <c r="D14" s="20">
        <f>'Inflammatory HD'!D14</f>
        <v>9.4</v>
      </c>
      <c r="E14" s="236">
        <v>1.31028262406404E-2</v>
      </c>
      <c r="F14" s="301">
        <f t="shared" si="3"/>
        <v>1</v>
      </c>
      <c r="G14" s="31">
        <f t="shared" si="4"/>
        <v>0</v>
      </c>
      <c r="H14" s="17">
        <f>$G14*GBDUS!O152</f>
        <v>0</v>
      </c>
      <c r="I14" s="17">
        <f>$G14*GBDUS!P152</f>
        <v>0</v>
      </c>
      <c r="J14" s="17">
        <v>0</v>
      </c>
      <c r="K14" s="17">
        <f t="shared" si="2"/>
        <v>0</v>
      </c>
      <c r="L14" s="23"/>
      <c r="M14" s="23"/>
      <c r="N14" s="23"/>
    </row>
    <row r="15" spans="1:15" s="13" customFormat="1" ht="12.75" x14ac:dyDescent="0.2">
      <c r="A15" s="20">
        <v>1</v>
      </c>
      <c r="B15" s="20">
        <v>2</v>
      </c>
      <c r="C15" s="20" t="s">
        <v>38</v>
      </c>
      <c r="D15" s="20">
        <f>'Inflammatory HD'!D15</f>
        <v>9.4</v>
      </c>
      <c r="E15" s="236">
        <v>1.31028262406404E-2</v>
      </c>
      <c r="F15" s="301">
        <f t="shared" si="3"/>
        <v>1</v>
      </c>
      <c r="G15" s="31">
        <f t="shared" si="4"/>
        <v>0</v>
      </c>
      <c r="H15" s="17">
        <f>$G15*GBDUS!O153</f>
        <v>0</v>
      </c>
      <c r="I15" s="17">
        <f>$G15*GBDUS!P153</f>
        <v>0</v>
      </c>
      <c r="J15" s="17">
        <v>0</v>
      </c>
      <c r="K15" s="17">
        <f t="shared" si="2"/>
        <v>0</v>
      </c>
      <c r="L15" s="23"/>
      <c r="M15" s="23"/>
      <c r="N15" s="23"/>
    </row>
    <row r="16" spans="1:15" s="13" customFormat="1" ht="12.75" x14ac:dyDescent="0.2">
      <c r="A16" s="20">
        <v>1</v>
      </c>
      <c r="B16" s="20">
        <v>2</v>
      </c>
      <c r="C16" s="20" t="s">
        <v>37</v>
      </c>
      <c r="D16" s="20">
        <f>'Inflammatory HD'!D16</f>
        <v>9.4</v>
      </c>
      <c r="E16" s="236">
        <v>1.31028262406404E-2</v>
      </c>
      <c r="F16" s="301">
        <f t="shared" si="3"/>
        <v>1</v>
      </c>
      <c r="G16" s="31">
        <f t="shared" si="4"/>
        <v>0</v>
      </c>
      <c r="H16" s="17">
        <f>$G16*GBDUS!O154</f>
        <v>0</v>
      </c>
      <c r="I16" s="17">
        <f>$G16*GBDUS!P154</f>
        <v>0</v>
      </c>
      <c r="J16" s="17">
        <v>0</v>
      </c>
      <c r="K16" s="17">
        <f t="shared" si="2"/>
        <v>0</v>
      </c>
      <c r="L16" s="23"/>
      <c r="M16" s="23"/>
      <c r="N16" s="23"/>
    </row>
    <row r="17" spans="1:15" s="13" customFormat="1" ht="12.75" x14ac:dyDescent="0.2">
      <c r="A17" s="20">
        <v>1</v>
      </c>
      <c r="B17" s="20">
        <v>2</v>
      </c>
      <c r="C17" s="20" t="s">
        <v>36</v>
      </c>
      <c r="D17" s="20">
        <f>'Inflammatory HD'!D17</f>
        <v>9.4</v>
      </c>
      <c r="E17" s="236">
        <v>1.31028262406404E-2</v>
      </c>
      <c r="F17" s="301">
        <f t="shared" si="3"/>
        <v>1</v>
      </c>
      <c r="G17" s="31">
        <f t="shared" si="4"/>
        <v>0</v>
      </c>
      <c r="H17" s="17">
        <f>$G17*GBDUS!O155</f>
        <v>0</v>
      </c>
      <c r="I17" s="17">
        <f>$G17*GBDUS!P155</f>
        <v>0</v>
      </c>
      <c r="J17" s="17">
        <v>0</v>
      </c>
      <c r="K17" s="17">
        <f t="shared" si="2"/>
        <v>0</v>
      </c>
      <c r="L17" s="23"/>
      <c r="M17" s="23"/>
      <c r="N17" s="23"/>
    </row>
    <row r="18" spans="1:15" s="13" customFormat="1" ht="12.75" x14ac:dyDescent="0.2">
      <c r="A18" s="20">
        <v>1</v>
      </c>
      <c r="B18" s="20">
        <v>2</v>
      </c>
      <c r="C18" s="20" t="s">
        <v>35</v>
      </c>
      <c r="D18" s="20">
        <f>'Inflammatory HD'!D18</f>
        <v>9.4</v>
      </c>
      <c r="E18" s="236">
        <v>1.31028262406404E-2</v>
      </c>
      <c r="F18" s="301">
        <f t="shared" si="3"/>
        <v>1</v>
      </c>
      <c r="G18" s="31">
        <f t="shared" si="4"/>
        <v>0</v>
      </c>
      <c r="H18" s="17">
        <f>$G18*GBDUS!O156</f>
        <v>0</v>
      </c>
      <c r="I18" s="17">
        <f>$G18*GBDUS!P156</f>
        <v>0</v>
      </c>
      <c r="J18" s="17">
        <v>0</v>
      </c>
      <c r="K18" s="17">
        <f t="shared" si="2"/>
        <v>0</v>
      </c>
      <c r="L18" s="23"/>
      <c r="M18" s="23"/>
      <c r="N18" s="23"/>
    </row>
    <row r="19" spans="1:15" s="13" customFormat="1" ht="12.75" x14ac:dyDescent="0.2">
      <c r="A19" s="20"/>
      <c r="B19" s="20"/>
      <c r="C19" s="20"/>
      <c r="D19" s="20">
        <f>'Inflammatory HD'!D19</f>
        <v>0</v>
      </c>
      <c r="E19" s="15"/>
      <c r="F19" s="15"/>
      <c r="G19" s="16"/>
      <c r="L19" s="17">
        <f>SUM(H13:H18)</f>
        <v>0</v>
      </c>
      <c r="M19" s="17">
        <f>SUM(I13:I18)</f>
        <v>0</v>
      </c>
      <c r="N19" s="17">
        <f>SUM(J13:J18)</f>
        <v>0</v>
      </c>
      <c r="O19" s="17">
        <f>M19+N19</f>
        <v>0</v>
      </c>
    </row>
    <row r="20" spans="1:15" s="13" customFormat="1" ht="12.75" x14ac:dyDescent="0.2">
      <c r="A20" s="20">
        <v>0</v>
      </c>
      <c r="B20" s="20">
        <v>1</v>
      </c>
      <c r="C20" s="20" t="s">
        <v>2</v>
      </c>
      <c r="D20" s="20">
        <f>'Inflammatory HD'!D20</f>
        <v>9.4</v>
      </c>
      <c r="E20" s="15"/>
      <c r="F20" s="15"/>
      <c r="G20" s="16"/>
      <c r="L20" s="17">
        <f>L19+L11</f>
        <v>0</v>
      </c>
      <c r="M20" s="17">
        <f>M19+M11</f>
        <v>0</v>
      </c>
      <c r="N20" s="17">
        <f>N19+N11</f>
        <v>0</v>
      </c>
      <c r="O20" s="17">
        <f>O19+O11</f>
        <v>0</v>
      </c>
    </row>
    <row r="21" spans="1:15" s="13" customFormat="1" ht="12.75" x14ac:dyDescent="0.2">
      <c r="A21" s="20">
        <v>0</v>
      </c>
      <c r="B21" s="20">
        <v>1</v>
      </c>
      <c r="C21" s="20" t="s">
        <v>41</v>
      </c>
      <c r="D21" s="20">
        <f>'Inflammatory HD'!D21</f>
        <v>9.4</v>
      </c>
      <c r="E21" s="15"/>
      <c r="F21" s="15"/>
      <c r="G21" s="16"/>
      <c r="L21" s="33">
        <f>L20/GBDUS!O157</f>
        <v>0</v>
      </c>
      <c r="M21" s="33">
        <f>M20/GBDUS!P157</f>
        <v>0</v>
      </c>
      <c r="N21" s="33">
        <f>N20/GBDUS!Q157</f>
        <v>0</v>
      </c>
      <c r="O21" s="33">
        <f>O20/GBDUS!R157</f>
        <v>0</v>
      </c>
    </row>
    <row r="22" spans="1:15" s="13" customFormat="1" ht="12.75" x14ac:dyDescent="0.2">
      <c r="A22" s="20">
        <v>0</v>
      </c>
      <c r="B22" s="20">
        <v>1</v>
      </c>
      <c r="C22" s="20" t="s">
        <v>40</v>
      </c>
      <c r="D22" s="20">
        <f>'Inflammatory HD'!D22</f>
        <v>0</v>
      </c>
      <c r="E22" s="236">
        <f t="shared" ref="E22:E27" si="5">E5</f>
        <v>1.31028262406404E-2</v>
      </c>
      <c r="F22" s="19"/>
      <c r="G22" s="16"/>
      <c r="H22" s="17"/>
      <c r="I22" s="17"/>
      <c r="J22" s="17"/>
      <c r="K22" s="23"/>
      <c r="L22" s="23"/>
      <c r="M22" s="23"/>
      <c r="N22" s="23"/>
    </row>
    <row r="23" spans="1:15" s="13" customFormat="1" ht="12.75" x14ac:dyDescent="0.2">
      <c r="A23" s="20">
        <v>0</v>
      </c>
      <c r="B23" s="20">
        <v>1</v>
      </c>
      <c r="C23" s="20" t="s">
        <v>39</v>
      </c>
      <c r="D23" s="20">
        <f>'Inflammatory HD'!D23</f>
        <v>9.4</v>
      </c>
      <c r="E23" s="236">
        <f t="shared" si="5"/>
        <v>1.31028262406404E-2</v>
      </c>
      <c r="F23" s="19"/>
      <c r="G23" s="16"/>
      <c r="H23" s="17"/>
      <c r="I23" s="17"/>
      <c r="J23" s="17"/>
      <c r="K23" s="23"/>
      <c r="L23" s="23"/>
      <c r="M23" s="23"/>
      <c r="N23" s="23"/>
    </row>
    <row r="24" spans="1:15" s="13" customFormat="1" ht="12.75" x14ac:dyDescent="0.2">
      <c r="A24" s="20">
        <v>0</v>
      </c>
      <c r="B24" s="20">
        <v>1</v>
      </c>
      <c r="C24" s="20" t="s">
        <v>38</v>
      </c>
      <c r="D24" s="20">
        <f>'Inflammatory HD'!D24</f>
        <v>9.4</v>
      </c>
      <c r="E24" s="236">
        <f t="shared" si="5"/>
        <v>1.31028262406404E-2</v>
      </c>
      <c r="F24" s="19"/>
      <c r="G24" s="16"/>
      <c r="H24" s="17"/>
      <c r="I24" s="17"/>
      <c r="J24" s="17"/>
      <c r="K24" s="23"/>
      <c r="L24" s="23"/>
      <c r="M24" s="23"/>
      <c r="N24" s="23"/>
    </row>
    <row r="25" spans="1:15" s="13" customFormat="1" ht="12.75" x14ac:dyDescent="0.2">
      <c r="A25" s="20">
        <v>0</v>
      </c>
      <c r="B25" s="20">
        <v>1</v>
      </c>
      <c r="C25" s="20" t="s">
        <v>37</v>
      </c>
      <c r="D25" s="20">
        <f>'Inflammatory HD'!D25</f>
        <v>9.4</v>
      </c>
      <c r="E25" s="236">
        <f t="shared" si="5"/>
        <v>1.31028262406404E-2</v>
      </c>
      <c r="F25" s="19"/>
      <c r="G25" s="16"/>
      <c r="H25" s="17"/>
      <c r="I25" s="17"/>
      <c r="J25" s="17"/>
      <c r="K25" s="23"/>
      <c r="L25" s="23"/>
      <c r="M25" s="23"/>
      <c r="N25" s="23"/>
    </row>
    <row r="26" spans="1:15" s="13" customFormat="1" ht="12.75" x14ac:dyDescent="0.2">
      <c r="A26" s="20">
        <v>0</v>
      </c>
      <c r="B26" s="20">
        <v>1</v>
      </c>
      <c r="C26" s="20" t="s">
        <v>36</v>
      </c>
      <c r="D26" s="20">
        <f>'Inflammatory HD'!D26</f>
        <v>9.4</v>
      </c>
      <c r="E26" s="236">
        <f t="shared" si="5"/>
        <v>1.31028262406404E-2</v>
      </c>
      <c r="F26" s="19"/>
      <c r="G26" s="16"/>
      <c r="H26" s="17"/>
      <c r="I26" s="17"/>
      <c r="J26" s="17"/>
      <c r="K26" s="23"/>
      <c r="L26" s="23"/>
      <c r="M26" s="23"/>
      <c r="N26" s="23"/>
    </row>
    <row r="27" spans="1:15" s="13" customFormat="1" ht="12.75" x14ac:dyDescent="0.2">
      <c r="A27" s="20">
        <v>0</v>
      </c>
      <c r="B27" s="20">
        <v>1</v>
      </c>
      <c r="C27" s="20" t="s">
        <v>35</v>
      </c>
      <c r="D27" s="20">
        <f>'Inflammatory HD'!D27</f>
        <v>9.4</v>
      </c>
      <c r="E27" s="236">
        <f t="shared" si="5"/>
        <v>1.31028262406404E-2</v>
      </c>
      <c r="F27" s="19"/>
      <c r="G27" s="16"/>
      <c r="H27" s="17"/>
      <c r="I27" s="17"/>
      <c r="J27" s="17"/>
      <c r="K27" s="23"/>
      <c r="L27" s="23"/>
      <c r="M27" s="23"/>
      <c r="N27" s="23"/>
    </row>
    <row r="28" spans="1:15" s="13" customFormat="1" ht="12.75" x14ac:dyDescent="0.2">
      <c r="A28" s="20">
        <v>0</v>
      </c>
      <c r="B28" s="20">
        <v>2</v>
      </c>
      <c r="C28" s="20" t="s">
        <v>2</v>
      </c>
      <c r="D28" s="20">
        <f>'Inflammatory HD'!D28</f>
        <v>9.4</v>
      </c>
      <c r="E28" s="19"/>
      <c r="F28" s="19"/>
      <c r="G28" s="16"/>
      <c r="H28" s="17"/>
      <c r="I28" s="17"/>
      <c r="J28" s="17"/>
      <c r="K28" s="23"/>
      <c r="L28" s="23"/>
      <c r="M28" s="23"/>
      <c r="N28" s="23"/>
    </row>
    <row r="29" spans="1:15" s="13" customFormat="1" ht="12.75" x14ac:dyDescent="0.2">
      <c r="A29" s="20">
        <v>0</v>
      </c>
      <c r="B29" s="20">
        <v>2</v>
      </c>
      <c r="C29" s="20" t="s">
        <v>41</v>
      </c>
      <c r="D29" s="20">
        <f>'Inflammatory HD'!D29</f>
        <v>0</v>
      </c>
      <c r="E29" s="19"/>
      <c r="F29" s="19"/>
      <c r="G29" s="16"/>
      <c r="H29" s="17"/>
      <c r="I29" s="17"/>
      <c r="J29" s="17"/>
      <c r="K29" s="23"/>
      <c r="L29" s="23"/>
      <c r="M29" s="23"/>
      <c r="N29" s="23"/>
    </row>
    <row r="30" spans="1:15" s="13" customFormat="1" ht="12.75" x14ac:dyDescent="0.2">
      <c r="A30" s="20">
        <v>0</v>
      </c>
      <c r="B30" s="20">
        <v>2</v>
      </c>
      <c r="C30" s="20" t="s">
        <v>40</v>
      </c>
      <c r="D30" s="20">
        <f>'Inflammatory HD'!D30</f>
        <v>0</v>
      </c>
      <c r="E30" s="236">
        <f t="shared" ref="E30:E35" si="6">E13</f>
        <v>1.31028262406404E-2</v>
      </c>
      <c r="F30" s="19"/>
      <c r="G30" s="16"/>
      <c r="H30" s="17"/>
      <c r="I30" s="17"/>
      <c r="J30" s="17"/>
      <c r="K30" s="23"/>
      <c r="L30" s="23"/>
      <c r="M30" s="23"/>
      <c r="N30" s="23"/>
    </row>
    <row r="31" spans="1:15" s="13" customFormat="1" ht="12.75" x14ac:dyDescent="0.2">
      <c r="A31" s="20">
        <v>0</v>
      </c>
      <c r="B31" s="20">
        <v>2</v>
      </c>
      <c r="C31" s="20" t="s">
        <v>39</v>
      </c>
      <c r="D31" s="20">
        <f>'Inflammatory HD'!D31</f>
        <v>9.4</v>
      </c>
      <c r="E31" s="236">
        <f t="shared" si="6"/>
        <v>1.31028262406404E-2</v>
      </c>
      <c r="F31" s="19"/>
      <c r="G31" s="16"/>
      <c r="H31" s="17"/>
      <c r="I31" s="17"/>
      <c r="J31" s="17"/>
      <c r="K31" s="23"/>
      <c r="L31" s="23"/>
      <c r="M31" s="23"/>
      <c r="N31" s="23"/>
    </row>
    <row r="32" spans="1:15" s="13" customFormat="1" ht="12.75" x14ac:dyDescent="0.2">
      <c r="A32" s="20">
        <v>0</v>
      </c>
      <c r="B32" s="20">
        <v>2</v>
      </c>
      <c r="C32" s="20" t="s">
        <v>38</v>
      </c>
      <c r="D32" s="20">
        <f>'Inflammatory HD'!D32</f>
        <v>9.4</v>
      </c>
      <c r="E32" s="236">
        <f t="shared" si="6"/>
        <v>1.31028262406404E-2</v>
      </c>
      <c r="F32" s="19"/>
      <c r="G32" s="16"/>
      <c r="H32" s="17"/>
      <c r="I32" s="17"/>
      <c r="J32" s="17"/>
      <c r="K32" s="23"/>
      <c r="L32" s="23"/>
      <c r="M32" s="23"/>
      <c r="N32" s="23"/>
    </row>
    <row r="33" spans="1:14" s="13" customFormat="1" ht="12.75" x14ac:dyDescent="0.2">
      <c r="A33" s="20">
        <v>0</v>
      </c>
      <c r="B33" s="20">
        <v>2</v>
      </c>
      <c r="C33" s="20" t="s">
        <v>37</v>
      </c>
      <c r="D33" s="20">
        <f>'Inflammatory HD'!D33</f>
        <v>9.4</v>
      </c>
      <c r="E33" s="236">
        <f t="shared" si="6"/>
        <v>1.31028262406404E-2</v>
      </c>
      <c r="F33" s="19"/>
      <c r="G33" s="16"/>
      <c r="H33" s="17"/>
      <c r="I33" s="17"/>
      <c r="J33" s="17"/>
      <c r="K33" s="23"/>
      <c r="L33" s="23"/>
      <c r="M33" s="23"/>
      <c r="N33" s="23"/>
    </row>
    <row r="34" spans="1:14" s="13" customFormat="1" ht="12.75" x14ac:dyDescent="0.2">
      <c r="A34" s="20">
        <v>0</v>
      </c>
      <c r="B34" s="20">
        <v>2</v>
      </c>
      <c r="C34" s="20" t="s">
        <v>36</v>
      </c>
      <c r="D34" s="20">
        <f>'Inflammatory HD'!D34</f>
        <v>9.4</v>
      </c>
      <c r="E34" s="236">
        <f t="shared" si="6"/>
        <v>1.31028262406404E-2</v>
      </c>
      <c r="F34" s="19"/>
      <c r="G34" s="16"/>
      <c r="H34" s="17"/>
      <c r="I34" s="17"/>
      <c r="J34" s="17"/>
      <c r="K34" s="23"/>
      <c r="L34" s="23"/>
      <c r="M34" s="23"/>
      <c r="N34" s="23"/>
    </row>
    <row r="35" spans="1:14" s="13" customFormat="1" ht="12.75" x14ac:dyDescent="0.2">
      <c r="A35" s="20">
        <v>0</v>
      </c>
      <c r="B35" s="20">
        <v>2</v>
      </c>
      <c r="C35" s="20" t="s">
        <v>35</v>
      </c>
      <c r="D35" s="20">
        <f>'Inflammatory HD'!D35</f>
        <v>9.4</v>
      </c>
      <c r="E35" s="236">
        <f t="shared" si="6"/>
        <v>1.31028262406404E-2</v>
      </c>
      <c r="F35" s="19"/>
      <c r="G35" s="16"/>
      <c r="H35" s="17"/>
      <c r="I35" s="17"/>
      <c r="J35" s="17"/>
      <c r="K35" s="23"/>
      <c r="L35" s="23"/>
      <c r="M35" s="23"/>
      <c r="N35" s="23"/>
    </row>
  </sheetData>
  <mergeCells count="1">
    <mergeCell ref="L1:O1"/>
  </mergeCell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Normal="100" workbookViewId="0"/>
  </sheetViews>
  <sheetFormatPr defaultColWidth="9.140625" defaultRowHeight="15" x14ac:dyDescent="0.25"/>
  <cols>
    <col min="1" max="2" width="11.140625" style="10" customWidth="1"/>
    <col min="3" max="3" width="10.5703125" style="10" customWidth="1"/>
    <col min="4" max="4" width="13" style="10" customWidth="1"/>
    <col min="5" max="6" width="16" style="10" customWidth="1"/>
    <col min="7" max="7" width="8.85546875" style="12" customWidth="1"/>
    <col min="8" max="8" width="12.140625" style="10" customWidth="1"/>
    <col min="9" max="9" width="11" style="10" customWidth="1"/>
    <col min="10" max="10" width="13" style="12" customWidth="1"/>
    <col min="11" max="11" width="12.42578125" style="10" customWidth="1"/>
    <col min="12" max="12" width="6.7109375" style="10" customWidth="1"/>
    <col min="13" max="13" width="6.85546875" style="10" customWidth="1"/>
    <col min="14" max="14" width="6" style="10" customWidth="1"/>
    <col min="15" max="16384" width="9.140625" style="10"/>
  </cols>
  <sheetData>
    <row r="1" spans="1:15" s="13" customFormat="1" ht="46.5" customHeight="1" x14ac:dyDescent="0.2">
      <c r="A1" s="20"/>
      <c r="B1" s="20"/>
      <c r="C1" s="20"/>
      <c r="D1" s="227" t="s">
        <v>148</v>
      </c>
      <c r="E1" s="29"/>
      <c r="F1" s="224" t="s">
        <v>54</v>
      </c>
      <c r="G1" s="225" t="s">
        <v>75</v>
      </c>
      <c r="H1" s="224" t="s">
        <v>152</v>
      </c>
      <c r="I1" s="224" t="s">
        <v>150</v>
      </c>
      <c r="J1" s="225" t="s">
        <v>151</v>
      </c>
      <c r="K1" s="225" t="s">
        <v>153</v>
      </c>
      <c r="L1" s="1357" t="s">
        <v>49</v>
      </c>
      <c r="M1" s="1357"/>
      <c r="N1" s="1357"/>
      <c r="O1" s="1357"/>
    </row>
    <row r="2" spans="1:15" s="23" customFormat="1" ht="44.25" customHeight="1" x14ac:dyDescent="0.2">
      <c r="A2" s="29" t="s">
        <v>48</v>
      </c>
      <c r="B2" s="29" t="s">
        <v>47</v>
      </c>
      <c r="C2" s="29" t="s">
        <v>46</v>
      </c>
      <c r="D2" s="20"/>
      <c r="E2" s="224" t="s">
        <v>149</v>
      </c>
      <c r="F2" s="224"/>
      <c r="G2" s="225"/>
      <c r="H2" s="224"/>
      <c r="I2" s="224"/>
      <c r="J2" s="224"/>
      <c r="K2" s="224"/>
      <c r="L2" s="568" t="s">
        <v>44</v>
      </c>
      <c r="M2" s="567" t="s">
        <v>43</v>
      </c>
      <c r="N2" s="567" t="s">
        <v>42</v>
      </c>
      <c r="O2" s="567" t="s">
        <v>29</v>
      </c>
    </row>
    <row r="3" spans="1:15" s="13" customFormat="1" ht="12.75" x14ac:dyDescent="0.2">
      <c r="A3" s="20">
        <v>1</v>
      </c>
      <c r="B3" s="20">
        <v>1</v>
      </c>
      <c r="C3" s="20" t="s">
        <v>2</v>
      </c>
      <c r="D3" s="20">
        <f>'Lung Cancer'!D3</f>
        <v>9.4</v>
      </c>
      <c r="E3" s="15"/>
      <c r="F3" s="15"/>
      <c r="G3" s="16"/>
      <c r="H3" s="17"/>
      <c r="I3" s="17"/>
      <c r="J3" s="17"/>
      <c r="K3" s="17"/>
      <c r="L3" s="23"/>
      <c r="M3" s="23"/>
      <c r="N3" s="23"/>
    </row>
    <row r="4" spans="1:15" s="13" customFormat="1" ht="12.75" x14ac:dyDescent="0.2">
      <c r="A4" s="20">
        <v>1</v>
      </c>
      <c r="B4" s="20">
        <v>1</v>
      </c>
      <c r="C4" s="20" t="s">
        <v>41</v>
      </c>
      <c r="D4" s="20">
        <f>'Lung Cancer'!D4</f>
        <v>0</v>
      </c>
      <c r="E4" s="15"/>
      <c r="F4" s="15"/>
      <c r="G4" s="16"/>
      <c r="H4" s="17"/>
      <c r="I4" s="17"/>
      <c r="J4" s="17"/>
      <c r="K4" s="17"/>
      <c r="L4" s="23"/>
      <c r="M4" s="23"/>
      <c r="N4" s="23"/>
    </row>
    <row r="5" spans="1:15" s="13" customFormat="1" ht="12.75" x14ac:dyDescent="0.2">
      <c r="A5" s="20">
        <v>1</v>
      </c>
      <c r="B5" s="20">
        <v>1</v>
      </c>
      <c r="C5" s="20" t="s">
        <v>40</v>
      </c>
      <c r="D5" s="20">
        <f>'Lung Cancer'!D5</f>
        <v>0</v>
      </c>
      <c r="E5" s="236"/>
      <c r="F5" s="19"/>
      <c r="G5" s="31"/>
      <c r="H5" s="17"/>
      <c r="I5" s="17"/>
      <c r="J5" s="17"/>
      <c r="K5" s="17"/>
      <c r="L5" s="23"/>
      <c r="M5" s="23"/>
      <c r="N5" s="23"/>
    </row>
    <row r="6" spans="1:15" s="13" customFormat="1" ht="12.75" x14ac:dyDescent="0.2">
      <c r="A6" s="20">
        <v>1</v>
      </c>
      <c r="B6" s="20">
        <v>1</v>
      </c>
      <c r="C6" s="20" t="s">
        <v>39</v>
      </c>
      <c r="D6" s="20">
        <f>'Lung Cancer'!D6</f>
        <v>9.4</v>
      </c>
      <c r="E6" s="336">
        <v>8.6180000000000007E-3</v>
      </c>
      <c r="F6" s="301">
        <f>EXP(E6*(D6-D23))</f>
        <v>1</v>
      </c>
      <c r="G6" s="31">
        <f>1-F6</f>
        <v>0</v>
      </c>
      <c r="H6" s="17">
        <f>$G6*GBDUS!O184</f>
        <v>0</v>
      </c>
      <c r="I6" s="17">
        <f>$G6*GBDUS!P184</f>
        <v>0</v>
      </c>
      <c r="J6" s="17">
        <v>0</v>
      </c>
      <c r="K6" s="17">
        <f t="shared" ref="K6:K18" si="0">I6+J6</f>
        <v>0</v>
      </c>
      <c r="L6" s="23"/>
      <c r="M6" s="23"/>
      <c r="N6" s="23"/>
    </row>
    <row r="7" spans="1:15" s="13" customFormat="1" ht="12.75" x14ac:dyDescent="0.2">
      <c r="A7" s="20">
        <v>1</v>
      </c>
      <c r="B7" s="20">
        <v>1</v>
      </c>
      <c r="C7" s="20" t="s">
        <v>38</v>
      </c>
      <c r="D7" s="20">
        <f>'Lung Cancer'!D7</f>
        <v>9.4</v>
      </c>
      <c r="E7" s="336">
        <v>8.6180000000000007E-3</v>
      </c>
      <c r="F7" s="301">
        <f>EXP(E7*(D7-D24))</f>
        <v>1</v>
      </c>
      <c r="G7" s="31">
        <f>1-F7</f>
        <v>0</v>
      </c>
      <c r="H7" s="17">
        <f>$G7*GBDUS!O185</f>
        <v>0</v>
      </c>
      <c r="I7" s="17">
        <f>$G7*GBDUS!P185</f>
        <v>0</v>
      </c>
      <c r="J7" s="17">
        <v>0</v>
      </c>
      <c r="K7" s="17">
        <f t="shared" si="0"/>
        <v>0</v>
      </c>
      <c r="L7" s="23"/>
      <c r="M7" s="23"/>
      <c r="N7" s="23"/>
    </row>
    <row r="8" spans="1:15" s="13" customFormat="1" ht="12.75" x14ac:dyDescent="0.2">
      <c r="A8" s="20">
        <v>1</v>
      </c>
      <c r="B8" s="20">
        <v>1</v>
      </c>
      <c r="C8" s="20" t="s">
        <v>37</v>
      </c>
      <c r="D8" s="20">
        <f>'Lung Cancer'!D8</f>
        <v>9.4</v>
      </c>
      <c r="E8" s="336">
        <v>8.6180000000000007E-3</v>
      </c>
      <c r="F8" s="301">
        <f>EXP(E8*(D8-D25))</f>
        <v>1</v>
      </c>
      <c r="G8" s="31">
        <f>1-F8</f>
        <v>0</v>
      </c>
      <c r="H8" s="17">
        <f>$G8*GBDUS!O186</f>
        <v>0</v>
      </c>
      <c r="I8" s="17">
        <f>$G8*GBDUS!P186</f>
        <v>0</v>
      </c>
      <c r="J8" s="17">
        <v>0</v>
      </c>
      <c r="K8" s="17">
        <f t="shared" si="0"/>
        <v>0</v>
      </c>
      <c r="L8" s="23"/>
      <c r="M8" s="23"/>
      <c r="N8" s="23"/>
    </row>
    <row r="9" spans="1:15" s="13" customFormat="1" ht="12.75" x14ac:dyDescent="0.2">
      <c r="A9" s="20">
        <v>1</v>
      </c>
      <c r="B9" s="20">
        <v>1</v>
      </c>
      <c r="C9" s="20" t="s">
        <v>36</v>
      </c>
      <c r="D9" s="20">
        <f>'Lung Cancer'!D9</f>
        <v>9.4</v>
      </c>
      <c r="E9" s="336">
        <v>8.6180000000000007E-3</v>
      </c>
      <c r="F9" s="301">
        <f>EXP(E9*(D9-D26))</f>
        <v>1</v>
      </c>
      <c r="G9" s="31">
        <f>1-F9</f>
        <v>0</v>
      </c>
      <c r="H9" s="17">
        <f>$G9*GBDUS!O187</f>
        <v>0</v>
      </c>
      <c r="I9" s="17">
        <f>$G9*GBDUS!P187</f>
        <v>0</v>
      </c>
      <c r="J9" s="17">
        <v>0</v>
      </c>
      <c r="K9" s="17">
        <f t="shared" si="0"/>
        <v>0</v>
      </c>
      <c r="L9" s="23"/>
      <c r="M9" s="23"/>
      <c r="N9" s="23"/>
    </row>
    <row r="10" spans="1:15" s="13" customFormat="1" ht="12.75" x14ac:dyDescent="0.2">
      <c r="A10" s="20">
        <v>1</v>
      </c>
      <c r="B10" s="20">
        <v>1</v>
      </c>
      <c r="C10" s="20" t="s">
        <v>35</v>
      </c>
      <c r="D10" s="20">
        <f>'Lung Cancer'!D10</f>
        <v>9.4</v>
      </c>
      <c r="E10" s="336">
        <v>8.6180000000000007E-3</v>
      </c>
      <c r="F10" s="301">
        <f>EXP(E10*(D10-D27))</f>
        <v>1</v>
      </c>
      <c r="G10" s="31">
        <f>1-F10</f>
        <v>0</v>
      </c>
      <c r="H10" s="17">
        <f>$G10*GBDUS!O188</f>
        <v>0</v>
      </c>
      <c r="I10" s="17">
        <f>$G10*GBDUS!P188</f>
        <v>0</v>
      </c>
      <c r="J10" s="17">
        <v>0</v>
      </c>
      <c r="K10" s="17">
        <f t="shared" si="0"/>
        <v>0</v>
      </c>
      <c r="L10" s="23"/>
      <c r="M10" s="23"/>
      <c r="N10" s="23"/>
    </row>
    <row r="11" spans="1:15" s="13" customFormat="1" ht="12.75" x14ac:dyDescent="0.2">
      <c r="A11" s="20">
        <v>1</v>
      </c>
      <c r="B11" s="20">
        <v>2</v>
      </c>
      <c r="C11" s="20" t="s">
        <v>2</v>
      </c>
      <c r="D11" s="20">
        <f>'Lung Cancer'!D11</f>
        <v>9.4</v>
      </c>
      <c r="E11" s="19"/>
      <c r="F11" s="301"/>
      <c r="G11" s="31"/>
      <c r="J11" s="17">
        <v>0</v>
      </c>
      <c r="L11" s="17">
        <f>SUM(H5:H10)</f>
        <v>0</v>
      </c>
      <c r="M11" s="17">
        <f>SUM(I5:I10)</f>
        <v>0</v>
      </c>
      <c r="N11" s="17">
        <f>SUM(J5:J10)</f>
        <v>0</v>
      </c>
      <c r="O11" s="17">
        <f>M11+N11</f>
        <v>0</v>
      </c>
    </row>
    <row r="12" spans="1:15" s="13" customFormat="1" ht="12.75" x14ac:dyDescent="0.2">
      <c r="A12" s="20">
        <v>1</v>
      </c>
      <c r="B12" s="20">
        <v>2</v>
      </c>
      <c r="C12" s="20" t="s">
        <v>41</v>
      </c>
      <c r="D12" s="20">
        <f>'Lung Cancer'!D12</f>
        <v>0</v>
      </c>
      <c r="E12" s="19"/>
      <c r="F12" s="301"/>
      <c r="G12" s="31"/>
      <c r="H12" s="17"/>
      <c r="I12" s="17"/>
      <c r="J12" s="17">
        <v>0</v>
      </c>
      <c r="K12" s="17">
        <f t="shared" si="0"/>
        <v>0</v>
      </c>
      <c r="L12" s="23"/>
      <c r="M12" s="23"/>
      <c r="N12" s="23"/>
    </row>
    <row r="13" spans="1:15" s="13" customFormat="1" ht="12.75" x14ac:dyDescent="0.2">
      <c r="A13" s="20">
        <v>1</v>
      </c>
      <c r="B13" s="20">
        <v>2</v>
      </c>
      <c r="C13" s="20" t="s">
        <v>40</v>
      </c>
      <c r="D13" s="20">
        <f>'Lung Cancer'!D13</f>
        <v>0</v>
      </c>
      <c r="E13" s="336">
        <v>8.6180000000000007E-3</v>
      </c>
      <c r="F13" s="301">
        <f t="shared" ref="F13:F18" si="1">EXP(E13*(D13-D30))</f>
        <v>1</v>
      </c>
      <c r="G13" s="31">
        <f t="shared" ref="G13:G18" si="2">1-F13</f>
        <v>0</v>
      </c>
      <c r="H13" s="17">
        <f>$G13*GBDUS!O191</f>
        <v>0</v>
      </c>
      <c r="I13" s="17">
        <f>$G13*GBDUS!P191</f>
        <v>0</v>
      </c>
      <c r="J13" s="17">
        <v>0</v>
      </c>
      <c r="K13" s="17">
        <f t="shared" si="0"/>
        <v>0</v>
      </c>
      <c r="L13" s="23"/>
      <c r="M13" s="23"/>
      <c r="N13" s="23"/>
    </row>
    <row r="14" spans="1:15" s="13" customFormat="1" ht="12.75" x14ac:dyDescent="0.2">
      <c r="A14" s="20">
        <v>1</v>
      </c>
      <c r="B14" s="20">
        <v>2</v>
      </c>
      <c r="C14" s="20" t="s">
        <v>39</v>
      </c>
      <c r="D14" s="20">
        <f>'Lung Cancer'!D14</f>
        <v>9.4</v>
      </c>
      <c r="E14" s="336">
        <v>8.6180000000000007E-3</v>
      </c>
      <c r="F14" s="301">
        <f t="shared" si="1"/>
        <v>1</v>
      </c>
      <c r="G14" s="31">
        <f t="shared" si="2"/>
        <v>0</v>
      </c>
      <c r="H14" s="17">
        <f>$G14*GBDUS!O192</f>
        <v>0</v>
      </c>
      <c r="I14" s="17">
        <f>$G14*GBDUS!P192</f>
        <v>0</v>
      </c>
      <c r="J14" s="17">
        <v>0</v>
      </c>
      <c r="K14" s="17">
        <f t="shared" si="0"/>
        <v>0</v>
      </c>
      <c r="L14" s="23"/>
      <c r="M14" s="23"/>
      <c r="N14" s="23"/>
    </row>
    <row r="15" spans="1:15" s="13" customFormat="1" ht="12.75" x14ac:dyDescent="0.2">
      <c r="A15" s="20">
        <v>1</v>
      </c>
      <c r="B15" s="20">
        <v>2</v>
      </c>
      <c r="C15" s="20" t="s">
        <v>38</v>
      </c>
      <c r="D15" s="20">
        <f>'Lung Cancer'!D15</f>
        <v>9.4</v>
      </c>
      <c r="E15" s="336">
        <v>8.6180000000000007E-3</v>
      </c>
      <c r="F15" s="301">
        <f t="shared" si="1"/>
        <v>1</v>
      </c>
      <c r="G15" s="31">
        <f t="shared" si="2"/>
        <v>0</v>
      </c>
      <c r="H15" s="17">
        <f>$G15*GBDUS!O193</f>
        <v>0</v>
      </c>
      <c r="I15" s="17">
        <f>$G15*GBDUS!P193</f>
        <v>0</v>
      </c>
      <c r="J15" s="17">
        <v>0</v>
      </c>
      <c r="K15" s="17">
        <f t="shared" si="0"/>
        <v>0</v>
      </c>
      <c r="L15" s="23"/>
      <c r="M15" s="23"/>
      <c r="N15" s="23"/>
    </row>
    <row r="16" spans="1:15" s="13" customFormat="1" ht="12.75" x14ac:dyDescent="0.2">
      <c r="A16" s="20">
        <v>1</v>
      </c>
      <c r="B16" s="20">
        <v>2</v>
      </c>
      <c r="C16" s="20" t="s">
        <v>37</v>
      </c>
      <c r="D16" s="20">
        <f>'Lung Cancer'!D16</f>
        <v>9.4</v>
      </c>
      <c r="E16" s="336">
        <v>8.6180000000000007E-3</v>
      </c>
      <c r="F16" s="301">
        <f t="shared" si="1"/>
        <v>1</v>
      </c>
      <c r="G16" s="31">
        <f t="shared" si="2"/>
        <v>0</v>
      </c>
      <c r="H16" s="17">
        <f>$G16*GBDUS!O194</f>
        <v>0</v>
      </c>
      <c r="I16" s="17">
        <f>$G16*GBDUS!P194</f>
        <v>0</v>
      </c>
      <c r="J16" s="17">
        <v>0</v>
      </c>
      <c r="K16" s="17">
        <f t="shared" si="0"/>
        <v>0</v>
      </c>
      <c r="L16" s="23"/>
      <c r="M16" s="23"/>
      <c r="N16" s="23"/>
    </row>
    <row r="17" spans="1:15" s="13" customFormat="1" ht="12.75" x14ac:dyDescent="0.2">
      <c r="A17" s="20">
        <v>1</v>
      </c>
      <c r="B17" s="20">
        <v>2</v>
      </c>
      <c r="C17" s="20" t="s">
        <v>36</v>
      </c>
      <c r="D17" s="20">
        <f>'Lung Cancer'!D17</f>
        <v>9.4</v>
      </c>
      <c r="E17" s="336">
        <v>8.6180000000000007E-3</v>
      </c>
      <c r="F17" s="301">
        <f t="shared" si="1"/>
        <v>1</v>
      </c>
      <c r="G17" s="31">
        <f t="shared" si="2"/>
        <v>0</v>
      </c>
      <c r="H17" s="17">
        <f>$G17*GBDUS!O195</f>
        <v>0</v>
      </c>
      <c r="I17" s="17">
        <f>$G17*GBDUS!P195</f>
        <v>0</v>
      </c>
      <c r="J17" s="17">
        <v>0</v>
      </c>
      <c r="K17" s="17">
        <f t="shared" si="0"/>
        <v>0</v>
      </c>
      <c r="L17" s="23"/>
      <c r="M17" s="23"/>
      <c r="N17" s="23"/>
    </row>
    <row r="18" spans="1:15" s="13" customFormat="1" ht="12.75" x14ac:dyDescent="0.2">
      <c r="A18" s="20">
        <v>1</v>
      </c>
      <c r="B18" s="20">
        <v>2</v>
      </c>
      <c r="C18" s="20" t="s">
        <v>35</v>
      </c>
      <c r="D18" s="20">
        <f>'Lung Cancer'!D18</f>
        <v>9.4</v>
      </c>
      <c r="E18" s="336">
        <v>8.6180000000000007E-3</v>
      </c>
      <c r="F18" s="301">
        <f t="shared" si="1"/>
        <v>1</v>
      </c>
      <c r="G18" s="31">
        <f t="shared" si="2"/>
        <v>0</v>
      </c>
      <c r="H18" s="17">
        <f>$G18*GBDUS!O196</f>
        <v>0</v>
      </c>
      <c r="I18" s="17">
        <f>$G18*GBDUS!P196</f>
        <v>0</v>
      </c>
      <c r="J18" s="17">
        <v>0</v>
      </c>
      <c r="K18" s="17">
        <f t="shared" si="0"/>
        <v>0</v>
      </c>
      <c r="L18" s="23"/>
      <c r="M18" s="23"/>
      <c r="N18" s="23"/>
    </row>
    <row r="19" spans="1:15" s="13" customFormat="1" ht="12.75" x14ac:dyDescent="0.2">
      <c r="A19" s="20"/>
      <c r="B19" s="20"/>
      <c r="C19" s="20"/>
      <c r="D19" s="20">
        <f>'Lung Cancer'!D19</f>
        <v>0</v>
      </c>
      <c r="E19" s="15"/>
      <c r="F19" s="15"/>
      <c r="G19" s="16"/>
      <c r="L19" s="17">
        <f>SUM(H13:H18)</f>
        <v>0</v>
      </c>
      <c r="M19" s="17">
        <f>SUM(I13:I18)</f>
        <v>0</v>
      </c>
      <c r="N19" s="17">
        <f>SUM(J13:J18)</f>
        <v>0</v>
      </c>
      <c r="O19" s="17">
        <f>M19+N19</f>
        <v>0</v>
      </c>
    </row>
    <row r="20" spans="1:15" s="13" customFormat="1" ht="12.75" x14ac:dyDescent="0.2">
      <c r="A20" s="20">
        <v>0</v>
      </c>
      <c r="B20" s="20">
        <v>1</v>
      </c>
      <c r="C20" s="20" t="s">
        <v>2</v>
      </c>
      <c r="D20" s="236">
        <f>'Lung Cancer'!D20</f>
        <v>9.4</v>
      </c>
      <c r="E20" s="15"/>
      <c r="F20" s="15"/>
      <c r="G20" s="16"/>
      <c r="L20" s="17">
        <f>L19+L11</f>
        <v>0</v>
      </c>
      <c r="M20" s="17">
        <f>M19+M11</f>
        <v>0</v>
      </c>
      <c r="N20" s="17">
        <f>N19+N11</f>
        <v>0</v>
      </c>
      <c r="O20" s="17">
        <f>O19+O11</f>
        <v>0</v>
      </c>
    </row>
    <row r="21" spans="1:15" s="13" customFormat="1" ht="12.75" x14ac:dyDescent="0.2">
      <c r="A21" s="20">
        <v>0</v>
      </c>
      <c r="B21" s="20">
        <v>1</v>
      </c>
      <c r="C21" s="20" t="s">
        <v>41</v>
      </c>
      <c r="D21" s="236">
        <f>'Lung Cancer'!D21</f>
        <v>9.4</v>
      </c>
      <c r="E21" s="15"/>
      <c r="F21" s="15"/>
      <c r="G21" s="16"/>
      <c r="L21" s="390">
        <f>L20/GBDUS!O197</f>
        <v>0</v>
      </c>
      <c r="M21" s="390">
        <f>M20/GBDUS!P197</f>
        <v>0</v>
      </c>
      <c r="N21" s="390">
        <f>N20/GBDUS!Q197</f>
        <v>0</v>
      </c>
      <c r="O21" s="402">
        <f>O20/GBDUS!R197</f>
        <v>0</v>
      </c>
    </row>
    <row r="22" spans="1:15" s="13" customFormat="1" ht="12.75" x14ac:dyDescent="0.2">
      <c r="A22" s="20">
        <v>0</v>
      </c>
      <c r="B22" s="20">
        <v>1</v>
      </c>
      <c r="C22" s="20" t="s">
        <v>40</v>
      </c>
      <c r="D22" s="236">
        <f>'Lung Cancer'!D22</f>
        <v>0</v>
      </c>
      <c r="E22" s="236">
        <f t="shared" ref="E22:E27" si="3">E5</f>
        <v>0</v>
      </c>
      <c r="F22" s="19"/>
      <c r="G22" s="16"/>
      <c r="H22" s="17"/>
      <c r="I22" s="17"/>
      <c r="J22" s="17"/>
      <c r="K22" s="23"/>
      <c r="L22" s="23"/>
      <c r="M22" s="23"/>
      <c r="N22" s="23"/>
    </row>
    <row r="23" spans="1:15" s="13" customFormat="1" ht="12.75" x14ac:dyDescent="0.2">
      <c r="A23" s="20">
        <v>0</v>
      </c>
      <c r="B23" s="20">
        <v>1</v>
      </c>
      <c r="C23" s="20" t="s">
        <v>39</v>
      </c>
      <c r="D23" s="236">
        <f>'Lung Cancer'!D23</f>
        <v>9.4</v>
      </c>
      <c r="E23" s="236">
        <f t="shared" si="3"/>
        <v>8.6180000000000007E-3</v>
      </c>
      <c r="F23" s="19"/>
      <c r="G23" s="16"/>
      <c r="H23" s="17"/>
      <c r="I23" s="17"/>
      <c r="J23" s="17"/>
      <c r="K23" s="23"/>
      <c r="L23" s="23"/>
      <c r="M23" s="23"/>
      <c r="N23" s="23"/>
    </row>
    <row r="24" spans="1:15" s="13" customFormat="1" ht="12.75" x14ac:dyDescent="0.2">
      <c r="A24" s="20">
        <v>0</v>
      </c>
      <c r="B24" s="20">
        <v>1</v>
      </c>
      <c r="C24" s="20" t="s">
        <v>38</v>
      </c>
      <c r="D24" s="236">
        <f>'Lung Cancer'!D24</f>
        <v>9.4</v>
      </c>
      <c r="E24" s="236">
        <f t="shared" si="3"/>
        <v>8.6180000000000007E-3</v>
      </c>
      <c r="F24" s="19"/>
      <c r="G24" s="16"/>
      <c r="H24" s="17"/>
      <c r="I24" s="17"/>
      <c r="J24" s="17"/>
      <c r="K24" s="23"/>
      <c r="L24" s="23"/>
      <c r="M24" s="23"/>
      <c r="N24" s="23"/>
    </row>
    <row r="25" spans="1:15" s="13" customFormat="1" ht="12.75" x14ac:dyDescent="0.2">
      <c r="A25" s="20">
        <v>0</v>
      </c>
      <c r="B25" s="20">
        <v>1</v>
      </c>
      <c r="C25" s="20" t="s">
        <v>37</v>
      </c>
      <c r="D25" s="236">
        <f>'Lung Cancer'!D25</f>
        <v>9.4</v>
      </c>
      <c r="E25" s="236">
        <f t="shared" si="3"/>
        <v>8.6180000000000007E-3</v>
      </c>
      <c r="F25" s="19"/>
      <c r="G25" s="16"/>
      <c r="H25" s="17"/>
      <c r="I25" s="17"/>
      <c r="J25" s="17"/>
      <c r="K25" s="23"/>
      <c r="L25" s="23"/>
      <c r="M25" s="23"/>
      <c r="N25" s="23"/>
    </row>
    <row r="26" spans="1:15" s="13" customFormat="1" ht="12.75" x14ac:dyDescent="0.2">
      <c r="A26" s="20">
        <v>0</v>
      </c>
      <c r="B26" s="20">
        <v>1</v>
      </c>
      <c r="C26" s="20" t="s">
        <v>36</v>
      </c>
      <c r="D26" s="236">
        <f>'Lung Cancer'!D26</f>
        <v>9.4</v>
      </c>
      <c r="E26" s="236">
        <f t="shared" si="3"/>
        <v>8.6180000000000007E-3</v>
      </c>
      <c r="F26" s="19"/>
      <c r="G26" s="16"/>
      <c r="H26" s="17"/>
      <c r="I26" s="17"/>
      <c r="J26" s="17"/>
      <c r="K26" s="23"/>
      <c r="L26" s="23"/>
      <c r="M26" s="23"/>
      <c r="N26" s="23"/>
    </row>
    <row r="27" spans="1:15" s="13" customFormat="1" ht="12.75" x14ac:dyDescent="0.2">
      <c r="A27" s="20">
        <v>0</v>
      </c>
      <c r="B27" s="20">
        <v>1</v>
      </c>
      <c r="C27" s="20" t="s">
        <v>35</v>
      </c>
      <c r="D27" s="236">
        <f>'Lung Cancer'!D27</f>
        <v>9.4</v>
      </c>
      <c r="E27" s="236">
        <f t="shared" si="3"/>
        <v>8.6180000000000007E-3</v>
      </c>
      <c r="F27" s="19"/>
      <c r="G27" s="16"/>
      <c r="H27" s="17"/>
      <c r="I27" s="17"/>
      <c r="J27" s="17"/>
      <c r="K27" s="23"/>
      <c r="L27" s="23"/>
      <c r="M27" s="23"/>
      <c r="N27" s="23"/>
    </row>
    <row r="28" spans="1:15" s="13" customFormat="1" ht="12.75" x14ac:dyDescent="0.2">
      <c r="A28" s="20">
        <v>0</v>
      </c>
      <c r="B28" s="20">
        <v>2</v>
      </c>
      <c r="C28" s="20" t="s">
        <v>2</v>
      </c>
      <c r="D28" s="236">
        <f>'Lung Cancer'!D28</f>
        <v>9.4</v>
      </c>
      <c r="E28" s="19"/>
      <c r="F28" s="19"/>
      <c r="G28" s="16"/>
      <c r="H28" s="17"/>
      <c r="I28" s="17"/>
      <c r="J28" s="17"/>
      <c r="K28" s="23"/>
      <c r="L28" s="23"/>
      <c r="M28" s="23"/>
      <c r="N28" s="23"/>
    </row>
    <row r="29" spans="1:15" s="13" customFormat="1" ht="12.75" x14ac:dyDescent="0.2">
      <c r="A29" s="20">
        <v>0</v>
      </c>
      <c r="B29" s="20">
        <v>2</v>
      </c>
      <c r="C29" s="20" t="s">
        <v>41</v>
      </c>
      <c r="D29" s="236">
        <f>'Lung Cancer'!D29</f>
        <v>0</v>
      </c>
      <c r="E29" s="19"/>
      <c r="F29" s="19"/>
      <c r="G29" s="16"/>
      <c r="H29" s="17"/>
      <c r="I29" s="17"/>
      <c r="J29" s="17"/>
      <c r="K29" s="23"/>
      <c r="L29" s="23"/>
      <c r="M29" s="23"/>
      <c r="N29" s="23"/>
    </row>
    <row r="30" spans="1:15" s="13" customFormat="1" ht="12.75" x14ac:dyDescent="0.2">
      <c r="A30" s="20">
        <v>0</v>
      </c>
      <c r="B30" s="20">
        <v>2</v>
      </c>
      <c r="C30" s="20" t="s">
        <v>40</v>
      </c>
      <c r="D30" s="236">
        <f>'Lung Cancer'!D30</f>
        <v>0</v>
      </c>
      <c r="E30" s="236">
        <f t="shared" ref="E30:E35" si="4">E13</f>
        <v>8.6180000000000007E-3</v>
      </c>
      <c r="F30" s="19"/>
      <c r="G30" s="16"/>
      <c r="H30" s="17"/>
      <c r="I30" s="17"/>
      <c r="J30" s="17"/>
      <c r="K30" s="23"/>
      <c r="L30" s="23"/>
      <c r="M30" s="23"/>
      <c r="N30" s="23"/>
    </row>
    <row r="31" spans="1:15" s="13" customFormat="1" ht="12.75" x14ac:dyDescent="0.2">
      <c r="A31" s="20">
        <v>0</v>
      </c>
      <c r="B31" s="20">
        <v>2</v>
      </c>
      <c r="C31" s="20" t="s">
        <v>39</v>
      </c>
      <c r="D31" s="236">
        <f>'Lung Cancer'!D31</f>
        <v>9.4</v>
      </c>
      <c r="E31" s="236">
        <f t="shared" si="4"/>
        <v>8.6180000000000007E-3</v>
      </c>
      <c r="F31" s="19"/>
      <c r="G31" s="16"/>
      <c r="H31" s="17"/>
      <c r="I31" s="17"/>
      <c r="J31" s="17"/>
      <c r="K31" s="23"/>
      <c r="L31" s="23"/>
      <c r="M31" s="23"/>
      <c r="N31" s="23"/>
    </row>
    <row r="32" spans="1:15" s="13" customFormat="1" ht="12.75" x14ac:dyDescent="0.2">
      <c r="A32" s="20">
        <v>0</v>
      </c>
      <c r="B32" s="20">
        <v>2</v>
      </c>
      <c r="C32" s="20" t="s">
        <v>38</v>
      </c>
      <c r="D32" s="236">
        <f>'Lung Cancer'!D32</f>
        <v>9.4</v>
      </c>
      <c r="E32" s="236">
        <f t="shared" si="4"/>
        <v>8.6180000000000007E-3</v>
      </c>
      <c r="F32" s="19"/>
      <c r="G32" s="16"/>
      <c r="H32" s="17"/>
      <c r="I32" s="17"/>
      <c r="J32" s="17"/>
      <c r="K32" s="23"/>
      <c r="L32" s="23"/>
      <c r="M32" s="23"/>
      <c r="N32" s="23"/>
    </row>
    <row r="33" spans="1:14" s="13" customFormat="1" ht="12.75" x14ac:dyDescent="0.2">
      <c r="A33" s="20">
        <v>0</v>
      </c>
      <c r="B33" s="20">
        <v>2</v>
      </c>
      <c r="C33" s="20" t="s">
        <v>37</v>
      </c>
      <c r="D33" s="236">
        <f>'Lung Cancer'!D33</f>
        <v>9.4</v>
      </c>
      <c r="E33" s="236">
        <f t="shared" si="4"/>
        <v>8.6180000000000007E-3</v>
      </c>
      <c r="F33" s="19"/>
      <c r="G33" s="16"/>
      <c r="H33" s="17"/>
      <c r="I33" s="17"/>
      <c r="J33" s="17"/>
      <c r="K33" s="23"/>
      <c r="L33" s="23"/>
      <c r="M33" s="23"/>
      <c r="N33" s="23"/>
    </row>
    <row r="34" spans="1:14" s="13" customFormat="1" ht="12.75" x14ac:dyDescent="0.2">
      <c r="A34" s="20">
        <v>0</v>
      </c>
      <c r="B34" s="20">
        <v>2</v>
      </c>
      <c r="C34" s="20" t="s">
        <v>36</v>
      </c>
      <c r="D34" s="236">
        <f>'Lung Cancer'!D34</f>
        <v>9.4</v>
      </c>
      <c r="E34" s="236">
        <f t="shared" si="4"/>
        <v>8.6180000000000007E-3</v>
      </c>
      <c r="F34" s="19"/>
      <c r="G34" s="16"/>
      <c r="H34" s="17"/>
      <c r="I34" s="17"/>
      <c r="J34" s="17"/>
      <c r="K34" s="23"/>
      <c r="L34" s="23"/>
      <c r="M34" s="23"/>
      <c r="N34" s="23"/>
    </row>
    <row r="35" spans="1:14" s="13" customFormat="1" ht="12.75" x14ac:dyDescent="0.2">
      <c r="A35" s="20">
        <v>0</v>
      </c>
      <c r="B35" s="20">
        <v>2</v>
      </c>
      <c r="C35" s="20" t="s">
        <v>35</v>
      </c>
      <c r="D35" s="236">
        <f>'Lung Cancer'!D35</f>
        <v>9.4</v>
      </c>
      <c r="E35" s="236">
        <f t="shared" si="4"/>
        <v>8.6180000000000007E-3</v>
      </c>
      <c r="F35" s="19"/>
      <c r="G35" s="16"/>
      <c r="H35" s="17"/>
      <c r="I35" s="17"/>
      <c r="J35" s="17"/>
      <c r="K35" s="23"/>
      <c r="L35" s="23"/>
      <c r="M35" s="23"/>
      <c r="N35" s="23"/>
    </row>
  </sheetData>
  <mergeCells count="1">
    <mergeCell ref="L1:O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35"/>
  <sheetViews>
    <sheetView zoomScale="90" zoomScaleNormal="90" workbookViewId="0">
      <selection activeCell="S7" sqref="S7"/>
    </sheetView>
  </sheetViews>
  <sheetFormatPr defaultColWidth="9.140625" defaultRowHeight="12" x14ac:dyDescent="0.2"/>
  <cols>
    <col min="1" max="1" width="5.7109375" style="323" customWidth="1"/>
    <col min="2" max="2" width="4" style="323" customWidth="1"/>
    <col min="3" max="3" width="6" style="323" customWidth="1"/>
    <col min="4" max="5" width="2.140625" style="323" customWidth="1"/>
    <col min="6" max="6" width="3" style="323" customWidth="1"/>
    <col min="7" max="8" width="3.140625" style="323" customWidth="1"/>
    <col min="9" max="10" width="2.140625" style="323" customWidth="1"/>
    <col min="11" max="11" width="3" style="323" customWidth="1"/>
    <col min="12" max="13" width="3.140625" style="323" customWidth="1"/>
    <col min="14" max="14" width="5.42578125" style="323" customWidth="1"/>
    <col min="15" max="19" width="3.5703125" style="323" customWidth="1"/>
    <col min="20" max="20" width="3.42578125" style="323" customWidth="1"/>
    <col min="21" max="22" width="3.5703125" style="323" customWidth="1"/>
    <col min="23" max="24" width="4.5703125" style="546" customWidth="1"/>
    <col min="25" max="25" width="4.5703125" style="323" customWidth="1"/>
    <col min="26" max="26" width="7.7109375" style="547" customWidth="1"/>
    <col min="27" max="27" width="7.85546875" style="547" customWidth="1"/>
    <col min="28" max="32" width="4.140625" style="323" customWidth="1"/>
    <col min="33" max="37" width="5" style="323" customWidth="1"/>
    <col min="38" max="42" width="5" style="547" customWidth="1"/>
    <col min="43" max="43" width="7.7109375" style="546" customWidth="1"/>
    <col min="44" max="44" width="5.85546875" style="323" customWidth="1"/>
    <col min="45" max="45" width="6.42578125" style="323" customWidth="1"/>
    <col min="46" max="46" width="7.42578125" style="323" customWidth="1"/>
    <col min="47" max="47" width="5.140625" style="323" customWidth="1"/>
    <col min="48" max="48" width="5.42578125" style="323" customWidth="1"/>
    <col min="49" max="49" width="4.5703125" style="323" customWidth="1"/>
    <col min="50" max="50" width="6" style="323" customWidth="1"/>
    <col min="51" max="16384" width="9.140625" style="323"/>
  </cols>
  <sheetData>
    <row r="1" spans="1:50" ht="46.5" customHeight="1" x14ac:dyDescent="0.2">
      <c r="A1" s="525"/>
      <c r="B1" s="525"/>
      <c r="C1" s="525"/>
      <c r="D1" s="1348" t="s">
        <v>57</v>
      </c>
      <c r="E1" s="1348"/>
      <c r="F1" s="1348"/>
      <c r="G1" s="1348"/>
      <c r="H1" s="1348"/>
      <c r="I1" s="1348" t="s">
        <v>56</v>
      </c>
      <c r="J1" s="1348"/>
      <c r="K1" s="1348"/>
      <c r="L1" s="1348"/>
      <c r="M1" s="1348"/>
      <c r="N1" s="526"/>
      <c r="O1" s="1348" t="s">
        <v>55</v>
      </c>
      <c r="P1" s="1348"/>
      <c r="Q1" s="1348"/>
      <c r="R1" s="1348"/>
      <c r="S1" s="1348"/>
      <c r="T1" s="1351" t="s">
        <v>53</v>
      </c>
      <c r="U1" s="1352"/>
      <c r="V1" s="1352"/>
      <c r="W1" s="1352"/>
      <c r="X1" s="1353"/>
      <c r="Y1" s="527" t="s">
        <v>76</v>
      </c>
      <c r="Z1" s="528" t="s">
        <v>75</v>
      </c>
      <c r="AA1" s="528" t="s">
        <v>147</v>
      </c>
      <c r="AB1" s="1348" t="s">
        <v>52</v>
      </c>
      <c r="AC1" s="1348"/>
      <c r="AD1" s="1348"/>
      <c r="AE1" s="1348"/>
      <c r="AF1" s="1348"/>
      <c r="AG1" s="1348" t="s">
        <v>51</v>
      </c>
      <c r="AH1" s="1348"/>
      <c r="AI1" s="1348"/>
      <c r="AJ1" s="1348"/>
      <c r="AK1" s="1348"/>
      <c r="AL1" s="1349" t="s">
        <v>50</v>
      </c>
      <c r="AM1" s="1349"/>
      <c r="AN1" s="1349"/>
      <c r="AO1" s="1349"/>
      <c r="AP1" s="1349"/>
      <c r="AQ1" s="1350" t="s">
        <v>49</v>
      </c>
      <c r="AR1" s="1350"/>
      <c r="AS1" s="1350"/>
      <c r="AT1" s="1350"/>
      <c r="AU1" s="1399"/>
      <c r="AV1" s="1399"/>
      <c r="AW1" s="1399"/>
      <c r="AX1" s="1399"/>
    </row>
    <row r="2" spans="1:50" s="532" customFormat="1" ht="37.5" customHeight="1" x14ac:dyDescent="0.2">
      <c r="A2" s="526" t="s">
        <v>48</v>
      </c>
      <c r="B2" s="526" t="s">
        <v>47</v>
      </c>
      <c r="C2" s="526" t="s">
        <v>46</v>
      </c>
      <c r="D2" s="526">
        <v>1</v>
      </c>
      <c r="E2" s="526">
        <v>2</v>
      </c>
      <c r="F2" s="526">
        <v>3</v>
      </c>
      <c r="G2" s="526">
        <v>4</v>
      </c>
      <c r="H2" s="526">
        <v>5</v>
      </c>
      <c r="I2" s="526">
        <v>1</v>
      </c>
      <c r="J2" s="526">
        <v>2</v>
      </c>
      <c r="K2" s="526">
        <v>3</v>
      </c>
      <c r="L2" s="526">
        <v>4</v>
      </c>
      <c r="M2" s="526">
        <v>5</v>
      </c>
      <c r="N2" s="527" t="s">
        <v>45</v>
      </c>
      <c r="O2" s="526">
        <v>1</v>
      </c>
      <c r="P2" s="526">
        <v>2</v>
      </c>
      <c r="Q2" s="526">
        <v>3</v>
      </c>
      <c r="R2" s="526">
        <v>4</v>
      </c>
      <c r="S2" s="526">
        <v>5</v>
      </c>
      <c r="T2" s="526">
        <v>1</v>
      </c>
      <c r="U2" s="526">
        <v>2</v>
      </c>
      <c r="V2" s="526">
        <v>3</v>
      </c>
      <c r="W2" s="526">
        <v>4</v>
      </c>
      <c r="X2" s="526">
        <v>5</v>
      </c>
      <c r="Y2" s="526"/>
      <c r="Z2" s="528"/>
      <c r="AA2" s="528"/>
      <c r="AB2" s="526">
        <v>1</v>
      </c>
      <c r="AC2" s="526">
        <v>2</v>
      </c>
      <c r="AD2" s="526">
        <v>3</v>
      </c>
      <c r="AE2" s="526">
        <v>4</v>
      </c>
      <c r="AF2" s="526">
        <v>5</v>
      </c>
      <c r="AG2" s="526">
        <v>1</v>
      </c>
      <c r="AH2" s="526">
        <v>2</v>
      </c>
      <c r="AI2" s="526">
        <v>3</v>
      </c>
      <c r="AJ2" s="526">
        <v>4</v>
      </c>
      <c r="AK2" s="526">
        <v>5</v>
      </c>
      <c r="AL2" s="529">
        <v>1</v>
      </c>
      <c r="AM2" s="529">
        <v>2</v>
      </c>
      <c r="AN2" s="529">
        <v>3</v>
      </c>
      <c r="AO2" s="529">
        <v>4</v>
      </c>
      <c r="AP2" s="529">
        <v>5</v>
      </c>
      <c r="AQ2" s="530" t="s">
        <v>44</v>
      </c>
      <c r="AR2" s="527" t="s">
        <v>43</v>
      </c>
      <c r="AS2" s="527" t="s">
        <v>42</v>
      </c>
      <c r="AT2" s="527" t="s">
        <v>29</v>
      </c>
      <c r="AU2" s="531"/>
      <c r="AV2" s="531"/>
      <c r="AW2" s="531"/>
      <c r="AX2" s="531"/>
    </row>
    <row r="3" spans="1:50" x14ac:dyDescent="0.2">
      <c r="A3" s="525">
        <v>1</v>
      </c>
      <c r="B3" s="525">
        <v>1</v>
      </c>
      <c r="C3" s="525" t="s">
        <v>2</v>
      </c>
      <c r="D3" s="533"/>
      <c r="E3" s="533"/>
      <c r="F3" s="533"/>
      <c r="G3" s="533"/>
      <c r="H3" s="533"/>
      <c r="I3" s="533"/>
      <c r="J3" s="533"/>
      <c r="K3" s="533"/>
      <c r="L3" s="533"/>
      <c r="M3" s="533"/>
      <c r="N3" s="534"/>
      <c r="O3" s="534"/>
      <c r="P3" s="534"/>
      <c r="Q3" s="534"/>
      <c r="R3" s="534"/>
      <c r="S3" s="534"/>
      <c r="T3" s="535"/>
      <c r="U3" s="535"/>
      <c r="V3" s="535"/>
      <c r="W3" s="536"/>
      <c r="X3" s="536"/>
      <c r="Y3" s="535"/>
      <c r="Z3" s="537"/>
      <c r="AA3" s="538">
        <f>'Inflammatory HD'!F3</f>
        <v>1</v>
      </c>
      <c r="AB3" s="534"/>
      <c r="AC3" s="535"/>
      <c r="AD3" s="535"/>
      <c r="AE3" s="535"/>
      <c r="AF3" s="535"/>
      <c r="AG3" s="534"/>
      <c r="AH3" s="535"/>
      <c r="AI3" s="535"/>
      <c r="AJ3" s="535"/>
      <c r="AK3" s="535"/>
      <c r="AL3" s="533"/>
      <c r="AM3" s="537"/>
      <c r="AN3" s="537"/>
      <c r="AO3" s="537"/>
      <c r="AP3" s="537"/>
      <c r="AQ3" s="533"/>
      <c r="AR3" s="533"/>
      <c r="AS3" s="533"/>
      <c r="AT3" s="533"/>
      <c r="AU3" s="539"/>
      <c r="AV3" s="539"/>
      <c r="AW3" s="539"/>
      <c r="AX3" s="539"/>
    </row>
    <row r="4" spans="1:50" x14ac:dyDescent="0.2">
      <c r="A4" s="525">
        <v>1</v>
      </c>
      <c r="B4" s="525">
        <v>1</v>
      </c>
      <c r="C4" s="525" t="s">
        <v>41</v>
      </c>
      <c r="D4" s="533"/>
      <c r="E4" s="533"/>
      <c r="F4" s="533"/>
      <c r="G4" s="533"/>
      <c r="H4" s="533"/>
      <c r="I4" s="533"/>
      <c r="J4" s="533"/>
      <c r="K4" s="533"/>
      <c r="L4" s="533"/>
      <c r="M4" s="533"/>
      <c r="N4" s="534"/>
      <c r="O4" s="534"/>
      <c r="P4" s="534"/>
      <c r="Q4" s="534"/>
      <c r="R4" s="534"/>
      <c r="S4" s="534"/>
      <c r="T4" s="535"/>
      <c r="U4" s="535"/>
      <c r="V4" s="535"/>
      <c r="W4" s="536"/>
      <c r="X4" s="536"/>
      <c r="Y4" s="535"/>
      <c r="Z4" s="537"/>
      <c r="AA4" s="540">
        <f>'Inflammatory HD'!F4</f>
        <v>1</v>
      </c>
      <c r="AB4" s="534"/>
      <c r="AC4" s="535"/>
      <c r="AD4" s="535"/>
      <c r="AE4" s="535"/>
      <c r="AF4" s="535"/>
      <c r="AG4" s="534"/>
      <c r="AH4" s="535"/>
      <c r="AI4" s="535"/>
      <c r="AJ4" s="535"/>
      <c r="AK4" s="535"/>
      <c r="AL4" s="533"/>
      <c r="AM4" s="537"/>
      <c r="AN4" s="537"/>
      <c r="AO4" s="537"/>
      <c r="AP4" s="537"/>
      <c r="AQ4" s="533"/>
      <c r="AR4" s="533"/>
      <c r="AS4" s="533"/>
      <c r="AT4" s="533"/>
      <c r="AU4" s="539"/>
      <c r="AV4" s="539"/>
      <c r="AW4" s="539"/>
      <c r="AX4" s="539"/>
    </row>
    <row r="5" spans="1:50" x14ac:dyDescent="0.2">
      <c r="A5" s="525">
        <v>1</v>
      </c>
      <c r="B5" s="525">
        <v>1</v>
      </c>
      <c r="C5" s="525" t="s">
        <v>40</v>
      </c>
      <c r="D5" s="533">
        <f>Scenario!AN21</f>
        <v>1.9649930808034388</v>
      </c>
      <c r="E5" s="533">
        <f>Scenario!AO21</f>
        <v>4.4529522496511911</v>
      </c>
      <c r="F5" s="533">
        <f>Scenario!AP21</f>
        <v>7.8472726226809844</v>
      </c>
      <c r="G5" s="533">
        <f>Scenario!AQ21</f>
        <v>13.828957545974617</v>
      </c>
      <c r="H5" s="533">
        <f>Scenario!AR21</f>
        <v>31.338373766435872</v>
      </c>
      <c r="I5" s="533">
        <f t="shared" ref="I5:I10" si="0">IF(D5&gt;2.5,D5,0.1)</f>
        <v>0.1</v>
      </c>
      <c r="J5" s="533">
        <f t="shared" ref="J5:M18" si="1">IF(E5&gt;2.5,E5,0.1)</f>
        <v>4.4529522496511911</v>
      </c>
      <c r="K5" s="533">
        <f t="shared" si="1"/>
        <v>7.8472726226809844</v>
      </c>
      <c r="L5" s="533">
        <f t="shared" si="1"/>
        <v>13.828957545974617</v>
      </c>
      <c r="M5" s="533">
        <f t="shared" si="1"/>
        <v>31.338373766435872</v>
      </c>
      <c r="N5" s="541">
        <f>'Phy activity RRs'!$G$4</f>
        <v>0.93831941951583364</v>
      </c>
      <c r="O5" s="534">
        <f>IF(('user page'!$N$39=0),$N5^(I5^0.25),IF(('user page'!$N$39=1),$N5^(I5^0.5),IF(('user page'!$N$39=2),$N5^(I5^0.375),IF(('user page'!$N$39=4),$N5^(I5),IF(('user page'!$N$39=3),$N5^(LN(1+I5)),"")))))</f>
        <v>0.98006871247951299</v>
      </c>
      <c r="P5" s="534">
        <f>IF(('user page'!$N$39=0),$N5^(J5^0.25),IF(('user page'!$N$39=1),$N5^(J5^0.5),IF(('user page'!$N$39=2),$N5^(J5^0.375),IF(('user page'!$N$39=4),$N5^(J5),IF(('user page'!$N$39=3),$N5^(LN(1+J5)),"")))))</f>
        <v>0.87428776955884879</v>
      </c>
      <c r="Q5" s="534">
        <f>IF(('user page'!$N$39=0),$N5^(K5^0.25),IF(('user page'!$N$39=1),$N5^(K5^0.5),IF(('user page'!$N$39=2),$N5^(K5^0.375),IF(('user page'!$N$39=4),$N5^(K5),IF(('user page'!$N$39=3),$N5^(LN(1+K5)),"")))))</f>
        <v>0.83665435026880242</v>
      </c>
      <c r="R5" s="534">
        <f>IF(('user page'!$N$39=0),$N5^(L5^0.25),IF(('user page'!$N$39=1),$N5^(L5^0.5),IF(('user page'!$N$39=2),$N5^(L5^0.375),IF(('user page'!$N$39=4),$N5^(L5),IF(('user page'!$N$39=3),$N5^(LN(1+L5)),"")))))</f>
        <v>0.78918662834694109</v>
      </c>
      <c r="S5" s="534">
        <f>IF(('user page'!$N$39=0),$N5^(M5^0.25),IF(('user page'!$N$39=1),$N5^(M5^0.5),IF(('user page'!$N$39=2),$N5^(M5^0.375),IF(('user page'!$N$39=4),$N5^(M5),IF(('user page'!$N$39=3),$N5^(LN(1+M5)),"")))))</f>
        <v>0.70019232074059201</v>
      </c>
      <c r="T5" s="535">
        <f t="shared" ref="T5:X10" si="2">O5/$O5</f>
        <v>1</v>
      </c>
      <c r="U5" s="535">
        <f t="shared" si="2"/>
        <v>0.89206782996567147</v>
      </c>
      <c r="V5" s="535">
        <f t="shared" si="2"/>
        <v>0.85366907403065528</v>
      </c>
      <c r="W5" s="536">
        <f t="shared" si="2"/>
        <v>0.80523601896273977</v>
      </c>
      <c r="X5" s="536">
        <f t="shared" si="2"/>
        <v>0.71443186770971279</v>
      </c>
      <c r="Y5" s="540">
        <f>1-Z5</f>
        <v>9.8692161513802112E-2</v>
      </c>
      <c r="Z5" s="542">
        <f t="shared" ref="Z5:Z10" si="3">SUM(O5:S5)/SUM(O22:S22)</f>
        <v>0.90130783848619789</v>
      </c>
      <c r="AA5" s="542">
        <v>1</v>
      </c>
      <c r="AB5" s="533">
        <f>Z5*AA5*GBDUS!$O73/($T5+$U5+$X5+V5+W5)</f>
        <v>3.6152670682787063E-4</v>
      </c>
      <c r="AC5" s="537">
        <f t="shared" ref="AC5:AF10" si="4">$AB5*U5</f>
        <v>3.2250634483457405E-4</v>
      </c>
      <c r="AD5" s="537">
        <f t="shared" si="4"/>
        <v>3.086241690551005E-4</v>
      </c>
      <c r="AE5" s="537">
        <f t="shared" si="4"/>
        <v>2.9111432615478409E-4</v>
      </c>
      <c r="AF5" s="537">
        <f t="shared" si="4"/>
        <v>2.5828620038597738E-4</v>
      </c>
      <c r="AG5" s="533">
        <f>Z5*AA5*GBDUS!$P73/($T5+$U5+$X5+V5+W5)</f>
        <v>1.0610046084810948E-2</v>
      </c>
      <c r="AH5" s="537">
        <f t="shared" ref="AH5:AK10" si="5">$AG5*U5</f>
        <v>9.4648807867130716E-3</v>
      </c>
      <c r="AI5" s="537">
        <f t="shared" si="5"/>
        <v>9.0574682166431417E-3</v>
      </c>
      <c r="AJ5" s="537">
        <f t="shared" si="5"/>
        <v>8.5435912703443716E-3</v>
      </c>
      <c r="AK5" s="537">
        <f t="shared" si="5"/>
        <v>7.5801550408576114E-3</v>
      </c>
      <c r="AL5" s="533">
        <f>Z5*GBDUS!$Q73/($T5+$U5+$X5+V5+W5)</f>
        <v>2.8583848151166647E-2</v>
      </c>
      <c r="AM5" s="537">
        <f t="shared" ref="AM5:AP10" si="6">$AL5*U5</f>
        <v>2.5498731392279501E-2</v>
      </c>
      <c r="AN5" s="537">
        <f t="shared" si="6"/>
        <v>2.440114718343929E-2</v>
      </c>
      <c r="AO5" s="537">
        <f t="shared" si="6"/>
        <v>2.3016744091880901E-2</v>
      </c>
      <c r="AP5" s="537">
        <f t="shared" si="6"/>
        <v>2.0421212020968808E-2</v>
      </c>
      <c r="AQ5" s="533">
        <f>AB5+AC5+AF5+AD5+AE5-AD22-AE22-AB22-AC22-AF22</f>
        <v>-1.6885353234211066E-4</v>
      </c>
      <c r="AR5" s="533">
        <f>AG5+AH5+AK5+AI5+AJ5-AI22-AJ22-AH22-AK22-AG22</f>
        <v>-4.955494921668099E-3</v>
      </c>
      <c r="AS5" s="533">
        <f>AL5+AM5+AP5-AL22+AN5+AO5-AN22-AO22-AM22-AP22</f>
        <v>-1.3350282668198477E-2</v>
      </c>
      <c r="AT5" s="533">
        <f t="shared" ref="AT5:AT10" si="7">AR5+AS5</f>
        <v>-1.8305777589866574E-2</v>
      </c>
      <c r="AU5" s="539"/>
      <c r="AV5" s="539"/>
      <c r="AW5" s="539"/>
      <c r="AX5" s="539"/>
    </row>
    <row r="6" spans="1:50" x14ac:dyDescent="0.2">
      <c r="A6" s="525">
        <v>1</v>
      </c>
      <c r="B6" s="525">
        <v>1</v>
      </c>
      <c r="C6" s="525" t="s">
        <v>39</v>
      </c>
      <c r="D6" s="533">
        <f>Scenario!AN22</f>
        <v>1.1398546847573734</v>
      </c>
      <c r="E6" s="533">
        <f>Scenario!AO22</f>
        <v>2.5830719366657791</v>
      </c>
      <c r="F6" s="533">
        <f>Scenario!AP22</f>
        <v>4.5520518870600304</v>
      </c>
      <c r="G6" s="533">
        <f>Scenario!AQ22</f>
        <v>8.0219122388181017</v>
      </c>
      <c r="H6" s="533">
        <f>Scenario!AR22</f>
        <v>18.178787752140046</v>
      </c>
      <c r="I6" s="533">
        <f t="shared" si="0"/>
        <v>0.1</v>
      </c>
      <c r="J6" s="533">
        <f t="shared" si="1"/>
        <v>2.5830719366657791</v>
      </c>
      <c r="K6" s="533">
        <f t="shared" si="1"/>
        <v>4.5520518870600304</v>
      </c>
      <c r="L6" s="533">
        <f t="shared" si="1"/>
        <v>8.0219122388181017</v>
      </c>
      <c r="M6" s="533">
        <f t="shared" si="1"/>
        <v>18.178787752140046</v>
      </c>
      <c r="N6" s="541">
        <f>'Phy activity RRs'!$G$4</f>
        <v>0.93831941951583364</v>
      </c>
      <c r="O6" s="534">
        <f>IF(('user page'!$N$39=0),$N6^(I6^0.25),IF(('user page'!$N$39=1),$N6^(I6^0.5),IF(('user page'!$N$39=2),$N6^(I6^0.375),IF(('user page'!$N$39=4),$N6^(I6),IF(('user page'!$N$39=3),$N6^(LN(1+I6)),"")))))</f>
        <v>0.98006871247951299</v>
      </c>
      <c r="P6" s="534">
        <f>IF(('user page'!$N$39=0),$N6^(J6^0.25),IF(('user page'!$N$39=1),$N6^(J6^0.5),IF(('user page'!$N$39=2),$N6^(J6^0.375),IF(('user page'!$N$39=4),$N6^(J6),IF(('user page'!$N$39=3),$N6^(LN(1+J6)),"")))))</f>
        <v>0.90273903834961544</v>
      </c>
      <c r="Q6" s="534">
        <f>IF(('user page'!$N$39=0),$N6^(K6^0.25),IF(('user page'!$N$39=1),$N6^(K6^0.5),IF(('user page'!$N$39=2),$N6^(K6^0.375),IF(('user page'!$N$39=4),$N6^(K6),IF(('user page'!$N$39=3),$N6^(LN(1+K6)),"")))))</f>
        <v>0.87298893734063387</v>
      </c>
      <c r="R6" s="534">
        <f>IF(('user page'!$N$39=0),$N6^(L6^0.25),IF(('user page'!$N$39=1),$N6^(L6^0.5),IF(('user page'!$N$39=2),$N6^(L6^0.375),IF(('user page'!$N$39=4),$N6^(L6),IF(('user page'!$N$39=3),$N6^(LN(1+L6)),"")))))</f>
        <v>0.83500476649049371</v>
      </c>
      <c r="S6" s="534">
        <f>IF(('user page'!$N$39=0),$N6^(M6^0.25),IF(('user page'!$N$39=1),$N6^(M6^0.5),IF(('user page'!$N$39=2),$N6^(M6^0.375),IF(('user page'!$N$39=4),$N6^(M6),IF(('user page'!$N$39=3),$N6^(LN(1+M6)),"")))))</f>
        <v>0.76227703117299805</v>
      </c>
      <c r="T6" s="535">
        <f t="shared" si="2"/>
        <v>1</v>
      </c>
      <c r="U6" s="535">
        <f t="shared" si="2"/>
        <v>0.92109770147211589</v>
      </c>
      <c r="V6" s="535">
        <f t="shared" si="2"/>
        <v>0.8907425838868237</v>
      </c>
      <c r="W6" s="536">
        <f t="shared" si="2"/>
        <v>0.8519859432896123</v>
      </c>
      <c r="X6" s="536">
        <f t="shared" si="2"/>
        <v>0.77777917146695208</v>
      </c>
      <c r="Y6" s="540">
        <f t="shared" ref="Y6:Y18" si="8">1-Z6</f>
        <v>8.9441623428461403E-2</v>
      </c>
      <c r="Z6" s="542">
        <f t="shared" si="3"/>
        <v>0.9105583765715386</v>
      </c>
      <c r="AA6" s="542">
        <f>'Inflammatory HD'!F6</f>
        <v>1</v>
      </c>
      <c r="AB6" s="533">
        <f>Z6*AA6*GBDUS!$O74/($T6+$U6+$X6+V6+W6)</f>
        <v>1.6890142641487142E-2</v>
      </c>
      <c r="AC6" s="537">
        <f t="shared" si="4"/>
        <v>1.5557471564609978E-2</v>
      </c>
      <c r="AD6" s="537">
        <f t="shared" si="4"/>
        <v>1.5044769298695278E-2</v>
      </c>
      <c r="AE6" s="537">
        <f t="shared" si="4"/>
        <v>1.4390164110703527E-2</v>
      </c>
      <c r="AF6" s="537">
        <f t="shared" si="4"/>
        <v>1.3136801149654506E-2</v>
      </c>
      <c r="AG6" s="533">
        <f>Z6*AA6*GBDUS!$P74/($T6+$U6+$X6+V6+W6)</f>
        <v>0.40309137961194469</v>
      </c>
      <c r="AH6" s="537">
        <f t="shared" si="5"/>
        <v>0.37128654324378635</v>
      </c>
      <c r="AI6" s="537">
        <f t="shared" si="5"/>
        <v>0.35905065701804811</v>
      </c>
      <c r="AJ6" s="537">
        <f t="shared" si="5"/>
        <v>0.34342818929059388</v>
      </c>
      <c r="AK6" s="537">
        <f t="shared" si="5"/>
        <v>0.31351607926004899</v>
      </c>
      <c r="AL6" s="533">
        <f>Z6*GBDUS!$Q74/($T6+$U6+$X6+V6+W6)</f>
        <v>0.23463742304699758</v>
      </c>
      <c r="AM6" s="537">
        <f t="shared" si="6"/>
        <v>0.21612399104792995</v>
      </c>
      <c r="AN6" s="537">
        <f t="shared" si="6"/>
        <v>0.20900154448142838</v>
      </c>
      <c r="AO6" s="537">
        <f t="shared" si="6"/>
        <v>0.19990778620574007</v>
      </c>
      <c r="AP6" s="537">
        <f t="shared" si="6"/>
        <v>0.18249610049263451</v>
      </c>
      <c r="AQ6" s="533">
        <f t="shared" ref="AQ6:AQ18" si="9">AB6+AC6+AF6+AD6+AE6-AD23-AE23-AB23-AC23-AF23</f>
        <v>-7.3689425244377275E-3</v>
      </c>
      <c r="AR6" s="533">
        <f t="shared" ref="AR6:AR18" si="10">AG6+AH6+AK6+AI6+AJ6-AI23-AJ23-AH23-AK23-AG23</f>
        <v>-0.17586335838044814</v>
      </c>
      <c r="AS6" s="533">
        <f t="shared" ref="AS6:AS18" si="11">AL6+AM6+AP6-AL23+AN6+AO6-AN23-AO23-AM23-AP23</f>
        <v>-0.1023691582253726</v>
      </c>
      <c r="AT6" s="533">
        <f t="shared" si="7"/>
        <v>-0.27823251660582071</v>
      </c>
      <c r="AU6" s="539"/>
      <c r="AV6" s="539"/>
      <c r="AW6" s="539"/>
      <c r="AX6" s="539"/>
    </row>
    <row r="7" spans="1:50" x14ac:dyDescent="0.2">
      <c r="A7" s="525">
        <v>1</v>
      </c>
      <c r="B7" s="525">
        <v>1</v>
      </c>
      <c r="C7" s="525" t="s">
        <v>38</v>
      </c>
      <c r="D7" s="533">
        <f>Scenario!AN23</f>
        <v>1.1455500772835505</v>
      </c>
      <c r="E7" s="533">
        <f>Scenario!AO23</f>
        <v>2.5959785016862105</v>
      </c>
      <c r="F7" s="533">
        <f>Scenario!AP23</f>
        <v>4.5747966479870366</v>
      </c>
      <c r="G7" s="533">
        <f>Scenario!AQ23</f>
        <v>8.0619944875657499</v>
      </c>
      <c r="H7" s="533">
        <f>Scenario!AR23</f>
        <v>18.269619797034032</v>
      </c>
      <c r="I7" s="533">
        <f t="shared" si="0"/>
        <v>0.1</v>
      </c>
      <c r="J7" s="533">
        <f t="shared" si="1"/>
        <v>2.5959785016862105</v>
      </c>
      <c r="K7" s="533">
        <f t="shared" si="1"/>
        <v>4.5747966479870366</v>
      </c>
      <c r="L7" s="533">
        <f t="shared" si="1"/>
        <v>8.0619944875657499</v>
      </c>
      <c r="M7" s="533">
        <f t="shared" si="1"/>
        <v>18.269619797034032</v>
      </c>
      <c r="N7" s="541">
        <f>'Phy activity RRs'!$G$4</f>
        <v>0.93831941951583364</v>
      </c>
      <c r="O7" s="534">
        <f>IF(('user page'!$N$39=0),$N7^(I7^0.25),IF(('user page'!$N$39=1),$N7^(I7^0.5),IF(('user page'!$N$39=2),$N7^(I7^0.375),IF(('user page'!$N$39=4),$N7^(I7),IF(('user page'!$N$39=3),$N7^(LN(1+I7)),"")))))</f>
        <v>0.98006871247951299</v>
      </c>
      <c r="P7" s="534">
        <f>IF(('user page'!$N$39=0),$N7^(J7^0.25),IF(('user page'!$N$39=1),$N7^(J7^0.5),IF(('user page'!$N$39=2),$N7^(J7^0.375),IF(('user page'!$N$39=4),$N7^(J7),IF(('user page'!$N$39=3),$N7^(LN(1+J7)),"")))))</f>
        <v>0.90250858794004163</v>
      </c>
      <c r="Q7" s="534">
        <f>IF(('user page'!$N$39=0),$N7^(K7^0.25),IF(('user page'!$N$39=1),$N7^(K7^0.5),IF(('user page'!$N$39=2),$N7^(K7^0.375),IF(('user page'!$N$39=4),$N7^(K7),IF(('user page'!$N$39=3),$N7^(LN(1+K7)),"")))))</f>
        <v>0.87269310803348576</v>
      </c>
      <c r="R7" s="534">
        <f>IF(('user page'!$N$39=0),$N7^(L7^0.25),IF(('user page'!$N$39=1),$N7^(L7^0.5),IF(('user page'!$N$39=2),$N7^(L7^0.375),IF(('user page'!$N$39=4),$N7^(L7),IF(('user page'!$N$39=3),$N7^(LN(1+L7)),"")))))</f>
        <v>0.83462916037009038</v>
      </c>
      <c r="S7" s="534">
        <f>IF(('user page'!$N$39=0),$N7^(M7^0.25),IF(('user page'!$N$39=1),$N7^(M7^0.5),IF(('user page'!$N$39=2),$N7^(M7^0.375),IF(('user page'!$N$39=4),$N7^(M7),IF(('user page'!$N$39=3),$N7^(LN(1+M7)),"")))))</f>
        <v>0.76176091118829981</v>
      </c>
      <c r="T7" s="535">
        <f t="shared" si="2"/>
        <v>1</v>
      </c>
      <c r="U7" s="535">
        <f t="shared" si="2"/>
        <v>0.92086256447953629</v>
      </c>
      <c r="V7" s="535">
        <f t="shared" si="2"/>
        <v>0.89044073841070426</v>
      </c>
      <c r="W7" s="536">
        <f t="shared" si="2"/>
        <v>0.85160269860929483</v>
      </c>
      <c r="X7" s="536">
        <f t="shared" si="2"/>
        <v>0.77725255534491244</v>
      </c>
      <c r="Y7" s="540">
        <f t="shared" si="8"/>
        <v>8.9676778948713287E-2</v>
      </c>
      <c r="Z7" s="542">
        <f t="shared" si="3"/>
        <v>0.91032322105128671</v>
      </c>
      <c r="AA7" s="542">
        <f>'Inflammatory HD'!F7</f>
        <v>1</v>
      </c>
      <c r="AB7" s="533">
        <f>Z7*AA7*GBDUS!$O75/($T7+$U7+$X7+V7+W7)</f>
        <v>1.9902040522155124E-2</v>
      </c>
      <c r="AC7" s="537">
        <f t="shared" si="4"/>
        <v>1.8327044073607416E-2</v>
      </c>
      <c r="AD7" s="537">
        <f t="shared" si="4"/>
        <v>1.7721587658427566E-2</v>
      </c>
      <c r="AE7" s="537">
        <f t="shared" si="4"/>
        <v>1.6948631416498841E-2</v>
      </c>
      <c r="AF7" s="537">
        <f t="shared" si="4"/>
        <v>1.5468911852423066E-2</v>
      </c>
      <c r="AG7" s="533">
        <f>Z7*AA7*GBDUS!$P75/($T7+$U7+$X7+V7+W7)</f>
        <v>0.33139775246463382</v>
      </c>
      <c r="AH7" s="537">
        <f t="shared" si="5"/>
        <v>0.30517178419733726</v>
      </c>
      <c r="AI7" s="537">
        <f t="shared" si="5"/>
        <v>0.2950900594122563</v>
      </c>
      <c r="AJ7" s="537">
        <f t="shared" si="5"/>
        <v>0.28221922031193725</v>
      </c>
      <c r="AK7" s="537">
        <f t="shared" si="5"/>
        <v>0.25757974993869737</v>
      </c>
      <c r="AL7" s="533">
        <f>Z7*GBDUS!$Q75/($T7+$U7+$X7+V7+W7)</f>
        <v>0.20212751852555016</v>
      </c>
      <c r="AM7" s="537">
        <f t="shared" si="6"/>
        <v>0.18613166506132311</v>
      </c>
      <c r="AN7" s="537">
        <f t="shared" si="6"/>
        <v>0.1799825768490142</v>
      </c>
      <c r="AO7" s="537">
        <f t="shared" si="6"/>
        <v>0.17213234023955876</v>
      </c>
      <c r="AP7" s="537">
        <f t="shared" si="6"/>
        <v>0.15710413027951001</v>
      </c>
      <c r="AQ7" s="533">
        <f t="shared" si="9"/>
        <v>-8.7052343017315036E-3</v>
      </c>
      <c r="AR7" s="533">
        <f t="shared" si="10"/>
        <v>-0.14495473863900332</v>
      </c>
      <c r="AS7" s="533">
        <f t="shared" si="11"/>
        <v>-8.8411407143590165E-2</v>
      </c>
      <c r="AT7" s="533">
        <f t="shared" si="7"/>
        <v>-0.23336614578259349</v>
      </c>
      <c r="AU7" s="539"/>
      <c r="AV7" s="539"/>
      <c r="AW7" s="539"/>
      <c r="AX7" s="539"/>
    </row>
    <row r="8" spans="1:50" x14ac:dyDescent="0.2">
      <c r="A8" s="525">
        <v>1</v>
      </c>
      <c r="B8" s="525">
        <v>1</v>
      </c>
      <c r="C8" s="525" t="s">
        <v>37</v>
      </c>
      <c r="D8" s="533">
        <f>Scenario!AN24</f>
        <v>1.038575484693584</v>
      </c>
      <c r="E8" s="533">
        <f>Scenario!AO24</f>
        <v>2.3535589443948219</v>
      </c>
      <c r="F8" s="533">
        <f>Scenario!AP24</f>
        <v>4.1475896517107627</v>
      </c>
      <c r="G8" s="533">
        <f>Scenario!AQ24</f>
        <v>7.3091434399581363</v>
      </c>
      <c r="H8" s="533">
        <f>Scenario!AR24</f>
        <v>16.563552839930118</v>
      </c>
      <c r="I8" s="533">
        <f t="shared" si="0"/>
        <v>0.1</v>
      </c>
      <c r="J8" s="533">
        <f t="shared" si="1"/>
        <v>0.1</v>
      </c>
      <c r="K8" s="533">
        <f t="shared" si="1"/>
        <v>4.1475896517107627</v>
      </c>
      <c r="L8" s="533">
        <f t="shared" si="1"/>
        <v>7.3091434399581363</v>
      </c>
      <c r="M8" s="533">
        <f t="shared" si="1"/>
        <v>16.563552839930118</v>
      </c>
      <c r="N8" s="541">
        <f>'Phy activity RRs'!$G$4</f>
        <v>0.93831941951583364</v>
      </c>
      <c r="O8" s="534">
        <f>IF(('user page'!$N$39=0),$N8^(I8^0.25),IF(('user page'!$N$39=1),$N8^(I8^0.5),IF(('user page'!$N$39=2),$N8^(I8^0.375),IF(('user page'!$N$39=4),$N8^(I8),IF(('user page'!$N$39=3),$N8^(LN(1+I8)),"")))))</f>
        <v>0.98006871247951299</v>
      </c>
      <c r="P8" s="534">
        <f>IF(('user page'!$N$39=0),$N8^(J8^0.25),IF(('user page'!$N$39=1),$N8^(J8^0.5),IF(('user page'!$N$39=2),$N8^(J8^0.375),IF(('user page'!$N$39=4),$N8^(J8),IF(('user page'!$N$39=3),$N8^(LN(1+J8)),"")))))</f>
        <v>0.98006871247951299</v>
      </c>
      <c r="Q8" s="534">
        <f>IF(('user page'!$N$39=0),$N8^(K8^0.25),IF(('user page'!$N$39=1),$N8^(K8^0.5),IF(('user page'!$N$39=2),$N8^(K8^0.375),IF(('user page'!$N$39=4),$N8^(K8),IF(('user page'!$N$39=3),$N8^(LN(1+K8)),"")))))</f>
        <v>0.87839622887140656</v>
      </c>
      <c r="R8" s="534">
        <f>IF(('user page'!$N$39=0),$N8^(L8^0.25),IF(('user page'!$N$39=1),$N8^(L8^0.5),IF(('user page'!$N$39=2),$N8^(L8^0.375),IF(('user page'!$N$39=4),$N8^(L8),IF(('user page'!$N$39=3),$N8^(LN(1+L8)),"")))))</f>
        <v>0.8418775871559625</v>
      </c>
      <c r="S8" s="534">
        <f>IF(('user page'!$N$39=0),$N8^(M8^0.25),IF(('user page'!$N$39=1),$N8^(M8^0.5),IF(('user page'!$N$39=2),$N8^(M8^0.375),IF(('user page'!$N$39=4),$N8^(M8),IF(('user page'!$N$39=3),$N8^(LN(1+M8)),"")))))</f>
        <v>0.77174165800399952</v>
      </c>
      <c r="T8" s="535">
        <f t="shared" si="2"/>
        <v>1</v>
      </c>
      <c r="U8" s="535">
        <f t="shared" si="2"/>
        <v>1</v>
      </c>
      <c r="V8" s="535">
        <f t="shared" si="2"/>
        <v>0.89625984146470572</v>
      </c>
      <c r="W8" s="536">
        <f t="shared" si="2"/>
        <v>0.85899853391510117</v>
      </c>
      <c r="X8" s="536">
        <f t="shared" si="2"/>
        <v>0.78743627684179518</v>
      </c>
      <c r="Y8" s="540">
        <f t="shared" si="8"/>
        <v>6.9865842183824856E-2</v>
      </c>
      <c r="Z8" s="542">
        <f t="shared" si="3"/>
        <v>0.93013415781617514</v>
      </c>
      <c r="AA8" s="542">
        <f>'Inflammatory HD'!F8</f>
        <v>1</v>
      </c>
      <c r="AB8" s="533">
        <f>Z8*AA8*GBDUS!$O76/($T8+$U8+$X8+V8+W8)</f>
        <v>4.0264119036387061E-2</v>
      </c>
      <c r="AC8" s="537">
        <f t="shared" si="4"/>
        <v>4.0264119036387061E-2</v>
      </c>
      <c r="AD8" s="537">
        <f t="shared" si="4"/>
        <v>3.6087112944268307E-2</v>
      </c>
      <c r="AE8" s="537">
        <f t="shared" si="4"/>
        <v>3.45868192216396E-2</v>
      </c>
      <c r="AF8" s="537">
        <f t="shared" si="4"/>
        <v>3.1705427984327475E-2</v>
      </c>
      <c r="AG8" s="533">
        <f>Z8*AA8*GBDUS!$P76/($T8+$U8+$X8+V8+W8)</f>
        <v>0.44683357967220416</v>
      </c>
      <c r="AH8" s="537">
        <f t="shared" si="5"/>
        <v>0.44683357967220416</v>
      </c>
      <c r="AI8" s="537">
        <f t="shared" si="5"/>
        <v>0.40047899327811665</v>
      </c>
      <c r="AJ8" s="537">
        <f t="shared" si="5"/>
        <v>0.3838293898424599</v>
      </c>
      <c r="AK8" s="537">
        <f t="shared" si="5"/>
        <v>0.35185297034497209</v>
      </c>
      <c r="AL8" s="533">
        <f>Z8*GBDUS!$Q76/($T8+$U8+$X8+V8+W8)</f>
        <v>0.35291459416573107</v>
      </c>
      <c r="AM8" s="537">
        <f t="shared" si="6"/>
        <v>0.35291459416573107</v>
      </c>
      <c r="AN8" s="537">
        <f t="shared" si="6"/>
        <v>0.3163031782175591</v>
      </c>
      <c r="AO8" s="537">
        <f t="shared" si="6"/>
        <v>0.30315311898560593</v>
      </c>
      <c r="AP8" s="537">
        <f t="shared" si="6"/>
        <v>0.27789775407299638</v>
      </c>
      <c r="AQ8" s="533">
        <f t="shared" si="9"/>
        <v>-1.373887119861774E-2</v>
      </c>
      <c r="AR8" s="533">
        <f t="shared" si="10"/>
        <v>-0.1524679825426169</v>
      </c>
      <c r="AS8" s="533">
        <f t="shared" si="11"/>
        <v>-0.12042106643320966</v>
      </c>
      <c r="AT8" s="533">
        <f t="shared" si="7"/>
        <v>-0.27288904897582655</v>
      </c>
      <c r="AU8" s="539"/>
      <c r="AV8" s="539"/>
      <c r="AW8" s="539"/>
      <c r="AX8" s="539"/>
    </row>
    <row r="9" spans="1:50" x14ac:dyDescent="0.2">
      <c r="A9" s="525">
        <v>1</v>
      </c>
      <c r="B9" s="525">
        <v>1</v>
      </c>
      <c r="C9" s="525" t="s">
        <v>36</v>
      </c>
      <c r="D9" s="533">
        <f>Scenario!AN25</f>
        <v>0.98635345122951901</v>
      </c>
      <c r="E9" s="533">
        <f>Scenario!AO25</f>
        <v>2.2352164302827178</v>
      </c>
      <c r="F9" s="533">
        <f>Scenario!AP25</f>
        <v>3.939039027534657</v>
      </c>
      <c r="G9" s="533">
        <f>Scenario!AQ25</f>
        <v>6.9416224085641023</v>
      </c>
      <c r="H9" s="533">
        <f>Scenario!AR25</f>
        <v>15.730698200629787</v>
      </c>
      <c r="I9" s="533">
        <f t="shared" si="0"/>
        <v>0.1</v>
      </c>
      <c r="J9" s="533">
        <f t="shared" si="1"/>
        <v>0.1</v>
      </c>
      <c r="K9" s="533">
        <f t="shared" si="1"/>
        <v>3.939039027534657</v>
      </c>
      <c r="L9" s="533">
        <f t="shared" si="1"/>
        <v>6.9416224085641023</v>
      </c>
      <c r="M9" s="533">
        <f t="shared" si="1"/>
        <v>15.730698200629787</v>
      </c>
      <c r="N9" s="541">
        <f>'Phy activity RRs'!$G$4</f>
        <v>0.93831941951583364</v>
      </c>
      <c r="O9" s="534">
        <f>IF(('user page'!$N$39=0),$N9^(I9^0.25),IF(('user page'!$N$39=1),$N9^(I9^0.5),IF(('user page'!$N$39=2),$N9^(I9^0.375),IF(('user page'!$N$39=4),$N9^(I9),IF(('user page'!$N$39=3),$N9^(LN(1+I9)),"")))))</f>
        <v>0.98006871247951299</v>
      </c>
      <c r="P9" s="534">
        <f>IF(('user page'!$N$39=0),$N9^(J9^0.25),IF(('user page'!$N$39=1),$N9^(J9^0.5),IF(('user page'!$N$39=2),$N9^(J9^0.375),IF(('user page'!$N$39=4),$N9^(J9),IF(('user page'!$N$39=3),$N9^(LN(1+J9)),"")))))</f>
        <v>0.98006871247951299</v>
      </c>
      <c r="Q9" s="534">
        <f>IF(('user page'!$N$39=0),$N9^(K9^0.25),IF(('user page'!$N$39=1),$N9^(K9^0.5),IF(('user page'!$N$39=2),$N9^(K9^0.375),IF(('user page'!$N$39=4),$N9^(K9),IF(('user page'!$N$39=3),$N9^(LN(1+K9)),"")))))</f>
        <v>0.88130129652499667</v>
      </c>
      <c r="R9" s="534">
        <f>IF(('user page'!$N$39=0),$N9^(L9^0.25),IF(('user page'!$N$39=1),$N9^(L9^0.5),IF(('user page'!$N$39=2),$N9^(L9^0.375),IF(('user page'!$N$39=4),$N9^(L9),IF(('user page'!$N$39=3),$N9^(LN(1+L9)),"")))))</f>
        <v>0.84557574163115468</v>
      </c>
      <c r="S9" s="534">
        <f>IF(('user page'!$N$39=0),$N9^(M9^0.25),IF(('user page'!$N$39=1),$N9^(M9^0.5),IF(('user page'!$N$39=2),$N9^(M9^0.375),IF(('user page'!$N$39=4),$N9^(M9),IF(('user page'!$N$39=3),$N9^(LN(1+M9)),"")))))</f>
        <v>0.77685062379126013</v>
      </c>
      <c r="T9" s="535">
        <f t="shared" si="2"/>
        <v>1</v>
      </c>
      <c r="U9" s="535">
        <f t="shared" si="2"/>
        <v>1</v>
      </c>
      <c r="V9" s="535">
        <f t="shared" si="2"/>
        <v>0.89922398838277273</v>
      </c>
      <c r="W9" s="536">
        <f t="shared" si="2"/>
        <v>0.86277189636214435</v>
      </c>
      <c r="X9" s="536">
        <f t="shared" si="2"/>
        <v>0.79264914173810963</v>
      </c>
      <c r="Y9" s="540">
        <f t="shared" si="8"/>
        <v>6.8036581816262487E-2</v>
      </c>
      <c r="Z9" s="542">
        <f t="shared" si="3"/>
        <v>0.93196341818373751</v>
      </c>
      <c r="AA9" s="542">
        <f>'Inflammatory HD'!F9</f>
        <v>1</v>
      </c>
      <c r="AB9" s="533">
        <f>Z9*AA9*GBDUS!$O77/($T9+$U9+$X9+V9+W9)</f>
        <v>8.1448294030815743E-2</v>
      </c>
      <c r="AC9" s="537">
        <f t="shared" si="4"/>
        <v>8.1448294030815743E-2</v>
      </c>
      <c r="AD9" s="537">
        <f t="shared" si="4"/>
        <v>7.3240259805362917E-2</v>
      </c>
      <c r="AE9" s="537">
        <f t="shared" si="4"/>
        <v>7.0271299096428416E-2</v>
      </c>
      <c r="AF9" s="537">
        <f t="shared" si="4"/>
        <v>6.4559920359559292E-2</v>
      </c>
      <c r="AG9" s="533">
        <f>Z9*AA9*GBDUS!$P77/($T9+$U9+$X9+V9+W9)</f>
        <v>0.54817887254856956</v>
      </c>
      <c r="AH9" s="537">
        <f t="shared" si="5"/>
        <v>0.54817887254856956</v>
      </c>
      <c r="AI9" s="537">
        <f t="shared" si="5"/>
        <v>0.49293559212029636</v>
      </c>
      <c r="AJ9" s="537">
        <f t="shared" si="5"/>
        <v>0.47295332541439161</v>
      </c>
      <c r="AK9" s="537">
        <f t="shared" si="5"/>
        <v>0.43451351284458822</v>
      </c>
      <c r="AL9" s="533">
        <f>Z9*GBDUS!$Q77/($T9+$U9+$X9+V9+W9)</f>
        <v>0.45398962537424181</v>
      </c>
      <c r="AM9" s="537">
        <f t="shared" si="6"/>
        <v>0.45398962537424181</v>
      </c>
      <c r="AN9" s="537">
        <f t="shared" si="6"/>
        <v>0.40823836161342658</v>
      </c>
      <c r="AO9" s="537">
        <f t="shared" si="6"/>
        <v>0.39168949001287412</v>
      </c>
      <c r="AP9" s="537">
        <f t="shared" si="6"/>
        <v>0.35985448691089866</v>
      </c>
      <c r="AQ9" s="533">
        <f t="shared" si="9"/>
        <v>-2.7081963488254465E-2</v>
      </c>
      <c r="AR9" s="533">
        <f t="shared" si="10"/>
        <v>-0.18227220579691916</v>
      </c>
      <c r="AS9" s="533">
        <f t="shared" si="11"/>
        <v>-0.15095381192121454</v>
      </c>
      <c r="AT9" s="533">
        <f t="shared" si="7"/>
        <v>-0.3332260177181337</v>
      </c>
      <c r="AU9" s="539"/>
      <c r="AV9" s="539"/>
      <c r="AW9" s="539"/>
      <c r="AX9" s="539"/>
    </row>
    <row r="10" spans="1:50" x14ac:dyDescent="0.2">
      <c r="A10" s="525">
        <v>1</v>
      </c>
      <c r="B10" s="525">
        <v>1</v>
      </c>
      <c r="C10" s="525" t="s">
        <v>35</v>
      </c>
      <c r="D10" s="533">
        <f>Scenario!AN26</f>
        <v>0.79357227183824619</v>
      </c>
      <c r="E10" s="533">
        <f>Scenario!AO26</f>
        <v>1.7983470108190212</v>
      </c>
      <c r="F10" s="533">
        <f>Scenario!AP26</f>
        <v>3.1691602498512577</v>
      </c>
      <c r="G10" s="533">
        <f>Scenario!AQ26</f>
        <v>5.5848935877303978</v>
      </c>
      <c r="H10" s="533">
        <f>Scenario!AR26</f>
        <v>12.656158796945045</v>
      </c>
      <c r="I10" s="533">
        <f t="shared" si="0"/>
        <v>0.1</v>
      </c>
      <c r="J10" s="533">
        <f t="shared" si="1"/>
        <v>0.1</v>
      </c>
      <c r="K10" s="533">
        <f t="shared" si="1"/>
        <v>3.1691602498512577</v>
      </c>
      <c r="L10" s="533">
        <f t="shared" si="1"/>
        <v>5.5848935877303978</v>
      </c>
      <c r="M10" s="533">
        <f t="shared" si="1"/>
        <v>12.656158796945045</v>
      </c>
      <c r="N10" s="541">
        <f>'Phy activity RRs'!$G$4</f>
        <v>0.93831941951583364</v>
      </c>
      <c r="O10" s="534">
        <f>IF(('user page'!$N$39=0),$N10^(I10^0.25),IF(('user page'!$N$39=1),$N10^(I10^0.5),IF(('user page'!$N$39=2),$N10^(I10^0.375),IF(('user page'!$N$39=4),$N10^(I10),IF(('user page'!$N$39=3),$N10^(LN(1+I10)),"")))))</f>
        <v>0.98006871247951299</v>
      </c>
      <c r="P10" s="534">
        <f>IF(('user page'!$N$39=0),$N10^(J10^0.25),IF(('user page'!$N$39=1),$N10^(J10^0.5),IF(('user page'!$N$39=2),$N10^(J10^0.375),IF(('user page'!$N$39=4),$N10^(J10),IF(('user page'!$N$39=3),$N10^(LN(1+J10)),"")))))</f>
        <v>0.98006871247951299</v>
      </c>
      <c r="Q10" s="534">
        <f>IF(('user page'!$N$39=0),$N10^(K10^0.25),IF(('user page'!$N$39=1),$N10^(K10^0.5),IF(('user page'!$N$39=2),$N10^(K10^0.375),IF(('user page'!$N$39=4),$N10^(K10),IF(('user page'!$N$39=3),$N10^(LN(1+K10)),"")))))</f>
        <v>0.89284968543197785</v>
      </c>
      <c r="R10" s="534">
        <f>IF(('user page'!$N$39=0),$N10^(L10^0.25),IF(('user page'!$N$39=1),$N10^(L10^0.5),IF(('user page'!$N$39=2),$N10^(L10^0.375),IF(('user page'!$N$39=4),$N10^(L10),IF(('user page'!$N$39=3),$N10^(LN(1+L10)),"")))))</f>
        <v>0.86031626949656848</v>
      </c>
      <c r="S10" s="534">
        <f>IF(('user page'!$N$39=0),$N10^(M10^0.25),IF(('user page'!$N$39=1),$N10^(M10^0.5),IF(('user page'!$N$39=2),$N10^(M10^0.375),IF(('user page'!$N$39=4),$N10^(M10),IF(('user page'!$N$39=3),$N10^(LN(1+M10)),"")))))</f>
        <v>0.79732661574446073</v>
      </c>
      <c r="T10" s="535">
        <f t="shared" si="2"/>
        <v>1</v>
      </c>
      <c r="U10" s="535">
        <f t="shared" si="2"/>
        <v>1</v>
      </c>
      <c r="V10" s="535">
        <f t="shared" si="2"/>
        <v>0.9110072325165075</v>
      </c>
      <c r="W10" s="536">
        <f t="shared" si="2"/>
        <v>0.87781219677957245</v>
      </c>
      <c r="X10" s="536">
        <f t="shared" si="2"/>
        <v>0.81354154621187114</v>
      </c>
      <c r="Y10" s="540">
        <f t="shared" si="8"/>
        <v>6.0747971021361757E-2</v>
      </c>
      <c r="Z10" s="542">
        <f t="shared" si="3"/>
        <v>0.93925202897863824</v>
      </c>
      <c r="AA10" s="542">
        <f>'Inflammatory HD'!F10</f>
        <v>1</v>
      </c>
      <c r="AB10" s="533">
        <f>Z10*AA10*GBDUS!$O78/($T10+$U10+$X10+V10+W10)</f>
        <v>0.22802117017895387</v>
      </c>
      <c r="AC10" s="537">
        <f t="shared" si="4"/>
        <v>0.22802117017895387</v>
      </c>
      <c r="AD10" s="537">
        <f t="shared" si="4"/>
        <v>0.20772893519990435</v>
      </c>
      <c r="AE10" s="537">
        <f t="shared" si="4"/>
        <v>0.20015976430703625</v>
      </c>
      <c r="AF10" s="537">
        <f t="shared" si="4"/>
        <v>0.18550469535642633</v>
      </c>
      <c r="AG10" s="533">
        <f>Z10*AA10*GBDUS!$P78/($T10+$U10+$X10+V10+W10)</f>
        <v>0.70952223577682982</v>
      </c>
      <c r="AH10" s="537">
        <f t="shared" si="5"/>
        <v>0.70952223577682982</v>
      </c>
      <c r="AI10" s="537">
        <f t="shared" si="5"/>
        <v>0.64637988842397465</v>
      </c>
      <c r="AJ10" s="537">
        <f t="shared" si="5"/>
        <v>0.62282727245121272</v>
      </c>
      <c r="AK10" s="537">
        <f t="shared" si="5"/>
        <v>0.57722581676558593</v>
      </c>
      <c r="AL10" s="533">
        <f>Z10*GBDUS!$Q78/($T10+$U10+$X10+V10+W10)</f>
        <v>0.43611356199442053</v>
      </c>
      <c r="AM10" s="537">
        <f t="shared" si="6"/>
        <v>0.43611356199442053</v>
      </c>
      <c r="AN10" s="537">
        <f t="shared" si="6"/>
        <v>0.39730260917545335</v>
      </c>
      <c r="AO10" s="537">
        <f t="shared" si="6"/>
        <v>0.38282580389968657</v>
      </c>
      <c r="AP10" s="537">
        <f t="shared" si="6"/>
        <v>0.35479650154890757</v>
      </c>
      <c r="AQ10" s="533">
        <f t="shared" si="9"/>
        <v>-6.7874318782497223E-2</v>
      </c>
      <c r="AR10" s="533">
        <f t="shared" si="10"/>
        <v>-0.21120117213937395</v>
      </c>
      <c r="AS10" s="533">
        <f t="shared" si="11"/>
        <v>-0.12981650304201386</v>
      </c>
      <c r="AT10" s="533">
        <f t="shared" si="7"/>
        <v>-0.34101767518138781</v>
      </c>
      <c r="AU10" s="539"/>
      <c r="AV10" s="539"/>
      <c r="AW10" s="539"/>
      <c r="AX10" s="539"/>
    </row>
    <row r="11" spans="1:50" x14ac:dyDescent="0.2">
      <c r="A11" s="525">
        <v>1</v>
      </c>
      <c r="B11" s="525">
        <v>2</v>
      </c>
      <c r="C11" s="525" t="s">
        <v>2</v>
      </c>
      <c r="D11" s="533"/>
      <c r="E11" s="533"/>
      <c r="F11" s="533"/>
      <c r="G11" s="533"/>
      <c r="H11" s="533"/>
      <c r="I11" s="533"/>
      <c r="J11" s="533"/>
      <c r="K11" s="533"/>
      <c r="L11" s="533"/>
      <c r="M11" s="533"/>
      <c r="N11" s="541"/>
      <c r="O11" s="534"/>
      <c r="P11" s="534"/>
      <c r="Q11" s="534"/>
      <c r="R11" s="534"/>
      <c r="S11" s="534"/>
      <c r="T11" s="535"/>
      <c r="U11" s="535"/>
      <c r="V11" s="535"/>
      <c r="W11" s="536"/>
      <c r="X11" s="536"/>
      <c r="Y11" s="540"/>
      <c r="Z11" s="542"/>
      <c r="AA11" s="538"/>
      <c r="AB11" s="533"/>
      <c r="AC11" s="537"/>
      <c r="AD11" s="537"/>
      <c r="AE11" s="537"/>
      <c r="AF11" s="537"/>
      <c r="AG11" s="533"/>
      <c r="AH11" s="537"/>
      <c r="AI11" s="537"/>
      <c r="AJ11" s="537"/>
      <c r="AK11" s="537"/>
      <c r="AL11" s="533"/>
      <c r="AM11" s="537"/>
      <c r="AN11" s="537"/>
      <c r="AO11" s="537"/>
      <c r="AP11" s="537"/>
      <c r="AQ11" s="533"/>
      <c r="AR11" s="533"/>
      <c r="AS11" s="533"/>
      <c r="AT11" s="533"/>
      <c r="AU11" s="539"/>
      <c r="AV11" s="539"/>
      <c r="AW11" s="539"/>
      <c r="AX11" s="539"/>
    </row>
    <row r="12" spans="1:50" x14ac:dyDescent="0.2">
      <c r="A12" s="525">
        <v>1</v>
      </c>
      <c r="B12" s="525">
        <v>2</v>
      </c>
      <c r="C12" s="525" t="s">
        <v>41</v>
      </c>
      <c r="D12" s="533"/>
      <c r="E12" s="533"/>
      <c r="F12" s="533"/>
      <c r="G12" s="533"/>
      <c r="H12" s="533"/>
      <c r="I12" s="533"/>
      <c r="J12" s="533"/>
      <c r="K12" s="533"/>
      <c r="L12" s="533"/>
      <c r="M12" s="533"/>
      <c r="N12" s="541"/>
      <c r="O12" s="534"/>
      <c r="P12" s="534"/>
      <c r="Q12" s="534"/>
      <c r="R12" s="534"/>
      <c r="S12" s="534"/>
      <c r="T12" s="535"/>
      <c r="U12" s="535"/>
      <c r="V12" s="535"/>
      <c r="W12" s="536"/>
      <c r="X12" s="536"/>
      <c r="Y12" s="540"/>
      <c r="Z12" s="542"/>
      <c r="AA12" s="538"/>
      <c r="AB12" s="533"/>
      <c r="AC12" s="537"/>
      <c r="AD12" s="537"/>
      <c r="AE12" s="537"/>
      <c r="AF12" s="537"/>
      <c r="AG12" s="533"/>
      <c r="AH12" s="537"/>
      <c r="AI12" s="537"/>
      <c r="AJ12" s="537"/>
      <c r="AK12" s="537"/>
      <c r="AL12" s="533"/>
      <c r="AM12" s="537"/>
      <c r="AN12" s="537"/>
      <c r="AO12" s="537"/>
      <c r="AP12" s="537"/>
      <c r="AQ12" s="533"/>
      <c r="AR12" s="533"/>
      <c r="AS12" s="533"/>
      <c r="AT12" s="533"/>
      <c r="AU12" s="539"/>
      <c r="AV12" s="539"/>
      <c r="AW12" s="539"/>
      <c r="AX12" s="539"/>
    </row>
    <row r="13" spans="1:50" x14ac:dyDescent="0.2">
      <c r="A13" s="525">
        <v>1</v>
      </c>
      <c r="B13" s="525">
        <v>2</v>
      </c>
      <c r="C13" s="525" t="s">
        <v>40</v>
      </c>
      <c r="D13" s="533">
        <f>Scenario!AN29</f>
        <v>2.5519209672247203</v>
      </c>
      <c r="E13" s="533">
        <f>Scenario!AO29</f>
        <v>5.783013855340938</v>
      </c>
      <c r="F13" s="533">
        <f>Scenario!AP29</f>
        <v>10.191190868295642</v>
      </c>
      <c r="G13" s="533">
        <f>Scenario!AQ29</f>
        <v>17.959557751726912</v>
      </c>
      <c r="H13" s="533">
        <f>Scenario!AR29</f>
        <v>40.698898064614944</v>
      </c>
      <c r="I13" s="533">
        <f t="shared" ref="I13:I18" si="12">IF(D13&gt;2.5,D13,0.1)</f>
        <v>2.5519209672247203</v>
      </c>
      <c r="J13" s="533">
        <f t="shared" si="1"/>
        <v>5.783013855340938</v>
      </c>
      <c r="K13" s="533">
        <f t="shared" si="1"/>
        <v>10.191190868295642</v>
      </c>
      <c r="L13" s="533">
        <f t="shared" si="1"/>
        <v>17.959557751726912</v>
      </c>
      <c r="M13" s="533">
        <f t="shared" si="1"/>
        <v>40.698898064614944</v>
      </c>
      <c r="N13" s="541">
        <f>'Phy activity RRs'!$G$4</f>
        <v>0.93831941951583364</v>
      </c>
      <c r="O13" s="534">
        <f>IF(('user page'!$N$39=0),$N13^(I13^0.25),IF(('user page'!$N$39=1),$N13^(I13^0.5),IF(('user page'!$N$39=2),$N13^(I13^0.375),IF(('user page'!$N$39=4),$N13^(I13),IF(('user page'!$N$39=3),$N13^(LN(1+I13)),"")))))</f>
        <v>0.90329787517010907</v>
      </c>
      <c r="P13" s="534">
        <f>IF(('user page'!$N$39=0),$N13^(J13^0.25),IF(('user page'!$N$39=1),$N13^(J13^0.5),IF(('user page'!$N$39=2),$N13^(J13^0.375),IF(('user page'!$N$39=4),$N13^(J13),IF(('user page'!$N$39=3),$N13^(LN(1+J13)),"")))))</f>
        <v>0.85804340411074909</v>
      </c>
      <c r="Q13" s="534">
        <f>IF(('user page'!$N$39=0),$N13^(K13^0.25),IF(('user page'!$N$39=1),$N13^(K13^0.5),IF(('user page'!$N$39=2),$N13^(K13^0.375),IF(('user page'!$N$39=4),$N13^(K13),IF(('user page'!$N$39=3),$N13^(LN(1+K13)),"")))))</f>
        <v>0.8160811976920439</v>
      </c>
      <c r="R13" s="534">
        <f>IF(('user page'!$N$39=0),$N13^(L13^0.25),IF(('user page'!$N$39=1),$N13^(L13^0.5),IF(('user page'!$N$39=2),$N13^(L13^0.375),IF(('user page'!$N$39=4),$N13^(L13),IF(('user page'!$N$39=3),$N13^(LN(1+L13)),"")))))</f>
        <v>0.76352951460432195</v>
      </c>
      <c r="S13" s="534">
        <f>IF(('user page'!$N$39=0),$N13^(M13^0.25),IF(('user page'!$N$39=1),$N13^(M13^0.5),IF(('user page'!$N$39=2),$N13^(M13^0.375),IF(('user page'!$N$39=4),$N13^(M13),IF(('user page'!$N$39=3),$N13^(LN(1+M13)),"")))))</f>
        <v>0.66620734691542394</v>
      </c>
      <c r="T13" s="535">
        <f t="shared" ref="T13:X18" si="13">O13/$O13</f>
        <v>1</v>
      </c>
      <c r="U13" s="535">
        <f t="shared" si="13"/>
        <v>0.9499008330437646</v>
      </c>
      <c r="V13" s="535">
        <f t="shared" si="13"/>
        <v>0.90344638255498999</v>
      </c>
      <c r="W13" s="536">
        <f t="shared" si="13"/>
        <v>0.84526880400392179</v>
      </c>
      <c r="X13" s="536">
        <f t="shared" si="13"/>
        <v>0.73752785789511988</v>
      </c>
      <c r="Y13" s="540">
        <f t="shared" si="8"/>
        <v>0.11215715464911169</v>
      </c>
      <c r="Z13" s="542">
        <f t="shared" ref="Z13:Z18" si="14">SUM(O13:S13)/SUM(O30:S30)</f>
        <v>0.88784284535088831</v>
      </c>
      <c r="AA13" s="538">
        <f>'Inflammatory HD'!F13</f>
        <v>1</v>
      </c>
      <c r="AB13" s="533">
        <f>Z13*AA13*GBDUS!$O81/($T13+$U13+$X13+V13+W13)</f>
        <v>1.0221986581278955E-4</v>
      </c>
      <c r="AC13" s="537">
        <f t="shared" ref="AC13:AF18" si="15">$AB13*U13</f>
        <v>9.7098735689190622E-5</v>
      </c>
      <c r="AD13" s="537">
        <f t="shared" si="15"/>
        <v>9.2350167993821214E-5</v>
      </c>
      <c r="AE13" s="537">
        <f t="shared" si="15"/>
        <v>8.6403263721017998E-5</v>
      </c>
      <c r="AF13" s="537">
        <f t="shared" si="15"/>
        <v>7.538999866723328E-5</v>
      </c>
      <c r="AG13" s="533">
        <f>Z13*AA13*GBDUS!$P81/($T13+$U13+$X13+V13+W13)</f>
        <v>3.0771081025771428E-3</v>
      </c>
      <c r="AH13" s="537">
        <f t="shared" ref="AH13:AK18" si="16">$AG13*U13</f>
        <v>2.9229475500037456E-3</v>
      </c>
      <c r="AI13" s="537">
        <f t="shared" si="16"/>
        <v>2.7800021840039689E-3</v>
      </c>
      <c r="AJ13" s="537">
        <f t="shared" si="16"/>
        <v>2.6009834856561588E-3</v>
      </c>
      <c r="AK13" s="537">
        <f t="shared" si="16"/>
        <v>2.269452947405437E-3</v>
      </c>
      <c r="AL13" s="533">
        <f>Z13*GBDUS!$Q81/($T13+$U13+$X13+V13+W13)</f>
        <v>2.0421465360859502E-2</v>
      </c>
      <c r="AM13" s="537">
        <f t="shared" ref="AM13:AP18" si="17">$AL13*U13</f>
        <v>1.9398366958254823E-2</v>
      </c>
      <c r="AN13" s="537">
        <f t="shared" si="17"/>
        <v>1.8449699006740549E-2</v>
      </c>
      <c r="AO13" s="537">
        <f t="shared" si="17"/>
        <v>1.7261627601581227E-2</v>
      </c>
      <c r="AP13" s="537">
        <f t="shared" si="17"/>
        <v>1.5061399602674099E-2</v>
      </c>
      <c r="AQ13" s="533">
        <f t="shared" si="9"/>
        <v>-5.7283799158644927E-5</v>
      </c>
      <c r="AR13" s="533">
        <f t="shared" si="10"/>
        <v>-1.7244049494282709E-3</v>
      </c>
      <c r="AS13" s="533">
        <f t="shared" si="11"/>
        <v>-1.1444146506699247E-2</v>
      </c>
      <c r="AT13" s="533">
        <f t="shared" ref="AT13:AT18" si="18">AR13+AS13</f>
        <v>-1.3168551456127518E-2</v>
      </c>
      <c r="AU13" s="539"/>
      <c r="AV13" s="539"/>
      <c r="AW13" s="539"/>
      <c r="AX13" s="539"/>
    </row>
    <row r="14" spans="1:50" x14ac:dyDescent="0.2">
      <c r="A14" s="525">
        <v>1</v>
      </c>
      <c r="B14" s="525">
        <v>2</v>
      </c>
      <c r="C14" s="525" t="s">
        <v>39</v>
      </c>
      <c r="D14" s="533">
        <f>Scenario!AN30</f>
        <v>1.5370956980369832</v>
      </c>
      <c r="E14" s="533">
        <f>Scenario!AO30</f>
        <v>3.4832762585119914</v>
      </c>
      <c r="F14" s="533">
        <f>Scenario!AP30</f>
        <v>6.1384485815667444</v>
      </c>
      <c r="G14" s="533">
        <f>Scenario!AQ30</f>
        <v>10.817560305892991</v>
      </c>
      <c r="H14" s="533">
        <f>Scenario!AR30</f>
        <v>24.514121688493699</v>
      </c>
      <c r="I14" s="533">
        <f t="shared" si="12"/>
        <v>0.1</v>
      </c>
      <c r="J14" s="533">
        <f t="shared" si="1"/>
        <v>3.4832762585119914</v>
      </c>
      <c r="K14" s="533">
        <f t="shared" si="1"/>
        <v>6.1384485815667444</v>
      </c>
      <c r="L14" s="533">
        <f t="shared" si="1"/>
        <v>10.817560305892991</v>
      </c>
      <c r="M14" s="533">
        <f t="shared" si="1"/>
        <v>24.514121688493699</v>
      </c>
      <c r="N14" s="541">
        <f>'Phy activity RRs'!$G$4</f>
        <v>0.93831941951583364</v>
      </c>
      <c r="O14" s="534">
        <f>IF(('user page'!$N$39=0),$N14^(I14^0.25),IF(('user page'!$N$39=1),$N14^(I14^0.5),IF(('user page'!$N$39=2),$N14^(I14^0.375),IF(('user page'!$N$39=4),$N14^(I14),IF(('user page'!$N$39=3),$N14^(LN(1+I14)),"")))))</f>
        <v>0.98006871247951299</v>
      </c>
      <c r="P14" s="534">
        <f>IF(('user page'!$N$39=0),$N14^(J14^0.25),IF(('user page'!$N$39=1),$N14^(J14^0.5),IF(('user page'!$N$39=2),$N14^(J14^0.375),IF(('user page'!$N$39=4),$N14^(J14),IF(('user page'!$N$39=3),$N14^(LN(1+J14)),"")))))</f>
        <v>0.88796660774428982</v>
      </c>
      <c r="Q14" s="534">
        <f>IF(('user page'!$N$39=0),$N14^(K14^0.25),IF(('user page'!$N$39=1),$N14^(K14^0.5),IF(('user page'!$N$39=2),$N14^(K14^0.375),IF(('user page'!$N$39=4),$N14^(K14),IF(('user page'!$N$39=3),$N14^(LN(1+K14)),"")))))</f>
        <v>0.8540757725213638</v>
      </c>
      <c r="R14" s="534">
        <f>IF(('user page'!$N$39=0),$N14^(L14^0.25),IF(('user page'!$N$39=1),$N14^(L14^0.5),IF(('user page'!$N$39=2),$N14^(L14^0.375),IF(('user page'!$N$39=4),$N14^(L14),IF(('user page'!$N$39=3),$N14^(LN(1+L14)),"")))))</f>
        <v>0.81107553600232762</v>
      </c>
      <c r="S14" s="534">
        <f>IF(('user page'!$N$39=0),$N14^(M14^0.25),IF(('user page'!$N$39=1),$N14^(M14^0.5),IF(('user page'!$N$39=2),$N14^(M14^0.375),IF(('user page'!$N$39=4),$N14^(M14),IF(('user page'!$N$39=3),$N14^(LN(1+M14)),"")))))</f>
        <v>0.7296314304722521</v>
      </c>
      <c r="T14" s="535">
        <f t="shared" si="13"/>
        <v>1</v>
      </c>
      <c r="U14" s="535">
        <f t="shared" si="13"/>
        <v>0.90602484952079476</v>
      </c>
      <c r="V14" s="535">
        <f t="shared" si="13"/>
        <v>0.87144478917259294</v>
      </c>
      <c r="W14" s="536">
        <f t="shared" si="13"/>
        <v>0.82757007307207764</v>
      </c>
      <c r="X14" s="536">
        <f t="shared" si="13"/>
        <v>0.74446966950544713</v>
      </c>
      <c r="Y14" s="540">
        <f t="shared" si="8"/>
        <v>8.7283386093505833E-2</v>
      </c>
      <c r="Z14" s="542">
        <f t="shared" si="14"/>
        <v>0.91271661390649417</v>
      </c>
      <c r="AA14" s="542">
        <f>'Inflammatory HD'!F14</f>
        <v>1</v>
      </c>
      <c r="AB14" s="533">
        <f>Z14*AA14*GBDUS!$O82/($T14+$U14+$X14+V14+W14)</f>
        <v>1.7225094926725141E-2</v>
      </c>
      <c r="AC14" s="537">
        <f t="shared" si="15"/>
        <v>1.5606364038967551E-2</v>
      </c>
      <c r="AD14" s="537">
        <f t="shared" si="15"/>
        <v>1.5010719216897891E-2</v>
      </c>
      <c r="AE14" s="537">
        <f t="shared" si="15"/>
        <v>1.4254973067183398E-2</v>
      </c>
      <c r="AF14" s="537">
        <f t="shared" si="15"/>
        <v>1.2823560727299019E-2</v>
      </c>
      <c r="AG14" s="533">
        <f>Z14*AA14*GBDUS!$P82/($T14+$U14+$X14+V14+W14)</f>
        <v>0.4149858693808382</v>
      </c>
      <c r="AH14" s="537">
        <f t="shared" si="16"/>
        <v>0.37598750985903012</v>
      </c>
      <c r="AI14" s="537">
        <f t="shared" si="16"/>
        <v>0.36163727345218971</v>
      </c>
      <c r="AJ14" s="537">
        <f t="shared" si="16"/>
        <v>0.34342988624737991</v>
      </c>
      <c r="AK14" s="537">
        <f t="shared" si="16"/>
        <v>0.30894439302738325</v>
      </c>
      <c r="AL14" s="533">
        <f>Z14*GBDUS!$Q82/($T14+$U14+$X14+V14+W14)</f>
        <v>1.0892488613341242</v>
      </c>
      <c r="AM14" s="537">
        <f t="shared" si="17"/>
        <v>0.98688653568094697</v>
      </c>
      <c r="AN14" s="537">
        <f t="shared" si="17"/>
        <v>0.94922024432180285</v>
      </c>
      <c r="AO14" s="537">
        <f t="shared" si="17"/>
        <v>0.90142975976795858</v>
      </c>
      <c r="AP14" s="537">
        <f t="shared" si="17"/>
        <v>0.81091273980660006</v>
      </c>
      <c r="AQ14" s="533">
        <f t="shared" si="9"/>
        <v>-7.1646920087346348E-3</v>
      </c>
      <c r="AR14" s="533">
        <f t="shared" si="10"/>
        <v>-0.17261129501687855</v>
      </c>
      <c r="AS14" s="533">
        <f t="shared" si="11"/>
        <v>-0.45306761126846429</v>
      </c>
      <c r="AT14" s="533">
        <f t="shared" si="18"/>
        <v>-0.62567890628534284</v>
      </c>
      <c r="AU14" s="539"/>
      <c r="AV14" s="539"/>
      <c r="AW14" s="539"/>
      <c r="AX14" s="539"/>
    </row>
    <row r="15" spans="1:50" x14ac:dyDescent="0.2">
      <c r="A15" s="525">
        <v>1</v>
      </c>
      <c r="B15" s="525">
        <v>2</v>
      </c>
      <c r="C15" s="525" t="s">
        <v>38</v>
      </c>
      <c r="D15" s="533">
        <f>Scenario!AN31</f>
        <v>1.2975056378007672</v>
      </c>
      <c r="E15" s="533">
        <f>Scenario!AO31</f>
        <v>2.9403312944072315</v>
      </c>
      <c r="F15" s="533">
        <f>Scenario!AP31</f>
        <v>5.1816368051153949</v>
      </c>
      <c r="G15" s="533">
        <f>Scenario!AQ31</f>
        <v>9.1314063932851113</v>
      </c>
      <c r="H15" s="533">
        <f>Scenario!AR31</f>
        <v>20.693058432975548</v>
      </c>
      <c r="I15" s="533">
        <f t="shared" si="12"/>
        <v>0.1</v>
      </c>
      <c r="J15" s="533">
        <f t="shared" si="1"/>
        <v>2.9403312944072315</v>
      </c>
      <c r="K15" s="533">
        <f t="shared" si="1"/>
        <v>5.1816368051153949</v>
      </c>
      <c r="L15" s="533">
        <f t="shared" si="1"/>
        <v>9.1314063932851113</v>
      </c>
      <c r="M15" s="533">
        <f t="shared" si="1"/>
        <v>20.693058432975548</v>
      </c>
      <c r="N15" s="541">
        <f>'Phy activity RRs'!$G$4</f>
        <v>0.93831941951583364</v>
      </c>
      <c r="O15" s="534">
        <f>IF(('user page'!$N$39=0),$N15^(I15^0.25),IF(('user page'!$N$39=1),$N15^(I15^0.5),IF(('user page'!$N$39=2),$N15^(I15^0.375),IF(('user page'!$N$39=4),$N15^(I15),IF(('user page'!$N$39=3),$N15^(LN(1+I15)),"")))))</f>
        <v>0.98006871247951299</v>
      </c>
      <c r="P15" s="534">
        <f>IF(('user page'!$N$39=0),$N15^(J15^0.25),IF(('user page'!$N$39=1),$N15^(J15^0.5),IF(('user page'!$N$39=2),$N15^(J15^0.375),IF(('user page'!$N$39=4),$N15^(J15),IF(('user page'!$N$39=3),$N15^(LN(1+J15)),"")))))</f>
        <v>0.89657920783922018</v>
      </c>
      <c r="Q15" s="534">
        <f>IF(('user page'!$N$39=0),$N15^(K15^0.25),IF(('user page'!$N$39=1),$N15^(K15^0.5),IF(('user page'!$N$39=2),$N15^(K15^0.375),IF(('user page'!$N$39=4),$N15^(K15),IF(('user page'!$N$39=3),$N15^(LN(1+K15)),"")))))</f>
        <v>0.86509007849558839</v>
      </c>
      <c r="R15" s="534">
        <f>IF(('user page'!$N$39=0),$N15^(L15^0.25),IF(('user page'!$N$39=1),$N15^(L15^0.5),IF(('user page'!$N$39=2),$N15^(L15^0.375),IF(('user page'!$N$39=4),$N15^(L15),IF(('user page'!$N$39=3),$N15^(LN(1+L15)),"")))))</f>
        <v>0.82499014210779475</v>
      </c>
      <c r="S15" s="534">
        <f>IF(('user page'!$N$39=0),$N15^(M15^0.25),IF(('user page'!$N$39=1),$N15^(M15^0.5),IF(('user page'!$N$39=2),$N15^(M15^0.375),IF(('user page'!$N$39=4),$N15^(M15),IF(('user page'!$N$39=3),$N15^(LN(1+M15)),"")))))</f>
        <v>0.74855617332045343</v>
      </c>
      <c r="T15" s="535">
        <f t="shared" si="13"/>
        <v>1</v>
      </c>
      <c r="U15" s="535">
        <f t="shared" si="13"/>
        <v>0.91481260081339655</v>
      </c>
      <c r="V15" s="535">
        <f t="shared" si="13"/>
        <v>0.88268308893053449</v>
      </c>
      <c r="W15" s="536">
        <f t="shared" si="13"/>
        <v>0.84176765527043595</v>
      </c>
      <c r="X15" s="536">
        <f t="shared" si="13"/>
        <v>0.7637792777066138</v>
      </c>
      <c r="Y15" s="540">
        <f t="shared" si="8"/>
        <v>8.0073261307696209E-2</v>
      </c>
      <c r="Z15" s="542">
        <f t="shared" si="14"/>
        <v>0.91992673869230379</v>
      </c>
      <c r="AA15" s="542">
        <f>'Inflammatory HD'!F15</f>
        <v>1</v>
      </c>
      <c r="AB15" s="533">
        <f>Z15*AA15*GBDUS!$O83/($T15+$U15+$X15+V15+W15)</f>
        <v>1.1970558900045799E-2</v>
      </c>
      <c r="AC15" s="537">
        <f t="shared" si="15"/>
        <v>1.0950818120540849E-2</v>
      </c>
      <c r="AD15" s="537">
        <f t="shared" si="15"/>
        <v>1.0566209906117327E-2</v>
      </c>
      <c r="AE15" s="537">
        <f t="shared" si="15"/>
        <v>1.0076429297568201E-2</v>
      </c>
      <c r="AF15" s="537">
        <f t="shared" si="15"/>
        <v>9.1428648304214578E-3</v>
      </c>
      <c r="AG15" s="533">
        <f>Z15*AA15*GBDUS!$P83/($T15+$U15+$X15+V15+W15)</f>
        <v>0.20985798294823355</v>
      </c>
      <c r="AH15" s="537">
        <f t="shared" si="16"/>
        <v>0.19198072718232695</v>
      </c>
      <c r="AI15" s="537">
        <f t="shared" si="16"/>
        <v>0.18523809262547822</v>
      </c>
      <c r="AJ15" s="537">
        <f t="shared" si="16"/>
        <v>0.17665166224611767</v>
      </c>
      <c r="AK15" s="537">
        <f t="shared" si="16"/>
        <v>0.16028517863716868</v>
      </c>
      <c r="AL15" s="533">
        <f>Z15*GBDUS!$Q83/($T15+$U15+$X15+V15+W15)</f>
        <v>0.13878982850013247</v>
      </c>
      <c r="AM15" s="537">
        <f t="shared" si="17"/>
        <v>0.12696668397665145</v>
      </c>
      <c r="AN15" s="537">
        <f t="shared" si="17"/>
        <v>0.12250743453263606</v>
      </c>
      <c r="AO15" s="537">
        <f t="shared" si="17"/>
        <v>0.11682878851194244</v>
      </c>
      <c r="AP15" s="537">
        <f t="shared" si="17"/>
        <v>0.10600479496485597</v>
      </c>
      <c r="AQ15" s="533">
        <f t="shared" si="9"/>
        <v>-4.5877695276099455E-3</v>
      </c>
      <c r="AR15" s="533">
        <f t="shared" si="10"/>
        <v>-8.042899812237761E-2</v>
      </c>
      <c r="AS15" s="533">
        <f t="shared" si="11"/>
        <v>-5.3191814288026468E-2</v>
      </c>
      <c r="AT15" s="533">
        <f t="shared" si="18"/>
        <v>-0.13362081241040408</v>
      </c>
      <c r="AU15" s="539"/>
      <c r="AV15" s="539"/>
      <c r="AW15" s="539"/>
      <c r="AX15" s="539"/>
    </row>
    <row r="16" spans="1:50" x14ac:dyDescent="0.2">
      <c r="A16" s="525">
        <v>1</v>
      </c>
      <c r="B16" s="525">
        <v>2</v>
      </c>
      <c r="C16" s="525" t="s">
        <v>37</v>
      </c>
      <c r="D16" s="533">
        <f>Scenario!AN32</f>
        <v>0.85341118968805019</v>
      </c>
      <c r="E16" s="533">
        <f>Scenario!AO32</f>
        <v>1.9339504622810642</v>
      </c>
      <c r="F16" s="533">
        <f>Scenario!AP32</f>
        <v>3.4081291838393759</v>
      </c>
      <c r="G16" s="533">
        <f>Scenario!AQ32</f>
        <v>6.0060196785172764</v>
      </c>
      <c r="H16" s="533">
        <f>Scenario!AR32</f>
        <v>13.610490082727217</v>
      </c>
      <c r="I16" s="533">
        <f t="shared" si="12"/>
        <v>0.1</v>
      </c>
      <c r="J16" s="533">
        <f t="shared" si="1"/>
        <v>0.1</v>
      </c>
      <c r="K16" s="533">
        <f t="shared" si="1"/>
        <v>3.4081291838393759</v>
      </c>
      <c r="L16" s="533">
        <f t="shared" si="1"/>
        <v>6.0060196785172764</v>
      </c>
      <c r="M16" s="533">
        <f t="shared" si="1"/>
        <v>13.610490082727217</v>
      </c>
      <c r="N16" s="541">
        <f>'Phy activity RRs'!$G$4</f>
        <v>0.93831941951583364</v>
      </c>
      <c r="O16" s="534">
        <f>IF(('user page'!$N$39=0),$N16^(I16^0.25),IF(('user page'!$N$39=1),$N16^(I16^0.5),IF(('user page'!$N$39=2),$N16^(I16^0.375),IF(('user page'!$N$39=4),$N16^(I16),IF(('user page'!$N$39=3),$N16^(LN(1+I16)),"")))))</f>
        <v>0.98006871247951299</v>
      </c>
      <c r="P16" s="534">
        <f>IF(('user page'!$N$39=0),$N16^(J16^0.25),IF(('user page'!$N$39=1),$N16^(J16^0.5),IF(('user page'!$N$39=2),$N16^(J16^0.375),IF(('user page'!$N$39=4),$N16^(J16),IF(('user page'!$N$39=3),$N16^(LN(1+J16)),"")))))</f>
        <v>0.98006871247951299</v>
      </c>
      <c r="Q16" s="534">
        <f>IF(('user page'!$N$39=0),$N16^(K16^0.25),IF(('user page'!$N$39=1),$N16^(K16^0.5),IF(('user page'!$N$39=2),$N16^(K16^0.375),IF(('user page'!$N$39=4),$N16^(K16),IF(('user page'!$N$39=3),$N16^(LN(1+K16)),"")))))</f>
        <v>0.88911166154691845</v>
      </c>
      <c r="R16" s="534">
        <f>IF(('user page'!$N$39=0),$N16^(L16^0.25),IF(('user page'!$N$39=1),$N16^(L16^0.5),IF(('user page'!$N$39=2),$N16^(L16^0.375),IF(('user page'!$N$39=4),$N16^(L16),IF(('user page'!$N$39=3),$N16^(LN(1+L16)),"")))))</f>
        <v>0.85553812707815702</v>
      </c>
      <c r="S16" s="534">
        <f>IF(('user page'!$N$39=0),$N16^(M16^0.25),IF(('user page'!$N$39=1),$N16^(M16^0.5),IF(('user page'!$N$39=2),$N16^(M16^0.375),IF(('user page'!$N$39=4),$N16^(M16),IF(('user page'!$N$39=3),$N16^(LN(1+M16)),"")))))</f>
        <v>0.7906697431408154</v>
      </c>
      <c r="T16" s="535">
        <f t="shared" si="13"/>
        <v>1</v>
      </c>
      <c r="U16" s="535">
        <f t="shared" si="13"/>
        <v>1</v>
      </c>
      <c r="V16" s="535">
        <f t="shared" si="13"/>
        <v>0.90719318985045561</v>
      </c>
      <c r="W16" s="536">
        <f t="shared" si="13"/>
        <v>0.87293688308210415</v>
      </c>
      <c r="X16" s="536">
        <f t="shared" si="13"/>
        <v>0.80674929530243855</v>
      </c>
      <c r="Y16" s="540">
        <f t="shared" si="8"/>
        <v>6.3110106265750643E-2</v>
      </c>
      <c r="Z16" s="542">
        <f t="shared" si="14"/>
        <v>0.93688989373424936</v>
      </c>
      <c r="AA16" s="542">
        <f>'Inflammatory HD'!F16</f>
        <v>1</v>
      </c>
      <c r="AB16" s="533">
        <f>Z16*AA16*GBDUS!$O84/($T16+$U16+$X16+V16+W16)</f>
        <v>2.4145379705802661E-2</v>
      </c>
      <c r="AC16" s="537">
        <f t="shared" si="15"/>
        <v>2.4145379705802661E-2</v>
      </c>
      <c r="AD16" s="537">
        <f t="shared" si="15"/>
        <v>2.1904524035457573E-2</v>
      </c>
      <c r="AE16" s="537">
        <f t="shared" si="15"/>
        <v>2.1077392501217269E-2</v>
      </c>
      <c r="AF16" s="537">
        <f t="shared" si="15"/>
        <v>1.9479268062466099E-2</v>
      </c>
      <c r="AG16" s="533">
        <f>Z16*AA16*GBDUS!$P84/($T16+$U16+$X16+V16+W16)</f>
        <v>0.2962363895392805</v>
      </c>
      <c r="AH16" s="537">
        <f t="shared" si="16"/>
        <v>0.2962363895392805</v>
      </c>
      <c r="AI16" s="537">
        <f t="shared" si="16"/>
        <v>0.26874363517592204</v>
      </c>
      <c r="AJ16" s="537">
        <f t="shared" si="16"/>
        <v>0.25859567053991556</v>
      </c>
      <c r="AK16" s="537">
        <f t="shared" si="16"/>
        <v>0.23898849850375323</v>
      </c>
      <c r="AL16" s="533">
        <f>Z16*GBDUS!$Q84/($T16+$U16+$X16+V16+W16)</f>
        <v>0.22672195470359213</v>
      </c>
      <c r="AM16" s="537">
        <f t="shared" si="17"/>
        <v>0.22672195470359213</v>
      </c>
      <c r="AN16" s="537">
        <f t="shared" si="17"/>
        <v>0.20568061329668225</v>
      </c>
      <c r="AO16" s="537">
        <f t="shared" si="17"/>
        <v>0.19791395646523571</v>
      </c>
      <c r="AP16" s="537">
        <f t="shared" si="17"/>
        <v>0.18290777718671436</v>
      </c>
      <c r="AQ16" s="533">
        <f t="shared" si="9"/>
        <v>-7.460393160820325E-3</v>
      </c>
      <c r="AR16" s="533">
        <f t="shared" si="10"/>
        <v>-9.1530552073854132E-2</v>
      </c>
      <c r="AS16" s="533">
        <f t="shared" si="11"/>
        <v>-7.0052115182599684E-2</v>
      </c>
      <c r="AT16" s="533">
        <f t="shared" si="18"/>
        <v>-0.16158266725645382</v>
      </c>
      <c r="AU16" s="539"/>
      <c r="AV16" s="539"/>
      <c r="AW16" s="539"/>
      <c r="AX16" s="539"/>
    </row>
    <row r="17" spans="1:50" x14ac:dyDescent="0.2">
      <c r="A17" s="525">
        <v>1</v>
      </c>
      <c r="B17" s="525">
        <v>2</v>
      </c>
      <c r="C17" s="525" t="s">
        <v>36</v>
      </c>
      <c r="D17" s="533">
        <f>Scenario!AN33</f>
        <v>0.77504695374177146</v>
      </c>
      <c r="E17" s="533">
        <f>Scenario!AO33</f>
        <v>1.7563660197920845</v>
      </c>
      <c r="F17" s="533">
        <f>Scenario!AP33</f>
        <v>3.0951787061272027</v>
      </c>
      <c r="G17" s="533">
        <f>Scenario!AQ33</f>
        <v>5.4545186566507038</v>
      </c>
      <c r="H17" s="533">
        <f>Scenario!AR33</f>
        <v>12.360710762892898</v>
      </c>
      <c r="I17" s="533">
        <f t="shared" si="12"/>
        <v>0.1</v>
      </c>
      <c r="J17" s="533">
        <f t="shared" si="1"/>
        <v>0.1</v>
      </c>
      <c r="K17" s="533">
        <f t="shared" si="1"/>
        <v>3.0951787061272027</v>
      </c>
      <c r="L17" s="533">
        <f t="shared" si="1"/>
        <v>5.4545186566507038</v>
      </c>
      <c r="M17" s="533">
        <f t="shared" si="1"/>
        <v>12.360710762892898</v>
      </c>
      <c r="N17" s="541">
        <f>'Phy activity RRs'!$G$4</f>
        <v>0.93831941951583364</v>
      </c>
      <c r="O17" s="534">
        <f>IF(('user page'!$N$39=0),$N17^(I17^0.25),IF(('user page'!$N$39=1),$N17^(I17^0.5),IF(('user page'!$N$39=2),$N17^(I17^0.375),IF(('user page'!$N$39=4),$N17^(I17),IF(('user page'!$N$39=3),$N17^(LN(1+I17)),"")))))</f>
        <v>0.98006871247951299</v>
      </c>
      <c r="P17" s="534">
        <f>IF(('user page'!$N$39=0),$N17^(J17^0.25),IF(('user page'!$N$39=1),$N17^(J17^0.5),IF(('user page'!$N$39=2),$N17^(J17^0.375),IF(('user page'!$N$39=4),$N17^(J17),IF(('user page'!$N$39=3),$N17^(LN(1+J17)),"")))))</f>
        <v>0.98006871247951299</v>
      </c>
      <c r="Q17" s="534">
        <f>IF(('user page'!$N$39=0),$N17^(K17^0.25),IF(('user page'!$N$39=1),$N17^(K17^0.5),IF(('user page'!$N$39=2),$N17^(K17^0.375),IF(('user page'!$N$39=4),$N17^(K17),IF(('user page'!$N$39=3),$N17^(LN(1+K17)),"")))))</f>
        <v>0.89403858572624817</v>
      </c>
      <c r="R17" s="534">
        <f>IF(('user page'!$N$39=0),$N17^(L17^0.25),IF(('user page'!$N$39=1),$N17^(L17^0.5),IF(('user page'!$N$39=2),$N17^(L17^0.375),IF(('user page'!$N$39=4),$N17^(L17),IF(('user page'!$N$39=3),$N17^(LN(1+L17)),"")))))</f>
        <v>0.861837360614092</v>
      </c>
      <c r="S17" s="534">
        <f>IF(('user page'!$N$39=0),$N17^(M17^0.25),IF(('user page'!$N$39=1),$N17^(M17^0.5),IF(('user page'!$N$39=2),$N17^(M17^0.375),IF(('user page'!$N$39=4),$N17^(M17),IF(('user page'!$N$39=3),$N17^(LN(1+M17)),"")))))</f>
        <v>0.79944971740092752</v>
      </c>
      <c r="T17" s="535">
        <f t="shared" si="13"/>
        <v>1</v>
      </c>
      <c r="U17" s="535">
        <f t="shared" si="13"/>
        <v>1</v>
      </c>
      <c r="V17" s="535">
        <f t="shared" si="13"/>
        <v>0.91222031102736256</v>
      </c>
      <c r="W17" s="536">
        <f t="shared" si="13"/>
        <v>0.87936422175308193</v>
      </c>
      <c r="X17" s="536">
        <f t="shared" si="13"/>
        <v>0.8157078245854511</v>
      </c>
      <c r="Y17" s="540">
        <f t="shared" si="8"/>
        <v>5.9996094910016007E-2</v>
      </c>
      <c r="Z17" s="542">
        <f t="shared" si="14"/>
        <v>0.94000390508998399</v>
      </c>
      <c r="AA17" s="542">
        <f>'Inflammatory HD'!F17</f>
        <v>1</v>
      </c>
      <c r="AB17" s="533">
        <f>Z17*AA17*GBDUS!$O85/($T17+$U17+$X17+V17+W17)</f>
        <v>6.8576661465220817E-2</v>
      </c>
      <c r="AC17" s="537">
        <f t="shared" si="15"/>
        <v>6.8576661465220817E-2</v>
      </c>
      <c r="AD17" s="537">
        <f t="shared" si="15"/>
        <v>6.2557023451021876E-2</v>
      </c>
      <c r="AE17" s="537">
        <f t="shared" si="15"/>
        <v>6.0303862539788471E-2</v>
      </c>
      <c r="AF17" s="537">
        <f t="shared" si="15"/>
        <v>5.5938519341128208E-2</v>
      </c>
      <c r="AG17" s="533">
        <f>Z17*AA17*GBDUS!$P85/($T17+$U17+$X17+V17+W17)</f>
        <v>0.52862499828547904</v>
      </c>
      <c r="AH17" s="537">
        <f t="shared" si="16"/>
        <v>0.52862499828547904</v>
      </c>
      <c r="AI17" s="537">
        <f t="shared" si="16"/>
        <v>0.48222246035281868</v>
      </c>
      <c r="AJ17" s="537">
        <f t="shared" si="16"/>
        <v>0.46485391021653455</v>
      </c>
      <c r="AK17" s="537">
        <f t="shared" si="16"/>
        <v>0.43120354737293592</v>
      </c>
      <c r="AL17" s="533">
        <f>Z17*GBDUS!$Q85/($T17+$U17+$X17+V17+W17)</f>
        <v>0.37571725027767344</v>
      </c>
      <c r="AM17" s="537">
        <f t="shared" si="17"/>
        <v>0.37571725027767344</v>
      </c>
      <c r="AN17" s="537">
        <f t="shared" si="17"/>
        <v>0.34273690690664471</v>
      </c>
      <c r="AO17" s="537">
        <f t="shared" si="17"/>
        <v>0.33039230738963421</v>
      </c>
      <c r="AP17" s="537">
        <f t="shared" si="17"/>
        <v>0.3064755008832285</v>
      </c>
      <c r="AQ17" s="533">
        <f t="shared" si="9"/>
        <v>-2.0165799066647228E-2</v>
      </c>
      <c r="AR17" s="533">
        <f t="shared" si="10"/>
        <v>-0.15544859241125453</v>
      </c>
      <c r="AS17" s="533">
        <f t="shared" si="11"/>
        <v>-0.11048421449935014</v>
      </c>
      <c r="AT17" s="533">
        <f t="shared" si="18"/>
        <v>-0.26593280691060467</v>
      </c>
      <c r="AU17" s="539"/>
      <c r="AV17" s="539"/>
      <c r="AW17" s="539"/>
      <c r="AX17" s="539"/>
    </row>
    <row r="18" spans="1:50" x14ac:dyDescent="0.2">
      <c r="A18" s="525">
        <v>1</v>
      </c>
      <c r="B18" s="525">
        <v>2</v>
      </c>
      <c r="C18" s="525" t="s">
        <v>35</v>
      </c>
      <c r="D18" s="533">
        <f>Scenario!AN34</f>
        <v>0.40295615512215294</v>
      </c>
      <c r="E18" s="533">
        <f>Scenario!AO34</f>
        <v>0.91315564161087048</v>
      </c>
      <c r="F18" s="533">
        <f>Scenario!AP34</f>
        <v>1.6092203250598482</v>
      </c>
      <c r="G18" s="533">
        <f>Scenario!AQ34</f>
        <v>2.8358693048399783</v>
      </c>
      <c r="H18" s="533">
        <f>Scenario!AR34</f>
        <v>6.4264809500197613</v>
      </c>
      <c r="I18" s="533">
        <f t="shared" si="12"/>
        <v>0.1</v>
      </c>
      <c r="J18" s="533">
        <f t="shared" si="1"/>
        <v>0.1</v>
      </c>
      <c r="K18" s="533">
        <f t="shared" si="1"/>
        <v>0.1</v>
      </c>
      <c r="L18" s="533">
        <f t="shared" si="1"/>
        <v>2.8358693048399783</v>
      </c>
      <c r="M18" s="533">
        <f t="shared" si="1"/>
        <v>6.4264809500197613</v>
      </c>
      <c r="N18" s="541">
        <f>'Phy activity RRs'!$G$4</f>
        <v>0.93831941951583364</v>
      </c>
      <c r="O18" s="534">
        <f>IF(('user page'!$N$39=0),$N18^(I18^0.25),IF(('user page'!$N$39=1),$N18^(I18^0.5),IF(('user page'!$N$39=2),$N18^(I18^0.375),IF(('user page'!$N$39=4),$N18^(I18),IF(('user page'!$N$39=3),$N18^(LN(1+I18)),"")))))</f>
        <v>0.98006871247951299</v>
      </c>
      <c r="P18" s="534">
        <f>IF(('user page'!$N$39=0),$N18^(J18^0.25),IF(('user page'!$N$39=1),$N18^(J18^0.5),IF(('user page'!$N$39=2),$N18^(J18^0.375),IF(('user page'!$N$39=4),$N18^(J18),IF(('user page'!$N$39=3),$N18^(LN(1+J18)),"")))))</f>
        <v>0.98006871247951299</v>
      </c>
      <c r="Q18" s="534">
        <f>IF(('user page'!$N$39=0),$N18^(K18^0.25),IF(('user page'!$N$39=1),$N18^(K18^0.5),IF(('user page'!$N$39=2),$N18^(K18^0.375),IF(('user page'!$N$39=4),$N18^(K18),IF(('user page'!$N$39=3),$N18^(LN(1+K18)),"")))))</f>
        <v>0.98006871247951299</v>
      </c>
      <c r="R18" s="534">
        <f>IF(('user page'!$N$39=0),$N18^(L18^0.25),IF(('user page'!$N$39=1),$N18^(L18^0.5),IF(('user page'!$N$39=2),$N18^(L18^0.375),IF(('user page'!$N$39=4),$N18^(L18),IF(('user page'!$N$39=3),$N18^(LN(1+L18)),"")))))</f>
        <v>0.89833532430771834</v>
      </c>
      <c r="S18" s="534">
        <f>IF(('user page'!$N$39=0),$N18^(M18^0.25),IF(('user page'!$N$39=1),$N18^(M18^0.5),IF(('user page'!$N$39=2),$N18^(M18^0.375),IF(('user page'!$N$39=4),$N18^(M18),IF(('user page'!$N$39=3),$N18^(LN(1+M18)),"")))))</f>
        <v>0.85095704938262029</v>
      </c>
      <c r="T18" s="535">
        <f t="shared" si="13"/>
        <v>1</v>
      </c>
      <c r="U18" s="535">
        <f t="shared" si="13"/>
        <v>1</v>
      </c>
      <c r="V18" s="535">
        <f t="shared" si="13"/>
        <v>1</v>
      </c>
      <c r="W18" s="536">
        <f t="shared" si="13"/>
        <v>0.91660443075974307</v>
      </c>
      <c r="X18" s="536">
        <f t="shared" si="13"/>
        <v>0.86826264173840606</v>
      </c>
      <c r="Y18" s="540">
        <f t="shared" si="8"/>
        <v>4.3026585500370307E-2</v>
      </c>
      <c r="Z18" s="542">
        <f t="shared" si="14"/>
        <v>0.95697341449962969</v>
      </c>
      <c r="AA18" s="542">
        <f>'Inflammatory HD'!F18</f>
        <v>1</v>
      </c>
      <c r="AB18" s="533">
        <f>Z18*AA18*GBDUS!$O86/($T18+$U18+$X18+V18+W18)</f>
        <v>0.19511061135382812</v>
      </c>
      <c r="AC18" s="537">
        <f t="shared" si="15"/>
        <v>0.19511061135382812</v>
      </c>
      <c r="AD18" s="537">
        <f t="shared" si="15"/>
        <v>0.19511061135382812</v>
      </c>
      <c r="AE18" s="537">
        <f t="shared" si="15"/>
        <v>0.17883925085516109</v>
      </c>
      <c r="AF18" s="537">
        <f t="shared" si="15"/>
        <v>0.16940725484527025</v>
      </c>
      <c r="AG18" s="533">
        <f>Z18*AA18*GBDUS!$P86/($T18+$U18+$X18+V18+W18)</f>
        <v>0.63160408599870321</v>
      </c>
      <c r="AH18" s="537">
        <f t="shared" si="16"/>
        <v>0.63160408599870321</v>
      </c>
      <c r="AI18" s="537">
        <f t="shared" si="16"/>
        <v>0.63160408599870321</v>
      </c>
      <c r="AJ18" s="537">
        <f t="shared" si="16"/>
        <v>0.57893110371236922</v>
      </c>
      <c r="AK18" s="537">
        <f t="shared" si="16"/>
        <v>0.54839823224200546</v>
      </c>
      <c r="AL18" s="533">
        <f>Z18*GBDUS!$Q86/($T18+$U18+$X18+V18+W18)</f>
        <v>0.25431689306178723</v>
      </c>
      <c r="AM18" s="537">
        <f t="shared" si="17"/>
        <v>0.25431689306178723</v>
      </c>
      <c r="AN18" s="537">
        <f t="shared" si="17"/>
        <v>0.25431689306178723</v>
      </c>
      <c r="AO18" s="537">
        <f t="shared" si="17"/>
        <v>0.23310799099748594</v>
      </c>
      <c r="AP18" s="537">
        <f t="shared" si="17"/>
        <v>0.2208138574085311</v>
      </c>
      <c r="AQ18" s="533">
        <f t="shared" si="9"/>
        <v>-4.1974717007224882E-2</v>
      </c>
      <c r="AR18" s="533">
        <f t="shared" si="10"/>
        <v>-0.13587883604303208</v>
      </c>
      <c r="AS18" s="533">
        <f t="shared" si="11"/>
        <v>-5.4711937717557668E-2</v>
      </c>
      <c r="AT18" s="533">
        <f t="shared" si="18"/>
        <v>-0.19059077376058975</v>
      </c>
      <c r="AU18" s="539"/>
      <c r="AV18" s="539"/>
      <c r="AW18" s="539"/>
      <c r="AX18" s="539"/>
    </row>
    <row r="19" spans="1:50" x14ac:dyDescent="0.2">
      <c r="A19" s="525"/>
      <c r="B19" s="525"/>
      <c r="C19" s="525"/>
      <c r="D19" s="533"/>
      <c r="E19" s="537"/>
      <c r="F19" s="533"/>
      <c r="G19" s="537"/>
      <c r="H19" s="533"/>
      <c r="I19" s="533"/>
      <c r="J19" s="533"/>
      <c r="K19" s="533"/>
      <c r="L19" s="533"/>
      <c r="M19" s="533"/>
      <c r="N19" s="541"/>
      <c r="O19" s="534"/>
      <c r="P19" s="534"/>
      <c r="Q19" s="534"/>
      <c r="R19" s="534"/>
      <c r="S19" s="534"/>
      <c r="T19" s="535"/>
      <c r="U19" s="535"/>
      <c r="V19" s="535"/>
      <c r="W19" s="536"/>
      <c r="X19" s="536"/>
      <c r="Y19" s="535"/>
      <c r="Z19" s="537"/>
      <c r="AA19" s="543"/>
      <c r="AB19" s="533"/>
      <c r="AC19" s="537"/>
      <c r="AD19" s="537"/>
      <c r="AE19" s="537"/>
      <c r="AF19" s="537"/>
      <c r="AG19" s="533"/>
      <c r="AH19" s="537"/>
      <c r="AI19" s="537"/>
      <c r="AJ19" s="537"/>
      <c r="AK19" s="537"/>
      <c r="AL19" s="533"/>
      <c r="AM19" s="537"/>
      <c r="AN19" s="537"/>
      <c r="AO19" s="537"/>
      <c r="AP19" s="537"/>
      <c r="AQ19" s="544">
        <f>SUM(AQ3:AQ18)</f>
        <v>-0.20634883839807644</v>
      </c>
      <c r="AR19" s="544">
        <f>SUM(AR3:AR18)</f>
        <v>-1.5093376310368545</v>
      </c>
      <c r="AS19" s="544">
        <f>SUM(AS3:AS18)</f>
        <v>-1.3582740688962969</v>
      </c>
      <c r="AT19" s="544">
        <f>SUM(AT3:AT18)</f>
        <v>-2.8676116999331511</v>
      </c>
      <c r="AU19" s="539"/>
      <c r="AV19" s="539"/>
      <c r="AW19" s="539"/>
      <c r="AX19" s="539"/>
    </row>
    <row r="20" spans="1:50" x14ac:dyDescent="0.2">
      <c r="A20" s="525">
        <v>0</v>
      </c>
      <c r="B20" s="525">
        <v>1</v>
      </c>
      <c r="C20" s="525" t="s">
        <v>2</v>
      </c>
      <c r="D20" s="533"/>
      <c r="E20" s="533"/>
      <c r="F20" s="533"/>
      <c r="G20" s="533"/>
      <c r="H20" s="533"/>
      <c r="I20" s="533"/>
      <c r="J20" s="533"/>
      <c r="K20" s="533"/>
      <c r="L20" s="533"/>
      <c r="M20" s="533"/>
      <c r="N20" s="541"/>
      <c r="O20" s="534"/>
      <c r="P20" s="534"/>
      <c r="Q20" s="534"/>
      <c r="R20" s="534"/>
      <c r="S20" s="534"/>
      <c r="T20" s="535"/>
      <c r="U20" s="535"/>
      <c r="V20" s="535"/>
      <c r="W20" s="536"/>
      <c r="X20" s="536"/>
      <c r="Y20" s="535"/>
      <c r="Z20" s="537"/>
      <c r="AA20" s="537"/>
      <c r="AB20" s="533"/>
      <c r="AC20" s="537"/>
      <c r="AD20" s="537"/>
      <c r="AE20" s="537"/>
      <c r="AF20" s="537"/>
      <c r="AG20" s="533"/>
      <c r="AH20" s="537"/>
      <c r="AI20" s="537"/>
      <c r="AJ20" s="537"/>
      <c r="AK20" s="537"/>
      <c r="AL20" s="533"/>
      <c r="AM20" s="537"/>
      <c r="AN20" s="537"/>
      <c r="AO20" s="537"/>
      <c r="AP20" s="537"/>
      <c r="AQ20" s="33">
        <f>AQ19/GBDUS!O87</f>
        <v>-5.9555478594897161E-2</v>
      </c>
      <c r="AR20" s="33">
        <f>AR19/GBDUS!P87</f>
        <v>-6.7904291694799709E-2</v>
      </c>
      <c r="AS20" s="33">
        <f>AS19/GBDUS!Q87</f>
        <v>-7.3181930988048427E-2</v>
      </c>
      <c r="AT20" s="33">
        <f>AT19/GBDUS!R87</f>
        <v>-7.030585706552471E-2</v>
      </c>
      <c r="AU20" s="545"/>
      <c r="AV20" s="545"/>
      <c r="AW20" s="545"/>
      <c r="AX20" s="545"/>
    </row>
    <row r="21" spans="1:50" x14ac:dyDescent="0.2">
      <c r="A21" s="525">
        <v>0</v>
      </c>
      <c r="B21" s="525">
        <v>1</v>
      </c>
      <c r="C21" s="525" t="s">
        <v>41</v>
      </c>
      <c r="D21" s="533"/>
      <c r="E21" s="533"/>
      <c r="F21" s="533"/>
      <c r="G21" s="533"/>
      <c r="H21" s="533"/>
      <c r="I21" s="533"/>
      <c r="J21" s="533"/>
      <c r="K21" s="533"/>
      <c r="L21" s="533"/>
      <c r="M21" s="533"/>
      <c r="N21" s="541"/>
      <c r="O21" s="534"/>
      <c r="P21" s="534"/>
      <c r="Q21" s="534"/>
      <c r="R21" s="534"/>
      <c r="S21" s="534"/>
      <c r="T21" s="535"/>
      <c r="U21" s="535"/>
      <c r="V21" s="535"/>
      <c r="W21" s="536"/>
      <c r="X21" s="536"/>
      <c r="Y21" s="535"/>
      <c r="Z21" s="537"/>
      <c r="AA21" s="537"/>
      <c r="AB21" s="533"/>
      <c r="AC21" s="537"/>
      <c r="AD21" s="537"/>
      <c r="AE21" s="537"/>
      <c r="AF21" s="537"/>
      <c r="AG21" s="533"/>
      <c r="AH21" s="537"/>
      <c r="AI21" s="537"/>
      <c r="AJ21" s="537"/>
      <c r="AK21" s="537"/>
      <c r="AL21" s="533"/>
      <c r="AM21" s="537"/>
      <c r="AN21" s="537"/>
      <c r="AO21" s="537"/>
      <c r="AP21" s="537"/>
      <c r="AQ21" s="534"/>
      <c r="AR21" s="534"/>
      <c r="AS21" s="534"/>
      <c r="AT21" s="534"/>
      <c r="AU21" s="545"/>
      <c r="AV21" s="545"/>
      <c r="AW21" s="545"/>
      <c r="AX21" s="545"/>
    </row>
    <row r="22" spans="1:50" x14ac:dyDescent="0.2">
      <c r="A22" s="525">
        <v>0</v>
      </c>
      <c r="B22" s="525">
        <v>1</v>
      </c>
      <c r="C22" s="525" t="s">
        <v>40</v>
      </c>
      <c r="D22" s="533">
        <f>Baseline!AN21</f>
        <v>0.60295678095886318</v>
      </c>
      <c r="E22" s="533">
        <f>Baseline!AO21</f>
        <v>1.3663853478381727</v>
      </c>
      <c r="F22" s="533">
        <f>Baseline!AP21</f>
        <v>2.4079302294253959</v>
      </c>
      <c r="G22" s="533">
        <f>Baseline!AQ21</f>
        <v>4.2434061510935761</v>
      </c>
      <c r="H22" s="533">
        <f>Baseline!AR21</f>
        <v>9.6161585255912687</v>
      </c>
      <c r="I22" s="533">
        <f t="shared" ref="I22:M27" si="19">IF(D22&gt;2.5,D22,0.1)</f>
        <v>0.1</v>
      </c>
      <c r="J22" s="533">
        <f t="shared" si="19"/>
        <v>0.1</v>
      </c>
      <c r="K22" s="533">
        <f t="shared" si="19"/>
        <v>0.1</v>
      </c>
      <c r="L22" s="533">
        <f t="shared" si="19"/>
        <v>4.2434061510935761</v>
      </c>
      <c r="M22" s="533">
        <f t="shared" si="19"/>
        <v>9.6161585255912687</v>
      </c>
      <c r="N22" s="541">
        <f>'Phy activity RRs'!$G$4</f>
        <v>0.93831941951583364</v>
      </c>
      <c r="O22" s="534">
        <f>IF(('user page'!$N$39=0),$N22^(I22^0.25),IF(('user page'!$N$39=1),$N22^(I22^0.5),IF(('user page'!$N$39=2),$N22^(I22^0.375),IF(('user page'!$N$39=4),$N22^(I22),IF(('user page'!$N$39=3),$N22^(LN(1+I22)),"")))))</f>
        <v>0.98006871247951299</v>
      </c>
      <c r="P22" s="534">
        <f>IF(('user page'!$N$39=0),$N22^(J22^0.25),IF(('user page'!$N$39=1),$N22^(J22^0.5),IF(('user page'!$N$39=2),$N22^(J22^0.375),IF(('user page'!$N$39=4),$N22^(J22),IF(('user page'!$N$39=3),$N22^(LN(1+J22)),"")))))</f>
        <v>0.98006871247951299</v>
      </c>
      <c r="Q22" s="534">
        <f>IF(('user page'!$N$39=0),$N22^(K22^0.25),IF(('user page'!$N$39=1),$N22^(K22^0.5),IF(('user page'!$N$39=2),$N22^(K22^0.375),IF(('user page'!$N$39=4),$N22^(K22),IF(('user page'!$N$39=3),$N22^(LN(1+K22)),"")))))</f>
        <v>0.98006871247951299</v>
      </c>
      <c r="R22" s="534">
        <f>IF(('user page'!$N$39=0),$N22^(L22^0.25),IF(('user page'!$N$39=1),$N22^(L22^0.5),IF(('user page'!$N$39=2),$N22^(L22^0.375),IF(('user page'!$N$39=4),$N22^(L22),IF(('user page'!$N$39=3),$N22^(LN(1+L22)),"")))))</f>
        <v>0.87708917787065044</v>
      </c>
      <c r="S22" s="534">
        <f>IF(('user page'!$N$39=0),$N22^(M22^0.25),IF(('user page'!$N$39=1),$N22^(M22^0.5),IF(('user page'!$N$39=2),$N22^(M22^0.375),IF(('user page'!$N$39=4),$N22^(M22),IF(('user page'!$N$39=3),$N22^(LN(1+M22)),"")))))</f>
        <v>0.8208422919437548</v>
      </c>
      <c r="T22" s="535">
        <f t="shared" ref="T22:X27" si="20">O22/$O22</f>
        <v>1</v>
      </c>
      <c r="U22" s="535">
        <f t="shared" si="20"/>
        <v>1</v>
      </c>
      <c r="V22" s="535">
        <f t="shared" si="20"/>
        <v>1</v>
      </c>
      <c r="W22" s="536">
        <f t="shared" si="20"/>
        <v>0.89492620946103796</v>
      </c>
      <c r="X22" s="536">
        <f t="shared" si="20"/>
        <v>0.83753545184303946</v>
      </c>
      <c r="Y22" s="535"/>
      <c r="Z22" s="537"/>
      <c r="AA22" s="537"/>
      <c r="AB22" s="533">
        <f>GBDUS!O73/($T22+$U22+$X22+V22+W22)</f>
        <v>3.6152670682787068E-4</v>
      </c>
      <c r="AC22" s="537">
        <f t="shared" ref="AC22:AF27" si="21">$AB22*U22</f>
        <v>3.6152670682787068E-4</v>
      </c>
      <c r="AD22" s="537">
        <f t="shared" si="21"/>
        <v>3.6152670682787068E-4</v>
      </c>
      <c r="AE22" s="537">
        <f t="shared" si="21"/>
        <v>3.2353972536039829E-4</v>
      </c>
      <c r="AF22" s="537">
        <f t="shared" si="21"/>
        <v>3.0279143375640672E-4</v>
      </c>
      <c r="AG22" s="533">
        <f>GBDUS!P73/($T22+$U22+$X22+V22+W22)</f>
        <v>1.061004608481095E-2</v>
      </c>
      <c r="AH22" s="537">
        <f t="shared" ref="AH22:AK27" si="22">$AG22*U22</f>
        <v>1.061004608481095E-2</v>
      </c>
      <c r="AI22" s="537">
        <f t="shared" si="22"/>
        <v>1.061004608481095E-2</v>
      </c>
      <c r="AJ22" s="537">
        <f t="shared" si="22"/>
        <v>9.4952083248867891E-3</v>
      </c>
      <c r="AK22" s="537">
        <f t="shared" si="22"/>
        <v>8.8862897417176113E-3</v>
      </c>
      <c r="AL22" s="533">
        <f>GBDUS!Q73/($T22+$U22+$X22+V22+W22)</f>
        <v>2.8583848151166651E-2</v>
      </c>
      <c r="AM22" s="537">
        <f t="shared" ref="AM22:AP27" si="23">U22*$AL22</f>
        <v>2.8583848151166651E-2</v>
      </c>
      <c r="AN22" s="537">
        <f t="shared" si="23"/>
        <v>2.8583848151166651E-2</v>
      </c>
      <c r="AO22" s="537">
        <f t="shared" si="23"/>
        <v>2.5580434877733468E-2</v>
      </c>
      <c r="AP22" s="537">
        <f t="shared" si="23"/>
        <v>2.3939986176700189E-2</v>
      </c>
      <c r="AQ22" s="534"/>
      <c r="AR22" s="534"/>
      <c r="AS22" s="534"/>
      <c r="AT22" s="534"/>
      <c r="AU22" s="545"/>
      <c r="AV22" s="545"/>
      <c r="AW22" s="545"/>
      <c r="AX22" s="545"/>
    </row>
    <row r="23" spans="1:50" x14ac:dyDescent="0.2">
      <c r="A23" s="525">
        <v>0</v>
      </c>
      <c r="B23" s="525">
        <v>1</v>
      </c>
      <c r="C23" s="525" t="s">
        <v>39</v>
      </c>
      <c r="D23" s="533">
        <f>Baseline!AN22</f>
        <v>0.34976362929541344</v>
      </c>
      <c r="E23" s="533">
        <f>Baseline!AO22</f>
        <v>0.79261385453854083</v>
      </c>
      <c r="F23" s="533">
        <f>Baseline!AP22</f>
        <v>1.396794003700613</v>
      </c>
      <c r="G23" s="533">
        <f>Baseline!AQ22</f>
        <v>2.4615182760208985</v>
      </c>
      <c r="H23" s="533">
        <f>Baseline!AR22</f>
        <v>5.5781485705196889</v>
      </c>
      <c r="I23" s="533">
        <f t="shared" si="19"/>
        <v>0.1</v>
      </c>
      <c r="J23" s="533">
        <f t="shared" si="19"/>
        <v>0.1</v>
      </c>
      <c r="K23" s="533">
        <f t="shared" si="19"/>
        <v>0.1</v>
      </c>
      <c r="L23" s="533">
        <f t="shared" si="19"/>
        <v>0.1</v>
      </c>
      <c r="M23" s="533">
        <f t="shared" si="19"/>
        <v>5.5781485705196889</v>
      </c>
      <c r="N23" s="541">
        <f>'Phy activity RRs'!$G$4</f>
        <v>0.93831941951583364</v>
      </c>
      <c r="O23" s="534">
        <f>IF(('user page'!$N$39=0),$N23^(I23^0.25),IF(('user page'!$N$39=1),$N23^(I23^0.5),IF(('user page'!$N$39=2),$N23^(I23^0.375),IF(('user page'!$N$39=4),$N23^(I23),IF(('user page'!$N$39=3),$N23^(LN(1+I23)),"")))))</f>
        <v>0.98006871247951299</v>
      </c>
      <c r="P23" s="534">
        <f>IF(('user page'!$N$39=0),$N23^(J23^0.25),IF(('user page'!$N$39=1),$N23^(J23^0.5),IF(('user page'!$N$39=2),$N23^(J23^0.375),IF(('user page'!$N$39=4),$N23^(J23),IF(('user page'!$N$39=3),$N23^(LN(1+J23)),"")))))</f>
        <v>0.98006871247951299</v>
      </c>
      <c r="Q23" s="534">
        <f>IF(('user page'!$N$39=0),$N23^(K23^0.25),IF(('user page'!$N$39=1),$N23^(K23^0.5),IF(('user page'!$N$39=2),$N23^(K23^0.375),IF(('user page'!$N$39=4),$N23^(K23),IF(('user page'!$N$39=3),$N23^(LN(1+K23)),"")))))</f>
        <v>0.98006871247951299</v>
      </c>
      <c r="R23" s="534">
        <f>IF(('user page'!$N$39=0),$N23^(L23^0.25),IF(('user page'!$N$39=1),$N23^(L23^0.5),IF(('user page'!$N$39=2),$N23^(L23^0.375),IF(('user page'!$N$39=4),$N23^(L23),IF(('user page'!$N$39=3),$N23^(LN(1+L23)),"")))))</f>
        <v>0.98006871247951299</v>
      </c>
      <c r="S23" s="534">
        <f>IF(('user page'!$N$39=0),$N23^(M23^0.25),IF(('user page'!$N$39=1),$N23^(M23^0.5),IF(('user page'!$N$39=2),$N23^(M23^0.375),IF(('user page'!$N$39=4),$N23^(M23),IF(('user page'!$N$39=3),$N23^(LN(1+M23)),"")))))</f>
        <v>0.86039446007566256</v>
      </c>
      <c r="T23" s="535">
        <f t="shared" si="20"/>
        <v>1</v>
      </c>
      <c r="U23" s="535">
        <f t="shared" si="20"/>
        <v>1</v>
      </c>
      <c r="V23" s="535">
        <f t="shared" si="20"/>
        <v>1</v>
      </c>
      <c r="W23" s="536">
        <f t="shared" si="20"/>
        <v>1</v>
      </c>
      <c r="X23" s="536">
        <f t="shared" si="20"/>
        <v>0.87789197749096382</v>
      </c>
      <c r="Y23" s="535"/>
      <c r="Z23" s="537"/>
      <c r="AA23" s="537"/>
      <c r="AB23" s="533">
        <f>GBDUS!O74/($T23+$U23+$X23+V23+W23)</f>
        <v>1.6890142641487142E-2</v>
      </c>
      <c r="AC23" s="537">
        <f t="shared" si="21"/>
        <v>1.6890142641487142E-2</v>
      </c>
      <c r="AD23" s="537">
        <f t="shared" si="21"/>
        <v>1.6890142641487142E-2</v>
      </c>
      <c r="AE23" s="537">
        <f t="shared" si="21"/>
        <v>1.6890142641487142E-2</v>
      </c>
      <c r="AF23" s="537">
        <f t="shared" si="21"/>
        <v>1.4827720723639597E-2</v>
      </c>
      <c r="AG23" s="533">
        <f>GBDUS!P74/($T23+$U23+$X23+V23+W23)</f>
        <v>0.40309137961194474</v>
      </c>
      <c r="AH23" s="537">
        <f t="shared" si="22"/>
        <v>0.40309137961194474</v>
      </c>
      <c r="AI23" s="537">
        <f t="shared" si="22"/>
        <v>0.40309137961194474</v>
      </c>
      <c r="AJ23" s="537">
        <f t="shared" si="22"/>
        <v>0.40309137961194474</v>
      </c>
      <c r="AK23" s="537">
        <f t="shared" si="22"/>
        <v>0.35387068835709096</v>
      </c>
      <c r="AL23" s="533">
        <f>GBDUS!Q74/($T23+$U23+$X23+V23+W23)</f>
        <v>0.23463742304699764</v>
      </c>
      <c r="AM23" s="537">
        <f t="shared" si="23"/>
        <v>0.23463742304699764</v>
      </c>
      <c r="AN23" s="537">
        <f t="shared" si="23"/>
        <v>0.23463742304699764</v>
      </c>
      <c r="AO23" s="537">
        <f t="shared" si="23"/>
        <v>0.23463742304699764</v>
      </c>
      <c r="AP23" s="537">
        <f t="shared" si="23"/>
        <v>0.20598631131211262</v>
      </c>
      <c r="AQ23" s="534"/>
      <c r="AR23" s="534"/>
      <c r="AS23" s="534"/>
      <c r="AT23" s="534"/>
      <c r="AU23" s="545"/>
      <c r="AV23" s="545"/>
      <c r="AW23" s="545"/>
      <c r="AX23" s="545"/>
    </row>
    <row r="24" spans="1:50" x14ac:dyDescent="0.2">
      <c r="A24" s="525">
        <v>0</v>
      </c>
      <c r="B24" s="525">
        <v>1</v>
      </c>
      <c r="C24" s="525" t="s">
        <v>38</v>
      </c>
      <c r="D24" s="533">
        <f>Baseline!AN23</f>
        <v>0.35151125659111732</v>
      </c>
      <c r="E24" s="533">
        <f>Baseline!AO23</f>
        <v>0.79657422517494758</v>
      </c>
      <c r="F24" s="533">
        <f>Baseline!AP23</f>
        <v>1.4037732180124616</v>
      </c>
      <c r="G24" s="533">
        <f>Baseline!AQ23</f>
        <v>2.4738174865955198</v>
      </c>
      <c r="H24" s="533">
        <f>Baseline!AR23</f>
        <v>5.6060203212816786</v>
      </c>
      <c r="I24" s="533">
        <f t="shared" si="19"/>
        <v>0.1</v>
      </c>
      <c r="J24" s="533">
        <f t="shared" si="19"/>
        <v>0.1</v>
      </c>
      <c r="K24" s="533">
        <f t="shared" si="19"/>
        <v>0.1</v>
      </c>
      <c r="L24" s="533">
        <f t="shared" si="19"/>
        <v>0.1</v>
      </c>
      <c r="M24" s="533">
        <f t="shared" si="19"/>
        <v>5.6060203212816786</v>
      </c>
      <c r="N24" s="541">
        <f>'Phy activity RRs'!$G$4</f>
        <v>0.93831941951583364</v>
      </c>
      <c r="O24" s="534">
        <f>IF(('user page'!$N$39=0),$N24^(I24^0.25),IF(('user page'!$N$39=1),$N24^(I24^0.5),IF(('user page'!$N$39=2),$N24^(I24^0.375),IF(('user page'!$N$39=4),$N24^(I24),IF(('user page'!$N$39=3),$N24^(LN(1+I24)),"")))))</f>
        <v>0.98006871247951299</v>
      </c>
      <c r="P24" s="534">
        <f>IF(('user page'!$N$39=0),$N24^(J24^0.25),IF(('user page'!$N$39=1),$N24^(J24^0.5),IF(('user page'!$N$39=2),$N24^(J24^0.375),IF(('user page'!$N$39=4),$N24^(J24),IF(('user page'!$N$39=3),$N24^(LN(1+J24)),"")))))</f>
        <v>0.98006871247951299</v>
      </c>
      <c r="Q24" s="534">
        <f>IF(('user page'!$N$39=0),$N24^(K24^0.25),IF(('user page'!$N$39=1),$N24^(K24^0.5),IF(('user page'!$N$39=2),$N24^(K24^0.375),IF(('user page'!$N$39=4),$N24^(K24),IF(('user page'!$N$39=3),$N24^(LN(1+K24)),"")))))</f>
        <v>0.98006871247951299</v>
      </c>
      <c r="R24" s="534">
        <f>IF(('user page'!$N$39=0),$N24^(L24^0.25),IF(('user page'!$N$39=1),$N24^(L24^0.5),IF(('user page'!$N$39=2),$N24^(L24^0.375),IF(('user page'!$N$39=4),$N24^(L24),IF(('user page'!$N$39=3),$N24^(LN(1+L24)),"")))))</f>
        <v>0.98006871247951299</v>
      </c>
      <c r="S24" s="534">
        <f>IF(('user page'!$N$39=0),$N24^(M24^0.25),IF(('user page'!$N$39=1),$N24^(M24^0.5),IF(('user page'!$N$39=2),$N24^(M24^0.375),IF(('user page'!$N$39=4),$N24^(M24),IF(('user page'!$N$39=3),$N24^(LN(1+M24)),"")))))</f>
        <v>0.86007171202718313</v>
      </c>
      <c r="T24" s="535">
        <f t="shared" si="20"/>
        <v>1</v>
      </c>
      <c r="U24" s="535">
        <f t="shared" si="20"/>
        <v>1</v>
      </c>
      <c r="V24" s="535">
        <f t="shared" si="20"/>
        <v>1</v>
      </c>
      <c r="W24" s="536">
        <f t="shared" si="20"/>
        <v>1</v>
      </c>
      <c r="X24" s="536">
        <f t="shared" si="20"/>
        <v>0.87756266583722997</v>
      </c>
      <c r="Y24" s="535"/>
      <c r="Z24" s="537"/>
      <c r="AA24" s="537"/>
      <c r="AB24" s="533">
        <f>GBDUS!O75/($T24+$U24+$X24+V24+W24)</f>
        <v>1.9902040522155124E-2</v>
      </c>
      <c r="AC24" s="537">
        <f t="shared" si="21"/>
        <v>1.9902040522155124E-2</v>
      </c>
      <c r="AD24" s="537">
        <f t="shared" si="21"/>
        <v>1.9902040522155124E-2</v>
      </c>
      <c r="AE24" s="537">
        <f t="shared" si="21"/>
        <v>1.9902040522155124E-2</v>
      </c>
      <c r="AF24" s="537">
        <f t="shared" si="21"/>
        <v>1.7465287736223026E-2</v>
      </c>
      <c r="AG24" s="533">
        <f>GBDUS!P75/($T24+$U24+$X24+V24+W24)</f>
        <v>0.33139775246463371</v>
      </c>
      <c r="AH24" s="537">
        <f t="shared" si="22"/>
        <v>0.33139775246463371</v>
      </c>
      <c r="AI24" s="537">
        <f t="shared" si="22"/>
        <v>0.33139775246463371</v>
      </c>
      <c r="AJ24" s="537">
        <f t="shared" si="22"/>
        <v>0.33139775246463371</v>
      </c>
      <c r="AK24" s="537">
        <f t="shared" si="22"/>
        <v>0.29082229510533042</v>
      </c>
      <c r="AL24" s="533">
        <f>GBDUS!Q75/($T24+$U24+$X24+V24+W24)</f>
        <v>0.20212751852555014</v>
      </c>
      <c r="AM24" s="537">
        <f t="shared" si="23"/>
        <v>0.20212751852555014</v>
      </c>
      <c r="AN24" s="537">
        <f t="shared" si="23"/>
        <v>0.20212751852555014</v>
      </c>
      <c r="AO24" s="537">
        <f t="shared" si="23"/>
        <v>0.20212751852555014</v>
      </c>
      <c r="AP24" s="537">
        <f t="shared" si="23"/>
        <v>0.17737956399634586</v>
      </c>
      <c r="AQ24" s="534"/>
      <c r="AR24" s="534"/>
      <c r="AS24" s="534"/>
      <c r="AT24" s="534"/>
      <c r="AU24" s="545"/>
      <c r="AV24" s="545"/>
      <c r="AW24" s="545"/>
      <c r="AX24" s="545"/>
    </row>
    <row r="25" spans="1:50" x14ac:dyDescent="0.2">
      <c r="A25" s="525">
        <v>0</v>
      </c>
      <c r="B25" s="525">
        <v>1</v>
      </c>
      <c r="C25" s="525" t="s">
        <v>37</v>
      </c>
      <c r="D25" s="533">
        <f>Baseline!AN24</f>
        <v>0.31868617612515476</v>
      </c>
      <c r="E25" s="533">
        <f>Baseline!AO24</f>
        <v>0.72218795006087733</v>
      </c>
      <c r="F25" s="533">
        <f>Baseline!AP24</f>
        <v>1.2726850438126185</v>
      </c>
      <c r="G25" s="533">
        <f>Baseline!AQ24</f>
        <v>2.2428056582885252</v>
      </c>
      <c r="H25" s="533">
        <f>Baseline!AR24</f>
        <v>5.0825148440333541</v>
      </c>
      <c r="I25" s="533">
        <f t="shared" si="19"/>
        <v>0.1</v>
      </c>
      <c r="J25" s="533">
        <f t="shared" si="19"/>
        <v>0.1</v>
      </c>
      <c r="K25" s="533">
        <f t="shared" si="19"/>
        <v>0.1</v>
      </c>
      <c r="L25" s="533">
        <f t="shared" si="19"/>
        <v>0.1</v>
      </c>
      <c r="M25" s="533">
        <f t="shared" si="19"/>
        <v>5.0825148440333541</v>
      </c>
      <c r="N25" s="541">
        <f>'Phy activity RRs'!$G$4</f>
        <v>0.93831941951583364</v>
      </c>
      <c r="O25" s="534">
        <f>IF(('user page'!$N$39=0),$N25^(I25^0.25),IF(('user page'!$N$39=1),$N25^(I25^0.5),IF(('user page'!$N$39=2),$N25^(I25^0.375),IF(('user page'!$N$39=4),$N25^(I25),IF(('user page'!$N$39=3),$N25^(LN(1+I25)),"")))))</f>
        <v>0.98006871247951299</v>
      </c>
      <c r="P25" s="534">
        <f>IF(('user page'!$N$39=0),$N25^(J25^0.25),IF(('user page'!$N$39=1),$N25^(J25^0.5),IF(('user page'!$N$39=2),$N25^(J25^0.375),IF(('user page'!$N$39=4),$N25^(J25),IF(('user page'!$N$39=3),$N25^(LN(1+J25)),"")))))</f>
        <v>0.98006871247951299</v>
      </c>
      <c r="Q25" s="534">
        <f>IF(('user page'!$N$39=0),$N25^(K25^0.25),IF(('user page'!$N$39=1),$N25^(K25^0.5),IF(('user page'!$N$39=2),$N25^(K25^0.375),IF(('user page'!$N$39=4),$N25^(K25),IF(('user page'!$N$39=3),$N25^(LN(1+K25)),"")))))</f>
        <v>0.98006871247951299</v>
      </c>
      <c r="R25" s="534">
        <f>IF(('user page'!$N$39=0),$N25^(L25^0.25),IF(('user page'!$N$39=1),$N25^(L25^0.5),IF(('user page'!$N$39=2),$N25^(L25^0.375),IF(('user page'!$N$39=4),$N25^(L25),IF(('user page'!$N$39=3),$N25^(LN(1+L25)),"")))))</f>
        <v>0.98006871247951299</v>
      </c>
      <c r="S25" s="534">
        <f>IF(('user page'!$N$39=0),$N25^(M25^0.25),IF(('user page'!$N$39=1),$N25^(M25^0.5),IF(('user page'!$N$39=2),$N25^(M25^0.375),IF(('user page'!$N$39=4),$N25^(M25),IF(('user page'!$N$39=3),$N25^(LN(1+M25)),"")))))</f>
        <v>0.86629584160824002</v>
      </c>
      <c r="T25" s="535">
        <f t="shared" si="20"/>
        <v>1</v>
      </c>
      <c r="U25" s="535">
        <f t="shared" si="20"/>
        <v>1</v>
      </c>
      <c r="V25" s="535">
        <f t="shared" si="20"/>
        <v>1</v>
      </c>
      <c r="W25" s="536">
        <f t="shared" si="20"/>
        <v>1</v>
      </c>
      <c r="X25" s="536">
        <f t="shared" si="20"/>
        <v>0.88391337319254415</v>
      </c>
      <c r="Y25" s="535"/>
      <c r="Z25" s="537"/>
      <c r="AA25" s="537"/>
      <c r="AB25" s="533">
        <f>GBDUS!O76/($T25+$U25+$X25+V25+W25)</f>
        <v>4.0264119036387061E-2</v>
      </c>
      <c r="AC25" s="537">
        <f t="shared" si="21"/>
        <v>4.0264119036387061E-2</v>
      </c>
      <c r="AD25" s="537">
        <f t="shared" si="21"/>
        <v>4.0264119036387061E-2</v>
      </c>
      <c r="AE25" s="537">
        <f t="shared" si="21"/>
        <v>4.0264119036387061E-2</v>
      </c>
      <c r="AF25" s="537">
        <f t="shared" si="21"/>
        <v>3.5589993276079014E-2</v>
      </c>
      <c r="AG25" s="533">
        <f>GBDUS!P76/($T25+$U25+$X25+V25+W25)</f>
        <v>0.44683357967220416</v>
      </c>
      <c r="AH25" s="537">
        <f t="shared" si="22"/>
        <v>0.44683357967220416</v>
      </c>
      <c r="AI25" s="537">
        <f t="shared" si="22"/>
        <v>0.44683357967220416</v>
      </c>
      <c r="AJ25" s="537">
        <f t="shared" si="22"/>
        <v>0.44683357967220416</v>
      </c>
      <c r="AK25" s="537">
        <f t="shared" si="22"/>
        <v>0.39496217666375738</v>
      </c>
      <c r="AL25" s="533">
        <f>GBDUS!Q76/($T25+$U25+$X25+V25+W25)</f>
        <v>0.35291459416573107</v>
      </c>
      <c r="AM25" s="537">
        <f t="shared" si="23"/>
        <v>0.35291459416573107</v>
      </c>
      <c r="AN25" s="537">
        <f t="shared" si="23"/>
        <v>0.35291459416573107</v>
      </c>
      <c r="AO25" s="537">
        <f t="shared" si="23"/>
        <v>0.35291459416573107</v>
      </c>
      <c r="AP25" s="537">
        <f t="shared" si="23"/>
        <v>0.3119459293779091</v>
      </c>
      <c r="AQ25" s="534"/>
      <c r="AR25" s="534"/>
      <c r="AS25" s="534"/>
      <c r="AT25" s="534"/>
      <c r="AU25" s="545"/>
      <c r="AV25" s="545"/>
      <c r="AW25" s="545"/>
      <c r="AX25" s="545"/>
    </row>
    <row r="26" spans="1:50" x14ac:dyDescent="0.2">
      <c r="A26" s="525">
        <v>0</v>
      </c>
      <c r="B26" s="525">
        <v>1</v>
      </c>
      <c r="C26" s="525" t="s">
        <v>36</v>
      </c>
      <c r="D26" s="533">
        <f>Baseline!AN25</f>
        <v>0.30266188092522223</v>
      </c>
      <c r="E26" s="533">
        <f>Baseline!AO25</f>
        <v>0.68587463066209398</v>
      </c>
      <c r="F26" s="533">
        <f>Baseline!AP25</f>
        <v>1.2086914276270724</v>
      </c>
      <c r="G26" s="533">
        <f>Baseline!AQ25</f>
        <v>2.130032081531998</v>
      </c>
      <c r="H26" s="533">
        <f>Baseline!AR25</f>
        <v>4.8269539684124263</v>
      </c>
      <c r="I26" s="533">
        <f t="shared" si="19"/>
        <v>0.1</v>
      </c>
      <c r="J26" s="533">
        <f t="shared" si="19"/>
        <v>0.1</v>
      </c>
      <c r="K26" s="533">
        <f t="shared" si="19"/>
        <v>0.1</v>
      </c>
      <c r="L26" s="533">
        <f t="shared" si="19"/>
        <v>0.1</v>
      </c>
      <c r="M26" s="533">
        <f t="shared" si="19"/>
        <v>4.8269539684124263</v>
      </c>
      <c r="N26" s="541">
        <f>'Phy activity RRs'!$G$4</f>
        <v>0.93831941951583364</v>
      </c>
      <c r="O26" s="534">
        <f>IF(('user page'!$N$39=0),$N26^(I26^0.25),IF(('user page'!$N$39=1),$N26^(I26^0.5),IF(('user page'!$N$39=2),$N26^(I26^0.375),IF(('user page'!$N$39=4),$N26^(I26),IF(('user page'!$N$39=3),$N26^(LN(1+I26)),"")))))</f>
        <v>0.98006871247951299</v>
      </c>
      <c r="P26" s="534">
        <f>IF(('user page'!$N$39=0),$N26^(J26^0.25),IF(('user page'!$N$39=1),$N26^(J26^0.5),IF(('user page'!$N$39=2),$N26^(J26^0.375),IF(('user page'!$N$39=4),$N26^(J26),IF(('user page'!$N$39=3),$N26^(LN(1+J26)),"")))))</f>
        <v>0.98006871247951299</v>
      </c>
      <c r="Q26" s="534">
        <f>IF(('user page'!$N$39=0),$N26^(K26^0.25),IF(('user page'!$N$39=1),$N26^(K26^0.5),IF(('user page'!$N$39=2),$N26^(K26^0.375),IF(('user page'!$N$39=4),$N26^(K26),IF(('user page'!$N$39=3),$N26^(LN(1+K26)),"")))))</f>
        <v>0.98006871247951299</v>
      </c>
      <c r="R26" s="534">
        <f>IF(('user page'!$N$39=0),$N26^(L26^0.25),IF(('user page'!$N$39=1),$N26^(L26^0.5),IF(('user page'!$N$39=2),$N26^(L26^0.375),IF(('user page'!$N$39=4),$N26^(L26),IF(('user page'!$N$39=3),$N26^(LN(1+L26)),"")))))</f>
        <v>0.98006871247951299</v>
      </c>
      <c r="S26" s="534">
        <f>IF(('user page'!$N$39=0),$N26^(M26^0.25),IF(('user page'!$N$39=1),$N26^(M26^0.5),IF(('user page'!$N$39=2),$N26^(M26^0.375),IF(('user page'!$N$39=4),$N26^(M26),IF(('user page'!$N$39=3),$N26^(LN(1+M26)),"")))))</f>
        <v>0.86946796595970866</v>
      </c>
      <c r="T26" s="535">
        <f t="shared" si="20"/>
        <v>1</v>
      </c>
      <c r="U26" s="535">
        <f t="shared" si="20"/>
        <v>1</v>
      </c>
      <c r="V26" s="535">
        <f t="shared" si="20"/>
        <v>1</v>
      </c>
      <c r="W26" s="536">
        <f t="shared" si="20"/>
        <v>1</v>
      </c>
      <c r="X26" s="536">
        <f t="shared" si="20"/>
        <v>0.88715000783976528</v>
      </c>
      <c r="Y26" s="535"/>
      <c r="Z26" s="537"/>
      <c r="AA26" s="537"/>
      <c r="AB26" s="533">
        <f>GBDUS!O77/($T26+$U26+$X26+V26+W26)</f>
        <v>8.1448294030815729E-2</v>
      </c>
      <c r="AC26" s="537">
        <f t="shared" si="21"/>
        <v>8.1448294030815729E-2</v>
      </c>
      <c r="AD26" s="537">
        <f t="shared" si="21"/>
        <v>8.1448294030815729E-2</v>
      </c>
      <c r="AE26" s="537">
        <f t="shared" si="21"/>
        <v>8.1448294030815729E-2</v>
      </c>
      <c r="AF26" s="537">
        <f t="shared" si="21"/>
        <v>7.2256854687973687E-2</v>
      </c>
      <c r="AG26" s="533">
        <f>GBDUS!P77/($T26+$U26+$X26+V26+W26)</f>
        <v>0.54817887254856945</v>
      </c>
      <c r="AH26" s="537">
        <f t="shared" si="22"/>
        <v>0.54817887254856945</v>
      </c>
      <c r="AI26" s="537">
        <f t="shared" si="22"/>
        <v>0.54817887254856945</v>
      </c>
      <c r="AJ26" s="537">
        <f t="shared" si="22"/>
        <v>0.54817887254856945</v>
      </c>
      <c r="AK26" s="537">
        <f t="shared" si="22"/>
        <v>0.48631689107905707</v>
      </c>
      <c r="AL26" s="533">
        <f>GBDUS!Q77/($T26+$U26+$X26+V26+W26)</f>
        <v>0.4539896253742417</v>
      </c>
      <c r="AM26" s="537">
        <f t="shared" si="23"/>
        <v>0.4539896253742417</v>
      </c>
      <c r="AN26" s="537">
        <f t="shared" si="23"/>
        <v>0.4539896253742417</v>
      </c>
      <c r="AO26" s="537">
        <f t="shared" si="23"/>
        <v>0.4539896253742417</v>
      </c>
      <c r="AP26" s="537">
        <f t="shared" si="23"/>
        <v>0.40275689970993062</v>
      </c>
      <c r="AQ26" s="534"/>
      <c r="AR26" s="534"/>
      <c r="AS26" s="534"/>
      <c r="AT26" s="534"/>
      <c r="AU26" s="545"/>
      <c r="AV26" s="545"/>
      <c r="AW26" s="545"/>
      <c r="AX26" s="545"/>
    </row>
    <row r="27" spans="1:50" x14ac:dyDescent="0.2">
      <c r="A27" s="525">
        <v>0</v>
      </c>
      <c r="B27" s="525">
        <v>1</v>
      </c>
      <c r="C27" s="525" t="s">
        <v>35</v>
      </c>
      <c r="D27" s="533">
        <f>Baseline!AN26</f>
        <v>0.24350710807091377</v>
      </c>
      <c r="E27" s="533">
        <f>Baseline!AO26</f>
        <v>0.55182154852528853</v>
      </c>
      <c r="F27" s="533">
        <f>Baseline!AP26</f>
        <v>0.97245465200915271</v>
      </c>
      <c r="G27" s="533">
        <f>Baseline!AQ26</f>
        <v>1.7137207721254923</v>
      </c>
      <c r="H27" s="533">
        <f>Baseline!AR26</f>
        <v>3.8835336582406703</v>
      </c>
      <c r="I27" s="533">
        <f t="shared" si="19"/>
        <v>0.1</v>
      </c>
      <c r="J27" s="533">
        <f t="shared" si="19"/>
        <v>0.1</v>
      </c>
      <c r="K27" s="533">
        <f t="shared" si="19"/>
        <v>0.1</v>
      </c>
      <c r="L27" s="533">
        <f t="shared" si="19"/>
        <v>0.1</v>
      </c>
      <c r="M27" s="533">
        <f t="shared" si="19"/>
        <v>3.8835336582406703</v>
      </c>
      <c r="N27" s="541">
        <f>'Phy activity RRs'!$G$4</f>
        <v>0.93831941951583364</v>
      </c>
      <c r="O27" s="534">
        <f>IF(('user page'!$N$39=0),$N27^(I27^0.25),IF(('user page'!$N$39=1),$N27^(I27^0.5),IF(('user page'!$N$39=2),$N27^(I27^0.375),IF(('user page'!$N$39=4),$N27^(I27),IF(('user page'!$N$39=3),$N27^(LN(1+I27)),"")))))</f>
        <v>0.98006871247951299</v>
      </c>
      <c r="P27" s="534">
        <f>IF(('user page'!$N$39=0),$N27^(J27^0.25),IF(('user page'!$N$39=1),$N27^(J27^0.5),IF(('user page'!$N$39=2),$N27^(J27^0.375),IF(('user page'!$N$39=4),$N27^(J27),IF(('user page'!$N$39=3),$N27^(LN(1+J27)),"")))))</f>
        <v>0.98006871247951299</v>
      </c>
      <c r="Q27" s="534">
        <f>IF(('user page'!$N$39=0),$N27^(K27^0.25),IF(('user page'!$N$39=1),$N27^(K27^0.5),IF(('user page'!$N$39=2),$N27^(K27^0.375),IF(('user page'!$N$39=4),$N27^(K27),IF(('user page'!$N$39=3),$N27^(LN(1+K27)),"")))))</f>
        <v>0.98006871247951299</v>
      </c>
      <c r="R27" s="534">
        <f>IF(('user page'!$N$39=0),$N27^(L27^0.25),IF(('user page'!$N$39=1),$N27^(L27^0.5),IF(('user page'!$N$39=2),$N27^(L27^0.375),IF(('user page'!$N$39=4),$N27^(L27),IF(('user page'!$N$39=3),$N27^(LN(1+L27)),"")))))</f>
        <v>0.98006871247951299</v>
      </c>
      <c r="S27" s="534">
        <f>IF(('user page'!$N$39=0),$N27^(M27^0.25),IF(('user page'!$N$39=1),$N27^(M27^0.5),IF(('user page'!$N$39=2),$N27^(M27^0.375),IF(('user page'!$N$39=4),$N27^(M27),IF(('user page'!$N$39=3),$N27^(LN(1+M27)),"")))))</f>
        <v>0.88208900607167995</v>
      </c>
      <c r="T27" s="535">
        <f t="shared" si="20"/>
        <v>1</v>
      </c>
      <c r="U27" s="535">
        <f t="shared" si="20"/>
        <v>1</v>
      </c>
      <c r="V27" s="535">
        <f t="shared" si="20"/>
        <v>1</v>
      </c>
      <c r="W27" s="536">
        <f t="shared" si="20"/>
        <v>1</v>
      </c>
      <c r="X27" s="536">
        <f t="shared" si="20"/>
        <v>0.90002771728121955</v>
      </c>
      <c r="Y27" s="535"/>
      <c r="Z27" s="537"/>
      <c r="AA27" s="537"/>
      <c r="AB27" s="533">
        <f>GBDUS!O78/($T27+$U27+$X27+V27+W27)</f>
        <v>0.2280211701789539</v>
      </c>
      <c r="AC27" s="537">
        <f t="shared" si="21"/>
        <v>0.2280211701789539</v>
      </c>
      <c r="AD27" s="537">
        <f t="shared" si="21"/>
        <v>0.2280211701789539</v>
      </c>
      <c r="AE27" s="537">
        <f t="shared" si="21"/>
        <v>0.2280211701789539</v>
      </c>
      <c r="AF27" s="537">
        <f t="shared" si="21"/>
        <v>0.20522537328795637</v>
      </c>
      <c r="AG27" s="533">
        <f>GBDUS!P78/($T27+$U27+$X27+V27+W27)</f>
        <v>0.70952223577682993</v>
      </c>
      <c r="AH27" s="537">
        <f t="shared" si="22"/>
        <v>0.70952223577682993</v>
      </c>
      <c r="AI27" s="537">
        <f t="shared" si="22"/>
        <v>0.70952223577682993</v>
      </c>
      <c r="AJ27" s="537">
        <f t="shared" si="22"/>
        <v>0.70952223577682993</v>
      </c>
      <c r="AK27" s="537">
        <f t="shared" si="22"/>
        <v>0.63858967822648749</v>
      </c>
      <c r="AL27" s="533">
        <f>GBDUS!Q78/($T27+$U27+$X27+V27+W27)</f>
        <v>0.43611356199442064</v>
      </c>
      <c r="AM27" s="537">
        <f t="shared" si="23"/>
        <v>0.43611356199442064</v>
      </c>
      <c r="AN27" s="537">
        <f t="shared" si="23"/>
        <v>0.43611356199442064</v>
      </c>
      <c r="AO27" s="537">
        <f t="shared" si="23"/>
        <v>0.43611356199442064</v>
      </c>
      <c r="AP27" s="537">
        <f t="shared" si="23"/>
        <v>0.39251429367722002</v>
      </c>
      <c r="AQ27" s="534"/>
      <c r="AR27" s="534"/>
      <c r="AS27" s="534"/>
      <c r="AT27" s="534"/>
      <c r="AU27" s="545"/>
      <c r="AV27" s="545"/>
      <c r="AW27" s="545"/>
      <c r="AX27" s="545"/>
    </row>
    <row r="28" spans="1:50" x14ac:dyDescent="0.2">
      <c r="A28" s="525">
        <v>0</v>
      </c>
      <c r="B28" s="525">
        <v>2</v>
      </c>
      <c r="C28" s="525" t="s">
        <v>2</v>
      </c>
      <c r="D28" s="533"/>
      <c r="E28" s="533"/>
      <c r="F28" s="533"/>
      <c r="G28" s="533"/>
      <c r="H28" s="533"/>
      <c r="I28" s="533"/>
      <c r="J28" s="533"/>
      <c r="K28" s="533"/>
      <c r="L28" s="533"/>
      <c r="M28" s="533"/>
      <c r="N28" s="541"/>
      <c r="O28" s="534"/>
      <c r="P28" s="534"/>
      <c r="Q28" s="534"/>
      <c r="R28" s="534"/>
      <c r="S28" s="534"/>
      <c r="T28" s="535"/>
      <c r="U28" s="535"/>
      <c r="V28" s="535"/>
      <c r="W28" s="536"/>
      <c r="X28" s="536"/>
      <c r="Y28" s="535"/>
      <c r="Z28" s="537"/>
      <c r="AA28" s="537"/>
      <c r="AB28" s="533"/>
      <c r="AC28" s="537"/>
      <c r="AD28" s="537"/>
      <c r="AE28" s="537"/>
      <c r="AF28" s="537"/>
      <c r="AG28" s="533"/>
      <c r="AH28" s="537"/>
      <c r="AI28" s="537"/>
      <c r="AJ28" s="537"/>
      <c r="AK28" s="537"/>
      <c r="AL28" s="533"/>
      <c r="AM28" s="537"/>
      <c r="AN28" s="537"/>
      <c r="AO28" s="537"/>
      <c r="AP28" s="537"/>
      <c r="AQ28" s="534"/>
      <c r="AR28" s="534"/>
      <c r="AS28" s="534"/>
      <c r="AT28" s="534"/>
      <c r="AU28" s="545"/>
      <c r="AV28" s="545"/>
      <c r="AW28" s="545"/>
      <c r="AX28" s="545"/>
    </row>
    <row r="29" spans="1:50" x14ac:dyDescent="0.2">
      <c r="A29" s="525">
        <v>0</v>
      </c>
      <c r="B29" s="525">
        <v>2</v>
      </c>
      <c r="C29" s="525" t="s">
        <v>41</v>
      </c>
      <c r="D29" s="533"/>
      <c r="E29" s="533"/>
      <c r="F29" s="533"/>
      <c r="G29" s="533"/>
      <c r="H29" s="533"/>
      <c r="I29" s="533"/>
      <c r="J29" s="533"/>
      <c r="K29" s="533"/>
      <c r="L29" s="533"/>
      <c r="M29" s="533"/>
      <c r="N29" s="541"/>
      <c r="O29" s="534"/>
      <c r="P29" s="534"/>
      <c r="Q29" s="534"/>
      <c r="R29" s="534"/>
      <c r="S29" s="534"/>
      <c r="T29" s="535"/>
      <c r="U29" s="535"/>
      <c r="V29" s="535"/>
      <c r="W29" s="536"/>
      <c r="X29" s="536"/>
      <c r="Y29" s="535"/>
      <c r="Z29" s="537"/>
      <c r="AA29" s="537"/>
      <c r="AB29" s="533"/>
      <c r="AC29" s="537"/>
      <c r="AD29" s="537"/>
      <c r="AE29" s="537"/>
      <c r="AF29" s="537"/>
      <c r="AG29" s="533"/>
      <c r="AH29" s="537"/>
      <c r="AI29" s="537"/>
      <c r="AJ29" s="537"/>
      <c r="AK29" s="537"/>
      <c r="AL29" s="533"/>
      <c r="AM29" s="537"/>
      <c r="AN29" s="537"/>
      <c r="AO29" s="537"/>
      <c r="AP29" s="537"/>
      <c r="AQ29" s="534"/>
      <c r="AR29" s="534"/>
      <c r="AS29" s="534"/>
      <c r="AT29" s="534"/>
      <c r="AU29" s="545"/>
      <c r="AV29" s="545"/>
      <c r="AW29" s="545"/>
      <c r="AX29" s="545"/>
    </row>
    <row r="30" spans="1:50" x14ac:dyDescent="0.2">
      <c r="A30" s="525">
        <v>0</v>
      </c>
      <c r="B30" s="525">
        <v>2</v>
      </c>
      <c r="C30" s="525" t="s">
        <v>40</v>
      </c>
      <c r="D30" s="533">
        <f>Baseline!AN29</f>
        <v>0.78305520090183223</v>
      </c>
      <c r="E30" s="533">
        <f>Baseline!AO29</f>
        <v>1.774513840542973</v>
      </c>
      <c r="F30" s="533">
        <f>Baseline!AP29</f>
        <v>3.1271599376688002</v>
      </c>
      <c r="G30" s="533">
        <f>Baseline!AQ29</f>
        <v>5.5108779950504481</v>
      </c>
      <c r="H30" s="533">
        <f>Baseline!AR29</f>
        <v>12.488428995169523</v>
      </c>
      <c r="I30" s="533">
        <f t="shared" ref="I30:M35" si="24">IF(D30&gt;2.5,D30,0.1)</f>
        <v>0.1</v>
      </c>
      <c r="J30" s="533">
        <f t="shared" si="24"/>
        <v>0.1</v>
      </c>
      <c r="K30" s="533">
        <f t="shared" si="24"/>
        <v>3.1271599376688002</v>
      </c>
      <c r="L30" s="533">
        <f t="shared" si="24"/>
        <v>5.5108779950504481</v>
      </c>
      <c r="M30" s="533">
        <f t="shared" si="24"/>
        <v>12.488428995169523</v>
      </c>
      <c r="N30" s="541">
        <f>'Phy activity RRs'!$G$4</f>
        <v>0.93831941951583364</v>
      </c>
      <c r="O30" s="534">
        <f>IF(('user page'!$N$39=0),$N30^(I30^0.25),IF(('user page'!$N$39=1),$N30^(I30^0.5),IF(('user page'!$N$39=2),$N30^(I30^0.375),IF(('user page'!$N$39=4),$N30^(I30),IF(('user page'!$N$39=3),$N30^(LN(1+I30)),"")))))</f>
        <v>0.98006871247951299</v>
      </c>
      <c r="P30" s="534">
        <f>IF(('user page'!$N$39=0),$N30^(J30^0.25),IF(('user page'!$N$39=1),$N30^(J30^0.5),IF(('user page'!$N$39=2),$N30^(J30^0.375),IF(('user page'!$N$39=4),$N30^(J30),IF(('user page'!$N$39=3),$N30^(LN(1+J30)),"")))))</f>
        <v>0.98006871247951299</v>
      </c>
      <c r="Q30" s="534">
        <f>IF(('user page'!$N$39=0),$N30^(K30^0.25),IF(('user page'!$N$39=1),$N30^(K30^0.5),IF(('user page'!$N$39=2),$N30^(K30^0.375),IF(('user page'!$N$39=4),$N30^(K30),IF(('user page'!$N$39=3),$N30^(LN(1+K30)),"")))))</f>
        <v>0.89352272140340971</v>
      </c>
      <c r="R30" s="534">
        <f>IF(('user page'!$N$39=0),$N30^(L30^0.25),IF(('user page'!$N$39=1),$N30^(L30^0.5),IF(('user page'!$N$39=2),$N30^(L30^0.375),IF(('user page'!$N$39=4),$N30^(L30),IF(('user page'!$N$39=3),$N30^(LN(1+L30)),"")))))</f>
        <v>0.86117727714476722</v>
      </c>
      <c r="S30" s="534">
        <f>IF(('user page'!$N$39=0),$N30^(M30^0.25),IF(('user page'!$N$39=1),$N30^(M30^0.5),IF(('user page'!$N$39=2),$N30^(M30^0.375),IF(('user page'!$N$39=4),$N30^(M30),IF(('user page'!$N$39=3),$N30^(LN(1+M30)),"")))))</f>
        <v>0.79852815630885332</v>
      </c>
      <c r="T30" s="535">
        <f t="shared" ref="T30:X35" si="25">O30/$O30</f>
        <v>1</v>
      </c>
      <c r="U30" s="535">
        <f t="shared" si="25"/>
        <v>1</v>
      </c>
      <c r="V30" s="535">
        <f t="shared" si="25"/>
        <v>0.9116939557664816</v>
      </c>
      <c r="W30" s="536">
        <f t="shared" si="25"/>
        <v>0.87869071441536195</v>
      </c>
      <c r="X30" s="536">
        <f t="shared" si="25"/>
        <v>0.81476752205325143</v>
      </c>
      <c r="Y30" s="535"/>
      <c r="Z30" s="537"/>
      <c r="AA30" s="537"/>
      <c r="AB30" s="533">
        <f>GBDUS!O81/($T30+$U30+$X30+V30+W30)</f>
        <v>1.1090748138658341E-4</v>
      </c>
      <c r="AC30" s="537">
        <f t="shared" ref="AC30:AF35" si="26">$AB30*U30</f>
        <v>1.1090748138658341E-4</v>
      </c>
      <c r="AD30" s="537">
        <f t="shared" si="26"/>
        <v>1.0111368042943166E-4</v>
      </c>
      <c r="AE30" s="537">
        <f t="shared" si="26"/>
        <v>9.7453374053585432E-5</v>
      </c>
      <c r="AF30" s="537">
        <f t="shared" si="26"/>
        <v>9.0363813786513669E-5</v>
      </c>
      <c r="AG30" s="533">
        <f>GBDUS!P81/($T30+$U30+$X30+V30+W30)</f>
        <v>3.3386299903397048E-3</v>
      </c>
      <c r="AH30" s="537">
        <f t="shared" ref="AH30:AK35" si="27">$AG30*U30</f>
        <v>3.3386299903397048E-3</v>
      </c>
      <c r="AI30" s="537">
        <f t="shared" si="27"/>
        <v>3.0438087827334157E-3</v>
      </c>
      <c r="AJ30" s="537">
        <f t="shared" si="27"/>
        <v>2.9336231713801481E-3</v>
      </c>
      <c r="AK30" s="537">
        <f t="shared" si="27"/>
        <v>2.7202072842817519E-3</v>
      </c>
      <c r="AL30" s="533">
        <f>GBDUS!Q81/($T30+$U30+$X30+V30+W30)</f>
        <v>2.2157075548742348E-2</v>
      </c>
      <c r="AM30" s="537">
        <f t="shared" ref="AM30:AP35" si="28">U30*$AL30</f>
        <v>2.2157075548742348E-2</v>
      </c>
      <c r="AN30" s="537">
        <f t="shared" si="28"/>
        <v>2.0200471855249699E-2</v>
      </c>
      <c r="AO30" s="537">
        <f t="shared" si="28"/>
        <v>1.9469216543279561E-2</v>
      </c>
      <c r="AP30" s="537">
        <f t="shared" si="28"/>
        <v>1.805286554079549E-2</v>
      </c>
      <c r="AQ30" s="534"/>
      <c r="AR30" s="534"/>
      <c r="AS30" s="534"/>
      <c r="AT30" s="534"/>
      <c r="AU30" s="545"/>
      <c r="AV30" s="545"/>
      <c r="AW30" s="545"/>
      <c r="AX30" s="545"/>
    </row>
    <row r="31" spans="1:50" x14ac:dyDescent="0.2">
      <c r="A31" s="525">
        <v>0</v>
      </c>
      <c r="B31" s="525">
        <v>2</v>
      </c>
      <c r="C31" s="525" t="s">
        <v>39</v>
      </c>
      <c r="D31" s="533">
        <f>Baseline!AN30</f>
        <v>0.47165676213737562</v>
      </c>
      <c r="E31" s="533">
        <f>Baseline!AO30</f>
        <v>1.0688409341187475</v>
      </c>
      <c r="F31" s="533">
        <f>Baseline!AP30</f>
        <v>1.8835787428369182</v>
      </c>
      <c r="G31" s="533">
        <f>Baseline!AQ30</f>
        <v>3.3193609705753828</v>
      </c>
      <c r="H31" s="533">
        <f>Baseline!AR30</f>
        <v>7.5221414496199817</v>
      </c>
      <c r="I31" s="533">
        <f t="shared" si="24"/>
        <v>0.1</v>
      </c>
      <c r="J31" s="533">
        <f t="shared" si="24"/>
        <v>0.1</v>
      </c>
      <c r="K31" s="533">
        <f t="shared" si="24"/>
        <v>0.1</v>
      </c>
      <c r="L31" s="533">
        <f t="shared" si="24"/>
        <v>3.3193609705753828</v>
      </c>
      <c r="M31" s="533">
        <f t="shared" si="24"/>
        <v>7.5221414496199817</v>
      </c>
      <c r="N31" s="541">
        <f>'Phy activity RRs'!$G$4</f>
        <v>0.93831941951583364</v>
      </c>
      <c r="O31" s="534">
        <f>IF(('user page'!$N$39=0),$N31^(I31^0.25),IF(('user page'!$N$39=1),$N31^(I31^0.5),IF(('user page'!$N$39=2),$N31^(I31^0.375),IF(('user page'!$N$39=4),$N31^(I31),IF(('user page'!$N$39=3),$N31^(LN(1+I31)),"")))))</f>
        <v>0.98006871247951299</v>
      </c>
      <c r="P31" s="534">
        <f>IF(('user page'!$N$39=0),$N31^(J31^0.25),IF(('user page'!$N$39=1),$N31^(J31^0.5),IF(('user page'!$N$39=2),$N31^(J31^0.375),IF(('user page'!$N$39=4),$N31^(J31),IF(('user page'!$N$39=3),$N31^(LN(1+J31)),"")))))</f>
        <v>0.98006871247951299</v>
      </c>
      <c r="Q31" s="534">
        <f>IF(('user page'!$N$39=0),$N31^(K31^0.25),IF(('user page'!$N$39=1),$N31^(K31^0.5),IF(('user page'!$N$39=2),$N31^(K31^0.375),IF(('user page'!$N$39=4),$N31^(K31),IF(('user page'!$N$39=3),$N31^(LN(1+K31)),"")))))</f>
        <v>0.98006871247951299</v>
      </c>
      <c r="R31" s="534">
        <f>IF(('user page'!$N$39=0),$N31^(L31^0.25),IF(('user page'!$N$39=1),$N31^(L31^0.5),IF(('user page'!$N$39=2),$N31^(L31^0.375),IF(('user page'!$N$39=4),$N31^(L31),IF(('user page'!$N$39=3),$N31^(LN(1+L31)),"")))))</f>
        <v>0.89048259403404628</v>
      </c>
      <c r="S31" s="534">
        <f>IF(('user page'!$N$39=0),$N31^(M31^0.25),IF(('user page'!$N$39=1),$N31^(M31^0.5),IF(('user page'!$N$39=2),$N31^(M31^0.375),IF(('user page'!$N$39=4),$N31^(M31),IF(('user page'!$N$39=3),$N31^(LN(1+M31)),"")))))</f>
        <v>0.83978400263770103</v>
      </c>
      <c r="T31" s="535">
        <f t="shared" si="25"/>
        <v>1</v>
      </c>
      <c r="U31" s="535">
        <f t="shared" si="25"/>
        <v>1</v>
      </c>
      <c r="V31" s="535">
        <f t="shared" si="25"/>
        <v>1</v>
      </c>
      <c r="W31" s="536">
        <f t="shared" si="25"/>
        <v>0.90859200247417404</v>
      </c>
      <c r="X31" s="536">
        <f t="shared" si="25"/>
        <v>0.85686237295862622</v>
      </c>
      <c r="Y31" s="535"/>
      <c r="Z31" s="537"/>
      <c r="AA31" s="537"/>
      <c r="AB31" s="533">
        <f>GBDUS!O82/($T31+$U31+$X31+V31+W31)</f>
        <v>1.7225094926725137E-2</v>
      </c>
      <c r="AC31" s="537">
        <f t="shared" si="26"/>
        <v>1.7225094926725137E-2</v>
      </c>
      <c r="AD31" s="537">
        <f t="shared" si="26"/>
        <v>1.7225094926725137E-2</v>
      </c>
      <c r="AE31" s="537">
        <f t="shared" si="26"/>
        <v>1.565058349228093E-2</v>
      </c>
      <c r="AF31" s="537">
        <f t="shared" si="26"/>
        <v>1.4759535713351295E-2</v>
      </c>
      <c r="AG31" s="533">
        <f>GBDUS!P82/($T31+$U31+$X31+V31+W31)</f>
        <v>0.41498586938083815</v>
      </c>
      <c r="AH31" s="537">
        <f t="shared" si="27"/>
        <v>0.41498586938083815</v>
      </c>
      <c r="AI31" s="537">
        <f t="shared" si="27"/>
        <v>0.41498586938083815</v>
      </c>
      <c r="AJ31" s="537">
        <f t="shared" si="27"/>
        <v>0.37705284205922174</v>
      </c>
      <c r="AK31" s="537">
        <f t="shared" si="27"/>
        <v>0.35558577678196346</v>
      </c>
      <c r="AL31" s="533">
        <f>GBDUS!Q82/($T31+$U31+$X31+V31+W31)</f>
        <v>1.089248861334124</v>
      </c>
      <c r="AM31" s="537">
        <f t="shared" si="28"/>
        <v>1.089248861334124</v>
      </c>
      <c r="AN31" s="537">
        <f t="shared" si="28"/>
        <v>1.089248861334124</v>
      </c>
      <c r="AO31" s="537">
        <f t="shared" si="28"/>
        <v>0.98968280411228571</v>
      </c>
      <c r="AP31" s="537">
        <f t="shared" si="28"/>
        <v>0.93333636406523912</v>
      </c>
      <c r="AQ31" s="534"/>
      <c r="AR31" s="534"/>
      <c r="AS31" s="534"/>
      <c r="AT31" s="534"/>
      <c r="AU31" s="545"/>
      <c r="AV31" s="545"/>
      <c r="AW31" s="545"/>
      <c r="AX31" s="545"/>
    </row>
    <row r="32" spans="1:50" x14ac:dyDescent="0.2">
      <c r="A32" s="525">
        <v>0</v>
      </c>
      <c r="B32" s="525">
        <v>2</v>
      </c>
      <c r="C32" s="525" t="s">
        <v>38</v>
      </c>
      <c r="D32" s="533">
        <f>Baseline!AN31</f>
        <v>0.39813871625667402</v>
      </c>
      <c r="E32" s="533">
        <f>Baseline!AO31</f>
        <v>0.90223864376331542</v>
      </c>
      <c r="F32" s="533">
        <f>Baseline!AP31</f>
        <v>1.5899817045833551</v>
      </c>
      <c r="G32" s="533">
        <f>Baseline!AQ31</f>
        <v>2.8019657973915968</v>
      </c>
      <c r="H32" s="533">
        <f>Baseline!AR31</f>
        <v>6.3496508068308559</v>
      </c>
      <c r="I32" s="533">
        <f t="shared" si="24"/>
        <v>0.1</v>
      </c>
      <c r="J32" s="533">
        <f t="shared" si="24"/>
        <v>0.1</v>
      </c>
      <c r="K32" s="533">
        <f t="shared" si="24"/>
        <v>0.1</v>
      </c>
      <c r="L32" s="533">
        <f t="shared" si="24"/>
        <v>2.8019657973915968</v>
      </c>
      <c r="M32" s="533">
        <f t="shared" si="24"/>
        <v>6.3496508068308559</v>
      </c>
      <c r="N32" s="541">
        <f>'Phy activity RRs'!$G$4</f>
        <v>0.93831941951583364</v>
      </c>
      <c r="O32" s="534">
        <f>IF(('user page'!$N$39=0),$N32^(I32^0.25),IF(('user page'!$N$39=1),$N32^(I32^0.5),IF(('user page'!$N$39=2),$N32^(I32^0.375),IF(('user page'!$N$39=4),$N32^(I32),IF(('user page'!$N$39=3),$N32^(LN(1+I32)),"")))))</f>
        <v>0.98006871247951299</v>
      </c>
      <c r="P32" s="534">
        <f>IF(('user page'!$N$39=0),$N32^(J32^0.25),IF(('user page'!$N$39=1),$N32^(J32^0.5),IF(('user page'!$N$39=2),$N32^(J32^0.375),IF(('user page'!$N$39=4),$N32^(J32),IF(('user page'!$N$39=3),$N32^(LN(1+J32)),"")))))</f>
        <v>0.98006871247951299</v>
      </c>
      <c r="Q32" s="534">
        <f>IF(('user page'!$N$39=0),$N32^(K32^0.25),IF(('user page'!$N$39=1),$N32^(K32^0.5),IF(('user page'!$N$39=2),$N32^(K32^0.375),IF(('user page'!$N$39=4),$N32^(K32),IF(('user page'!$N$39=3),$N32^(LN(1+K32)),"")))))</f>
        <v>0.98006871247951299</v>
      </c>
      <c r="R32" s="534">
        <f>IF(('user page'!$N$39=0),$N32^(L32^0.25),IF(('user page'!$N$39=1),$N32^(L32^0.5),IF(('user page'!$N$39=2),$N32^(L32^0.375),IF(('user page'!$N$39=4),$N32^(L32),IF(('user page'!$N$39=3),$N32^(LN(1+L32)),"")))))</f>
        <v>0.89891295895461276</v>
      </c>
      <c r="S32" s="534">
        <f>IF(('user page'!$N$39=0),$N32^(M32^0.25),IF(('user page'!$N$39=1),$N32^(M32^0.5),IF(('user page'!$N$39=2),$N32^(M32^0.375),IF(('user page'!$N$39=4),$N32^(M32),IF(('user page'!$N$39=3),$N32^(LN(1+M32)),"")))))</f>
        <v>0.85178087720348661</v>
      </c>
      <c r="T32" s="535">
        <f t="shared" si="25"/>
        <v>1</v>
      </c>
      <c r="U32" s="535">
        <f t="shared" si="25"/>
        <v>1</v>
      </c>
      <c r="V32" s="535">
        <f t="shared" si="25"/>
        <v>1</v>
      </c>
      <c r="W32" s="536">
        <f t="shared" si="25"/>
        <v>0.91719381254444776</v>
      </c>
      <c r="X32" s="536">
        <f t="shared" si="25"/>
        <v>0.86910322343474655</v>
      </c>
      <c r="Y32" s="535"/>
      <c r="Z32" s="537"/>
      <c r="AA32" s="537"/>
      <c r="AB32" s="533">
        <f>GBDUS!O83/($T32+$U32+$X32+V32+W32)</f>
        <v>1.1970558900045801E-2</v>
      </c>
      <c r="AC32" s="537">
        <f t="shared" si="26"/>
        <v>1.1970558900045801E-2</v>
      </c>
      <c r="AD32" s="537">
        <f t="shared" si="26"/>
        <v>1.1970558900045801E-2</v>
      </c>
      <c r="AE32" s="537">
        <f t="shared" si="26"/>
        <v>1.0979322555820879E-2</v>
      </c>
      <c r="AF32" s="537">
        <f t="shared" si="26"/>
        <v>1.04036513263453E-2</v>
      </c>
      <c r="AG32" s="533">
        <f>GBDUS!P83/($T32+$U32+$X32+V32+W32)</f>
        <v>0.20985798294823355</v>
      </c>
      <c r="AH32" s="537">
        <f t="shared" si="27"/>
        <v>0.20985798294823355</v>
      </c>
      <c r="AI32" s="537">
        <f t="shared" si="27"/>
        <v>0.20985798294823355</v>
      </c>
      <c r="AJ32" s="537">
        <f t="shared" si="27"/>
        <v>0.19248044347317803</v>
      </c>
      <c r="AK32" s="537">
        <f t="shared" si="27"/>
        <v>0.18238824944382384</v>
      </c>
      <c r="AL32" s="533">
        <f>GBDUS!Q83/($T32+$U32+$X32+V32+W32)</f>
        <v>0.13878982850013249</v>
      </c>
      <c r="AM32" s="537">
        <f t="shared" si="28"/>
        <v>0.13878982850013249</v>
      </c>
      <c r="AN32" s="537">
        <f t="shared" si="28"/>
        <v>0.13878982850013249</v>
      </c>
      <c r="AO32" s="537">
        <f t="shared" si="28"/>
        <v>0.12729717194442658</v>
      </c>
      <c r="AP32" s="537">
        <f t="shared" si="28"/>
        <v>0.1206226873294208</v>
      </c>
      <c r="AQ32" s="534"/>
      <c r="AR32" s="534"/>
      <c r="AS32" s="534"/>
      <c r="AT32" s="534"/>
      <c r="AU32" s="545"/>
      <c r="AV32" s="545"/>
      <c r="AW32" s="545"/>
      <c r="AX32" s="545"/>
    </row>
    <row r="33" spans="1:50" x14ac:dyDescent="0.2">
      <c r="A33" s="525">
        <v>0</v>
      </c>
      <c r="B33" s="525">
        <v>2</v>
      </c>
      <c r="C33" s="525" t="s">
        <v>37</v>
      </c>
      <c r="D33" s="533">
        <f>Baseline!AN32</f>
        <v>0.26186863902756607</v>
      </c>
      <c r="E33" s="533">
        <f>Baseline!AO32</f>
        <v>0.59343137472733987</v>
      </c>
      <c r="F33" s="533">
        <f>Baseline!AP32</f>
        <v>1.0457821057260546</v>
      </c>
      <c r="G33" s="533">
        <f>Baseline!AQ32</f>
        <v>1.8429430246409162</v>
      </c>
      <c r="H33" s="533">
        <f>Baseline!AR32</f>
        <v>4.1763695596313646</v>
      </c>
      <c r="I33" s="533">
        <f t="shared" si="24"/>
        <v>0.1</v>
      </c>
      <c r="J33" s="533">
        <f t="shared" si="24"/>
        <v>0.1</v>
      </c>
      <c r="K33" s="533">
        <f t="shared" si="24"/>
        <v>0.1</v>
      </c>
      <c r="L33" s="533">
        <f t="shared" si="24"/>
        <v>0.1</v>
      </c>
      <c r="M33" s="533">
        <f t="shared" si="24"/>
        <v>4.1763695596313646</v>
      </c>
      <c r="N33" s="541">
        <f>'Phy activity RRs'!$G$4</f>
        <v>0.93831941951583364</v>
      </c>
      <c r="O33" s="534">
        <f>IF(('user page'!$N$39=0),$N33^(I33^0.25),IF(('user page'!$N$39=1),$N33^(I33^0.5),IF(('user page'!$N$39=2),$N33^(I33^0.375),IF(('user page'!$N$39=4),$N33^(I33),IF(('user page'!$N$39=3),$N33^(LN(1+I33)),"")))))</f>
        <v>0.98006871247951299</v>
      </c>
      <c r="P33" s="534">
        <f>IF(('user page'!$N$39=0),$N33^(J33^0.25),IF(('user page'!$N$39=1),$N33^(J33^0.5),IF(('user page'!$N$39=2),$N33^(J33^0.375),IF(('user page'!$N$39=4),$N33^(J33),IF(('user page'!$N$39=3),$N33^(LN(1+J33)),"")))))</f>
        <v>0.98006871247951299</v>
      </c>
      <c r="Q33" s="534">
        <f>IF(('user page'!$N$39=0),$N33^(K33^0.25),IF(('user page'!$N$39=1),$N33^(K33^0.5),IF(('user page'!$N$39=2),$N33^(K33^0.375),IF(('user page'!$N$39=4),$N33^(K33),IF(('user page'!$N$39=3),$N33^(LN(1+K33)),"")))))</f>
        <v>0.98006871247951299</v>
      </c>
      <c r="R33" s="534">
        <f>IF(('user page'!$N$39=0),$N33^(L33^0.25),IF(('user page'!$N$39=1),$N33^(L33^0.5),IF(('user page'!$N$39=2),$N33^(L33^0.375),IF(('user page'!$N$39=4),$N33^(L33),IF(('user page'!$N$39=3),$N33^(LN(1+L33)),"")))))</f>
        <v>0.98006871247951299</v>
      </c>
      <c r="S33" s="534">
        <f>IF(('user page'!$N$39=0),$N33^(M33^0.25),IF(('user page'!$N$39=1),$N33^(M33^0.5),IF(('user page'!$N$39=2),$N33^(M33^0.375),IF(('user page'!$N$39=4),$N33^(M33),IF(('user page'!$N$39=3),$N33^(LN(1+M33)),"")))))</f>
        <v>0.87800185985299239</v>
      </c>
      <c r="T33" s="535">
        <f t="shared" si="25"/>
        <v>1</v>
      </c>
      <c r="U33" s="535">
        <f t="shared" si="25"/>
        <v>1</v>
      </c>
      <c r="V33" s="535">
        <f t="shared" si="25"/>
        <v>1</v>
      </c>
      <c r="W33" s="536">
        <f t="shared" si="25"/>
        <v>1</v>
      </c>
      <c r="X33" s="536">
        <f t="shared" si="25"/>
        <v>0.89585745231240188</v>
      </c>
      <c r="Y33" s="535"/>
      <c r="Z33" s="537"/>
      <c r="AA33" s="537"/>
      <c r="AB33" s="533">
        <f>GBDUS!O84/($T33+$U33+$X33+V33+W33)</f>
        <v>2.4145379705802657E-2</v>
      </c>
      <c r="AC33" s="537">
        <f t="shared" si="26"/>
        <v>2.4145379705802657E-2</v>
      </c>
      <c r="AD33" s="537">
        <f t="shared" si="26"/>
        <v>2.4145379705802657E-2</v>
      </c>
      <c r="AE33" s="537">
        <f t="shared" si="26"/>
        <v>2.4145379705802657E-2</v>
      </c>
      <c r="AF33" s="537">
        <f t="shared" si="26"/>
        <v>2.1630818348355941E-2</v>
      </c>
      <c r="AG33" s="533">
        <f>GBDUS!P84/($T33+$U33+$X33+V33+W33)</f>
        <v>0.29623638953928044</v>
      </c>
      <c r="AH33" s="537">
        <f t="shared" si="27"/>
        <v>0.29623638953928044</v>
      </c>
      <c r="AI33" s="537">
        <f t="shared" si="27"/>
        <v>0.29623638953928044</v>
      </c>
      <c r="AJ33" s="537">
        <f t="shared" si="27"/>
        <v>0.29623638953928044</v>
      </c>
      <c r="AK33" s="537">
        <f t="shared" si="27"/>
        <v>0.26538557721488404</v>
      </c>
      <c r="AL33" s="533">
        <f>GBDUS!Q84/($T33+$U33+$X33+V33+W33)</f>
        <v>0.2267219547035921</v>
      </c>
      <c r="AM33" s="537">
        <f t="shared" si="28"/>
        <v>0.2267219547035921</v>
      </c>
      <c r="AN33" s="537">
        <f t="shared" si="28"/>
        <v>0.2267219547035921</v>
      </c>
      <c r="AO33" s="537">
        <f t="shared" si="28"/>
        <v>0.2267219547035921</v>
      </c>
      <c r="AP33" s="537">
        <f t="shared" si="28"/>
        <v>0.20311055272404779</v>
      </c>
      <c r="AQ33" s="534"/>
      <c r="AR33" s="534"/>
      <c r="AS33" s="534"/>
      <c r="AT33" s="534"/>
      <c r="AU33" s="545"/>
      <c r="AV33" s="545"/>
      <c r="AW33" s="545"/>
      <c r="AX33" s="545"/>
    </row>
    <row r="34" spans="1:50" x14ac:dyDescent="0.2">
      <c r="A34" s="525">
        <v>0</v>
      </c>
      <c r="B34" s="525">
        <v>2</v>
      </c>
      <c r="C34" s="525" t="s">
        <v>36</v>
      </c>
      <c r="D34" s="533">
        <f>Baseline!AN33</f>
        <v>0.23782262690158459</v>
      </c>
      <c r="E34" s="533">
        <f>Baseline!AO33</f>
        <v>0.53893971018277653</v>
      </c>
      <c r="F34" s="533">
        <f>Baseline!AP33</f>
        <v>0.94975346598971733</v>
      </c>
      <c r="G34" s="533">
        <f>Baseline!AQ33</f>
        <v>1.6737153138215863</v>
      </c>
      <c r="H34" s="533">
        <f>Baseline!AR33</f>
        <v>3.7928756313534393</v>
      </c>
      <c r="I34" s="533">
        <f t="shared" si="24"/>
        <v>0.1</v>
      </c>
      <c r="J34" s="533">
        <f t="shared" si="24"/>
        <v>0.1</v>
      </c>
      <c r="K34" s="533">
        <f t="shared" si="24"/>
        <v>0.1</v>
      </c>
      <c r="L34" s="533">
        <f t="shared" si="24"/>
        <v>0.1</v>
      </c>
      <c r="M34" s="533">
        <f t="shared" si="24"/>
        <v>3.7928756313534393</v>
      </c>
      <c r="N34" s="541">
        <f>'Phy activity RRs'!$G$4</f>
        <v>0.93831941951583364</v>
      </c>
      <c r="O34" s="534">
        <f>IF(('user page'!$N$39=0),$N34^(I34^0.25),IF(('user page'!$N$39=1),$N34^(I34^0.5),IF(('user page'!$N$39=2),$N34^(I34^0.375),IF(('user page'!$N$39=4),$N34^(I34),IF(('user page'!$N$39=3),$N34^(LN(1+I34)),"")))))</f>
        <v>0.98006871247951299</v>
      </c>
      <c r="P34" s="534">
        <f>IF(('user page'!$N$39=0),$N34^(J34^0.25),IF(('user page'!$N$39=1),$N34^(J34^0.5),IF(('user page'!$N$39=2),$N34^(J34^0.375),IF(('user page'!$N$39=4),$N34^(J34),IF(('user page'!$N$39=3),$N34^(LN(1+J34)),"")))))</f>
        <v>0.98006871247951299</v>
      </c>
      <c r="Q34" s="534">
        <f>IF(('user page'!$N$39=0),$N34^(K34^0.25),IF(('user page'!$N$39=1),$N34^(K34^0.5),IF(('user page'!$N$39=2),$N34^(K34^0.375),IF(('user page'!$N$39=4),$N34^(K34),IF(('user page'!$N$39=3),$N34^(LN(1+K34)),"")))))</f>
        <v>0.98006871247951299</v>
      </c>
      <c r="R34" s="534">
        <f>IF(('user page'!$N$39=0),$N34^(L34^0.25),IF(('user page'!$N$39=1),$N34^(L34^0.5),IF(('user page'!$N$39=2),$N34^(L34^0.375),IF(('user page'!$N$39=4),$N34^(L34),IF(('user page'!$N$39=3),$N34^(LN(1+L34)),"")))))</f>
        <v>0.98006871247951299</v>
      </c>
      <c r="S34" s="534">
        <f>IF(('user page'!$N$39=0),$N34^(M34^0.25),IF(('user page'!$N$39=1),$N34^(M34^0.5),IF(('user page'!$N$39=2),$N34^(M34^0.375),IF(('user page'!$N$39=4),$N34^(M34),IF(('user page'!$N$39=3),$N34^(LN(1+M34)),"")))))</f>
        <v>0.88338933088983584</v>
      </c>
      <c r="T34" s="535">
        <f t="shared" si="25"/>
        <v>1</v>
      </c>
      <c r="U34" s="535">
        <f t="shared" si="25"/>
        <v>1</v>
      </c>
      <c r="V34" s="535">
        <f t="shared" si="25"/>
        <v>1</v>
      </c>
      <c r="W34" s="536">
        <f t="shared" si="25"/>
        <v>1</v>
      </c>
      <c r="X34" s="536">
        <f t="shared" si="25"/>
        <v>0.90135448631445003</v>
      </c>
      <c r="Y34" s="535"/>
      <c r="Z34" s="537"/>
      <c r="AA34" s="537"/>
      <c r="AB34" s="533">
        <f>GBDUS!O85/($T34+$U34+$X34+V34+W34)</f>
        <v>6.8576661465220831E-2</v>
      </c>
      <c r="AC34" s="537">
        <f t="shared" si="26"/>
        <v>6.8576661465220831E-2</v>
      </c>
      <c r="AD34" s="537">
        <f t="shared" si="26"/>
        <v>6.8576661465220831E-2</v>
      </c>
      <c r="AE34" s="537">
        <f t="shared" si="26"/>
        <v>6.8576661465220831E-2</v>
      </c>
      <c r="AF34" s="537">
        <f t="shared" si="26"/>
        <v>6.1811881468144064E-2</v>
      </c>
      <c r="AG34" s="533">
        <f>GBDUS!P85/($T34+$U34+$X34+V34+W34)</f>
        <v>0.52862499828547915</v>
      </c>
      <c r="AH34" s="537">
        <f t="shared" si="27"/>
        <v>0.52862499828547915</v>
      </c>
      <c r="AI34" s="537">
        <f t="shared" si="27"/>
        <v>0.52862499828547915</v>
      </c>
      <c r="AJ34" s="537">
        <f t="shared" si="27"/>
        <v>0.52862499828547915</v>
      </c>
      <c r="AK34" s="537">
        <f t="shared" si="27"/>
        <v>0.4764785137825851</v>
      </c>
      <c r="AL34" s="533">
        <f>GBDUS!Q85/($T34+$U34+$X34+V34+W34)</f>
        <v>0.37571725027767355</v>
      </c>
      <c r="AM34" s="537">
        <f t="shared" si="28"/>
        <v>0.37571725027767355</v>
      </c>
      <c r="AN34" s="537">
        <f t="shared" si="28"/>
        <v>0.37571725027767355</v>
      </c>
      <c r="AO34" s="537">
        <f t="shared" si="28"/>
        <v>0.37571725027767355</v>
      </c>
      <c r="AP34" s="537">
        <f t="shared" si="28"/>
        <v>0.33865442912351013</v>
      </c>
      <c r="AQ34" s="534"/>
      <c r="AR34" s="534"/>
      <c r="AS34" s="534"/>
      <c r="AT34" s="534"/>
      <c r="AU34" s="545"/>
      <c r="AV34" s="545"/>
      <c r="AW34" s="545"/>
      <c r="AX34" s="545"/>
    </row>
    <row r="35" spans="1:50" x14ac:dyDescent="0.2">
      <c r="A35" s="525">
        <v>0</v>
      </c>
      <c r="B35" s="525">
        <v>2</v>
      </c>
      <c r="C35" s="525" t="s">
        <v>35</v>
      </c>
      <c r="D35" s="533">
        <f>Baseline!AN34</f>
        <v>0.12364682020186614</v>
      </c>
      <c r="E35" s="533">
        <f>Baseline!AO34</f>
        <v>0.28020118317922604</v>
      </c>
      <c r="F35" s="533">
        <f>Baseline!AP34</f>
        <v>0.49378815453891239</v>
      </c>
      <c r="G35" s="533">
        <f>Baseline!AQ34</f>
        <v>0.87018455381391113</v>
      </c>
      <c r="H35" s="533">
        <f>Baseline!AR34</f>
        <v>1.9719612778142819</v>
      </c>
      <c r="I35" s="533">
        <f t="shared" si="24"/>
        <v>0.1</v>
      </c>
      <c r="J35" s="533">
        <f t="shared" si="24"/>
        <v>0.1</v>
      </c>
      <c r="K35" s="533">
        <f t="shared" si="24"/>
        <v>0.1</v>
      </c>
      <c r="L35" s="533">
        <f t="shared" si="24"/>
        <v>0.1</v>
      </c>
      <c r="M35" s="533">
        <f t="shared" si="24"/>
        <v>0.1</v>
      </c>
      <c r="N35" s="541">
        <f>'Phy activity RRs'!$G$4</f>
        <v>0.93831941951583364</v>
      </c>
      <c r="O35" s="534">
        <f>IF(('user page'!$N$39=0),$N35^(I35^0.25),IF(('user page'!$N$39=1),$N35^(I35^0.5),IF(('user page'!$N$39=2),$N35^(I35^0.375),IF(('user page'!$N$39=4),$N35^(I35),IF(('user page'!$N$39=3),$N35^(LN(1+I35)),"")))))</f>
        <v>0.98006871247951299</v>
      </c>
      <c r="P35" s="534">
        <f>IF(('user page'!$N$39=0),$N35^(J35^0.25),IF(('user page'!$N$39=1),$N35^(J35^0.5),IF(('user page'!$N$39=2),$N35^(J35^0.375),IF(('user page'!$N$39=4),$N35^(J35),IF(('user page'!$N$39=3),$N35^(LN(1+J35)),"")))))</f>
        <v>0.98006871247951299</v>
      </c>
      <c r="Q35" s="534">
        <f>IF(('user page'!$N$39=0),$N35^(K35^0.25),IF(('user page'!$N$39=1),$N35^(K35^0.5),IF(('user page'!$N$39=2),$N35^(K35^0.375),IF(('user page'!$N$39=4),$N35^(K35),IF(('user page'!$N$39=3),$N35^(LN(1+K35)),"")))))</f>
        <v>0.98006871247951299</v>
      </c>
      <c r="R35" s="534">
        <f>IF(('user page'!$N$39=0),$N35^(L35^0.25),IF(('user page'!$N$39=1),$N35^(L35^0.5),IF(('user page'!$N$39=2),$N35^(L35^0.375),IF(('user page'!$N$39=4),$N35^(L35),IF(('user page'!$N$39=3),$N35^(LN(1+L35)),"")))))</f>
        <v>0.98006871247951299</v>
      </c>
      <c r="S35" s="534">
        <f>IF(('user page'!$N$39=0),$N35^(M35^0.25),IF(('user page'!$N$39=1),$N35^(M35^0.5),IF(('user page'!$N$39=2),$N35^(M35^0.375),IF(('user page'!$N$39=4),$N35^(M35),IF(('user page'!$N$39=3),$N35^(LN(1+M35)),"")))))</f>
        <v>0.98006871247951299</v>
      </c>
      <c r="T35" s="535">
        <f t="shared" si="25"/>
        <v>1</v>
      </c>
      <c r="U35" s="535">
        <f t="shared" si="25"/>
        <v>1</v>
      </c>
      <c r="V35" s="535">
        <f t="shared" si="25"/>
        <v>1</v>
      </c>
      <c r="W35" s="536">
        <f t="shared" si="25"/>
        <v>1</v>
      </c>
      <c r="X35" s="536">
        <f t="shared" si="25"/>
        <v>1</v>
      </c>
      <c r="Y35" s="535"/>
      <c r="Z35" s="537"/>
      <c r="AA35" s="537"/>
      <c r="AB35" s="533">
        <f>GBDUS!O86/($T35+$U35+$X35+V35+W35)</f>
        <v>0.19511061135382812</v>
      </c>
      <c r="AC35" s="537">
        <f t="shared" si="26"/>
        <v>0.19511061135382812</v>
      </c>
      <c r="AD35" s="537">
        <f t="shared" si="26"/>
        <v>0.19511061135382812</v>
      </c>
      <c r="AE35" s="537">
        <f t="shared" si="26"/>
        <v>0.19511061135382812</v>
      </c>
      <c r="AF35" s="537">
        <f t="shared" si="26"/>
        <v>0.19511061135382812</v>
      </c>
      <c r="AG35" s="533">
        <f>GBDUS!P86/($T35+$U35+$X35+V35+W35)</f>
        <v>0.63160408599870332</v>
      </c>
      <c r="AH35" s="537">
        <f t="shared" si="27"/>
        <v>0.63160408599870332</v>
      </c>
      <c r="AI35" s="537">
        <f t="shared" si="27"/>
        <v>0.63160408599870332</v>
      </c>
      <c r="AJ35" s="537">
        <f t="shared" si="27"/>
        <v>0.63160408599870332</v>
      </c>
      <c r="AK35" s="537">
        <f t="shared" si="27"/>
        <v>0.63160408599870332</v>
      </c>
      <c r="AL35" s="533">
        <f>GBDUS!Q86/($T35+$U35+$X35+V35+W35)</f>
        <v>0.25431689306178729</v>
      </c>
      <c r="AM35" s="537">
        <f t="shared" si="28"/>
        <v>0.25431689306178729</v>
      </c>
      <c r="AN35" s="537">
        <f t="shared" si="28"/>
        <v>0.25431689306178729</v>
      </c>
      <c r="AO35" s="537">
        <f t="shared" si="28"/>
        <v>0.25431689306178729</v>
      </c>
      <c r="AP35" s="537">
        <f t="shared" si="28"/>
        <v>0.25431689306178729</v>
      </c>
      <c r="AQ35" s="534"/>
      <c r="AR35" s="534"/>
      <c r="AS35" s="534"/>
      <c r="AT35" s="534"/>
      <c r="AU35" s="545"/>
      <c r="AV35" s="545"/>
      <c r="AW35" s="545"/>
      <c r="AX35" s="545"/>
    </row>
  </sheetData>
  <mergeCells count="9">
    <mergeCell ref="AG1:AK1"/>
    <mergeCell ref="AL1:AP1"/>
    <mergeCell ref="AQ1:AT1"/>
    <mergeCell ref="AU1:AX1"/>
    <mergeCell ref="D1:H1"/>
    <mergeCell ref="I1:M1"/>
    <mergeCell ref="O1:S1"/>
    <mergeCell ref="T1:X1"/>
    <mergeCell ref="AB1:AF1"/>
  </mergeCell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
  <sheetViews>
    <sheetView workbookViewId="0">
      <selection activeCell="D3" sqref="D3"/>
    </sheetView>
  </sheetViews>
  <sheetFormatPr defaultRowHeight="15" x14ac:dyDescent="0.25"/>
  <cols>
    <col min="1" max="1" width="18.42578125" customWidth="1"/>
    <col min="2" max="2" width="16.28515625" customWidth="1"/>
    <col min="11" max="11" width="12" customWidth="1"/>
    <col min="12" max="12" width="11.85546875" customWidth="1"/>
  </cols>
  <sheetData>
    <row r="1" spans="1:13" x14ac:dyDescent="0.25">
      <c r="J1" s="340" t="s">
        <v>228</v>
      </c>
      <c r="K1" s="341"/>
      <c r="L1" s="340" t="s">
        <v>227</v>
      </c>
    </row>
    <row r="2" spans="1:13" x14ac:dyDescent="0.25">
      <c r="A2" s="316"/>
      <c r="B2" s="316"/>
      <c r="C2" s="318" t="s">
        <v>58</v>
      </c>
      <c r="D2" s="317" t="s">
        <v>439</v>
      </c>
      <c r="E2" s="317" t="s">
        <v>440</v>
      </c>
      <c r="F2" s="317" t="s">
        <v>441</v>
      </c>
      <c r="G2" s="317"/>
      <c r="H2" s="317"/>
      <c r="J2" s="339" t="s">
        <v>225</v>
      </c>
      <c r="K2" s="337"/>
      <c r="L2" s="342">
        <v>8.6180000000000007E-3</v>
      </c>
    </row>
    <row r="3" spans="1:13" x14ac:dyDescent="0.25">
      <c r="A3" s="319" t="s">
        <v>486</v>
      </c>
      <c r="B3" s="320" t="s">
        <v>72</v>
      </c>
      <c r="C3" s="639">
        <f>'Inputs TO'!D21</f>
        <v>9.4</v>
      </c>
      <c r="D3" s="639">
        <f>'Inputs TO'!F21</f>
        <v>9.4</v>
      </c>
      <c r="E3" s="331">
        <v>6.4180285085811599</v>
      </c>
      <c r="F3" s="331">
        <v>6.4109393691100003</v>
      </c>
      <c r="G3" s="331"/>
      <c r="H3" s="331"/>
      <c r="J3" s="133" t="s">
        <v>154</v>
      </c>
      <c r="K3" s="337"/>
      <c r="L3" s="343">
        <f>(LN(1.14)/10)</f>
        <v>1.31028262406404E-2</v>
      </c>
    </row>
    <row r="4" spans="1:13" x14ac:dyDescent="0.25">
      <c r="A4" s="315" t="s">
        <v>485</v>
      </c>
      <c r="B4" s="415"/>
      <c r="C4" s="566">
        <v>0</v>
      </c>
      <c r="D4" s="418" t="e">
        <f>100*('Visions person'!C40-'Visions person'!E40)/'Visions person'!C40</f>
        <v>#REF!</v>
      </c>
      <c r="E4" s="416"/>
      <c r="F4" s="416"/>
      <c r="G4" s="416"/>
      <c r="H4" s="417"/>
      <c r="J4" s="133" t="s">
        <v>226</v>
      </c>
      <c r="K4" s="338"/>
      <c r="L4" s="343">
        <f>2*(LN(1.05)/10)</f>
        <v>9.7580328338864094E-3</v>
      </c>
      <c r="M4" t="s">
        <v>233</v>
      </c>
    </row>
    <row r="5" spans="1:13" x14ac:dyDescent="0.25">
      <c r="A5" s="315"/>
      <c r="B5" s="415"/>
      <c r="C5" s="416"/>
      <c r="D5" s="416"/>
      <c r="E5" s="416"/>
      <c r="F5" s="416"/>
      <c r="G5" s="416"/>
      <c r="H5" s="416"/>
    </row>
    <row r="6" spans="1:13" x14ac:dyDescent="0.25">
      <c r="A6" s="315"/>
      <c r="B6" s="297"/>
      <c r="C6" s="304"/>
      <c r="D6" s="189"/>
      <c r="E6" s="189"/>
      <c r="F6" s="189"/>
      <c r="G6" s="189"/>
      <c r="H6" s="189"/>
    </row>
  </sheetData>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42"/>
  <sheetViews>
    <sheetView topLeftCell="A2" zoomScale="90" zoomScaleNormal="90" workbookViewId="0">
      <selection activeCell="B18" sqref="B18"/>
    </sheetView>
  </sheetViews>
  <sheetFormatPr defaultRowHeight="15" x14ac:dyDescent="0.25"/>
  <cols>
    <col min="1" max="1" width="28.7109375" customWidth="1"/>
    <col min="2" max="2" width="18.28515625" customWidth="1"/>
    <col min="3" max="3" width="26.140625" customWidth="1"/>
    <col min="4" max="4" width="12.85546875" customWidth="1"/>
    <col min="5" max="5" width="21.140625" customWidth="1"/>
    <col min="6" max="6" width="9.5703125" style="191" customWidth="1"/>
    <col min="7" max="7" width="22" customWidth="1"/>
    <col min="8" max="8" width="16" customWidth="1"/>
    <col min="9" max="9" width="23.5703125" customWidth="1"/>
    <col min="10" max="10" width="33.42578125" customWidth="1"/>
    <col min="12" max="12" width="14.28515625" customWidth="1"/>
  </cols>
  <sheetData>
    <row r="1" spans="1:12" s="403" customFormat="1" ht="25.5" x14ac:dyDescent="0.35">
      <c r="A1" s="469" t="s">
        <v>421</v>
      </c>
      <c r="B1" s="469"/>
      <c r="C1" s="469"/>
      <c r="D1" s="469"/>
      <c r="E1" s="469"/>
      <c r="F1" s="470"/>
      <c r="G1" s="469"/>
      <c r="H1" s="469"/>
      <c r="I1" s="469"/>
      <c r="J1" s="469"/>
    </row>
    <row r="2" spans="1:12" ht="45" x14ac:dyDescent="0.25">
      <c r="A2" s="422" t="s">
        <v>228</v>
      </c>
      <c r="B2" s="422" t="s">
        <v>383</v>
      </c>
      <c r="C2" s="422" t="s">
        <v>384</v>
      </c>
      <c r="D2" s="422" t="s">
        <v>385</v>
      </c>
      <c r="E2" s="422" t="s">
        <v>386</v>
      </c>
      <c r="F2" s="460" t="s">
        <v>415</v>
      </c>
      <c r="G2" s="423" t="s">
        <v>416</v>
      </c>
      <c r="H2" s="422" t="s">
        <v>387</v>
      </c>
      <c r="I2" s="424" t="s">
        <v>420</v>
      </c>
      <c r="J2" s="422" t="s">
        <v>388</v>
      </c>
    </row>
    <row r="3" spans="1:12" x14ac:dyDescent="0.25">
      <c r="A3" s="1400" t="s">
        <v>389</v>
      </c>
      <c r="B3" s="425"/>
      <c r="C3" s="1401" t="s">
        <v>72</v>
      </c>
      <c r="D3" s="426"/>
      <c r="E3" s="426"/>
      <c r="F3" s="461"/>
      <c r="G3" s="428"/>
      <c r="H3" s="429"/>
      <c r="I3" s="429"/>
      <c r="J3" s="427"/>
    </row>
    <row r="4" spans="1:12" ht="15" hidden="1" customHeight="1" x14ac:dyDescent="0.25">
      <c r="A4" s="1400"/>
      <c r="B4" s="430"/>
      <c r="C4" s="1402"/>
      <c r="D4" s="431"/>
      <c r="E4" s="431"/>
      <c r="F4" s="462"/>
      <c r="G4" s="432"/>
      <c r="H4" s="421"/>
      <c r="I4" s="421"/>
      <c r="J4" s="421"/>
    </row>
    <row r="5" spans="1:12" x14ac:dyDescent="0.25">
      <c r="A5" s="433" t="s">
        <v>390</v>
      </c>
      <c r="B5" s="433">
        <v>2010</v>
      </c>
      <c r="C5" s="434">
        <v>27378840020</v>
      </c>
      <c r="D5" s="435">
        <v>1</v>
      </c>
      <c r="E5" s="434">
        <v>27378840020</v>
      </c>
      <c r="F5" s="463">
        <f>100*GBDUS!$N$236/$B$34</f>
        <v>1.6575486922372617E-3</v>
      </c>
      <c r="G5" s="436">
        <f>E5*F5/100</f>
        <v>453817.604701242</v>
      </c>
      <c r="H5" s="465">
        <f>'Breast cancer'!$AS$20</f>
        <v>-5.6793278556041056E-2</v>
      </c>
      <c r="I5" s="438">
        <f>H5*G5</f>
        <v>-25773.789637432965</v>
      </c>
      <c r="J5" s="439" t="s">
        <v>391</v>
      </c>
      <c r="L5" s="562"/>
    </row>
    <row r="6" spans="1:12" x14ac:dyDescent="0.25">
      <c r="A6" s="440" t="s">
        <v>392</v>
      </c>
      <c r="B6" s="433">
        <v>2010</v>
      </c>
      <c r="C6" s="441">
        <v>26942283437</v>
      </c>
      <c r="D6" s="435">
        <v>1</v>
      </c>
      <c r="E6" s="434">
        <v>26942283437</v>
      </c>
      <c r="F6" s="463">
        <f>100*GBDUS!$N$236/$B$34</f>
        <v>1.6575486922372617E-3</v>
      </c>
      <c r="G6" s="436">
        <f>E6*F6/100</f>
        <v>446581.46676884987</v>
      </c>
      <c r="H6" s="465">
        <f>'Colon Cancer'!AS20</f>
        <v>-1.6607816123732796E-2</v>
      </c>
      <c r="I6" s="438">
        <f>H6*G6</f>
        <v>-7416.7428843639464</v>
      </c>
      <c r="J6" s="439" t="s">
        <v>391</v>
      </c>
    </row>
    <row r="7" spans="1:12" x14ac:dyDescent="0.25">
      <c r="A7" s="440" t="s">
        <v>393</v>
      </c>
      <c r="B7" s="433">
        <v>2010</v>
      </c>
      <c r="C7" s="441">
        <v>51073476028</v>
      </c>
      <c r="D7" s="435">
        <v>1</v>
      </c>
      <c r="E7" s="434">
        <v>51073476028</v>
      </c>
      <c r="F7" s="463">
        <f>100*GBDUS!$N$236/$B$34</f>
        <v>1.6575486922372617E-3</v>
      </c>
      <c r="G7" s="436">
        <f>E7*F7/100</f>
        <v>846567.73398222541</v>
      </c>
      <c r="H7" s="466">
        <f>'Lung Cancer'!O21</f>
        <v>0</v>
      </c>
      <c r="I7" s="438">
        <f>H7*G7</f>
        <v>0</v>
      </c>
      <c r="J7" s="439" t="s">
        <v>391</v>
      </c>
    </row>
    <row r="8" spans="1:12" x14ac:dyDescent="0.25">
      <c r="A8" s="440"/>
      <c r="B8" s="440"/>
      <c r="C8" s="441"/>
      <c r="D8" s="435"/>
      <c r="E8" s="441"/>
      <c r="F8" s="463"/>
      <c r="G8" s="442"/>
      <c r="H8" s="421"/>
      <c r="I8" s="438"/>
      <c r="J8" s="439"/>
    </row>
    <row r="9" spans="1:12" x14ac:dyDescent="0.25">
      <c r="A9" s="422" t="s">
        <v>394</v>
      </c>
      <c r="B9" s="422"/>
      <c r="C9" s="443"/>
      <c r="D9" s="443"/>
      <c r="E9" s="443"/>
      <c r="F9" s="461"/>
      <c r="G9" s="444"/>
      <c r="H9" s="429"/>
      <c r="I9" s="445"/>
      <c r="J9" s="427"/>
    </row>
    <row r="10" spans="1:12" x14ac:dyDescent="0.25">
      <c r="A10" s="440" t="s">
        <v>395</v>
      </c>
      <c r="B10" s="440">
        <v>2007</v>
      </c>
      <c r="C10" s="441">
        <v>40900000000</v>
      </c>
      <c r="D10" s="446">
        <v>1.0517000000000001</v>
      </c>
      <c r="E10" s="434">
        <v>43014530000</v>
      </c>
      <c r="F10" s="463">
        <f>100*GBDUS!$N$236/$B$34</f>
        <v>1.6575486922372617E-3</v>
      </c>
      <c r="G10" s="436">
        <f>E10*F10/100</f>
        <v>712986.77948700462</v>
      </c>
      <c r="H10" s="464">
        <f>Stroke_air!AT20</f>
        <v>-7.030585706552471E-2</v>
      </c>
      <c r="I10" s="438">
        <f>H10*G10</f>
        <v>-50127.14660822213</v>
      </c>
      <c r="J10" s="447" t="s">
        <v>396</v>
      </c>
    </row>
    <row r="11" spans="1:12" x14ac:dyDescent="0.25">
      <c r="A11" s="440" t="s">
        <v>397</v>
      </c>
      <c r="B11" s="440">
        <v>2007</v>
      </c>
      <c r="C11" s="441">
        <v>177500000000</v>
      </c>
      <c r="D11" s="446">
        <v>1.0517000000000001</v>
      </c>
      <c r="E11" s="434">
        <v>186676750000</v>
      </c>
      <c r="F11" s="463">
        <f>100*GBDUS!$N$236/$B$34</f>
        <v>1.6575486922372617E-3</v>
      </c>
      <c r="G11" s="436">
        <f>E11*F11/100</f>
        <v>3094258.0283360225</v>
      </c>
      <c r="H11" s="464">
        <f>CVD_air!$AT$20</f>
        <v>-7.155047336439746E-2</v>
      </c>
      <c r="I11" s="438">
        <f>H11*G11</f>
        <v>-221395.62663902959</v>
      </c>
      <c r="J11" s="447" t="s">
        <v>396</v>
      </c>
    </row>
    <row r="12" spans="1:12" x14ac:dyDescent="0.25">
      <c r="A12" s="440" t="s">
        <v>398</v>
      </c>
      <c r="B12" s="440">
        <v>2007</v>
      </c>
      <c r="C12" s="441">
        <v>40900000000</v>
      </c>
      <c r="D12" s="446">
        <v>1.0517000000000001</v>
      </c>
      <c r="E12" s="434">
        <v>43014530000</v>
      </c>
      <c r="F12" s="463">
        <f>100*GBDUS!$N$236/$B$34</f>
        <v>1.6575486922372617E-3</v>
      </c>
      <c r="G12" s="436">
        <f>E12*F12/100</f>
        <v>712986.77948700462</v>
      </c>
      <c r="H12" s="464"/>
      <c r="I12" s="438">
        <f>H12*G12</f>
        <v>0</v>
      </c>
      <c r="J12" s="447"/>
    </row>
    <row r="13" spans="1:12" x14ac:dyDescent="0.25">
      <c r="A13" s="440" t="s">
        <v>399</v>
      </c>
      <c r="B13" s="440">
        <v>2007</v>
      </c>
      <c r="C13" s="441">
        <v>177500000000</v>
      </c>
      <c r="D13" s="446">
        <v>1.0517000000000001</v>
      </c>
      <c r="E13" s="434">
        <v>186676750000</v>
      </c>
      <c r="F13" s="463">
        <f>100*GBDUS!$N$236/$B$34</f>
        <v>1.6575486922372617E-3</v>
      </c>
      <c r="G13" s="436">
        <f>E13*F13/100</f>
        <v>3094258.0283360225</v>
      </c>
      <c r="H13" s="464"/>
      <c r="I13" s="438">
        <f>H13*G13</f>
        <v>0</v>
      </c>
      <c r="J13" s="447"/>
    </row>
    <row r="14" spans="1:12" x14ac:dyDescent="0.25">
      <c r="A14" s="422" t="s">
        <v>400</v>
      </c>
      <c r="B14" s="422"/>
      <c r="C14" s="443"/>
      <c r="D14" s="443"/>
      <c r="E14" s="443"/>
      <c r="F14" s="461"/>
      <c r="G14" s="444"/>
      <c r="H14" s="467"/>
      <c r="I14" s="445"/>
      <c r="J14" s="448"/>
    </row>
    <row r="15" spans="1:12" x14ac:dyDescent="0.25">
      <c r="A15" s="440" t="s">
        <v>401</v>
      </c>
      <c r="B15" s="440">
        <v>2007</v>
      </c>
      <c r="C15" s="441">
        <v>56000000000</v>
      </c>
      <c r="D15" s="446">
        <v>1.0517000000000001</v>
      </c>
      <c r="E15" s="434">
        <v>58895200000.000008</v>
      </c>
      <c r="F15" s="463">
        <f>100*GBDUS!$N$236/$B$34</f>
        <v>1.6575486922372617E-3</v>
      </c>
      <c r="G15" s="436">
        <f>E15*F15/100</f>
        <v>976216.61739051982</v>
      </c>
      <c r="H15" s="465">
        <f>'Resp diseases'!$O$21</f>
        <v>0</v>
      </c>
      <c r="I15" s="438">
        <f>H15*G15</f>
        <v>0</v>
      </c>
      <c r="J15" s="447" t="s">
        <v>402</v>
      </c>
    </row>
    <row r="16" spans="1:12" x14ac:dyDescent="0.25">
      <c r="A16" s="422" t="s">
        <v>403</v>
      </c>
      <c r="B16" s="422"/>
      <c r="C16" s="443"/>
      <c r="D16" s="443"/>
      <c r="E16" s="443"/>
      <c r="F16" s="461"/>
      <c r="G16" s="444"/>
      <c r="H16" s="467"/>
      <c r="I16" s="445"/>
      <c r="J16" s="448"/>
    </row>
    <row r="17" spans="1:11" x14ac:dyDescent="0.25">
      <c r="A17" s="440" t="s">
        <v>32</v>
      </c>
      <c r="B17" s="440">
        <v>2010</v>
      </c>
      <c r="C17" s="441">
        <v>172000000000</v>
      </c>
      <c r="D17" s="435">
        <v>1</v>
      </c>
      <c r="E17" s="434">
        <v>172000000000</v>
      </c>
      <c r="F17" s="463">
        <f>100*GBDUS!$N$236/$B$34</f>
        <v>1.6575486922372617E-3</v>
      </c>
      <c r="G17" s="436">
        <f>E17*F17/100</f>
        <v>2850983.7506480902</v>
      </c>
      <c r="H17" s="464">
        <f>Dementia!$AT$20</f>
        <v>-3.5339336591901888E-2</v>
      </c>
      <c r="I17" s="438">
        <f>H17*G17</f>
        <v>-100751.87438219573</v>
      </c>
      <c r="J17" s="447" t="s">
        <v>404</v>
      </c>
    </row>
    <row r="18" spans="1:11" x14ac:dyDescent="0.25">
      <c r="A18" s="440" t="s">
        <v>30</v>
      </c>
      <c r="B18" s="440"/>
      <c r="C18" s="441">
        <v>83100000000</v>
      </c>
      <c r="D18" s="449">
        <v>1.2663</v>
      </c>
      <c r="E18" s="434">
        <v>105229530000</v>
      </c>
      <c r="F18" s="463">
        <f>100*GBDUS!$N$236/$B$34</f>
        <v>1.6575486922372617E-3</v>
      </c>
      <c r="G18" s="436">
        <f>E18*F18/100</f>
        <v>1744230.6983624168</v>
      </c>
      <c r="H18" s="468">
        <f>Depression!$AS$20</f>
        <v>-1.7325630764858942E-2</v>
      </c>
      <c r="I18" s="438">
        <f>H18*G18</f>
        <v>-30219.897048559287</v>
      </c>
      <c r="J18" s="450" t="s">
        <v>405</v>
      </c>
    </row>
    <row r="19" spans="1:11" x14ac:dyDescent="0.25">
      <c r="A19" s="422" t="s">
        <v>406</v>
      </c>
      <c r="B19" s="422"/>
      <c r="C19" s="451"/>
      <c r="D19" s="451"/>
      <c r="E19" s="451"/>
      <c r="F19" s="461"/>
      <c r="G19" s="444"/>
      <c r="H19" s="467"/>
      <c r="I19" s="452"/>
      <c r="J19" s="448"/>
    </row>
    <row r="20" spans="1:11" x14ac:dyDescent="0.25">
      <c r="A20" s="440" t="s">
        <v>33</v>
      </c>
      <c r="B20" s="440">
        <v>2007</v>
      </c>
      <c r="C20" s="453">
        <v>174000000000</v>
      </c>
      <c r="D20" s="446">
        <v>1.0517000000000001</v>
      </c>
      <c r="E20" s="434">
        <v>182995800000</v>
      </c>
      <c r="F20" s="463">
        <f>100*GBDUS!$N$236/$B$34</f>
        <v>1.6575486922372617E-3</v>
      </c>
      <c r="G20" s="436">
        <f>E20*F20/100</f>
        <v>3033244.489749115</v>
      </c>
      <c r="H20" s="464">
        <f>Diabetes!AS20</f>
        <v>-6.9897281888980672E-2</v>
      </c>
      <c r="I20" s="438">
        <f>H20*G20</f>
        <v>-212015.54513819123</v>
      </c>
      <c r="J20" s="447" t="s">
        <v>407</v>
      </c>
    </row>
    <row r="21" spans="1:11" x14ac:dyDescent="0.25">
      <c r="A21" s="440"/>
      <c r="B21" s="440"/>
      <c r="C21" s="453"/>
      <c r="D21" s="453"/>
      <c r="E21" s="453"/>
      <c r="F21" s="463"/>
      <c r="G21" s="442"/>
      <c r="H21" s="464"/>
      <c r="I21" s="438">
        <f>SUM(I5:I20)</f>
        <v>-647700.62233799486</v>
      </c>
      <c r="J21" s="447"/>
    </row>
    <row r="22" spans="1:11" x14ac:dyDescent="0.25">
      <c r="A22" s="440" t="s">
        <v>408</v>
      </c>
      <c r="B22" s="440">
        <v>2005</v>
      </c>
      <c r="C22" s="453">
        <v>99000000000</v>
      </c>
      <c r="D22" s="454">
        <v>1.1165</v>
      </c>
      <c r="E22" s="434">
        <v>110533500000</v>
      </c>
      <c r="F22" s="463">
        <f>100*GBDUS!$N$236/$B$34</f>
        <v>1.6575486922372617E-3</v>
      </c>
      <c r="G22" s="436">
        <f>E22*F22/100</f>
        <v>1832146.5837340737</v>
      </c>
      <c r="H22" s="464" t="e">
        <f>'Health summary'!AA42</f>
        <v>#REF!</v>
      </c>
      <c r="I22" s="438" t="e">
        <f>H22*G22</f>
        <v>#REF!</v>
      </c>
      <c r="J22" s="447"/>
    </row>
    <row r="23" spans="1:11" x14ac:dyDescent="0.25">
      <c r="A23" s="440"/>
      <c r="B23" s="440"/>
      <c r="C23" s="453"/>
      <c r="D23" s="453"/>
      <c r="E23" s="453"/>
      <c r="F23" s="463"/>
      <c r="G23" s="442"/>
      <c r="H23" s="437"/>
      <c r="I23" s="438"/>
      <c r="J23" s="447"/>
    </row>
    <row r="24" spans="1:11" x14ac:dyDescent="0.25">
      <c r="A24" s="563" t="s">
        <v>409</v>
      </c>
      <c r="B24" s="455"/>
      <c r="C24" s="456"/>
      <c r="D24" s="456"/>
      <c r="E24" s="456"/>
      <c r="F24" s="462"/>
      <c r="G24" s="457"/>
      <c r="H24" s="421"/>
      <c r="I24" s="458"/>
      <c r="J24" s="421"/>
    </row>
    <row r="25" spans="1:11" ht="15.75" x14ac:dyDescent="0.25">
      <c r="A25" s="564" t="s">
        <v>410</v>
      </c>
      <c r="B25" s="459"/>
      <c r="C25" s="420"/>
      <c r="D25" s="420"/>
      <c r="E25" s="420"/>
      <c r="F25" s="420"/>
      <c r="G25" s="420"/>
      <c r="H25" s="420"/>
      <c r="I25" s="550" t="e">
        <f>SUM(I21:I22)</f>
        <v>#REF!</v>
      </c>
      <c r="J25" s="420"/>
    </row>
    <row r="26" spans="1:11" x14ac:dyDescent="0.25">
      <c r="A26" s="419"/>
      <c r="B26" s="419"/>
      <c r="C26" s="419"/>
      <c r="D26" s="419"/>
      <c r="E26" s="419"/>
      <c r="F26" s="419"/>
      <c r="G26" s="419"/>
      <c r="H26" s="419"/>
      <c r="I26" s="419"/>
      <c r="J26" s="419"/>
    </row>
    <row r="27" spans="1:11" s="403" customFormat="1" ht="25.5" x14ac:dyDescent="0.35">
      <c r="A27" s="469" t="s">
        <v>422</v>
      </c>
      <c r="B27" s="469"/>
      <c r="C27" s="469"/>
      <c r="D27" s="469"/>
      <c r="E27" s="469"/>
      <c r="F27" s="470"/>
      <c r="G27" s="469"/>
      <c r="H27" s="469"/>
      <c r="I27" s="469"/>
      <c r="J27" s="469"/>
    </row>
    <row r="28" spans="1:11" ht="15.75" x14ac:dyDescent="0.25">
      <c r="A28" s="472" t="s">
        <v>423</v>
      </c>
      <c r="B28" s="472"/>
      <c r="C28" s="472"/>
      <c r="D28" s="472"/>
      <c r="E28" s="472"/>
      <c r="F28" s="420"/>
      <c r="G28" s="420"/>
      <c r="H28" s="420"/>
      <c r="I28" s="420"/>
      <c r="J28" s="420"/>
    </row>
    <row r="29" spans="1:11" s="404" customFormat="1" ht="15.75" x14ac:dyDescent="0.25">
      <c r="A29" s="473"/>
      <c r="B29" s="473" t="s">
        <v>424</v>
      </c>
      <c r="C29" s="473" t="s">
        <v>425</v>
      </c>
      <c r="D29" s="473" t="s">
        <v>426</v>
      </c>
      <c r="E29" s="473" t="s">
        <v>427</v>
      </c>
      <c r="F29" s="471"/>
      <c r="G29" s="471"/>
      <c r="H29" s="471"/>
      <c r="I29" s="471"/>
      <c r="J29" s="471"/>
    </row>
    <row r="30" spans="1:11" ht="15.75" x14ac:dyDescent="0.25">
      <c r="A30" s="472" t="s">
        <v>428</v>
      </c>
      <c r="B30" s="474" t="s">
        <v>429</v>
      </c>
      <c r="C30" s="476">
        <v>7400000</v>
      </c>
      <c r="D30" s="475" t="e">
        <f>SUM('Health summary'!AC11:AD11)</f>
        <v>#REF!</v>
      </c>
      <c r="E30" s="476" t="e">
        <f>C30*D30</f>
        <v>#REF!</v>
      </c>
      <c r="F30" s="420"/>
      <c r="G30" s="420"/>
      <c r="H30" s="420"/>
      <c r="I30" s="420"/>
      <c r="J30" s="420"/>
      <c r="K30" s="482"/>
    </row>
    <row r="31" spans="1:11" ht="15.75" x14ac:dyDescent="0.25">
      <c r="A31" s="472" t="s">
        <v>430</v>
      </c>
      <c r="B31" s="474" t="s">
        <v>429</v>
      </c>
      <c r="C31" s="476">
        <v>7400000</v>
      </c>
      <c r="D31" s="475">
        <f>SUM('Health summary'!AG11:AH11)</f>
        <v>-1.2775867966654642</v>
      </c>
      <c r="E31" s="476">
        <f>C31*D31</f>
        <v>-9454142.2953244355</v>
      </c>
      <c r="F31" s="420"/>
      <c r="G31" s="420"/>
      <c r="H31" s="420"/>
      <c r="I31" s="420"/>
      <c r="J31" s="420"/>
    </row>
    <row r="32" spans="1:11" ht="15.75" x14ac:dyDescent="0.25">
      <c r="A32" s="472" t="s">
        <v>431</v>
      </c>
      <c r="B32" s="472" t="s">
        <v>432</v>
      </c>
      <c r="C32" s="476">
        <v>4100000</v>
      </c>
      <c r="D32" s="475" t="e">
        <f>SUM('Health summary'!AA11:AB11)</f>
        <v>#REF!</v>
      </c>
      <c r="E32" s="476" t="e">
        <f>C32*D32</f>
        <v>#REF!</v>
      </c>
      <c r="F32" s="420"/>
      <c r="G32" s="420"/>
      <c r="H32" s="420"/>
      <c r="I32" s="420"/>
      <c r="J32" s="420"/>
    </row>
    <row r="33" spans="1:6" x14ac:dyDescent="0.25">
      <c r="F33"/>
    </row>
    <row r="34" spans="1:6" ht="15.75" x14ac:dyDescent="0.25">
      <c r="A34" s="472" t="s">
        <v>590</v>
      </c>
      <c r="B34" s="685">
        <v>313247570</v>
      </c>
      <c r="F34"/>
    </row>
    <row r="35" spans="1:6" x14ac:dyDescent="0.25">
      <c r="F35"/>
    </row>
    <row r="36" spans="1:6" x14ac:dyDescent="0.25">
      <c r="F36"/>
    </row>
    <row r="37" spans="1:6" x14ac:dyDescent="0.25">
      <c r="A37" s="633" t="s">
        <v>589</v>
      </c>
      <c r="F37"/>
    </row>
    <row r="38" spans="1:6" x14ac:dyDescent="0.25">
      <c r="A38" s="633" t="s">
        <v>521</v>
      </c>
      <c r="B38" s="684">
        <f>SUM(I5,I6,I10,I11,I17,I18,I20)</f>
        <v>-647700.62233799486</v>
      </c>
      <c r="F38"/>
    </row>
    <row r="39" spans="1:6" x14ac:dyDescent="0.25">
      <c r="A39" s="633" t="s">
        <v>531</v>
      </c>
      <c r="B39" s="684">
        <f>SUM(I7+I12+I13+I15)</f>
        <v>0</v>
      </c>
      <c r="F39"/>
    </row>
    <row r="40" spans="1:6" x14ac:dyDescent="0.25">
      <c r="A40" s="633" t="s">
        <v>580</v>
      </c>
      <c r="B40" s="684" t="e">
        <f>SUM(I22)</f>
        <v>#REF!</v>
      </c>
      <c r="F40"/>
    </row>
    <row r="41" spans="1:6" x14ac:dyDescent="0.25">
      <c r="F41"/>
    </row>
    <row r="42" spans="1:6" x14ac:dyDescent="0.25">
      <c r="F42"/>
    </row>
    <row r="43" spans="1:6" x14ac:dyDescent="0.25">
      <c r="F43"/>
    </row>
    <row r="44" spans="1:6" x14ac:dyDescent="0.25">
      <c r="F44"/>
    </row>
    <row r="45" spans="1:6" x14ac:dyDescent="0.25">
      <c r="F45"/>
    </row>
    <row r="46" spans="1:6" x14ac:dyDescent="0.25">
      <c r="F46"/>
    </row>
    <row r="47" spans="1:6" x14ac:dyDescent="0.25">
      <c r="F47"/>
    </row>
    <row r="48" spans="1:6" x14ac:dyDescent="0.25">
      <c r="F48"/>
    </row>
    <row r="49" spans="6:6" x14ac:dyDescent="0.25">
      <c r="F49"/>
    </row>
    <row r="50" spans="6:6" x14ac:dyDescent="0.25">
      <c r="F50"/>
    </row>
    <row r="51" spans="6:6" x14ac:dyDescent="0.25">
      <c r="F51"/>
    </row>
    <row r="52" spans="6:6" x14ac:dyDescent="0.25">
      <c r="F52"/>
    </row>
    <row r="53" spans="6:6" x14ac:dyDescent="0.25">
      <c r="F53"/>
    </row>
    <row r="54" spans="6:6" x14ac:dyDescent="0.25">
      <c r="F54"/>
    </row>
    <row r="55" spans="6:6" x14ac:dyDescent="0.25">
      <c r="F55"/>
    </row>
    <row r="56" spans="6:6" x14ac:dyDescent="0.25">
      <c r="F56"/>
    </row>
    <row r="57" spans="6:6" x14ac:dyDescent="0.25">
      <c r="F57"/>
    </row>
    <row r="58" spans="6:6" x14ac:dyDescent="0.25">
      <c r="F58"/>
    </row>
    <row r="59" spans="6:6" x14ac:dyDescent="0.25">
      <c r="F59"/>
    </row>
    <row r="60" spans="6:6" x14ac:dyDescent="0.25">
      <c r="F60"/>
    </row>
    <row r="61" spans="6:6" x14ac:dyDescent="0.25">
      <c r="F61"/>
    </row>
    <row r="62" spans="6:6" x14ac:dyDescent="0.25">
      <c r="F62"/>
    </row>
    <row r="63" spans="6:6" x14ac:dyDescent="0.25">
      <c r="F63"/>
    </row>
    <row r="64" spans="6:6" x14ac:dyDescent="0.25">
      <c r="F64"/>
    </row>
    <row r="65" spans="6:6" x14ac:dyDescent="0.25">
      <c r="F65"/>
    </row>
    <row r="66" spans="6:6" x14ac:dyDescent="0.25">
      <c r="F66"/>
    </row>
    <row r="67" spans="6:6" x14ac:dyDescent="0.25">
      <c r="F67"/>
    </row>
    <row r="68" spans="6:6" x14ac:dyDescent="0.25">
      <c r="F68"/>
    </row>
    <row r="69" spans="6:6" x14ac:dyDescent="0.25">
      <c r="F69"/>
    </row>
    <row r="70" spans="6:6" x14ac:dyDescent="0.25">
      <c r="F70"/>
    </row>
    <row r="71" spans="6:6" x14ac:dyDescent="0.25">
      <c r="F71"/>
    </row>
    <row r="72" spans="6:6" x14ac:dyDescent="0.25">
      <c r="F72"/>
    </row>
    <row r="73" spans="6:6" x14ac:dyDescent="0.25">
      <c r="F73"/>
    </row>
    <row r="74" spans="6:6" x14ac:dyDescent="0.25">
      <c r="F74"/>
    </row>
    <row r="75" spans="6:6" x14ac:dyDescent="0.25">
      <c r="F75"/>
    </row>
    <row r="76" spans="6:6" x14ac:dyDescent="0.25">
      <c r="F76"/>
    </row>
    <row r="77" spans="6:6" x14ac:dyDescent="0.25">
      <c r="F77"/>
    </row>
    <row r="78" spans="6:6" x14ac:dyDescent="0.25">
      <c r="F78"/>
    </row>
    <row r="79" spans="6:6" x14ac:dyDescent="0.25">
      <c r="F79"/>
    </row>
    <row r="80" spans="6:6" x14ac:dyDescent="0.25">
      <c r="F80"/>
    </row>
    <row r="81" spans="6:6" x14ac:dyDescent="0.25">
      <c r="F81"/>
    </row>
    <row r="82" spans="6:6" x14ac:dyDescent="0.25">
      <c r="F82"/>
    </row>
    <row r="83" spans="6:6" x14ac:dyDescent="0.25">
      <c r="F83"/>
    </row>
    <row r="84" spans="6:6" x14ac:dyDescent="0.25">
      <c r="F84"/>
    </row>
    <row r="85" spans="6:6" x14ac:dyDescent="0.25">
      <c r="F85"/>
    </row>
    <row r="86" spans="6:6" x14ac:dyDescent="0.25">
      <c r="F86"/>
    </row>
    <row r="87" spans="6:6" x14ac:dyDescent="0.25">
      <c r="F87"/>
    </row>
    <row r="88" spans="6:6" x14ac:dyDescent="0.25">
      <c r="F88"/>
    </row>
    <row r="89" spans="6:6" x14ac:dyDescent="0.25">
      <c r="F89"/>
    </row>
    <row r="90" spans="6:6" x14ac:dyDescent="0.25">
      <c r="F90"/>
    </row>
    <row r="91" spans="6:6" x14ac:dyDescent="0.25">
      <c r="F91"/>
    </row>
    <row r="92" spans="6:6" x14ac:dyDescent="0.25">
      <c r="F92"/>
    </row>
    <row r="93" spans="6:6" x14ac:dyDescent="0.25">
      <c r="F93"/>
    </row>
    <row r="94" spans="6:6" x14ac:dyDescent="0.25">
      <c r="F94"/>
    </row>
    <row r="95" spans="6:6" x14ac:dyDescent="0.25">
      <c r="F95"/>
    </row>
    <row r="96" spans="6:6" x14ac:dyDescent="0.25">
      <c r="F96"/>
    </row>
    <row r="97" spans="6:6" x14ac:dyDescent="0.25">
      <c r="F97"/>
    </row>
    <row r="98" spans="6:6" x14ac:dyDescent="0.25">
      <c r="F98"/>
    </row>
    <row r="99" spans="6:6" x14ac:dyDescent="0.25">
      <c r="F99"/>
    </row>
    <row r="100" spans="6:6" x14ac:dyDescent="0.25">
      <c r="F100"/>
    </row>
    <row r="101" spans="6:6" x14ac:dyDescent="0.25">
      <c r="F101"/>
    </row>
    <row r="102" spans="6:6" x14ac:dyDescent="0.25">
      <c r="F102"/>
    </row>
    <row r="103" spans="6:6" x14ac:dyDescent="0.25">
      <c r="F103"/>
    </row>
    <row r="104" spans="6:6" x14ac:dyDescent="0.25">
      <c r="F104"/>
    </row>
    <row r="105" spans="6:6" x14ac:dyDescent="0.25">
      <c r="F105"/>
    </row>
    <row r="106" spans="6:6" x14ac:dyDescent="0.25">
      <c r="F106"/>
    </row>
    <row r="107" spans="6:6" x14ac:dyDescent="0.25">
      <c r="F107"/>
    </row>
    <row r="108" spans="6:6" x14ac:dyDescent="0.25">
      <c r="F108"/>
    </row>
    <row r="109" spans="6:6" x14ac:dyDescent="0.25">
      <c r="F109"/>
    </row>
    <row r="110" spans="6:6" x14ac:dyDescent="0.25">
      <c r="F110"/>
    </row>
    <row r="111" spans="6:6" x14ac:dyDescent="0.25">
      <c r="F111"/>
    </row>
    <row r="112" spans="6:6" x14ac:dyDescent="0.25">
      <c r="F112"/>
    </row>
    <row r="113" spans="6:6" x14ac:dyDescent="0.25">
      <c r="F113"/>
    </row>
    <row r="114" spans="6:6" x14ac:dyDescent="0.25">
      <c r="F114"/>
    </row>
    <row r="115" spans="6:6" x14ac:dyDescent="0.25">
      <c r="F115"/>
    </row>
    <row r="116" spans="6:6" x14ac:dyDescent="0.25">
      <c r="F116"/>
    </row>
    <row r="117" spans="6:6" x14ac:dyDescent="0.25">
      <c r="F117"/>
    </row>
    <row r="118" spans="6:6" x14ac:dyDescent="0.25">
      <c r="F118"/>
    </row>
    <row r="119" spans="6:6" x14ac:dyDescent="0.25">
      <c r="F119"/>
    </row>
    <row r="120" spans="6:6" x14ac:dyDescent="0.25">
      <c r="F120"/>
    </row>
    <row r="121" spans="6:6" x14ac:dyDescent="0.25">
      <c r="F121"/>
    </row>
    <row r="122" spans="6:6" x14ac:dyDescent="0.25">
      <c r="F122"/>
    </row>
    <row r="123" spans="6:6" x14ac:dyDescent="0.25">
      <c r="F123"/>
    </row>
    <row r="124" spans="6:6" x14ac:dyDescent="0.25">
      <c r="F124"/>
    </row>
    <row r="125" spans="6:6" x14ac:dyDescent="0.25">
      <c r="F125"/>
    </row>
    <row r="126" spans="6:6" x14ac:dyDescent="0.25">
      <c r="F126"/>
    </row>
    <row r="127" spans="6:6" x14ac:dyDescent="0.25">
      <c r="F127"/>
    </row>
    <row r="128" spans="6:6" x14ac:dyDescent="0.25">
      <c r="F128"/>
    </row>
    <row r="129" spans="6:6" x14ac:dyDescent="0.25">
      <c r="F129"/>
    </row>
    <row r="130" spans="6:6" x14ac:dyDescent="0.25">
      <c r="F130"/>
    </row>
    <row r="131" spans="6:6" x14ac:dyDescent="0.25">
      <c r="F131"/>
    </row>
    <row r="132" spans="6:6" x14ac:dyDescent="0.25">
      <c r="F132"/>
    </row>
    <row r="133" spans="6:6" x14ac:dyDescent="0.25">
      <c r="F133"/>
    </row>
    <row r="134" spans="6:6" x14ac:dyDescent="0.25">
      <c r="F134"/>
    </row>
    <row r="135" spans="6:6" x14ac:dyDescent="0.25">
      <c r="F135"/>
    </row>
    <row r="136" spans="6:6" x14ac:dyDescent="0.25">
      <c r="F136"/>
    </row>
    <row r="137" spans="6:6" x14ac:dyDescent="0.25">
      <c r="F137"/>
    </row>
    <row r="138" spans="6:6" x14ac:dyDescent="0.25">
      <c r="F138"/>
    </row>
    <row r="139" spans="6:6" x14ac:dyDescent="0.25">
      <c r="F139"/>
    </row>
    <row r="140" spans="6:6" x14ac:dyDescent="0.25">
      <c r="F140"/>
    </row>
    <row r="141" spans="6:6" x14ac:dyDescent="0.25">
      <c r="F141"/>
    </row>
    <row r="142" spans="6:6" x14ac:dyDescent="0.25">
      <c r="F142"/>
    </row>
    <row r="143" spans="6:6" x14ac:dyDescent="0.25">
      <c r="F143"/>
    </row>
    <row r="144" spans="6:6" x14ac:dyDescent="0.25">
      <c r="F144"/>
    </row>
    <row r="145" spans="6:6" x14ac:dyDescent="0.25">
      <c r="F145"/>
    </row>
    <row r="146" spans="6:6" x14ac:dyDescent="0.25">
      <c r="F146"/>
    </row>
    <row r="147" spans="6:6" x14ac:dyDescent="0.25">
      <c r="F147"/>
    </row>
    <row r="148" spans="6:6" x14ac:dyDescent="0.25">
      <c r="F148"/>
    </row>
    <row r="149" spans="6:6" x14ac:dyDescent="0.25">
      <c r="F149"/>
    </row>
    <row r="150" spans="6:6" x14ac:dyDescent="0.25">
      <c r="F150"/>
    </row>
    <row r="151" spans="6:6" x14ac:dyDescent="0.25">
      <c r="F151"/>
    </row>
    <row r="152" spans="6:6" x14ac:dyDescent="0.25">
      <c r="F152"/>
    </row>
    <row r="153" spans="6:6" x14ac:dyDescent="0.25">
      <c r="F153"/>
    </row>
    <row r="154" spans="6:6" x14ac:dyDescent="0.25">
      <c r="F154"/>
    </row>
    <row r="155" spans="6:6" x14ac:dyDescent="0.25">
      <c r="F155"/>
    </row>
    <row r="156" spans="6:6" x14ac:dyDescent="0.25">
      <c r="F156"/>
    </row>
    <row r="157" spans="6:6" x14ac:dyDescent="0.25">
      <c r="F157"/>
    </row>
    <row r="158" spans="6:6" x14ac:dyDescent="0.25">
      <c r="F158"/>
    </row>
    <row r="159" spans="6:6" x14ac:dyDescent="0.25">
      <c r="F159"/>
    </row>
    <row r="160" spans="6:6" x14ac:dyDescent="0.25">
      <c r="F160"/>
    </row>
    <row r="161" spans="6:6" x14ac:dyDescent="0.25">
      <c r="F161"/>
    </row>
    <row r="162" spans="6:6" x14ac:dyDescent="0.25">
      <c r="F162"/>
    </row>
    <row r="163" spans="6:6" x14ac:dyDescent="0.25">
      <c r="F163"/>
    </row>
    <row r="164" spans="6:6" x14ac:dyDescent="0.25">
      <c r="F164"/>
    </row>
    <row r="165" spans="6:6" x14ac:dyDescent="0.25">
      <c r="F165"/>
    </row>
    <row r="166" spans="6:6" x14ac:dyDescent="0.25">
      <c r="F166"/>
    </row>
    <row r="167" spans="6:6" x14ac:dyDescent="0.25">
      <c r="F167"/>
    </row>
    <row r="168" spans="6:6" x14ac:dyDescent="0.25">
      <c r="F168"/>
    </row>
    <row r="169" spans="6:6" x14ac:dyDescent="0.25">
      <c r="F169"/>
    </row>
    <row r="170" spans="6:6" x14ac:dyDescent="0.25">
      <c r="F170"/>
    </row>
    <row r="171" spans="6:6" x14ac:dyDescent="0.25">
      <c r="F171"/>
    </row>
    <row r="172" spans="6:6" x14ac:dyDescent="0.25">
      <c r="F172"/>
    </row>
    <row r="173" spans="6:6" x14ac:dyDescent="0.25">
      <c r="F173"/>
    </row>
    <row r="174" spans="6:6" x14ac:dyDescent="0.25">
      <c r="F174"/>
    </row>
    <row r="175" spans="6:6" x14ac:dyDescent="0.25">
      <c r="F175"/>
    </row>
    <row r="176" spans="6:6" x14ac:dyDescent="0.25">
      <c r="F176"/>
    </row>
    <row r="177" spans="6:6" x14ac:dyDescent="0.25">
      <c r="F177"/>
    </row>
    <row r="178" spans="6:6" x14ac:dyDescent="0.25">
      <c r="F178"/>
    </row>
    <row r="179" spans="6:6" x14ac:dyDescent="0.25">
      <c r="F179"/>
    </row>
    <row r="180" spans="6:6" x14ac:dyDescent="0.25">
      <c r="F180"/>
    </row>
    <row r="181" spans="6:6" x14ac:dyDescent="0.25">
      <c r="F181"/>
    </row>
    <row r="182" spans="6:6" x14ac:dyDescent="0.25">
      <c r="F182"/>
    </row>
    <row r="183" spans="6:6" x14ac:dyDescent="0.25">
      <c r="F183"/>
    </row>
    <row r="184" spans="6:6" x14ac:dyDescent="0.25">
      <c r="F184"/>
    </row>
    <row r="185" spans="6:6" x14ac:dyDescent="0.25">
      <c r="F185"/>
    </row>
    <row r="186" spans="6:6" x14ac:dyDescent="0.25">
      <c r="F186"/>
    </row>
    <row r="187" spans="6:6" x14ac:dyDescent="0.25">
      <c r="F187"/>
    </row>
    <row r="188" spans="6:6" x14ac:dyDescent="0.25">
      <c r="F188"/>
    </row>
    <row r="189" spans="6:6" x14ac:dyDescent="0.25">
      <c r="F189"/>
    </row>
    <row r="190" spans="6:6" x14ac:dyDescent="0.25">
      <c r="F190"/>
    </row>
    <row r="191" spans="6:6" x14ac:dyDescent="0.25">
      <c r="F191"/>
    </row>
    <row r="192" spans="6:6" x14ac:dyDescent="0.25">
      <c r="F192"/>
    </row>
    <row r="193" spans="6:6" x14ac:dyDescent="0.25">
      <c r="F193"/>
    </row>
    <row r="194" spans="6:6" x14ac:dyDescent="0.25">
      <c r="F194"/>
    </row>
    <row r="195" spans="6:6" x14ac:dyDescent="0.25">
      <c r="F195"/>
    </row>
    <row r="196" spans="6:6" x14ac:dyDescent="0.25">
      <c r="F196"/>
    </row>
    <row r="197" spans="6:6" x14ac:dyDescent="0.25">
      <c r="F197"/>
    </row>
    <row r="198" spans="6:6" x14ac:dyDescent="0.25">
      <c r="F198"/>
    </row>
    <row r="199" spans="6:6" x14ac:dyDescent="0.25">
      <c r="F199"/>
    </row>
    <row r="200" spans="6:6" x14ac:dyDescent="0.25">
      <c r="F200"/>
    </row>
    <row r="201" spans="6:6" x14ac:dyDescent="0.25">
      <c r="F201"/>
    </row>
    <row r="202" spans="6:6" x14ac:dyDescent="0.25">
      <c r="F202"/>
    </row>
    <row r="203" spans="6:6" x14ac:dyDescent="0.25">
      <c r="F203"/>
    </row>
    <row r="204" spans="6:6" x14ac:dyDescent="0.25">
      <c r="F204"/>
    </row>
    <row r="205" spans="6:6" x14ac:dyDescent="0.25">
      <c r="F205"/>
    </row>
    <row r="206" spans="6:6" x14ac:dyDescent="0.25">
      <c r="F206"/>
    </row>
    <row r="207" spans="6:6" x14ac:dyDescent="0.25">
      <c r="F207"/>
    </row>
    <row r="208" spans="6:6" x14ac:dyDescent="0.25">
      <c r="F208"/>
    </row>
    <row r="209" spans="6:6" x14ac:dyDescent="0.25">
      <c r="F209"/>
    </row>
    <row r="210" spans="6:6" x14ac:dyDescent="0.25">
      <c r="F210"/>
    </row>
    <row r="211" spans="6:6" x14ac:dyDescent="0.25">
      <c r="F211"/>
    </row>
    <row r="212" spans="6:6" x14ac:dyDescent="0.25">
      <c r="F212"/>
    </row>
    <row r="213" spans="6:6" x14ac:dyDescent="0.25">
      <c r="F213"/>
    </row>
    <row r="214" spans="6:6" x14ac:dyDescent="0.25">
      <c r="F214"/>
    </row>
    <row r="215" spans="6:6" x14ac:dyDescent="0.25">
      <c r="F215"/>
    </row>
    <row r="216" spans="6:6" x14ac:dyDescent="0.25">
      <c r="F216"/>
    </row>
    <row r="217" spans="6:6" x14ac:dyDescent="0.25">
      <c r="F217"/>
    </row>
    <row r="218" spans="6:6" x14ac:dyDescent="0.25">
      <c r="F218"/>
    </row>
    <row r="219" spans="6:6" x14ac:dyDescent="0.25">
      <c r="F219"/>
    </row>
    <row r="220" spans="6:6" x14ac:dyDescent="0.25">
      <c r="F220"/>
    </row>
    <row r="221" spans="6:6" x14ac:dyDescent="0.25">
      <c r="F221"/>
    </row>
    <row r="222" spans="6:6" x14ac:dyDescent="0.25">
      <c r="F222"/>
    </row>
    <row r="223" spans="6:6" x14ac:dyDescent="0.25">
      <c r="F223"/>
    </row>
    <row r="224" spans="6:6" x14ac:dyDescent="0.25">
      <c r="F224"/>
    </row>
    <row r="225" spans="6:6" x14ac:dyDescent="0.25">
      <c r="F225"/>
    </row>
    <row r="226" spans="6:6" x14ac:dyDescent="0.25">
      <c r="F226"/>
    </row>
    <row r="227" spans="6:6" x14ac:dyDescent="0.25">
      <c r="F227"/>
    </row>
    <row r="228" spans="6:6" x14ac:dyDescent="0.25">
      <c r="F228"/>
    </row>
    <row r="229" spans="6:6" x14ac:dyDescent="0.25">
      <c r="F229"/>
    </row>
    <row r="230" spans="6:6" x14ac:dyDescent="0.25">
      <c r="F230"/>
    </row>
    <row r="231" spans="6:6" x14ac:dyDescent="0.25">
      <c r="F231"/>
    </row>
    <row r="232" spans="6:6" x14ac:dyDescent="0.25">
      <c r="F232"/>
    </row>
    <row r="233" spans="6:6" x14ac:dyDescent="0.25">
      <c r="F233"/>
    </row>
    <row r="234" spans="6:6" x14ac:dyDescent="0.25">
      <c r="F234"/>
    </row>
    <row r="235" spans="6:6" x14ac:dyDescent="0.25">
      <c r="F235"/>
    </row>
    <row r="236" spans="6:6" x14ac:dyDescent="0.25">
      <c r="F236"/>
    </row>
    <row r="237" spans="6:6" x14ac:dyDescent="0.25">
      <c r="F237"/>
    </row>
    <row r="238" spans="6:6" x14ac:dyDescent="0.25">
      <c r="F238"/>
    </row>
    <row r="239" spans="6:6" x14ac:dyDescent="0.25">
      <c r="F239"/>
    </row>
    <row r="240" spans="6:6" x14ac:dyDescent="0.25">
      <c r="F240"/>
    </row>
    <row r="241" spans="6:6" x14ac:dyDescent="0.25">
      <c r="F241"/>
    </row>
    <row r="242" spans="6:6" x14ac:dyDescent="0.25">
      <c r="F242"/>
    </row>
    <row r="243" spans="6:6" x14ac:dyDescent="0.25">
      <c r="F243"/>
    </row>
    <row r="244" spans="6:6" x14ac:dyDescent="0.25">
      <c r="F244"/>
    </row>
    <row r="245" spans="6:6" x14ac:dyDescent="0.25">
      <c r="F245"/>
    </row>
    <row r="246" spans="6:6" x14ac:dyDescent="0.25">
      <c r="F246"/>
    </row>
    <row r="247" spans="6:6" x14ac:dyDescent="0.25">
      <c r="F247"/>
    </row>
    <row r="248" spans="6:6" x14ac:dyDescent="0.25">
      <c r="F248"/>
    </row>
    <row r="249" spans="6:6" x14ac:dyDescent="0.25">
      <c r="F249"/>
    </row>
    <row r="250" spans="6:6" x14ac:dyDescent="0.25">
      <c r="F250"/>
    </row>
    <row r="251" spans="6:6" x14ac:dyDescent="0.25">
      <c r="F251"/>
    </row>
    <row r="252" spans="6:6" x14ac:dyDescent="0.25">
      <c r="F252"/>
    </row>
    <row r="253" spans="6:6" x14ac:dyDescent="0.25">
      <c r="F253"/>
    </row>
    <row r="254" spans="6:6" x14ac:dyDescent="0.25">
      <c r="F254"/>
    </row>
    <row r="255" spans="6:6" x14ac:dyDescent="0.25">
      <c r="F255"/>
    </row>
    <row r="256" spans="6:6" x14ac:dyDescent="0.25">
      <c r="F256"/>
    </row>
    <row r="257" spans="6:6" x14ac:dyDescent="0.25">
      <c r="F257"/>
    </row>
    <row r="258" spans="6:6" x14ac:dyDescent="0.25">
      <c r="F258"/>
    </row>
    <row r="259" spans="6:6" x14ac:dyDescent="0.25">
      <c r="F259"/>
    </row>
    <row r="260" spans="6:6" x14ac:dyDescent="0.25">
      <c r="F260"/>
    </row>
    <row r="261" spans="6:6" x14ac:dyDescent="0.25">
      <c r="F261"/>
    </row>
    <row r="262" spans="6:6" x14ac:dyDescent="0.25">
      <c r="F262"/>
    </row>
    <row r="263" spans="6:6" x14ac:dyDescent="0.25">
      <c r="F263"/>
    </row>
    <row r="264" spans="6:6" x14ac:dyDescent="0.25">
      <c r="F264"/>
    </row>
    <row r="265" spans="6:6" x14ac:dyDescent="0.25">
      <c r="F265"/>
    </row>
    <row r="266" spans="6:6" x14ac:dyDescent="0.25">
      <c r="F266"/>
    </row>
    <row r="267" spans="6:6" x14ac:dyDescent="0.25">
      <c r="F267"/>
    </row>
    <row r="268" spans="6:6" x14ac:dyDescent="0.25">
      <c r="F268"/>
    </row>
    <row r="269" spans="6:6" x14ac:dyDescent="0.25">
      <c r="F269"/>
    </row>
    <row r="270" spans="6:6" x14ac:dyDescent="0.25">
      <c r="F270"/>
    </row>
    <row r="271" spans="6:6" x14ac:dyDescent="0.25">
      <c r="F271"/>
    </row>
    <row r="272" spans="6:6" x14ac:dyDescent="0.25">
      <c r="F272"/>
    </row>
    <row r="273" spans="6:6" x14ac:dyDescent="0.25">
      <c r="F273"/>
    </row>
    <row r="274" spans="6:6" x14ac:dyDescent="0.25">
      <c r="F274"/>
    </row>
    <row r="275" spans="6:6" x14ac:dyDescent="0.25">
      <c r="F275"/>
    </row>
    <row r="276" spans="6:6" x14ac:dyDescent="0.25">
      <c r="F276"/>
    </row>
    <row r="277" spans="6:6" x14ac:dyDescent="0.25">
      <c r="F277"/>
    </row>
    <row r="278" spans="6:6" x14ac:dyDescent="0.25">
      <c r="F278"/>
    </row>
    <row r="279" spans="6:6" x14ac:dyDescent="0.25">
      <c r="F279"/>
    </row>
    <row r="280" spans="6:6" x14ac:dyDescent="0.25">
      <c r="F280"/>
    </row>
    <row r="281" spans="6:6" x14ac:dyDescent="0.25">
      <c r="F281"/>
    </row>
    <row r="282" spans="6:6" x14ac:dyDescent="0.25">
      <c r="F282"/>
    </row>
    <row r="283" spans="6:6" x14ac:dyDescent="0.25">
      <c r="F283"/>
    </row>
    <row r="284" spans="6:6" x14ac:dyDescent="0.25">
      <c r="F284"/>
    </row>
    <row r="285" spans="6:6" x14ac:dyDescent="0.25">
      <c r="F285"/>
    </row>
    <row r="286" spans="6:6" x14ac:dyDescent="0.25">
      <c r="F286"/>
    </row>
    <row r="287" spans="6:6" x14ac:dyDescent="0.25">
      <c r="F287"/>
    </row>
    <row r="288" spans="6:6" x14ac:dyDescent="0.25">
      <c r="F288"/>
    </row>
    <row r="289" spans="6:6" x14ac:dyDescent="0.25">
      <c r="F289"/>
    </row>
    <row r="290" spans="6:6" x14ac:dyDescent="0.25">
      <c r="F290"/>
    </row>
    <row r="291" spans="6:6" x14ac:dyDescent="0.25">
      <c r="F291"/>
    </row>
    <row r="292" spans="6:6" x14ac:dyDescent="0.25">
      <c r="F292"/>
    </row>
    <row r="293" spans="6:6" x14ac:dyDescent="0.25">
      <c r="F293"/>
    </row>
    <row r="294" spans="6:6" x14ac:dyDescent="0.25">
      <c r="F294"/>
    </row>
    <row r="295" spans="6:6" x14ac:dyDescent="0.25">
      <c r="F295"/>
    </row>
    <row r="296" spans="6:6" x14ac:dyDescent="0.25">
      <c r="F296"/>
    </row>
    <row r="297" spans="6:6" x14ac:dyDescent="0.25">
      <c r="F297"/>
    </row>
    <row r="298" spans="6:6" x14ac:dyDescent="0.25">
      <c r="F298"/>
    </row>
    <row r="299" spans="6:6" x14ac:dyDescent="0.25">
      <c r="F299"/>
    </row>
    <row r="300" spans="6:6" x14ac:dyDescent="0.25">
      <c r="F300"/>
    </row>
    <row r="301" spans="6:6" x14ac:dyDescent="0.25">
      <c r="F301"/>
    </row>
    <row r="302" spans="6:6" x14ac:dyDescent="0.25">
      <c r="F302"/>
    </row>
    <row r="303" spans="6:6" x14ac:dyDescent="0.25">
      <c r="F303"/>
    </row>
    <row r="304" spans="6:6" x14ac:dyDescent="0.25">
      <c r="F304"/>
    </row>
    <row r="305" spans="6:6" x14ac:dyDescent="0.25">
      <c r="F305"/>
    </row>
    <row r="306" spans="6:6" x14ac:dyDescent="0.25">
      <c r="F306"/>
    </row>
    <row r="307" spans="6:6" x14ac:dyDescent="0.25">
      <c r="F307"/>
    </row>
    <row r="308" spans="6:6" x14ac:dyDescent="0.25">
      <c r="F308"/>
    </row>
    <row r="309" spans="6:6" x14ac:dyDescent="0.25">
      <c r="F309"/>
    </row>
    <row r="310" spans="6:6" x14ac:dyDescent="0.25">
      <c r="F310"/>
    </row>
    <row r="311" spans="6:6" x14ac:dyDescent="0.25">
      <c r="F311"/>
    </row>
    <row r="312" spans="6:6" x14ac:dyDescent="0.25">
      <c r="F312"/>
    </row>
    <row r="313" spans="6:6" x14ac:dyDescent="0.25">
      <c r="F313"/>
    </row>
    <row r="314" spans="6:6" x14ac:dyDescent="0.25">
      <c r="F314"/>
    </row>
    <row r="315" spans="6:6" x14ac:dyDescent="0.25">
      <c r="F315"/>
    </row>
    <row r="316" spans="6:6" x14ac:dyDescent="0.25">
      <c r="F316"/>
    </row>
    <row r="317" spans="6:6" x14ac:dyDescent="0.25">
      <c r="F317"/>
    </row>
    <row r="318" spans="6:6" x14ac:dyDescent="0.25">
      <c r="F318"/>
    </row>
    <row r="319" spans="6:6" x14ac:dyDescent="0.25">
      <c r="F319"/>
    </row>
    <row r="320" spans="6:6" x14ac:dyDescent="0.25">
      <c r="F320"/>
    </row>
    <row r="321" spans="6:6" x14ac:dyDescent="0.25">
      <c r="F321"/>
    </row>
    <row r="322" spans="6:6" x14ac:dyDescent="0.25">
      <c r="F322"/>
    </row>
    <row r="323" spans="6:6" x14ac:dyDescent="0.25">
      <c r="F323"/>
    </row>
    <row r="324" spans="6:6" x14ac:dyDescent="0.25">
      <c r="F324"/>
    </row>
    <row r="325" spans="6:6" x14ac:dyDescent="0.25">
      <c r="F325"/>
    </row>
    <row r="326" spans="6:6" x14ac:dyDescent="0.25">
      <c r="F326"/>
    </row>
    <row r="327" spans="6:6" x14ac:dyDescent="0.25">
      <c r="F327"/>
    </row>
    <row r="328" spans="6:6" x14ac:dyDescent="0.25">
      <c r="F328"/>
    </row>
    <row r="329" spans="6:6" x14ac:dyDescent="0.25">
      <c r="F329"/>
    </row>
    <row r="330" spans="6:6" x14ac:dyDescent="0.25">
      <c r="F330"/>
    </row>
    <row r="331" spans="6:6" x14ac:dyDescent="0.25">
      <c r="F331"/>
    </row>
    <row r="332" spans="6:6" x14ac:dyDescent="0.25">
      <c r="F332"/>
    </row>
    <row r="333" spans="6:6" x14ac:dyDescent="0.25">
      <c r="F333"/>
    </row>
    <row r="334" spans="6:6" x14ac:dyDescent="0.25">
      <c r="F334"/>
    </row>
    <row r="335" spans="6:6" x14ac:dyDescent="0.25">
      <c r="F335"/>
    </row>
    <row r="336" spans="6:6" x14ac:dyDescent="0.25">
      <c r="F336"/>
    </row>
    <row r="337" spans="6:6" x14ac:dyDescent="0.25">
      <c r="F337"/>
    </row>
    <row r="338" spans="6:6" x14ac:dyDescent="0.25">
      <c r="F338"/>
    </row>
    <row r="339" spans="6:6" x14ac:dyDescent="0.25">
      <c r="F339"/>
    </row>
    <row r="340" spans="6:6" x14ac:dyDescent="0.25">
      <c r="F340"/>
    </row>
    <row r="341" spans="6:6" x14ac:dyDescent="0.25">
      <c r="F341"/>
    </row>
    <row r="342" spans="6:6" x14ac:dyDescent="0.25">
      <c r="F342"/>
    </row>
    <row r="343" spans="6:6" x14ac:dyDescent="0.25">
      <c r="F343"/>
    </row>
    <row r="344" spans="6:6" x14ac:dyDescent="0.25">
      <c r="F344"/>
    </row>
    <row r="345" spans="6:6" x14ac:dyDescent="0.25">
      <c r="F345"/>
    </row>
    <row r="346" spans="6:6" x14ac:dyDescent="0.25">
      <c r="F346"/>
    </row>
    <row r="347" spans="6:6" x14ac:dyDescent="0.25">
      <c r="F347"/>
    </row>
    <row r="348" spans="6:6" x14ac:dyDescent="0.25">
      <c r="F348"/>
    </row>
    <row r="349" spans="6:6" x14ac:dyDescent="0.25">
      <c r="F349"/>
    </row>
    <row r="350" spans="6:6" x14ac:dyDescent="0.25">
      <c r="F350"/>
    </row>
    <row r="351" spans="6:6" x14ac:dyDescent="0.25">
      <c r="F351"/>
    </row>
    <row r="352" spans="6:6" x14ac:dyDescent="0.25">
      <c r="F352"/>
    </row>
    <row r="353" spans="6:6" x14ac:dyDescent="0.25">
      <c r="F353"/>
    </row>
    <row r="354" spans="6:6" x14ac:dyDescent="0.25">
      <c r="F354"/>
    </row>
    <row r="355" spans="6:6" x14ac:dyDescent="0.25">
      <c r="F355"/>
    </row>
    <row r="356" spans="6:6" x14ac:dyDescent="0.25">
      <c r="F356"/>
    </row>
    <row r="357" spans="6:6" x14ac:dyDescent="0.25">
      <c r="F357"/>
    </row>
    <row r="358" spans="6:6" x14ac:dyDescent="0.25">
      <c r="F358"/>
    </row>
    <row r="359" spans="6:6" x14ac:dyDescent="0.25">
      <c r="F359"/>
    </row>
    <row r="360" spans="6:6" x14ac:dyDescent="0.25">
      <c r="F360"/>
    </row>
    <row r="361" spans="6:6" x14ac:dyDescent="0.25">
      <c r="F361"/>
    </row>
    <row r="362" spans="6:6" x14ac:dyDescent="0.25">
      <c r="F362"/>
    </row>
    <row r="363" spans="6:6" x14ac:dyDescent="0.25">
      <c r="F363"/>
    </row>
    <row r="364" spans="6:6" x14ac:dyDescent="0.25">
      <c r="F364"/>
    </row>
    <row r="365" spans="6:6" x14ac:dyDescent="0.25">
      <c r="F365"/>
    </row>
    <row r="366" spans="6:6" x14ac:dyDescent="0.25">
      <c r="F366"/>
    </row>
    <row r="367" spans="6:6" x14ac:dyDescent="0.25">
      <c r="F367"/>
    </row>
    <row r="368" spans="6:6" x14ac:dyDescent="0.25">
      <c r="F368"/>
    </row>
    <row r="369" spans="6:6" x14ac:dyDescent="0.25">
      <c r="F369"/>
    </row>
    <row r="370" spans="6:6" x14ac:dyDescent="0.25">
      <c r="F370"/>
    </row>
    <row r="371" spans="6:6" x14ac:dyDescent="0.25">
      <c r="F371"/>
    </row>
    <row r="372" spans="6:6" x14ac:dyDescent="0.25">
      <c r="F372"/>
    </row>
    <row r="373" spans="6:6" x14ac:dyDescent="0.25">
      <c r="F373"/>
    </row>
    <row r="374" spans="6:6" x14ac:dyDescent="0.25">
      <c r="F374"/>
    </row>
    <row r="375" spans="6:6" x14ac:dyDescent="0.25">
      <c r="F375"/>
    </row>
    <row r="376" spans="6:6" x14ac:dyDescent="0.25">
      <c r="F376"/>
    </row>
    <row r="377" spans="6:6" x14ac:dyDescent="0.25">
      <c r="F377"/>
    </row>
    <row r="378" spans="6:6" x14ac:dyDescent="0.25">
      <c r="F378"/>
    </row>
    <row r="379" spans="6:6" x14ac:dyDescent="0.25">
      <c r="F379"/>
    </row>
    <row r="380" spans="6:6" x14ac:dyDescent="0.25">
      <c r="F380"/>
    </row>
    <row r="381" spans="6:6" x14ac:dyDescent="0.25">
      <c r="F381"/>
    </row>
    <row r="382" spans="6:6" x14ac:dyDescent="0.25">
      <c r="F382"/>
    </row>
    <row r="383" spans="6:6" x14ac:dyDescent="0.25">
      <c r="F383"/>
    </row>
    <row r="384" spans="6:6" x14ac:dyDescent="0.25">
      <c r="F384"/>
    </row>
    <row r="385" spans="6:6" x14ac:dyDescent="0.25">
      <c r="F385"/>
    </row>
    <row r="386" spans="6:6" x14ac:dyDescent="0.25">
      <c r="F386"/>
    </row>
    <row r="387" spans="6:6" x14ac:dyDescent="0.25">
      <c r="F387"/>
    </row>
    <row r="388" spans="6:6" x14ac:dyDescent="0.25">
      <c r="F388"/>
    </row>
    <row r="389" spans="6:6" x14ac:dyDescent="0.25">
      <c r="F389"/>
    </row>
    <row r="390" spans="6:6" x14ac:dyDescent="0.25">
      <c r="F390"/>
    </row>
    <row r="391" spans="6:6" x14ac:dyDescent="0.25">
      <c r="F391"/>
    </row>
    <row r="392" spans="6:6" x14ac:dyDescent="0.25">
      <c r="F392"/>
    </row>
    <row r="393" spans="6:6" x14ac:dyDescent="0.25">
      <c r="F393"/>
    </row>
    <row r="394" spans="6:6" x14ac:dyDescent="0.25">
      <c r="F394"/>
    </row>
    <row r="395" spans="6:6" x14ac:dyDescent="0.25">
      <c r="F395"/>
    </row>
    <row r="396" spans="6:6" x14ac:dyDescent="0.25">
      <c r="F396"/>
    </row>
    <row r="397" spans="6:6" x14ac:dyDescent="0.25">
      <c r="F397"/>
    </row>
    <row r="398" spans="6:6" x14ac:dyDescent="0.25">
      <c r="F398"/>
    </row>
    <row r="399" spans="6:6" x14ac:dyDescent="0.25">
      <c r="F399"/>
    </row>
    <row r="400" spans="6:6" x14ac:dyDescent="0.25">
      <c r="F400"/>
    </row>
    <row r="401" spans="6:6" x14ac:dyDescent="0.25">
      <c r="F401"/>
    </row>
    <row r="402" spans="6:6" x14ac:dyDescent="0.25">
      <c r="F402"/>
    </row>
    <row r="403" spans="6:6" x14ac:dyDescent="0.25">
      <c r="F403"/>
    </row>
    <row r="404" spans="6:6" x14ac:dyDescent="0.25">
      <c r="F404"/>
    </row>
    <row r="405" spans="6:6" x14ac:dyDescent="0.25">
      <c r="F405"/>
    </row>
    <row r="406" spans="6:6" x14ac:dyDescent="0.25">
      <c r="F406"/>
    </row>
    <row r="407" spans="6:6" x14ac:dyDescent="0.25">
      <c r="F407"/>
    </row>
    <row r="408" spans="6:6" x14ac:dyDescent="0.25">
      <c r="F408"/>
    </row>
    <row r="409" spans="6:6" x14ac:dyDescent="0.25">
      <c r="F409"/>
    </row>
    <row r="410" spans="6:6" x14ac:dyDescent="0.25">
      <c r="F410"/>
    </row>
    <row r="411" spans="6:6" x14ac:dyDescent="0.25">
      <c r="F411"/>
    </row>
    <row r="412" spans="6:6" x14ac:dyDescent="0.25">
      <c r="F412"/>
    </row>
    <row r="413" spans="6:6" x14ac:dyDescent="0.25">
      <c r="F413"/>
    </row>
    <row r="414" spans="6:6" x14ac:dyDescent="0.25">
      <c r="F414"/>
    </row>
    <row r="415" spans="6:6" x14ac:dyDescent="0.25">
      <c r="F415"/>
    </row>
    <row r="416" spans="6:6" x14ac:dyDescent="0.25">
      <c r="F416"/>
    </row>
    <row r="417" spans="6:6" x14ac:dyDescent="0.25">
      <c r="F417"/>
    </row>
    <row r="418" spans="6:6" x14ac:dyDescent="0.25">
      <c r="F418"/>
    </row>
    <row r="419" spans="6:6" x14ac:dyDescent="0.25">
      <c r="F419"/>
    </row>
    <row r="420" spans="6:6" x14ac:dyDescent="0.25">
      <c r="F420"/>
    </row>
    <row r="421" spans="6:6" x14ac:dyDescent="0.25">
      <c r="F421"/>
    </row>
    <row r="422" spans="6:6" x14ac:dyDescent="0.25">
      <c r="F422"/>
    </row>
    <row r="423" spans="6:6" x14ac:dyDescent="0.25">
      <c r="F423"/>
    </row>
    <row r="424" spans="6:6" x14ac:dyDescent="0.25">
      <c r="F424"/>
    </row>
    <row r="425" spans="6:6" x14ac:dyDescent="0.25">
      <c r="F425"/>
    </row>
    <row r="426" spans="6:6" x14ac:dyDescent="0.25">
      <c r="F426"/>
    </row>
    <row r="427" spans="6:6" x14ac:dyDescent="0.25">
      <c r="F427"/>
    </row>
    <row r="428" spans="6:6" x14ac:dyDescent="0.25">
      <c r="F428"/>
    </row>
    <row r="429" spans="6:6" x14ac:dyDescent="0.25">
      <c r="F429"/>
    </row>
    <row r="430" spans="6:6" x14ac:dyDescent="0.25">
      <c r="F430"/>
    </row>
    <row r="431" spans="6:6" x14ac:dyDescent="0.25">
      <c r="F431"/>
    </row>
    <row r="432" spans="6:6" x14ac:dyDescent="0.25">
      <c r="F432"/>
    </row>
    <row r="433" spans="6:6" x14ac:dyDescent="0.25">
      <c r="F433"/>
    </row>
    <row r="434" spans="6:6" x14ac:dyDescent="0.25">
      <c r="F434"/>
    </row>
    <row r="435" spans="6:6" x14ac:dyDescent="0.25">
      <c r="F435"/>
    </row>
    <row r="436" spans="6:6" x14ac:dyDescent="0.25">
      <c r="F436"/>
    </row>
    <row r="437" spans="6:6" x14ac:dyDescent="0.25">
      <c r="F437"/>
    </row>
    <row r="438" spans="6:6" x14ac:dyDescent="0.25">
      <c r="F438"/>
    </row>
    <row r="439" spans="6:6" x14ac:dyDescent="0.25">
      <c r="F439"/>
    </row>
    <row r="440" spans="6:6" x14ac:dyDescent="0.25">
      <c r="F440"/>
    </row>
    <row r="441" spans="6:6" x14ac:dyDescent="0.25">
      <c r="F441"/>
    </row>
    <row r="442" spans="6:6" x14ac:dyDescent="0.25">
      <c r="F442"/>
    </row>
    <row r="443" spans="6:6" x14ac:dyDescent="0.25">
      <c r="F443"/>
    </row>
    <row r="444" spans="6:6" x14ac:dyDescent="0.25">
      <c r="F444"/>
    </row>
    <row r="445" spans="6:6" x14ac:dyDescent="0.25">
      <c r="F445"/>
    </row>
    <row r="446" spans="6:6" x14ac:dyDescent="0.25">
      <c r="F446"/>
    </row>
    <row r="447" spans="6:6" x14ac:dyDescent="0.25">
      <c r="F447"/>
    </row>
    <row r="448" spans="6:6" x14ac:dyDescent="0.25">
      <c r="F448"/>
    </row>
    <row r="449" spans="6:6" x14ac:dyDescent="0.25">
      <c r="F449"/>
    </row>
    <row r="450" spans="6:6" x14ac:dyDescent="0.25">
      <c r="F450"/>
    </row>
    <row r="451" spans="6:6" x14ac:dyDescent="0.25">
      <c r="F451"/>
    </row>
    <row r="452" spans="6:6" x14ac:dyDescent="0.25">
      <c r="F452"/>
    </row>
    <row r="453" spans="6:6" x14ac:dyDescent="0.25">
      <c r="F453"/>
    </row>
    <row r="454" spans="6:6" x14ac:dyDescent="0.25">
      <c r="F454"/>
    </row>
    <row r="455" spans="6:6" x14ac:dyDescent="0.25">
      <c r="F455"/>
    </row>
    <row r="456" spans="6:6" x14ac:dyDescent="0.25">
      <c r="F456"/>
    </row>
    <row r="457" spans="6:6" x14ac:dyDescent="0.25">
      <c r="F457"/>
    </row>
    <row r="458" spans="6:6" x14ac:dyDescent="0.25">
      <c r="F458"/>
    </row>
    <row r="459" spans="6:6" x14ac:dyDescent="0.25">
      <c r="F459"/>
    </row>
    <row r="460" spans="6:6" x14ac:dyDescent="0.25">
      <c r="F460"/>
    </row>
    <row r="461" spans="6:6" x14ac:dyDescent="0.25">
      <c r="F461"/>
    </row>
    <row r="462" spans="6:6" x14ac:dyDescent="0.25">
      <c r="F462"/>
    </row>
    <row r="463" spans="6:6" x14ac:dyDescent="0.25">
      <c r="F463"/>
    </row>
    <row r="464" spans="6:6" x14ac:dyDescent="0.25">
      <c r="F464"/>
    </row>
    <row r="465" spans="6:6" x14ac:dyDescent="0.25">
      <c r="F465"/>
    </row>
    <row r="466" spans="6:6" x14ac:dyDescent="0.25">
      <c r="F466"/>
    </row>
    <row r="467" spans="6:6" x14ac:dyDescent="0.25">
      <c r="F467"/>
    </row>
    <row r="468" spans="6:6" x14ac:dyDescent="0.25">
      <c r="F468"/>
    </row>
    <row r="469" spans="6:6" x14ac:dyDescent="0.25">
      <c r="F469"/>
    </row>
    <row r="470" spans="6:6" x14ac:dyDescent="0.25">
      <c r="F470"/>
    </row>
    <row r="471" spans="6:6" x14ac:dyDescent="0.25">
      <c r="F471"/>
    </row>
    <row r="472" spans="6:6" x14ac:dyDescent="0.25">
      <c r="F472"/>
    </row>
    <row r="473" spans="6:6" x14ac:dyDescent="0.25">
      <c r="F473"/>
    </row>
    <row r="474" spans="6:6" x14ac:dyDescent="0.25">
      <c r="F474"/>
    </row>
    <row r="475" spans="6:6" x14ac:dyDescent="0.25">
      <c r="F475"/>
    </row>
    <row r="476" spans="6:6" x14ac:dyDescent="0.25">
      <c r="F476"/>
    </row>
    <row r="477" spans="6:6" x14ac:dyDescent="0.25">
      <c r="F477"/>
    </row>
    <row r="478" spans="6:6" x14ac:dyDescent="0.25">
      <c r="F478"/>
    </row>
    <row r="479" spans="6:6" x14ac:dyDescent="0.25">
      <c r="F479"/>
    </row>
    <row r="480" spans="6:6" x14ac:dyDescent="0.25">
      <c r="F480"/>
    </row>
    <row r="481" spans="6:6" x14ac:dyDescent="0.25">
      <c r="F481"/>
    </row>
    <row r="482" spans="6:6" x14ac:dyDescent="0.25">
      <c r="F482"/>
    </row>
    <row r="483" spans="6:6" x14ac:dyDescent="0.25">
      <c r="F483"/>
    </row>
    <row r="484" spans="6:6" x14ac:dyDescent="0.25">
      <c r="F484"/>
    </row>
    <row r="485" spans="6:6" x14ac:dyDescent="0.25">
      <c r="F485"/>
    </row>
    <row r="486" spans="6:6" x14ac:dyDescent="0.25">
      <c r="F486"/>
    </row>
    <row r="487" spans="6:6" x14ac:dyDescent="0.25">
      <c r="F487"/>
    </row>
    <row r="488" spans="6:6" x14ac:dyDescent="0.25">
      <c r="F488"/>
    </row>
    <row r="489" spans="6:6" x14ac:dyDescent="0.25">
      <c r="F489"/>
    </row>
    <row r="490" spans="6:6" x14ac:dyDescent="0.25">
      <c r="F490"/>
    </row>
    <row r="491" spans="6:6" x14ac:dyDescent="0.25">
      <c r="F491"/>
    </row>
    <row r="492" spans="6:6" x14ac:dyDescent="0.25">
      <c r="F492"/>
    </row>
    <row r="493" spans="6:6" x14ac:dyDescent="0.25">
      <c r="F493"/>
    </row>
    <row r="494" spans="6:6" x14ac:dyDescent="0.25">
      <c r="F494"/>
    </row>
    <row r="495" spans="6:6" x14ac:dyDescent="0.25">
      <c r="F495"/>
    </row>
    <row r="496" spans="6:6" x14ac:dyDescent="0.25">
      <c r="F496"/>
    </row>
    <row r="497" spans="6:6" x14ac:dyDescent="0.25">
      <c r="F497"/>
    </row>
    <row r="498" spans="6:6" x14ac:dyDescent="0.25">
      <c r="F498"/>
    </row>
    <row r="499" spans="6:6" x14ac:dyDescent="0.25">
      <c r="F499"/>
    </row>
    <row r="500" spans="6:6" x14ac:dyDescent="0.25">
      <c r="F500"/>
    </row>
    <row r="501" spans="6:6" x14ac:dyDescent="0.25">
      <c r="F501"/>
    </row>
    <row r="502" spans="6:6" x14ac:dyDescent="0.25">
      <c r="F502"/>
    </row>
    <row r="503" spans="6:6" x14ac:dyDescent="0.25">
      <c r="F503"/>
    </row>
    <row r="504" spans="6:6" x14ac:dyDescent="0.25">
      <c r="F504"/>
    </row>
    <row r="505" spans="6:6" x14ac:dyDescent="0.25">
      <c r="F505"/>
    </row>
    <row r="506" spans="6:6" x14ac:dyDescent="0.25">
      <c r="F506"/>
    </row>
    <row r="507" spans="6:6" x14ac:dyDescent="0.25">
      <c r="F507"/>
    </row>
    <row r="508" spans="6:6" x14ac:dyDescent="0.25">
      <c r="F508"/>
    </row>
    <row r="509" spans="6:6" x14ac:dyDescent="0.25">
      <c r="F509"/>
    </row>
    <row r="510" spans="6:6" x14ac:dyDescent="0.25">
      <c r="F510"/>
    </row>
    <row r="511" spans="6:6" x14ac:dyDescent="0.25">
      <c r="F511"/>
    </row>
    <row r="512" spans="6:6" x14ac:dyDescent="0.25">
      <c r="F512"/>
    </row>
    <row r="513" spans="6:6" x14ac:dyDescent="0.25">
      <c r="F513"/>
    </row>
    <row r="514" spans="6:6" x14ac:dyDescent="0.25">
      <c r="F514"/>
    </row>
    <row r="515" spans="6:6" x14ac:dyDescent="0.25">
      <c r="F515"/>
    </row>
    <row r="516" spans="6:6" x14ac:dyDescent="0.25">
      <c r="F516"/>
    </row>
    <row r="517" spans="6:6" x14ac:dyDescent="0.25">
      <c r="F517"/>
    </row>
    <row r="518" spans="6:6" x14ac:dyDescent="0.25">
      <c r="F518"/>
    </row>
    <row r="519" spans="6:6" x14ac:dyDescent="0.25">
      <c r="F519"/>
    </row>
    <row r="520" spans="6:6" x14ac:dyDescent="0.25">
      <c r="F520"/>
    </row>
    <row r="521" spans="6:6" x14ac:dyDescent="0.25">
      <c r="F521"/>
    </row>
    <row r="522" spans="6:6" x14ac:dyDescent="0.25">
      <c r="F522"/>
    </row>
    <row r="523" spans="6:6" x14ac:dyDescent="0.25">
      <c r="F523"/>
    </row>
    <row r="524" spans="6:6" x14ac:dyDescent="0.25">
      <c r="F524"/>
    </row>
    <row r="525" spans="6:6" x14ac:dyDescent="0.25">
      <c r="F525"/>
    </row>
    <row r="526" spans="6:6" x14ac:dyDescent="0.25">
      <c r="F526"/>
    </row>
    <row r="527" spans="6:6" x14ac:dyDescent="0.25">
      <c r="F527"/>
    </row>
    <row r="528" spans="6:6" x14ac:dyDescent="0.25">
      <c r="F528"/>
    </row>
    <row r="529" spans="6:6" x14ac:dyDescent="0.25">
      <c r="F529"/>
    </row>
    <row r="530" spans="6:6" x14ac:dyDescent="0.25">
      <c r="F530"/>
    </row>
    <row r="531" spans="6:6" x14ac:dyDescent="0.25">
      <c r="F531"/>
    </row>
    <row r="532" spans="6:6" x14ac:dyDescent="0.25">
      <c r="F532"/>
    </row>
    <row r="533" spans="6:6" x14ac:dyDescent="0.25">
      <c r="F533"/>
    </row>
    <row r="534" spans="6:6" x14ac:dyDescent="0.25">
      <c r="F534"/>
    </row>
    <row r="535" spans="6:6" x14ac:dyDescent="0.25">
      <c r="F535"/>
    </row>
    <row r="536" spans="6:6" x14ac:dyDescent="0.25">
      <c r="F536"/>
    </row>
    <row r="537" spans="6:6" x14ac:dyDescent="0.25">
      <c r="F537"/>
    </row>
    <row r="538" spans="6:6" x14ac:dyDescent="0.25">
      <c r="F538"/>
    </row>
    <row r="539" spans="6:6" x14ac:dyDescent="0.25">
      <c r="F539"/>
    </row>
    <row r="540" spans="6:6" x14ac:dyDescent="0.25">
      <c r="F540"/>
    </row>
    <row r="541" spans="6:6" x14ac:dyDescent="0.25">
      <c r="F541"/>
    </row>
    <row r="542" spans="6:6" x14ac:dyDescent="0.25">
      <c r="F542"/>
    </row>
    <row r="543" spans="6:6" x14ac:dyDescent="0.25">
      <c r="F543"/>
    </row>
    <row r="544" spans="6:6" x14ac:dyDescent="0.25">
      <c r="F544"/>
    </row>
    <row r="545" spans="6:6" x14ac:dyDescent="0.25">
      <c r="F545"/>
    </row>
    <row r="546" spans="6:6" x14ac:dyDescent="0.25">
      <c r="F546"/>
    </row>
    <row r="547" spans="6:6" x14ac:dyDescent="0.25">
      <c r="F547"/>
    </row>
    <row r="548" spans="6:6" x14ac:dyDescent="0.25">
      <c r="F548"/>
    </row>
    <row r="549" spans="6:6" x14ac:dyDescent="0.25">
      <c r="F549"/>
    </row>
    <row r="550" spans="6:6" x14ac:dyDescent="0.25">
      <c r="F550"/>
    </row>
    <row r="551" spans="6:6" x14ac:dyDescent="0.25">
      <c r="F551"/>
    </row>
    <row r="552" spans="6:6" x14ac:dyDescent="0.25">
      <c r="F552"/>
    </row>
    <row r="553" spans="6:6" x14ac:dyDescent="0.25">
      <c r="F553"/>
    </row>
    <row r="554" spans="6:6" x14ac:dyDescent="0.25">
      <c r="F554"/>
    </row>
    <row r="555" spans="6:6" x14ac:dyDescent="0.25">
      <c r="F555"/>
    </row>
    <row r="556" spans="6:6" x14ac:dyDescent="0.25">
      <c r="F556"/>
    </row>
    <row r="557" spans="6:6" x14ac:dyDescent="0.25">
      <c r="F557"/>
    </row>
    <row r="558" spans="6:6" x14ac:dyDescent="0.25">
      <c r="F558"/>
    </row>
    <row r="559" spans="6:6" x14ac:dyDescent="0.25">
      <c r="F559"/>
    </row>
    <row r="560" spans="6:6" x14ac:dyDescent="0.25">
      <c r="F560"/>
    </row>
    <row r="561" spans="6:6" x14ac:dyDescent="0.25">
      <c r="F561"/>
    </row>
    <row r="562" spans="6:6" x14ac:dyDescent="0.25">
      <c r="F562"/>
    </row>
    <row r="563" spans="6:6" x14ac:dyDescent="0.25">
      <c r="F563"/>
    </row>
    <row r="564" spans="6:6" x14ac:dyDescent="0.25">
      <c r="F564"/>
    </row>
    <row r="565" spans="6:6" x14ac:dyDescent="0.25">
      <c r="F565"/>
    </row>
    <row r="566" spans="6:6" x14ac:dyDescent="0.25">
      <c r="F566"/>
    </row>
    <row r="567" spans="6:6" x14ac:dyDescent="0.25">
      <c r="F567"/>
    </row>
    <row r="568" spans="6:6" x14ac:dyDescent="0.25">
      <c r="F568"/>
    </row>
    <row r="569" spans="6:6" x14ac:dyDescent="0.25">
      <c r="F569"/>
    </row>
    <row r="570" spans="6:6" x14ac:dyDescent="0.25">
      <c r="F570"/>
    </row>
    <row r="571" spans="6:6" x14ac:dyDescent="0.25">
      <c r="F571"/>
    </row>
    <row r="572" spans="6:6" x14ac:dyDescent="0.25">
      <c r="F572"/>
    </row>
    <row r="573" spans="6:6" x14ac:dyDescent="0.25">
      <c r="F573"/>
    </row>
    <row r="574" spans="6:6" x14ac:dyDescent="0.25">
      <c r="F574"/>
    </row>
    <row r="575" spans="6:6" x14ac:dyDescent="0.25">
      <c r="F575"/>
    </row>
    <row r="576" spans="6:6" x14ac:dyDescent="0.25">
      <c r="F576"/>
    </row>
    <row r="577" spans="6:6" x14ac:dyDescent="0.25">
      <c r="F577"/>
    </row>
    <row r="578" spans="6:6" x14ac:dyDescent="0.25">
      <c r="F578"/>
    </row>
    <row r="579" spans="6:6" x14ac:dyDescent="0.25">
      <c r="F579"/>
    </row>
    <row r="580" spans="6:6" x14ac:dyDescent="0.25">
      <c r="F580"/>
    </row>
    <row r="581" spans="6:6" x14ac:dyDescent="0.25">
      <c r="F581"/>
    </row>
    <row r="582" spans="6:6" x14ac:dyDescent="0.25">
      <c r="F582"/>
    </row>
    <row r="583" spans="6:6" x14ac:dyDescent="0.25">
      <c r="F583"/>
    </row>
    <row r="584" spans="6:6" x14ac:dyDescent="0.25">
      <c r="F584"/>
    </row>
    <row r="585" spans="6:6" x14ac:dyDescent="0.25">
      <c r="F585"/>
    </row>
    <row r="586" spans="6:6" x14ac:dyDescent="0.25">
      <c r="F586"/>
    </row>
    <row r="587" spans="6:6" x14ac:dyDescent="0.25">
      <c r="F587"/>
    </row>
    <row r="588" spans="6:6" x14ac:dyDescent="0.25">
      <c r="F588"/>
    </row>
    <row r="589" spans="6:6" x14ac:dyDescent="0.25">
      <c r="F589"/>
    </row>
    <row r="590" spans="6:6" x14ac:dyDescent="0.25">
      <c r="F590"/>
    </row>
    <row r="591" spans="6:6" x14ac:dyDescent="0.25">
      <c r="F591"/>
    </row>
    <row r="592" spans="6:6" x14ac:dyDescent="0.25">
      <c r="F592"/>
    </row>
    <row r="593" spans="6:6" x14ac:dyDescent="0.25">
      <c r="F593"/>
    </row>
    <row r="594" spans="6:6" x14ac:dyDescent="0.25">
      <c r="F594"/>
    </row>
    <row r="595" spans="6:6" x14ac:dyDescent="0.25">
      <c r="F595"/>
    </row>
    <row r="596" spans="6:6" x14ac:dyDescent="0.25">
      <c r="F596"/>
    </row>
    <row r="597" spans="6:6" x14ac:dyDescent="0.25">
      <c r="F597"/>
    </row>
    <row r="598" spans="6:6" x14ac:dyDescent="0.25">
      <c r="F598"/>
    </row>
    <row r="599" spans="6:6" x14ac:dyDescent="0.25">
      <c r="F599"/>
    </row>
    <row r="600" spans="6:6" x14ac:dyDescent="0.25">
      <c r="F600"/>
    </row>
    <row r="601" spans="6:6" x14ac:dyDescent="0.25">
      <c r="F601"/>
    </row>
    <row r="602" spans="6:6" x14ac:dyDescent="0.25">
      <c r="F602"/>
    </row>
    <row r="603" spans="6:6" x14ac:dyDescent="0.25">
      <c r="F603"/>
    </row>
    <row r="604" spans="6:6" x14ac:dyDescent="0.25">
      <c r="F604"/>
    </row>
    <row r="605" spans="6:6" x14ac:dyDescent="0.25">
      <c r="F605"/>
    </row>
    <row r="606" spans="6:6" x14ac:dyDescent="0.25">
      <c r="F606"/>
    </row>
    <row r="607" spans="6:6" x14ac:dyDescent="0.25">
      <c r="F607"/>
    </row>
    <row r="608" spans="6:6" x14ac:dyDescent="0.25">
      <c r="F608"/>
    </row>
    <row r="609" spans="6:6" x14ac:dyDescent="0.25">
      <c r="F609"/>
    </row>
    <row r="610" spans="6:6" x14ac:dyDescent="0.25">
      <c r="F610"/>
    </row>
    <row r="611" spans="6:6" x14ac:dyDescent="0.25">
      <c r="F611"/>
    </row>
    <row r="612" spans="6:6" x14ac:dyDescent="0.25">
      <c r="F612"/>
    </row>
    <row r="613" spans="6:6" x14ac:dyDescent="0.25">
      <c r="F613"/>
    </row>
    <row r="614" spans="6:6" x14ac:dyDescent="0.25">
      <c r="F614"/>
    </row>
    <row r="615" spans="6:6" x14ac:dyDescent="0.25">
      <c r="F615"/>
    </row>
    <row r="616" spans="6:6" x14ac:dyDescent="0.25">
      <c r="F616"/>
    </row>
    <row r="617" spans="6:6" x14ac:dyDescent="0.25">
      <c r="F617"/>
    </row>
    <row r="618" spans="6:6" x14ac:dyDescent="0.25">
      <c r="F618"/>
    </row>
    <row r="619" spans="6:6" x14ac:dyDescent="0.25">
      <c r="F619"/>
    </row>
    <row r="620" spans="6:6" x14ac:dyDescent="0.25">
      <c r="F620"/>
    </row>
    <row r="621" spans="6:6" x14ac:dyDescent="0.25">
      <c r="F621"/>
    </row>
    <row r="622" spans="6:6" x14ac:dyDescent="0.25">
      <c r="F622"/>
    </row>
    <row r="623" spans="6:6" x14ac:dyDescent="0.25">
      <c r="F623"/>
    </row>
    <row r="624" spans="6:6" x14ac:dyDescent="0.25">
      <c r="F624"/>
    </row>
    <row r="625" spans="6:6" x14ac:dyDescent="0.25">
      <c r="F625"/>
    </row>
    <row r="626" spans="6:6" x14ac:dyDescent="0.25">
      <c r="F626"/>
    </row>
    <row r="627" spans="6:6" x14ac:dyDescent="0.25">
      <c r="F627"/>
    </row>
    <row r="628" spans="6:6" x14ac:dyDescent="0.25">
      <c r="F628"/>
    </row>
    <row r="629" spans="6:6" x14ac:dyDescent="0.25">
      <c r="F629"/>
    </row>
    <row r="630" spans="6:6" x14ac:dyDescent="0.25">
      <c r="F630"/>
    </row>
    <row r="631" spans="6:6" x14ac:dyDescent="0.25">
      <c r="F631"/>
    </row>
    <row r="632" spans="6:6" x14ac:dyDescent="0.25">
      <c r="F632"/>
    </row>
    <row r="633" spans="6:6" x14ac:dyDescent="0.25">
      <c r="F633"/>
    </row>
    <row r="634" spans="6:6" x14ac:dyDescent="0.25">
      <c r="F634"/>
    </row>
    <row r="635" spans="6:6" x14ac:dyDescent="0.25">
      <c r="F635"/>
    </row>
    <row r="636" spans="6:6" x14ac:dyDescent="0.25">
      <c r="F636"/>
    </row>
    <row r="637" spans="6:6" x14ac:dyDescent="0.25">
      <c r="F637"/>
    </row>
    <row r="638" spans="6:6" x14ac:dyDescent="0.25">
      <c r="F638"/>
    </row>
    <row r="639" spans="6:6" x14ac:dyDescent="0.25">
      <c r="F639"/>
    </row>
    <row r="640" spans="6:6" x14ac:dyDescent="0.25">
      <c r="F640"/>
    </row>
    <row r="641" spans="6:6" x14ac:dyDescent="0.25">
      <c r="F641"/>
    </row>
    <row r="642" spans="6:6" x14ac:dyDescent="0.25">
      <c r="F642"/>
    </row>
  </sheetData>
  <mergeCells count="2">
    <mergeCell ref="A3:A4"/>
    <mergeCell ref="C3:C4"/>
  </mergeCells>
  <pageMargins left="0.7" right="0.7" top="0.75" bottom="0.75" header="0.3" footer="0.3"/>
  <pageSetup orientation="portrait"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9"/>
  <sheetViews>
    <sheetView zoomScale="90" zoomScaleNormal="90" workbookViewId="0">
      <selection activeCell="U43" sqref="U43"/>
    </sheetView>
  </sheetViews>
  <sheetFormatPr defaultRowHeight="15" x14ac:dyDescent="0.25"/>
  <cols>
    <col min="1" max="1" width="3.140625" style="633" customWidth="1"/>
    <col min="3" max="3" width="6.5703125" customWidth="1"/>
    <col min="4" max="4" width="0.85546875" customWidth="1"/>
    <col min="5" max="5" width="10.5703125" customWidth="1"/>
    <col min="6" max="6" width="13.85546875" customWidth="1"/>
    <col min="7" max="7" width="10.85546875" customWidth="1"/>
    <col min="8" max="8" width="17" style="633" customWidth="1"/>
    <col min="9" max="9" width="10.28515625" customWidth="1"/>
    <col min="32" max="32" width="15.140625" bestFit="1" customWidth="1"/>
  </cols>
  <sheetData>
    <row r="1" spans="1:32" ht="23.25" x14ac:dyDescent="0.35">
      <c r="A1" s="726"/>
      <c r="B1" s="727" t="s">
        <v>681</v>
      </c>
      <c r="C1" s="728"/>
      <c r="D1" s="726"/>
      <c r="E1" s="726"/>
      <c r="F1" s="726"/>
      <c r="G1" s="726"/>
      <c r="H1" s="726"/>
      <c r="I1" s="726"/>
      <c r="J1" s="726"/>
      <c r="K1" s="726"/>
      <c r="L1" s="726"/>
      <c r="M1" s="726"/>
      <c r="N1" s="726"/>
      <c r="O1" s="726"/>
      <c r="P1" s="726"/>
      <c r="Q1" s="726"/>
      <c r="R1" s="726"/>
      <c r="S1" s="726"/>
      <c r="T1" s="726"/>
      <c r="U1" s="726"/>
      <c r="V1" s="729"/>
      <c r="W1" s="725"/>
    </row>
    <row r="2" spans="1:32" ht="23.25" x14ac:dyDescent="0.35">
      <c r="A2" s="726"/>
      <c r="B2" s="727" t="s">
        <v>529</v>
      </c>
      <c r="C2" s="728"/>
      <c r="D2" s="726"/>
      <c r="E2" s="726"/>
      <c r="F2" s="726"/>
      <c r="G2" s="726"/>
      <c r="H2" s="726"/>
      <c r="I2" s="726"/>
      <c r="J2" s="726"/>
      <c r="K2" s="726"/>
      <c r="L2" s="726"/>
      <c r="M2" s="726"/>
      <c r="N2" s="726"/>
      <c r="O2" s="726"/>
      <c r="P2" s="726"/>
      <c r="Q2" s="726"/>
      <c r="R2" s="726"/>
      <c r="S2" s="726"/>
      <c r="T2" s="726"/>
      <c r="U2" s="726"/>
      <c r="V2" s="729"/>
      <c r="W2" s="725"/>
    </row>
    <row r="3" spans="1:32" ht="23.25" x14ac:dyDescent="0.35">
      <c r="A3" s="694"/>
      <c r="B3" s="731" t="str">
        <f>'Inputs TO'!G10</f>
        <v>Annual physical activity benefit per 5192.231 participants</v>
      </c>
      <c r="C3" s="694"/>
      <c r="D3" s="694"/>
      <c r="E3" s="694"/>
      <c r="F3" s="748"/>
      <c r="G3" s="694"/>
      <c r="H3" s="694"/>
      <c r="I3" s="694"/>
      <c r="J3" s="694"/>
      <c r="K3" s="719" t="s">
        <v>29</v>
      </c>
      <c r="L3" s="694"/>
      <c r="M3" s="694"/>
      <c r="N3" s="694"/>
      <c r="O3" s="694"/>
      <c r="P3" s="694"/>
      <c r="Q3" s="719" t="s">
        <v>526</v>
      </c>
      <c r="R3" s="694"/>
      <c r="S3" s="694"/>
      <c r="T3" s="694"/>
      <c r="U3" s="694"/>
      <c r="V3" s="730"/>
      <c r="W3" s="725"/>
    </row>
    <row r="4" spans="1:32" ht="35.25" customHeight="1" x14ac:dyDescent="0.35">
      <c r="A4" s="694"/>
      <c r="B4" s="702"/>
      <c r="C4" s="703"/>
      <c r="D4" s="703"/>
      <c r="E4" s="708" t="s">
        <v>78</v>
      </c>
      <c r="F4" s="708" t="s">
        <v>79</v>
      </c>
      <c r="G4" s="709" t="s">
        <v>530</v>
      </c>
      <c r="H4" s="708" t="s">
        <v>527</v>
      </c>
      <c r="I4" s="704" t="s">
        <v>80</v>
      </c>
      <c r="J4" s="694"/>
      <c r="K4" s="694"/>
      <c r="L4" s="694"/>
      <c r="M4" s="694"/>
      <c r="N4" s="694"/>
      <c r="O4" s="694"/>
      <c r="P4" s="694"/>
      <c r="Q4" s="694"/>
      <c r="R4" s="694"/>
      <c r="S4" s="694"/>
      <c r="T4" s="694"/>
      <c r="U4" s="694"/>
      <c r="V4" s="730"/>
      <c r="W4" s="725"/>
      <c r="Y4" s="633"/>
      <c r="Z4" s="633"/>
      <c r="AA4" s="633"/>
      <c r="AB4" s="633"/>
      <c r="AC4" s="633"/>
      <c r="AD4" s="633"/>
      <c r="AE4" s="633"/>
      <c r="AF4" s="633"/>
    </row>
    <row r="5" spans="1:32" x14ac:dyDescent="0.25">
      <c r="A5" s="694"/>
      <c r="B5" s="1068" t="s">
        <v>521</v>
      </c>
      <c r="C5" s="1069"/>
      <c r="D5" s="1070"/>
      <c r="E5" s="744">
        <f>'Health summary'!F51*'Inputs TO'!D6</f>
        <v>-7.4355463972409552</v>
      </c>
      <c r="F5" s="744">
        <f>'Health summary'!G51*'Inputs TO'!D6</f>
        <v>-6.6931553633521279</v>
      </c>
      <c r="G5" s="744">
        <f>'Health summary'!H51*'Inputs TO'!D6</f>
        <v>-14.128701760593081</v>
      </c>
      <c r="H5" s="705">
        <f>Costs!B38*'Inputs TO'!D6</f>
        <v>-647700.62233799486</v>
      </c>
      <c r="I5" s="940">
        <f>'Health summary'!I51*'Inputs TO'!D6</f>
        <v>-1.0346933561825691</v>
      </c>
      <c r="J5" s="694"/>
      <c r="K5" s="694"/>
      <c r="L5" s="694"/>
      <c r="M5" s="694"/>
      <c r="N5" s="694"/>
      <c r="O5" s="694"/>
      <c r="P5" s="694"/>
      <c r="Q5" s="694"/>
      <c r="R5" s="694"/>
      <c r="S5" s="694"/>
      <c r="T5" s="694"/>
      <c r="U5" s="694"/>
      <c r="V5" s="730"/>
      <c r="W5" s="725"/>
      <c r="Y5" s="633"/>
      <c r="Z5" s="633"/>
      <c r="AA5" s="633"/>
      <c r="AB5" s="191"/>
      <c r="AC5" s="191"/>
      <c r="AD5" s="191"/>
      <c r="AE5" s="932"/>
      <c r="AF5" s="189"/>
    </row>
    <row r="6" spans="1:32" x14ac:dyDescent="0.25">
      <c r="A6" s="694"/>
      <c r="B6" s="694"/>
      <c r="C6" s="694"/>
      <c r="D6" s="694"/>
      <c r="E6" s="694"/>
      <c r="F6" s="694"/>
      <c r="G6" s="694"/>
      <c r="H6" s="694"/>
      <c r="I6" s="694"/>
      <c r="J6" s="694"/>
      <c r="K6" s="694"/>
      <c r="L6" s="694"/>
      <c r="M6" s="694"/>
      <c r="N6" s="694"/>
      <c r="O6" s="694"/>
      <c r="P6" s="694"/>
      <c r="Q6" s="694"/>
      <c r="R6" s="694"/>
      <c r="S6" s="694"/>
      <c r="T6" s="694"/>
      <c r="U6" s="694"/>
      <c r="V6" s="730"/>
      <c r="W6" s="725"/>
      <c r="Y6" s="633"/>
      <c r="Z6" s="633"/>
      <c r="AA6" s="633"/>
      <c r="AB6" s="189"/>
      <c r="AC6" s="189"/>
      <c r="AD6" s="189"/>
      <c r="AE6" s="932"/>
      <c r="AF6" s="189"/>
    </row>
    <row r="7" spans="1:32" x14ac:dyDescent="0.25">
      <c r="A7" s="694"/>
      <c r="B7" s="694"/>
      <c r="C7" s="694"/>
      <c r="D7" s="694"/>
      <c r="E7" s="694"/>
      <c r="F7" s="694"/>
      <c r="G7" s="694"/>
      <c r="H7" s="694"/>
      <c r="I7" s="694"/>
      <c r="J7" s="694"/>
      <c r="K7" s="694"/>
      <c r="L7" s="694"/>
      <c r="M7" s="694"/>
      <c r="N7" s="694"/>
      <c r="O7" s="694"/>
      <c r="P7" s="694"/>
      <c r="Q7" s="694"/>
      <c r="R7" s="694"/>
      <c r="S7" s="694"/>
      <c r="T7" s="694"/>
      <c r="U7" s="694"/>
      <c r="V7" s="730"/>
      <c r="W7" s="725"/>
      <c r="Y7" s="633"/>
      <c r="Z7" s="633"/>
      <c r="AA7" s="633"/>
      <c r="AB7" s="189"/>
      <c r="AC7" s="189"/>
      <c r="AD7" s="189"/>
      <c r="AE7" s="932"/>
      <c r="AF7" s="189"/>
    </row>
    <row r="8" spans="1:32" ht="23.25" x14ac:dyDescent="0.35">
      <c r="A8" s="694"/>
      <c r="B8" s="731" t="s">
        <v>680</v>
      </c>
      <c r="C8" s="694"/>
      <c r="D8" s="694"/>
      <c r="E8" s="694"/>
      <c r="F8" s="748"/>
      <c r="G8" s="694"/>
      <c r="H8" s="694"/>
      <c r="I8" s="694"/>
      <c r="J8" s="694"/>
      <c r="K8" s="694"/>
      <c r="L8" s="694"/>
      <c r="M8" s="694"/>
      <c r="N8" s="694"/>
      <c r="O8" s="694"/>
      <c r="P8" s="694"/>
      <c r="Q8" s="694"/>
      <c r="R8" s="694"/>
      <c r="S8" s="694"/>
      <c r="T8" s="694"/>
      <c r="U8" s="694"/>
      <c r="V8" s="730"/>
      <c r="W8" s="725"/>
      <c r="Y8" s="633"/>
      <c r="Z8" s="633"/>
      <c r="AA8" s="633"/>
      <c r="AB8" s="189"/>
      <c r="AC8" s="189"/>
      <c r="AD8" s="189"/>
      <c r="AE8" s="932"/>
      <c r="AF8" s="189"/>
    </row>
    <row r="9" spans="1:32" ht="31.5" x14ac:dyDescent="0.35">
      <c r="A9" s="694"/>
      <c r="B9" s="702"/>
      <c r="C9" s="703"/>
      <c r="D9" s="703"/>
      <c r="E9" s="708" t="s">
        <v>78</v>
      </c>
      <c r="F9" s="708" t="s">
        <v>79</v>
      </c>
      <c r="G9" s="709" t="s">
        <v>530</v>
      </c>
      <c r="H9" s="708" t="s">
        <v>527</v>
      </c>
      <c r="I9" s="704" t="s">
        <v>80</v>
      </c>
      <c r="J9" s="694"/>
      <c r="K9" s="694"/>
      <c r="L9" s="694"/>
      <c r="M9" s="694"/>
      <c r="N9" s="694"/>
      <c r="O9" s="694"/>
      <c r="P9" s="694"/>
      <c r="Q9" s="694"/>
      <c r="R9" s="694"/>
      <c r="S9" s="694"/>
      <c r="T9" s="694"/>
      <c r="U9" s="694"/>
      <c r="V9" s="730"/>
      <c r="W9" s="725"/>
    </row>
    <row r="10" spans="1:32" x14ac:dyDescent="0.25">
      <c r="A10" s="694"/>
      <c r="B10" s="1065" t="s">
        <v>532</v>
      </c>
      <c r="C10" s="1066"/>
      <c r="D10" s="1067"/>
      <c r="E10" s="888">
        <f>'Health summary'!D44*'Inputs TO'!D6</f>
        <v>-0.14352555197370248</v>
      </c>
      <c r="F10" s="888">
        <f>'Health summary'!D31*'Inputs TO'!D6</f>
        <v>-5.2606397942727798E-2</v>
      </c>
      <c r="G10" s="889">
        <f>'Health summary'!D41*'Inputs TO'!D6</f>
        <v>-0.19613194991643029</v>
      </c>
      <c r="H10" s="705">
        <f>Costs!I5*'Inputs TO'!D6</f>
        <v>-25773.789637432965</v>
      </c>
      <c r="I10" s="710">
        <f>'Health summary'!D11*'Inputs TO'!D6</f>
        <v>-1.3509624327000608E-2</v>
      </c>
      <c r="J10" s="694"/>
      <c r="K10" s="694"/>
      <c r="L10" s="694"/>
      <c r="M10" s="694"/>
      <c r="N10" s="694"/>
      <c r="O10" s="694"/>
      <c r="P10" s="694"/>
      <c r="Q10" s="694"/>
      <c r="R10" s="694"/>
      <c r="S10" s="694"/>
      <c r="T10" s="694"/>
      <c r="U10" s="694"/>
      <c r="V10" s="730"/>
      <c r="W10" s="725"/>
    </row>
    <row r="11" spans="1:32" x14ac:dyDescent="0.25">
      <c r="A11" s="694"/>
      <c r="B11" s="1065" t="s">
        <v>533</v>
      </c>
      <c r="C11" s="1066"/>
      <c r="D11" s="1067"/>
      <c r="E11" s="888">
        <f>'Health summary'!Q44*'Inputs TO'!D6</f>
        <v>-0.10245850486706712</v>
      </c>
      <c r="F11" s="888">
        <f>'Health summary'!Q45*'Inputs TO'!D6</f>
        <v>-2.2158793949289261E-2</v>
      </c>
      <c r="G11" s="889">
        <f>'Health summary'!Q46*'Inputs TO'!D6</f>
        <v>-0.12461729881635639</v>
      </c>
      <c r="H11" s="1064">
        <f>Costs!I11+Costs!I13*'Inputs TO'!D6</f>
        <v>-221395.62663902959</v>
      </c>
      <c r="I11" s="710">
        <f>'Health summary'!Q43*'Inputs TO'!D6</f>
        <v>-1.312695056307491E-2</v>
      </c>
      <c r="J11" s="694"/>
      <c r="K11" s="694"/>
      <c r="L11" s="694"/>
      <c r="M11" s="694"/>
      <c r="N11" s="694"/>
      <c r="O11" s="694"/>
      <c r="P11" s="694"/>
      <c r="Q11" s="694"/>
      <c r="R11" s="694"/>
      <c r="S11" s="694"/>
      <c r="T11" s="694"/>
      <c r="U11" s="694"/>
      <c r="V11" s="730"/>
      <c r="W11" s="725"/>
    </row>
    <row r="12" spans="1:32" ht="15.75" x14ac:dyDescent="0.25">
      <c r="A12" s="694"/>
      <c r="B12" s="1065" t="s">
        <v>534</v>
      </c>
      <c r="C12" s="1066"/>
      <c r="D12" s="1067"/>
      <c r="E12" s="888">
        <f>'Health summary'!W44*'Inputs TO'!D6</f>
        <v>0</v>
      </c>
      <c r="F12" s="888">
        <f>'Health summary'!W45*'Inputs TO'!D6</f>
        <v>0</v>
      </c>
      <c r="G12" s="889">
        <f>'Health summary'!W46*'Inputs TO'!D6</f>
        <v>0</v>
      </c>
      <c r="H12" s="1064"/>
      <c r="I12" s="710">
        <f>'Health summary'!W43*'Inputs TO'!D6</f>
        <v>0</v>
      </c>
      <c r="J12" s="694"/>
      <c r="K12" s="733"/>
      <c r="L12" s="694"/>
      <c r="M12" s="694"/>
      <c r="N12" s="694"/>
      <c r="O12" s="694"/>
      <c r="P12" s="694"/>
      <c r="Q12" s="733"/>
      <c r="R12" s="694"/>
      <c r="S12" s="694"/>
      <c r="T12" s="694"/>
      <c r="U12" s="694"/>
      <c r="V12" s="730"/>
      <c r="W12" s="725"/>
    </row>
    <row r="13" spans="1:32" ht="33.75" customHeight="1" x14ac:dyDescent="0.25">
      <c r="A13" s="694"/>
      <c r="B13" s="1065" t="s">
        <v>535</v>
      </c>
      <c r="C13" s="1066"/>
      <c r="D13" s="1067"/>
      <c r="E13" s="888">
        <f>'Health summary'!I44*'Inputs TO'!D6</f>
        <v>-3.3826019356629007</v>
      </c>
      <c r="F13" s="888">
        <f>'Health summary'!I45*'Inputs TO'!D6</f>
        <v>-0.77676558785056204</v>
      </c>
      <c r="G13" s="889">
        <f>'Health summary'!I46*'Inputs TO'!D6</f>
        <v>-4.1593675235134624</v>
      </c>
      <c r="H13" s="1064"/>
      <c r="I13" s="710">
        <f>'Health summary'!I43*'Inputs TO'!D6</f>
        <v>-0.42508301184220176</v>
      </c>
      <c r="J13" s="694"/>
      <c r="K13" s="694"/>
      <c r="L13" s="694"/>
      <c r="M13" s="694"/>
      <c r="N13" s="694"/>
      <c r="O13" s="694"/>
      <c r="P13" s="694"/>
      <c r="Q13" s="694"/>
      <c r="R13" s="694"/>
      <c r="S13" s="694"/>
      <c r="T13" s="694"/>
      <c r="U13" s="694"/>
      <c r="V13" s="730"/>
      <c r="W13" s="725"/>
    </row>
    <row r="14" spans="1:32" x14ac:dyDescent="0.25">
      <c r="A14" s="694"/>
      <c r="B14" s="1065" t="s">
        <v>536</v>
      </c>
      <c r="C14" s="1066"/>
      <c r="D14" s="1067"/>
      <c r="E14" s="888">
        <f>'Health summary'!G44*'Inputs TO'!D6</f>
        <v>-1.5093376310368547</v>
      </c>
      <c r="F14" s="888">
        <f>'Health summary'!G45*'Inputs TO'!D6</f>
        <v>-1.3582740688962969</v>
      </c>
      <c r="G14" s="889">
        <f>'Health summary'!G46*'Inputs TO'!D6</f>
        <v>-2.8676116999331511</v>
      </c>
      <c r="H14" s="705">
        <f>Costs!I10+Costs!I12*'Inputs TO'!D6</f>
        <v>-50127.14660822213</v>
      </c>
      <c r="I14" s="710">
        <f>'Health summary'!G43*'Inputs TO'!D6</f>
        <v>-0.20634883839807644</v>
      </c>
      <c r="J14" s="694"/>
      <c r="K14" s="694"/>
      <c r="L14" s="694"/>
      <c r="M14" s="694"/>
      <c r="N14" s="694"/>
      <c r="O14" s="694"/>
      <c r="P14" s="694"/>
      <c r="Q14" s="694"/>
      <c r="R14" s="694"/>
      <c r="S14" s="694"/>
      <c r="T14" s="694"/>
      <c r="U14" s="694"/>
      <c r="V14" s="730"/>
      <c r="W14" s="725"/>
      <c r="Y14" s="633"/>
      <c r="Z14" s="633"/>
      <c r="AA14" s="633"/>
      <c r="AB14" s="633"/>
      <c r="AC14" s="633"/>
      <c r="AD14" s="633"/>
      <c r="AE14" s="633"/>
      <c r="AF14" s="633"/>
    </row>
    <row r="15" spans="1:32" x14ac:dyDescent="0.25">
      <c r="A15" s="694"/>
      <c r="B15" s="1065" t="s">
        <v>83</v>
      </c>
      <c r="C15" s="1066"/>
      <c r="D15" s="1067"/>
      <c r="E15" s="888">
        <f>'Health summary'!E44*'Inputs TO'!D6</f>
        <v>-5.3036030674510543E-2</v>
      </c>
      <c r="F15" s="888">
        <f>'Health summary'!E45*'Inputs TO'!D6</f>
        <v>-8.5151743449102448E-3</v>
      </c>
      <c r="G15" s="889">
        <f>'Health summary'!E46*'Inputs TO'!D6</f>
        <v>-6.1551205019420796E-2</v>
      </c>
      <c r="H15" s="705">
        <f>Costs!I6*'Inputs TO'!D6</f>
        <v>-7416.7428843639464</v>
      </c>
      <c r="I15" s="710">
        <f>'Health summary'!E43*'Inputs TO'!D6</f>
        <v>-7.8721329524388105E-3</v>
      </c>
      <c r="J15" s="694"/>
      <c r="K15" s="694"/>
      <c r="L15" s="694"/>
      <c r="M15" s="694"/>
      <c r="N15" s="694"/>
      <c r="O15" s="694"/>
      <c r="P15" s="694"/>
      <c r="Q15" s="694"/>
      <c r="R15" s="694"/>
      <c r="S15" s="694"/>
      <c r="T15" s="694"/>
      <c r="U15" s="694"/>
      <c r="V15" s="730"/>
      <c r="W15" s="725"/>
      <c r="Y15" s="633"/>
      <c r="Z15" s="633"/>
      <c r="AA15" s="633"/>
      <c r="AB15" s="930"/>
      <c r="AC15" s="930"/>
      <c r="AD15" s="930"/>
      <c r="AE15" s="931"/>
      <c r="AF15" s="627"/>
    </row>
    <row r="16" spans="1:32" ht="12.75" customHeight="1" x14ac:dyDescent="0.25">
      <c r="A16" s="694"/>
      <c r="B16" s="1065" t="s">
        <v>30</v>
      </c>
      <c r="C16" s="1066"/>
      <c r="D16" s="1067"/>
      <c r="E16" s="888">
        <f>'Health summary'!K44*'Inputs TO'!D6</f>
        <v>-5.0086803684183841E-3</v>
      </c>
      <c r="F16" s="888">
        <f>'Health summary'!K45*'Inputs TO'!D6</f>
        <v>-0.89421898236933361</v>
      </c>
      <c r="G16" s="889">
        <f>'Health summary'!K46*'Inputs TO'!D6</f>
        <v>-0.89922766273775201</v>
      </c>
      <c r="H16" s="705">
        <f>Costs!I18*'Inputs TO'!D6</f>
        <v>-30219.897048559287</v>
      </c>
      <c r="I16" s="710">
        <f>'Health summary'!K43*'Inputs TO'!D6</f>
        <v>-9.4521688264828055E-4</v>
      </c>
      <c r="J16" s="694"/>
      <c r="K16" s="694"/>
      <c r="L16" s="694"/>
      <c r="M16" s="694"/>
      <c r="N16" s="694"/>
      <c r="O16" s="694"/>
      <c r="P16" s="694"/>
      <c r="Q16" s="694"/>
      <c r="R16" s="694"/>
      <c r="S16" s="694"/>
      <c r="T16" s="694"/>
      <c r="U16" s="694"/>
      <c r="V16" s="730"/>
      <c r="W16" s="725"/>
      <c r="Y16" s="633"/>
      <c r="Z16" s="633"/>
      <c r="AA16" s="633"/>
      <c r="AB16" s="930"/>
      <c r="AC16" s="930"/>
      <c r="AD16" s="930"/>
      <c r="AE16" s="932"/>
      <c r="AF16" s="627"/>
    </row>
    <row r="17" spans="1:32" x14ac:dyDescent="0.25">
      <c r="A17" s="694"/>
      <c r="B17" s="1065" t="s">
        <v>32</v>
      </c>
      <c r="C17" s="1066"/>
      <c r="D17" s="1067"/>
      <c r="E17" s="888">
        <f>'Health summary'!M44*'Inputs TO'!D6</f>
        <v>-0.8543416252217847</v>
      </c>
      <c r="F17" s="888">
        <f>'Health summary'!M45*'Inputs TO'!D6</f>
        <v>-1.1045050215655532</v>
      </c>
      <c r="G17" s="889">
        <f>'Health summary'!M46*'Inputs TO'!D6</f>
        <v>-1.9588466467873378</v>
      </c>
      <c r="H17" s="705">
        <f>Costs!I17*'Inputs TO'!D6</f>
        <v>-100751.87438219573</v>
      </c>
      <c r="I17" s="710">
        <f>'Health summary'!M43*'Inputs TO'!D6</f>
        <v>-0.22930399242763316</v>
      </c>
      <c r="J17" s="694"/>
      <c r="K17" s="694"/>
      <c r="L17" s="694"/>
      <c r="M17" s="694"/>
      <c r="N17" s="694"/>
      <c r="O17" s="694"/>
      <c r="P17" s="694"/>
      <c r="Q17" s="694"/>
      <c r="R17" s="694"/>
      <c r="S17" s="694"/>
      <c r="T17" s="694"/>
      <c r="U17" s="694"/>
      <c r="V17" s="730"/>
      <c r="W17" s="725"/>
      <c r="Y17" s="633"/>
      <c r="Z17" s="633"/>
      <c r="AA17" s="633"/>
      <c r="AB17" s="930"/>
      <c r="AC17" s="930"/>
      <c r="AD17" s="930"/>
      <c r="AE17" s="932"/>
      <c r="AF17" s="627"/>
    </row>
    <row r="18" spans="1:32" x14ac:dyDescent="0.25">
      <c r="A18" s="694"/>
      <c r="B18" s="1065" t="s">
        <v>33</v>
      </c>
      <c r="C18" s="1066"/>
      <c r="D18" s="1067"/>
      <c r="E18" s="888">
        <f>'Health summary'!O44*'Inputs TO'!D6</f>
        <v>-1.3852364374357171</v>
      </c>
      <c r="F18" s="888">
        <f>'Health summary'!O45*'Inputs TO'!D6</f>
        <v>-2.4761113364334539</v>
      </c>
      <c r="G18" s="889">
        <f>'Health summary'!O46*'Inputs TO'!D6</f>
        <v>-3.8613477738691708</v>
      </c>
      <c r="H18" s="705">
        <f>Costs!I20*'Inputs TO'!D6</f>
        <v>-212015.54513819123</v>
      </c>
      <c r="I18" s="710">
        <f>'Health summary'!O43*'Inputs TO'!D6</f>
        <v>-0.13850358878949529</v>
      </c>
      <c r="J18" s="694"/>
      <c r="K18" s="694"/>
      <c r="L18" s="694"/>
      <c r="M18" s="694"/>
      <c r="N18" s="694"/>
      <c r="O18" s="694"/>
      <c r="P18" s="694"/>
      <c r="Q18" s="694"/>
      <c r="R18" s="694"/>
      <c r="S18" s="694"/>
      <c r="T18" s="694"/>
      <c r="U18" s="694"/>
      <c r="V18" s="730"/>
      <c r="W18" s="725"/>
      <c r="Y18" s="633"/>
      <c r="Z18" s="633"/>
      <c r="AA18" s="633"/>
      <c r="AB18" s="930"/>
      <c r="AC18" s="930"/>
      <c r="AD18" s="930"/>
      <c r="AE18" s="932"/>
      <c r="AF18" s="627"/>
    </row>
    <row r="19" spans="1:32" x14ac:dyDescent="0.25">
      <c r="A19" s="694"/>
      <c r="B19" s="1060" t="s">
        <v>177</v>
      </c>
      <c r="C19" s="1061"/>
      <c r="D19" s="1062"/>
      <c r="E19" s="890">
        <f>SUM(E10:E18)</f>
        <v>-7.4355463972409552</v>
      </c>
      <c r="F19" s="890">
        <f>SUM(F10:F18)</f>
        <v>-6.693155363352127</v>
      </c>
      <c r="G19" s="890">
        <f>SUM(G10:G18)</f>
        <v>-14.128701760593081</v>
      </c>
      <c r="H19" s="707">
        <f>SUM(H10:H18)</f>
        <v>-647700.62233799475</v>
      </c>
      <c r="I19" s="706">
        <f>SUM(I10:I18)</f>
        <v>-1.0346933561825691</v>
      </c>
      <c r="J19" s="694"/>
      <c r="K19" s="694"/>
      <c r="L19" s="694"/>
      <c r="M19" s="694"/>
      <c r="N19" s="694"/>
      <c r="O19" s="694"/>
      <c r="P19" s="694"/>
      <c r="Q19" s="694"/>
      <c r="R19" s="694"/>
      <c r="S19" s="694"/>
      <c r="T19" s="694"/>
      <c r="U19" s="694"/>
      <c r="V19" s="730"/>
      <c r="W19" s="725"/>
      <c r="Y19" s="633"/>
      <c r="Z19" s="633"/>
      <c r="AA19" s="633"/>
      <c r="AB19" s="930"/>
      <c r="AC19" s="930"/>
      <c r="AD19" s="930"/>
      <c r="AE19" s="932"/>
      <c r="AF19" s="627"/>
    </row>
    <row r="20" spans="1:32" x14ac:dyDescent="0.25">
      <c r="A20" s="694"/>
      <c r="B20" s="694" t="s">
        <v>576</v>
      </c>
      <c r="C20" s="694"/>
      <c r="D20" s="694"/>
      <c r="E20" s="694"/>
      <c r="F20" s="694"/>
      <c r="G20" s="694"/>
      <c r="H20" s="694"/>
      <c r="I20" s="694"/>
      <c r="J20" s="694"/>
      <c r="K20" s="694"/>
      <c r="L20" s="694"/>
      <c r="M20" s="694"/>
      <c r="N20" s="694"/>
      <c r="O20" s="694"/>
      <c r="P20" s="694"/>
      <c r="Q20" s="694"/>
      <c r="R20" s="694"/>
      <c r="S20" s="694"/>
      <c r="T20" s="694"/>
      <c r="U20" s="694"/>
      <c r="V20" s="730"/>
      <c r="W20" s="725"/>
      <c r="Y20" s="633"/>
      <c r="Z20" s="633"/>
      <c r="AA20" s="633"/>
      <c r="AB20" s="930"/>
      <c r="AC20" s="930"/>
      <c r="AD20" s="930"/>
      <c r="AE20" s="932"/>
      <c r="AF20" s="627"/>
    </row>
    <row r="21" spans="1:32" x14ac:dyDescent="0.25">
      <c r="A21" s="694"/>
      <c r="B21" s="732"/>
      <c r="C21" s="694"/>
      <c r="D21" s="694"/>
      <c r="E21" s="694"/>
      <c r="F21" s="694"/>
      <c r="G21" s="694"/>
      <c r="H21" s="694"/>
      <c r="I21" s="694"/>
      <c r="J21" s="694"/>
      <c r="K21" s="694"/>
      <c r="L21" s="694"/>
      <c r="M21" s="694"/>
      <c r="N21" s="694"/>
      <c r="O21" s="694"/>
      <c r="P21" s="694"/>
      <c r="Q21" s="694"/>
      <c r="R21" s="694"/>
      <c r="S21" s="694"/>
      <c r="T21" s="694"/>
      <c r="U21" s="694"/>
      <c r="V21" s="730"/>
      <c r="W21" s="725"/>
      <c r="Y21" s="633"/>
      <c r="Z21" s="633"/>
      <c r="AA21" s="633"/>
      <c r="AB21" s="930"/>
      <c r="AC21" s="930"/>
      <c r="AD21" s="930"/>
      <c r="AE21" s="932"/>
      <c r="AF21" s="627"/>
    </row>
    <row r="22" spans="1:32" x14ac:dyDescent="0.25">
      <c r="A22" s="694"/>
      <c r="B22" s="1063"/>
      <c r="C22" s="1063"/>
      <c r="D22" s="1063"/>
      <c r="E22" s="1063"/>
      <c r="F22" s="1063"/>
      <c r="G22" s="1063"/>
      <c r="H22" s="1063"/>
      <c r="I22" s="1063"/>
      <c r="J22" s="694"/>
      <c r="K22" s="694"/>
      <c r="L22" s="694"/>
      <c r="M22" s="694"/>
      <c r="N22" s="694"/>
      <c r="O22" s="694"/>
      <c r="P22" s="694"/>
      <c r="Q22" s="694"/>
      <c r="R22" s="694"/>
      <c r="S22" s="694"/>
      <c r="T22" s="694"/>
      <c r="U22" s="694"/>
      <c r="V22" s="730"/>
      <c r="W22" s="725"/>
      <c r="Y22" s="633"/>
      <c r="Z22" s="633"/>
      <c r="AA22" s="633"/>
      <c r="AB22" s="930"/>
      <c r="AC22" s="930"/>
      <c r="AD22" s="930"/>
      <c r="AE22" s="932"/>
      <c r="AF22" s="627"/>
    </row>
    <row r="23" spans="1:32" ht="1.5" customHeight="1" x14ac:dyDescent="0.25">
      <c r="A23" s="734"/>
      <c r="B23" s="734"/>
      <c r="C23" s="734"/>
      <c r="D23" s="734"/>
      <c r="E23" s="734"/>
      <c r="F23" s="734"/>
      <c r="G23" s="734"/>
      <c r="H23" s="734"/>
      <c r="I23" s="734"/>
      <c r="J23" s="734"/>
      <c r="K23" s="734"/>
      <c r="L23" s="734"/>
      <c r="M23" s="734"/>
      <c r="N23" s="734"/>
      <c r="O23" s="734"/>
      <c r="P23" s="734"/>
      <c r="Q23" s="734"/>
      <c r="R23" s="734"/>
      <c r="S23" s="734"/>
      <c r="T23" s="734"/>
      <c r="U23" s="734"/>
      <c r="V23" s="1013"/>
      <c r="W23" s="725"/>
      <c r="Y23" s="633"/>
      <c r="Z23" s="633"/>
      <c r="AA23" s="633"/>
      <c r="AB23" s="930"/>
      <c r="AC23" s="930"/>
      <c r="AD23" s="930"/>
      <c r="AE23" s="932"/>
      <c r="AF23" s="627"/>
    </row>
    <row r="24" spans="1:32" x14ac:dyDescent="0.25">
      <c r="A24" s="1014"/>
      <c r="B24" s="1014"/>
      <c r="C24" s="1014"/>
      <c r="D24" s="1014"/>
      <c r="E24" s="1014"/>
      <c r="F24" s="1014"/>
      <c r="G24" s="1014"/>
      <c r="H24" s="1014"/>
      <c r="I24" s="1014"/>
      <c r="J24" s="1014"/>
      <c r="K24" s="1014"/>
      <c r="L24" s="1014"/>
      <c r="M24" s="1014"/>
      <c r="N24" s="1014"/>
      <c r="O24" s="1014"/>
      <c r="P24" s="1014"/>
      <c r="Q24" s="1014"/>
      <c r="R24" s="1014"/>
      <c r="S24" s="1014"/>
      <c r="T24" s="1014"/>
      <c r="U24" s="1014"/>
      <c r="V24" s="1014"/>
      <c r="W24" s="1014"/>
      <c r="X24" s="406"/>
      <c r="Y24" s="930"/>
      <c r="Z24" s="930"/>
      <c r="AA24" s="930"/>
      <c r="AB24" s="932"/>
      <c r="AC24" s="627"/>
    </row>
    <row r="25" spans="1:32" x14ac:dyDescent="0.25">
      <c r="A25" s="1014"/>
      <c r="B25" s="1014"/>
      <c r="C25" s="1014"/>
      <c r="D25" s="1014"/>
      <c r="E25" s="1014"/>
      <c r="F25" s="1014"/>
      <c r="G25" s="1014"/>
      <c r="H25" s="1014"/>
      <c r="I25" s="1014"/>
      <c r="J25" s="1014"/>
      <c r="K25" s="1014"/>
      <c r="L25" s="1014"/>
      <c r="M25" s="1014"/>
      <c r="N25" s="1014"/>
      <c r="O25" s="1014"/>
      <c r="P25" s="1014"/>
      <c r="Q25" s="1014"/>
      <c r="R25" s="1014"/>
      <c r="S25" s="1014"/>
      <c r="T25" s="1014"/>
      <c r="U25" s="1014"/>
      <c r="V25" s="1014"/>
      <c r="W25" s="1014"/>
      <c r="X25" s="406"/>
      <c r="Y25" s="930"/>
      <c r="Z25" s="930"/>
      <c r="AA25" s="930"/>
      <c r="AB25" s="932"/>
      <c r="AC25" s="627"/>
    </row>
    <row r="26" spans="1:32" x14ac:dyDescent="0.25">
      <c r="A26" s="1014"/>
      <c r="B26" s="1014"/>
      <c r="C26" s="1014"/>
      <c r="D26" s="1014"/>
      <c r="E26" s="1014"/>
      <c r="F26" s="1014"/>
      <c r="G26" s="1014"/>
      <c r="H26" s="1014"/>
      <c r="I26" s="1014"/>
      <c r="J26" s="1014"/>
      <c r="K26" s="1014"/>
      <c r="L26" s="1014"/>
      <c r="M26" s="1014"/>
      <c r="N26" s="1014"/>
      <c r="O26" s="1014"/>
      <c r="P26" s="1014"/>
      <c r="Q26" s="1014"/>
      <c r="R26" s="1014"/>
      <c r="S26" s="1014"/>
      <c r="T26" s="1014"/>
      <c r="U26" s="1014"/>
      <c r="V26" s="1014"/>
      <c r="W26" s="1014"/>
      <c r="X26" s="406"/>
      <c r="Y26" s="930"/>
      <c r="Z26" s="930"/>
      <c r="AA26" s="930"/>
      <c r="AB26" s="932"/>
      <c r="AC26" s="627"/>
    </row>
    <row r="27" spans="1:32" x14ac:dyDescent="0.25">
      <c r="A27" s="1014"/>
      <c r="B27" s="1014"/>
      <c r="C27" s="1014"/>
      <c r="D27" s="1014"/>
      <c r="E27" s="1014"/>
      <c r="F27" s="1014"/>
      <c r="G27" s="1014"/>
      <c r="H27" s="1014"/>
      <c r="I27" s="1014"/>
      <c r="J27" s="1014"/>
      <c r="K27" s="1014"/>
      <c r="L27" s="1014"/>
      <c r="M27" s="1014"/>
      <c r="N27" s="1014"/>
      <c r="O27" s="1014"/>
      <c r="P27" s="1014"/>
      <c r="Q27" s="1014"/>
      <c r="R27" s="1014"/>
      <c r="S27" s="1014"/>
      <c r="T27" s="1014"/>
      <c r="U27" s="1014"/>
      <c r="V27" s="1014"/>
      <c r="W27" s="1014"/>
      <c r="X27" s="406"/>
      <c r="Y27" s="930"/>
      <c r="Z27" s="930"/>
      <c r="AA27" s="930"/>
      <c r="AB27" s="932"/>
      <c r="AC27" s="627"/>
    </row>
    <row r="28" spans="1:32" x14ac:dyDescent="0.25">
      <c r="A28" s="1014"/>
      <c r="B28" s="1014"/>
      <c r="C28" s="1014"/>
      <c r="D28" s="1014"/>
      <c r="E28" s="1014"/>
      <c r="F28" s="1014"/>
      <c r="G28" s="1014"/>
      <c r="H28" s="1014"/>
      <c r="I28" s="1014"/>
      <c r="J28" s="1014"/>
      <c r="K28" s="1014"/>
      <c r="L28" s="1014"/>
      <c r="M28" s="1014"/>
      <c r="N28" s="1014"/>
      <c r="O28" s="1014"/>
      <c r="P28" s="1014"/>
      <c r="Q28" s="1014"/>
      <c r="R28" s="1014"/>
      <c r="S28" s="1014"/>
      <c r="T28" s="1014"/>
      <c r="U28" s="1014"/>
      <c r="V28" s="1014"/>
      <c r="W28" s="1014"/>
      <c r="X28" s="406"/>
      <c r="Y28" s="930"/>
      <c r="Z28" s="930"/>
      <c r="AA28" s="930"/>
      <c r="AB28" s="932"/>
      <c r="AC28" s="627"/>
    </row>
    <row r="29" spans="1:32" s="633" customFormat="1" x14ac:dyDescent="0.25">
      <c r="A29" s="1014"/>
      <c r="B29" s="1014"/>
      <c r="C29" s="1014"/>
      <c r="D29" s="1014"/>
      <c r="E29" s="1014"/>
      <c r="F29" s="1014"/>
      <c r="G29" s="1014"/>
      <c r="H29" s="1014"/>
      <c r="I29" s="1014"/>
      <c r="J29" s="1014"/>
      <c r="K29" s="1014"/>
      <c r="L29" s="1014"/>
      <c r="M29" s="1014"/>
      <c r="N29" s="1014"/>
      <c r="O29" s="1014"/>
      <c r="P29" s="1014"/>
      <c r="Q29" s="1014"/>
      <c r="R29" s="1014"/>
      <c r="S29" s="1014"/>
      <c r="T29" s="1014"/>
      <c r="U29" s="1014"/>
      <c r="V29" s="1014"/>
      <c r="W29" s="1014"/>
      <c r="X29" s="1014"/>
    </row>
    <row r="30" spans="1:32" ht="27" customHeight="1" x14ac:dyDescent="0.25">
      <c r="A30" s="1014"/>
      <c r="B30" s="1014"/>
      <c r="C30" s="1014"/>
      <c r="D30" s="1014"/>
      <c r="E30" s="1014"/>
      <c r="F30" s="1014"/>
      <c r="G30" s="1014"/>
      <c r="H30" s="1014"/>
      <c r="I30" s="1014"/>
      <c r="J30" s="1014"/>
      <c r="K30" s="1014"/>
      <c r="L30" s="1014"/>
      <c r="M30" s="1014"/>
      <c r="N30" s="1014"/>
      <c r="O30" s="1014"/>
      <c r="P30" s="1014"/>
      <c r="Q30" s="1014"/>
      <c r="R30" s="1014"/>
      <c r="S30" s="1014"/>
      <c r="T30" s="1014"/>
      <c r="U30" s="1014"/>
      <c r="V30" s="1014"/>
      <c r="W30" s="1014"/>
      <c r="X30" s="1014"/>
    </row>
    <row r="31" spans="1:32" x14ac:dyDescent="0.25">
      <c r="A31" s="1014"/>
      <c r="B31" s="1014"/>
      <c r="C31" s="1014"/>
      <c r="D31" s="1014"/>
      <c r="E31" s="1014"/>
      <c r="F31" s="1014"/>
      <c r="G31" s="1014"/>
      <c r="H31" s="1014"/>
      <c r="I31" s="1014"/>
      <c r="J31" s="1014"/>
      <c r="K31" s="1014"/>
      <c r="L31" s="1014"/>
      <c r="M31" s="1014"/>
      <c r="N31" s="1014"/>
      <c r="O31" s="1014"/>
      <c r="P31" s="1014"/>
      <c r="Q31" s="1014"/>
      <c r="R31" s="1014"/>
      <c r="S31" s="1014"/>
      <c r="T31" s="1014"/>
      <c r="U31" s="1014"/>
      <c r="V31" s="1014"/>
      <c r="W31" s="1014"/>
      <c r="X31" s="1014"/>
    </row>
    <row r="32" spans="1:32" x14ac:dyDescent="0.25">
      <c r="A32" s="1014"/>
      <c r="B32" s="1014"/>
      <c r="C32" s="1014"/>
      <c r="D32" s="1014"/>
      <c r="E32" s="1014"/>
      <c r="F32" s="1014"/>
      <c r="G32" s="1014"/>
      <c r="H32" s="1014"/>
      <c r="I32" s="1014"/>
      <c r="J32" s="1014"/>
      <c r="K32" s="1014"/>
      <c r="L32" s="1014"/>
      <c r="M32" s="1014"/>
      <c r="N32" s="1014"/>
      <c r="O32" s="1014"/>
      <c r="P32" s="1014"/>
      <c r="Q32" s="1014"/>
      <c r="R32" s="1014"/>
      <c r="S32" s="1014"/>
      <c r="T32" s="1014"/>
      <c r="U32" s="1014"/>
      <c r="V32" s="1014"/>
      <c r="W32" s="1014"/>
      <c r="X32" s="1014"/>
    </row>
    <row r="33" spans="1:25" x14ac:dyDescent="0.25">
      <c r="A33" s="1014"/>
      <c r="B33" s="1014"/>
      <c r="C33" s="1014"/>
      <c r="D33" s="1014"/>
      <c r="E33" s="1014"/>
      <c r="F33" s="1014"/>
      <c r="G33" s="1014"/>
      <c r="H33" s="1014"/>
      <c r="I33" s="1014"/>
      <c r="J33" s="1014"/>
      <c r="K33" s="1014"/>
      <c r="L33" s="1014"/>
      <c r="M33" s="1014"/>
      <c r="N33" s="1014"/>
      <c r="O33" s="1014"/>
      <c r="P33" s="1014"/>
      <c r="Q33" s="1014"/>
      <c r="R33" s="1014"/>
      <c r="S33" s="1014"/>
      <c r="T33" s="1014"/>
      <c r="U33" s="1014"/>
      <c r="V33" s="1014"/>
      <c r="W33" s="1014"/>
      <c r="X33" s="1014"/>
    </row>
    <row r="34" spans="1:25" x14ac:dyDescent="0.25">
      <c r="A34" s="1014"/>
      <c r="B34" s="1014"/>
      <c r="C34" s="1014"/>
      <c r="D34" s="1014"/>
      <c r="E34" s="1014"/>
      <c r="F34" s="1014"/>
      <c r="G34" s="1014"/>
      <c r="H34" s="1014"/>
      <c r="I34" s="1014"/>
      <c r="J34" s="1014"/>
      <c r="K34" s="1014"/>
      <c r="L34" s="1014"/>
      <c r="M34" s="1014"/>
      <c r="N34" s="1014"/>
      <c r="O34" s="1014"/>
      <c r="P34" s="1014"/>
      <c r="Q34" s="1014"/>
      <c r="R34" s="1014"/>
      <c r="S34" s="1014"/>
      <c r="T34" s="1014"/>
      <c r="U34" s="1014"/>
      <c r="V34" s="1014"/>
      <c r="W34" s="1014"/>
      <c r="X34" s="1014"/>
      <c r="Y34" s="337"/>
    </row>
    <row r="35" spans="1:25" x14ac:dyDescent="0.25">
      <c r="A35" s="1014"/>
      <c r="B35" s="1014"/>
      <c r="C35" s="1014"/>
      <c r="D35" s="1014"/>
      <c r="E35" s="1014"/>
      <c r="F35" s="1014"/>
      <c r="G35" s="1014"/>
      <c r="H35" s="1014"/>
      <c r="I35" s="1014"/>
      <c r="J35" s="1014"/>
      <c r="K35" s="1014"/>
      <c r="L35" s="1014"/>
      <c r="M35" s="1014"/>
      <c r="N35" s="1014"/>
      <c r="O35" s="1014"/>
      <c r="P35" s="1014"/>
      <c r="Q35" s="1014"/>
      <c r="R35" s="1014"/>
      <c r="S35" s="1014"/>
      <c r="T35" s="1014"/>
      <c r="U35" s="1014"/>
      <c r="V35" s="1014"/>
      <c r="W35" s="1014"/>
      <c r="X35" s="1014"/>
      <c r="Y35" s="337"/>
    </row>
    <row r="36" spans="1:25" x14ac:dyDescent="0.25">
      <c r="A36" s="1014"/>
      <c r="B36" s="406"/>
      <c r="C36" s="406"/>
      <c r="D36" s="406"/>
      <c r="E36" s="406"/>
      <c r="F36" s="406"/>
      <c r="G36" s="406"/>
      <c r="H36" s="406"/>
      <c r="I36" s="406"/>
      <c r="J36" s="1014"/>
      <c r="K36" s="1014"/>
      <c r="L36" s="1014"/>
      <c r="M36" s="1014"/>
      <c r="N36" s="1014"/>
      <c r="O36" s="1014"/>
      <c r="P36" s="1014"/>
      <c r="Q36" s="1014"/>
      <c r="R36" s="1014"/>
      <c r="S36" s="1014"/>
      <c r="T36" s="1014"/>
      <c r="U36" s="1014"/>
      <c r="V36" s="1014"/>
      <c r="W36" s="1014"/>
      <c r="X36" s="1014"/>
      <c r="Y36" s="337"/>
    </row>
    <row r="37" spans="1:25" x14ac:dyDescent="0.25">
      <c r="A37" s="1014"/>
      <c r="B37" s="406"/>
      <c r="C37" s="406"/>
      <c r="D37" s="406"/>
      <c r="E37" s="406"/>
      <c r="F37" s="406"/>
      <c r="G37" s="406"/>
      <c r="H37" s="406"/>
      <c r="I37" s="406"/>
      <c r="J37" s="1014"/>
      <c r="K37" s="1014"/>
      <c r="L37" s="1014"/>
      <c r="M37" s="1014"/>
      <c r="N37" s="1014"/>
      <c r="O37" s="1014"/>
      <c r="P37" s="1014"/>
      <c r="Q37" s="1014"/>
      <c r="R37" s="1014"/>
      <c r="S37" s="1014"/>
      <c r="T37" s="1014"/>
      <c r="U37" s="1014"/>
      <c r="V37" s="1014"/>
      <c r="W37" s="1014"/>
      <c r="X37" s="1014"/>
      <c r="Y37" s="337"/>
    </row>
    <row r="38" spans="1:25" x14ac:dyDescent="0.25">
      <c r="A38" s="337"/>
      <c r="B38" s="337"/>
      <c r="C38" s="337"/>
      <c r="D38" s="337"/>
      <c r="E38" s="337"/>
      <c r="F38" s="337"/>
      <c r="G38" s="337"/>
      <c r="H38" s="337"/>
      <c r="I38" s="337"/>
      <c r="J38" s="337"/>
      <c r="K38" s="337"/>
      <c r="L38" s="337"/>
      <c r="M38" s="337"/>
      <c r="N38" s="337"/>
      <c r="O38" s="337"/>
      <c r="P38" s="337"/>
      <c r="Q38" s="337"/>
      <c r="R38" s="337"/>
      <c r="S38" s="337"/>
      <c r="T38" s="337"/>
      <c r="U38" s="337"/>
      <c r="V38" s="337"/>
      <c r="W38" s="337"/>
      <c r="X38" s="406"/>
      <c r="Y38" s="337"/>
    </row>
    <row r="39" spans="1:25" x14ac:dyDescent="0.25">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406"/>
      <c r="Y39" s="337"/>
    </row>
  </sheetData>
  <mergeCells count="13">
    <mergeCell ref="B10:D10"/>
    <mergeCell ref="B5:D5"/>
    <mergeCell ref="B11:D11"/>
    <mergeCell ref="B12:D12"/>
    <mergeCell ref="B13:D13"/>
    <mergeCell ref="B19:D19"/>
    <mergeCell ref="B22:I22"/>
    <mergeCell ref="H11:H13"/>
    <mergeCell ref="B17:D17"/>
    <mergeCell ref="B18:D18"/>
    <mergeCell ref="B15:D15"/>
    <mergeCell ref="B14:D14"/>
    <mergeCell ref="B16:D16"/>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901"/>
  <sheetViews>
    <sheetView topLeftCell="K1" zoomScale="80" zoomScaleNormal="80" workbookViewId="0">
      <pane ySplit="1" topLeftCell="A2" activePane="bottomLeft" state="frozen"/>
      <selection activeCell="F1" sqref="F1"/>
      <selection pane="bottomLeft" activeCell="W16" sqref="W16"/>
    </sheetView>
  </sheetViews>
  <sheetFormatPr defaultRowHeight="12.75" customHeight="1" x14ac:dyDescent="0.25"/>
  <cols>
    <col min="1" max="1" width="11.42578125" style="830" customWidth="1"/>
    <col min="2" max="2" width="7.5703125" style="830" customWidth="1"/>
    <col min="3" max="3" width="36.42578125" style="830" customWidth="1"/>
    <col min="4" max="4" width="16.28515625" style="830" customWidth="1"/>
    <col min="5" max="5" width="6.28515625" style="830" customWidth="1"/>
    <col min="6" max="6" width="11" style="830" customWidth="1"/>
    <col min="7" max="7" width="14.140625" style="830" customWidth="1"/>
    <col min="8" max="8" width="13.28515625" style="830" customWidth="1"/>
    <col min="9" max="9" width="12.85546875" style="830" customWidth="1"/>
    <col min="10" max="10" width="11.5703125" style="830" customWidth="1"/>
    <col min="11" max="11" width="14.5703125" style="830" customWidth="1"/>
    <col min="12" max="12" width="20.140625" style="830" customWidth="1"/>
    <col min="13" max="13" width="11.42578125" style="830" customWidth="1"/>
    <col min="14" max="14" width="10.5703125" style="830" customWidth="1"/>
    <col min="15" max="15" width="15.7109375" style="830" customWidth="1"/>
    <col min="16" max="16" width="16.42578125" style="830" customWidth="1"/>
    <col min="17" max="17" width="20" style="830" customWidth="1"/>
    <col min="18" max="18" width="23.42578125" style="830" customWidth="1"/>
    <col min="19" max="19" width="23" style="830" customWidth="1"/>
    <col min="20" max="20" width="17.7109375" style="830" customWidth="1"/>
    <col min="21" max="21" width="19.85546875" style="830" customWidth="1"/>
    <col min="22" max="16384" width="9.140625" style="830"/>
  </cols>
  <sheetData>
    <row r="1" spans="1:23" s="820" customFormat="1" ht="12.75" customHeight="1" x14ac:dyDescent="0.25">
      <c r="A1" s="815"/>
      <c r="B1" s="815"/>
      <c r="C1" s="815"/>
      <c r="D1" s="815"/>
      <c r="E1" s="815"/>
      <c r="F1" s="815"/>
      <c r="G1" s="816" t="s">
        <v>511</v>
      </c>
      <c r="H1" s="815" t="s">
        <v>516</v>
      </c>
      <c r="I1" s="815"/>
      <c r="J1" s="815"/>
      <c r="K1" s="815"/>
      <c r="L1" s="815"/>
      <c r="M1" s="815"/>
      <c r="N1" s="817" t="s">
        <v>505</v>
      </c>
      <c r="O1" s="817" t="s">
        <v>69</v>
      </c>
      <c r="P1" s="818" t="s">
        <v>615</v>
      </c>
      <c r="Q1" s="818" t="s">
        <v>616</v>
      </c>
      <c r="R1" s="819" t="s">
        <v>617</v>
      </c>
      <c r="S1" s="818" t="s">
        <v>618</v>
      </c>
      <c r="T1" s="815" t="s">
        <v>619</v>
      </c>
      <c r="U1" s="815" t="s">
        <v>620</v>
      </c>
      <c r="V1" s="815"/>
    </row>
    <row r="2" spans="1:23" s="820" customFormat="1" ht="12.75" customHeight="1" x14ac:dyDescent="0.25">
      <c r="A2" s="803"/>
      <c r="B2" s="803"/>
      <c r="C2" s="803"/>
      <c r="D2" s="803"/>
      <c r="E2" s="803"/>
      <c r="F2" s="803"/>
      <c r="G2" s="803" t="s">
        <v>512</v>
      </c>
      <c r="H2" s="803" t="s">
        <v>518</v>
      </c>
      <c r="I2" s="803"/>
      <c r="J2" s="803"/>
      <c r="K2" s="803"/>
      <c r="L2" s="803"/>
      <c r="M2" s="803"/>
      <c r="N2" s="804" t="s">
        <v>215</v>
      </c>
      <c r="O2" s="804" t="s">
        <v>215</v>
      </c>
      <c r="P2" s="805">
        <f>SUM(P3:P18)</f>
        <v>3074594</v>
      </c>
      <c r="Q2" s="803"/>
      <c r="R2" s="805">
        <f>SUM(R3:R18)</f>
        <v>62557</v>
      </c>
      <c r="S2" s="803"/>
      <c r="T2" s="805">
        <f>'Inputs TO'!I6</f>
        <v>5192.2310000000007</v>
      </c>
      <c r="U2" s="806"/>
      <c r="V2" s="803"/>
    </row>
    <row r="3" spans="1:23" s="820" customFormat="1" ht="12.75" customHeight="1" x14ac:dyDescent="0.25">
      <c r="A3" s="803"/>
      <c r="B3" s="803"/>
      <c r="C3" s="803"/>
      <c r="D3" s="803"/>
      <c r="E3" s="803"/>
      <c r="F3" s="803"/>
      <c r="G3" s="803" t="s">
        <v>512</v>
      </c>
      <c r="H3" s="803" t="s">
        <v>518</v>
      </c>
      <c r="I3" s="803"/>
      <c r="J3" s="803"/>
      <c r="K3" s="803"/>
      <c r="L3" s="803"/>
      <c r="M3" s="803"/>
      <c r="N3" s="804" t="s">
        <v>249</v>
      </c>
      <c r="O3" s="804" t="s">
        <v>27</v>
      </c>
      <c r="P3" s="807">
        <f>'County Pops'!D650</f>
        <v>88582</v>
      </c>
      <c r="Q3" s="808">
        <f>P3/P$2</f>
        <v>2.8810958455002512E-2</v>
      </c>
      <c r="R3" s="807">
        <f t="array" ref="R3">INDEX('County Pops'!$D$2:$D$642,MATCH(1,IF('County Pops'!$A$2:$A$642='Inputs TO'!$D$5,IF('County Pops'!$B$2:$B$642='Calibration Data'!N3,IF('County Pops'!$C$2:$C$642='Calibration Data'!O3,1))),0))</f>
        <v>1522</v>
      </c>
      <c r="S3" s="929">
        <f>R3/$R$2</f>
        <v>2.4329811212174497E-2</v>
      </c>
      <c r="T3" s="807">
        <f>U3*$T$2</f>
        <v>126.32600000000001</v>
      </c>
      <c r="U3" s="926">
        <f>S3</f>
        <v>2.4329811212174497E-2</v>
      </c>
      <c r="V3" s="803"/>
    </row>
    <row r="4" spans="1:23" s="820" customFormat="1" ht="12.75" customHeight="1" x14ac:dyDescent="0.25">
      <c r="A4" s="803"/>
      <c r="B4" s="803"/>
      <c r="C4" s="803"/>
      <c r="D4" s="803"/>
      <c r="E4" s="803"/>
      <c r="F4" s="803"/>
      <c r="G4" s="803" t="s">
        <v>512</v>
      </c>
      <c r="H4" s="803" t="s">
        <v>518</v>
      </c>
      <c r="I4" s="803"/>
      <c r="J4" s="803"/>
      <c r="K4" s="803"/>
      <c r="L4" s="803"/>
      <c r="M4" s="803"/>
      <c r="N4" s="804" t="s">
        <v>244</v>
      </c>
      <c r="O4" s="804" t="s">
        <v>27</v>
      </c>
      <c r="P4" s="807">
        <f>'County Pops'!D651</f>
        <v>185390</v>
      </c>
      <c r="Q4" s="808">
        <f t="shared" ref="Q4" si="0">P4/P$2</f>
        <v>6.0297392110958387E-2</v>
      </c>
      <c r="R4" s="807">
        <f t="array" ref="R4">INDEX('County Pops'!$D$2:$D$642,MATCH(1,IF('County Pops'!$A$2:$A$642='Inputs TO'!$D$5,IF('County Pops'!$B$2:$B$642='Calibration Data'!N4,IF('County Pops'!$C$2:$C$642='Calibration Data'!O4,1))),0))</f>
        <v>3222</v>
      </c>
      <c r="S4" s="929">
        <f t="shared" ref="S4:S18" si="1">R4/$R$2</f>
        <v>5.1505027414997524E-2</v>
      </c>
      <c r="T4" s="807">
        <f t="shared" ref="T4:T18" si="2">U4*$T$2</f>
        <v>267.42600000000004</v>
      </c>
      <c r="U4" s="926">
        <f t="shared" ref="U4:U18" si="3">S4</f>
        <v>5.1505027414997524E-2</v>
      </c>
      <c r="V4" s="803"/>
      <c r="W4" s="406"/>
    </row>
    <row r="5" spans="1:23" s="820" customFormat="1" ht="12.75" customHeight="1" x14ac:dyDescent="0.25">
      <c r="A5" s="803"/>
      <c r="B5" s="803"/>
      <c r="C5" s="803"/>
      <c r="D5" s="803"/>
      <c r="E5" s="803"/>
      <c r="F5" s="803"/>
      <c r="G5" s="803" t="s">
        <v>512</v>
      </c>
      <c r="H5" s="803" t="s">
        <v>518</v>
      </c>
      <c r="I5" s="803"/>
      <c r="J5" s="803"/>
      <c r="K5" s="803"/>
      <c r="L5" s="803"/>
      <c r="M5" s="803"/>
      <c r="N5" s="804" t="s">
        <v>4</v>
      </c>
      <c r="O5" s="804" t="s">
        <v>27</v>
      </c>
      <c r="P5" s="807">
        <f>'County Pops'!D652</f>
        <v>310288</v>
      </c>
      <c r="Q5" s="808">
        <f t="shared" ref="Q5:Q18" si="4">P5/P$2</f>
        <v>0.10091999138748076</v>
      </c>
      <c r="R5" s="807">
        <f t="array" ref="R5">INDEX('County Pops'!$D$2:$D$642,MATCH(1,IF('County Pops'!$A$2:$A$642='Inputs TO'!$D$5,IF('County Pops'!$B$2:$B$642='Calibration Data'!N5,IF('County Pops'!$C$2:$C$642='Calibration Data'!O5,1))),0))</f>
        <v>4917</v>
      </c>
      <c r="S5" s="929">
        <f t="shared" si="1"/>
        <v>7.8600316511341653E-2</v>
      </c>
      <c r="T5" s="807">
        <f t="shared" si="2"/>
        <v>408.11100000000005</v>
      </c>
      <c r="U5" s="926">
        <f t="shared" si="3"/>
        <v>7.8600316511341653E-2</v>
      </c>
      <c r="V5" s="803"/>
    </row>
    <row r="6" spans="1:23" s="820" customFormat="1" ht="12.75" customHeight="1" x14ac:dyDescent="0.25">
      <c r="A6" s="803"/>
      <c r="B6" s="803"/>
      <c r="C6" s="803"/>
      <c r="D6" s="803"/>
      <c r="E6" s="803"/>
      <c r="F6" s="803"/>
      <c r="G6" s="803" t="s">
        <v>512</v>
      </c>
      <c r="H6" s="803" t="s">
        <v>518</v>
      </c>
      <c r="I6" s="803"/>
      <c r="J6" s="803"/>
      <c r="K6" s="803"/>
      <c r="L6" s="803"/>
      <c r="M6" s="803"/>
      <c r="N6" s="804" t="s">
        <v>5</v>
      </c>
      <c r="O6" s="804" t="s">
        <v>27</v>
      </c>
      <c r="P6" s="807">
        <f>'County Pops'!D653</f>
        <v>320190</v>
      </c>
      <c r="Q6" s="808">
        <f t="shared" si="4"/>
        <v>0.10414057921143409</v>
      </c>
      <c r="R6" s="807">
        <f t="array" ref="R6">INDEX('County Pops'!$D$2:$D$642,MATCH(1,IF('County Pops'!$A$2:$A$642='Inputs TO'!$D$5,IF('County Pops'!$B$2:$B$642='Calibration Data'!N6,IF('County Pops'!$C$2:$C$642='Calibration Data'!O6,1))),0))</f>
        <v>4741</v>
      </c>
      <c r="S6" s="929">
        <f t="shared" si="1"/>
        <v>7.578688236328468E-2</v>
      </c>
      <c r="T6" s="807">
        <f t="shared" si="2"/>
        <v>393.50300000000004</v>
      </c>
      <c r="U6" s="926">
        <f t="shared" si="3"/>
        <v>7.578688236328468E-2</v>
      </c>
      <c r="V6" s="803"/>
    </row>
    <row r="7" spans="1:23" s="820" customFormat="1" ht="12.75" customHeight="1" x14ac:dyDescent="0.25">
      <c r="A7" s="803"/>
      <c r="B7" s="803"/>
      <c r="C7" s="803"/>
      <c r="D7" s="803"/>
      <c r="E7" s="803"/>
      <c r="F7" s="803"/>
      <c r="G7" s="803" t="s">
        <v>512</v>
      </c>
      <c r="H7" s="803" t="s">
        <v>518</v>
      </c>
      <c r="I7" s="803"/>
      <c r="J7" s="803"/>
      <c r="K7" s="803"/>
      <c r="L7" s="803"/>
      <c r="M7" s="803"/>
      <c r="N7" s="804" t="s">
        <v>6</v>
      </c>
      <c r="O7" s="804" t="s">
        <v>27</v>
      </c>
      <c r="P7" s="807">
        <f>'County Pops'!D654</f>
        <v>312468</v>
      </c>
      <c r="Q7" s="808">
        <f t="shared" si="4"/>
        <v>0.10162902809281485</v>
      </c>
      <c r="R7" s="807">
        <f t="array" ref="R7">INDEX('County Pops'!$D$2:$D$642,MATCH(1,IF('County Pops'!$A$2:$A$642='Inputs TO'!$D$5,IF('County Pops'!$B$2:$B$642='Calibration Data'!N7,IF('County Pops'!$C$2:$C$642='Calibration Data'!O7,1))),0))</f>
        <v>7000</v>
      </c>
      <c r="S7" s="929">
        <f t="shared" si="1"/>
        <v>0.11189794907044776</v>
      </c>
      <c r="T7" s="807">
        <f t="shared" si="2"/>
        <v>581.00000000000011</v>
      </c>
      <c r="U7" s="926">
        <f t="shared" si="3"/>
        <v>0.11189794907044776</v>
      </c>
      <c r="V7" s="803"/>
    </row>
    <row r="8" spans="1:23" s="820" customFormat="1" ht="12.75" customHeight="1" x14ac:dyDescent="0.25">
      <c r="A8" s="803"/>
      <c r="B8" s="803"/>
      <c r="C8" s="803"/>
      <c r="D8" s="803"/>
      <c r="E8" s="803"/>
      <c r="F8" s="803"/>
      <c r="G8" s="803" t="s">
        <v>512</v>
      </c>
      <c r="H8" s="803" t="s">
        <v>518</v>
      </c>
      <c r="I8" s="803"/>
      <c r="J8" s="803"/>
      <c r="K8" s="803"/>
      <c r="L8" s="803"/>
      <c r="M8" s="803"/>
      <c r="N8" s="804" t="s">
        <v>7</v>
      </c>
      <c r="O8" s="804" t="s">
        <v>27</v>
      </c>
      <c r="P8" s="807">
        <f>'County Pops'!D655</f>
        <v>179463</v>
      </c>
      <c r="Q8" s="808">
        <f t="shared" si="4"/>
        <v>5.836965791255691E-2</v>
      </c>
      <c r="R8" s="807">
        <f t="array" ref="R8">INDEX('County Pops'!$D$2:$D$642,MATCH(1,IF('County Pops'!$A$2:$A$642='Inputs TO'!$D$5,IF('County Pops'!$B$2:$B$642='Calibration Data'!N8,IF('County Pops'!$C$2:$C$642='Calibration Data'!O8,1))),0))</f>
        <v>5090</v>
      </c>
      <c r="S8" s="929">
        <f t="shared" si="1"/>
        <v>8.1365794395511296E-2</v>
      </c>
      <c r="T8" s="807">
        <f t="shared" si="2"/>
        <v>422.47000000000008</v>
      </c>
      <c r="U8" s="926">
        <f t="shared" si="3"/>
        <v>8.1365794395511296E-2</v>
      </c>
      <c r="V8" s="803"/>
    </row>
    <row r="9" spans="1:23" s="820" customFormat="1" ht="12.75" customHeight="1" x14ac:dyDescent="0.25">
      <c r="A9" s="803"/>
      <c r="B9" s="803"/>
      <c r="C9" s="803"/>
      <c r="D9" s="803"/>
      <c r="E9" s="803"/>
      <c r="F9" s="803"/>
      <c r="G9" s="803" t="s">
        <v>512</v>
      </c>
      <c r="H9" s="803" t="s">
        <v>518</v>
      </c>
      <c r="I9" s="803"/>
      <c r="J9" s="803"/>
      <c r="K9" s="803"/>
      <c r="L9" s="803"/>
      <c r="M9" s="803"/>
      <c r="N9" s="804" t="s">
        <v>8</v>
      </c>
      <c r="O9" s="804" t="s">
        <v>27</v>
      </c>
      <c r="P9" s="807">
        <f>'County Pops'!D656</f>
        <v>91772</v>
      </c>
      <c r="Q9" s="808">
        <f t="shared" si="4"/>
        <v>2.9848493817395075E-2</v>
      </c>
      <c r="R9" s="807">
        <f t="array" ref="R9">INDEX('County Pops'!$D$2:$D$642,MATCH(1,IF('County Pops'!$A$2:$A$642='Inputs TO'!$D$5,IF('County Pops'!$B$2:$B$642='Calibration Data'!N9,IF('County Pops'!$C$2:$C$642='Calibration Data'!O9,1))),0))</f>
        <v>3280</v>
      </c>
      <c r="S9" s="929">
        <f t="shared" si="1"/>
        <v>5.2432181850152658E-2</v>
      </c>
      <c r="T9" s="807">
        <f t="shared" si="2"/>
        <v>272.24</v>
      </c>
      <c r="U9" s="926">
        <f t="shared" si="3"/>
        <v>5.2432181850152658E-2</v>
      </c>
      <c r="V9" s="803"/>
    </row>
    <row r="10" spans="1:23" s="820" customFormat="1" ht="12.75" customHeight="1" x14ac:dyDescent="0.25">
      <c r="A10" s="803"/>
      <c r="B10" s="803"/>
      <c r="C10" s="803"/>
      <c r="D10" s="803"/>
      <c r="E10" s="803"/>
      <c r="F10" s="803"/>
      <c r="G10" s="803" t="s">
        <v>512</v>
      </c>
      <c r="H10" s="803" t="s">
        <v>518</v>
      </c>
      <c r="I10" s="803"/>
      <c r="J10" s="803"/>
      <c r="K10" s="803"/>
      <c r="L10" s="803"/>
      <c r="M10" s="803"/>
      <c r="N10" s="804" t="s">
        <v>9</v>
      </c>
      <c r="O10" s="804" t="s">
        <v>27</v>
      </c>
      <c r="P10" s="807">
        <f>'County Pops'!D657</f>
        <v>70428</v>
      </c>
      <c r="Q10" s="808">
        <f t="shared" si="4"/>
        <v>2.2906439029023017E-2</v>
      </c>
      <c r="R10" s="807">
        <f t="array" ref="R10">INDEX('County Pops'!$D$2:$D$642,MATCH(1,IF('County Pops'!$A$2:$A$642='Inputs TO'!$D$5,IF('County Pops'!$B$2:$B$642='Calibration Data'!N10,IF('County Pops'!$C$2:$C$642='Calibration Data'!O10,1))),0))</f>
        <v>1949</v>
      </c>
      <c r="S10" s="929">
        <f t="shared" si="1"/>
        <v>3.1155586105471811E-2</v>
      </c>
      <c r="T10" s="807">
        <f t="shared" si="2"/>
        <v>161.76700000000002</v>
      </c>
      <c r="U10" s="926">
        <f t="shared" si="3"/>
        <v>3.1155586105471811E-2</v>
      </c>
      <c r="V10" s="803"/>
    </row>
    <row r="11" spans="1:23" s="820" customFormat="1" ht="12.75" customHeight="1" x14ac:dyDescent="0.25">
      <c r="A11" s="803"/>
      <c r="B11" s="803"/>
      <c r="C11" s="803"/>
      <c r="D11" s="803"/>
      <c r="E11" s="803"/>
      <c r="F11" s="803"/>
      <c r="G11" s="803" t="s">
        <v>512</v>
      </c>
      <c r="H11" s="803" t="s">
        <v>518</v>
      </c>
      <c r="I11" s="803"/>
      <c r="J11" s="803"/>
      <c r="K11" s="803"/>
      <c r="L11" s="803"/>
      <c r="M11" s="803"/>
      <c r="N11" s="804" t="s">
        <v>249</v>
      </c>
      <c r="O11" s="804" t="s">
        <v>26</v>
      </c>
      <c r="P11" s="809">
        <f>'County Pops'!D642</f>
        <v>93188</v>
      </c>
      <c r="Q11" s="808">
        <f t="shared" si="4"/>
        <v>3.0309042429667137E-2</v>
      </c>
      <c r="R11" s="807">
        <f t="array" ref="R11">INDEX('County Pops'!$D$2:$D$642,MATCH(1,IF('County Pops'!$A$2:$A$642='Inputs TO'!$D$5,IF('County Pops'!$B$2:$B$642='Calibration Data'!N11,IF('County Pops'!$C$2:$C$642='Calibration Data'!O11,1))),0))</f>
        <v>1573</v>
      </c>
      <c r="S11" s="929">
        <f t="shared" si="1"/>
        <v>2.5145067698259187E-2</v>
      </c>
      <c r="T11" s="807">
        <f t="shared" si="2"/>
        <v>130.55900000000003</v>
      </c>
      <c r="U11" s="926">
        <f t="shared" si="3"/>
        <v>2.5145067698259187E-2</v>
      </c>
      <c r="V11" s="803"/>
    </row>
    <row r="12" spans="1:23" s="820" customFormat="1" ht="12.75" customHeight="1" x14ac:dyDescent="0.25">
      <c r="A12" s="803"/>
      <c r="B12" s="803"/>
      <c r="C12" s="803"/>
      <c r="D12" s="803"/>
      <c r="E12" s="803"/>
      <c r="F12" s="803"/>
      <c r="G12" s="803" t="s">
        <v>512</v>
      </c>
      <c r="H12" s="803" t="s">
        <v>518</v>
      </c>
      <c r="I12" s="803"/>
      <c r="J12" s="803"/>
      <c r="K12" s="803"/>
      <c r="L12" s="803"/>
      <c r="M12" s="803"/>
      <c r="N12" s="804" t="s">
        <v>244</v>
      </c>
      <c r="O12" s="804" t="s">
        <v>26</v>
      </c>
      <c r="P12" s="809">
        <f>'County Pops'!D643</f>
        <v>193413</v>
      </c>
      <c r="Q12" s="808">
        <f t="shared" si="4"/>
        <v>6.2906842334304949E-2</v>
      </c>
      <c r="R12" s="807">
        <f t="array" ref="R12">INDEX('County Pops'!$D$2:$D$642,MATCH(1,IF('County Pops'!$A$2:$A$642='Inputs TO'!$D$5,IF('County Pops'!$B$2:$B$642='Calibration Data'!N12,IF('County Pops'!$C$2:$C$642='Calibration Data'!O12,1))),0))</f>
        <v>3310</v>
      </c>
      <c r="S12" s="929">
        <f t="shared" si="1"/>
        <v>5.2911744489026011E-2</v>
      </c>
      <c r="T12" s="807">
        <f t="shared" si="2"/>
        <v>274.73000000000008</v>
      </c>
      <c r="U12" s="926">
        <f t="shared" si="3"/>
        <v>5.2911744489026011E-2</v>
      </c>
      <c r="V12" s="803"/>
    </row>
    <row r="13" spans="1:23" s="820" customFormat="1" ht="12.75" customHeight="1" x14ac:dyDescent="0.25">
      <c r="A13" s="803"/>
      <c r="B13" s="803"/>
      <c r="C13" s="803"/>
      <c r="D13" s="803"/>
      <c r="E13" s="803"/>
      <c r="F13" s="803"/>
      <c r="G13" s="803" t="s">
        <v>512</v>
      </c>
      <c r="H13" s="803" t="s">
        <v>518</v>
      </c>
      <c r="I13" s="803"/>
      <c r="J13" s="803"/>
      <c r="K13" s="803"/>
      <c r="L13" s="803"/>
      <c r="M13" s="803"/>
      <c r="N13" s="804" t="s">
        <v>4</v>
      </c>
      <c r="O13" s="804" t="s">
        <v>26</v>
      </c>
      <c r="P13" s="809">
        <f>'County Pops'!D644</f>
        <v>315889</v>
      </c>
      <c r="Q13" s="808">
        <f t="shared" si="4"/>
        <v>0.10274169532627722</v>
      </c>
      <c r="R13" s="807">
        <f t="array" ref="R13">INDEX('County Pops'!$D$2:$D$642,MATCH(1,IF('County Pops'!$A$2:$A$642='Inputs TO'!$D$5,IF('County Pops'!$B$2:$B$642='Calibration Data'!N13,IF('County Pops'!$C$2:$C$642='Calibration Data'!O13,1))),0))</f>
        <v>5037</v>
      </c>
      <c r="S13" s="929">
        <f t="shared" si="1"/>
        <v>8.0518567066835051E-2</v>
      </c>
      <c r="T13" s="807">
        <f t="shared" si="2"/>
        <v>418.07100000000008</v>
      </c>
      <c r="U13" s="926">
        <f t="shared" si="3"/>
        <v>8.0518567066835051E-2</v>
      </c>
      <c r="V13" s="803"/>
    </row>
    <row r="14" spans="1:23" s="820" customFormat="1" ht="12.75" customHeight="1" x14ac:dyDescent="0.25">
      <c r="A14" s="803"/>
      <c r="B14" s="803"/>
      <c r="C14" s="803"/>
      <c r="D14" s="803"/>
      <c r="E14" s="803"/>
      <c r="F14" s="803"/>
      <c r="G14" s="803" t="s">
        <v>512</v>
      </c>
      <c r="H14" s="803" t="s">
        <v>518</v>
      </c>
      <c r="I14" s="803"/>
      <c r="J14" s="803"/>
      <c r="K14" s="803"/>
      <c r="L14" s="803"/>
      <c r="M14" s="803"/>
      <c r="N14" s="804" t="s">
        <v>5</v>
      </c>
      <c r="O14" s="804" t="s">
        <v>26</v>
      </c>
      <c r="P14" s="809">
        <f>'County Pops'!D645</f>
        <v>324638</v>
      </c>
      <c r="Q14" s="808">
        <f t="shared" si="4"/>
        <v>0.10558727428727176</v>
      </c>
      <c r="R14" s="807">
        <f t="array" ref="R14">INDEX('County Pops'!$D$2:$D$642,MATCH(1,IF('County Pops'!$A$2:$A$642='Inputs TO'!$D$5,IF('County Pops'!$B$2:$B$642='Calibration Data'!N14,IF('County Pops'!$C$2:$C$642='Calibration Data'!O14,1))),0))</f>
        <v>4880</v>
      </c>
      <c r="S14" s="929">
        <f t="shared" si="1"/>
        <v>7.800885592339786E-2</v>
      </c>
      <c r="T14" s="807">
        <f t="shared" si="2"/>
        <v>405.04</v>
      </c>
      <c r="U14" s="926">
        <f t="shared" si="3"/>
        <v>7.800885592339786E-2</v>
      </c>
      <c r="V14" s="803"/>
    </row>
    <row r="15" spans="1:23" s="820" customFormat="1" ht="12.75" customHeight="1" x14ac:dyDescent="0.25">
      <c r="A15" s="803"/>
      <c r="B15" s="803"/>
      <c r="C15" s="803"/>
      <c r="D15" s="803"/>
      <c r="E15" s="803"/>
      <c r="F15" s="803"/>
      <c r="G15" s="803" t="s">
        <v>512</v>
      </c>
      <c r="H15" s="803" t="s">
        <v>518</v>
      </c>
      <c r="I15" s="803"/>
      <c r="J15" s="803"/>
      <c r="K15" s="803"/>
      <c r="L15" s="803"/>
      <c r="M15" s="803"/>
      <c r="N15" s="804" t="s">
        <v>6</v>
      </c>
      <c r="O15" s="804" t="s">
        <v>26</v>
      </c>
      <c r="P15" s="809">
        <f>'County Pops'!D646</f>
        <v>302374</v>
      </c>
      <c r="Q15" s="808">
        <f t="shared" si="4"/>
        <v>9.8345992999400902E-2</v>
      </c>
      <c r="R15" s="807">
        <f t="array" ref="R15">INDEX('County Pops'!$D$2:$D$642,MATCH(1,IF('County Pops'!$A$2:$A$642='Inputs TO'!$D$5,IF('County Pops'!$B$2:$B$642='Calibration Data'!N15,IF('County Pops'!$C$2:$C$642='Calibration Data'!O15,1))),0))</f>
        <v>6544</v>
      </c>
      <c r="S15" s="929">
        <f t="shared" si="1"/>
        <v>0.10460859695957286</v>
      </c>
      <c r="T15" s="807">
        <f t="shared" si="2"/>
        <v>543.15200000000004</v>
      </c>
      <c r="U15" s="926">
        <f t="shared" si="3"/>
        <v>0.10460859695957286</v>
      </c>
      <c r="V15" s="803"/>
    </row>
    <row r="16" spans="1:23" s="820" customFormat="1" ht="12.75" customHeight="1" x14ac:dyDescent="0.25">
      <c r="A16" s="803"/>
      <c r="B16" s="803"/>
      <c r="C16" s="803"/>
      <c r="D16" s="803"/>
      <c r="E16" s="803"/>
      <c r="F16" s="803"/>
      <c r="G16" s="803" t="s">
        <v>512</v>
      </c>
      <c r="H16" s="803" t="s">
        <v>518</v>
      </c>
      <c r="I16" s="803"/>
      <c r="J16" s="803"/>
      <c r="K16" s="803"/>
      <c r="L16" s="803"/>
      <c r="M16" s="803"/>
      <c r="N16" s="804" t="s">
        <v>7</v>
      </c>
      <c r="O16" s="804" t="s">
        <v>26</v>
      </c>
      <c r="P16" s="809">
        <f>'County Pops'!D647</f>
        <v>165499</v>
      </c>
      <c r="Q16" s="808">
        <f t="shared" si="4"/>
        <v>5.3827920044077361E-2</v>
      </c>
      <c r="R16" s="807">
        <f t="array" ref="R16">INDEX('County Pops'!$D$2:$D$642,MATCH(1,IF('County Pops'!$A$2:$A$642='Inputs TO'!$D$5,IF('County Pops'!$B$2:$B$642='Calibration Data'!N16,IF('County Pops'!$C$2:$C$642='Calibration Data'!O16,1))),0))</f>
        <v>4809</v>
      </c>
      <c r="S16" s="929">
        <f t="shared" si="1"/>
        <v>7.6873891011397605E-2</v>
      </c>
      <c r="T16" s="807">
        <f t="shared" si="2"/>
        <v>399.14700000000005</v>
      </c>
      <c r="U16" s="926">
        <f t="shared" si="3"/>
        <v>7.6873891011397605E-2</v>
      </c>
      <c r="V16" s="803"/>
    </row>
    <row r="17" spans="1:22" s="820" customFormat="1" ht="12.75" customHeight="1" x14ac:dyDescent="0.25">
      <c r="A17" s="803"/>
      <c r="B17" s="803"/>
      <c r="C17" s="803"/>
      <c r="D17" s="803"/>
      <c r="E17" s="803"/>
      <c r="F17" s="803"/>
      <c r="G17" s="803" t="s">
        <v>512</v>
      </c>
      <c r="H17" s="803" t="s">
        <v>518</v>
      </c>
      <c r="I17" s="803"/>
      <c r="J17" s="803"/>
      <c r="K17" s="803"/>
      <c r="L17" s="803"/>
      <c r="M17" s="803"/>
      <c r="N17" s="804" t="s">
        <v>8</v>
      </c>
      <c r="O17" s="804" t="s">
        <v>26</v>
      </c>
      <c r="P17" s="809">
        <f>'County Pops'!D648</f>
        <v>78372</v>
      </c>
      <c r="Q17" s="808">
        <f t="shared" si="4"/>
        <v>2.5490194802956098E-2</v>
      </c>
      <c r="R17" s="807">
        <f t="array" ref="R17">INDEX('County Pops'!$D$2:$D$642,MATCH(1,IF('County Pops'!$A$2:$A$642='Inputs TO'!$D$5,IF('County Pops'!$B$2:$B$642='Calibration Data'!N17,IF('County Pops'!$C$2:$C$642='Calibration Data'!O17,1))),0))</f>
        <v>3105</v>
      </c>
      <c r="S17" s="929">
        <f t="shared" si="1"/>
        <v>4.9634733123391464E-2</v>
      </c>
      <c r="T17" s="807">
        <f t="shared" si="2"/>
        <v>257.71500000000003</v>
      </c>
      <c r="U17" s="926">
        <f t="shared" si="3"/>
        <v>4.9634733123391464E-2</v>
      </c>
      <c r="V17" s="803"/>
    </row>
    <row r="18" spans="1:22" s="820" customFormat="1" ht="12.75" customHeight="1" x14ac:dyDescent="0.25">
      <c r="A18" s="803"/>
      <c r="B18" s="803"/>
      <c r="C18" s="803"/>
      <c r="D18" s="803"/>
      <c r="E18" s="803"/>
      <c r="F18" s="803"/>
      <c r="G18" s="803" t="s">
        <v>512</v>
      </c>
      <c r="H18" s="803" t="s">
        <v>518</v>
      </c>
      <c r="I18" s="803"/>
      <c r="J18" s="803"/>
      <c r="K18" s="803"/>
      <c r="L18" s="803"/>
      <c r="M18" s="803"/>
      <c r="N18" s="803" t="s">
        <v>9</v>
      </c>
      <c r="O18" s="803" t="s">
        <v>26</v>
      </c>
      <c r="P18" s="809">
        <f>'County Pops'!D649</f>
        <v>42640</v>
      </c>
      <c r="Q18" s="808">
        <f t="shared" si="4"/>
        <v>1.3868497759378961E-2</v>
      </c>
      <c r="R18" s="807">
        <f t="array" ref="R18">INDEX('County Pops'!$D$2:$D$642,MATCH(1,IF('County Pops'!$A$2:$A$642='Inputs TO'!$D$5,IF('County Pops'!$B$2:$B$642='Calibration Data'!N18,IF('County Pops'!$C$2:$C$642='Calibration Data'!O18,1))),0))</f>
        <v>1578</v>
      </c>
      <c r="S18" s="929">
        <f t="shared" si="1"/>
        <v>2.5224994804738079E-2</v>
      </c>
      <c r="T18" s="807">
        <f t="shared" si="2"/>
        <v>130.97400000000002</v>
      </c>
      <c r="U18" s="926">
        <f t="shared" si="3"/>
        <v>2.5224994804738079E-2</v>
      </c>
      <c r="V18" s="803"/>
    </row>
    <row r="19" spans="1:22" s="828" customFormat="1" ht="12.75" customHeight="1" x14ac:dyDescent="0.25">
      <c r="A19" s="821" t="s">
        <v>265</v>
      </c>
      <c r="B19" s="821" t="s">
        <v>266</v>
      </c>
      <c r="C19" s="821" t="s">
        <v>267</v>
      </c>
      <c r="D19" s="821" t="s">
        <v>268</v>
      </c>
      <c r="E19" s="821" t="s">
        <v>269</v>
      </c>
      <c r="F19" s="821" t="s">
        <v>270</v>
      </c>
      <c r="G19" s="821" t="s">
        <v>511</v>
      </c>
      <c r="H19" s="821" t="s">
        <v>516</v>
      </c>
      <c r="I19" s="821"/>
      <c r="J19" s="821"/>
      <c r="K19" s="821"/>
      <c r="L19" s="822" t="s">
        <v>318</v>
      </c>
      <c r="M19" s="822" t="s">
        <v>504</v>
      </c>
      <c r="N19" s="822" t="s">
        <v>505</v>
      </c>
      <c r="O19" s="823" t="s">
        <v>69</v>
      </c>
      <c r="P19" s="824" t="s">
        <v>506</v>
      </c>
      <c r="Q19" s="825" t="s">
        <v>513</v>
      </c>
      <c r="R19" s="826" t="s">
        <v>507</v>
      </c>
      <c r="S19" s="821" t="s">
        <v>508</v>
      </c>
      <c r="T19" s="821"/>
      <c r="U19" s="827" t="s">
        <v>517</v>
      </c>
      <c r="V19" s="821"/>
    </row>
    <row r="20" spans="1:22" s="820" customFormat="1" ht="12.75" customHeight="1" x14ac:dyDescent="0.25">
      <c r="A20" s="803" t="s">
        <v>308</v>
      </c>
      <c r="B20" s="803">
        <v>6</v>
      </c>
      <c r="C20" s="803" t="s">
        <v>519</v>
      </c>
      <c r="D20" s="803" t="s">
        <v>297</v>
      </c>
      <c r="E20" s="803">
        <v>1</v>
      </c>
      <c r="F20" s="803" t="s">
        <v>317</v>
      </c>
      <c r="G20" s="803" t="s">
        <v>512</v>
      </c>
      <c r="H20" s="803" t="s">
        <v>518</v>
      </c>
      <c r="I20" s="803"/>
      <c r="J20" s="803"/>
      <c r="K20" s="803"/>
      <c r="L20" s="803" t="s">
        <v>155</v>
      </c>
      <c r="M20" s="803" t="s">
        <v>455</v>
      </c>
      <c r="N20" s="803" t="s">
        <v>249</v>
      </c>
      <c r="O20" s="803" t="s">
        <v>27</v>
      </c>
      <c r="P20" s="803">
        <f>S20/P3*100000</f>
        <v>0.90311801494660326</v>
      </c>
      <c r="Q20" s="803">
        <v>0.88219596218908114</v>
      </c>
      <c r="R20" s="803">
        <f>IF(S20&lt;10, 1, P20/Q20)</f>
        <v>1</v>
      </c>
      <c r="S20" s="810">
        <v>0.8</v>
      </c>
      <c r="T20" s="803"/>
      <c r="U20" s="861" t="s">
        <v>623</v>
      </c>
      <c r="V20" s="803"/>
    </row>
    <row r="21" spans="1:22" s="820" customFormat="1" ht="12.75" customHeight="1" x14ac:dyDescent="0.25">
      <c r="A21" s="803" t="s">
        <v>308</v>
      </c>
      <c r="B21" s="803">
        <v>6</v>
      </c>
      <c r="C21" s="803" t="s">
        <v>519</v>
      </c>
      <c r="D21" s="803" t="s">
        <v>297</v>
      </c>
      <c r="E21" s="803">
        <v>1</v>
      </c>
      <c r="F21" s="803" t="s">
        <v>317</v>
      </c>
      <c r="G21" s="803" t="s">
        <v>512</v>
      </c>
      <c r="H21" s="803" t="s">
        <v>518</v>
      </c>
      <c r="I21" s="803"/>
      <c r="J21" s="803"/>
      <c r="K21" s="803"/>
      <c r="L21" s="803" t="s">
        <v>155</v>
      </c>
      <c r="M21" s="803" t="s">
        <v>455</v>
      </c>
      <c r="N21" s="803" t="s">
        <v>249</v>
      </c>
      <c r="O21" s="803" t="s">
        <v>26</v>
      </c>
      <c r="P21" s="803">
        <f>S21/P11*100000</f>
        <v>1.5023393569987551</v>
      </c>
      <c r="Q21" s="803">
        <v>1.6798782088298601</v>
      </c>
      <c r="R21" s="803">
        <f>IF(S21&lt;10, 1, P21/Q21)</f>
        <v>1</v>
      </c>
      <c r="S21" s="810">
        <v>1.4</v>
      </c>
      <c r="T21" s="803"/>
      <c r="U21" s="861" t="s">
        <v>623</v>
      </c>
      <c r="V21" s="803"/>
    </row>
    <row r="22" spans="1:22" s="820" customFormat="1" ht="12.75" customHeight="1" x14ac:dyDescent="0.25">
      <c r="A22" s="803" t="s">
        <v>308</v>
      </c>
      <c r="B22" s="803">
        <v>6</v>
      </c>
      <c r="C22" s="803" t="s">
        <v>519</v>
      </c>
      <c r="D22" s="803" t="s">
        <v>297</v>
      </c>
      <c r="E22" s="803">
        <v>1</v>
      </c>
      <c r="F22" s="803" t="s">
        <v>317</v>
      </c>
      <c r="G22" s="803" t="s">
        <v>512</v>
      </c>
      <c r="H22" s="803" t="s">
        <v>518</v>
      </c>
      <c r="I22" s="803"/>
      <c r="J22" s="803"/>
      <c r="K22" s="803"/>
      <c r="L22" s="803" t="s">
        <v>319</v>
      </c>
      <c r="M22" s="803" t="s">
        <v>456</v>
      </c>
      <c r="N22" s="803" t="s">
        <v>249</v>
      </c>
      <c r="O22" s="803" t="s">
        <v>27</v>
      </c>
      <c r="P22" s="803">
        <f>S22/P$3*100000</f>
        <v>107.69682328238243</v>
      </c>
      <c r="Q22" s="803">
        <v>99.908692717913439</v>
      </c>
      <c r="R22" s="803">
        <f>IF(S22&lt;10, 1, P22/Q22)</f>
        <v>1.0779524819372659</v>
      </c>
      <c r="S22" s="810">
        <v>95.4</v>
      </c>
      <c r="T22" s="803"/>
      <c r="U22" s="861" t="s">
        <v>623</v>
      </c>
      <c r="V22" s="803"/>
    </row>
    <row r="23" spans="1:22" s="820" customFormat="1" ht="12.75" customHeight="1" x14ac:dyDescent="0.25">
      <c r="A23" s="803" t="s">
        <v>308</v>
      </c>
      <c r="B23" s="803">
        <v>6</v>
      </c>
      <c r="C23" s="803" t="s">
        <v>519</v>
      </c>
      <c r="D23" s="803" t="s">
        <v>297</v>
      </c>
      <c r="E23" s="803">
        <v>1</v>
      </c>
      <c r="F23" s="803" t="s">
        <v>317</v>
      </c>
      <c r="G23" s="803" t="s">
        <v>512</v>
      </c>
      <c r="H23" s="803" t="s">
        <v>518</v>
      </c>
      <c r="I23" s="803"/>
      <c r="J23" s="803"/>
      <c r="K23" s="803"/>
      <c r="L23" s="803" t="s">
        <v>319</v>
      </c>
      <c r="M23" s="803" t="s">
        <v>456</v>
      </c>
      <c r="N23" s="803" t="s">
        <v>244</v>
      </c>
      <c r="O23" s="803" t="s">
        <v>27</v>
      </c>
      <c r="P23" s="803">
        <f>S23/P$4*100000</f>
        <v>11.543233184098387</v>
      </c>
      <c r="Q23" s="803">
        <v>11.880121940187403</v>
      </c>
      <c r="R23" s="803">
        <f t="shared" ref="R23:R87" si="5">IF(S23&lt;10, 1, P23/Q23)</f>
        <v>0.97164265166762243</v>
      </c>
      <c r="S23" s="810">
        <v>21.4</v>
      </c>
      <c r="T23" s="803"/>
      <c r="U23" s="861" t="s">
        <v>623</v>
      </c>
      <c r="V23" s="803"/>
    </row>
    <row r="24" spans="1:22" s="820" customFormat="1" ht="12.75" customHeight="1" x14ac:dyDescent="0.25">
      <c r="A24" s="803" t="s">
        <v>308</v>
      </c>
      <c r="B24" s="803">
        <v>6</v>
      </c>
      <c r="C24" s="803" t="s">
        <v>519</v>
      </c>
      <c r="D24" s="803" t="s">
        <v>297</v>
      </c>
      <c r="E24" s="803">
        <v>1</v>
      </c>
      <c r="F24" s="803" t="s">
        <v>317</v>
      </c>
      <c r="G24" s="803" t="s">
        <v>512</v>
      </c>
      <c r="H24" s="803" t="s">
        <v>518</v>
      </c>
      <c r="I24" s="803"/>
      <c r="J24" s="803"/>
      <c r="K24" s="803"/>
      <c r="L24" s="803" t="s">
        <v>319</v>
      </c>
      <c r="M24" s="803" t="s">
        <v>456</v>
      </c>
      <c r="N24" s="803" t="s">
        <v>4</v>
      </c>
      <c r="O24" s="803" t="s">
        <v>27</v>
      </c>
      <c r="P24" s="803">
        <f>S24/P$5*100000</f>
        <v>34.548548445315319</v>
      </c>
      <c r="Q24" s="803">
        <v>30.834589557352341</v>
      </c>
      <c r="R24" s="803">
        <f t="shared" si="5"/>
        <v>1.1204478133576259</v>
      </c>
      <c r="S24" s="810">
        <v>107.2</v>
      </c>
      <c r="T24" s="803"/>
      <c r="U24" s="861" t="s">
        <v>623</v>
      </c>
      <c r="V24" s="803"/>
    </row>
    <row r="25" spans="1:22" s="820" customFormat="1" ht="12.75" customHeight="1" x14ac:dyDescent="0.25">
      <c r="A25" s="803" t="s">
        <v>308</v>
      </c>
      <c r="B25" s="803">
        <v>6</v>
      </c>
      <c r="C25" s="803" t="s">
        <v>519</v>
      </c>
      <c r="D25" s="803" t="s">
        <v>297</v>
      </c>
      <c r="E25" s="803">
        <v>1</v>
      </c>
      <c r="F25" s="803" t="s">
        <v>317</v>
      </c>
      <c r="G25" s="803" t="s">
        <v>512</v>
      </c>
      <c r="H25" s="803" t="s">
        <v>518</v>
      </c>
      <c r="I25" s="803"/>
      <c r="J25" s="803"/>
      <c r="K25" s="803"/>
      <c r="L25" s="803" t="s">
        <v>319</v>
      </c>
      <c r="M25" s="803" t="s">
        <v>456</v>
      </c>
      <c r="N25" s="803" t="s">
        <v>5</v>
      </c>
      <c r="O25" s="803" t="s">
        <v>27</v>
      </c>
      <c r="P25" s="803">
        <f>S25/P$6*100000</f>
        <v>90.633686248789786</v>
      </c>
      <c r="Q25" s="803">
        <v>89.668305582276219</v>
      </c>
      <c r="R25" s="803">
        <f t="shared" si="5"/>
        <v>1.0107661303539162</v>
      </c>
      <c r="S25" s="810">
        <v>290.2</v>
      </c>
      <c r="T25" s="803"/>
      <c r="U25" s="861" t="s">
        <v>623</v>
      </c>
      <c r="V25" s="803"/>
    </row>
    <row r="26" spans="1:22" s="820" customFormat="1" ht="12.75" customHeight="1" x14ac:dyDescent="0.25">
      <c r="A26" s="803" t="s">
        <v>308</v>
      </c>
      <c r="B26" s="803">
        <v>6</v>
      </c>
      <c r="C26" s="803" t="s">
        <v>519</v>
      </c>
      <c r="D26" s="803" t="s">
        <v>297</v>
      </c>
      <c r="E26" s="803">
        <v>1</v>
      </c>
      <c r="F26" s="803" t="s">
        <v>317</v>
      </c>
      <c r="G26" s="803" t="s">
        <v>512</v>
      </c>
      <c r="H26" s="803" t="s">
        <v>518</v>
      </c>
      <c r="I26" s="803"/>
      <c r="J26" s="803"/>
      <c r="K26" s="803"/>
      <c r="L26" s="803" t="s">
        <v>319</v>
      </c>
      <c r="M26" s="803" t="s">
        <v>456</v>
      </c>
      <c r="N26" s="803" t="s">
        <v>6</v>
      </c>
      <c r="O26" s="803" t="s">
        <v>27</v>
      </c>
      <c r="P26" s="803">
        <f>S26/P$7*100000</f>
        <v>377.2546308742015</v>
      </c>
      <c r="Q26" s="803">
        <v>338.54125577094823</v>
      </c>
      <c r="R26" s="803">
        <f t="shared" si="5"/>
        <v>1.1143534929445826</v>
      </c>
      <c r="S26" s="810">
        <v>1178.8</v>
      </c>
      <c r="T26" s="803"/>
      <c r="U26" s="861" t="s">
        <v>623</v>
      </c>
      <c r="V26" s="803"/>
    </row>
    <row r="27" spans="1:22" s="820" customFormat="1" ht="12.75" customHeight="1" x14ac:dyDescent="0.25">
      <c r="A27" s="803" t="s">
        <v>308</v>
      </c>
      <c r="B27" s="803">
        <v>6</v>
      </c>
      <c r="C27" s="803" t="s">
        <v>519</v>
      </c>
      <c r="D27" s="803" t="s">
        <v>297</v>
      </c>
      <c r="E27" s="803">
        <v>1</v>
      </c>
      <c r="F27" s="803" t="s">
        <v>317</v>
      </c>
      <c r="G27" s="803" t="s">
        <v>512</v>
      </c>
      <c r="H27" s="803" t="s">
        <v>518</v>
      </c>
      <c r="I27" s="803"/>
      <c r="J27" s="803"/>
      <c r="K27" s="803"/>
      <c r="L27" s="803" t="s">
        <v>319</v>
      </c>
      <c r="M27" s="803" t="s">
        <v>456</v>
      </c>
      <c r="N27" s="803" t="s">
        <v>7</v>
      </c>
      <c r="O27" s="803" t="s">
        <v>27</v>
      </c>
      <c r="P27" s="803">
        <f>S27/P$8*100000</f>
        <v>869.48284604626019</v>
      </c>
      <c r="Q27" s="803">
        <v>879.33803286894147</v>
      </c>
      <c r="R27" s="803">
        <f t="shared" si="5"/>
        <v>0.98879249338217801</v>
      </c>
      <c r="S27" s="810">
        <v>1560.4</v>
      </c>
      <c r="T27" s="803"/>
      <c r="U27" s="861" t="s">
        <v>623</v>
      </c>
      <c r="V27" s="803"/>
    </row>
    <row r="28" spans="1:22" s="820" customFormat="1" ht="12.75" customHeight="1" x14ac:dyDescent="0.25">
      <c r="A28" s="803" t="s">
        <v>308</v>
      </c>
      <c r="B28" s="803">
        <v>6</v>
      </c>
      <c r="C28" s="803" t="s">
        <v>519</v>
      </c>
      <c r="D28" s="803" t="s">
        <v>297</v>
      </c>
      <c r="E28" s="803">
        <v>1</v>
      </c>
      <c r="F28" s="803" t="s">
        <v>317</v>
      </c>
      <c r="G28" s="803" t="s">
        <v>512</v>
      </c>
      <c r="H28" s="803" t="s">
        <v>518</v>
      </c>
      <c r="I28" s="803"/>
      <c r="J28" s="803"/>
      <c r="K28" s="803"/>
      <c r="L28" s="803" t="s">
        <v>319</v>
      </c>
      <c r="M28" s="803" t="s">
        <v>456</v>
      </c>
      <c r="N28" s="803" t="s">
        <v>8</v>
      </c>
      <c r="O28" s="803" t="s">
        <v>27</v>
      </c>
      <c r="P28" s="803">
        <f>S28/P$9*100000</f>
        <v>2349.5183716166148</v>
      </c>
      <c r="Q28" s="803">
        <v>2364.5105759908192</v>
      </c>
      <c r="R28" s="803">
        <f t="shared" si="5"/>
        <v>0.99365948939859483</v>
      </c>
      <c r="S28" s="810">
        <v>2156.1999999999998</v>
      </c>
      <c r="T28" s="803"/>
      <c r="U28" s="861" t="s">
        <v>623</v>
      </c>
      <c r="V28" s="803"/>
    </row>
    <row r="29" spans="1:22" s="820" customFormat="1" ht="12.75" customHeight="1" x14ac:dyDescent="0.25">
      <c r="A29" s="803" t="s">
        <v>308</v>
      </c>
      <c r="B29" s="803">
        <v>6</v>
      </c>
      <c r="C29" s="803" t="s">
        <v>519</v>
      </c>
      <c r="D29" s="803" t="s">
        <v>297</v>
      </c>
      <c r="E29" s="803">
        <v>1</v>
      </c>
      <c r="F29" s="803" t="s">
        <v>317</v>
      </c>
      <c r="G29" s="803" t="s">
        <v>512</v>
      </c>
      <c r="H29" s="803" t="s">
        <v>518</v>
      </c>
      <c r="I29" s="803"/>
      <c r="J29" s="803"/>
      <c r="K29" s="803"/>
      <c r="L29" s="803" t="s">
        <v>319</v>
      </c>
      <c r="M29" s="803" t="s">
        <v>456</v>
      </c>
      <c r="N29" s="803" t="s">
        <v>9</v>
      </c>
      <c r="O29" s="803" t="s">
        <v>27</v>
      </c>
      <c r="P29" s="803">
        <f>S29/P$10*100000</f>
        <v>10417.731584029079</v>
      </c>
      <c r="Q29" s="803">
        <v>9523.9591785424509</v>
      </c>
      <c r="R29" s="803">
        <f t="shared" si="5"/>
        <v>1.0938446279253595</v>
      </c>
      <c r="S29" s="810">
        <v>7337</v>
      </c>
      <c r="T29" s="803"/>
      <c r="U29" s="861" t="s">
        <v>623</v>
      </c>
      <c r="V29" s="803"/>
    </row>
    <row r="30" spans="1:22" s="820" customFormat="1" ht="12.75" customHeight="1" x14ac:dyDescent="0.25">
      <c r="A30" s="803" t="s">
        <v>308</v>
      </c>
      <c r="B30" s="803">
        <v>6</v>
      </c>
      <c r="C30" s="803" t="s">
        <v>519</v>
      </c>
      <c r="D30" s="803" t="s">
        <v>297</v>
      </c>
      <c r="E30" s="803">
        <v>1</v>
      </c>
      <c r="F30" s="803" t="s">
        <v>317</v>
      </c>
      <c r="G30" s="803" t="s">
        <v>512</v>
      </c>
      <c r="H30" s="803" t="s">
        <v>518</v>
      </c>
      <c r="I30" s="803"/>
      <c r="J30" s="803"/>
      <c r="K30" s="803"/>
      <c r="L30" s="803" t="s">
        <v>319</v>
      </c>
      <c r="M30" s="803" t="s">
        <v>456</v>
      </c>
      <c r="N30" s="803" t="s">
        <v>249</v>
      </c>
      <c r="O30" s="803" t="s">
        <v>26</v>
      </c>
      <c r="P30" s="803">
        <f>S30/P$11*100000</f>
        <v>129.20118470189297</v>
      </c>
      <c r="Q30" s="803">
        <v>122.8410940206835</v>
      </c>
      <c r="R30" s="803">
        <f t="shared" si="5"/>
        <v>1.0517749433275039</v>
      </c>
      <c r="S30" s="867">
        <v>120.4</v>
      </c>
      <c r="T30" s="803"/>
      <c r="U30" s="861" t="s">
        <v>623</v>
      </c>
      <c r="V30" s="803"/>
    </row>
    <row r="31" spans="1:22" s="820" customFormat="1" ht="12.75" customHeight="1" x14ac:dyDescent="0.25">
      <c r="A31" s="803" t="s">
        <v>308</v>
      </c>
      <c r="B31" s="803">
        <v>6</v>
      </c>
      <c r="C31" s="803" t="s">
        <v>519</v>
      </c>
      <c r="D31" s="803" t="s">
        <v>297</v>
      </c>
      <c r="E31" s="803">
        <v>1</v>
      </c>
      <c r="F31" s="803" t="s">
        <v>317</v>
      </c>
      <c r="G31" s="803" t="s">
        <v>512</v>
      </c>
      <c r="H31" s="803" t="s">
        <v>518</v>
      </c>
      <c r="I31" s="803"/>
      <c r="J31" s="803"/>
      <c r="K31" s="803"/>
      <c r="L31" s="803" t="s">
        <v>319</v>
      </c>
      <c r="M31" s="803" t="s">
        <v>456</v>
      </c>
      <c r="N31" s="803" t="s">
        <v>244</v>
      </c>
      <c r="O31" s="803" t="s">
        <v>26</v>
      </c>
      <c r="P31" s="803">
        <f>S31/P$12*100000</f>
        <v>12.408679871570163</v>
      </c>
      <c r="Q31" s="803">
        <v>13.515241553753755</v>
      </c>
      <c r="R31" s="803">
        <f t="shared" si="5"/>
        <v>0.91812490529433022</v>
      </c>
      <c r="S31" s="867">
        <v>24</v>
      </c>
      <c r="T31" s="803"/>
      <c r="U31" s="861" t="s">
        <v>623</v>
      </c>
      <c r="V31" s="803"/>
    </row>
    <row r="32" spans="1:22" s="820" customFormat="1" ht="12.75" customHeight="1" x14ac:dyDescent="0.25">
      <c r="A32" s="803" t="s">
        <v>308</v>
      </c>
      <c r="B32" s="803">
        <v>6</v>
      </c>
      <c r="C32" s="803" t="s">
        <v>519</v>
      </c>
      <c r="D32" s="803" t="s">
        <v>297</v>
      </c>
      <c r="E32" s="803">
        <v>1</v>
      </c>
      <c r="F32" s="803" t="s">
        <v>317</v>
      </c>
      <c r="G32" s="803" t="s">
        <v>512</v>
      </c>
      <c r="H32" s="803" t="s">
        <v>518</v>
      </c>
      <c r="I32" s="803"/>
      <c r="J32" s="803"/>
      <c r="K32" s="803"/>
      <c r="L32" s="803" t="s">
        <v>319</v>
      </c>
      <c r="M32" s="803" t="s">
        <v>456</v>
      </c>
      <c r="N32" s="803" t="s">
        <v>4</v>
      </c>
      <c r="O32" s="803" t="s">
        <v>26</v>
      </c>
      <c r="P32" s="803">
        <f>S32/P$13*100000</f>
        <v>90.791385581644192</v>
      </c>
      <c r="Q32" s="803">
        <v>86.706775406667447</v>
      </c>
      <c r="R32" s="803">
        <f t="shared" si="5"/>
        <v>1.0471083159974446</v>
      </c>
      <c r="S32" s="867">
        <v>286.8</v>
      </c>
      <c r="T32" s="803"/>
      <c r="U32" s="861" t="s">
        <v>623</v>
      </c>
      <c r="V32" s="803"/>
    </row>
    <row r="33" spans="1:22" s="820" customFormat="1" ht="12.75" customHeight="1" x14ac:dyDescent="0.25">
      <c r="A33" s="803" t="s">
        <v>308</v>
      </c>
      <c r="B33" s="803">
        <v>6</v>
      </c>
      <c r="C33" s="803" t="s">
        <v>519</v>
      </c>
      <c r="D33" s="803" t="s">
        <v>297</v>
      </c>
      <c r="E33" s="803">
        <v>1</v>
      </c>
      <c r="F33" s="803" t="s">
        <v>317</v>
      </c>
      <c r="G33" s="803" t="s">
        <v>512</v>
      </c>
      <c r="H33" s="803" t="s">
        <v>518</v>
      </c>
      <c r="I33" s="803"/>
      <c r="J33" s="803"/>
      <c r="K33" s="803"/>
      <c r="L33" s="803" t="s">
        <v>319</v>
      </c>
      <c r="M33" s="803" t="s">
        <v>456</v>
      </c>
      <c r="N33" s="803" t="s">
        <v>5</v>
      </c>
      <c r="O33" s="803" t="s">
        <v>26</v>
      </c>
      <c r="P33" s="803">
        <f>S33/P$14*100000</f>
        <v>162.21144782804231</v>
      </c>
      <c r="Q33" s="803">
        <v>157.44044457364811</v>
      </c>
      <c r="R33" s="803">
        <f t="shared" si="5"/>
        <v>1.0303035428241718</v>
      </c>
      <c r="S33" s="867">
        <v>526.6</v>
      </c>
      <c r="T33" s="803"/>
      <c r="U33" s="861" t="s">
        <v>623</v>
      </c>
      <c r="V33" s="803"/>
    </row>
    <row r="34" spans="1:22" s="820" customFormat="1" ht="12.75" customHeight="1" x14ac:dyDescent="0.25">
      <c r="A34" s="803" t="s">
        <v>308</v>
      </c>
      <c r="B34" s="803">
        <v>6</v>
      </c>
      <c r="C34" s="803" t="s">
        <v>519</v>
      </c>
      <c r="D34" s="803" t="s">
        <v>297</v>
      </c>
      <c r="E34" s="803">
        <v>1</v>
      </c>
      <c r="F34" s="803" t="s">
        <v>317</v>
      </c>
      <c r="G34" s="803" t="s">
        <v>512</v>
      </c>
      <c r="H34" s="803" t="s">
        <v>518</v>
      </c>
      <c r="I34" s="803"/>
      <c r="J34" s="803"/>
      <c r="K34" s="803"/>
      <c r="L34" s="803" t="s">
        <v>319</v>
      </c>
      <c r="M34" s="803" t="s">
        <v>456</v>
      </c>
      <c r="N34" s="803" t="s">
        <v>6</v>
      </c>
      <c r="O34" s="803" t="s">
        <v>26</v>
      </c>
      <c r="P34" s="803">
        <f>S34/P$15*100000</f>
        <v>613.01566933664935</v>
      </c>
      <c r="Q34" s="803">
        <v>561.21111198001722</v>
      </c>
      <c r="R34" s="803">
        <f t="shared" si="5"/>
        <v>1.0923085025416901</v>
      </c>
      <c r="S34" s="867">
        <v>1853.6</v>
      </c>
      <c r="T34" s="803"/>
      <c r="U34" s="861" t="s">
        <v>623</v>
      </c>
      <c r="V34" s="803"/>
    </row>
    <row r="35" spans="1:22" s="820" customFormat="1" ht="12.75" customHeight="1" x14ac:dyDescent="0.25">
      <c r="A35" s="803" t="s">
        <v>308</v>
      </c>
      <c r="B35" s="803">
        <v>6</v>
      </c>
      <c r="C35" s="803" t="s">
        <v>519</v>
      </c>
      <c r="D35" s="803" t="s">
        <v>297</v>
      </c>
      <c r="E35" s="803">
        <v>1</v>
      </c>
      <c r="F35" s="803" t="s">
        <v>317</v>
      </c>
      <c r="G35" s="803" t="s">
        <v>512</v>
      </c>
      <c r="H35" s="803" t="s">
        <v>518</v>
      </c>
      <c r="I35" s="803"/>
      <c r="J35" s="803"/>
      <c r="K35" s="803"/>
      <c r="L35" s="803" t="s">
        <v>319</v>
      </c>
      <c r="M35" s="803" t="s">
        <v>456</v>
      </c>
      <c r="N35" s="803" t="s">
        <v>7</v>
      </c>
      <c r="O35" s="803" t="s">
        <v>26</v>
      </c>
      <c r="P35" s="803">
        <f>S35/P$16*100000</f>
        <v>1338.2558202768598</v>
      </c>
      <c r="Q35" s="803">
        <v>1338.8050727778632</v>
      </c>
      <c r="R35" s="803">
        <f t="shared" si="5"/>
        <v>0.99958974423374136</v>
      </c>
      <c r="S35" s="867">
        <v>2214.8000000000002</v>
      </c>
      <c r="T35" s="803"/>
      <c r="U35" s="861" t="s">
        <v>623</v>
      </c>
      <c r="V35" s="803"/>
    </row>
    <row r="36" spans="1:22" s="820" customFormat="1" ht="12.75" customHeight="1" x14ac:dyDescent="0.25">
      <c r="A36" s="803" t="s">
        <v>308</v>
      </c>
      <c r="B36" s="803">
        <v>6</v>
      </c>
      <c r="C36" s="803" t="s">
        <v>519</v>
      </c>
      <c r="D36" s="803" t="s">
        <v>297</v>
      </c>
      <c r="E36" s="803">
        <v>1</v>
      </c>
      <c r="F36" s="803" t="s">
        <v>317</v>
      </c>
      <c r="G36" s="803" t="s">
        <v>512</v>
      </c>
      <c r="H36" s="803" t="s">
        <v>518</v>
      </c>
      <c r="I36" s="803"/>
      <c r="J36" s="803"/>
      <c r="K36" s="803"/>
      <c r="L36" s="803" t="s">
        <v>319</v>
      </c>
      <c r="M36" s="803" t="s">
        <v>456</v>
      </c>
      <c r="N36" s="803" t="s">
        <v>8</v>
      </c>
      <c r="O36" s="803" t="s">
        <v>26</v>
      </c>
      <c r="P36" s="803">
        <f>S36/P$17*100000</f>
        <v>3149.8494360230693</v>
      </c>
      <c r="Q36" s="803">
        <v>3217.9139407478324</v>
      </c>
      <c r="R36" s="803">
        <f t="shared" si="5"/>
        <v>0.97884825201106995</v>
      </c>
      <c r="S36" s="867">
        <v>2468.6</v>
      </c>
      <c r="T36" s="803"/>
      <c r="U36" s="861" t="s">
        <v>623</v>
      </c>
      <c r="V36" s="803"/>
    </row>
    <row r="37" spans="1:22" s="820" customFormat="1" ht="12.75" customHeight="1" x14ac:dyDescent="0.25">
      <c r="A37" s="803" t="s">
        <v>308</v>
      </c>
      <c r="B37" s="803">
        <v>6</v>
      </c>
      <c r="C37" s="803" t="s">
        <v>519</v>
      </c>
      <c r="D37" s="803" t="s">
        <v>297</v>
      </c>
      <c r="E37" s="803">
        <v>1</v>
      </c>
      <c r="F37" s="803" t="s">
        <v>317</v>
      </c>
      <c r="G37" s="803" t="s">
        <v>512</v>
      </c>
      <c r="H37" s="803" t="s">
        <v>518</v>
      </c>
      <c r="I37" s="803"/>
      <c r="J37" s="803"/>
      <c r="K37" s="803"/>
      <c r="L37" s="803" t="s">
        <v>319</v>
      </c>
      <c r="M37" s="803" t="s">
        <v>456</v>
      </c>
      <c r="N37" s="803" t="s">
        <v>9</v>
      </c>
      <c r="O37" s="803" t="s">
        <v>26</v>
      </c>
      <c r="P37" s="803">
        <f>S37/P$18*100000</f>
        <v>11807.692307692309</v>
      </c>
      <c r="Q37" s="803">
        <v>10961.403920762821</v>
      </c>
      <c r="R37" s="803">
        <f t="shared" si="5"/>
        <v>1.0772062039723278</v>
      </c>
      <c r="S37" s="867">
        <v>5034.8</v>
      </c>
      <c r="T37" s="803"/>
      <c r="U37" s="861" t="s">
        <v>623</v>
      </c>
      <c r="V37" s="803"/>
    </row>
    <row r="38" spans="1:22" s="820" customFormat="1" ht="12.75" customHeight="1" x14ac:dyDescent="0.25">
      <c r="A38" s="803" t="s">
        <v>308</v>
      </c>
      <c r="B38" s="803">
        <v>6</v>
      </c>
      <c r="C38" s="803" t="s">
        <v>519</v>
      </c>
      <c r="D38" s="803" t="s">
        <v>297</v>
      </c>
      <c r="E38" s="803">
        <v>1</v>
      </c>
      <c r="F38" s="803" t="s">
        <v>317</v>
      </c>
      <c r="G38" s="803" t="s">
        <v>512</v>
      </c>
      <c r="H38" s="803" t="s">
        <v>518</v>
      </c>
      <c r="I38" s="803"/>
      <c r="J38" s="803"/>
      <c r="K38" s="803"/>
      <c r="L38" s="803" t="s">
        <v>73</v>
      </c>
      <c r="M38" s="803" t="s">
        <v>457</v>
      </c>
      <c r="N38" s="803" t="s">
        <v>249</v>
      </c>
      <c r="O38" s="803" t="s">
        <v>27</v>
      </c>
      <c r="P38" s="803">
        <f>S38/P$3*100000</f>
        <v>0</v>
      </c>
      <c r="Q38" s="803">
        <v>0</v>
      </c>
      <c r="R38" s="803">
        <f t="shared" si="5"/>
        <v>1</v>
      </c>
      <c r="S38" s="810">
        <v>0</v>
      </c>
      <c r="T38" s="803"/>
      <c r="U38" s="861" t="s">
        <v>623</v>
      </c>
      <c r="V38" s="803"/>
    </row>
    <row r="39" spans="1:22" s="820" customFormat="1" ht="12.75" customHeight="1" x14ac:dyDescent="0.25">
      <c r="A39" s="803" t="s">
        <v>308</v>
      </c>
      <c r="B39" s="803">
        <v>6</v>
      </c>
      <c r="C39" s="803" t="s">
        <v>519</v>
      </c>
      <c r="D39" s="803" t="s">
        <v>297</v>
      </c>
      <c r="E39" s="803">
        <v>1</v>
      </c>
      <c r="F39" s="803" t="s">
        <v>317</v>
      </c>
      <c r="G39" s="803" t="s">
        <v>512</v>
      </c>
      <c r="H39" s="803" t="s">
        <v>518</v>
      </c>
      <c r="I39" s="803"/>
      <c r="J39" s="803"/>
      <c r="K39" s="803"/>
      <c r="L39" s="803" t="s">
        <v>73</v>
      </c>
      <c r="M39" s="803" t="s">
        <v>457</v>
      </c>
      <c r="N39" s="803" t="s">
        <v>244</v>
      </c>
      <c r="O39" s="803" t="s">
        <v>27</v>
      </c>
      <c r="P39" s="803">
        <f>S39/P$4*100000</f>
        <v>0.32364205189060902</v>
      </c>
      <c r="Q39" s="803">
        <v>0</v>
      </c>
      <c r="R39" s="803">
        <f t="shared" si="5"/>
        <v>1</v>
      </c>
      <c r="S39" s="810">
        <v>0.6</v>
      </c>
      <c r="T39" s="803"/>
      <c r="U39" s="861" t="s">
        <v>623</v>
      </c>
      <c r="V39" s="803"/>
    </row>
    <row r="40" spans="1:22" s="820" customFormat="1" ht="12.75" customHeight="1" x14ac:dyDescent="0.25">
      <c r="A40" s="803" t="s">
        <v>308</v>
      </c>
      <c r="B40" s="803">
        <v>6</v>
      </c>
      <c r="C40" s="803" t="s">
        <v>519</v>
      </c>
      <c r="D40" s="803" t="s">
        <v>297</v>
      </c>
      <c r="E40" s="803">
        <v>1</v>
      </c>
      <c r="F40" s="803" t="s">
        <v>317</v>
      </c>
      <c r="G40" s="803" t="s">
        <v>512</v>
      </c>
      <c r="H40" s="803" t="s">
        <v>518</v>
      </c>
      <c r="I40" s="803"/>
      <c r="J40" s="803"/>
      <c r="K40" s="803"/>
      <c r="L40" s="803" t="s">
        <v>73</v>
      </c>
      <c r="M40" s="803" t="s">
        <v>457</v>
      </c>
      <c r="N40" s="803" t="s">
        <v>4</v>
      </c>
      <c r="O40" s="803" t="s">
        <v>27</v>
      </c>
      <c r="P40" s="803">
        <f>S40/P$5*100000</f>
        <v>6.1233434744495439</v>
      </c>
      <c r="Q40" s="803">
        <v>6.4642745403254376E-2</v>
      </c>
      <c r="R40" s="803">
        <f t="shared" si="5"/>
        <v>94.72591914608364</v>
      </c>
      <c r="S40" s="810">
        <v>19</v>
      </c>
      <c r="T40" s="803"/>
      <c r="U40" s="861" t="s">
        <v>623</v>
      </c>
      <c r="V40" s="803"/>
    </row>
    <row r="41" spans="1:22" s="820" customFormat="1" ht="12.75" customHeight="1" x14ac:dyDescent="0.25">
      <c r="A41" s="803" t="s">
        <v>308</v>
      </c>
      <c r="B41" s="803">
        <v>6</v>
      </c>
      <c r="C41" s="803" t="s">
        <v>519</v>
      </c>
      <c r="D41" s="803" t="s">
        <v>297</v>
      </c>
      <c r="E41" s="803">
        <v>1</v>
      </c>
      <c r="F41" s="803" t="s">
        <v>317</v>
      </c>
      <c r="G41" s="803" t="s">
        <v>512</v>
      </c>
      <c r="H41" s="803" t="s">
        <v>518</v>
      </c>
      <c r="I41" s="803"/>
      <c r="J41" s="803"/>
      <c r="K41" s="803"/>
      <c r="L41" s="803" t="s">
        <v>73</v>
      </c>
      <c r="M41" s="803" t="s">
        <v>457</v>
      </c>
      <c r="N41" s="803" t="s">
        <v>5</v>
      </c>
      <c r="O41" s="803" t="s">
        <v>27</v>
      </c>
      <c r="P41" s="803">
        <f>S41/P$6*100000</f>
        <v>28.732939816983663</v>
      </c>
      <c r="Q41" s="803">
        <v>5.8734697979656909</v>
      </c>
      <c r="R41" s="803">
        <f>IF(S41&lt;10, 1, P41/Q41)</f>
        <v>4.8919873269690566</v>
      </c>
      <c r="S41" s="810">
        <v>92</v>
      </c>
      <c r="T41" s="803"/>
      <c r="U41" s="861" t="s">
        <v>623</v>
      </c>
      <c r="V41" s="803"/>
    </row>
    <row r="42" spans="1:22" s="820" customFormat="1" ht="12.75" customHeight="1" x14ac:dyDescent="0.25">
      <c r="A42" s="803" t="s">
        <v>308</v>
      </c>
      <c r="B42" s="803">
        <v>6</v>
      </c>
      <c r="C42" s="803" t="s">
        <v>519</v>
      </c>
      <c r="D42" s="803" t="s">
        <v>297</v>
      </c>
      <c r="E42" s="803">
        <v>1</v>
      </c>
      <c r="F42" s="803" t="s">
        <v>317</v>
      </c>
      <c r="G42" s="803" t="s">
        <v>512</v>
      </c>
      <c r="H42" s="803" t="s">
        <v>518</v>
      </c>
      <c r="I42" s="803"/>
      <c r="J42" s="803"/>
      <c r="K42" s="803"/>
      <c r="L42" s="803" t="s">
        <v>73</v>
      </c>
      <c r="M42" s="803" t="s">
        <v>457</v>
      </c>
      <c r="N42" s="803" t="s">
        <v>6</v>
      </c>
      <c r="O42" s="803" t="s">
        <v>27</v>
      </c>
      <c r="P42" s="803">
        <f>S42/P$7*100000</f>
        <v>0</v>
      </c>
      <c r="Q42" s="803">
        <v>26.318363843490939</v>
      </c>
      <c r="R42" s="803">
        <f t="shared" si="5"/>
        <v>1</v>
      </c>
      <c r="S42" s="810">
        <v>0</v>
      </c>
      <c r="T42" s="803"/>
      <c r="U42" s="861" t="s">
        <v>623</v>
      </c>
      <c r="V42" s="803"/>
    </row>
    <row r="43" spans="1:22" s="820" customFormat="1" ht="12.75" customHeight="1" x14ac:dyDescent="0.25">
      <c r="A43" s="803" t="s">
        <v>308</v>
      </c>
      <c r="B43" s="803">
        <v>6</v>
      </c>
      <c r="C43" s="803" t="s">
        <v>519</v>
      </c>
      <c r="D43" s="803" t="s">
        <v>297</v>
      </c>
      <c r="E43" s="803">
        <v>1</v>
      </c>
      <c r="F43" s="803" t="s">
        <v>317</v>
      </c>
      <c r="G43" s="803" t="s">
        <v>512</v>
      </c>
      <c r="H43" s="803" t="s">
        <v>518</v>
      </c>
      <c r="I43" s="803"/>
      <c r="J43" s="803"/>
      <c r="K43" s="803"/>
      <c r="L43" s="803" t="s">
        <v>73</v>
      </c>
      <c r="M43" s="803" t="s">
        <v>457</v>
      </c>
      <c r="N43" s="803" t="s">
        <v>7</v>
      </c>
      <c r="O43" s="803" t="s">
        <v>27</v>
      </c>
      <c r="P43" s="803">
        <f>S43/P$8*100000</f>
        <v>56.390453742554172</v>
      </c>
      <c r="Q43" s="803">
        <v>59.048344039375984</v>
      </c>
      <c r="R43" s="803">
        <f t="shared" si="5"/>
        <v>0.9549878944098853</v>
      </c>
      <c r="S43" s="810">
        <v>101.2</v>
      </c>
      <c r="T43" s="803"/>
      <c r="U43" s="861" t="s">
        <v>623</v>
      </c>
      <c r="V43" s="803"/>
    </row>
    <row r="44" spans="1:22" s="820" customFormat="1" ht="12.75" customHeight="1" x14ac:dyDescent="0.25">
      <c r="A44" s="803" t="s">
        <v>308</v>
      </c>
      <c r="B44" s="803">
        <v>6</v>
      </c>
      <c r="C44" s="803" t="s">
        <v>519</v>
      </c>
      <c r="D44" s="803" t="s">
        <v>297</v>
      </c>
      <c r="E44" s="803">
        <v>1</v>
      </c>
      <c r="F44" s="803" t="s">
        <v>317</v>
      </c>
      <c r="G44" s="803" t="s">
        <v>512</v>
      </c>
      <c r="H44" s="803" t="s">
        <v>518</v>
      </c>
      <c r="I44" s="803"/>
      <c r="J44" s="803"/>
      <c r="K44" s="803"/>
      <c r="L44" s="803" t="s">
        <v>73</v>
      </c>
      <c r="M44" s="803" t="s">
        <v>457</v>
      </c>
      <c r="N44" s="803" t="s">
        <v>8</v>
      </c>
      <c r="O44" s="803" t="s">
        <v>27</v>
      </c>
      <c r="P44" s="803">
        <f>S44/P$9*100000</f>
        <v>94.364294120210943</v>
      </c>
      <c r="Q44" s="803">
        <v>93.244820831437124</v>
      </c>
      <c r="R44" s="803">
        <f t="shared" si="5"/>
        <v>1.0120057422899396</v>
      </c>
      <c r="S44" s="810">
        <v>86.6</v>
      </c>
      <c r="T44" s="803"/>
      <c r="U44" s="861" t="s">
        <v>623</v>
      </c>
      <c r="V44" s="803"/>
    </row>
    <row r="45" spans="1:22" s="820" customFormat="1" ht="12.75" customHeight="1" x14ac:dyDescent="0.25">
      <c r="A45" s="803" t="s">
        <v>308</v>
      </c>
      <c r="B45" s="803">
        <v>6</v>
      </c>
      <c r="C45" s="803" t="s">
        <v>519</v>
      </c>
      <c r="D45" s="803" t="s">
        <v>297</v>
      </c>
      <c r="E45" s="803">
        <v>1</v>
      </c>
      <c r="F45" s="803" t="s">
        <v>317</v>
      </c>
      <c r="G45" s="803" t="s">
        <v>512</v>
      </c>
      <c r="H45" s="803" t="s">
        <v>518</v>
      </c>
      <c r="I45" s="803"/>
      <c r="J45" s="803"/>
      <c r="K45" s="803"/>
      <c r="L45" s="803" t="s">
        <v>73</v>
      </c>
      <c r="M45" s="803" t="s">
        <v>457</v>
      </c>
      <c r="N45" s="803" t="s">
        <v>9</v>
      </c>
      <c r="O45" s="803" t="s">
        <v>27</v>
      </c>
      <c r="P45" s="803">
        <f>S45/P$10*100000</f>
        <v>147.10058499460442</v>
      </c>
      <c r="Q45" s="803">
        <v>141.42372261522462</v>
      </c>
      <c r="R45" s="803">
        <f t="shared" si="5"/>
        <v>1.0401408071743734</v>
      </c>
      <c r="S45" s="810">
        <v>103.6</v>
      </c>
      <c r="T45" s="803"/>
      <c r="U45" s="861" t="s">
        <v>623</v>
      </c>
      <c r="V45" s="803"/>
    </row>
    <row r="46" spans="1:22" s="820" customFormat="1" ht="12.75" customHeight="1" x14ac:dyDescent="0.25">
      <c r="A46" s="803" t="s">
        <v>308</v>
      </c>
      <c r="B46" s="803">
        <v>6</v>
      </c>
      <c r="C46" s="803" t="s">
        <v>519</v>
      </c>
      <c r="D46" s="803" t="s">
        <v>297</v>
      </c>
      <c r="E46" s="803">
        <v>1</v>
      </c>
      <c r="F46" s="803" t="s">
        <v>317</v>
      </c>
      <c r="G46" s="803" t="s">
        <v>512</v>
      </c>
      <c r="H46" s="803" t="s">
        <v>518</v>
      </c>
      <c r="I46" s="803"/>
      <c r="J46" s="803"/>
      <c r="K46" s="803"/>
      <c r="L46" s="803" t="s">
        <v>73</v>
      </c>
      <c r="M46" s="803" t="s">
        <v>457</v>
      </c>
      <c r="N46" s="803" t="s">
        <v>249</v>
      </c>
      <c r="O46" s="803" t="s">
        <v>26</v>
      </c>
      <c r="P46" s="803">
        <f>S46/P$11*100000</f>
        <v>0</v>
      </c>
      <c r="Q46" s="803">
        <v>0</v>
      </c>
      <c r="R46" s="803">
        <f t="shared" si="5"/>
        <v>1</v>
      </c>
      <c r="S46" s="810">
        <v>0</v>
      </c>
      <c r="T46" s="803"/>
      <c r="U46" s="861" t="s">
        <v>623</v>
      </c>
      <c r="V46" s="803"/>
    </row>
    <row r="47" spans="1:22" s="820" customFormat="1" ht="12.75" customHeight="1" x14ac:dyDescent="0.25">
      <c r="A47" s="803" t="s">
        <v>308</v>
      </c>
      <c r="B47" s="803">
        <v>6</v>
      </c>
      <c r="C47" s="803" t="s">
        <v>519</v>
      </c>
      <c r="D47" s="803" t="s">
        <v>297</v>
      </c>
      <c r="E47" s="803">
        <v>1</v>
      </c>
      <c r="F47" s="803" t="s">
        <v>317</v>
      </c>
      <c r="G47" s="803" t="s">
        <v>512</v>
      </c>
      <c r="H47" s="803" t="s">
        <v>518</v>
      </c>
      <c r="I47" s="803"/>
      <c r="J47" s="803"/>
      <c r="K47" s="803"/>
      <c r="L47" s="803" t="s">
        <v>73</v>
      </c>
      <c r="M47" s="803" t="s">
        <v>457</v>
      </c>
      <c r="N47" s="803" t="s">
        <v>244</v>
      </c>
      <c r="O47" s="803" t="s">
        <v>26</v>
      </c>
      <c r="P47" s="803">
        <f>S47/P$12*100000</f>
        <v>0</v>
      </c>
      <c r="Q47" s="803">
        <v>0</v>
      </c>
      <c r="R47" s="803">
        <f t="shared" si="5"/>
        <v>1</v>
      </c>
      <c r="S47" s="810">
        <v>0</v>
      </c>
      <c r="T47" s="803"/>
      <c r="U47" s="861" t="s">
        <v>623</v>
      </c>
      <c r="V47" s="803"/>
    </row>
    <row r="48" spans="1:22" s="820" customFormat="1" ht="12.75" customHeight="1" x14ac:dyDescent="0.25">
      <c r="A48" s="803" t="s">
        <v>308</v>
      </c>
      <c r="B48" s="803">
        <v>6</v>
      </c>
      <c r="C48" s="803" t="s">
        <v>519</v>
      </c>
      <c r="D48" s="803" t="s">
        <v>297</v>
      </c>
      <c r="E48" s="803">
        <v>1</v>
      </c>
      <c r="F48" s="803" t="s">
        <v>317</v>
      </c>
      <c r="G48" s="803" t="s">
        <v>512</v>
      </c>
      <c r="H48" s="803" t="s">
        <v>518</v>
      </c>
      <c r="I48" s="803"/>
      <c r="J48" s="803"/>
      <c r="K48" s="803"/>
      <c r="L48" s="803" t="s">
        <v>73</v>
      </c>
      <c r="M48" s="803" t="s">
        <v>457</v>
      </c>
      <c r="N48" s="803" t="s">
        <v>4</v>
      </c>
      <c r="O48" s="803" t="s">
        <v>26</v>
      </c>
      <c r="P48" s="803">
        <f>S48/P$13*100000</f>
        <v>0</v>
      </c>
      <c r="Q48" s="803">
        <v>0</v>
      </c>
      <c r="R48" s="803">
        <f t="shared" si="5"/>
        <v>1</v>
      </c>
      <c r="S48" s="810">
        <v>0</v>
      </c>
      <c r="T48" s="803"/>
      <c r="U48" s="861" t="s">
        <v>623</v>
      </c>
      <c r="V48" s="803"/>
    </row>
    <row r="49" spans="1:22" s="820" customFormat="1" ht="12.75" customHeight="1" x14ac:dyDescent="0.25">
      <c r="A49" s="803" t="s">
        <v>308</v>
      </c>
      <c r="B49" s="803">
        <v>6</v>
      </c>
      <c r="C49" s="803" t="s">
        <v>519</v>
      </c>
      <c r="D49" s="803" t="s">
        <v>297</v>
      </c>
      <c r="E49" s="803">
        <v>1</v>
      </c>
      <c r="F49" s="803" t="s">
        <v>317</v>
      </c>
      <c r="G49" s="803" t="s">
        <v>512</v>
      </c>
      <c r="H49" s="803" t="s">
        <v>518</v>
      </c>
      <c r="I49" s="803"/>
      <c r="J49" s="803"/>
      <c r="K49" s="803"/>
      <c r="L49" s="803" t="s">
        <v>73</v>
      </c>
      <c r="M49" s="803" t="s">
        <v>457</v>
      </c>
      <c r="N49" s="803" t="s">
        <v>5</v>
      </c>
      <c r="O49" s="803" t="s">
        <v>26</v>
      </c>
      <c r="P49" s="803">
        <f>S49/P$14*100000</f>
        <v>6.1607082350186984E-2</v>
      </c>
      <c r="Q49" s="803">
        <v>0</v>
      </c>
      <c r="R49" s="803">
        <f t="shared" si="5"/>
        <v>1</v>
      </c>
      <c r="S49" s="810">
        <v>0.2</v>
      </c>
      <c r="T49" s="803"/>
      <c r="U49" s="861" t="s">
        <v>623</v>
      </c>
      <c r="V49" s="803"/>
    </row>
    <row r="50" spans="1:22" s="820" customFormat="1" ht="12.75" customHeight="1" x14ac:dyDescent="0.25">
      <c r="A50" s="803" t="s">
        <v>308</v>
      </c>
      <c r="B50" s="803">
        <v>6</v>
      </c>
      <c r="C50" s="803" t="s">
        <v>519</v>
      </c>
      <c r="D50" s="803" t="s">
        <v>297</v>
      </c>
      <c r="E50" s="803">
        <v>1</v>
      </c>
      <c r="F50" s="803" t="s">
        <v>317</v>
      </c>
      <c r="G50" s="803" t="s">
        <v>512</v>
      </c>
      <c r="H50" s="803" t="s">
        <v>518</v>
      </c>
      <c r="I50" s="803"/>
      <c r="J50" s="803"/>
      <c r="K50" s="803"/>
      <c r="L50" s="803" t="s">
        <v>73</v>
      </c>
      <c r="M50" s="803" t="s">
        <v>457</v>
      </c>
      <c r="N50" s="803" t="s">
        <v>6</v>
      </c>
      <c r="O50" s="803" t="s">
        <v>26</v>
      </c>
      <c r="P50" s="803">
        <f>S50/P$15*100000</f>
        <v>0</v>
      </c>
      <c r="Q50" s="803">
        <v>0.13143117376581201</v>
      </c>
      <c r="R50" s="803">
        <f t="shared" si="5"/>
        <v>1</v>
      </c>
      <c r="S50" s="810">
        <v>0</v>
      </c>
      <c r="T50" s="803"/>
      <c r="U50" s="861" t="s">
        <v>623</v>
      </c>
      <c r="V50" s="803"/>
    </row>
    <row r="51" spans="1:22" s="820" customFormat="1" ht="12.75" customHeight="1" x14ac:dyDescent="0.25">
      <c r="A51" s="803" t="s">
        <v>308</v>
      </c>
      <c r="B51" s="803">
        <v>6</v>
      </c>
      <c r="C51" s="803" t="s">
        <v>519</v>
      </c>
      <c r="D51" s="803" t="s">
        <v>297</v>
      </c>
      <c r="E51" s="803">
        <v>1</v>
      </c>
      <c r="F51" s="803" t="s">
        <v>317</v>
      </c>
      <c r="G51" s="803" t="s">
        <v>512</v>
      </c>
      <c r="H51" s="803" t="s">
        <v>518</v>
      </c>
      <c r="I51" s="803"/>
      <c r="J51" s="803"/>
      <c r="K51" s="803"/>
      <c r="L51" s="803" t="s">
        <v>73</v>
      </c>
      <c r="M51" s="803" t="s">
        <v>457</v>
      </c>
      <c r="N51" s="803" t="s">
        <v>7</v>
      </c>
      <c r="O51" s="803" t="s">
        <v>26</v>
      </c>
      <c r="P51" s="803">
        <f>S51/P$16*100000</f>
        <v>0.48338660656559862</v>
      </c>
      <c r="Q51" s="803">
        <v>0.41946895230638009</v>
      </c>
      <c r="R51" s="803">
        <f t="shared" si="5"/>
        <v>1</v>
      </c>
      <c r="S51" s="810">
        <v>0.8</v>
      </c>
      <c r="T51" s="803"/>
      <c r="U51" s="861" t="s">
        <v>623</v>
      </c>
      <c r="V51" s="803"/>
    </row>
    <row r="52" spans="1:22" s="820" customFormat="1" ht="12.75" customHeight="1" x14ac:dyDescent="0.25">
      <c r="A52" s="803" t="s">
        <v>308</v>
      </c>
      <c r="B52" s="803">
        <v>6</v>
      </c>
      <c r="C52" s="803" t="s">
        <v>519</v>
      </c>
      <c r="D52" s="803" t="s">
        <v>297</v>
      </c>
      <c r="E52" s="803">
        <v>1</v>
      </c>
      <c r="F52" s="803" t="s">
        <v>317</v>
      </c>
      <c r="G52" s="803" t="s">
        <v>512</v>
      </c>
      <c r="H52" s="803" t="s">
        <v>518</v>
      </c>
      <c r="I52" s="803"/>
      <c r="J52" s="803"/>
      <c r="K52" s="803"/>
      <c r="L52" s="803" t="s">
        <v>73</v>
      </c>
      <c r="M52" s="803" t="s">
        <v>457</v>
      </c>
      <c r="N52" s="803" t="s">
        <v>8</v>
      </c>
      <c r="O52" s="803" t="s">
        <v>26</v>
      </c>
      <c r="P52" s="803">
        <f>S52/P$17*100000</f>
        <v>0.76557954371459203</v>
      </c>
      <c r="Q52" s="803">
        <v>0.88647766962750196</v>
      </c>
      <c r="R52" s="803">
        <f t="shared" si="5"/>
        <v>1</v>
      </c>
      <c r="S52" s="810">
        <v>0.6</v>
      </c>
      <c r="T52" s="803"/>
      <c r="U52" s="861" t="s">
        <v>623</v>
      </c>
      <c r="V52" s="803"/>
    </row>
    <row r="53" spans="1:22" s="820" customFormat="1" ht="12.75" customHeight="1" x14ac:dyDescent="0.25">
      <c r="A53" s="803" t="s">
        <v>308</v>
      </c>
      <c r="B53" s="803">
        <v>6</v>
      </c>
      <c r="C53" s="803" t="s">
        <v>519</v>
      </c>
      <c r="D53" s="803" t="s">
        <v>297</v>
      </c>
      <c r="E53" s="803">
        <v>1</v>
      </c>
      <c r="F53" s="803" t="s">
        <v>317</v>
      </c>
      <c r="G53" s="803" t="s">
        <v>512</v>
      </c>
      <c r="H53" s="803" t="s">
        <v>518</v>
      </c>
      <c r="I53" s="803"/>
      <c r="J53" s="803"/>
      <c r="K53" s="803"/>
      <c r="L53" s="803" t="s">
        <v>73</v>
      </c>
      <c r="M53" s="803" t="s">
        <v>457</v>
      </c>
      <c r="N53" s="803" t="s">
        <v>9</v>
      </c>
      <c r="O53" s="803" t="s">
        <v>26</v>
      </c>
      <c r="P53" s="803">
        <f>S53/P$18*100000</f>
        <v>2.3452157598499062</v>
      </c>
      <c r="Q53" s="803">
        <v>2.4461959207236825</v>
      </c>
      <c r="R53" s="803">
        <f t="shared" si="5"/>
        <v>1</v>
      </c>
      <c r="S53" s="810">
        <v>1</v>
      </c>
      <c r="T53" s="803"/>
      <c r="U53" s="861" t="s">
        <v>623</v>
      </c>
      <c r="V53" s="803"/>
    </row>
    <row r="54" spans="1:22" s="820" customFormat="1" ht="12.75" customHeight="1" x14ac:dyDescent="0.25">
      <c r="A54" s="803" t="s">
        <v>308</v>
      </c>
      <c r="B54" s="803">
        <v>6</v>
      </c>
      <c r="C54" s="803" t="s">
        <v>519</v>
      </c>
      <c r="D54" s="803" t="s">
        <v>297</v>
      </c>
      <c r="E54" s="803">
        <v>1</v>
      </c>
      <c r="F54" s="803" t="s">
        <v>317</v>
      </c>
      <c r="G54" s="803" t="s">
        <v>512</v>
      </c>
      <c r="H54" s="803" t="s">
        <v>518</v>
      </c>
      <c r="I54" s="803"/>
      <c r="J54" s="803"/>
      <c r="K54" s="803"/>
      <c r="L54" s="803" t="s">
        <v>71</v>
      </c>
      <c r="M54" s="803" t="s">
        <v>458</v>
      </c>
      <c r="N54" s="803" t="s">
        <v>249</v>
      </c>
      <c r="O54" s="803" t="s">
        <v>27</v>
      </c>
      <c r="P54" s="803">
        <f>S54/P$3*100000</f>
        <v>0</v>
      </c>
      <c r="Q54" s="803">
        <v>0</v>
      </c>
      <c r="R54" s="803">
        <f>IF(S54&lt;10, 1, P54/Q54)</f>
        <v>1</v>
      </c>
      <c r="S54" s="810">
        <v>0</v>
      </c>
      <c r="T54" s="803"/>
      <c r="U54" s="861" t="s">
        <v>623</v>
      </c>
      <c r="V54" s="803"/>
    </row>
    <row r="55" spans="1:22" s="820" customFormat="1" ht="12.75" customHeight="1" x14ac:dyDescent="0.25">
      <c r="A55" s="803" t="s">
        <v>308</v>
      </c>
      <c r="B55" s="803">
        <v>6</v>
      </c>
      <c r="C55" s="803" t="s">
        <v>519</v>
      </c>
      <c r="D55" s="803" t="s">
        <v>297</v>
      </c>
      <c r="E55" s="803">
        <v>1</v>
      </c>
      <c r="F55" s="803" t="s">
        <v>317</v>
      </c>
      <c r="G55" s="803" t="s">
        <v>512</v>
      </c>
      <c r="H55" s="803" t="s">
        <v>518</v>
      </c>
      <c r="I55" s="803"/>
      <c r="J55" s="803"/>
      <c r="K55" s="803"/>
      <c r="L55" s="803" t="s">
        <v>71</v>
      </c>
      <c r="M55" s="803" t="s">
        <v>458</v>
      </c>
      <c r="N55" s="803" t="s">
        <v>244</v>
      </c>
      <c r="O55" s="803" t="s">
        <v>27</v>
      </c>
      <c r="P55" s="803">
        <f>S55/P$4*100000</f>
        <v>0.10788068396353633</v>
      </c>
      <c r="Q55" s="803">
        <v>0</v>
      </c>
      <c r="R55" s="803">
        <f t="shared" si="5"/>
        <v>1</v>
      </c>
      <c r="S55" s="810">
        <v>0.2</v>
      </c>
      <c r="T55" s="803"/>
      <c r="U55" s="861" t="s">
        <v>623</v>
      </c>
      <c r="V55" s="803"/>
    </row>
    <row r="56" spans="1:22" s="820" customFormat="1" ht="12.75" customHeight="1" x14ac:dyDescent="0.25">
      <c r="A56" s="803" t="s">
        <v>308</v>
      </c>
      <c r="B56" s="803">
        <v>6</v>
      </c>
      <c r="C56" s="803" t="s">
        <v>519</v>
      </c>
      <c r="D56" s="803" t="s">
        <v>297</v>
      </c>
      <c r="E56" s="803">
        <v>1</v>
      </c>
      <c r="F56" s="803" t="s">
        <v>317</v>
      </c>
      <c r="G56" s="803" t="s">
        <v>512</v>
      </c>
      <c r="H56" s="803" t="s">
        <v>518</v>
      </c>
      <c r="I56" s="803"/>
      <c r="J56" s="803"/>
      <c r="K56" s="803"/>
      <c r="L56" s="803" t="s">
        <v>71</v>
      </c>
      <c r="M56" s="803" t="s">
        <v>458</v>
      </c>
      <c r="N56" s="803" t="s">
        <v>4</v>
      </c>
      <c r="O56" s="803" t="s">
        <v>27</v>
      </c>
      <c r="P56" s="803">
        <f>S56/P$5*100000</f>
        <v>2.7071623781776935</v>
      </c>
      <c r="Q56" s="803">
        <v>0.12928549080650875</v>
      </c>
      <c r="R56" s="803">
        <f t="shared" si="5"/>
        <v>1</v>
      </c>
      <c r="S56" s="810">
        <v>8.4</v>
      </c>
      <c r="T56" s="803"/>
      <c r="U56" s="861" t="s">
        <v>623</v>
      </c>
      <c r="V56" s="803"/>
    </row>
    <row r="57" spans="1:22" s="820" customFormat="1" ht="12.75" customHeight="1" x14ac:dyDescent="0.25">
      <c r="A57" s="803" t="s">
        <v>308</v>
      </c>
      <c r="B57" s="803">
        <v>6</v>
      </c>
      <c r="C57" s="803" t="s">
        <v>519</v>
      </c>
      <c r="D57" s="803" t="s">
        <v>297</v>
      </c>
      <c r="E57" s="803">
        <v>1</v>
      </c>
      <c r="F57" s="803" t="s">
        <v>317</v>
      </c>
      <c r="G57" s="803" t="s">
        <v>512</v>
      </c>
      <c r="H57" s="803" t="s">
        <v>518</v>
      </c>
      <c r="I57" s="803"/>
      <c r="J57" s="803"/>
      <c r="K57" s="803"/>
      <c r="L57" s="803" t="s">
        <v>71</v>
      </c>
      <c r="M57" s="803" t="s">
        <v>458</v>
      </c>
      <c r="N57" s="803" t="s">
        <v>5</v>
      </c>
      <c r="O57" s="803" t="s">
        <v>27</v>
      </c>
      <c r="P57" s="803">
        <f>S57/P$6*100000</f>
        <v>10.618695149754833</v>
      </c>
      <c r="Q57" s="803">
        <v>2.2188663681203722</v>
      </c>
      <c r="R57" s="803">
        <f t="shared" si="5"/>
        <v>4.7856397763827729</v>
      </c>
      <c r="S57" s="810">
        <v>34</v>
      </c>
      <c r="T57" s="803"/>
      <c r="U57" s="861" t="s">
        <v>623</v>
      </c>
      <c r="V57" s="803"/>
    </row>
    <row r="58" spans="1:22" s="820" customFormat="1" ht="12.75" customHeight="1" x14ac:dyDescent="0.25">
      <c r="A58" s="803" t="s">
        <v>308</v>
      </c>
      <c r="B58" s="803">
        <v>6</v>
      </c>
      <c r="C58" s="803" t="s">
        <v>519</v>
      </c>
      <c r="D58" s="803" t="s">
        <v>297</v>
      </c>
      <c r="E58" s="803">
        <v>1</v>
      </c>
      <c r="F58" s="803" t="s">
        <v>317</v>
      </c>
      <c r="G58" s="803" t="s">
        <v>512</v>
      </c>
      <c r="H58" s="803" t="s">
        <v>518</v>
      </c>
      <c r="I58" s="803"/>
      <c r="J58" s="803"/>
      <c r="K58" s="803"/>
      <c r="L58" s="803" t="s">
        <v>71</v>
      </c>
      <c r="M58" s="803" t="s">
        <v>458</v>
      </c>
      <c r="N58" s="803" t="s">
        <v>6</v>
      </c>
      <c r="O58" s="803" t="s">
        <v>27</v>
      </c>
      <c r="P58" s="803">
        <f>S58/P$7*100000</f>
        <v>0</v>
      </c>
      <c r="Q58" s="803">
        <v>10.035059595000142</v>
      </c>
      <c r="R58" s="803">
        <f t="shared" si="5"/>
        <v>1</v>
      </c>
      <c r="S58" s="810">
        <v>0</v>
      </c>
      <c r="T58" s="803"/>
      <c r="U58" s="861" t="s">
        <v>623</v>
      </c>
      <c r="V58" s="803"/>
    </row>
    <row r="59" spans="1:22" s="820" customFormat="1" ht="12.75" customHeight="1" x14ac:dyDescent="0.25">
      <c r="A59" s="803" t="s">
        <v>308</v>
      </c>
      <c r="B59" s="803">
        <v>6</v>
      </c>
      <c r="C59" s="803" t="s">
        <v>519</v>
      </c>
      <c r="D59" s="803" t="s">
        <v>297</v>
      </c>
      <c r="E59" s="803">
        <v>1</v>
      </c>
      <c r="F59" s="803" t="s">
        <v>317</v>
      </c>
      <c r="G59" s="803" t="s">
        <v>512</v>
      </c>
      <c r="H59" s="803" t="s">
        <v>518</v>
      </c>
      <c r="I59" s="803"/>
      <c r="J59" s="803"/>
      <c r="K59" s="803"/>
      <c r="L59" s="803" t="s">
        <v>71</v>
      </c>
      <c r="M59" s="803" t="s">
        <v>458</v>
      </c>
      <c r="N59" s="803" t="s">
        <v>7</v>
      </c>
      <c r="O59" s="803" t="s">
        <v>27</v>
      </c>
      <c r="P59" s="803">
        <f>S59/P$8*100000</f>
        <v>25.29769367501936</v>
      </c>
      <c r="Q59" s="803">
        <v>26.591307249520309</v>
      </c>
      <c r="R59" s="803">
        <f t="shared" si="5"/>
        <v>0.95135201280770865</v>
      </c>
      <c r="S59" s="810">
        <v>45.4</v>
      </c>
      <c r="T59" s="803"/>
      <c r="U59" s="861" t="s">
        <v>623</v>
      </c>
      <c r="V59" s="803"/>
    </row>
    <row r="60" spans="1:22" s="820" customFormat="1" ht="12.75" customHeight="1" x14ac:dyDescent="0.25">
      <c r="A60" s="803" t="s">
        <v>308</v>
      </c>
      <c r="B60" s="803">
        <v>6</v>
      </c>
      <c r="C60" s="803" t="s">
        <v>519</v>
      </c>
      <c r="D60" s="803" t="s">
        <v>297</v>
      </c>
      <c r="E60" s="803">
        <v>1</v>
      </c>
      <c r="F60" s="803" t="s">
        <v>317</v>
      </c>
      <c r="G60" s="803" t="s">
        <v>512</v>
      </c>
      <c r="H60" s="803" t="s">
        <v>518</v>
      </c>
      <c r="I60" s="803"/>
      <c r="J60" s="803"/>
      <c r="K60" s="803"/>
      <c r="L60" s="803" t="s">
        <v>71</v>
      </c>
      <c r="M60" s="803" t="s">
        <v>458</v>
      </c>
      <c r="N60" s="803" t="s">
        <v>8</v>
      </c>
      <c r="O60" s="803" t="s">
        <v>27</v>
      </c>
      <c r="P60" s="803">
        <f>S60/P$9*100000</f>
        <v>56.444231355969144</v>
      </c>
      <c r="Q60" s="803">
        <v>54.908090781376757</v>
      </c>
      <c r="R60" s="803">
        <f t="shared" si="5"/>
        <v>1.0279765796393963</v>
      </c>
      <c r="S60" s="810">
        <v>51.8</v>
      </c>
      <c r="T60" s="803"/>
      <c r="U60" s="861" t="s">
        <v>623</v>
      </c>
      <c r="V60" s="803"/>
    </row>
    <row r="61" spans="1:22" s="820" customFormat="1" ht="12.75" customHeight="1" x14ac:dyDescent="0.25">
      <c r="A61" s="803" t="s">
        <v>308</v>
      </c>
      <c r="B61" s="803">
        <v>6</v>
      </c>
      <c r="C61" s="803" t="s">
        <v>519</v>
      </c>
      <c r="D61" s="803" t="s">
        <v>297</v>
      </c>
      <c r="E61" s="803">
        <v>1</v>
      </c>
      <c r="F61" s="803" t="s">
        <v>317</v>
      </c>
      <c r="G61" s="803" t="s">
        <v>512</v>
      </c>
      <c r="H61" s="803" t="s">
        <v>518</v>
      </c>
      <c r="I61" s="803"/>
      <c r="J61" s="803"/>
      <c r="K61" s="803"/>
      <c r="L61" s="803" t="s">
        <v>71</v>
      </c>
      <c r="M61" s="803" t="s">
        <v>458</v>
      </c>
      <c r="N61" s="803" t="s">
        <v>9</v>
      </c>
      <c r="O61" s="803" t="s">
        <v>27</v>
      </c>
      <c r="P61" s="803">
        <f>S61/P$10*100000</f>
        <v>160.7315272334867</v>
      </c>
      <c r="Q61" s="803">
        <v>152.8519022204953</v>
      </c>
      <c r="R61" s="803">
        <f t="shared" si="5"/>
        <v>1.0515507160756477</v>
      </c>
      <c r="S61" s="810">
        <v>113.2</v>
      </c>
      <c r="T61" s="803"/>
      <c r="U61" s="861" t="s">
        <v>623</v>
      </c>
      <c r="V61" s="803"/>
    </row>
    <row r="62" spans="1:22" s="820" customFormat="1" ht="12.75" customHeight="1" x14ac:dyDescent="0.25">
      <c r="A62" s="803" t="s">
        <v>308</v>
      </c>
      <c r="B62" s="803">
        <v>6</v>
      </c>
      <c r="C62" s="803" t="s">
        <v>519</v>
      </c>
      <c r="D62" s="803" t="s">
        <v>297</v>
      </c>
      <c r="E62" s="803">
        <v>1</v>
      </c>
      <c r="F62" s="803" t="s">
        <v>317</v>
      </c>
      <c r="G62" s="803" t="s">
        <v>512</v>
      </c>
      <c r="H62" s="803" t="s">
        <v>518</v>
      </c>
      <c r="I62" s="803"/>
      <c r="J62" s="803"/>
      <c r="K62" s="803"/>
      <c r="L62" s="803" t="s">
        <v>71</v>
      </c>
      <c r="M62" s="803" t="s">
        <v>458</v>
      </c>
      <c r="N62" s="803" t="s">
        <v>249</v>
      </c>
      <c r="O62" s="803" t="s">
        <v>26</v>
      </c>
      <c r="P62" s="803">
        <f>S62/P$11*100000</f>
        <v>0</v>
      </c>
      <c r="Q62" s="803">
        <v>0</v>
      </c>
      <c r="R62" s="803">
        <f t="shared" si="5"/>
        <v>1</v>
      </c>
      <c r="S62" s="810">
        <v>0</v>
      </c>
      <c r="T62" s="803"/>
      <c r="U62" s="861" t="s">
        <v>623</v>
      </c>
      <c r="V62" s="803"/>
    </row>
    <row r="63" spans="1:22" s="820" customFormat="1" ht="12.75" customHeight="1" x14ac:dyDescent="0.25">
      <c r="A63" s="803" t="s">
        <v>308</v>
      </c>
      <c r="B63" s="803">
        <v>6</v>
      </c>
      <c r="C63" s="803" t="s">
        <v>519</v>
      </c>
      <c r="D63" s="803" t="s">
        <v>297</v>
      </c>
      <c r="E63" s="803">
        <v>1</v>
      </c>
      <c r="F63" s="803" t="s">
        <v>317</v>
      </c>
      <c r="G63" s="803" t="s">
        <v>512</v>
      </c>
      <c r="H63" s="803" t="s">
        <v>518</v>
      </c>
      <c r="I63" s="803"/>
      <c r="J63" s="803"/>
      <c r="K63" s="803"/>
      <c r="L63" s="803" t="s">
        <v>71</v>
      </c>
      <c r="M63" s="803" t="s">
        <v>458</v>
      </c>
      <c r="N63" s="803" t="s">
        <v>244</v>
      </c>
      <c r="O63" s="803" t="s">
        <v>26</v>
      </c>
      <c r="P63" s="803">
        <f>S63/P$12*100000</f>
        <v>0.20681133119283607</v>
      </c>
      <c r="Q63" s="803">
        <v>0</v>
      </c>
      <c r="R63" s="803">
        <f t="shared" si="5"/>
        <v>1</v>
      </c>
      <c r="S63" s="810">
        <v>0.4</v>
      </c>
      <c r="T63" s="803"/>
      <c r="U63" s="861" t="s">
        <v>623</v>
      </c>
      <c r="V63" s="803"/>
    </row>
    <row r="64" spans="1:22" s="820" customFormat="1" ht="12.75" customHeight="1" x14ac:dyDescent="0.25">
      <c r="A64" s="803" t="s">
        <v>308</v>
      </c>
      <c r="B64" s="803">
        <v>6</v>
      </c>
      <c r="C64" s="803" t="s">
        <v>519</v>
      </c>
      <c r="D64" s="803" t="s">
        <v>297</v>
      </c>
      <c r="E64" s="803">
        <v>1</v>
      </c>
      <c r="F64" s="803" t="s">
        <v>317</v>
      </c>
      <c r="G64" s="803" t="s">
        <v>512</v>
      </c>
      <c r="H64" s="803" t="s">
        <v>518</v>
      </c>
      <c r="I64" s="803"/>
      <c r="J64" s="803"/>
      <c r="K64" s="803"/>
      <c r="L64" s="803" t="s">
        <v>71</v>
      </c>
      <c r="M64" s="803" t="s">
        <v>458</v>
      </c>
      <c r="N64" s="803" t="s">
        <v>4</v>
      </c>
      <c r="O64" s="803" t="s">
        <v>26</v>
      </c>
      <c r="P64" s="803">
        <f>S64/P$13*100000</f>
        <v>2.4059084045345043</v>
      </c>
      <c r="Q64" s="803">
        <v>6.328961708515872E-2</v>
      </c>
      <c r="R64" s="803">
        <f t="shared" si="5"/>
        <v>1</v>
      </c>
      <c r="S64" s="810">
        <v>7.6</v>
      </c>
      <c r="T64" s="803"/>
      <c r="U64" s="861" t="s">
        <v>623</v>
      </c>
      <c r="V64" s="803"/>
    </row>
    <row r="65" spans="1:22" s="820" customFormat="1" ht="12.75" customHeight="1" x14ac:dyDescent="0.25">
      <c r="A65" s="803" t="s">
        <v>308</v>
      </c>
      <c r="B65" s="803">
        <v>6</v>
      </c>
      <c r="C65" s="803" t="s">
        <v>519</v>
      </c>
      <c r="D65" s="803" t="s">
        <v>297</v>
      </c>
      <c r="E65" s="803">
        <v>1</v>
      </c>
      <c r="F65" s="803" t="s">
        <v>317</v>
      </c>
      <c r="G65" s="803" t="s">
        <v>512</v>
      </c>
      <c r="H65" s="803" t="s">
        <v>518</v>
      </c>
      <c r="I65" s="803"/>
      <c r="J65" s="803"/>
      <c r="K65" s="803"/>
      <c r="L65" s="803" t="s">
        <v>71</v>
      </c>
      <c r="M65" s="803" t="s">
        <v>458</v>
      </c>
      <c r="N65" s="803" t="s">
        <v>5</v>
      </c>
      <c r="O65" s="803" t="s">
        <v>26</v>
      </c>
      <c r="P65" s="803">
        <f>S65/P$14*100000</f>
        <v>14.970521011095435</v>
      </c>
      <c r="Q65" s="803">
        <v>2.0355936268108041</v>
      </c>
      <c r="R65" s="803">
        <f t="shared" si="5"/>
        <v>7.3543760473203985</v>
      </c>
      <c r="S65" s="810">
        <v>48.6</v>
      </c>
      <c r="T65" s="803"/>
      <c r="U65" s="861" t="s">
        <v>623</v>
      </c>
      <c r="V65" s="803"/>
    </row>
    <row r="66" spans="1:22" s="820" customFormat="1" ht="12.75" customHeight="1" x14ac:dyDescent="0.25">
      <c r="A66" s="803" t="s">
        <v>308</v>
      </c>
      <c r="B66" s="803">
        <v>6</v>
      </c>
      <c r="C66" s="803" t="s">
        <v>519</v>
      </c>
      <c r="D66" s="803" t="s">
        <v>297</v>
      </c>
      <c r="E66" s="803">
        <v>1</v>
      </c>
      <c r="F66" s="803" t="s">
        <v>317</v>
      </c>
      <c r="G66" s="803" t="s">
        <v>512</v>
      </c>
      <c r="H66" s="803" t="s">
        <v>518</v>
      </c>
      <c r="I66" s="803"/>
      <c r="J66" s="803"/>
      <c r="K66" s="803"/>
      <c r="L66" s="803" t="s">
        <v>71</v>
      </c>
      <c r="M66" s="803" t="s">
        <v>458</v>
      </c>
      <c r="N66" s="803" t="s">
        <v>6</v>
      </c>
      <c r="O66" s="803" t="s">
        <v>26</v>
      </c>
      <c r="P66" s="803">
        <f>S66/P$15*100000</f>
        <v>0</v>
      </c>
      <c r="Q66" s="803">
        <v>14.588860288005133</v>
      </c>
      <c r="R66" s="803">
        <f t="shared" si="5"/>
        <v>1</v>
      </c>
      <c r="S66" s="810">
        <v>0</v>
      </c>
      <c r="T66" s="803"/>
      <c r="U66" s="861" t="s">
        <v>623</v>
      </c>
      <c r="V66" s="803"/>
    </row>
    <row r="67" spans="1:22" s="820" customFormat="1" ht="12.75" customHeight="1" x14ac:dyDescent="0.25">
      <c r="A67" s="803" t="s">
        <v>308</v>
      </c>
      <c r="B67" s="803">
        <v>6</v>
      </c>
      <c r="C67" s="803" t="s">
        <v>519</v>
      </c>
      <c r="D67" s="803" t="s">
        <v>297</v>
      </c>
      <c r="E67" s="803">
        <v>1</v>
      </c>
      <c r="F67" s="803" t="s">
        <v>317</v>
      </c>
      <c r="G67" s="803" t="s">
        <v>512</v>
      </c>
      <c r="H67" s="803" t="s">
        <v>518</v>
      </c>
      <c r="I67" s="803"/>
      <c r="J67" s="803"/>
      <c r="K67" s="803"/>
      <c r="L67" s="803" t="s">
        <v>71</v>
      </c>
      <c r="M67" s="803" t="s">
        <v>458</v>
      </c>
      <c r="N67" s="803" t="s">
        <v>7</v>
      </c>
      <c r="O67" s="803" t="s">
        <v>26</v>
      </c>
      <c r="P67" s="803">
        <f>S67/P$16*100000</f>
        <v>39.396008435096284</v>
      </c>
      <c r="Q67" s="803">
        <v>39.430081516799731</v>
      </c>
      <c r="R67" s="803">
        <f t="shared" si="5"/>
        <v>0.99913586073391891</v>
      </c>
      <c r="S67" s="810">
        <v>65.2</v>
      </c>
      <c r="T67" s="803"/>
      <c r="U67" s="861" t="s">
        <v>623</v>
      </c>
      <c r="V67" s="803"/>
    </row>
    <row r="68" spans="1:22" s="820" customFormat="1" ht="12.75" customHeight="1" x14ac:dyDescent="0.25">
      <c r="A68" s="803" t="s">
        <v>308</v>
      </c>
      <c r="B68" s="803">
        <v>6</v>
      </c>
      <c r="C68" s="803" t="s">
        <v>519</v>
      </c>
      <c r="D68" s="803" t="s">
        <v>297</v>
      </c>
      <c r="E68" s="803">
        <v>1</v>
      </c>
      <c r="F68" s="803" t="s">
        <v>317</v>
      </c>
      <c r="G68" s="803" t="s">
        <v>512</v>
      </c>
      <c r="H68" s="803" t="s">
        <v>518</v>
      </c>
      <c r="I68" s="803"/>
      <c r="J68" s="803"/>
      <c r="K68" s="803"/>
      <c r="L68" s="803" t="s">
        <v>71</v>
      </c>
      <c r="M68" s="803" t="s">
        <v>458</v>
      </c>
      <c r="N68" s="803" t="s">
        <v>8</v>
      </c>
      <c r="O68" s="803" t="s">
        <v>26</v>
      </c>
      <c r="P68" s="803">
        <f>S68/P$17*100000</f>
        <v>75.537181646506411</v>
      </c>
      <c r="Q68" s="803">
        <v>84.806363727697686</v>
      </c>
      <c r="R68" s="803">
        <f t="shared" si="5"/>
        <v>0.89070180970200041</v>
      </c>
      <c r="S68" s="810">
        <v>59.2</v>
      </c>
      <c r="T68" s="803"/>
      <c r="U68" s="861" t="s">
        <v>623</v>
      </c>
      <c r="V68" s="803"/>
    </row>
    <row r="69" spans="1:22" s="820" customFormat="1" ht="12.75" customHeight="1" x14ac:dyDescent="0.25">
      <c r="A69" s="803" t="s">
        <v>308</v>
      </c>
      <c r="B69" s="803">
        <v>6</v>
      </c>
      <c r="C69" s="803" t="s">
        <v>519</v>
      </c>
      <c r="D69" s="803" t="s">
        <v>297</v>
      </c>
      <c r="E69" s="803">
        <v>1</v>
      </c>
      <c r="F69" s="803" t="s">
        <v>317</v>
      </c>
      <c r="G69" s="803" t="s">
        <v>512</v>
      </c>
      <c r="H69" s="803" t="s">
        <v>518</v>
      </c>
      <c r="I69" s="803"/>
      <c r="J69" s="803"/>
      <c r="K69" s="803"/>
      <c r="L69" s="803" t="s">
        <v>71</v>
      </c>
      <c r="M69" s="803" t="s">
        <v>458</v>
      </c>
      <c r="N69" s="803" t="s">
        <v>9</v>
      </c>
      <c r="O69" s="803" t="s">
        <v>26</v>
      </c>
      <c r="P69" s="803">
        <f>S69/P$18*100000</f>
        <v>175.89118198874297</v>
      </c>
      <c r="Q69" s="803">
        <v>170.25523608236827</v>
      </c>
      <c r="R69" s="803">
        <f t="shared" si="5"/>
        <v>1.033102922624054</v>
      </c>
      <c r="S69" s="810">
        <v>75</v>
      </c>
      <c r="T69" s="803"/>
      <c r="U69" s="861" t="s">
        <v>623</v>
      </c>
      <c r="V69" s="803"/>
    </row>
    <row r="70" spans="1:22" s="820" customFormat="1" ht="12.75" customHeight="1" x14ac:dyDescent="0.25">
      <c r="A70" s="803" t="s">
        <v>308</v>
      </c>
      <c r="B70" s="803">
        <v>6</v>
      </c>
      <c r="C70" s="803" t="s">
        <v>519</v>
      </c>
      <c r="D70" s="803" t="s">
        <v>297</v>
      </c>
      <c r="E70" s="803">
        <v>1</v>
      </c>
      <c r="F70" s="803" t="s">
        <v>317</v>
      </c>
      <c r="G70" s="803" t="s">
        <v>512</v>
      </c>
      <c r="H70" s="803" t="s">
        <v>518</v>
      </c>
      <c r="I70" s="803"/>
      <c r="J70" s="803"/>
      <c r="K70" s="803"/>
      <c r="L70" s="803" t="s">
        <v>32</v>
      </c>
      <c r="M70" s="803" t="s">
        <v>459</v>
      </c>
      <c r="N70" s="803" t="s">
        <v>249</v>
      </c>
      <c r="O70" s="803" t="s">
        <v>27</v>
      </c>
      <c r="P70" s="803">
        <f>S70/P$3*100000</f>
        <v>0.45155900747330163</v>
      </c>
      <c r="Q70" s="803">
        <v>0.66164697164181074</v>
      </c>
      <c r="R70" s="803">
        <f>IF(S70&lt;10, 1, P70/Q70)</f>
        <v>1</v>
      </c>
      <c r="S70" s="810">
        <v>0.4</v>
      </c>
      <c r="T70" s="803"/>
      <c r="U70" s="861" t="s">
        <v>623</v>
      </c>
      <c r="V70" s="803"/>
    </row>
    <row r="71" spans="1:22" s="820" customFormat="1" ht="12.75" customHeight="1" x14ac:dyDescent="0.25">
      <c r="A71" s="803" t="s">
        <v>308</v>
      </c>
      <c r="B71" s="803">
        <v>6</v>
      </c>
      <c r="C71" s="803" t="s">
        <v>519</v>
      </c>
      <c r="D71" s="803" t="s">
        <v>297</v>
      </c>
      <c r="E71" s="803">
        <v>1</v>
      </c>
      <c r="F71" s="803" t="s">
        <v>317</v>
      </c>
      <c r="G71" s="803" t="s">
        <v>512</v>
      </c>
      <c r="H71" s="803" t="s">
        <v>518</v>
      </c>
      <c r="I71" s="803"/>
      <c r="J71" s="803"/>
      <c r="K71" s="803"/>
      <c r="L71" s="803" t="s">
        <v>32</v>
      </c>
      <c r="M71" s="803" t="s">
        <v>459</v>
      </c>
      <c r="N71" s="803" t="s">
        <v>244</v>
      </c>
      <c r="O71" s="803" t="s">
        <v>27</v>
      </c>
      <c r="P71" s="803">
        <f>S71/P$4*100000</f>
        <v>0</v>
      </c>
      <c r="Q71" s="803">
        <v>0.10899194440538901</v>
      </c>
      <c r="R71" s="803">
        <f t="shared" si="5"/>
        <v>1</v>
      </c>
      <c r="S71" s="810">
        <v>0</v>
      </c>
      <c r="T71" s="803"/>
      <c r="U71" s="861" t="s">
        <v>623</v>
      </c>
      <c r="V71" s="803"/>
    </row>
    <row r="72" spans="1:22" s="820" customFormat="1" ht="12.75" customHeight="1" x14ac:dyDescent="0.25">
      <c r="A72" s="803" t="s">
        <v>308</v>
      </c>
      <c r="B72" s="803">
        <v>6</v>
      </c>
      <c r="C72" s="803" t="s">
        <v>519</v>
      </c>
      <c r="D72" s="803" t="s">
        <v>297</v>
      </c>
      <c r="E72" s="803">
        <v>1</v>
      </c>
      <c r="F72" s="803" t="s">
        <v>317</v>
      </c>
      <c r="G72" s="803" t="s">
        <v>512</v>
      </c>
      <c r="H72" s="803" t="s">
        <v>518</v>
      </c>
      <c r="I72" s="803"/>
      <c r="J72" s="803"/>
      <c r="K72" s="803"/>
      <c r="L72" s="803" t="s">
        <v>32</v>
      </c>
      <c r="M72" s="803" t="s">
        <v>459</v>
      </c>
      <c r="N72" s="803" t="s">
        <v>4</v>
      </c>
      <c r="O72" s="803" t="s">
        <v>27</v>
      </c>
      <c r="P72" s="803">
        <f>S72/P$5*100000</f>
        <v>0.19336874129840662</v>
      </c>
      <c r="Q72" s="803">
        <v>0</v>
      </c>
      <c r="R72" s="803">
        <f t="shared" si="5"/>
        <v>1</v>
      </c>
      <c r="S72" s="810">
        <v>0.6</v>
      </c>
      <c r="T72" s="803"/>
      <c r="U72" s="861" t="s">
        <v>623</v>
      </c>
      <c r="V72" s="803"/>
    </row>
    <row r="73" spans="1:22" s="820" customFormat="1" ht="12.75" customHeight="1" x14ac:dyDescent="0.25">
      <c r="A73" s="803" t="s">
        <v>308</v>
      </c>
      <c r="B73" s="803">
        <v>6</v>
      </c>
      <c r="C73" s="803" t="s">
        <v>519</v>
      </c>
      <c r="D73" s="803" t="s">
        <v>297</v>
      </c>
      <c r="E73" s="803">
        <v>1</v>
      </c>
      <c r="F73" s="803" t="s">
        <v>317</v>
      </c>
      <c r="G73" s="803" t="s">
        <v>512</v>
      </c>
      <c r="H73" s="803" t="s">
        <v>518</v>
      </c>
      <c r="I73" s="803"/>
      <c r="J73" s="803"/>
      <c r="K73" s="803"/>
      <c r="L73" s="803" t="s">
        <v>32</v>
      </c>
      <c r="M73" s="803" t="s">
        <v>459</v>
      </c>
      <c r="N73" s="803" t="s">
        <v>5</v>
      </c>
      <c r="O73" s="803" t="s">
        <v>27</v>
      </c>
      <c r="P73" s="803">
        <f>S73/P$6*100000</f>
        <v>2.6859052437615163</v>
      </c>
      <c r="Q73" s="803">
        <v>0.19578232659885639</v>
      </c>
      <c r="R73" s="803">
        <f t="shared" si="5"/>
        <v>1</v>
      </c>
      <c r="S73" s="810">
        <v>8.6</v>
      </c>
      <c r="T73" s="803"/>
      <c r="U73" s="861" t="s">
        <v>623</v>
      </c>
      <c r="V73" s="803"/>
    </row>
    <row r="74" spans="1:22" s="820" customFormat="1" ht="12.75" customHeight="1" x14ac:dyDescent="0.25">
      <c r="A74" s="803" t="s">
        <v>308</v>
      </c>
      <c r="B74" s="803">
        <v>6</v>
      </c>
      <c r="C74" s="803" t="s">
        <v>519</v>
      </c>
      <c r="D74" s="803" t="s">
        <v>297</v>
      </c>
      <c r="E74" s="803">
        <v>1</v>
      </c>
      <c r="F74" s="803" t="s">
        <v>317</v>
      </c>
      <c r="G74" s="803" t="s">
        <v>512</v>
      </c>
      <c r="H74" s="803" t="s">
        <v>518</v>
      </c>
      <c r="I74" s="803"/>
      <c r="J74" s="803"/>
      <c r="K74" s="803"/>
      <c r="L74" s="803" t="s">
        <v>32</v>
      </c>
      <c r="M74" s="803" t="s">
        <v>459</v>
      </c>
      <c r="N74" s="803" t="s">
        <v>6</v>
      </c>
      <c r="O74" s="803" t="s">
        <v>27</v>
      </c>
      <c r="P74" s="803">
        <f>S74/P$7*100000</f>
        <v>6.4006554271157368E-2</v>
      </c>
      <c r="Q74" s="803">
        <v>2.9032247884906068</v>
      </c>
      <c r="R74" s="803">
        <f t="shared" si="5"/>
        <v>1</v>
      </c>
      <c r="S74" s="810">
        <v>0.2</v>
      </c>
      <c r="T74" s="803"/>
      <c r="U74" s="861" t="s">
        <v>623</v>
      </c>
      <c r="V74" s="803"/>
    </row>
    <row r="75" spans="1:22" s="820" customFormat="1" ht="12.75" customHeight="1" x14ac:dyDescent="0.25">
      <c r="A75" s="803" t="s">
        <v>308</v>
      </c>
      <c r="B75" s="803">
        <v>6</v>
      </c>
      <c r="C75" s="803" t="s">
        <v>519</v>
      </c>
      <c r="D75" s="803" t="s">
        <v>297</v>
      </c>
      <c r="E75" s="803">
        <v>1</v>
      </c>
      <c r="F75" s="803" t="s">
        <v>317</v>
      </c>
      <c r="G75" s="803" t="s">
        <v>512</v>
      </c>
      <c r="H75" s="803" t="s">
        <v>518</v>
      </c>
      <c r="I75" s="803"/>
      <c r="J75" s="803"/>
      <c r="K75" s="803"/>
      <c r="L75" s="803" t="s">
        <v>32</v>
      </c>
      <c r="M75" s="803" t="s">
        <v>459</v>
      </c>
      <c r="N75" s="803" t="s">
        <v>7</v>
      </c>
      <c r="O75" s="803" t="s">
        <v>27</v>
      </c>
      <c r="P75" s="803">
        <f>S75/P$8*100000</f>
        <v>18.053860684375053</v>
      </c>
      <c r="Q75" s="803">
        <v>17.988237257028448</v>
      </c>
      <c r="R75" s="803">
        <f t="shared" si="5"/>
        <v>1.0036481299645392</v>
      </c>
      <c r="S75" s="810">
        <v>32.4</v>
      </c>
      <c r="T75" s="803"/>
      <c r="U75" s="861" t="s">
        <v>623</v>
      </c>
      <c r="V75" s="803"/>
    </row>
    <row r="76" spans="1:22" s="820" customFormat="1" ht="12.75" customHeight="1" x14ac:dyDescent="0.25">
      <c r="A76" s="803" t="s">
        <v>308</v>
      </c>
      <c r="B76" s="803">
        <v>6</v>
      </c>
      <c r="C76" s="803" t="s">
        <v>519</v>
      </c>
      <c r="D76" s="803" t="s">
        <v>297</v>
      </c>
      <c r="E76" s="803">
        <v>1</v>
      </c>
      <c r="F76" s="803" t="s">
        <v>317</v>
      </c>
      <c r="G76" s="803" t="s">
        <v>512</v>
      </c>
      <c r="H76" s="803" t="s">
        <v>518</v>
      </c>
      <c r="I76" s="803"/>
      <c r="J76" s="803"/>
      <c r="K76" s="803"/>
      <c r="L76" s="803" t="s">
        <v>32</v>
      </c>
      <c r="M76" s="803" t="s">
        <v>459</v>
      </c>
      <c r="N76" s="803" t="s">
        <v>8</v>
      </c>
      <c r="O76" s="803" t="s">
        <v>27</v>
      </c>
      <c r="P76" s="803">
        <f>S76/P$9*100000</f>
        <v>175.43477313341759</v>
      </c>
      <c r="Q76" s="803">
        <v>175.11228951898534</v>
      </c>
      <c r="R76" s="803">
        <f t="shared" si="5"/>
        <v>1.0018415818519539</v>
      </c>
      <c r="S76" s="810">
        <v>161</v>
      </c>
      <c r="T76" s="803"/>
      <c r="U76" s="861" t="s">
        <v>623</v>
      </c>
      <c r="V76" s="803"/>
    </row>
    <row r="77" spans="1:22" s="820" customFormat="1" ht="12.75" customHeight="1" x14ac:dyDescent="0.25">
      <c r="A77" s="803" t="s">
        <v>308</v>
      </c>
      <c r="B77" s="803">
        <v>6</v>
      </c>
      <c r="C77" s="803" t="s">
        <v>519</v>
      </c>
      <c r="D77" s="803" t="s">
        <v>297</v>
      </c>
      <c r="E77" s="803">
        <v>1</v>
      </c>
      <c r="F77" s="803" t="s">
        <v>317</v>
      </c>
      <c r="G77" s="803" t="s">
        <v>512</v>
      </c>
      <c r="H77" s="803" t="s">
        <v>518</v>
      </c>
      <c r="I77" s="803"/>
      <c r="J77" s="803"/>
      <c r="K77" s="803"/>
      <c r="L77" s="803" t="s">
        <v>32</v>
      </c>
      <c r="M77" s="803" t="s">
        <v>459</v>
      </c>
      <c r="N77" s="803" t="s">
        <v>9</v>
      </c>
      <c r="O77" s="803" t="s">
        <v>27</v>
      </c>
      <c r="P77" s="803">
        <f>S77/P$10*100000</f>
        <v>2203.6689952859656</v>
      </c>
      <c r="Q77" s="803">
        <v>1970.7895729289282</v>
      </c>
      <c r="R77" s="803">
        <f t="shared" si="5"/>
        <v>1.1181655441838669</v>
      </c>
      <c r="S77" s="810">
        <v>1552</v>
      </c>
      <c r="T77" s="803"/>
      <c r="U77" s="861" t="s">
        <v>623</v>
      </c>
      <c r="V77" s="803"/>
    </row>
    <row r="78" spans="1:22" s="820" customFormat="1" ht="12.75" customHeight="1" x14ac:dyDescent="0.25">
      <c r="A78" s="803" t="s">
        <v>308</v>
      </c>
      <c r="B78" s="803">
        <v>6</v>
      </c>
      <c r="C78" s="803" t="s">
        <v>519</v>
      </c>
      <c r="D78" s="803" t="s">
        <v>297</v>
      </c>
      <c r="E78" s="803">
        <v>1</v>
      </c>
      <c r="F78" s="803" t="s">
        <v>317</v>
      </c>
      <c r="G78" s="803" t="s">
        <v>512</v>
      </c>
      <c r="H78" s="803" t="s">
        <v>518</v>
      </c>
      <c r="I78" s="803"/>
      <c r="J78" s="803"/>
      <c r="K78" s="803"/>
      <c r="L78" s="803" t="s">
        <v>32</v>
      </c>
      <c r="M78" s="803" t="s">
        <v>459</v>
      </c>
      <c r="N78" s="803" t="s">
        <v>249</v>
      </c>
      <c r="O78" s="803" t="s">
        <v>26</v>
      </c>
      <c r="P78" s="803">
        <f>S78/P$11*100000</f>
        <v>0.42923981628535868</v>
      </c>
      <c r="Q78" s="803">
        <v>0.20998477610373251</v>
      </c>
      <c r="R78" s="803">
        <f t="shared" si="5"/>
        <v>1</v>
      </c>
      <c r="S78" s="810">
        <v>0.4</v>
      </c>
      <c r="T78" s="803"/>
      <c r="U78" s="861" t="s">
        <v>623</v>
      </c>
      <c r="V78" s="803"/>
    </row>
    <row r="79" spans="1:22" s="820" customFormat="1" ht="12.75" customHeight="1" x14ac:dyDescent="0.25">
      <c r="A79" s="803" t="s">
        <v>308</v>
      </c>
      <c r="B79" s="803">
        <v>6</v>
      </c>
      <c r="C79" s="803" t="s">
        <v>519</v>
      </c>
      <c r="D79" s="803" t="s">
        <v>297</v>
      </c>
      <c r="E79" s="803">
        <v>1</v>
      </c>
      <c r="F79" s="803" t="s">
        <v>317</v>
      </c>
      <c r="G79" s="803" t="s">
        <v>512</v>
      </c>
      <c r="H79" s="803" t="s">
        <v>518</v>
      </c>
      <c r="I79" s="803"/>
      <c r="J79" s="803"/>
      <c r="K79" s="803"/>
      <c r="L79" s="803" t="s">
        <v>32</v>
      </c>
      <c r="M79" s="803" t="s">
        <v>459</v>
      </c>
      <c r="N79" s="803" t="s">
        <v>244</v>
      </c>
      <c r="O79" s="803" t="s">
        <v>26</v>
      </c>
      <c r="P79" s="803">
        <f>S79/P$12*100000</f>
        <v>0</v>
      </c>
      <c r="Q79" s="803">
        <v>0.10396339656733658</v>
      </c>
      <c r="R79" s="803">
        <f t="shared" si="5"/>
        <v>1</v>
      </c>
      <c r="S79" s="810">
        <v>0</v>
      </c>
      <c r="T79" s="803"/>
      <c r="U79" s="861" t="s">
        <v>623</v>
      </c>
      <c r="V79" s="803"/>
    </row>
    <row r="80" spans="1:22" s="820" customFormat="1" ht="12.75" customHeight="1" x14ac:dyDescent="0.25">
      <c r="A80" s="803" t="s">
        <v>308</v>
      </c>
      <c r="B80" s="803">
        <v>6</v>
      </c>
      <c r="C80" s="803" t="s">
        <v>519</v>
      </c>
      <c r="D80" s="803" t="s">
        <v>297</v>
      </c>
      <c r="E80" s="803">
        <v>1</v>
      </c>
      <c r="F80" s="803" t="s">
        <v>317</v>
      </c>
      <c r="G80" s="803" t="s">
        <v>512</v>
      </c>
      <c r="H80" s="803" t="s">
        <v>518</v>
      </c>
      <c r="I80" s="803"/>
      <c r="J80" s="803"/>
      <c r="K80" s="803"/>
      <c r="L80" s="803" t="s">
        <v>32</v>
      </c>
      <c r="M80" s="803" t="s">
        <v>459</v>
      </c>
      <c r="N80" s="803" t="s">
        <v>4</v>
      </c>
      <c r="O80" s="803" t="s">
        <v>26</v>
      </c>
      <c r="P80" s="803">
        <f>S80/P$13*100000</f>
        <v>0.12662675813339497</v>
      </c>
      <c r="Q80" s="803">
        <v>0</v>
      </c>
      <c r="R80" s="803">
        <f t="shared" si="5"/>
        <v>1</v>
      </c>
      <c r="S80" s="810">
        <v>0.4</v>
      </c>
      <c r="T80" s="803"/>
      <c r="U80" s="861" t="s">
        <v>623</v>
      </c>
      <c r="V80" s="803"/>
    </row>
    <row r="81" spans="1:22" s="820" customFormat="1" ht="12.75" customHeight="1" x14ac:dyDescent="0.25">
      <c r="A81" s="803" t="s">
        <v>308</v>
      </c>
      <c r="B81" s="803">
        <v>6</v>
      </c>
      <c r="C81" s="803" t="s">
        <v>519</v>
      </c>
      <c r="D81" s="803" t="s">
        <v>297</v>
      </c>
      <c r="E81" s="803">
        <v>1</v>
      </c>
      <c r="F81" s="803" t="s">
        <v>317</v>
      </c>
      <c r="G81" s="803" t="s">
        <v>512</v>
      </c>
      <c r="H81" s="803" t="s">
        <v>518</v>
      </c>
      <c r="I81" s="803"/>
      <c r="J81" s="803"/>
      <c r="K81" s="803"/>
      <c r="L81" s="803" t="s">
        <v>32</v>
      </c>
      <c r="M81" s="803" t="s">
        <v>459</v>
      </c>
      <c r="N81" s="803" t="s">
        <v>5</v>
      </c>
      <c r="O81" s="803" t="s">
        <v>26</v>
      </c>
      <c r="P81" s="803">
        <f>S81/P$14*100000</f>
        <v>2.3410691293071051</v>
      </c>
      <c r="Q81" s="803">
        <v>0.12722460167567526</v>
      </c>
      <c r="R81" s="803">
        <f t="shared" si="5"/>
        <v>1</v>
      </c>
      <c r="S81" s="810">
        <v>7.6</v>
      </c>
      <c r="T81" s="803"/>
      <c r="U81" s="861" t="s">
        <v>623</v>
      </c>
      <c r="V81" s="803"/>
    </row>
    <row r="82" spans="1:22" s="820" customFormat="1" ht="12.75" customHeight="1" x14ac:dyDescent="0.25">
      <c r="A82" s="803" t="s">
        <v>308</v>
      </c>
      <c r="B82" s="803">
        <v>6</v>
      </c>
      <c r="C82" s="803" t="s">
        <v>519</v>
      </c>
      <c r="D82" s="803" t="s">
        <v>297</v>
      </c>
      <c r="E82" s="803">
        <v>1</v>
      </c>
      <c r="F82" s="803" t="s">
        <v>317</v>
      </c>
      <c r="G82" s="803" t="s">
        <v>512</v>
      </c>
      <c r="H82" s="803" t="s">
        <v>518</v>
      </c>
      <c r="I82" s="803"/>
      <c r="J82" s="803"/>
      <c r="K82" s="803"/>
      <c r="L82" s="803" t="s">
        <v>32</v>
      </c>
      <c r="M82" s="803" t="s">
        <v>459</v>
      </c>
      <c r="N82" s="803" t="s">
        <v>6</v>
      </c>
      <c r="O82" s="803" t="s">
        <v>26</v>
      </c>
      <c r="P82" s="803">
        <f>S82/P$15*100000</f>
        <v>6.6143253057471874E-2</v>
      </c>
      <c r="Q82" s="803">
        <v>2.30004554090171</v>
      </c>
      <c r="R82" s="803">
        <f t="shared" si="5"/>
        <v>1</v>
      </c>
      <c r="S82" s="810">
        <v>0.2</v>
      </c>
      <c r="T82" s="803"/>
      <c r="U82" s="861" t="s">
        <v>623</v>
      </c>
      <c r="V82" s="803"/>
    </row>
    <row r="83" spans="1:22" s="820" customFormat="1" ht="12.75" customHeight="1" x14ac:dyDescent="0.25">
      <c r="A83" s="803" t="s">
        <v>308</v>
      </c>
      <c r="B83" s="803">
        <v>6</v>
      </c>
      <c r="C83" s="803" t="s">
        <v>519</v>
      </c>
      <c r="D83" s="803" t="s">
        <v>297</v>
      </c>
      <c r="E83" s="803">
        <v>1</v>
      </c>
      <c r="F83" s="803" t="s">
        <v>317</v>
      </c>
      <c r="G83" s="803" t="s">
        <v>512</v>
      </c>
      <c r="H83" s="803" t="s">
        <v>518</v>
      </c>
      <c r="I83" s="803"/>
      <c r="J83" s="803"/>
      <c r="K83" s="803"/>
      <c r="L83" s="803" t="s">
        <v>32</v>
      </c>
      <c r="M83" s="803" t="s">
        <v>459</v>
      </c>
      <c r="N83" s="803" t="s">
        <v>7</v>
      </c>
      <c r="O83" s="803" t="s">
        <v>26</v>
      </c>
      <c r="P83" s="803">
        <f>S83/P$16*100000</f>
        <v>18.489537701134147</v>
      </c>
      <c r="Q83" s="803">
        <v>16.359289139948824</v>
      </c>
      <c r="R83" s="803">
        <f t="shared" si="5"/>
        <v>1.1302164502969343</v>
      </c>
      <c r="S83" s="810">
        <v>30.6</v>
      </c>
      <c r="T83" s="803"/>
      <c r="U83" s="861" t="s">
        <v>623</v>
      </c>
      <c r="V83" s="803"/>
    </row>
    <row r="84" spans="1:22" s="820" customFormat="1" ht="12.75" customHeight="1" x14ac:dyDescent="0.25">
      <c r="A84" s="803" t="s">
        <v>308</v>
      </c>
      <c r="B84" s="803">
        <v>6</v>
      </c>
      <c r="C84" s="803" t="s">
        <v>519</v>
      </c>
      <c r="D84" s="803" t="s">
        <v>297</v>
      </c>
      <c r="E84" s="803">
        <v>1</v>
      </c>
      <c r="F84" s="803" t="s">
        <v>317</v>
      </c>
      <c r="G84" s="803" t="s">
        <v>512</v>
      </c>
      <c r="H84" s="803" t="s">
        <v>518</v>
      </c>
      <c r="I84" s="803"/>
      <c r="J84" s="803"/>
      <c r="K84" s="803"/>
      <c r="L84" s="803" t="s">
        <v>32</v>
      </c>
      <c r="M84" s="803" t="s">
        <v>459</v>
      </c>
      <c r="N84" s="803" t="s">
        <v>8</v>
      </c>
      <c r="O84" s="803" t="s">
        <v>26</v>
      </c>
      <c r="P84" s="803">
        <f>S84/P$17*100000</f>
        <v>165.62037462359007</v>
      </c>
      <c r="Q84" s="803">
        <v>170.2037125684804</v>
      </c>
      <c r="R84" s="803">
        <f t="shared" si="5"/>
        <v>0.97307145728066158</v>
      </c>
      <c r="S84" s="810">
        <v>129.80000000000001</v>
      </c>
      <c r="T84" s="803"/>
      <c r="U84" s="861" t="s">
        <v>623</v>
      </c>
      <c r="V84" s="803"/>
    </row>
    <row r="85" spans="1:22" s="820" customFormat="1" ht="12.75" customHeight="1" x14ac:dyDescent="0.25">
      <c r="A85" s="803" t="s">
        <v>308</v>
      </c>
      <c r="B85" s="803">
        <v>6</v>
      </c>
      <c r="C85" s="803" t="s">
        <v>519</v>
      </c>
      <c r="D85" s="803" t="s">
        <v>297</v>
      </c>
      <c r="E85" s="803">
        <v>1</v>
      </c>
      <c r="F85" s="803" t="s">
        <v>317</v>
      </c>
      <c r="G85" s="803" t="s">
        <v>512</v>
      </c>
      <c r="H85" s="803" t="s">
        <v>518</v>
      </c>
      <c r="I85" s="803"/>
      <c r="J85" s="803"/>
      <c r="K85" s="803"/>
      <c r="L85" s="803" t="s">
        <v>32</v>
      </c>
      <c r="M85" s="803" t="s">
        <v>459</v>
      </c>
      <c r="N85" s="803" t="s">
        <v>9</v>
      </c>
      <c r="O85" s="803" t="s">
        <v>26</v>
      </c>
      <c r="P85" s="803">
        <f>S85/P$18*100000</f>
        <v>1588.1801125703566</v>
      </c>
      <c r="Q85" s="803">
        <v>1412.922763809999</v>
      </c>
      <c r="R85" s="803">
        <f t="shared" si="5"/>
        <v>1.1240388740625635</v>
      </c>
      <c r="S85" s="810">
        <v>677.2</v>
      </c>
      <c r="T85" s="803"/>
      <c r="U85" s="861" t="s">
        <v>623</v>
      </c>
      <c r="V85" s="803"/>
    </row>
    <row r="86" spans="1:22" s="820" customFormat="1" ht="12.75" customHeight="1" x14ac:dyDescent="0.25">
      <c r="A86" s="803" t="s">
        <v>308</v>
      </c>
      <c r="B86" s="803">
        <v>6</v>
      </c>
      <c r="C86" s="803" t="s">
        <v>519</v>
      </c>
      <c r="D86" s="803" t="s">
        <v>297</v>
      </c>
      <c r="E86" s="803">
        <v>1</v>
      </c>
      <c r="F86" s="803" t="s">
        <v>317</v>
      </c>
      <c r="G86" s="803" t="s">
        <v>512</v>
      </c>
      <c r="H86" s="803" t="s">
        <v>518</v>
      </c>
      <c r="I86" s="803"/>
      <c r="J86" s="803"/>
      <c r="K86" s="803"/>
      <c r="L86" s="803" t="s">
        <v>30</v>
      </c>
      <c r="M86" s="803" t="s">
        <v>460</v>
      </c>
      <c r="N86" s="803" t="s">
        <v>249</v>
      </c>
      <c r="O86" s="803" t="s">
        <v>27</v>
      </c>
      <c r="P86" s="803">
        <f>S86/P$3*100000</f>
        <v>0</v>
      </c>
      <c r="Q86" s="803">
        <v>0</v>
      </c>
      <c r="R86" s="803">
        <f>IF(S86&lt;10, 1, P86/Q86)</f>
        <v>1</v>
      </c>
      <c r="S86" s="810">
        <v>0</v>
      </c>
      <c r="T86" s="803"/>
      <c r="U86" s="861" t="s">
        <v>623</v>
      </c>
      <c r="V86" s="803"/>
    </row>
    <row r="87" spans="1:22" s="820" customFormat="1" ht="12.75" customHeight="1" x14ac:dyDescent="0.25">
      <c r="A87" s="803" t="s">
        <v>308</v>
      </c>
      <c r="B87" s="803">
        <v>6</v>
      </c>
      <c r="C87" s="803" t="s">
        <v>519</v>
      </c>
      <c r="D87" s="803" t="s">
        <v>297</v>
      </c>
      <c r="E87" s="803">
        <v>1</v>
      </c>
      <c r="F87" s="803" t="s">
        <v>317</v>
      </c>
      <c r="G87" s="803" t="s">
        <v>512</v>
      </c>
      <c r="H87" s="803" t="s">
        <v>518</v>
      </c>
      <c r="I87" s="803"/>
      <c r="J87" s="803"/>
      <c r="K87" s="803"/>
      <c r="L87" s="803" t="s">
        <v>30</v>
      </c>
      <c r="M87" s="803" t="s">
        <v>460</v>
      </c>
      <c r="N87" s="803" t="s">
        <v>244</v>
      </c>
      <c r="O87" s="803" t="s">
        <v>27</v>
      </c>
      <c r="P87" s="803">
        <f>S87/P$4*100000</f>
        <v>0</v>
      </c>
      <c r="Q87" s="803">
        <v>0</v>
      </c>
      <c r="R87" s="803">
        <f t="shared" si="5"/>
        <v>1</v>
      </c>
      <c r="S87" s="810">
        <v>0</v>
      </c>
      <c r="T87" s="803"/>
      <c r="U87" s="861" t="s">
        <v>623</v>
      </c>
      <c r="V87" s="803"/>
    </row>
    <row r="88" spans="1:22" s="820" customFormat="1" ht="12.75" customHeight="1" x14ac:dyDescent="0.25">
      <c r="A88" s="803" t="s">
        <v>308</v>
      </c>
      <c r="B88" s="803">
        <v>6</v>
      </c>
      <c r="C88" s="803" t="s">
        <v>519</v>
      </c>
      <c r="D88" s="803" t="s">
        <v>297</v>
      </c>
      <c r="E88" s="803">
        <v>1</v>
      </c>
      <c r="F88" s="803" t="s">
        <v>317</v>
      </c>
      <c r="G88" s="803" t="s">
        <v>512</v>
      </c>
      <c r="H88" s="803" t="s">
        <v>518</v>
      </c>
      <c r="I88" s="803"/>
      <c r="J88" s="803"/>
      <c r="K88" s="803"/>
      <c r="L88" s="803" t="s">
        <v>30</v>
      </c>
      <c r="M88" s="803" t="s">
        <v>460</v>
      </c>
      <c r="N88" s="803" t="s">
        <v>4</v>
      </c>
      <c r="O88" s="803" t="s">
        <v>27</v>
      </c>
      <c r="P88" s="803">
        <f>S88/P$5*100000</f>
        <v>0</v>
      </c>
      <c r="Q88" s="803">
        <v>0</v>
      </c>
      <c r="R88" s="803">
        <f t="shared" ref="R88:R101" si="6">IF(S88&lt;10, 1, P88/Q88)</f>
        <v>1</v>
      </c>
      <c r="S88" s="810">
        <v>0</v>
      </c>
      <c r="T88" s="803"/>
      <c r="U88" s="861" t="s">
        <v>623</v>
      </c>
      <c r="V88" s="803"/>
    </row>
    <row r="89" spans="1:22" s="820" customFormat="1" ht="12.75" customHeight="1" x14ac:dyDescent="0.25">
      <c r="A89" s="803" t="s">
        <v>308</v>
      </c>
      <c r="B89" s="803">
        <v>6</v>
      </c>
      <c r="C89" s="803" t="s">
        <v>519</v>
      </c>
      <c r="D89" s="803" t="s">
        <v>297</v>
      </c>
      <c r="E89" s="803">
        <v>1</v>
      </c>
      <c r="F89" s="803" t="s">
        <v>317</v>
      </c>
      <c r="G89" s="803" t="s">
        <v>512</v>
      </c>
      <c r="H89" s="803" t="s">
        <v>518</v>
      </c>
      <c r="I89" s="803"/>
      <c r="J89" s="803"/>
      <c r="K89" s="803"/>
      <c r="L89" s="803" t="s">
        <v>30</v>
      </c>
      <c r="M89" s="803" t="s">
        <v>460</v>
      </c>
      <c r="N89" s="803" t="s">
        <v>5</v>
      </c>
      <c r="O89" s="803" t="s">
        <v>27</v>
      </c>
      <c r="P89" s="803">
        <f>S89/P$6*100000</f>
        <v>0.31231456322808332</v>
      </c>
      <c r="Q89" s="803">
        <v>0</v>
      </c>
      <c r="R89" s="803">
        <f t="shared" si="6"/>
        <v>1</v>
      </c>
      <c r="S89" s="810">
        <v>1</v>
      </c>
      <c r="T89" s="803"/>
      <c r="U89" s="861" t="s">
        <v>623</v>
      </c>
      <c r="V89" s="803"/>
    </row>
    <row r="90" spans="1:22" s="820" customFormat="1" ht="12.75" customHeight="1" x14ac:dyDescent="0.25">
      <c r="A90" s="803" t="s">
        <v>308</v>
      </c>
      <c r="B90" s="803">
        <v>6</v>
      </c>
      <c r="C90" s="803" t="s">
        <v>519</v>
      </c>
      <c r="D90" s="803" t="s">
        <v>297</v>
      </c>
      <c r="E90" s="803">
        <v>1</v>
      </c>
      <c r="F90" s="803" t="s">
        <v>317</v>
      </c>
      <c r="G90" s="803" t="s">
        <v>512</v>
      </c>
      <c r="H90" s="803" t="s">
        <v>518</v>
      </c>
      <c r="I90" s="803"/>
      <c r="J90" s="803"/>
      <c r="K90" s="803"/>
      <c r="L90" s="803" t="s">
        <v>30</v>
      </c>
      <c r="M90" s="803" t="s">
        <v>460</v>
      </c>
      <c r="N90" s="803" t="s">
        <v>6</v>
      </c>
      <c r="O90" s="803" t="s">
        <v>27</v>
      </c>
      <c r="P90" s="803">
        <f>S90/P$7*100000</f>
        <v>0</v>
      </c>
      <c r="Q90" s="803">
        <v>0.37868149415094876</v>
      </c>
      <c r="R90" s="803">
        <f t="shared" si="6"/>
        <v>1</v>
      </c>
      <c r="S90" s="810">
        <v>0</v>
      </c>
      <c r="T90" s="803"/>
      <c r="U90" s="861" t="s">
        <v>623</v>
      </c>
      <c r="V90" s="803"/>
    </row>
    <row r="91" spans="1:22" s="820" customFormat="1" ht="12.75" customHeight="1" x14ac:dyDescent="0.25">
      <c r="A91" s="803" t="s">
        <v>308</v>
      </c>
      <c r="B91" s="803">
        <v>6</v>
      </c>
      <c r="C91" s="803" t="s">
        <v>519</v>
      </c>
      <c r="D91" s="803" t="s">
        <v>297</v>
      </c>
      <c r="E91" s="803">
        <v>1</v>
      </c>
      <c r="F91" s="803" t="s">
        <v>317</v>
      </c>
      <c r="G91" s="803" t="s">
        <v>512</v>
      </c>
      <c r="H91" s="803" t="s">
        <v>518</v>
      </c>
      <c r="I91" s="803"/>
      <c r="J91" s="803"/>
      <c r="K91" s="803"/>
      <c r="L91" s="803" t="s">
        <v>30</v>
      </c>
      <c r="M91" s="803" t="s">
        <v>460</v>
      </c>
      <c r="N91" s="803" t="s">
        <v>7</v>
      </c>
      <c r="O91" s="803" t="s">
        <v>27</v>
      </c>
      <c r="P91" s="803">
        <f>S91/P$8*100000</f>
        <v>0.11144358447145095</v>
      </c>
      <c r="Q91" s="803">
        <v>0.26069909068157171</v>
      </c>
      <c r="R91" s="803">
        <f t="shared" si="6"/>
        <v>1</v>
      </c>
      <c r="S91" s="810">
        <v>0.2</v>
      </c>
      <c r="T91" s="803"/>
      <c r="U91" s="861" t="s">
        <v>623</v>
      </c>
      <c r="V91" s="803"/>
    </row>
    <row r="92" spans="1:22" s="820" customFormat="1" ht="12.75" customHeight="1" x14ac:dyDescent="0.25">
      <c r="A92" s="803" t="s">
        <v>308</v>
      </c>
      <c r="B92" s="803">
        <v>6</v>
      </c>
      <c r="C92" s="803" t="s">
        <v>519</v>
      </c>
      <c r="D92" s="803" t="s">
        <v>297</v>
      </c>
      <c r="E92" s="803">
        <v>1</v>
      </c>
      <c r="F92" s="803" t="s">
        <v>317</v>
      </c>
      <c r="G92" s="803" t="s">
        <v>512</v>
      </c>
      <c r="H92" s="803" t="s">
        <v>518</v>
      </c>
      <c r="I92" s="803"/>
      <c r="J92" s="803"/>
      <c r="K92" s="803"/>
      <c r="L92" s="803" t="s">
        <v>30</v>
      </c>
      <c r="M92" s="803" t="s">
        <v>460</v>
      </c>
      <c r="N92" s="803" t="s">
        <v>8</v>
      </c>
      <c r="O92" s="803" t="s">
        <v>27</v>
      </c>
      <c r="P92" s="803">
        <f>S92/P$9*100000</f>
        <v>1.5255197663775442</v>
      </c>
      <c r="Q92" s="803">
        <v>0.74200122677536162</v>
      </c>
      <c r="R92" s="803">
        <f t="shared" si="6"/>
        <v>1</v>
      </c>
      <c r="S92" s="810">
        <v>1.4</v>
      </c>
      <c r="T92" s="803"/>
      <c r="U92" s="861" t="s">
        <v>623</v>
      </c>
      <c r="V92" s="803"/>
    </row>
    <row r="93" spans="1:22" s="820" customFormat="1" ht="12.75" customHeight="1" x14ac:dyDescent="0.25">
      <c r="A93" s="803" t="s">
        <v>308</v>
      </c>
      <c r="B93" s="803">
        <v>6</v>
      </c>
      <c r="C93" s="803" t="s">
        <v>519</v>
      </c>
      <c r="D93" s="803" t="s">
        <v>297</v>
      </c>
      <c r="E93" s="803">
        <v>1</v>
      </c>
      <c r="F93" s="803" t="s">
        <v>317</v>
      </c>
      <c r="G93" s="803" t="s">
        <v>512</v>
      </c>
      <c r="H93" s="803" t="s">
        <v>518</v>
      </c>
      <c r="I93" s="803"/>
      <c r="J93" s="803"/>
      <c r="K93" s="803"/>
      <c r="L93" s="803" t="s">
        <v>30</v>
      </c>
      <c r="M93" s="803" t="s">
        <v>460</v>
      </c>
      <c r="N93" s="803" t="s">
        <v>9</v>
      </c>
      <c r="O93" s="803" t="s">
        <v>27</v>
      </c>
      <c r="P93" s="803">
        <f>S93/P$10*100000</f>
        <v>9.3712727892315559</v>
      </c>
      <c r="Q93" s="803">
        <v>10.28536164474361</v>
      </c>
      <c r="R93" s="803">
        <f t="shared" si="6"/>
        <v>1</v>
      </c>
      <c r="S93" s="810">
        <v>6.6</v>
      </c>
      <c r="T93" s="803"/>
      <c r="U93" s="861" t="s">
        <v>623</v>
      </c>
      <c r="V93" s="803"/>
    </row>
    <row r="94" spans="1:22" s="820" customFormat="1" ht="12.75" customHeight="1" x14ac:dyDescent="0.25">
      <c r="A94" s="803" t="s">
        <v>308</v>
      </c>
      <c r="B94" s="803">
        <v>6</v>
      </c>
      <c r="C94" s="803" t="s">
        <v>519</v>
      </c>
      <c r="D94" s="803" t="s">
        <v>297</v>
      </c>
      <c r="E94" s="803">
        <v>1</v>
      </c>
      <c r="F94" s="803" t="s">
        <v>317</v>
      </c>
      <c r="G94" s="803" t="s">
        <v>512</v>
      </c>
      <c r="H94" s="803" t="s">
        <v>518</v>
      </c>
      <c r="I94" s="803"/>
      <c r="J94" s="803"/>
      <c r="K94" s="803"/>
      <c r="L94" s="803" t="s">
        <v>30</v>
      </c>
      <c r="M94" s="803" t="s">
        <v>460</v>
      </c>
      <c r="N94" s="803" t="s">
        <v>249</v>
      </c>
      <c r="O94" s="803" t="s">
        <v>26</v>
      </c>
      <c r="P94" s="803">
        <f>S94/P$11*100000</f>
        <v>0</v>
      </c>
      <c r="Q94" s="803">
        <v>0</v>
      </c>
      <c r="R94" s="803">
        <f t="shared" si="6"/>
        <v>1</v>
      </c>
      <c r="S94" s="810">
        <v>0</v>
      </c>
      <c r="T94" s="803"/>
      <c r="U94" s="861" t="s">
        <v>623</v>
      </c>
      <c r="V94" s="803"/>
    </row>
    <row r="95" spans="1:22" s="820" customFormat="1" ht="12.75" customHeight="1" x14ac:dyDescent="0.25">
      <c r="A95" s="803" t="s">
        <v>308</v>
      </c>
      <c r="B95" s="803">
        <v>6</v>
      </c>
      <c r="C95" s="803" t="s">
        <v>519</v>
      </c>
      <c r="D95" s="803" t="s">
        <v>297</v>
      </c>
      <c r="E95" s="803">
        <v>1</v>
      </c>
      <c r="F95" s="803" t="s">
        <v>317</v>
      </c>
      <c r="G95" s="803" t="s">
        <v>512</v>
      </c>
      <c r="H95" s="803" t="s">
        <v>518</v>
      </c>
      <c r="I95" s="803"/>
      <c r="J95" s="803"/>
      <c r="K95" s="803"/>
      <c r="L95" s="803" t="s">
        <v>30</v>
      </c>
      <c r="M95" s="803" t="s">
        <v>460</v>
      </c>
      <c r="N95" s="803" t="s">
        <v>244</v>
      </c>
      <c r="O95" s="803" t="s">
        <v>26</v>
      </c>
      <c r="P95" s="803">
        <f>S95/P$12*100000</f>
        <v>0</v>
      </c>
      <c r="Q95" s="803">
        <v>0</v>
      </c>
      <c r="R95" s="803">
        <f t="shared" si="6"/>
        <v>1</v>
      </c>
      <c r="S95" s="810">
        <v>0</v>
      </c>
      <c r="T95" s="803"/>
      <c r="U95" s="861" t="s">
        <v>623</v>
      </c>
      <c r="V95" s="803"/>
    </row>
    <row r="96" spans="1:22" s="820" customFormat="1" ht="12.75" customHeight="1" x14ac:dyDescent="0.25">
      <c r="A96" s="803" t="s">
        <v>308</v>
      </c>
      <c r="B96" s="803">
        <v>6</v>
      </c>
      <c r="C96" s="803" t="s">
        <v>519</v>
      </c>
      <c r="D96" s="803" t="s">
        <v>297</v>
      </c>
      <c r="E96" s="803">
        <v>1</v>
      </c>
      <c r="F96" s="803" t="s">
        <v>317</v>
      </c>
      <c r="G96" s="803" t="s">
        <v>512</v>
      </c>
      <c r="H96" s="803" t="s">
        <v>518</v>
      </c>
      <c r="I96" s="803"/>
      <c r="J96" s="803"/>
      <c r="K96" s="803"/>
      <c r="L96" s="803" t="s">
        <v>30</v>
      </c>
      <c r="M96" s="803" t="s">
        <v>460</v>
      </c>
      <c r="N96" s="803" t="s">
        <v>4</v>
      </c>
      <c r="O96" s="803" t="s">
        <v>26</v>
      </c>
      <c r="P96" s="803">
        <f>S96/P$13*100000</f>
        <v>6.3313379066697484E-2</v>
      </c>
      <c r="Q96" s="803">
        <v>0</v>
      </c>
      <c r="R96" s="803">
        <f t="shared" si="6"/>
        <v>1</v>
      </c>
      <c r="S96" s="810">
        <v>0.2</v>
      </c>
      <c r="T96" s="803"/>
      <c r="U96" s="861" t="s">
        <v>623</v>
      </c>
      <c r="V96" s="803"/>
    </row>
    <row r="97" spans="1:22" s="820" customFormat="1" ht="12.75" customHeight="1" x14ac:dyDescent="0.25">
      <c r="A97" s="803" t="s">
        <v>308</v>
      </c>
      <c r="B97" s="803">
        <v>6</v>
      </c>
      <c r="C97" s="803" t="s">
        <v>519</v>
      </c>
      <c r="D97" s="803" t="s">
        <v>297</v>
      </c>
      <c r="E97" s="803">
        <v>1</v>
      </c>
      <c r="F97" s="803" t="s">
        <v>317</v>
      </c>
      <c r="G97" s="803" t="s">
        <v>512</v>
      </c>
      <c r="H97" s="803" t="s">
        <v>518</v>
      </c>
      <c r="I97" s="803"/>
      <c r="J97" s="803"/>
      <c r="K97" s="803"/>
      <c r="L97" s="803" t="s">
        <v>30</v>
      </c>
      <c r="M97" s="803" t="s">
        <v>460</v>
      </c>
      <c r="N97" s="803" t="s">
        <v>5</v>
      </c>
      <c r="O97" s="803" t="s">
        <v>26</v>
      </c>
      <c r="P97" s="803">
        <f>S97/P$14*100000</f>
        <v>0.30803541175093491</v>
      </c>
      <c r="Q97" s="803">
        <v>6.3612300837837629E-2</v>
      </c>
      <c r="R97" s="803">
        <f t="shared" si="6"/>
        <v>1</v>
      </c>
      <c r="S97" s="810">
        <v>1</v>
      </c>
      <c r="T97" s="803"/>
      <c r="U97" s="861" t="s">
        <v>623</v>
      </c>
      <c r="V97" s="803"/>
    </row>
    <row r="98" spans="1:22" s="820" customFormat="1" ht="12.75" customHeight="1" x14ac:dyDescent="0.25">
      <c r="A98" s="803" t="s">
        <v>308</v>
      </c>
      <c r="B98" s="803">
        <v>6</v>
      </c>
      <c r="C98" s="803" t="s">
        <v>519</v>
      </c>
      <c r="D98" s="803" t="s">
        <v>297</v>
      </c>
      <c r="E98" s="803">
        <v>1</v>
      </c>
      <c r="F98" s="803" t="s">
        <v>317</v>
      </c>
      <c r="G98" s="803" t="s">
        <v>512</v>
      </c>
      <c r="H98" s="803" t="s">
        <v>518</v>
      </c>
      <c r="I98" s="803"/>
      <c r="J98" s="803"/>
      <c r="K98" s="803"/>
      <c r="L98" s="803" t="s">
        <v>30</v>
      </c>
      <c r="M98" s="803" t="s">
        <v>460</v>
      </c>
      <c r="N98" s="803" t="s">
        <v>6</v>
      </c>
      <c r="O98" s="803" t="s">
        <v>26</v>
      </c>
      <c r="P98" s="803">
        <f>S98/P$15*100000</f>
        <v>0</v>
      </c>
      <c r="Q98" s="803">
        <v>0.32857793441452998</v>
      </c>
      <c r="R98" s="803">
        <f t="shared" si="6"/>
        <v>1</v>
      </c>
      <c r="S98" s="810">
        <v>0</v>
      </c>
      <c r="T98" s="803"/>
      <c r="U98" s="861" t="s">
        <v>623</v>
      </c>
      <c r="V98" s="803"/>
    </row>
    <row r="99" spans="1:22" s="820" customFormat="1" ht="12.75" customHeight="1" x14ac:dyDescent="0.25">
      <c r="A99" s="803" t="s">
        <v>308</v>
      </c>
      <c r="B99" s="803">
        <v>6</v>
      </c>
      <c r="C99" s="803" t="s">
        <v>519</v>
      </c>
      <c r="D99" s="803" t="s">
        <v>297</v>
      </c>
      <c r="E99" s="803">
        <v>1</v>
      </c>
      <c r="F99" s="803" t="s">
        <v>317</v>
      </c>
      <c r="G99" s="803" t="s">
        <v>512</v>
      </c>
      <c r="H99" s="803" t="s">
        <v>518</v>
      </c>
      <c r="I99" s="803"/>
      <c r="J99" s="803"/>
      <c r="K99" s="803"/>
      <c r="L99" s="803" t="s">
        <v>30</v>
      </c>
      <c r="M99" s="803" t="s">
        <v>460</v>
      </c>
      <c r="N99" s="803" t="s">
        <v>7</v>
      </c>
      <c r="O99" s="803" t="s">
        <v>26</v>
      </c>
      <c r="P99" s="803">
        <f>S99/P$16*100000</f>
        <v>0.24169330328279931</v>
      </c>
      <c r="Q99" s="803">
        <v>0.27964596820425347</v>
      </c>
      <c r="R99" s="803">
        <f t="shared" si="6"/>
        <v>1</v>
      </c>
      <c r="S99" s="810">
        <v>0.4</v>
      </c>
      <c r="T99" s="803"/>
      <c r="U99" s="861" t="s">
        <v>623</v>
      </c>
      <c r="V99" s="803"/>
    </row>
    <row r="100" spans="1:22" s="820" customFormat="1" ht="12.75" customHeight="1" x14ac:dyDescent="0.25">
      <c r="A100" s="803" t="s">
        <v>308</v>
      </c>
      <c r="B100" s="803">
        <v>6</v>
      </c>
      <c r="C100" s="803" t="s">
        <v>519</v>
      </c>
      <c r="D100" s="803" t="s">
        <v>297</v>
      </c>
      <c r="E100" s="803">
        <v>1</v>
      </c>
      <c r="F100" s="803" t="s">
        <v>317</v>
      </c>
      <c r="G100" s="803" t="s">
        <v>512</v>
      </c>
      <c r="H100" s="803" t="s">
        <v>518</v>
      </c>
      <c r="I100" s="803"/>
      <c r="J100" s="803"/>
      <c r="K100" s="803"/>
      <c r="L100" s="803" t="s">
        <v>30</v>
      </c>
      <c r="M100" s="803" t="s">
        <v>460</v>
      </c>
      <c r="N100" s="803" t="s">
        <v>8</v>
      </c>
      <c r="O100" s="803" t="s">
        <v>26</v>
      </c>
      <c r="P100" s="803">
        <f>S100/P$17*100000</f>
        <v>2.2967386311437759</v>
      </c>
      <c r="Q100" s="803">
        <v>3.2504181219675075</v>
      </c>
      <c r="R100" s="803">
        <f t="shared" si="6"/>
        <v>1</v>
      </c>
      <c r="S100" s="810">
        <v>1.8</v>
      </c>
      <c r="T100" s="803"/>
      <c r="U100" s="861" t="s">
        <v>623</v>
      </c>
      <c r="V100" s="803"/>
    </row>
    <row r="101" spans="1:22" s="820" customFormat="1" ht="12.75" customHeight="1" x14ac:dyDescent="0.25">
      <c r="A101" s="803" t="s">
        <v>308</v>
      </c>
      <c r="B101" s="803">
        <v>6</v>
      </c>
      <c r="C101" s="803" t="s">
        <v>519</v>
      </c>
      <c r="D101" s="803" t="s">
        <v>297</v>
      </c>
      <c r="E101" s="803">
        <v>1</v>
      </c>
      <c r="F101" s="803" t="s">
        <v>317</v>
      </c>
      <c r="G101" s="803" t="s">
        <v>512</v>
      </c>
      <c r="H101" s="803" t="s">
        <v>518</v>
      </c>
      <c r="I101" s="803"/>
      <c r="J101" s="803"/>
      <c r="K101" s="803"/>
      <c r="L101" s="803" t="s">
        <v>30</v>
      </c>
      <c r="M101" s="803" t="s">
        <v>460</v>
      </c>
      <c r="N101" s="803" t="s">
        <v>9</v>
      </c>
      <c r="O101" s="803" t="s">
        <v>26</v>
      </c>
      <c r="P101" s="803">
        <f>S101/P$18*100000</f>
        <v>5.6285178236397746</v>
      </c>
      <c r="Q101" s="803">
        <v>4.8923918414473651</v>
      </c>
      <c r="R101" s="803">
        <f t="shared" si="6"/>
        <v>1</v>
      </c>
      <c r="S101" s="810">
        <v>2.4</v>
      </c>
      <c r="T101" s="803"/>
      <c r="U101" s="861" t="s">
        <v>623</v>
      </c>
      <c r="V101" s="803"/>
    </row>
    <row r="102" spans="1:22" s="820" customFormat="1" ht="12.75" customHeight="1" x14ac:dyDescent="0.25">
      <c r="A102" s="803" t="s">
        <v>308</v>
      </c>
      <c r="B102" s="803">
        <v>6</v>
      </c>
      <c r="C102" s="803" t="s">
        <v>519</v>
      </c>
      <c r="D102" s="803" t="s">
        <v>297</v>
      </c>
      <c r="E102" s="803">
        <v>1</v>
      </c>
      <c r="F102" s="803" t="s">
        <v>317</v>
      </c>
      <c r="G102" s="803" t="s">
        <v>512</v>
      </c>
      <c r="H102" s="803" t="s">
        <v>518</v>
      </c>
      <c r="I102" s="803"/>
      <c r="J102" s="803"/>
      <c r="K102" s="803"/>
      <c r="L102" s="803" t="s">
        <v>33</v>
      </c>
      <c r="M102" s="803" t="s">
        <v>461</v>
      </c>
      <c r="N102" s="803" t="s">
        <v>249</v>
      </c>
      <c r="O102" s="803" t="s">
        <v>27</v>
      </c>
      <c r="P102" s="803">
        <f>S102/P$3*100000</f>
        <v>0</v>
      </c>
      <c r="Q102" s="803">
        <v>0</v>
      </c>
      <c r="R102" s="803">
        <f>IF(S102&lt;10, 1, P102/Q102)</f>
        <v>1</v>
      </c>
      <c r="S102" s="810">
        <v>0</v>
      </c>
      <c r="T102" s="803"/>
      <c r="U102" s="861" t="s">
        <v>623</v>
      </c>
      <c r="V102" s="803"/>
    </row>
    <row r="103" spans="1:22" s="820" customFormat="1" ht="12.75" customHeight="1" x14ac:dyDescent="0.25">
      <c r="A103" s="803" t="s">
        <v>308</v>
      </c>
      <c r="B103" s="803">
        <v>6</v>
      </c>
      <c r="C103" s="803" t="s">
        <v>519</v>
      </c>
      <c r="D103" s="803" t="s">
        <v>297</v>
      </c>
      <c r="E103" s="803">
        <v>1</v>
      </c>
      <c r="F103" s="803" t="s">
        <v>317</v>
      </c>
      <c r="G103" s="803" t="s">
        <v>512</v>
      </c>
      <c r="H103" s="803" t="s">
        <v>518</v>
      </c>
      <c r="I103" s="803"/>
      <c r="J103" s="803"/>
      <c r="K103" s="803"/>
      <c r="L103" s="803" t="s">
        <v>33</v>
      </c>
      <c r="M103" s="803" t="s">
        <v>461</v>
      </c>
      <c r="N103" s="803" t="s">
        <v>244</v>
      </c>
      <c r="O103" s="803" t="s">
        <v>27</v>
      </c>
      <c r="P103" s="803">
        <f>S103/P$4*100000</f>
        <v>0.8630454717082906</v>
      </c>
      <c r="Q103" s="803">
        <v>0</v>
      </c>
      <c r="R103" s="803">
        <f t="shared" ref="R103:R117" si="7">IF(S103&lt;10, 1, P103/Q103)</f>
        <v>1</v>
      </c>
      <c r="S103" s="810">
        <v>1.6</v>
      </c>
      <c r="T103" s="803"/>
      <c r="U103" s="861" t="s">
        <v>623</v>
      </c>
      <c r="V103" s="803"/>
    </row>
    <row r="104" spans="1:22" s="820" customFormat="1" ht="12.75" customHeight="1" x14ac:dyDescent="0.25">
      <c r="A104" s="803" t="s">
        <v>308</v>
      </c>
      <c r="B104" s="803">
        <v>6</v>
      </c>
      <c r="C104" s="803" t="s">
        <v>519</v>
      </c>
      <c r="D104" s="803" t="s">
        <v>297</v>
      </c>
      <c r="E104" s="803">
        <v>1</v>
      </c>
      <c r="F104" s="803" t="s">
        <v>317</v>
      </c>
      <c r="G104" s="803" t="s">
        <v>512</v>
      </c>
      <c r="H104" s="803" t="s">
        <v>518</v>
      </c>
      <c r="I104" s="803"/>
      <c r="J104" s="803"/>
      <c r="K104" s="803"/>
      <c r="L104" s="803" t="s">
        <v>33</v>
      </c>
      <c r="M104" s="803" t="s">
        <v>461</v>
      </c>
      <c r="N104" s="803" t="s">
        <v>4</v>
      </c>
      <c r="O104" s="803" t="s">
        <v>27</v>
      </c>
      <c r="P104" s="803">
        <f>S104/P$5*100000</f>
        <v>3.4806373433713196</v>
      </c>
      <c r="Q104" s="803">
        <v>0.2585709816130175</v>
      </c>
      <c r="R104" s="803">
        <f t="shared" si="7"/>
        <v>13.461051668127675</v>
      </c>
      <c r="S104" s="810">
        <v>10.8</v>
      </c>
      <c r="T104" s="803"/>
      <c r="U104" s="861" t="s">
        <v>623</v>
      </c>
      <c r="V104" s="803"/>
    </row>
    <row r="105" spans="1:22" s="820" customFormat="1" ht="12.75" customHeight="1" x14ac:dyDescent="0.25">
      <c r="A105" s="803" t="s">
        <v>308</v>
      </c>
      <c r="B105" s="803">
        <v>6</v>
      </c>
      <c r="C105" s="803" t="s">
        <v>519</v>
      </c>
      <c r="D105" s="803" t="s">
        <v>297</v>
      </c>
      <c r="E105" s="803">
        <v>1</v>
      </c>
      <c r="F105" s="803" t="s">
        <v>317</v>
      </c>
      <c r="G105" s="803" t="s">
        <v>512</v>
      </c>
      <c r="H105" s="803" t="s">
        <v>518</v>
      </c>
      <c r="I105" s="803"/>
      <c r="J105" s="803"/>
      <c r="K105" s="803"/>
      <c r="L105" s="803" t="s">
        <v>33</v>
      </c>
      <c r="M105" s="803" t="s">
        <v>461</v>
      </c>
      <c r="N105" s="803" t="s">
        <v>5</v>
      </c>
      <c r="O105" s="803" t="s">
        <v>27</v>
      </c>
      <c r="P105" s="803">
        <f>S105/P$6*100000</f>
        <v>13.991692432618132</v>
      </c>
      <c r="Q105" s="803">
        <v>3.1325172255817022</v>
      </c>
      <c r="R105" s="803">
        <f t="shared" si="7"/>
        <v>4.4665971246239202</v>
      </c>
      <c r="S105" s="810">
        <v>44.8</v>
      </c>
      <c r="T105" s="803"/>
      <c r="U105" s="861" t="s">
        <v>623</v>
      </c>
      <c r="V105" s="803"/>
    </row>
    <row r="106" spans="1:22" s="820" customFormat="1" ht="12.75" customHeight="1" x14ac:dyDescent="0.25">
      <c r="A106" s="803" t="s">
        <v>308</v>
      </c>
      <c r="B106" s="803">
        <v>6</v>
      </c>
      <c r="C106" s="803" t="s">
        <v>519</v>
      </c>
      <c r="D106" s="803" t="s">
        <v>297</v>
      </c>
      <c r="E106" s="803">
        <v>1</v>
      </c>
      <c r="F106" s="803" t="s">
        <v>317</v>
      </c>
      <c r="G106" s="803" t="s">
        <v>512</v>
      </c>
      <c r="H106" s="803" t="s">
        <v>518</v>
      </c>
      <c r="I106" s="803"/>
      <c r="J106" s="803"/>
      <c r="K106" s="803"/>
      <c r="L106" s="803" t="s">
        <v>33</v>
      </c>
      <c r="M106" s="803" t="s">
        <v>461</v>
      </c>
      <c r="N106" s="803" t="s">
        <v>6</v>
      </c>
      <c r="O106" s="803" t="s">
        <v>27</v>
      </c>
      <c r="P106" s="803">
        <f>S106/P$7*100000</f>
        <v>6.4006554271157368E-2</v>
      </c>
      <c r="Q106" s="803">
        <v>12.812057218773766</v>
      </c>
      <c r="R106" s="803">
        <f t="shared" si="7"/>
        <v>1</v>
      </c>
      <c r="S106" s="810">
        <v>0.2</v>
      </c>
      <c r="T106" s="803"/>
      <c r="U106" s="861" t="s">
        <v>623</v>
      </c>
      <c r="V106" s="803"/>
    </row>
    <row r="107" spans="1:22" s="820" customFormat="1" ht="12.75" customHeight="1" x14ac:dyDescent="0.25">
      <c r="A107" s="803" t="s">
        <v>308</v>
      </c>
      <c r="B107" s="803">
        <v>6</v>
      </c>
      <c r="C107" s="803" t="s">
        <v>519</v>
      </c>
      <c r="D107" s="803" t="s">
        <v>297</v>
      </c>
      <c r="E107" s="803">
        <v>1</v>
      </c>
      <c r="F107" s="803" t="s">
        <v>317</v>
      </c>
      <c r="G107" s="803" t="s">
        <v>512</v>
      </c>
      <c r="H107" s="803" t="s">
        <v>518</v>
      </c>
      <c r="I107" s="803"/>
      <c r="J107" s="803"/>
      <c r="K107" s="803"/>
      <c r="L107" s="803" t="s">
        <v>33</v>
      </c>
      <c r="M107" s="803" t="s">
        <v>461</v>
      </c>
      <c r="N107" s="803" t="s">
        <v>7</v>
      </c>
      <c r="O107" s="803" t="s">
        <v>27</v>
      </c>
      <c r="P107" s="803">
        <f>S107/P$8*100000</f>
        <v>37.445044382407517</v>
      </c>
      <c r="Q107" s="803">
        <v>41.320805873029109</v>
      </c>
      <c r="R107" s="803">
        <f t="shared" si="7"/>
        <v>0.90620314854141371</v>
      </c>
      <c r="S107" s="810">
        <v>67.2</v>
      </c>
      <c r="T107" s="803"/>
      <c r="U107" s="861" t="s">
        <v>623</v>
      </c>
      <c r="V107" s="803"/>
    </row>
    <row r="108" spans="1:22" s="820" customFormat="1" ht="12.75" customHeight="1" x14ac:dyDescent="0.25">
      <c r="A108" s="803" t="s">
        <v>308</v>
      </c>
      <c r="B108" s="803">
        <v>6</v>
      </c>
      <c r="C108" s="803" t="s">
        <v>519</v>
      </c>
      <c r="D108" s="803" t="s">
        <v>297</v>
      </c>
      <c r="E108" s="803">
        <v>1</v>
      </c>
      <c r="F108" s="803" t="s">
        <v>317</v>
      </c>
      <c r="G108" s="803" t="s">
        <v>512</v>
      </c>
      <c r="H108" s="803" t="s">
        <v>518</v>
      </c>
      <c r="I108" s="803"/>
      <c r="J108" s="803"/>
      <c r="K108" s="803"/>
      <c r="L108" s="803" t="s">
        <v>33</v>
      </c>
      <c r="M108" s="803" t="s">
        <v>461</v>
      </c>
      <c r="N108" s="803" t="s">
        <v>8</v>
      </c>
      <c r="O108" s="803" t="s">
        <v>27</v>
      </c>
      <c r="P108" s="803">
        <f>S108/P$9*100000</f>
        <v>87.390489473913618</v>
      </c>
      <c r="Q108" s="803">
        <v>86.814143532717324</v>
      </c>
      <c r="R108" s="803">
        <f t="shared" si="7"/>
        <v>1.0066388484380899</v>
      </c>
      <c r="S108" s="810">
        <v>80.2</v>
      </c>
      <c r="T108" s="803"/>
      <c r="U108" s="861" t="s">
        <v>623</v>
      </c>
      <c r="V108" s="803"/>
    </row>
    <row r="109" spans="1:22" s="820" customFormat="1" ht="12.75" customHeight="1" x14ac:dyDescent="0.25">
      <c r="A109" s="803" t="s">
        <v>308</v>
      </c>
      <c r="B109" s="803">
        <v>6</v>
      </c>
      <c r="C109" s="803" t="s">
        <v>519</v>
      </c>
      <c r="D109" s="803" t="s">
        <v>297</v>
      </c>
      <c r="E109" s="803">
        <v>1</v>
      </c>
      <c r="F109" s="803" t="s">
        <v>317</v>
      </c>
      <c r="G109" s="803" t="s">
        <v>512</v>
      </c>
      <c r="H109" s="803" t="s">
        <v>518</v>
      </c>
      <c r="I109" s="803"/>
      <c r="J109" s="803"/>
      <c r="K109" s="803"/>
      <c r="L109" s="803" t="s">
        <v>33</v>
      </c>
      <c r="M109" s="803" t="s">
        <v>461</v>
      </c>
      <c r="N109" s="803" t="s">
        <v>9</v>
      </c>
      <c r="O109" s="803" t="s">
        <v>27</v>
      </c>
      <c r="P109" s="803">
        <f>S109/P$10*100000</f>
        <v>261.54370420855338</v>
      </c>
      <c r="Q109" s="803">
        <v>246.56297498371487</v>
      </c>
      <c r="R109" s="803">
        <f t="shared" si="7"/>
        <v>1.0607582270851006</v>
      </c>
      <c r="S109" s="810">
        <v>184.2</v>
      </c>
      <c r="T109" s="803"/>
      <c r="U109" s="861" t="s">
        <v>623</v>
      </c>
      <c r="V109" s="803"/>
    </row>
    <row r="110" spans="1:22" s="820" customFormat="1" ht="12.75" customHeight="1" x14ac:dyDescent="0.25">
      <c r="A110" s="803" t="s">
        <v>308</v>
      </c>
      <c r="B110" s="803">
        <v>6</v>
      </c>
      <c r="C110" s="803" t="s">
        <v>519</v>
      </c>
      <c r="D110" s="803" t="s">
        <v>297</v>
      </c>
      <c r="E110" s="803">
        <v>1</v>
      </c>
      <c r="F110" s="803" t="s">
        <v>317</v>
      </c>
      <c r="G110" s="803" t="s">
        <v>512</v>
      </c>
      <c r="H110" s="803" t="s">
        <v>518</v>
      </c>
      <c r="I110" s="803"/>
      <c r="J110" s="803"/>
      <c r="K110" s="803"/>
      <c r="L110" s="803" t="s">
        <v>33</v>
      </c>
      <c r="M110" s="803" t="s">
        <v>461</v>
      </c>
      <c r="N110" s="803" t="s">
        <v>249</v>
      </c>
      <c r="O110" s="803" t="s">
        <v>26</v>
      </c>
      <c r="P110" s="803">
        <f>S110/P$11*100000</f>
        <v>0</v>
      </c>
      <c r="Q110" s="803">
        <v>0</v>
      </c>
      <c r="R110" s="803">
        <f t="shared" si="7"/>
        <v>1</v>
      </c>
      <c r="S110" s="810">
        <v>0</v>
      </c>
      <c r="T110" s="803"/>
      <c r="U110" s="861" t="s">
        <v>623</v>
      </c>
      <c r="V110" s="803"/>
    </row>
    <row r="111" spans="1:22" s="820" customFormat="1" ht="12.75" customHeight="1" x14ac:dyDescent="0.25">
      <c r="A111" s="803" t="s">
        <v>308</v>
      </c>
      <c r="B111" s="803">
        <v>6</v>
      </c>
      <c r="C111" s="803" t="s">
        <v>519</v>
      </c>
      <c r="D111" s="803" t="s">
        <v>297</v>
      </c>
      <c r="E111" s="803">
        <v>1</v>
      </c>
      <c r="F111" s="803" t="s">
        <v>317</v>
      </c>
      <c r="G111" s="803" t="s">
        <v>512</v>
      </c>
      <c r="H111" s="803" t="s">
        <v>518</v>
      </c>
      <c r="I111" s="803"/>
      <c r="J111" s="803"/>
      <c r="K111" s="803"/>
      <c r="L111" s="803" t="s">
        <v>33</v>
      </c>
      <c r="M111" s="803" t="s">
        <v>461</v>
      </c>
      <c r="N111" s="803" t="s">
        <v>244</v>
      </c>
      <c r="O111" s="803" t="s">
        <v>26</v>
      </c>
      <c r="P111" s="803">
        <f>S111/P$12*100000</f>
        <v>1.0340566559641804</v>
      </c>
      <c r="Q111" s="803">
        <v>0.10396339656733658</v>
      </c>
      <c r="R111" s="803">
        <f t="shared" si="7"/>
        <v>1</v>
      </c>
      <c r="S111" s="810">
        <v>2</v>
      </c>
      <c r="T111" s="803"/>
      <c r="U111" s="861" t="s">
        <v>623</v>
      </c>
      <c r="V111" s="803"/>
    </row>
    <row r="112" spans="1:22" s="820" customFormat="1" ht="12.75" customHeight="1" x14ac:dyDescent="0.25">
      <c r="A112" s="803" t="s">
        <v>308</v>
      </c>
      <c r="B112" s="803">
        <v>6</v>
      </c>
      <c r="C112" s="803" t="s">
        <v>519</v>
      </c>
      <c r="D112" s="803" t="s">
        <v>297</v>
      </c>
      <c r="E112" s="803">
        <v>1</v>
      </c>
      <c r="F112" s="803" t="s">
        <v>317</v>
      </c>
      <c r="G112" s="803" t="s">
        <v>512</v>
      </c>
      <c r="H112" s="803" t="s">
        <v>518</v>
      </c>
      <c r="I112" s="803"/>
      <c r="J112" s="803"/>
      <c r="K112" s="803"/>
      <c r="L112" s="803" t="s">
        <v>33</v>
      </c>
      <c r="M112" s="803" t="s">
        <v>461</v>
      </c>
      <c r="N112" s="803" t="s">
        <v>4</v>
      </c>
      <c r="O112" s="803" t="s">
        <v>26</v>
      </c>
      <c r="P112" s="803">
        <f>S112/P$13*100000</f>
        <v>5.0650703253357987</v>
      </c>
      <c r="Q112" s="803">
        <v>0.56960655376642855</v>
      </c>
      <c r="R112" s="803">
        <f t="shared" si="7"/>
        <v>8.8922262074476919</v>
      </c>
      <c r="S112" s="810">
        <v>16</v>
      </c>
      <c r="T112" s="803"/>
      <c r="U112" s="861" t="s">
        <v>623</v>
      </c>
      <c r="V112" s="803"/>
    </row>
    <row r="113" spans="1:22" s="820" customFormat="1" ht="12.75" customHeight="1" x14ac:dyDescent="0.25">
      <c r="A113" s="803" t="s">
        <v>308</v>
      </c>
      <c r="B113" s="803">
        <v>6</v>
      </c>
      <c r="C113" s="803" t="s">
        <v>519</v>
      </c>
      <c r="D113" s="803" t="s">
        <v>297</v>
      </c>
      <c r="E113" s="803">
        <v>1</v>
      </c>
      <c r="F113" s="803" t="s">
        <v>317</v>
      </c>
      <c r="G113" s="803" t="s">
        <v>512</v>
      </c>
      <c r="H113" s="803" t="s">
        <v>518</v>
      </c>
      <c r="I113" s="803"/>
      <c r="J113" s="803"/>
      <c r="K113" s="803"/>
      <c r="L113" s="803" t="s">
        <v>33</v>
      </c>
      <c r="M113" s="803" t="s">
        <v>461</v>
      </c>
      <c r="N113" s="803" t="s">
        <v>5</v>
      </c>
      <c r="O113" s="803" t="s">
        <v>26</v>
      </c>
      <c r="P113" s="803">
        <f>S113/P$14*100000</f>
        <v>25.074082516526101</v>
      </c>
      <c r="Q113" s="803">
        <v>4.2620241561351202</v>
      </c>
      <c r="R113" s="803">
        <f t="shared" si="7"/>
        <v>5.8831394656532705</v>
      </c>
      <c r="S113" s="810">
        <v>81.400000000000006</v>
      </c>
      <c r="T113" s="803"/>
      <c r="U113" s="861" t="s">
        <v>623</v>
      </c>
      <c r="V113" s="803"/>
    </row>
    <row r="114" spans="1:22" s="820" customFormat="1" ht="12.75" customHeight="1" x14ac:dyDescent="0.25">
      <c r="A114" s="803" t="s">
        <v>308</v>
      </c>
      <c r="B114" s="803">
        <v>6</v>
      </c>
      <c r="C114" s="803" t="s">
        <v>519</v>
      </c>
      <c r="D114" s="803" t="s">
        <v>297</v>
      </c>
      <c r="E114" s="803">
        <v>1</v>
      </c>
      <c r="F114" s="803" t="s">
        <v>317</v>
      </c>
      <c r="G114" s="803" t="s">
        <v>512</v>
      </c>
      <c r="H114" s="803" t="s">
        <v>518</v>
      </c>
      <c r="I114" s="803"/>
      <c r="J114" s="803"/>
      <c r="K114" s="803"/>
      <c r="L114" s="803" t="s">
        <v>33</v>
      </c>
      <c r="M114" s="803" t="s">
        <v>461</v>
      </c>
      <c r="N114" s="803" t="s">
        <v>6</v>
      </c>
      <c r="O114" s="803" t="s">
        <v>26</v>
      </c>
      <c r="P114" s="803">
        <f>S114/P$15*100000</f>
        <v>0</v>
      </c>
      <c r="Q114" s="803">
        <v>23.920473625377785</v>
      </c>
      <c r="R114" s="803">
        <f t="shared" si="7"/>
        <v>1</v>
      </c>
      <c r="S114" s="810">
        <v>0</v>
      </c>
      <c r="T114" s="803"/>
      <c r="U114" s="861" t="s">
        <v>623</v>
      </c>
      <c r="V114" s="803"/>
    </row>
    <row r="115" spans="1:22" s="820" customFormat="1" ht="12.75" customHeight="1" x14ac:dyDescent="0.25">
      <c r="A115" s="803" t="s">
        <v>308</v>
      </c>
      <c r="B115" s="803">
        <v>6</v>
      </c>
      <c r="C115" s="803" t="s">
        <v>519</v>
      </c>
      <c r="D115" s="803" t="s">
        <v>297</v>
      </c>
      <c r="E115" s="803">
        <v>1</v>
      </c>
      <c r="F115" s="803" t="s">
        <v>317</v>
      </c>
      <c r="G115" s="803" t="s">
        <v>512</v>
      </c>
      <c r="H115" s="803" t="s">
        <v>518</v>
      </c>
      <c r="I115" s="803"/>
      <c r="J115" s="803"/>
      <c r="K115" s="803"/>
      <c r="L115" s="803" t="s">
        <v>33</v>
      </c>
      <c r="M115" s="803" t="s">
        <v>461</v>
      </c>
      <c r="N115" s="803" t="s">
        <v>7</v>
      </c>
      <c r="O115" s="803" t="s">
        <v>26</v>
      </c>
      <c r="P115" s="803">
        <f>S115/P$16*100000</f>
        <v>63.202798808452009</v>
      </c>
      <c r="Q115" s="803">
        <v>68.373439225939961</v>
      </c>
      <c r="R115" s="803">
        <f t="shared" si="7"/>
        <v>0.92437647606987305</v>
      </c>
      <c r="S115" s="810">
        <v>104.6</v>
      </c>
      <c r="T115" s="803"/>
      <c r="U115" s="861" t="s">
        <v>623</v>
      </c>
      <c r="V115" s="803"/>
    </row>
    <row r="116" spans="1:22" s="820" customFormat="1" ht="12.75" customHeight="1" x14ac:dyDescent="0.25">
      <c r="A116" s="803" t="s">
        <v>308</v>
      </c>
      <c r="B116" s="803">
        <v>6</v>
      </c>
      <c r="C116" s="803" t="s">
        <v>519</v>
      </c>
      <c r="D116" s="803" t="s">
        <v>297</v>
      </c>
      <c r="E116" s="803">
        <v>1</v>
      </c>
      <c r="F116" s="803" t="s">
        <v>317</v>
      </c>
      <c r="G116" s="803" t="s">
        <v>512</v>
      </c>
      <c r="H116" s="803" t="s">
        <v>518</v>
      </c>
      <c r="I116" s="803"/>
      <c r="J116" s="803"/>
      <c r="K116" s="803"/>
      <c r="L116" s="803" t="s">
        <v>33</v>
      </c>
      <c r="M116" s="803" t="s">
        <v>461</v>
      </c>
      <c r="N116" s="803" t="s">
        <v>8</v>
      </c>
      <c r="O116" s="803" t="s">
        <v>26</v>
      </c>
      <c r="P116" s="803">
        <f>S116/P$17*100000</f>
        <v>134.48680651252999</v>
      </c>
      <c r="Q116" s="803">
        <v>135.63108345300779</v>
      </c>
      <c r="R116" s="803">
        <f t="shared" si="7"/>
        <v>0.99156331342826542</v>
      </c>
      <c r="S116" s="810">
        <v>105.4</v>
      </c>
      <c r="T116" s="803"/>
      <c r="U116" s="861" t="s">
        <v>623</v>
      </c>
      <c r="V116" s="803"/>
    </row>
    <row r="117" spans="1:22" s="820" customFormat="1" ht="12.75" customHeight="1" x14ac:dyDescent="0.25">
      <c r="A117" s="803" t="s">
        <v>308</v>
      </c>
      <c r="B117" s="803">
        <v>6</v>
      </c>
      <c r="C117" s="803" t="s">
        <v>519</v>
      </c>
      <c r="D117" s="803" t="s">
        <v>297</v>
      </c>
      <c r="E117" s="803">
        <v>1</v>
      </c>
      <c r="F117" s="803" t="s">
        <v>317</v>
      </c>
      <c r="G117" s="803" t="s">
        <v>512</v>
      </c>
      <c r="H117" s="803" t="s">
        <v>518</v>
      </c>
      <c r="I117" s="803"/>
      <c r="J117" s="803"/>
      <c r="K117" s="803"/>
      <c r="L117" s="803" t="s">
        <v>33</v>
      </c>
      <c r="M117" s="803" t="s">
        <v>461</v>
      </c>
      <c r="N117" s="803" t="s">
        <v>9</v>
      </c>
      <c r="O117" s="803" t="s">
        <v>26</v>
      </c>
      <c r="P117" s="803">
        <f>S117/P$18*100000</f>
        <v>338.18011257035647</v>
      </c>
      <c r="Q117" s="803">
        <v>309.19916437947347</v>
      </c>
      <c r="R117" s="803">
        <f t="shared" si="7"/>
        <v>1.0937290637542452</v>
      </c>
      <c r="S117" s="810">
        <v>144.19999999999999</v>
      </c>
      <c r="T117" s="803"/>
      <c r="U117" s="861" t="s">
        <v>623</v>
      </c>
      <c r="V117" s="803"/>
    </row>
    <row r="118" spans="1:22" s="820" customFormat="1" ht="12.75" customHeight="1" x14ac:dyDescent="0.25">
      <c r="A118" s="803" t="s">
        <v>308</v>
      </c>
      <c r="B118" s="803">
        <v>6</v>
      </c>
      <c r="C118" s="803" t="s">
        <v>519</v>
      </c>
      <c r="D118" s="803" t="s">
        <v>297</v>
      </c>
      <c r="E118" s="803">
        <v>1</v>
      </c>
      <c r="F118" s="803" t="s">
        <v>317</v>
      </c>
      <c r="G118" s="803" t="s">
        <v>512</v>
      </c>
      <c r="H118" s="803" t="s">
        <v>518</v>
      </c>
      <c r="I118" s="803"/>
      <c r="J118" s="803"/>
      <c r="K118" s="803"/>
      <c r="L118" s="803" t="s">
        <v>189</v>
      </c>
      <c r="M118" s="803" t="s">
        <v>462</v>
      </c>
      <c r="N118" s="803" t="s">
        <v>249</v>
      </c>
      <c r="O118" s="803" t="s">
        <v>27</v>
      </c>
      <c r="P118" s="803">
        <f>S118/P$3*100000</f>
        <v>0</v>
      </c>
      <c r="Q118" s="803">
        <v>0</v>
      </c>
      <c r="R118" s="803">
        <f>IF(S118&lt;10, 1, P118/Q118)</f>
        <v>1</v>
      </c>
      <c r="S118" s="811">
        <v>0</v>
      </c>
      <c r="T118" s="803"/>
      <c r="U118" s="861" t="s">
        <v>623</v>
      </c>
      <c r="V118" s="803"/>
    </row>
    <row r="119" spans="1:22" s="820" customFormat="1" ht="12.75" customHeight="1" x14ac:dyDescent="0.25">
      <c r="A119" s="803" t="s">
        <v>308</v>
      </c>
      <c r="B119" s="803">
        <v>6</v>
      </c>
      <c r="C119" s="803" t="s">
        <v>519</v>
      </c>
      <c r="D119" s="803" t="s">
        <v>297</v>
      </c>
      <c r="E119" s="803">
        <v>1</v>
      </c>
      <c r="F119" s="803" t="s">
        <v>317</v>
      </c>
      <c r="G119" s="803" t="s">
        <v>512</v>
      </c>
      <c r="H119" s="803" t="s">
        <v>518</v>
      </c>
      <c r="I119" s="803"/>
      <c r="J119" s="803"/>
      <c r="K119" s="803"/>
      <c r="L119" s="803" t="s">
        <v>189</v>
      </c>
      <c r="M119" s="803" t="s">
        <v>462</v>
      </c>
      <c r="N119" s="803" t="s">
        <v>244</v>
      </c>
      <c r="O119" s="803" t="s">
        <v>27</v>
      </c>
      <c r="P119" s="803">
        <f>S119/P$4*100000</f>
        <v>0</v>
      </c>
      <c r="Q119" s="803">
        <v>0</v>
      </c>
      <c r="R119" s="803">
        <f t="shared" ref="R119:R182" si="8">IF(S119&lt;10, 1, P119/Q119)</f>
        <v>1</v>
      </c>
      <c r="S119" s="811">
        <v>0</v>
      </c>
      <c r="T119" s="803"/>
      <c r="U119" s="861" t="s">
        <v>623</v>
      </c>
      <c r="V119" s="803"/>
    </row>
    <row r="120" spans="1:22" s="820" customFormat="1" ht="12.75" customHeight="1" x14ac:dyDescent="0.25">
      <c r="A120" s="803" t="s">
        <v>308</v>
      </c>
      <c r="B120" s="803">
        <v>6</v>
      </c>
      <c r="C120" s="803" t="s">
        <v>519</v>
      </c>
      <c r="D120" s="803" t="s">
        <v>297</v>
      </c>
      <c r="E120" s="803">
        <v>1</v>
      </c>
      <c r="F120" s="803" t="s">
        <v>317</v>
      </c>
      <c r="G120" s="803" t="s">
        <v>512</v>
      </c>
      <c r="H120" s="803" t="s">
        <v>518</v>
      </c>
      <c r="I120" s="803"/>
      <c r="J120" s="803"/>
      <c r="K120" s="803"/>
      <c r="L120" s="803" t="s">
        <v>189</v>
      </c>
      <c r="M120" s="803" t="s">
        <v>462</v>
      </c>
      <c r="N120" s="803" t="s">
        <v>4</v>
      </c>
      <c r="O120" s="803" t="s">
        <v>27</v>
      </c>
      <c r="P120" s="803">
        <f>S120/P$5*100000</f>
        <v>0.45119372969628213</v>
      </c>
      <c r="Q120" s="803">
        <v>0.12928549080650875</v>
      </c>
      <c r="R120" s="803">
        <f t="shared" si="8"/>
        <v>1</v>
      </c>
      <c r="S120" s="811">
        <v>1.4</v>
      </c>
      <c r="T120" s="803"/>
      <c r="U120" s="861" t="s">
        <v>623</v>
      </c>
      <c r="V120" s="803"/>
    </row>
    <row r="121" spans="1:22" s="820" customFormat="1" ht="12.75" customHeight="1" x14ac:dyDescent="0.25">
      <c r="A121" s="803" t="s">
        <v>308</v>
      </c>
      <c r="B121" s="803">
        <v>6</v>
      </c>
      <c r="C121" s="803" t="s">
        <v>519</v>
      </c>
      <c r="D121" s="803" t="s">
        <v>297</v>
      </c>
      <c r="E121" s="803">
        <v>1</v>
      </c>
      <c r="F121" s="803" t="s">
        <v>317</v>
      </c>
      <c r="G121" s="803" t="s">
        <v>512</v>
      </c>
      <c r="H121" s="803" t="s">
        <v>518</v>
      </c>
      <c r="I121" s="803"/>
      <c r="J121" s="803"/>
      <c r="K121" s="803"/>
      <c r="L121" s="803" t="s">
        <v>189</v>
      </c>
      <c r="M121" s="803" t="s">
        <v>462</v>
      </c>
      <c r="N121" s="803" t="s">
        <v>5</v>
      </c>
      <c r="O121" s="803" t="s">
        <v>27</v>
      </c>
      <c r="P121" s="803">
        <f>S121/P$6*100000</f>
        <v>0.6870920391017834</v>
      </c>
      <c r="Q121" s="803">
        <v>0.52208620426361707</v>
      </c>
      <c r="R121" s="803">
        <f t="shared" si="8"/>
        <v>1</v>
      </c>
      <c r="S121" s="811">
        <v>2.2000000000000002</v>
      </c>
      <c r="T121" s="803"/>
      <c r="U121" s="861" t="s">
        <v>623</v>
      </c>
      <c r="V121" s="803"/>
    </row>
    <row r="122" spans="1:22" s="820" customFormat="1" ht="12.75" customHeight="1" x14ac:dyDescent="0.25">
      <c r="A122" s="803" t="s">
        <v>308</v>
      </c>
      <c r="B122" s="803">
        <v>6</v>
      </c>
      <c r="C122" s="803" t="s">
        <v>519</v>
      </c>
      <c r="D122" s="803" t="s">
        <v>297</v>
      </c>
      <c r="E122" s="803">
        <v>1</v>
      </c>
      <c r="F122" s="803" t="s">
        <v>317</v>
      </c>
      <c r="G122" s="803" t="s">
        <v>512</v>
      </c>
      <c r="H122" s="803" t="s">
        <v>518</v>
      </c>
      <c r="I122" s="803"/>
      <c r="J122" s="803"/>
      <c r="K122" s="803"/>
      <c r="L122" s="803" t="s">
        <v>189</v>
      </c>
      <c r="M122" s="803" t="s">
        <v>462</v>
      </c>
      <c r="N122" s="803" t="s">
        <v>6</v>
      </c>
      <c r="O122" s="803" t="s">
        <v>27</v>
      </c>
      <c r="P122" s="803">
        <f>S122/P$7*100000</f>
        <v>0</v>
      </c>
      <c r="Q122" s="803">
        <v>4.29172360037742</v>
      </c>
      <c r="R122" s="803">
        <f t="shared" si="8"/>
        <v>1</v>
      </c>
      <c r="S122" s="811">
        <v>0</v>
      </c>
      <c r="T122" s="803"/>
      <c r="U122" s="861" t="s">
        <v>623</v>
      </c>
      <c r="V122" s="803"/>
    </row>
    <row r="123" spans="1:22" s="820" customFormat="1" ht="12.75" customHeight="1" x14ac:dyDescent="0.25">
      <c r="A123" s="803" t="s">
        <v>308</v>
      </c>
      <c r="B123" s="803">
        <v>6</v>
      </c>
      <c r="C123" s="803" t="s">
        <v>519</v>
      </c>
      <c r="D123" s="803" t="s">
        <v>297</v>
      </c>
      <c r="E123" s="803">
        <v>1</v>
      </c>
      <c r="F123" s="803" t="s">
        <v>317</v>
      </c>
      <c r="G123" s="803" t="s">
        <v>512</v>
      </c>
      <c r="H123" s="803" t="s">
        <v>518</v>
      </c>
      <c r="I123" s="803"/>
      <c r="J123" s="803"/>
      <c r="K123" s="803"/>
      <c r="L123" s="803" t="s">
        <v>189</v>
      </c>
      <c r="M123" s="803" t="s">
        <v>462</v>
      </c>
      <c r="N123" s="803" t="s">
        <v>7</v>
      </c>
      <c r="O123" s="803" t="s">
        <v>27</v>
      </c>
      <c r="P123" s="803">
        <f>S123/P$8*100000</f>
        <v>1.5602101826003132</v>
      </c>
      <c r="Q123" s="803">
        <v>13.034954534078585</v>
      </c>
      <c r="R123" s="803">
        <f t="shared" si="8"/>
        <v>1</v>
      </c>
      <c r="S123" s="811">
        <v>2.8</v>
      </c>
      <c r="T123" s="803"/>
      <c r="U123" s="861" t="s">
        <v>623</v>
      </c>
      <c r="V123" s="803"/>
    </row>
    <row r="124" spans="1:22" s="820" customFormat="1" ht="12.75" customHeight="1" x14ac:dyDescent="0.25">
      <c r="A124" s="803" t="s">
        <v>308</v>
      </c>
      <c r="B124" s="803">
        <v>6</v>
      </c>
      <c r="C124" s="803" t="s">
        <v>519</v>
      </c>
      <c r="D124" s="803" t="s">
        <v>297</v>
      </c>
      <c r="E124" s="803">
        <v>1</v>
      </c>
      <c r="F124" s="803" t="s">
        <v>317</v>
      </c>
      <c r="G124" s="803" t="s">
        <v>512</v>
      </c>
      <c r="H124" s="803" t="s">
        <v>518</v>
      </c>
      <c r="I124" s="803"/>
      <c r="J124" s="803"/>
      <c r="K124" s="803"/>
      <c r="L124" s="803" t="s">
        <v>189</v>
      </c>
      <c r="M124" s="803" t="s">
        <v>462</v>
      </c>
      <c r="N124" s="803" t="s">
        <v>8</v>
      </c>
      <c r="O124" s="803" t="s">
        <v>27</v>
      </c>
      <c r="P124" s="803">
        <f>S124/P$9*100000</f>
        <v>9.5889813886588513</v>
      </c>
      <c r="Q124" s="803">
        <v>40.810067472644889</v>
      </c>
      <c r="R124" s="803">
        <f t="shared" si="8"/>
        <v>1</v>
      </c>
      <c r="S124" s="811">
        <v>8.8000000000000007</v>
      </c>
      <c r="T124" s="803"/>
      <c r="U124" s="861" t="s">
        <v>623</v>
      </c>
      <c r="V124" s="803"/>
    </row>
    <row r="125" spans="1:22" s="820" customFormat="1" ht="12.75" customHeight="1" x14ac:dyDescent="0.25">
      <c r="A125" s="803" t="s">
        <v>308</v>
      </c>
      <c r="B125" s="803">
        <v>6</v>
      </c>
      <c r="C125" s="803" t="s">
        <v>519</v>
      </c>
      <c r="D125" s="803" t="s">
        <v>297</v>
      </c>
      <c r="E125" s="803">
        <v>1</v>
      </c>
      <c r="F125" s="803" t="s">
        <v>317</v>
      </c>
      <c r="G125" s="803" t="s">
        <v>512</v>
      </c>
      <c r="H125" s="803" t="s">
        <v>518</v>
      </c>
      <c r="I125" s="803"/>
      <c r="J125" s="803"/>
      <c r="K125" s="803"/>
      <c r="L125" s="803" t="s">
        <v>189</v>
      </c>
      <c r="M125" s="803" t="s">
        <v>462</v>
      </c>
      <c r="N125" s="803" t="s">
        <v>9</v>
      </c>
      <c r="O125" s="803" t="s">
        <v>27</v>
      </c>
      <c r="P125" s="803">
        <f>S125/P$10*100000</f>
        <v>141.7050036917135</v>
      </c>
      <c r="Q125" s="803">
        <v>356.84490817457686</v>
      </c>
      <c r="R125" s="803">
        <f t="shared" si="8"/>
        <v>0.3971052982557568</v>
      </c>
      <c r="S125" s="811">
        <v>99.8</v>
      </c>
      <c r="T125" s="803"/>
      <c r="U125" s="861" t="s">
        <v>623</v>
      </c>
      <c r="V125" s="803"/>
    </row>
    <row r="126" spans="1:22" s="820" customFormat="1" ht="12.75" customHeight="1" x14ac:dyDescent="0.25">
      <c r="A126" s="803" t="s">
        <v>308</v>
      </c>
      <c r="B126" s="803">
        <v>6</v>
      </c>
      <c r="C126" s="803" t="s">
        <v>519</v>
      </c>
      <c r="D126" s="803" t="s">
        <v>297</v>
      </c>
      <c r="E126" s="803">
        <v>1</v>
      </c>
      <c r="F126" s="803" t="s">
        <v>317</v>
      </c>
      <c r="G126" s="803" t="s">
        <v>512</v>
      </c>
      <c r="H126" s="803" t="s">
        <v>518</v>
      </c>
      <c r="I126" s="803"/>
      <c r="J126" s="803"/>
      <c r="K126" s="803"/>
      <c r="L126" s="803" t="s">
        <v>189</v>
      </c>
      <c r="M126" s="803" t="s">
        <v>462</v>
      </c>
      <c r="N126" s="803" t="s">
        <v>249</v>
      </c>
      <c r="O126" s="803" t="s">
        <v>26</v>
      </c>
      <c r="P126" s="803">
        <f>S126/P$11*100000</f>
        <v>0</v>
      </c>
      <c r="Q126" s="803">
        <v>0</v>
      </c>
      <c r="R126" s="803">
        <f t="shared" si="8"/>
        <v>1</v>
      </c>
      <c r="S126" s="811">
        <v>0</v>
      </c>
      <c r="T126" s="803"/>
      <c r="U126" s="861" t="s">
        <v>623</v>
      </c>
      <c r="V126" s="803"/>
    </row>
    <row r="127" spans="1:22" s="820" customFormat="1" ht="12.75" customHeight="1" x14ac:dyDescent="0.25">
      <c r="A127" s="803" t="s">
        <v>308</v>
      </c>
      <c r="B127" s="803">
        <v>6</v>
      </c>
      <c r="C127" s="803" t="s">
        <v>519</v>
      </c>
      <c r="D127" s="803" t="s">
        <v>297</v>
      </c>
      <c r="E127" s="803">
        <v>1</v>
      </c>
      <c r="F127" s="803" t="s">
        <v>317</v>
      </c>
      <c r="G127" s="803" t="s">
        <v>512</v>
      </c>
      <c r="H127" s="803" t="s">
        <v>518</v>
      </c>
      <c r="I127" s="803"/>
      <c r="J127" s="803"/>
      <c r="K127" s="803"/>
      <c r="L127" s="803" t="s">
        <v>189</v>
      </c>
      <c r="M127" s="803" t="s">
        <v>462</v>
      </c>
      <c r="N127" s="803" t="s">
        <v>244</v>
      </c>
      <c r="O127" s="803" t="s">
        <v>26</v>
      </c>
      <c r="P127" s="803">
        <f>S127/P$12*100000</f>
        <v>0.10340566559641803</v>
      </c>
      <c r="Q127" s="803">
        <v>0</v>
      </c>
      <c r="R127" s="803">
        <f t="shared" si="8"/>
        <v>1</v>
      </c>
      <c r="S127" s="811">
        <v>0.2</v>
      </c>
      <c r="T127" s="803"/>
      <c r="U127" s="861" t="s">
        <v>623</v>
      </c>
      <c r="V127" s="803"/>
    </row>
    <row r="128" spans="1:22" s="820" customFormat="1" ht="12.75" customHeight="1" x14ac:dyDescent="0.25">
      <c r="A128" s="803" t="s">
        <v>308</v>
      </c>
      <c r="B128" s="803">
        <v>6</v>
      </c>
      <c r="C128" s="803" t="s">
        <v>519</v>
      </c>
      <c r="D128" s="803" t="s">
        <v>297</v>
      </c>
      <c r="E128" s="803">
        <v>1</v>
      </c>
      <c r="F128" s="803" t="s">
        <v>317</v>
      </c>
      <c r="G128" s="803" t="s">
        <v>512</v>
      </c>
      <c r="H128" s="803" t="s">
        <v>518</v>
      </c>
      <c r="I128" s="803"/>
      <c r="J128" s="803"/>
      <c r="K128" s="803"/>
      <c r="L128" s="803" t="s">
        <v>189</v>
      </c>
      <c r="M128" s="803" t="s">
        <v>462</v>
      </c>
      <c r="N128" s="803" t="s">
        <v>4</v>
      </c>
      <c r="O128" s="803" t="s">
        <v>26</v>
      </c>
      <c r="P128" s="803">
        <f>S128/P$13*100000</f>
        <v>0.3798802744001849</v>
      </c>
      <c r="Q128" s="803">
        <v>0.25315846834063488</v>
      </c>
      <c r="R128" s="803">
        <f t="shared" si="8"/>
        <v>1</v>
      </c>
      <c r="S128" s="811">
        <v>1.2</v>
      </c>
      <c r="T128" s="803"/>
      <c r="U128" s="861" t="s">
        <v>623</v>
      </c>
      <c r="V128" s="803"/>
    </row>
    <row r="129" spans="1:22" s="820" customFormat="1" ht="12.75" customHeight="1" x14ac:dyDescent="0.25">
      <c r="A129" s="803" t="s">
        <v>308</v>
      </c>
      <c r="B129" s="803">
        <v>6</v>
      </c>
      <c r="C129" s="803" t="s">
        <v>519</v>
      </c>
      <c r="D129" s="803" t="s">
        <v>297</v>
      </c>
      <c r="E129" s="803">
        <v>1</v>
      </c>
      <c r="F129" s="803" t="s">
        <v>317</v>
      </c>
      <c r="G129" s="803" t="s">
        <v>512</v>
      </c>
      <c r="H129" s="803" t="s">
        <v>518</v>
      </c>
      <c r="I129" s="803"/>
      <c r="J129" s="803"/>
      <c r="K129" s="803"/>
      <c r="L129" s="803" t="s">
        <v>189</v>
      </c>
      <c r="M129" s="803" t="s">
        <v>462</v>
      </c>
      <c r="N129" s="803" t="s">
        <v>5</v>
      </c>
      <c r="O129" s="803" t="s">
        <v>26</v>
      </c>
      <c r="P129" s="803">
        <f>S129/P$14*100000</f>
        <v>2.587497458707853</v>
      </c>
      <c r="Q129" s="803">
        <v>1.2722460167567524</v>
      </c>
      <c r="R129" s="803">
        <f t="shared" si="8"/>
        <v>1</v>
      </c>
      <c r="S129" s="811">
        <v>8.4</v>
      </c>
      <c r="T129" s="803"/>
      <c r="U129" s="861" t="s">
        <v>623</v>
      </c>
      <c r="V129" s="803"/>
    </row>
    <row r="130" spans="1:22" s="820" customFormat="1" ht="12.75" customHeight="1" x14ac:dyDescent="0.25">
      <c r="A130" s="803" t="s">
        <v>308</v>
      </c>
      <c r="B130" s="803">
        <v>6</v>
      </c>
      <c r="C130" s="803" t="s">
        <v>519</v>
      </c>
      <c r="D130" s="803" t="s">
        <v>297</v>
      </c>
      <c r="E130" s="803">
        <v>1</v>
      </c>
      <c r="F130" s="803" t="s">
        <v>317</v>
      </c>
      <c r="G130" s="803" t="s">
        <v>512</v>
      </c>
      <c r="H130" s="803" t="s">
        <v>518</v>
      </c>
      <c r="I130" s="803"/>
      <c r="J130" s="803"/>
      <c r="K130" s="803"/>
      <c r="L130" s="803" t="s">
        <v>189</v>
      </c>
      <c r="M130" s="803" t="s">
        <v>462</v>
      </c>
      <c r="N130" s="803" t="s">
        <v>6</v>
      </c>
      <c r="O130" s="803" t="s">
        <v>26</v>
      </c>
      <c r="P130" s="803">
        <f>S130/P$15*100000</f>
        <v>0</v>
      </c>
      <c r="Q130" s="803">
        <v>9.5944756849042747</v>
      </c>
      <c r="R130" s="803">
        <f t="shared" si="8"/>
        <v>1</v>
      </c>
      <c r="S130" s="811">
        <v>0</v>
      </c>
      <c r="T130" s="803"/>
      <c r="U130" s="861" t="s">
        <v>623</v>
      </c>
      <c r="V130" s="803"/>
    </row>
    <row r="131" spans="1:22" s="820" customFormat="1" ht="12.75" customHeight="1" x14ac:dyDescent="0.25">
      <c r="A131" s="803" t="s">
        <v>308</v>
      </c>
      <c r="B131" s="803">
        <v>6</v>
      </c>
      <c r="C131" s="803" t="s">
        <v>519</v>
      </c>
      <c r="D131" s="803" t="s">
        <v>297</v>
      </c>
      <c r="E131" s="803">
        <v>1</v>
      </c>
      <c r="F131" s="803" t="s">
        <v>317</v>
      </c>
      <c r="G131" s="803" t="s">
        <v>512</v>
      </c>
      <c r="H131" s="803" t="s">
        <v>518</v>
      </c>
      <c r="I131" s="803"/>
      <c r="J131" s="803"/>
      <c r="K131" s="803"/>
      <c r="L131" s="803" t="s">
        <v>189</v>
      </c>
      <c r="M131" s="803" t="s">
        <v>462</v>
      </c>
      <c r="N131" s="803" t="s">
        <v>7</v>
      </c>
      <c r="O131" s="803" t="s">
        <v>26</v>
      </c>
      <c r="P131" s="803">
        <f>S131/P$16*100000</f>
        <v>6.1631792337113813</v>
      </c>
      <c r="Q131" s="803">
        <v>24.189376249667919</v>
      </c>
      <c r="R131" s="803">
        <f t="shared" si="8"/>
        <v>0.2547886795467077</v>
      </c>
      <c r="S131" s="811">
        <v>10.199999999999999</v>
      </c>
      <c r="T131" s="803"/>
      <c r="U131" s="861" t="s">
        <v>623</v>
      </c>
      <c r="V131" s="803"/>
    </row>
    <row r="132" spans="1:22" s="820" customFormat="1" ht="12.75" customHeight="1" x14ac:dyDescent="0.25">
      <c r="A132" s="803" t="s">
        <v>308</v>
      </c>
      <c r="B132" s="803">
        <v>6</v>
      </c>
      <c r="C132" s="803" t="s">
        <v>519</v>
      </c>
      <c r="D132" s="803" t="s">
        <v>297</v>
      </c>
      <c r="E132" s="803">
        <v>1</v>
      </c>
      <c r="F132" s="803" t="s">
        <v>317</v>
      </c>
      <c r="G132" s="803" t="s">
        <v>512</v>
      </c>
      <c r="H132" s="803" t="s">
        <v>518</v>
      </c>
      <c r="I132" s="803"/>
      <c r="J132" s="803"/>
      <c r="K132" s="803"/>
      <c r="L132" s="803" t="s">
        <v>189</v>
      </c>
      <c r="M132" s="803" t="s">
        <v>462</v>
      </c>
      <c r="N132" s="803" t="s">
        <v>8</v>
      </c>
      <c r="O132" s="803" t="s">
        <v>26</v>
      </c>
      <c r="P132" s="803">
        <f>S132/P$17*100000</f>
        <v>12.504465880671669</v>
      </c>
      <c r="Q132" s="803">
        <v>52.597675064565124</v>
      </c>
      <c r="R132" s="803">
        <f t="shared" si="8"/>
        <v>1</v>
      </c>
      <c r="S132" s="811">
        <v>9.8000000000000007</v>
      </c>
      <c r="T132" s="803"/>
      <c r="U132" s="861" t="s">
        <v>623</v>
      </c>
      <c r="V132" s="803"/>
    </row>
    <row r="133" spans="1:22" s="820" customFormat="1" ht="12.75" customHeight="1" x14ac:dyDescent="0.25">
      <c r="A133" s="803" t="s">
        <v>308</v>
      </c>
      <c r="B133" s="803">
        <v>6</v>
      </c>
      <c r="C133" s="803" t="s">
        <v>519</v>
      </c>
      <c r="D133" s="803" t="s">
        <v>297</v>
      </c>
      <c r="E133" s="803">
        <v>1</v>
      </c>
      <c r="F133" s="803" t="s">
        <v>317</v>
      </c>
      <c r="G133" s="803" t="s">
        <v>512</v>
      </c>
      <c r="H133" s="803" t="s">
        <v>518</v>
      </c>
      <c r="I133" s="803"/>
      <c r="J133" s="803"/>
      <c r="K133" s="803"/>
      <c r="L133" s="803" t="s">
        <v>189</v>
      </c>
      <c r="M133" s="803" t="s">
        <v>462</v>
      </c>
      <c r="N133" s="803" t="s">
        <v>9</v>
      </c>
      <c r="O133" s="803" t="s">
        <v>26</v>
      </c>
      <c r="P133" s="803">
        <f>S133/P$18*100000</f>
        <v>89.118198874296439</v>
      </c>
      <c r="Q133" s="803">
        <v>245.10883125651299</v>
      </c>
      <c r="R133" s="803">
        <f t="shared" si="8"/>
        <v>0.36358624214984669</v>
      </c>
      <c r="S133" s="811">
        <v>38</v>
      </c>
      <c r="T133" s="803"/>
      <c r="U133" s="861" t="s">
        <v>623</v>
      </c>
      <c r="V133" s="803"/>
    </row>
    <row r="134" spans="1:22" s="820" customFormat="1" ht="12.75" customHeight="1" x14ac:dyDescent="0.25">
      <c r="A134" s="803" t="s">
        <v>308</v>
      </c>
      <c r="B134" s="803">
        <v>6</v>
      </c>
      <c r="C134" s="803" t="s">
        <v>519</v>
      </c>
      <c r="D134" s="803" t="s">
        <v>297</v>
      </c>
      <c r="E134" s="803">
        <v>1</v>
      </c>
      <c r="F134" s="803" t="s">
        <v>317</v>
      </c>
      <c r="G134" s="803" t="s">
        <v>512</v>
      </c>
      <c r="H134" s="803" t="s">
        <v>518</v>
      </c>
      <c r="I134" s="803"/>
      <c r="J134" s="803"/>
      <c r="K134" s="803"/>
      <c r="L134" s="803" t="s">
        <v>188</v>
      </c>
      <c r="M134" s="803" t="s">
        <v>463</v>
      </c>
      <c r="N134" s="803" t="s">
        <v>249</v>
      </c>
      <c r="O134" s="803" t="s">
        <v>27</v>
      </c>
      <c r="P134" s="803">
        <f>S134/P$3*100000</f>
        <v>0</v>
      </c>
      <c r="Q134" s="803">
        <v>0</v>
      </c>
      <c r="R134" s="803">
        <f t="shared" si="8"/>
        <v>1</v>
      </c>
      <c r="S134" s="810">
        <v>0</v>
      </c>
      <c r="T134" s="803"/>
      <c r="U134" s="861" t="s">
        <v>623</v>
      </c>
      <c r="V134" s="803"/>
    </row>
    <row r="135" spans="1:22" s="820" customFormat="1" ht="12.75" customHeight="1" x14ac:dyDescent="0.25">
      <c r="A135" s="803" t="s">
        <v>308</v>
      </c>
      <c r="B135" s="803">
        <v>6</v>
      </c>
      <c r="C135" s="803" t="s">
        <v>519</v>
      </c>
      <c r="D135" s="803" t="s">
        <v>297</v>
      </c>
      <c r="E135" s="803">
        <v>1</v>
      </c>
      <c r="F135" s="803" t="s">
        <v>317</v>
      </c>
      <c r="G135" s="803" t="s">
        <v>512</v>
      </c>
      <c r="H135" s="803" t="s">
        <v>518</v>
      </c>
      <c r="I135" s="803"/>
      <c r="J135" s="803"/>
      <c r="K135" s="803"/>
      <c r="L135" s="803" t="s">
        <v>188</v>
      </c>
      <c r="M135" s="803" t="s">
        <v>463</v>
      </c>
      <c r="N135" s="803" t="s">
        <v>244</v>
      </c>
      <c r="O135" s="803" t="s">
        <v>27</v>
      </c>
      <c r="P135" s="803">
        <f>S135/P$4*100000</f>
        <v>0.32364205189060902</v>
      </c>
      <c r="Q135" s="803">
        <v>0.10899194440538901</v>
      </c>
      <c r="R135" s="803">
        <f t="shared" si="8"/>
        <v>1</v>
      </c>
      <c r="S135" s="810">
        <v>0.6</v>
      </c>
      <c r="T135" s="803"/>
      <c r="U135" s="861" t="s">
        <v>623</v>
      </c>
      <c r="V135" s="803"/>
    </row>
    <row r="136" spans="1:22" s="820" customFormat="1" ht="12.75" customHeight="1" x14ac:dyDescent="0.25">
      <c r="A136" s="803" t="s">
        <v>308</v>
      </c>
      <c r="B136" s="803">
        <v>6</v>
      </c>
      <c r="C136" s="803" t="s">
        <v>519</v>
      </c>
      <c r="D136" s="803" t="s">
        <v>297</v>
      </c>
      <c r="E136" s="803">
        <v>1</v>
      </c>
      <c r="F136" s="803" t="s">
        <v>317</v>
      </c>
      <c r="G136" s="803" t="s">
        <v>512</v>
      </c>
      <c r="H136" s="803" t="s">
        <v>518</v>
      </c>
      <c r="I136" s="803"/>
      <c r="J136" s="803"/>
      <c r="K136" s="803"/>
      <c r="L136" s="803" t="s">
        <v>188</v>
      </c>
      <c r="M136" s="803" t="s">
        <v>463</v>
      </c>
      <c r="N136" s="803" t="s">
        <v>4</v>
      </c>
      <c r="O136" s="803" t="s">
        <v>27</v>
      </c>
      <c r="P136" s="803">
        <f>S136/P$5*100000</f>
        <v>2.0625999071830043</v>
      </c>
      <c r="Q136" s="803">
        <v>0.12928549080650875</v>
      </c>
      <c r="R136" s="803">
        <f t="shared" si="8"/>
        <v>1</v>
      </c>
      <c r="S136" s="810">
        <v>6.4</v>
      </c>
      <c r="T136" s="803"/>
      <c r="U136" s="861" t="s">
        <v>623</v>
      </c>
      <c r="V136" s="803"/>
    </row>
    <row r="137" spans="1:22" s="820" customFormat="1" ht="12.75" customHeight="1" x14ac:dyDescent="0.25">
      <c r="A137" s="803" t="s">
        <v>308</v>
      </c>
      <c r="B137" s="803">
        <v>6</v>
      </c>
      <c r="C137" s="803" t="s">
        <v>519</v>
      </c>
      <c r="D137" s="803" t="s">
        <v>297</v>
      </c>
      <c r="E137" s="803">
        <v>1</v>
      </c>
      <c r="F137" s="803" t="s">
        <v>317</v>
      </c>
      <c r="G137" s="803" t="s">
        <v>512</v>
      </c>
      <c r="H137" s="803" t="s">
        <v>518</v>
      </c>
      <c r="I137" s="803"/>
      <c r="J137" s="803"/>
      <c r="K137" s="803"/>
      <c r="L137" s="803" t="s">
        <v>188</v>
      </c>
      <c r="M137" s="803" t="s">
        <v>463</v>
      </c>
      <c r="N137" s="803" t="s">
        <v>5</v>
      </c>
      <c r="O137" s="803" t="s">
        <v>27</v>
      </c>
      <c r="P137" s="803">
        <f>S137/P$6*100000</f>
        <v>17.114838064898965</v>
      </c>
      <c r="Q137" s="803">
        <v>1.9578232659885637</v>
      </c>
      <c r="R137" s="803">
        <f t="shared" si="8"/>
        <v>8.7417686581925302</v>
      </c>
      <c r="S137" s="810">
        <v>54.8</v>
      </c>
      <c r="T137" s="803"/>
      <c r="U137" s="861" t="s">
        <v>623</v>
      </c>
      <c r="V137" s="803"/>
    </row>
    <row r="138" spans="1:22" s="820" customFormat="1" ht="12.75" customHeight="1" x14ac:dyDescent="0.25">
      <c r="A138" s="803" t="s">
        <v>308</v>
      </c>
      <c r="B138" s="803">
        <v>6</v>
      </c>
      <c r="C138" s="803" t="s">
        <v>519</v>
      </c>
      <c r="D138" s="803" t="s">
        <v>297</v>
      </c>
      <c r="E138" s="803">
        <v>1</v>
      </c>
      <c r="F138" s="803" t="s">
        <v>317</v>
      </c>
      <c r="G138" s="803" t="s">
        <v>512</v>
      </c>
      <c r="H138" s="803" t="s">
        <v>518</v>
      </c>
      <c r="I138" s="803"/>
      <c r="J138" s="803"/>
      <c r="K138" s="803"/>
      <c r="L138" s="803" t="s">
        <v>188</v>
      </c>
      <c r="M138" s="803" t="s">
        <v>463</v>
      </c>
      <c r="N138" s="803" t="s">
        <v>6</v>
      </c>
      <c r="O138" s="803" t="s">
        <v>27</v>
      </c>
      <c r="P138" s="803">
        <f>S138/P$7*100000</f>
        <v>6.4006554271157368E-2</v>
      </c>
      <c r="Q138" s="803">
        <v>16.914440072075713</v>
      </c>
      <c r="R138" s="803">
        <f t="shared" si="8"/>
        <v>1</v>
      </c>
      <c r="S138" s="810">
        <v>0.2</v>
      </c>
      <c r="T138" s="803"/>
      <c r="U138" s="861" t="s">
        <v>623</v>
      </c>
      <c r="V138" s="803"/>
    </row>
    <row r="139" spans="1:22" s="820" customFormat="1" ht="12.75" customHeight="1" x14ac:dyDescent="0.25">
      <c r="A139" s="803" t="s">
        <v>308</v>
      </c>
      <c r="B139" s="803">
        <v>6</v>
      </c>
      <c r="C139" s="803" t="s">
        <v>519</v>
      </c>
      <c r="D139" s="803" t="s">
        <v>297</v>
      </c>
      <c r="E139" s="803">
        <v>1</v>
      </c>
      <c r="F139" s="803" t="s">
        <v>317</v>
      </c>
      <c r="G139" s="803" t="s">
        <v>512</v>
      </c>
      <c r="H139" s="803" t="s">
        <v>518</v>
      </c>
      <c r="I139" s="803"/>
      <c r="J139" s="803"/>
      <c r="K139" s="803"/>
      <c r="L139" s="803" t="s">
        <v>188</v>
      </c>
      <c r="M139" s="803" t="s">
        <v>463</v>
      </c>
      <c r="N139" s="803" t="s">
        <v>7</v>
      </c>
      <c r="O139" s="803" t="s">
        <v>27</v>
      </c>
      <c r="P139" s="803">
        <f>S139/P$8*100000</f>
        <v>59.287986938811905</v>
      </c>
      <c r="Q139" s="803">
        <v>60.612538583465415</v>
      </c>
      <c r="R139" s="803">
        <f t="shared" si="8"/>
        <v>0.97814723363170875</v>
      </c>
      <c r="S139" s="810">
        <v>106.4</v>
      </c>
      <c r="T139" s="803"/>
      <c r="U139" s="861" t="s">
        <v>623</v>
      </c>
      <c r="V139" s="803"/>
    </row>
    <row r="140" spans="1:22" s="820" customFormat="1" ht="12.75" customHeight="1" x14ac:dyDescent="0.25">
      <c r="A140" s="803" t="s">
        <v>308</v>
      </c>
      <c r="B140" s="803">
        <v>6</v>
      </c>
      <c r="C140" s="803" t="s">
        <v>519</v>
      </c>
      <c r="D140" s="803" t="s">
        <v>297</v>
      </c>
      <c r="E140" s="803">
        <v>1</v>
      </c>
      <c r="F140" s="803" t="s">
        <v>317</v>
      </c>
      <c r="G140" s="803" t="s">
        <v>512</v>
      </c>
      <c r="H140" s="803" t="s">
        <v>518</v>
      </c>
      <c r="I140" s="803"/>
      <c r="J140" s="803"/>
      <c r="K140" s="803"/>
      <c r="L140" s="803" t="s">
        <v>188</v>
      </c>
      <c r="M140" s="803" t="s">
        <v>463</v>
      </c>
      <c r="N140" s="803" t="s">
        <v>8</v>
      </c>
      <c r="O140" s="803" t="s">
        <v>27</v>
      </c>
      <c r="P140" s="803">
        <f>S140/P$9*100000</f>
        <v>176.96029289979515</v>
      </c>
      <c r="Q140" s="803">
        <v>179.31696313737908</v>
      </c>
      <c r="R140" s="803">
        <f t="shared" si="8"/>
        <v>0.98685751645382025</v>
      </c>
      <c r="S140" s="810">
        <v>162.4</v>
      </c>
      <c r="T140" s="803"/>
      <c r="U140" s="861" t="s">
        <v>623</v>
      </c>
      <c r="V140" s="803"/>
    </row>
    <row r="141" spans="1:22" s="820" customFormat="1" ht="12.75" customHeight="1" x14ac:dyDescent="0.25">
      <c r="A141" s="803" t="s">
        <v>308</v>
      </c>
      <c r="B141" s="803">
        <v>6</v>
      </c>
      <c r="C141" s="803" t="s">
        <v>519</v>
      </c>
      <c r="D141" s="803" t="s">
        <v>297</v>
      </c>
      <c r="E141" s="803">
        <v>1</v>
      </c>
      <c r="F141" s="803" t="s">
        <v>317</v>
      </c>
      <c r="G141" s="803" t="s">
        <v>512</v>
      </c>
      <c r="H141" s="803" t="s">
        <v>518</v>
      </c>
      <c r="I141" s="803"/>
      <c r="J141" s="803"/>
      <c r="K141" s="803"/>
      <c r="L141" s="803" t="s">
        <v>188</v>
      </c>
      <c r="M141" s="803" t="s">
        <v>463</v>
      </c>
      <c r="N141" s="803" t="s">
        <v>9</v>
      </c>
      <c r="O141" s="803" t="s">
        <v>27</v>
      </c>
      <c r="P141" s="803">
        <f>S141/P$10*100000</f>
        <v>977.45214971318228</v>
      </c>
      <c r="Q141" s="803">
        <v>929.39670639863789</v>
      </c>
      <c r="R141" s="803">
        <f t="shared" si="8"/>
        <v>1.0517060615598226</v>
      </c>
      <c r="S141" s="810">
        <v>688.4</v>
      </c>
      <c r="T141" s="803"/>
      <c r="U141" s="861" t="s">
        <v>623</v>
      </c>
      <c r="V141" s="803"/>
    </row>
    <row r="142" spans="1:22" s="820" customFormat="1" ht="12.75" customHeight="1" x14ac:dyDescent="0.25">
      <c r="A142" s="803" t="s">
        <v>308</v>
      </c>
      <c r="B142" s="803">
        <v>6</v>
      </c>
      <c r="C142" s="803" t="s">
        <v>519</v>
      </c>
      <c r="D142" s="803" t="s">
        <v>297</v>
      </c>
      <c r="E142" s="803">
        <v>1</v>
      </c>
      <c r="F142" s="803" t="s">
        <v>317</v>
      </c>
      <c r="G142" s="803" t="s">
        <v>512</v>
      </c>
      <c r="H142" s="803" t="s">
        <v>518</v>
      </c>
      <c r="I142" s="803"/>
      <c r="J142" s="803"/>
      <c r="K142" s="803"/>
      <c r="L142" s="803" t="s">
        <v>188</v>
      </c>
      <c r="M142" s="803" t="s">
        <v>463</v>
      </c>
      <c r="N142" s="803" t="s">
        <v>249</v>
      </c>
      <c r="O142" s="803" t="s">
        <v>26</v>
      </c>
      <c r="P142" s="803">
        <f>S142/P$11*100000</f>
        <v>0</v>
      </c>
      <c r="Q142" s="803">
        <v>0</v>
      </c>
      <c r="R142" s="803">
        <f t="shared" si="8"/>
        <v>1</v>
      </c>
      <c r="S142" s="810">
        <v>0</v>
      </c>
      <c r="T142" s="803"/>
      <c r="U142" s="861" t="s">
        <v>623</v>
      </c>
      <c r="V142" s="803"/>
    </row>
    <row r="143" spans="1:22" s="820" customFormat="1" ht="12.75" customHeight="1" x14ac:dyDescent="0.25">
      <c r="A143" s="803" t="s">
        <v>308</v>
      </c>
      <c r="B143" s="803">
        <v>6</v>
      </c>
      <c r="C143" s="803" t="s">
        <v>519</v>
      </c>
      <c r="D143" s="803" t="s">
        <v>297</v>
      </c>
      <c r="E143" s="803">
        <v>1</v>
      </c>
      <c r="F143" s="803" t="s">
        <v>317</v>
      </c>
      <c r="G143" s="803" t="s">
        <v>512</v>
      </c>
      <c r="H143" s="803" t="s">
        <v>518</v>
      </c>
      <c r="I143" s="803"/>
      <c r="J143" s="803"/>
      <c r="K143" s="803"/>
      <c r="L143" s="803" t="s">
        <v>188</v>
      </c>
      <c r="M143" s="803" t="s">
        <v>463</v>
      </c>
      <c r="N143" s="803" t="s">
        <v>244</v>
      </c>
      <c r="O143" s="803" t="s">
        <v>26</v>
      </c>
      <c r="P143" s="803">
        <f>S143/P$12*100000</f>
        <v>1.3442736527534345</v>
      </c>
      <c r="Q143" s="803">
        <v>0</v>
      </c>
      <c r="R143" s="803">
        <f t="shared" si="8"/>
        <v>1</v>
      </c>
      <c r="S143" s="810">
        <v>2.6</v>
      </c>
      <c r="T143" s="803"/>
      <c r="U143" s="861" t="s">
        <v>623</v>
      </c>
      <c r="V143" s="803"/>
    </row>
    <row r="144" spans="1:22" s="820" customFormat="1" ht="12.75" customHeight="1" x14ac:dyDescent="0.25">
      <c r="A144" s="803" t="s">
        <v>308</v>
      </c>
      <c r="B144" s="803">
        <v>6</v>
      </c>
      <c r="C144" s="803" t="s">
        <v>519</v>
      </c>
      <c r="D144" s="803" t="s">
        <v>297</v>
      </c>
      <c r="E144" s="803">
        <v>1</v>
      </c>
      <c r="F144" s="803" t="s">
        <v>317</v>
      </c>
      <c r="G144" s="803" t="s">
        <v>512</v>
      </c>
      <c r="H144" s="803" t="s">
        <v>518</v>
      </c>
      <c r="I144" s="803"/>
      <c r="J144" s="803"/>
      <c r="K144" s="803"/>
      <c r="L144" s="803" t="s">
        <v>188</v>
      </c>
      <c r="M144" s="803" t="s">
        <v>463</v>
      </c>
      <c r="N144" s="803" t="s">
        <v>4</v>
      </c>
      <c r="O144" s="803" t="s">
        <v>26</v>
      </c>
      <c r="P144" s="803">
        <f>S144/P$13*100000</f>
        <v>10.130140650671597</v>
      </c>
      <c r="Q144" s="803">
        <v>0.88605463919222194</v>
      </c>
      <c r="R144" s="803">
        <f t="shared" si="8"/>
        <v>11.432862266718464</v>
      </c>
      <c r="S144" s="810">
        <v>32</v>
      </c>
      <c r="T144" s="803"/>
      <c r="U144" s="861" t="s">
        <v>623</v>
      </c>
      <c r="V144" s="803"/>
    </row>
    <row r="145" spans="1:22" s="820" customFormat="1" ht="12.75" customHeight="1" x14ac:dyDescent="0.25">
      <c r="A145" s="803" t="s">
        <v>308</v>
      </c>
      <c r="B145" s="803">
        <v>6</v>
      </c>
      <c r="C145" s="803" t="s">
        <v>519</v>
      </c>
      <c r="D145" s="803" t="s">
        <v>297</v>
      </c>
      <c r="E145" s="803">
        <v>1</v>
      </c>
      <c r="F145" s="803" t="s">
        <v>317</v>
      </c>
      <c r="G145" s="803" t="s">
        <v>512</v>
      </c>
      <c r="H145" s="803" t="s">
        <v>518</v>
      </c>
      <c r="I145" s="803"/>
      <c r="J145" s="803"/>
      <c r="K145" s="803"/>
      <c r="L145" s="803" t="s">
        <v>188</v>
      </c>
      <c r="M145" s="803" t="s">
        <v>463</v>
      </c>
      <c r="N145" s="803" t="s">
        <v>5</v>
      </c>
      <c r="O145" s="803" t="s">
        <v>26</v>
      </c>
      <c r="P145" s="803">
        <f>S145/P$14*100000</f>
        <v>68.445468491057724</v>
      </c>
      <c r="Q145" s="803">
        <v>9.4782328248378054</v>
      </c>
      <c r="R145" s="803">
        <f t="shared" si="8"/>
        <v>7.2213322626656398</v>
      </c>
      <c r="S145" s="810">
        <v>222.2</v>
      </c>
      <c r="T145" s="803"/>
      <c r="U145" s="861" t="s">
        <v>623</v>
      </c>
      <c r="V145" s="803"/>
    </row>
    <row r="146" spans="1:22" s="820" customFormat="1" ht="12.75" customHeight="1" x14ac:dyDescent="0.25">
      <c r="A146" s="803" t="s">
        <v>308</v>
      </c>
      <c r="B146" s="803">
        <v>6</v>
      </c>
      <c r="C146" s="803" t="s">
        <v>519</v>
      </c>
      <c r="D146" s="803" t="s">
        <v>297</v>
      </c>
      <c r="E146" s="803">
        <v>1</v>
      </c>
      <c r="F146" s="803" t="s">
        <v>317</v>
      </c>
      <c r="G146" s="803" t="s">
        <v>512</v>
      </c>
      <c r="H146" s="803" t="s">
        <v>518</v>
      </c>
      <c r="I146" s="803"/>
      <c r="J146" s="803"/>
      <c r="K146" s="803"/>
      <c r="L146" s="803" t="s">
        <v>188</v>
      </c>
      <c r="M146" s="803" t="s">
        <v>463</v>
      </c>
      <c r="N146" s="803" t="s">
        <v>6</v>
      </c>
      <c r="O146" s="803" t="s">
        <v>26</v>
      </c>
      <c r="P146" s="803">
        <f>S146/P$15*100000</f>
        <v>0</v>
      </c>
      <c r="Q146" s="803">
        <v>69.067081813934195</v>
      </c>
      <c r="R146" s="803">
        <f t="shared" si="8"/>
        <v>1</v>
      </c>
      <c r="S146" s="810">
        <v>0</v>
      </c>
      <c r="T146" s="803"/>
      <c r="U146" s="861" t="s">
        <v>623</v>
      </c>
      <c r="V146" s="803"/>
    </row>
    <row r="147" spans="1:22" s="820" customFormat="1" ht="12.75" customHeight="1" x14ac:dyDescent="0.25">
      <c r="A147" s="803" t="s">
        <v>308</v>
      </c>
      <c r="B147" s="803">
        <v>6</v>
      </c>
      <c r="C147" s="803" t="s">
        <v>519</v>
      </c>
      <c r="D147" s="803" t="s">
        <v>297</v>
      </c>
      <c r="E147" s="803">
        <v>1</v>
      </c>
      <c r="F147" s="803" t="s">
        <v>317</v>
      </c>
      <c r="G147" s="803" t="s">
        <v>512</v>
      </c>
      <c r="H147" s="803" t="s">
        <v>518</v>
      </c>
      <c r="I147" s="803"/>
      <c r="J147" s="803"/>
      <c r="K147" s="803"/>
      <c r="L147" s="803" t="s">
        <v>188</v>
      </c>
      <c r="M147" s="803" t="s">
        <v>463</v>
      </c>
      <c r="N147" s="803" t="s">
        <v>7</v>
      </c>
      <c r="O147" s="803" t="s">
        <v>26</v>
      </c>
      <c r="P147" s="803">
        <f>S147/P$16*100000</f>
        <v>175.5901848349537</v>
      </c>
      <c r="Q147" s="803">
        <v>184.28669304660303</v>
      </c>
      <c r="R147" s="803">
        <f t="shared" si="8"/>
        <v>0.95280989599476873</v>
      </c>
      <c r="S147" s="810">
        <v>290.60000000000002</v>
      </c>
      <c r="T147" s="803"/>
      <c r="U147" s="861" t="s">
        <v>623</v>
      </c>
      <c r="V147" s="803"/>
    </row>
    <row r="148" spans="1:22" s="820" customFormat="1" ht="12.75" customHeight="1" x14ac:dyDescent="0.25">
      <c r="A148" s="803" t="s">
        <v>308</v>
      </c>
      <c r="B148" s="803">
        <v>6</v>
      </c>
      <c r="C148" s="803" t="s">
        <v>519</v>
      </c>
      <c r="D148" s="803" t="s">
        <v>297</v>
      </c>
      <c r="E148" s="803">
        <v>1</v>
      </c>
      <c r="F148" s="803" t="s">
        <v>317</v>
      </c>
      <c r="G148" s="803" t="s">
        <v>512</v>
      </c>
      <c r="H148" s="803" t="s">
        <v>518</v>
      </c>
      <c r="I148" s="803"/>
      <c r="J148" s="803"/>
      <c r="K148" s="803"/>
      <c r="L148" s="803" t="s">
        <v>188</v>
      </c>
      <c r="M148" s="803" t="s">
        <v>463</v>
      </c>
      <c r="N148" s="803" t="s">
        <v>8</v>
      </c>
      <c r="O148" s="803" t="s">
        <v>26</v>
      </c>
      <c r="P148" s="803">
        <f>S148/P$17*100000</f>
        <v>403.97080590006641</v>
      </c>
      <c r="Q148" s="803">
        <v>416.93999728146844</v>
      </c>
      <c r="R148" s="803">
        <f t="shared" si="8"/>
        <v>0.96889434579084821</v>
      </c>
      <c r="S148" s="810">
        <v>316.60000000000002</v>
      </c>
      <c r="T148" s="803"/>
      <c r="U148" s="861" t="s">
        <v>623</v>
      </c>
      <c r="V148" s="803"/>
    </row>
    <row r="149" spans="1:22" s="820" customFormat="1" ht="12.75" customHeight="1" x14ac:dyDescent="0.25">
      <c r="A149" s="803" t="s">
        <v>308</v>
      </c>
      <c r="B149" s="803">
        <v>6</v>
      </c>
      <c r="C149" s="803" t="s">
        <v>519</v>
      </c>
      <c r="D149" s="803" t="s">
        <v>297</v>
      </c>
      <c r="E149" s="803">
        <v>1</v>
      </c>
      <c r="F149" s="803" t="s">
        <v>317</v>
      </c>
      <c r="G149" s="803" t="s">
        <v>512</v>
      </c>
      <c r="H149" s="803" t="s">
        <v>518</v>
      </c>
      <c r="I149" s="803"/>
      <c r="J149" s="803"/>
      <c r="K149" s="803"/>
      <c r="L149" s="803" t="s">
        <v>188</v>
      </c>
      <c r="M149" s="803" t="s">
        <v>463</v>
      </c>
      <c r="N149" s="803" t="s">
        <v>9</v>
      </c>
      <c r="O149" s="803" t="s">
        <v>26</v>
      </c>
      <c r="P149" s="803">
        <f>S149/P$18*100000</f>
        <v>1657.1294559099438</v>
      </c>
      <c r="Q149" s="803">
        <v>1581.7102823399332</v>
      </c>
      <c r="R149" s="803">
        <f t="shared" si="8"/>
        <v>1.0476820403913907</v>
      </c>
      <c r="S149" s="810">
        <v>706.6</v>
      </c>
      <c r="T149" s="803"/>
      <c r="U149" s="861" t="s">
        <v>623</v>
      </c>
      <c r="V149" s="803"/>
    </row>
    <row r="150" spans="1:22" s="820" customFormat="1" ht="12.75" customHeight="1" x14ac:dyDescent="0.25">
      <c r="A150" s="803" t="s">
        <v>308</v>
      </c>
      <c r="B150" s="803">
        <v>6</v>
      </c>
      <c r="C150" s="803" t="s">
        <v>519</v>
      </c>
      <c r="D150" s="803" t="s">
        <v>297</v>
      </c>
      <c r="E150" s="803">
        <v>1</v>
      </c>
      <c r="F150" s="803" t="s">
        <v>317</v>
      </c>
      <c r="G150" s="803" t="s">
        <v>512</v>
      </c>
      <c r="H150" s="803" t="s">
        <v>518</v>
      </c>
      <c r="I150" s="803"/>
      <c r="J150" s="803"/>
      <c r="K150" s="803"/>
      <c r="L150" s="803" t="s">
        <v>156</v>
      </c>
      <c r="M150" s="803" t="s">
        <v>464</v>
      </c>
      <c r="N150" s="803" t="s">
        <v>249</v>
      </c>
      <c r="O150" s="803" t="s">
        <v>27</v>
      </c>
      <c r="P150" s="803">
        <f>S150/P$3*100000</f>
        <v>0</v>
      </c>
      <c r="Q150" s="803">
        <v>0.22054899054727028</v>
      </c>
      <c r="R150" s="803">
        <f t="shared" si="8"/>
        <v>1</v>
      </c>
      <c r="S150" s="810">
        <v>0</v>
      </c>
      <c r="T150" s="803"/>
      <c r="U150" s="861" t="s">
        <v>623</v>
      </c>
      <c r="V150" s="803"/>
    </row>
    <row r="151" spans="1:22" s="820" customFormat="1" ht="12.75" customHeight="1" x14ac:dyDescent="0.25">
      <c r="A151" s="803" t="s">
        <v>308</v>
      </c>
      <c r="B151" s="803">
        <v>6</v>
      </c>
      <c r="C151" s="803" t="s">
        <v>519</v>
      </c>
      <c r="D151" s="803" t="s">
        <v>297</v>
      </c>
      <c r="E151" s="803">
        <v>1</v>
      </c>
      <c r="F151" s="803" t="s">
        <v>317</v>
      </c>
      <c r="G151" s="803" t="s">
        <v>512</v>
      </c>
      <c r="H151" s="803" t="s">
        <v>518</v>
      </c>
      <c r="I151" s="803"/>
      <c r="J151" s="803"/>
      <c r="K151" s="803"/>
      <c r="L151" s="803" t="s">
        <v>156</v>
      </c>
      <c r="M151" s="803" t="s">
        <v>464</v>
      </c>
      <c r="N151" s="803" t="s">
        <v>244</v>
      </c>
      <c r="O151" s="803" t="s">
        <v>27</v>
      </c>
      <c r="P151" s="803">
        <f>S151/P$4*100000</f>
        <v>0.5394034198176817</v>
      </c>
      <c r="Q151" s="803">
        <v>0.21798388881077801</v>
      </c>
      <c r="R151" s="803">
        <f t="shared" si="8"/>
        <v>1</v>
      </c>
      <c r="S151" s="810">
        <v>1</v>
      </c>
      <c r="T151" s="803"/>
      <c r="U151" s="861" t="s">
        <v>623</v>
      </c>
      <c r="V151" s="803"/>
    </row>
    <row r="152" spans="1:22" s="820" customFormat="1" ht="12.75" customHeight="1" x14ac:dyDescent="0.25">
      <c r="A152" s="803" t="s">
        <v>308</v>
      </c>
      <c r="B152" s="803">
        <v>6</v>
      </c>
      <c r="C152" s="803" t="s">
        <v>519</v>
      </c>
      <c r="D152" s="803" t="s">
        <v>297</v>
      </c>
      <c r="E152" s="803">
        <v>1</v>
      </c>
      <c r="F152" s="803" t="s">
        <v>317</v>
      </c>
      <c r="G152" s="803" t="s">
        <v>512</v>
      </c>
      <c r="H152" s="803" t="s">
        <v>518</v>
      </c>
      <c r="I152" s="803"/>
      <c r="J152" s="803"/>
      <c r="K152" s="803"/>
      <c r="L152" s="803" t="s">
        <v>156</v>
      </c>
      <c r="M152" s="803" t="s">
        <v>464</v>
      </c>
      <c r="N152" s="803" t="s">
        <v>4</v>
      </c>
      <c r="O152" s="803" t="s">
        <v>27</v>
      </c>
      <c r="P152" s="803">
        <f>S152/P$5*100000</f>
        <v>0.70901871809415773</v>
      </c>
      <c r="Q152" s="803">
        <v>0.1939282362097631</v>
      </c>
      <c r="R152" s="803">
        <f t="shared" si="8"/>
        <v>1</v>
      </c>
      <c r="S152" s="810">
        <v>2.2000000000000002</v>
      </c>
      <c r="T152" s="803"/>
      <c r="U152" s="861" t="s">
        <v>623</v>
      </c>
      <c r="V152" s="803"/>
    </row>
    <row r="153" spans="1:22" s="820" customFormat="1" ht="12.75" customHeight="1" x14ac:dyDescent="0.25">
      <c r="A153" s="803" t="s">
        <v>308</v>
      </c>
      <c r="B153" s="803">
        <v>6</v>
      </c>
      <c r="C153" s="803" t="s">
        <v>519</v>
      </c>
      <c r="D153" s="803" t="s">
        <v>297</v>
      </c>
      <c r="E153" s="803">
        <v>1</v>
      </c>
      <c r="F153" s="803" t="s">
        <v>317</v>
      </c>
      <c r="G153" s="803" t="s">
        <v>512</v>
      </c>
      <c r="H153" s="803" t="s">
        <v>518</v>
      </c>
      <c r="I153" s="803"/>
      <c r="J153" s="803"/>
      <c r="K153" s="803"/>
      <c r="L153" s="803" t="s">
        <v>156</v>
      </c>
      <c r="M153" s="803" t="s">
        <v>464</v>
      </c>
      <c r="N153" s="803" t="s">
        <v>5</v>
      </c>
      <c r="O153" s="803" t="s">
        <v>27</v>
      </c>
      <c r="P153" s="803">
        <f>S153/P$6*100000</f>
        <v>3.7477747587370001</v>
      </c>
      <c r="Q153" s="803">
        <v>0.78312930639542555</v>
      </c>
      <c r="R153" s="803">
        <f t="shared" si="8"/>
        <v>4.785639776382772</v>
      </c>
      <c r="S153" s="810">
        <v>12</v>
      </c>
      <c r="T153" s="803"/>
      <c r="U153" s="861" t="s">
        <v>623</v>
      </c>
      <c r="V153" s="803"/>
    </row>
    <row r="154" spans="1:22" s="820" customFormat="1" ht="12.75" customHeight="1" x14ac:dyDescent="0.25">
      <c r="A154" s="803" t="s">
        <v>308</v>
      </c>
      <c r="B154" s="803">
        <v>6</v>
      </c>
      <c r="C154" s="803" t="s">
        <v>519</v>
      </c>
      <c r="D154" s="803" t="s">
        <v>297</v>
      </c>
      <c r="E154" s="803">
        <v>1</v>
      </c>
      <c r="F154" s="803" t="s">
        <v>317</v>
      </c>
      <c r="G154" s="803" t="s">
        <v>512</v>
      </c>
      <c r="H154" s="803" t="s">
        <v>518</v>
      </c>
      <c r="I154" s="803"/>
      <c r="J154" s="803"/>
      <c r="K154" s="803"/>
      <c r="L154" s="803" t="s">
        <v>156</v>
      </c>
      <c r="M154" s="803" t="s">
        <v>464</v>
      </c>
      <c r="N154" s="803" t="s">
        <v>6</v>
      </c>
      <c r="O154" s="803" t="s">
        <v>27</v>
      </c>
      <c r="P154" s="803">
        <f>S154/P$7*100000</f>
        <v>0.12801310854231474</v>
      </c>
      <c r="Q154" s="803">
        <v>3.5343606120755213</v>
      </c>
      <c r="R154" s="803">
        <f t="shared" si="8"/>
        <v>1</v>
      </c>
      <c r="S154" s="810">
        <v>0.4</v>
      </c>
      <c r="T154" s="803"/>
      <c r="U154" s="861" t="s">
        <v>623</v>
      </c>
      <c r="V154" s="803"/>
    </row>
    <row r="155" spans="1:22" s="820" customFormat="1" ht="12.75" customHeight="1" x14ac:dyDescent="0.25">
      <c r="A155" s="803" t="s">
        <v>308</v>
      </c>
      <c r="B155" s="803">
        <v>6</v>
      </c>
      <c r="C155" s="803" t="s">
        <v>519</v>
      </c>
      <c r="D155" s="803" t="s">
        <v>297</v>
      </c>
      <c r="E155" s="803">
        <v>1</v>
      </c>
      <c r="F155" s="803" t="s">
        <v>317</v>
      </c>
      <c r="G155" s="803" t="s">
        <v>512</v>
      </c>
      <c r="H155" s="803" t="s">
        <v>518</v>
      </c>
      <c r="I155" s="803"/>
      <c r="J155" s="803"/>
      <c r="K155" s="803"/>
      <c r="L155" s="803" t="s">
        <v>156</v>
      </c>
      <c r="M155" s="803" t="s">
        <v>464</v>
      </c>
      <c r="N155" s="803" t="s">
        <v>7</v>
      </c>
      <c r="O155" s="803" t="s">
        <v>27</v>
      </c>
      <c r="P155" s="803">
        <f>S155/P$8*100000</f>
        <v>8.1353816664159186</v>
      </c>
      <c r="Q155" s="803">
        <v>8.7334195378326509</v>
      </c>
      <c r="R155" s="803">
        <f t="shared" si="8"/>
        <v>0.93152305705387584</v>
      </c>
      <c r="S155" s="810">
        <v>14.6</v>
      </c>
      <c r="T155" s="803"/>
      <c r="U155" s="861" t="s">
        <v>623</v>
      </c>
      <c r="V155" s="803"/>
    </row>
    <row r="156" spans="1:22" s="820" customFormat="1" ht="12.75" customHeight="1" x14ac:dyDescent="0.25">
      <c r="A156" s="803" t="s">
        <v>308</v>
      </c>
      <c r="B156" s="803">
        <v>6</v>
      </c>
      <c r="C156" s="803" t="s">
        <v>519</v>
      </c>
      <c r="D156" s="803" t="s">
        <v>297</v>
      </c>
      <c r="E156" s="803">
        <v>1</v>
      </c>
      <c r="F156" s="803" t="s">
        <v>317</v>
      </c>
      <c r="G156" s="803" t="s">
        <v>512</v>
      </c>
      <c r="H156" s="803" t="s">
        <v>518</v>
      </c>
      <c r="I156" s="803"/>
      <c r="J156" s="803"/>
      <c r="K156" s="803"/>
      <c r="L156" s="803" t="s">
        <v>156</v>
      </c>
      <c r="M156" s="803" t="s">
        <v>464</v>
      </c>
      <c r="N156" s="803" t="s">
        <v>8</v>
      </c>
      <c r="O156" s="803" t="s">
        <v>27</v>
      </c>
      <c r="P156" s="803">
        <f>S156/P$9*100000</f>
        <v>22.22900231007279</v>
      </c>
      <c r="Q156" s="803">
        <v>20.281366865193217</v>
      </c>
      <c r="R156" s="803">
        <f t="shared" si="8"/>
        <v>1.0960307782914818</v>
      </c>
      <c r="S156" s="810">
        <v>20.399999999999999</v>
      </c>
      <c r="T156" s="803"/>
      <c r="U156" s="861" t="s">
        <v>623</v>
      </c>
      <c r="V156" s="803"/>
    </row>
    <row r="157" spans="1:22" s="820" customFormat="1" ht="12.75" customHeight="1" x14ac:dyDescent="0.25">
      <c r="A157" s="803" t="s">
        <v>308</v>
      </c>
      <c r="B157" s="803">
        <v>6</v>
      </c>
      <c r="C157" s="803" t="s">
        <v>519</v>
      </c>
      <c r="D157" s="803" t="s">
        <v>297</v>
      </c>
      <c r="E157" s="803">
        <v>1</v>
      </c>
      <c r="F157" s="803" t="s">
        <v>317</v>
      </c>
      <c r="G157" s="803" t="s">
        <v>512</v>
      </c>
      <c r="H157" s="803" t="s">
        <v>518</v>
      </c>
      <c r="I157" s="803"/>
      <c r="J157" s="803"/>
      <c r="K157" s="803"/>
      <c r="L157" s="803" t="s">
        <v>156</v>
      </c>
      <c r="M157" s="803" t="s">
        <v>464</v>
      </c>
      <c r="N157" s="803" t="s">
        <v>9</v>
      </c>
      <c r="O157" s="803" t="s">
        <v>27</v>
      </c>
      <c r="P157" s="803">
        <f>S157/P$10*100000</f>
        <v>99.392287158516481</v>
      </c>
      <c r="Q157" s="803">
        <v>89.996914391506593</v>
      </c>
      <c r="R157" s="803">
        <f t="shared" si="8"/>
        <v>1.1043966099341798</v>
      </c>
      <c r="S157" s="810">
        <v>70</v>
      </c>
      <c r="T157" s="803"/>
      <c r="U157" s="861" t="s">
        <v>623</v>
      </c>
      <c r="V157" s="803"/>
    </row>
    <row r="158" spans="1:22" s="820" customFormat="1" ht="12.75" customHeight="1" x14ac:dyDescent="0.25">
      <c r="A158" s="803" t="s">
        <v>308</v>
      </c>
      <c r="B158" s="803">
        <v>6</v>
      </c>
      <c r="C158" s="803" t="s">
        <v>519</v>
      </c>
      <c r="D158" s="803" t="s">
        <v>297</v>
      </c>
      <c r="E158" s="803">
        <v>1</v>
      </c>
      <c r="F158" s="803" t="s">
        <v>317</v>
      </c>
      <c r="G158" s="803" t="s">
        <v>512</v>
      </c>
      <c r="H158" s="803" t="s">
        <v>518</v>
      </c>
      <c r="I158" s="803"/>
      <c r="J158" s="803"/>
      <c r="K158" s="803"/>
      <c r="L158" s="803" t="s">
        <v>156</v>
      </c>
      <c r="M158" s="803" t="s">
        <v>464</v>
      </c>
      <c r="N158" s="803" t="s">
        <v>249</v>
      </c>
      <c r="O158" s="803" t="s">
        <v>26</v>
      </c>
      <c r="P158" s="803">
        <f>S158/P$11*100000</f>
        <v>1.0730995407133965</v>
      </c>
      <c r="Q158" s="803">
        <v>0.62995432831119746</v>
      </c>
      <c r="R158" s="803">
        <f t="shared" si="8"/>
        <v>1</v>
      </c>
      <c r="S158" s="810">
        <v>1</v>
      </c>
      <c r="T158" s="803"/>
      <c r="U158" s="861" t="s">
        <v>623</v>
      </c>
      <c r="V158" s="803"/>
    </row>
    <row r="159" spans="1:22" s="820" customFormat="1" ht="12.75" customHeight="1" x14ac:dyDescent="0.25">
      <c r="A159" s="803" t="s">
        <v>308</v>
      </c>
      <c r="B159" s="803">
        <v>6</v>
      </c>
      <c r="C159" s="803" t="s">
        <v>519</v>
      </c>
      <c r="D159" s="803" t="s">
        <v>297</v>
      </c>
      <c r="E159" s="803">
        <v>1</v>
      </c>
      <c r="F159" s="803" t="s">
        <v>317</v>
      </c>
      <c r="G159" s="803" t="s">
        <v>512</v>
      </c>
      <c r="H159" s="803" t="s">
        <v>518</v>
      </c>
      <c r="I159" s="803"/>
      <c r="J159" s="803"/>
      <c r="K159" s="803"/>
      <c r="L159" s="803" t="s">
        <v>156</v>
      </c>
      <c r="M159" s="803" t="s">
        <v>464</v>
      </c>
      <c r="N159" s="803" t="s">
        <v>244</v>
      </c>
      <c r="O159" s="803" t="s">
        <v>26</v>
      </c>
      <c r="P159" s="803">
        <f>S159/P$12*100000</f>
        <v>2.4817359743140326</v>
      </c>
      <c r="Q159" s="803">
        <v>0.20792679313467316</v>
      </c>
      <c r="R159" s="803">
        <f t="shared" si="8"/>
        <v>1</v>
      </c>
      <c r="S159" s="810">
        <v>4.8</v>
      </c>
      <c r="T159" s="803"/>
      <c r="U159" s="861" t="s">
        <v>623</v>
      </c>
      <c r="V159" s="803"/>
    </row>
    <row r="160" spans="1:22" s="820" customFormat="1" ht="12.75" customHeight="1" x14ac:dyDescent="0.25">
      <c r="A160" s="803" t="s">
        <v>308</v>
      </c>
      <c r="B160" s="803">
        <v>6</v>
      </c>
      <c r="C160" s="803" t="s">
        <v>519</v>
      </c>
      <c r="D160" s="803" t="s">
        <v>297</v>
      </c>
      <c r="E160" s="803">
        <v>1</v>
      </c>
      <c r="F160" s="803" t="s">
        <v>317</v>
      </c>
      <c r="G160" s="803" t="s">
        <v>512</v>
      </c>
      <c r="H160" s="803" t="s">
        <v>518</v>
      </c>
      <c r="I160" s="803"/>
      <c r="J160" s="803"/>
      <c r="K160" s="803"/>
      <c r="L160" s="803" t="s">
        <v>156</v>
      </c>
      <c r="M160" s="803" t="s">
        <v>464</v>
      </c>
      <c r="N160" s="803" t="s">
        <v>4</v>
      </c>
      <c r="O160" s="803" t="s">
        <v>26</v>
      </c>
      <c r="P160" s="803">
        <f>S160/P$13*100000</f>
        <v>2.4692217836012014</v>
      </c>
      <c r="Q160" s="803">
        <v>1.7088196612992854</v>
      </c>
      <c r="R160" s="803">
        <f t="shared" si="8"/>
        <v>1</v>
      </c>
      <c r="S160" s="810">
        <v>7.8</v>
      </c>
      <c r="T160" s="803"/>
      <c r="U160" s="861" t="s">
        <v>623</v>
      </c>
      <c r="V160" s="803"/>
    </row>
    <row r="161" spans="1:22" s="820" customFormat="1" ht="12.75" customHeight="1" x14ac:dyDescent="0.25">
      <c r="A161" s="803" t="s">
        <v>308</v>
      </c>
      <c r="B161" s="803">
        <v>6</v>
      </c>
      <c r="C161" s="803" t="s">
        <v>519</v>
      </c>
      <c r="D161" s="803" t="s">
        <v>297</v>
      </c>
      <c r="E161" s="803">
        <v>1</v>
      </c>
      <c r="F161" s="803" t="s">
        <v>317</v>
      </c>
      <c r="G161" s="803" t="s">
        <v>512</v>
      </c>
      <c r="H161" s="803" t="s">
        <v>518</v>
      </c>
      <c r="I161" s="803"/>
      <c r="J161" s="803"/>
      <c r="K161" s="803"/>
      <c r="L161" s="803" t="s">
        <v>156</v>
      </c>
      <c r="M161" s="803" t="s">
        <v>464</v>
      </c>
      <c r="N161" s="803" t="s">
        <v>5</v>
      </c>
      <c r="O161" s="803" t="s">
        <v>26</v>
      </c>
      <c r="P161" s="803">
        <f>S161/P$14*100000</f>
        <v>7.7008852937733723</v>
      </c>
      <c r="Q161" s="803">
        <v>2.2264305293243165</v>
      </c>
      <c r="R161" s="803">
        <f t="shared" si="8"/>
        <v>3.4588482291924278</v>
      </c>
      <c r="S161" s="810">
        <v>25</v>
      </c>
      <c r="T161" s="803"/>
      <c r="U161" s="861" t="s">
        <v>623</v>
      </c>
      <c r="V161" s="803"/>
    </row>
    <row r="162" spans="1:22" s="820" customFormat="1" ht="12.75" customHeight="1" x14ac:dyDescent="0.25">
      <c r="A162" s="803" t="s">
        <v>308</v>
      </c>
      <c r="B162" s="803">
        <v>6</v>
      </c>
      <c r="C162" s="803" t="s">
        <v>519</v>
      </c>
      <c r="D162" s="803" t="s">
        <v>297</v>
      </c>
      <c r="E162" s="803">
        <v>1</v>
      </c>
      <c r="F162" s="803" t="s">
        <v>317</v>
      </c>
      <c r="G162" s="803" t="s">
        <v>512</v>
      </c>
      <c r="H162" s="803" t="s">
        <v>518</v>
      </c>
      <c r="I162" s="803"/>
      <c r="J162" s="803"/>
      <c r="K162" s="803"/>
      <c r="L162" s="803" t="s">
        <v>156</v>
      </c>
      <c r="M162" s="803" t="s">
        <v>464</v>
      </c>
      <c r="N162" s="803" t="s">
        <v>6</v>
      </c>
      <c r="O162" s="803" t="s">
        <v>26</v>
      </c>
      <c r="P162" s="803">
        <f>S162/P$15*100000</f>
        <v>0.26457301222988749</v>
      </c>
      <c r="Q162" s="803">
        <v>7.6230080784170955</v>
      </c>
      <c r="R162" s="803">
        <f t="shared" si="8"/>
        <v>1</v>
      </c>
      <c r="S162" s="810">
        <v>0.8</v>
      </c>
      <c r="T162" s="803"/>
      <c r="U162" s="861" t="s">
        <v>623</v>
      </c>
      <c r="V162" s="803"/>
    </row>
    <row r="163" spans="1:22" s="820" customFormat="1" ht="12.75" customHeight="1" x14ac:dyDescent="0.25">
      <c r="A163" s="803" t="s">
        <v>308</v>
      </c>
      <c r="B163" s="803">
        <v>6</v>
      </c>
      <c r="C163" s="803" t="s">
        <v>519</v>
      </c>
      <c r="D163" s="803" t="s">
        <v>297</v>
      </c>
      <c r="E163" s="803">
        <v>1</v>
      </c>
      <c r="F163" s="803" t="s">
        <v>317</v>
      </c>
      <c r="G163" s="803" t="s">
        <v>512</v>
      </c>
      <c r="H163" s="803" t="s">
        <v>518</v>
      </c>
      <c r="I163" s="803"/>
      <c r="J163" s="803"/>
      <c r="K163" s="803"/>
      <c r="L163" s="803" t="s">
        <v>156</v>
      </c>
      <c r="M163" s="803" t="s">
        <v>464</v>
      </c>
      <c r="N163" s="803" t="s">
        <v>7</v>
      </c>
      <c r="O163" s="803" t="s">
        <v>26</v>
      </c>
      <c r="P163" s="803">
        <f>S163/P$16*100000</f>
        <v>15.347524758457755</v>
      </c>
      <c r="Q163" s="803">
        <v>14.82123631482543</v>
      </c>
      <c r="R163" s="803">
        <f t="shared" si="8"/>
        <v>1.0355090784906984</v>
      </c>
      <c r="S163" s="810">
        <v>25.4</v>
      </c>
      <c r="T163" s="803"/>
      <c r="U163" s="861" t="s">
        <v>623</v>
      </c>
      <c r="V163" s="803"/>
    </row>
    <row r="164" spans="1:22" s="820" customFormat="1" ht="12.75" customHeight="1" x14ac:dyDescent="0.25">
      <c r="A164" s="803" t="s">
        <v>308</v>
      </c>
      <c r="B164" s="803">
        <v>6</v>
      </c>
      <c r="C164" s="803" t="s">
        <v>519</v>
      </c>
      <c r="D164" s="803" t="s">
        <v>297</v>
      </c>
      <c r="E164" s="803">
        <v>1</v>
      </c>
      <c r="F164" s="803" t="s">
        <v>317</v>
      </c>
      <c r="G164" s="803" t="s">
        <v>512</v>
      </c>
      <c r="H164" s="803" t="s">
        <v>518</v>
      </c>
      <c r="I164" s="803"/>
      <c r="J164" s="803"/>
      <c r="K164" s="803"/>
      <c r="L164" s="803" t="s">
        <v>156</v>
      </c>
      <c r="M164" s="803" t="s">
        <v>464</v>
      </c>
      <c r="N164" s="803" t="s">
        <v>8</v>
      </c>
      <c r="O164" s="803" t="s">
        <v>26</v>
      </c>
      <c r="P164" s="803">
        <f>S164/P$17*100000</f>
        <v>35.98223855458582</v>
      </c>
      <c r="Q164" s="803">
        <v>32.799673776217574</v>
      </c>
      <c r="R164" s="803">
        <f t="shared" si="8"/>
        <v>1.0970303790239482</v>
      </c>
      <c r="S164" s="810">
        <v>28.2</v>
      </c>
      <c r="T164" s="803"/>
      <c r="U164" s="861" t="s">
        <v>623</v>
      </c>
      <c r="V164" s="803"/>
    </row>
    <row r="165" spans="1:22" s="820" customFormat="1" ht="12.75" customHeight="1" x14ac:dyDescent="0.25">
      <c r="A165" s="803" t="s">
        <v>308</v>
      </c>
      <c r="B165" s="803">
        <v>6</v>
      </c>
      <c r="C165" s="803" t="s">
        <v>519</v>
      </c>
      <c r="D165" s="803" t="s">
        <v>297</v>
      </c>
      <c r="E165" s="803">
        <v>1</v>
      </c>
      <c r="F165" s="803" t="s">
        <v>317</v>
      </c>
      <c r="G165" s="803" t="s">
        <v>512</v>
      </c>
      <c r="H165" s="803" t="s">
        <v>518</v>
      </c>
      <c r="I165" s="803"/>
      <c r="J165" s="803"/>
      <c r="K165" s="803"/>
      <c r="L165" s="803" t="s">
        <v>156</v>
      </c>
      <c r="M165" s="803" t="s">
        <v>464</v>
      </c>
      <c r="N165" s="803" t="s">
        <v>9</v>
      </c>
      <c r="O165" s="803" t="s">
        <v>26</v>
      </c>
      <c r="P165" s="803">
        <f>S165/P$18*100000</f>
        <v>127.11069418386494</v>
      </c>
      <c r="Q165" s="803">
        <v>116.92816501059201</v>
      </c>
      <c r="R165" s="803">
        <f t="shared" si="8"/>
        <v>1.0870836309827536</v>
      </c>
      <c r="S165" s="810">
        <v>54.2</v>
      </c>
      <c r="T165" s="803"/>
      <c r="U165" s="861" t="s">
        <v>623</v>
      </c>
      <c r="V165" s="803"/>
    </row>
    <row r="166" spans="1:22" s="820" customFormat="1" ht="12.75" customHeight="1" x14ac:dyDescent="0.25">
      <c r="A166" s="803" t="s">
        <v>308</v>
      </c>
      <c r="B166" s="803">
        <v>6</v>
      </c>
      <c r="C166" s="803" t="s">
        <v>519</v>
      </c>
      <c r="D166" s="803" t="s">
        <v>297</v>
      </c>
      <c r="E166" s="803">
        <v>1</v>
      </c>
      <c r="F166" s="803" t="s">
        <v>317</v>
      </c>
      <c r="G166" s="803" t="s">
        <v>512</v>
      </c>
      <c r="H166" s="803" t="s">
        <v>518</v>
      </c>
      <c r="I166" s="803"/>
      <c r="J166" s="803"/>
      <c r="K166" s="803"/>
      <c r="L166" s="803" t="s">
        <v>154</v>
      </c>
      <c r="M166" s="803" t="s">
        <v>465</v>
      </c>
      <c r="N166" s="803" t="s">
        <v>249</v>
      </c>
      <c r="O166" s="803" t="s">
        <v>27</v>
      </c>
      <c r="P166" s="803">
        <f>S166/P$3*100000</f>
        <v>0</v>
      </c>
      <c r="Q166" s="803">
        <v>0</v>
      </c>
      <c r="R166" s="803">
        <f t="shared" si="8"/>
        <v>1</v>
      </c>
      <c r="S166" s="810">
        <v>0</v>
      </c>
      <c r="T166" s="803"/>
      <c r="U166" s="861" t="s">
        <v>623</v>
      </c>
      <c r="V166" s="803"/>
    </row>
    <row r="167" spans="1:22" s="820" customFormat="1" ht="12.75" customHeight="1" x14ac:dyDescent="0.25">
      <c r="A167" s="803" t="s">
        <v>308</v>
      </c>
      <c r="B167" s="803">
        <v>6</v>
      </c>
      <c r="C167" s="803" t="s">
        <v>519</v>
      </c>
      <c r="D167" s="803" t="s">
        <v>297</v>
      </c>
      <c r="E167" s="803">
        <v>1</v>
      </c>
      <c r="F167" s="803" t="s">
        <v>317</v>
      </c>
      <c r="G167" s="803" t="s">
        <v>512</v>
      </c>
      <c r="H167" s="803" t="s">
        <v>518</v>
      </c>
      <c r="I167" s="803"/>
      <c r="J167" s="803"/>
      <c r="K167" s="803"/>
      <c r="L167" s="803" t="s">
        <v>154</v>
      </c>
      <c r="M167" s="803" t="s">
        <v>465</v>
      </c>
      <c r="N167" s="803" t="s">
        <v>244</v>
      </c>
      <c r="O167" s="803" t="s">
        <v>27</v>
      </c>
      <c r="P167" s="803">
        <f>S167/P$4*100000</f>
        <v>0.32364205189060902</v>
      </c>
      <c r="Q167" s="803">
        <v>0</v>
      </c>
      <c r="R167" s="803">
        <f t="shared" si="8"/>
        <v>1</v>
      </c>
      <c r="S167" s="810">
        <v>0.6</v>
      </c>
      <c r="T167" s="803"/>
      <c r="U167" s="861" t="s">
        <v>623</v>
      </c>
      <c r="V167" s="803"/>
    </row>
    <row r="168" spans="1:22" s="820" customFormat="1" ht="12.75" customHeight="1" x14ac:dyDescent="0.25">
      <c r="A168" s="803" t="s">
        <v>308</v>
      </c>
      <c r="B168" s="803">
        <v>6</v>
      </c>
      <c r="C168" s="803" t="s">
        <v>519</v>
      </c>
      <c r="D168" s="803" t="s">
        <v>297</v>
      </c>
      <c r="E168" s="803">
        <v>1</v>
      </c>
      <c r="F168" s="803" t="s">
        <v>317</v>
      </c>
      <c r="G168" s="803" t="s">
        <v>512</v>
      </c>
      <c r="H168" s="803" t="s">
        <v>518</v>
      </c>
      <c r="I168" s="803"/>
      <c r="J168" s="803"/>
      <c r="K168" s="803"/>
      <c r="L168" s="803" t="s">
        <v>154</v>
      </c>
      <c r="M168" s="803" t="s">
        <v>465</v>
      </c>
      <c r="N168" s="803" t="s">
        <v>4</v>
      </c>
      <c r="O168" s="803" t="s">
        <v>27</v>
      </c>
      <c r="P168" s="803">
        <f>S168/P$5*100000</f>
        <v>1.9336874129840664</v>
      </c>
      <c r="Q168" s="803">
        <v>0.12928549080650875</v>
      </c>
      <c r="R168" s="803">
        <f t="shared" si="8"/>
        <v>1</v>
      </c>
      <c r="S168" s="810">
        <v>6</v>
      </c>
      <c r="T168" s="803"/>
      <c r="U168" s="861" t="s">
        <v>623</v>
      </c>
      <c r="V168" s="803"/>
    </row>
    <row r="169" spans="1:22" s="820" customFormat="1" ht="12.75" customHeight="1" x14ac:dyDescent="0.25">
      <c r="A169" s="803" t="s">
        <v>308</v>
      </c>
      <c r="B169" s="803">
        <v>6</v>
      </c>
      <c r="C169" s="803" t="s">
        <v>519</v>
      </c>
      <c r="D169" s="803" t="s">
        <v>297</v>
      </c>
      <c r="E169" s="803">
        <v>1</v>
      </c>
      <c r="F169" s="803" t="s">
        <v>317</v>
      </c>
      <c r="G169" s="803" t="s">
        <v>512</v>
      </c>
      <c r="H169" s="803" t="s">
        <v>518</v>
      </c>
      <c r="I169" s="803"/>
      <c r="J169" s="803"/>
      <c r="K169" s="803"/>
      <c r="L169" s="803" t="s">
        <v>154</v>
      </c>
      <c r="M169" s="803" t="s">
        <v>465</v>
      </c>
      <c r="N169" s="803" t="s">
        <v>5</v>
      </c>
      <c r="O169" s="803" t="s">
        <v>27</v>
      </c>
      <c r="P169" s="803">
        <f>S169/P$6*100000</f>
        <v>28.670476904338049</v>
      </c>
      <c r="Q169" s="803">
        <v>1.5662586127908511</v>
      </c>
      <c r="R169" s="803">
        <f t="shared" si="8"/>
        <v>18.305072144664102</v>
      </c>
      <c r="S169" s="810">
        <v>91.8</v>
      </c>
      <c r="T169" s="803"/>
      <c r="U169" s="861" t="s">
        <v>623</v>
      </c>
      <c r="V169" s="803"/>
    </row>
    <row r="170" spans="1:22" s="820" customFormat="1" ht="12.75" customHeight="1" x14ac:dyDescent="0.25">
      <c r="A170" s="803" t="s">
        <v>308</v>
      </c>
      <c r="B170" s="803">
        <v>6</v>
      </c>
      <c r="C170" s="803" t="s">
        <v>519</v>
      </c>
      <c r="D170" s="803" t="s">
        <v>297</v>
      </c>
      <c r="E170" s="803">
        <v>1</v>
      </c>
      <c r="F170" s="803" t="s">
        <v>317</v>
      </c>
      <c r="G170" s="803" t="s">
        <v>512</v>
      </c>
      <c r="H170" s="803" t="s">
        <v>518</v>
      </c>
      <c r="I170" s="803"/>
      <c r="J170" s="803"/>
      <c r="K170" s="803"/>
      <c r="L170" s="803" t="s">
        <v>154</v>
      </c>
      <c r="M170" s="803" t="s">
        <v>465</v>
      </c>
      <c r="N170" s="803" t="s">
        <v>6</v>
      </c>
      <c r="O170" s="803" t="s">
        <v>27</v>
      </c>
      <c r="P170" s="803">
        <f>S170/P$7*100000</f>
        <v>0</v>
      </c>
      <c r="Q170" s="803">
        <v>26.886386084717365</v>
      </c>
      <c r="R170" s="803">
        <f t="shared" si="8"/>
        <v>1</v>
      </c>
      <c r="S170" s="810">
        <v>0</v>
      </c>
      <c r="T170" s="803"/>
      <c r="U170" s="861" t="s">
        <v>623</v>
      </c>
      <c r="V170" s="803"/>
    </row>
    <row r="171" spans="1:22" s="820" customFormat="1" ht="12.75" customHeight="1" x14ac:dyDescent="0.25">
      <c r="A171" s="803" t="s">
        <v>308</v>
      </c>
      <c r="B171" s="803">
        <v>6</v>
      </c>
      <c r="C171" s="803" t="s">
        <v>519</v>
      </c>
      <c r="D171" s="803" t="s">
        <v>297</v>
      </c>
      <c r="E171" s="803">
        <v>1</v>
      </c>
      <c r="F171" s="803" t="s">
        <v>317</v>
      </c>
      <c r="G171" s="803" t="s">
        <v>512</v>
      </c>
      <c r="H171" s="803" t="s">
        <v>518</v>
      </c>
      <c r="I171" s="803"/>
      <c r="J171" s="803"/>
      <c r="K171" s="803"/>
      <c r="L171" s="803" t="s">
        <v>154</v>
      </c>
      <c r="M171" s="803" t="s">
        <v>465</v>
      </c>
      <c r="N171" s="803" t="s">
        <v>7</v>
      </c>
      <c r="O171" s="803" t="s">
        <v>27</v>
      </c>
      <c r="P171" s="803">
        <f>S171/P$8*100000</f>
        <v>103.86542072739228</v>
      </c>
      <c r="Q171" s="803">
        <v>106.36522899808124</v>
      </c>
      <c r="R171" s="803">
        <f t="shared" si="8"/>
        <v>0.97649788098764823</v>
      </c>
      <c r="S171" s="810">
        <v>186.4</v>
      </c>
      <c r="T171" s="803"/>
      <c r="U171" s="861" t="s">
        <v>623</v>
      </c>
      <c r="V171" s="803"/>
    </row>
    <row r="172" spans="1:22" s="820" customFormat="1" ht="12.75" customHeight="1" x14ac:dyDescent="0.25">
      <c r="A172" s="803" t="s">
        <v>308</v>
      </c>
      <c r="B172" s="803">
        <v>6</v>
      </c>
      <c r="C172" s="803" t="s">
        <v>519</v>
      </c>
      <c r="D172" s="803" t="s">
        <v>297</v>
      </c>
      <c r="E172" s="803">
        <v>1</v>
      </c>
      <c r="F172" s="803" t="s">
        <v>317</v>
      </c>
      <c r="G172" s="803" t="s">
        <v>512</v>
      </c>
      <c r="H172" s="803" t="s">
        <v>518</v>
      </c>
      <c r="I172" s="803"/>
      <c r="J172" s="803"/>
      <c r="K172" s="803"/>
      <c r="L172" s="803" t="s">
        <v>154</v>
      </c>
      <c r="M172" s="803" t="s">
        <v>465</v>
      </c>
      <c r="N172" s="803" t="s">
        <v>8</v>
      </c>
      <c r="O172" s="803" t="s">
        <v>27</v>
      </c>
      <c r="P172" s="803">
        <f>S172/P$9*100000</f>
        <v>265.0045765592991</v>
      </c>
      <c r="Q172" s="803">
        <v>268.35711035042249</v>
      </c>
      <c r="R172" s="803">
        <f t="shared" si="8"/>
        <v>0.98750719223818728</v>
      </c>
      <c r="S172" s="810">
        <v>243.2</v>
      </c>
      <c r="T172" s="803"/>
      <c r="U172" s="861" t="s">
        <v>623</v>
      </c>
      <c r="V172" s="803"/>
    </row>
    <row r="173" spans="1:22" s="820" customFormat="1" ht="12.75" customHeight="1" x14ac:dyDescent="0.25">
      <c r="A173" s="803" t="s">
        <v>308</v>
      </c>
      <c r="B173" s="803">
        <v>6</v>
      </c>
      <c r="C173" s="803" t="s">
        <v>519</v>
      </c>
      <c r="D173" s="803" t="s">
        <v>297</v>
      </c>
      <c r="E173" s="803">
        <v>1</v>
      </c>
      <c r="F173" s="803" t="s">
        <v>317</v>
      </c>
      <c r="G173" s="803" t="s">
        <v>512</v>
      </c>
      <c r="H173" s="803" t="s">
        <v>518</v>
      </c>
      <c r="I173" s="803"/>
      <c r="J173" s="803"/>
      <c r="K173" s="803"/>
      <c r="L173" s="803" t="s">
        <v>154</v>
      </c>
      <c r="M173" s="803" t="s">
        <v>465</v>
      </c>
      <c r="N173" s="803" t="s">
        <v>9</v>
      </c>
      <c r="O173" s="803" t="s">
        <v>27</v>
      </c>
      <c r="P173" s="803">
        <f>S173/P$10*100000</f>
        <v>331.11830521951492</v>
      </c>
      <c r="Q173" s="803">
        <v>305.13239546072708</v>
      </c>
      <c r="R173" s="803">
        <f t="shared" si="8"/>
        <v>1.0851627363903824</v>
      </c>
      <c r="S173" s="810">
        <v>233.2</v>
      </c>
      <c r="T173" s="803"/>
      <c r="U173" s="861" t="s">
        <v>623</v>
      </c>
      <c r="V173" s="803"/>
    </row>
    <row r="174" spans="1:22" s="820" customFormat="1" ht="12.75" customHeight="1" x14ac:dyDescent="0.25">
      <c r="A174" s="803" t="s">
        <v>308</v>
      </c>
      <c r="B174" s="803">
        <v>6</v>
      </c>
      <c r="C174" s="803" t="s">
        <v>519</v>
      </c>
      <c r="D174" s="803" t="s">
        <v>297</v>
      </c>
      <c r="E174" s="803">
        <v>1</v>
      </c>
      <c r="F174" s="803" t="s">
        <v>317</v>
      </c>
      <c r="G174" s="803" t="s">
        <v>512</v>
      </c>
      <c r="H174" s="803" t="s">
        <v>518</v>
      </c>
      <c r="I174" s="803"/>
      <c r="J174" s="803"/>
      <c r="K174" s="803"/>
      <c r="L174" s="803" t="s">
        <v>154</v>
      </c>
      <c r="M174" s="803" t="s">
        <v>465</v>
      </c>
      <c r="N174" s="803" t="s">
        <v>249</v>
      </c>
      <c r="O174" s="803" t="s">
        <v>26</v>
      </c>
      <c r="P174" s="803">
        <f>S174/P$11*100000</f>
        <v>0</v>
      </c>
      <c r="Q174" s="803">
        <v>0</v>
      </c>
      <c r="R174" s="803">
        <f t="shared" si="8"/>
        <v>1</v>
      </c>
      <c r="S174" s="810">
        <v>0</v>
      </c>
      <c r="T174" s="803"/>
      <c r="U174" s="861" t="s">
        <v>623</v>
      </c>
      <c r="V174" s="803"/>
    </row>
    <row r="175" spans="1:22" s="820" customFormat="1" ht="12.75" customHeight="1" x14ac:dyDescent="0.25">
      <c r="A175" s="803" t="s">
        <v>308</v>
      </c>
      <c r="B175" s="803">
        <v>6</v>
      </c>
      <c r="C175" s="803" t="s">
        <v>519</v>
      </c>
      <c r="D175" s="803" t="s">
        <v>297</v>
      </c>
      <c r="E175" s="803">
        <v>1</v>
      </c>
      <c r="F175" s="803" t="s">
        <v>317</v>
      </c>
      <c r="G175" s="803" t="s">
        <v>512</v>
      </c>
      <c r="H175" s="803" t="s">
        <v>518</v>
      </c>
      <c r="I175" s="803"/>
      <c r="J175" s="803"/>
      <c r="K175" s="803"/>
      <c r="L175" s="803" t="s">
        <v>154</v>
      </c>
      <c r="M175" s="803" t="s">
        <v>465</v>
      </c>
      <c r="N175" s="803" t="s">
        <v>244</v>
      </c>
      <c r="O175" s="803" t="s">
        <v>26</v>
      </c>
      <c r="P175" s="803">
        <f>S175/P$12*100000</f>
        <v>0.20681133119283607</v>
      </c>
      <c r="Q175" s="803">
        <v>0</v>
      </c>
      <c r="R175" s="803">
        <f t="shared" si="8"/>
        <v>1</v>
      </c>
      <c r="S175" s="810">
        <v>0.4</v>
      </c>
      <c r="T175" s="803"/>
      <c r="U175" s="861" t="s">
        <v>623</v>
      </c>
      <c r="V175" s="803"/>
    </row>
    <row r="176" spans="1:22" s="820" customFormat="1" ht="12.75" customHeight="1" x14ac:dyDescent="0.25">
      <c r="A176" s="803" t="s">
        <v>308</v>
      </c>
      <c r="B176" s="803">
        <v>6</v>
      </c>
      <c r="C176" s="803" t="s">
        <v>519</v>
      </c>
      <c r="D176" s="803" t="s">
        <v>297</v>
      </c>
      <c r="E176" s="803">
        <v>1</v>
      </c>
      <c r="F176" s="803" t="s">
        <v>317</v>
      </c>
      <c r="G176" s="803" t="s">
        <v>512</v>
      </c>
      <c r="H176" s="803" t="s">
        <v>518</v>
      </c>
      <c r="I176" s="803"/>
      <c r="J176" s="803"/>
      <c r="K176" s="803"/>
      <c r="L176" s="803" t="s">
        <v>154</v>
      </c>
      <c r="M176" s="803" t="s">
        <v>465</v>
      </c>
      <c r="N176" s="803" t="s">
        <v>4</v>
      </c>
      <c r="O176" s="803" t="s">
        <v>26</v>
      </c>
      <c r="P176" s="803">
        <f>S176/P$13*100000</f>
        <v>1.5828344766674369</v>
      </c>
      <c r="Q176" s="803">
        <v>0.12657923417031744</v>
      </c>
      <c r="R176" s="803">
        <f t="shared" si="8"/>
        <v>1</v>
      </c>
      <c r="S176" s="810">
        <v>5</v>
      </c>
      <c r="T176" s="803"/>
      <c r="U176" s="861" t="s">
        <v>623</v>
      </c>
      <c r="V176" s="803"/>
    </row>
    <row r="177" spans="1:22" s="820" customFormat="1" ht="12.75" customHeight="1" x14ac:dyDescent="0.25">
      <c r="A177" s="803" t="s">
        <v>308</v>
      </c>
      <c r="B177" s="803">
        <v>6</v>
      </c>
      <c r="C177" s="803" t="s">
        <v>519</v>
      </c>
      <c r="D177" s="803" t="s">
        <v>297</v>
      </c>
      <c r="E177" s="803">
        <v>1</v>
      </c>
      <c r="F177" s="803" t="s">
        <v>317</v>
      </c>
      <c r="G177" s="803" t="s">
        <v>512</v>
      </c>
      <c r="H177" s="803" t="s">
        <v>518</v>
      </c>
      <c r="I177" s="803"/>
      <c r="J177" s="803"/>
      <c r="K177" s="803"/>
      <c r="L177" s="803" t="s">
        <v>154</v>
      </c>
      <c r="M177" s="803" t="s">
        <v>465</v>
      </c>
      <c r="N177" s="803" t="s">
        <v>5</v>
      </c>
      <c r="O177" s="803" t="s">
        <v>26</v>
      </c>
      <c r="P177" s="803">
        <f>S177/P$14*100000</f>
        <v>32.282111151497972</v>
      </c>
      <c r="Q177" s="803">
        <v>1.8447567242972909</v>
      </c>
      <c r="R177" s="803">
        <f t="shared" si="8"/>
        <v>17.499386627141824</v>
      </c>
      <c r="S177" s="810">
        <v>104.8</v>
      </c>
      <c r="T177" s="803"/>
      <c r="U177" s="861" t="s">
        <v>623</v>
      </c>
      <c r="V177" s="803"/>
    </row>
    <row r="178" spans="1:22" s="820" customFormat="1" ht="12.75" customHeight="1" x14ac:dyDescent="0.25">
      <c r="A178" s="803" t="s">
        <v>308</v>
      </c>
      <c r="B178" s="803">
        <v>6</v>
      </c>
      <c r="C178" s="803" t="s">
        <v>519</v>
      </c>
      <c r="D178" s="803" t="s">
        <v>297</v>
      </c>
      <c r="E178" s="803">
        <v>1</v>
      </c>
      <c r="F178" s="803" t="s">
        <v>317</v>
      </c>
      <c r="G178" s="803" t="s">
        <v>512</v>
      </c>
      <c r="H178" s="803" t="s">
        <v>518</v>
      </c>
      <c r="I178" s="803"/>
      <c r="J178" s="803"/>
      <c r="K178" s="803"/>
      <c r="L178" s="803" t="s">
        <v>154</v>
      </c>
      <c r="M178" s="803" t="s">
        <v>465</v>
      </c>
      <c r="N178" s="803" t="s">
        <v>6</v>
      </c>
      <c r="O178" s="803" t="s">
        <v>26</v>
      </c>
      <c r="P178" s="803">
        <f>S178/P$15*100000</f>
        <v>0</v>
      </c>
      <c r="Q178" s="803">
        <v>33.580664897164965</v>
      </c>
      <c r="R178" s="803">
        <f t="shared" si="8"/>
        <v>1</v>
      </c>
      <c r="S178" s="810">
        <v>0</v>
      </c>
      <c r="T178" s="803"/>
      <c r="U178" s="861" t="s">
        <v>623</v>
      </c>
      <c r="V178" s="803"/>
    </row>
    <row r="179" spans="1:22" s="820" customFormat="1" ht="12.75" customHeight="1" x14ac:dyDescent="0.25">
      <c r="A179" s="803" t="s">
        <v>308</v>
      </c>
      <c r="B179" s="803">
        <v>6</v>
      </c>
      <c r="C179" s="803" t="s">
        <v>519</v>
      </c>
      <c r="D179" s="803" t="s">
        <v>297</v>
      </c>
      <c r="E179" s="803">
        <v>1</v>
      </c>
      <c r="F179" s="803" t="s">
        <v>317</v>
      </c>
      <c r="G179" s="803" t="s">
        <v>512</v>
      </c>
      <c r="H179" s="803" t="s">
        <v>518</v>
      </c>
      <c r="I179" s="803"/>
      <c r="J179" s="803"/>
      <c r="K179" s="803"/>
      <c r="L179" s="803" t="s">
        <v>154</v>
      </c>
      <c r="M179" s="803" t="s">
        <v>465</v>
      </c>
      <c r="N179" s="803" t="s">
        <v>7</v>
      </c>
      <c r="O179" s="803" t="s">
        <v>26</v>
      </c>
      <c r="P179" s="803">
        <f>S179/P$16*100000</f>
        <v>133.41470341210521</v>
      </c>
      <c r="Q179" s="803">
        <v>138.1451082929012</v>
      </c>
      <c r="R179" s="803">
        <f t="shared" si="8"/>
        <v>0.9657577098512502</v>
      </c>
      <c r="S179" s="810">
        <v>220.8</v>
      </c>
      <c r="T179" s="803"/>
      <c r="U179" s="861" t="s">
        <v>623</v>
      </c>
      <c r="V179" s="803"/>
    </row>
    <row r="180" spans="1:22" s="820" customFormat="1" ht="12.75" customHeight="1" x14ac:dyDescent="0.25">
      <c r="A180" s="803" t="s">
        <v>308</v>
      </c>
      <c r="B180" s="803">
        <v>6</v>
      </c>
      <c r="C180" s="803" t="s">
        <v>519</v>
      </c>
      <c r="D180" s="803" t="s">
        <v>297</v>
      </c>
      <c r="E180" s="803">
        <v>1</v>
      </c>
      <c r="F180" s="803" t="s">
        <v>317</v>
      </c>
      <c r="G180" s="803" t="s">
        <v>512</v>
      </c>
      <c r="H180" s="803" t="s">
        <v>518</v>
      </c>
      <c r="I180" s="803"/>
      <c r="J180" s="803"/>
      <c r="K180" s="803"/>
      <c r="L180" s="803" t="s">
        <v>154</v>
      </c>
      <c r="M180" s="803" t="s">
        <v>465</v>
      </c>
      <c r="N180" s="803" t="s">
        <v>8</v>
      </c>
      <c r="O180" s="803" t="s">
        <v>26</v>
      </c>
      <c r="P180" s="803">
        <f>S180/P$17*100000</f>
        <v>319.24666972898484</v>
      </c>
      <c r="Q180" s="803">
        <v>326.81476753600572</v>
      </c>
      <c r="R180" s="803">
        <f t="shared" si="8"/>
        <v>0.97684285240817004</v>
      </c>
      <c r="S180" s="810">
        <v>250.2</v>
      </c>
      <c r="T180" s="803"/>
      <c r="U180" s="861" t="s">
        <v>623</v>
      </c>
      <c r="V180" s="803"/>
    </row>
    <row r="181" spans="1:22" s="820" customFormat="1" ht="12.75" customHeight="1" x14ac:dyDescent="0.25">
      <c r="A181" s="803" t="s">
        <v>308</v>
      </c>
      <c r="B181" s="803">
        <v>6</v>
      </c>
      <c r="C181" s="803" t="s">
        <v>519</v>
      </c>
      <c r="D181" s="803" t="s">
        <v>297</v>
      </c>
      <c r="E181" s="803">
        <v>1</v>
      </c>
      <c r="F181" s="803" t="s">
        <v>317</v>
      </c>
      <c r="G181" s="803" t="s">
        <v>512</v>
      </c>
      <c r="H181" s="803" t="s">
        <v>518</v>
      </c>
      <c r="I181" s="803"/>
      <c r="J181" s="803"/>
      <c r="K181" s="803"/>
      <c r="L181" s="803" t="s">
        <v>154</v>
      </c>
      <c r="M181" s="803" t="s">
        <v>465</v>
      </c>
      <c r="N181" s="803" t="s">
        <v>9</v>
      </c>
      <c r="O181" s="803" t="s">
        <v>26</v>
      </c>
      <c r="P181" s="803">
        <f>S181/P$18*100000</f>
        <v>494.84052532833016</v>
      </c>
      <c r="Q181" s="803">
        <v>469.18037759480234</v>
      </c>
      <c r="R181" s="803">
        <f t="shared" si="8"/>
        <v>1.0546914341666878</v>
      </c>
      <c r="S181" s="810">
        <v>211</v>
      </c>
      <c r="T181" s="803"/>
      <c r="U181" s="861" t="s">
        <v>623</v>
      </c>
      <c r="V181" s="803"/>
    </row>
    <row r="182" spans="1:22" s="820" customFormat="1" ht="12.75" customHeight="1" x14ac:dyDescent="0.25">
      <c r="A182" s="803" t="s">
        <v>308</v>
      </c>
      <c r="B182" s="803">
        <v>6</v>
      </c>
      <c r="C182" s="803" t="s">
        <v>519</v>
      </c>
      <c r="D182" s="803" t="s">
        <v>297</v>
      </c>
      <c r="E182" s="803">
        <v>1</v>
      </c>
      <c r="F182" s="803" t="s">
        <v>317</v>
      </c>
      <c r="G182" s="803" t="s">
        <v>512</v>
      </c>
      <c r="H182" s="803" t="s">
        <v>518</v>
      </c>
      <c r="I182" s="803"/>
      <c r="J182" s="803"/>
      <c r="K182" s="803"/>
      <c r="L182" s="803" t="s">
        <v>320</v>
      </c>
      <c r="M182" s="803" t="s">
        <v>466</v>
      </c>
      <c r="N182" s="803" t="s">
        <v>249</v>
      </c>
      <c r="O182" s="803" t="s">
        <v>27</v>
      </c>
      <c r="P182" s="803">
        <f>S182/P$3*100000</f>
        <v>0</v>
      </c>
      <c r="Q182" s="803">
        <v>0</v>
      </c>
      <c r="R182" s="803">
        <f t="shared" si="8"/>
        <v>1</v>
      </c>
      <c r="S182" s="810">
        <v>0</v>
      </c>
      <c r="T182" s="803"/>
      <c r="U182" s="861" t="s">
        <v>623</v>
      </c>
      <c r="V182" s="803"/>
    </row>
    <row r="183" spans="1:22" s="820" customFormat="1" ht="12.75" customHeight="1" x14ac:dyDescent="0.25">
      <c r="A183" s="803" t="s">
        <v>308</v>
      </c>
      <c r="B183" s="803">
        <v>6</v>
      </c>
      <c r="C183" s="803" t="s">
        <v>519</v>
      </c>
      <c r="D183" s="803" t="s">
        <v>297</v>
      </c>
      <c r="E183" s="803">
        <v>1</v>
      </c>
      <c r="F183" s="803" t="s">
        <v>317</v>
      </c>
      <c r="G183" s="803" t="s">
        <v>512</v>
      </c>
      <c r="H183" s="803" t="s">
        <v>518</v>
      </c>
      <c r="I183" s="803"/>
      <c r="J183" s="803"/>
      <c r="K183" s="803"/>
      <c r="L183" s="803" t="s">
        <v>320</v>
      </c>
      <c r="M183" s="803" t="s">
        <v>466</v>
      </c>
      <c r="N183" s="803" t="s">
        <v>244</v>
      </c>
      <c r="O183" s="803" t="s">
        <v>27</v>
      </c>
      <c r="P183" s="803">
        <f>S183/P$4*100000</f>
        <v>0.64728410378121803</v>
      </c>
      <c r="Q183" s="803">
        <v>0.21798388881077801</v>
      </c>
      <c r="R183" s="803">
        <f t="shared" ref="R183:R229" si="9">IF(S183&lt;10, 1, P183/Q183)</f>
        <v>1</v>
      </c>
      <c r="S183" s="810">
        <v>1.2</v>
      </c>
      <c r="T183" s="803"/>
      <c r="U183" s="861" t="s">
        <v>623</v>
      </c>
      <c r="V183" s="803"/>
    </row>
    <row r="184" spans="1:22" s="820" customFormat="1" ht="12.75" customHeight="1" x14ac:dyDescent="0.25">
      <c r="A184" s="803" t="s">
        <v>308</v>
      </c>
      <c r="B184" s="803">
        <v>6</v>
      </c>
      <c r="C184" s="803" t="s">
        <v>519</v>
      </c>
      <c r="D184" s="803" t="s">
        <v>297</v>
      </c>
      <c r="E184" s="803">
        <v>1</v>
      </c>
      <c r="F184" s="803" t="s">
        <v>317</v>
      </c>
      <c r="G184" s="803" t="s">
        <v>512</v>
      </c>
      <c r="H184" s="803" t="s">
        <v>518</v>
      </c>
      <c r="I184" s="803"/>
      <c r="J184" s="803"/>
      <c r="K184" s="803"/>
      <c r="L184" s="803" t="s">
        <v>320</v>
      </c>
      <c r="M184" s="803" t="s">
        <v>466</v>
      </c>
      <c r="N184" s="803" t="s">
        <v>4</v>
      </c>
      <c r="O184" s="803" t="s">
        <v>27</v>
      </c>
      <c r="P184" s="803">
        <f>S184/P$5*100000</f>
        <v>1.6758624245861908</v>
      </c>
      <c r="Q184" s="803">
        <v>0.2585709816130175</v>
      </c>
      <c r="R184" s="803">
        <f t="shared" si="9"/>
        <v>1</v>
      </c>
      <c r="S184" s="810">
        <v>5.2</v>
      </c>
      <c r="T184" s="803"/>
      <c r="U184" s="861" t="s">
        <v>623</v>
      </c>
      <c r="V184" s="803"/>
    </row>
    <row r="185" spans="1:22" s="820" customFormat="1" ht="12.75" customHeight="1" x14ac:dyDescent="0.25">
      <c r="A185" s="803" t="s">
        <v>308</v>
      </c>
      <c r="B185" s="803">
        <v>6</v>
      </c>
      <c r="C185" s="803" t="s">
        <v>519</v>
      </c>
      <c r="D185" s="803" t="s">
        <v>297</v>
      </c>
      <c r="E185" s="803">
        <v>1</v>
      </c>
      <c r="F185" s="803" t="s">
        <v>317</v>
      </c>
      <c r="G185" s="803" t="s">
        <v>512</v>
      </c>
      <c r="H185" s="803" t="s">
        <v>518</v>
      </c>
      <c r="I185" s="803"/>
      <c r="J185" s="803"/>
      <c r="K185" s="803"/>
      <c r="L185" s="803" t="s">
        <v>320</v>
      </c>
      <c r="M185" s="803" t="s">
        <v>466</v>
      </c>
      <c r="N185" s="803" t="s">
        <v>5</v>
      </c>
      <c r="O185" s="803" t="s">
        <v>27</v>
      </c>
      <c r="P185" s="803">
        <f>S185/P$6*100000</f>
        <v>16.490208938442798</v>
      </c>
      <c r="Q185" s="803">
        <v>1.5009978372578987</v>
      </c>
      <c r="R185" s="803">
        <f t="shared" si="9"/>
        <v>10.986164356217843</v>
      </c>
      <c r="S185" s="810">
        <v>52.8</v>
      </c>
      <c r="T185" s="803"/>
      <c r="U185" s="861" t="s">
        <v>623</v>
      </c>
      <c r="V185" s="803"/>
    </row>
    <row r="186" spans="1:22" s="820" customFormat="1" ht="12.75" customHeight="1" x14ac:dyDescent="0.25">
      <c r="A186" s="803" t="s">
        <v>308</v>
      </c>
      <c r="B186" s="803">
        <v>6</v>
      </c>
      <c r="C186" s="803" t="s">
        <v>519</v>
      </c>
      <c r="D186" s="803" t="s">
        <v>297</v>
      </c>
      <c r="E186" s="803">
        <v>1</v>
      </c>
      <c r="F186" s="803" t="s">
        <v>317</v>
      </c>
      <c r="G186" s="803" t="s">
        <v>512</v>
      </c>
      <c r="H186" s="803" t="s">
        <v>518</v>
      </c>
      <c r="I186" s="803"/>
      <c r="J186" s="803"/>
      <c r="K186" s="803"/>
      <c r="L186" s="803" t="s">
        <v>320</v>
      </c>
      <c r="M186" s="803" t="s">
        <v>466</v>
      </c>
      <c r="N186" s="803" t="s">
        <v>6</v>
      </c>
      <c r="O186" s="803" t="s">
        <v>27</v>
      </c>
      <c r="P186" s="803">
        <f>S186/P$7*100000</f>
        <v>6.4006554271157368E-2</v>
      </c>
      <c r="Q186" s="803">
        <v>14.70546468952851</v>
      </c>
      <c r="R186" s="803">
        <f t="shared" si="9"/>
        <v>1</v>
      </c>
      <c r="S186" s="810">
        <v>0.2</v>
      </c>
      <c r="T186" s="803"/>
      <c r="U186" s="861" t="s">
        <v>623</v>
      </c>
      <c r="V186" s="803"/>
    </row>
    <row r="187" spans="1:22" s="820" customFormat="1" ht="12.75" customHeight="1" x14ac:dyDescent="0.25">
      <c r="A187" s="803" t="s">
        <v>308</v>
      </c>
      <c r="B187" s="803">
        <v>6</v>
      </c>
      <c r="C187" s="803" t="s">
        <v>519</v>
      </c>
      <c r="D187" s="803" t="s">
        <v>297</v>
      </c>
      <c r="E187" s="803">
        <v>1</v>
      </c>
      <c r="F187" s="803" t="s">
        <v>317</v>
      </c>
      <c r="G187" s="803" t="s">
        <v>512</v>
      </c>
      <c r="H187" s="803" t="s">
        <v>518</v>
      </c>
      <c r="I187" s="803"/>
      <c r="J187" s="803"/>
      <c r="K187" s="803"/>
      <c r="L187" s="803" t="s">
        <v>320</v>
      </c>
      <c r="M187" s="803" t="s">
        <v>466</v>
      </c>
      <c r="N187" s="803" t="s">
        <v>7</v>
      </c>
      <c r="O187" s="803" t="s">
        <v>27</v>
      </c>
      <c r="P187" s="803">
        <f>S187/P$8*100000</f>
        <v>72.438329906443116</v>
      </c>
      <c r="Q187" s="803">
        <v>73.647493117544002</v>
      </c>
      <c r="R187" s="803">
        <f t="shared" si="9"/>
        <v>0.98358174650736563</v>
      </c>
      <c r="S187" s="810">
        <v>130</v>
      </c>
      <c r="T187" s="803"/>
      <c r="U187" s="861" t="s">
        <v>623</v>
      </c>
      <c r="V187" s="803"/>
    </row>
    <row r="188" spans="1:22" s="820" customFormat="1" ht="12.75" customHeight="1" x14ac:dyDescent="0.25">
      <c r="A188" s="803" t="s">
        <v>308</v>
      </c>
      <c r="B188" s="803">
        <v>6</v>
      </c>
      <c r="C188" s="803" t="s">
        <v>519</v>
      </c>
      <c r="D188" s="803" t="s">
        <v>297</v>
      </c>
      <c r="E188" s="803">
        <v>1</v>
      </c>
      <c r="F188" s="803" t="s">
        <v>317</v>
      </c>
      <c r="G188" s="803" t="s">
        <v>512</v>
      </c>
      <c r="H188" s="803" t="s">
        <v>518</v>
      </c>
      <c r="I188" s="803"/>
      <c r="J188" s="803"/>
      <c r="K188" s="803"/>
      <c r="L188" s="803" t="s">
        <v>320</v>
      </c>
      <c r="M188" s="803" t="s">
        <v>466</v>
      </c>
      <c r="N188" s="803" t="s">
        <v>8</v>
      </c>
      <c r="O188" s="803" t="s">
        <v>27</v>
      </c>
      <c r="P188" s="803">
        <f>S188/P$9*100000</f>
        <v>242.77557424922637</v>
      </c>
      <c r="Q188" s="803">
        <v>245.35507232038628</v>
      </c>
      <c r="R188" s="803">
        <f t="shared" si="9"/>
        <v>0.98948667314368133</v>
      </c>
      <c r="S188" s="810">
        <v>222.8</v>
      </c>
      <c r="T188" s="803"/>
      <c r="U188" s="861" t="s">
        <v>623</v>
      </c>
      <c r="V188" s="803"/>
    </row>
    <row r="189" spans="1:22" s="820" customFormat="1" ht="12.75" customHeight="1" x14ac:dyDescent="0.25">
      <c r="A189" s="803" t="s">
        <v>308</v>
      </c>
      <c r="B189" s="803">
        <v>6</v>
      </c>
      <c r="C189" s="803" t="s">
        <v>519</v>
      </c>
      <c r="D189" s="803" t="s">
        <v>297</v>
      </c>
      <c r="E189" s="803">
        <v>1</v>
      </c>
      <c r="F189" s="803" t="s">
        <v>317</v>
      </c>
      <c r="G189" s="803" t="s">
        <v>512</v>
      </c>
      <c r="H189" s="803" t="s">
        <v>518</v>
      </c>
      <c r="I189" s="803"/>
      <c r="J189" s="803"/>
      <c r="K189" s="803"/>
      <c r="L189" s="803" t="s">
        <v>320</v>
      </c>
      <c r="M189" s="803" t="s">
        <v>466</v>
      </c>
      <c r="N189" s="803" t="s">
        <v>9</v>
      </c>
      <c r="O189" s="803" t="s">
        <v>27</v>
      </c>
      <c r="P189" s="803">
        <f>S189/P$10*100000</f>
        <v>523.93934230703701</v>
      </c>
      <c r="Q189" s="803">
        <v>474.26945361873311</v>
      </c>
      <c r="R189" s="803">
        <f t="shared" si="9"/>
        <v>1.1047292595154856</v>
      </c>
      <c r="S189" s="810">
        <v>369</v>
      </c>
      <c r="T189" s="803"/>
      <c r="U189" s="861" t="s">
        <v>623</v>
      </c>
      <c r="V189" s="803"/>
    </row>
    <row r="190" spans="1:22" s="820" customFormat="1" ht="12.75" customHeight="1" x14ac:dyDescent="0.25">
      <c r="A190" s="803" t="s">
        <v>308</v>
      </c>
      <c r="B190" s="803">
        <v>6</v>
      </c>
      <c r="C190" s="803" t="s">
        <v>519</v>
      </c>
      <c r="D190" s="803" t="s">
        <v>297</v>
      </c>
      <c r="E190" s="803">
        <v>1</v>
      </c>
      <c r="F190" s="803" t="s">
        <v>317</v>
      </c>
      <c r="G190" s="803" t="s">
        <v>512</v>
      </c>
      <c r="H190" s="803" t="s">
        <v>518</v>
      </c>
      <c r="I190" s="803"/>
      <c r="J190" s="803"/>
      <c r="K190" s="803"/>
      <c r="L190" s="803" t="s">
        <v>320</v>
      </c>
      <c r="M190" s="803" t="s">
        <v>466</v>
      </c>
      <c r="N190" s="803" t="s">
        <v>249</v>
      </c>
      <c r="O190" s="803" t="s">
        <v>26</v>
      </c>
      <c r="P190" s="803">
        <f>S190/P$11*100000</f>
        <v>0.42923981628535868</v>
      </c>
      <c r="Q190" s="803">
        <v>0.20998477610373251</v>
      </c>
      <c r="R190" s="803">
        <f t="shared" si="9"/>
        <v>1</v>
      </c>
      <c r="S190" s="810">
        <v>0.4</v>
      </c>
      <c r="T190" s="803"/>
      <c r="U190" s="861" t="s">
        <v>623</v>
      </c>
      <c r="V190" s="803"/>
    </row>
    <row r="191" spans="1:22" s="820" customFormat="1" ht="12.75" customHeight="1" x14ac:dyDescent="0.25">
      <c r="A191" s="803" t="s">
        <v>308</v>
      </c>
      <c r="B191" s="803">
        <v>6</v>
      </c>
      <c r="C191" s="803" t="s">
        <v>519</v>
      </c>
      <c r="D191" s="803" t="s">
        <v>297</v>
      </c>
      <c r="E191" s="803">
        <v>1</v>
      </c>
      <c r="F191" s="803" t="s">
        <v>317</v>
      </c>
      <c r="G191" s="803" t="s">
        <v>512</v>
      </c>
      <c r="H191" s="803" t="s">
        <v>518</v>
      </c>
      <c r="I191" s="803"/>
      <c r="J191" s="803"/>
      <c r="K191" s="803"/>
      <c r="L191" s="803" t="s">
        <v>320</v>
      </c>
      <c r="M191" s="803" t="s">
        <v>466</v>
      </c>
      <c r="N191" s="803" t="s">
        <v>244</v>
      </c>
      <c r="O191" s="803" t="s">
        <v>26</v>
      </c>
      <c r="P191" s="803">
        <f>S191/P$12*100000</f>
        <v>0.20681133119283607</v>
      </c>
      <c r="Q191" s="803">
        <v>0.10396339656733658</v>
      </c>
      <c r="R191" s="803">
        <f t="shared" si="9"/>
        <v>1</v>
      </c>
      <c r="S191" s="810">
        <v>0.4</v>
      </c>
      <c r="T191" s="803"/>
      <c r="U191" s="861" t="s">
        <v>623</v>
      </c>
      <c r="V191" s="803"/>
    </row>
    <row r="192" spans="1:22" s="820" customFormat="1" ht="12.75" customHeight="1" x14ac:dyDescent="0.25">
      <c r="A192" s="803" t="s">
        <v>308</v>
      </c>
      <c r="B192" s="803">
        <v>6</v>
      </c>
      <c r="C192" s="803" t="s">
        <v>519</v>
      </c>
      <c r="D192" s="803" t="s">
        <v>297</v>
      </c>
      <c r="E192" s="803">
        <v>1</v>
      </c>
      <c r="F192" s="803" t="s">
        <v>317</v>
      </c>
      <c r="G192" s="803" t="s">
        <v>512</v>
      </c>
      <c r="H192" s="803" t="s">
        <v>518</v>
      </c>
      <c r="I192" s="803"/>
      <c r="J192" s="803"/>
      <c r="K192" s="803"/>
      <c r="L192" s="803" t="s">
        <v>320</v>
      </c>
      <c r="M192" s="803" t="s">
        <v>466</v>
      </c>
      <c r="N192" s="803" t="s">
        <v>4</v>
      </c>
      <c r="O192" s="803" t="s">
        <v>26</v>
      </c>
      <c r="P192" s="803">
        <f>S192/P$13*100000</f>
        <v>1.0130140650671597</v>
      </c>
      <c r="Q192" s="803">
        <v>0.18986885125547615</v>
      </c>
      <c r="R192" s="803">
        <f t="shared" si="9"/>
        <v>1</v>
      </c>
      <c r="S192" s="810">
        <v>3.2</v>
      </c>
      <c r="T192" s="803"/>
      <c r="U192" s="861" t="s">
        <v>623</v>
      </c>
      <c r="V192" s="803"/>
    </row>
    <row r="193" spans="1:22" s="820" customFormat="1" ht="12.75" customHeight="1" x14ac:dyDescent="0.25">
      <c r="A193" s="803" t="s">
        <v>308</v>
      </c>
      <c r="B193" s="803">
        <v>6</v>
      </c>
      <c r="C193" s="803" t="s">
        <v>519</v>
      </c>
      <c r="D193" s="803" t="s">
        <v>297</v>
      </c>
      <c r="E193" s="803">
        <v>1</v>
      </c>
      <c r="F193" s="803" t="s">
        <v>317</v>
      </c>
      <c r="G193" s="803" t="s">
        <v>512</v>
      </c>
      <c r="H193" s="803" t="s">
        <v>518</v>
      </c>
      <c r="I193" s="803"/>
      <c r="J193" s="803"/>
      <c r="K193" s="803"/>
      <c r="L193" s="803" t="s">
        <v>320</v>
      </c>
      <c r="M193" s="803" t="s">
        <v>466</v>
      </c>
      <c r="N193" s="803" t="s">
        <v>5</v>
      </c>
      <c r="O193" s="803" t="s">
        <v>26</v>
      </c>
      <c r="P193" s="803">
        <f>S193/P$14*100000</f>
        <v>15.216949340496184</v>
      </c>
      <c r="Q193" s="803">
        <v>0.9541845125675642</v>
      </c>
      <c r="R193" s="803">
        <f t="shared" si="9"/>
        <v>15.947596235396555</v>
      </c>
      <c r="S193" s="810">
        <v>49.4</v>
      </c>
      <c r="T193" s="803"/>
      <c r="U193" s="861" t="s">
        <v>623</v>
      </c>
      <c r="V193" s="803"/>
    </row>
    <row r="194" spans="1:22" s="820" customFormat="1" ht="12.75" customHeight="1" x14ac:dyDescent="0.25">
      <c r="A194" s="803" t="s">
        <v>308</v>
      </c>
      <c r="B194" s="803">
        <v>6</v>
      </c>
      <c r="C194" s="803" t="s">
        <v>519</v>
      </c>
      <c r="D194" s="803" t="s">
        <v>297</v>
      </c>
      <c r="E194" s="803">
        <v>1</v>
      </c>
      <c r="F194" s="803" t="s">
        <v>317</v>
      </c>
      <c r="G194" s="803" t="s">
        <v>512</v>
      </c>
      <c r="H194" s="803" t="s">
        <v>518</v>
      </c>
      <c r="I194" s="803"/>
      <c r="J194" s="803"/>
      <c r="K194" s="803"/>
      <c r="L194" s="803" t="s">
        <v>320</v>
      </c>
      <c r="M194" s="803" t="s">
        <v>466</v>
      </c>
      <c r="N194" s="803" t="s">
        <v>6</v>
      </c>
      <c r="O194" s="803" t="s">
        <v>26</v>
      </c>
      <c r="P194" s="803">
        <f>S194/P$15*100000</f>
        <v>6.6143253057471874E-2</v>
      </c>
      <c r="Q194" s="803">
        <v>15.443162917482908</v>
      </c>
      <c r="R194" s="803">
        <f t="shared" si="9"/>
        <v>1</v>
      </c>
      <c r="S194" s="810">
        <v>0.2</v>
      </c>
      <c r="T194" s="803"/>
      <c r="U194" s="861" t="s">
        <v>623</v>
      </c>
      <c r="V194" s="803"/>
    </row>
    <row r="195" spans="1:22" s="820" customFormat="1" ht="12.75" customHeight="1" x14ac:dyDescent="0.25">
      <c r="A195" s="803" t="s">
        <v>308</v>
      </c>
      <c r="B195" s="803">
        <v>6</v>
      </c>
      <c r="C195" s="803" t="s">
        <v>519</v>
      </c>
      <c r="D195" s="803" t="s">
        <v>297</v>
      </c>
      <c r="E195" s="803">
        <v>1</v>
      </c>
      <c r="F195" s="803" t="s">
        <v>317</v>
      </c>
      <c r="G195" s="803" t="s">
        <v>512</v>
      </c>
      <c r="H195" s="803" t="s">
        <v>518</v>
      </c>
      <c r="I195" s="803"/>
      <c r="J195" s="803"/>
      <c r="K195" s="803"/>
      <c r="L195" s="803" t="s">
        <v>320</v>
      </c>
      <c r="M195" s="803" t="s">
        <v>466</v>
      </c>
      <c r="N195" s="803" t="s">
        <v>7</v>
      </c>
      <c r="O195" s="803" t="s">
        <v>26</v>
      </c>
      <c r="P195" s="803">
        <f>S195/P$16*100000</f>
        <v>76.375083837364585</v>
      </c>
      <c r="Q195" s="803">
        <v>78.999986017701588</v>
      </c>
      <c r="R195" s="803">
        <f t="shared" si="9"/>
        <v>0.9667733842415005</v>
      </c>
      <c r="S195" s="810">
        <v>126.4</v>
      </c>
      <c r="T195" s="803"/>
      <c r="U195" s="861" t="s">
        <v>623</v>
      </c>
      <c r="V195" s="803"/>
    </row>
    <row r="196" spans="1:22" s="820" customFormat="1" ht="12.75" customHeight="1" x14ac:dyDescent="0.25">
      <c r="A196" s="803" t="s">
        <v>308</v>
      </c>
      <c r="B196" s="803">
        <v>6</v>
      </c>
      <c r="C196" s="803" t="s">
        <v>519</v>
      </c>
      <c r="D196" s="803" t="s">
        <v>297</v>
      </c>
      <c r="E196" s="803">
        <v>1</v>
      </c>
      <c r="F196" s="803" t="s">
        <v>317</v>
      </c>
      <c r="G196" s="803" t="s">
        <v>512</v>
      </c>
      <c r="H196" s="803" t="s">
        <v>518</v>
      </c>
      <c r="I196" s="803"/>
      <c r="J196" s="803"/>
      <c r="K196" s="803"/>
      <c r="L196" s="803" t="s">
        <v>320</v>
      </c>
      <c r="M196" s="803" t="s">
        <v>466</v>
      </c>
      <c r="N196" s="803" t="s">
        <v>8</v>
      </c>
      <c r="O196" s="803" t="s">
        <v>26</v>
      </c>
      <c r="P196" s="803">
        <f>S196/P$17*100000</f>
        <v>258.2554994130557</v>
      </c>
      <c r="Q196" s="803">
        <v>266.82977855787811</v>
      </c>
      <c r="R196" s="803">
        <f t="shared" si="9"/>
        <v>0.96786610853120147</v>
      </c>
      <c r="S196" s="810">
        <v>202.4</v>
      </c>
      <c r="T196" s="803"/>
      <c r="U196" s="861" t="s">
        <v>623</v>
      </c>
      <c r="V196" s="803"/>
    </row>
    <row r="197" spans="1:22" s="820" customFormat="1" ht="12.75" customHeight="1" x14ac:dyDescent="0.25">
      <c r="A197" s="803" t="s">
        <v>308</v>
      </c>
      <c r="B197" s="803">
        <v>6</v>
      </c>
      <c r="C197" s="803" t="s">
        <v>519</v>
      </c>
      <c r="D197" s="803" t="s">
        <v>297</v>
      </c>
      <c r="E197" s="803">
        <v>1</v>
      </c>
      <c r="F197" s="803" t="s">
        <v>317</v>
      </c>
      <c r="G197" s="803" t="s">
        <v>512</v>
      </c>
      <c r="H197" s="803" t="s">
        <v>518</v>
      </c>
      <c r="I197" s="803"/>
      <c r="J197" s="803"/>
      <c r="K197" s="803"/>
      <c r="L197" s="803" t="s">
        <v>320</v>
      </c>
      <c r="M197" s="803" t="s">
        <v>466</v>
      </c>
      <c r="N197" s="803" t="s">
        <v>9</v>
      </c>
      <c r="O197" s="803" t="s">
        <v>26</v>
      </c>
      <c r="P197" s="803">
        <f>S197/P$18*100000</f>
        <v>689.02439024390242</v>
      </c>
      <c r="Q197" s="803">
        <v>649.22039736006525</v>
      </c>
      <c r="R197" s="803">
        <f t="shared" si="9"/>
        <v>1.0613104471851049</v>
      </c>
      <c r="S197" s="810">
        <v>293.8</v>
      </c>
      <c r="T197" s="803"/>
      <c r="U197" s="861" t="s">
        <v>623</v>
      </c>
      <c r="V197" s="803"/>
    </row>
    <row r="198" spans="1:22" s="820" customFormat="1" ht="12.75" customHeight="1" x14ac:dyDescent="0.25">
      <c r="A198" s="803" t="s">
        <v>308</v>
      </c>
      <c r="B198" s="803">
        <v>6</v>
      </c>
      <c r="C198" s="803" t="s">
        <v>519</v>
      </c>
      <c r="D198" s="803" t="s">
        <v>297</v>
      </c>
      <c r="E198" s="803">
        <v>1</v>
      </c>
      <c r="F198" s="803" t="s">
        <v>317</v>
      </c>
      <c r="G198" s="803" t="s">
        <v>512</v>
      </c>
      <c r="H198" s="803" t="s">
        <v>518</v>
      </c>
      <c r="I198" s="803"/>
      <c r="J198" s="803"/>
      <c r="K198" s="803"/>
      <c r="L198" s="803" t="s">
        <v>191</v>
      </c>
      <c r="M198" s="803" t="s">
        <v>467</v>
      </c>
      <c r="N198" s="803" t="s">
        <v>249</v>
      </c>
      <c r="O198" s="803" t="s">
        <v>27</v>
      </c>
      <c r="P198" s="803">
        <f>S198/P$3*100000</f>
        <v>0.90311801494660326</v>
      </c>
      <c r="Q198" s="803">
        <v>1.1027449527363513</v>
      </c>
      <c r="R198" s="803">
        <f t="shared" si="9"/>
        <v>1</v>
      </c>
      <c r="S198" s="810">
        <v>0.8</v>
      </c>
      <c r="T198" s="803"/>
      <c r="U198" s="861" t="s">
        <v>623</v>
      </c>
      <c r="V198" s="803"/>
    </row>
    <row r="199" spans="1:22" s="820" customFormat="1" ht="12.75" customHeight="1" x14ac:dyDescent="0.25">
      <c r="A199" s="803" t="s">
        <v>308</v>
      </c>
      <c r="B199" s="803">
        <v>6</v>
      </c>
      <c r="C199" s="803" t="s">
        <v>519</v>
      </c>
      <c r="D199" s="803" t="s">
        <v>297</v>
      </c>
      <c r="E199" s="803">
        <v>1</v>
      </c>
      <c r="F199" s="803" t="s">
        <v>317</v>
      </c>
      <c r="G199" s="803" t="s">
        <v>512</v>
      </c>
      <c r="H199" s="803" t="s">
        <v>518</v>
      </c>
      <c r="I199" s="803"/>
      <c r="J199" s="803"/>
      <c r="K199" s="803"/>
      <c r="L199" s="803" t="s">
        <v>191</v>
      </c>
      <c r="M199" s="803" t="s">
        <v>467</v>
      </c>
      <c r="N199" s="803" t="s">
        <v>244</v>
      </c>
      <c r="O199" s="803" t="s">
        <v>27</v>
      </c>
      <c r="P199" s="803">
        <f>S199/P$4*100000</f>
        <v>10.572307028426561</v>
      </c>
      <c r="Q199" s="803">
        <v>1.7438711104862241</v>
      </c>
      <c r="R199" s="803">
        <f t="shared" si="9"/>
        <v>6.0625507039214623</v>
      </c>
      <c r="S199" s="810">
        <v>19.600000000000001</v>
      </c>
      <c r="T199" s="803"/>
      <c r="U199" s="861" t="s">
        <v>623</v>
      </c>
      <c r="V199" s="803"/>
    </row>
    <row r="200" spans="1:22" s="820" customFormat="1" ht="12.75" customHeight="1" x14ac:dyDescent="0.25">
      <c r="A200" s="803" t="s">
        <v>308</v>
      </c>
      <c r="B200" s="803">
        <v>6</v>
      </c>
      <c r="C200" s="803" t="s">
        <v>519</v>
      </c>
      <c r="D200" s="803" t="s">
        <v>297</v>
      </c>
      <c r="E200" s="803">
        <v>1</v>
      </c>
      <c r="F200" s="803" t="s">
        <v>317</v>
      </c>
      <c r="G200" s="803" t="s">
        <v>512</v>
      </c>
      <c r="H200" s="803" t="s">
        <v>518</v>
      </c>
      <c r="I200" s="803"/>
      <c r="J200" s="803"/>
      <c r="K200" s="803"/>
      <c r="L200" s="803" t="s">
        <v>191</v>
      </c>
      <c r="M200" s="803" t="s">
        <v>467</v>
      </c>
      <c r="N200" s="803" t="s">
        <v>4</v>
      </c>
      <c r="O200" s="803" t="s">
        <v>27</v>
      </c>
      <c r="P200" s="803">
        <f>S200/P$5*100000</f>
        <v>4.06074356726654</v>
      </c>
      <c r="Q200" s="803">
        <v>6.3996317949221826</v>
      </c>
      <c r="R200" s="803">
        <f t="shared" si="9"/>
        <v>0.63452768805989057</v>
      </c>
      <c r="S200" s="810">
        <v>12.6</v>
      </c>
      <c r="T200" s="803"/>
      <c r="U200" s="861" t="s">
        <v>623</v>
      </c>
      <c r="V200" s="803"/>
    </row>
    <row r="201" spans="1:22" s="820" customFormat="1" ht="12.75" customHeight="1" x14ac:dyDescent="0.25">
      <c r="A201" s="803" t="s">
        <v>308</v>
      </c>
      <c r="B201" s="803">
        <v>6</v>
      </c>
      <c r="C201" s="803" t="s">
        <v>519</v>
      </c>
      <c r="D201" s="803" t="s">
        <v>297</v>
      </c>
      <c r="E201" s="803">
        <v>1</v>
      </c>
      <c r="F201" s="803" t="s">
        <v>317</v>
      </c>
      <c r="G201" s="803" t="s">
        <v>512</v>
      </c>
      <c r="H201" s="803" t="s">
        <v>518</v>
      </c>
      <c r="I201" s="803"/>
      <c r="J201" s="803"/>
      <c r="K201" s="803"/>
      <c r="L201" s="803" t="s">
        <v>191</v>
      </c>
      <c r="M201" s="803" t="s">
        <v>467</v>
      </c>
      <c r="N201" s="803" t="s">
        <v>5</v>
      </c>
      <c r="O201" s="803" t="s">
        <v>27</v>
      </c>
      <c r="P201" s="803">
        <f>S201/P$6*100000</f>
        <v>5.2468846622317997</v>
      </c>
      <c r="Q201" s="803">
        <v>4.0461680830430318</v>
      </c>
      <c r="R201" s="803">
        <f t="shared" si="9"/>
        <v>1.2967540039230738</v>
      </c>
      <c r="S201" s="810">
        <v>16.8</v>
      </c>
      <c r="T201" s="803"/>
      <c r="U201" s="861" t="s">
        <v>623</v>
      </c>
      <c r="V201" s="803"/>
    </row>
    <row r="202" spans="1:22" s="820" customFormat="1" ht="12.75" customHeight="1" x14ac:dyDescent="0.25">
      <c r="A202" s="803" t="s">
        <v>308</v>
      </c>
      <c r="B202" s="803">
        <v>6</v>
      </c>
      <c r="C202" s="803" t="s">
        <v>519</v>
      </c>
      <c r="D202" s="803" t="s">
        <v>297</v>
      </c>
      <c r="E202" s="803">
        <v>1</v>
      </c>
      <c r="F202" s="803" t="s">
        <v>317</v>
      </c>
      <c r="G202" s="803" t="s">
        <v>512</v>
      </c>
      <c r="H202" s="803" t="s">
        <v>518</v>
      </c>
      <c r="I202" s="803"/>
      <c r="J202" s="803"/>
      <c r="K202" s="803"/>
      <c r="L202" s="803" t="s">
        <v>191</v>
      </c>
      <c r="M202" s="803" t="s">
        <v>467</v>
      </c>
      <c r="N202" s="803" t="s">
        <v>6</v>
      </c>
      <c r="O202" s="803" t="s">
        <v>27</v>
      </c>
      <c r="P202" s="803">
        <f>S202/P$7*100000</f>
        <v>0.83208520552504572</v>
      </c>
      <c r="Q202" s="803">
        <v>4.9228594239623336</v>
      </c>
      <c r="R202" s="803">
        <f t="shared" si="9"/>
        <v>1</v>
      </c>
      <c r="S202" s="810">
        <v>2.6</v>
      </c>
      <c r="T202" s="803"/>
      <c r="U202" s="861" t="s">
        <v>623</v>
      </c>
      <c r="V202" s="803"/>
    </row>
    <row r="203" spans="1:22" s="820" customFormat="1" ht="12.75" customHeight="1" x14ac:dyDescent="0.25">
      <c r="A203" s="803" t="s">
        <v>308</v>
      </c>
      <c r="B203" s="803">
        <v>6</v>
      </c>
      <c r="C203" s="803" t="s">
        <v>519</v>
      </c>
      <c r="D203" s="803" t="s">
        <v>297</v>
      </c>
      <c r="E203" s="803">
        <v>1</v>
      </c>
      <c r="F203" s="803" t="s">
        <v>317</v>
      </c>
      <c r="G203" s="803" t="s">
        <v>512</v>
      </c>
      <c r="H203" s="803" t="s">
        <v>518</v>
      </c>
      <c r="I203" s="803"/>
      <c r="J203" s="803"/>
      <c r="K203" s="803"/>
      <c r="L203" s="803" t="s">
        <v>191</v>
      </c>
      <c r="M203" s="803" t="s">
        <v>467</v>
      </c>
      <c r="N203" s="803" t="s">
        <v>7</v>
      </c>
      <c r="O203" s="803" t="s">
        <v>27</v>
      </c>
      <c r="P203" s="803">
        <f>S203/P$8*100000</f>
        <v>6.0179535614583513</v>
      </c>
      <c r="Q203" s="803">
        <v>6.1264286310169354</v>
      </c>
      <c r="R203" s="803">
        <f t="shared" si="9"/>
        <v>0.98229391443337877</v>
      </c>
      <c r="S203" s="810">
        <v>10.8</v>
      </c>
      <c r="T203" s="803"/>
      <c r="U203" s="861" t="s">
        <v>623</v>
      </c>
      <c r="V203" s="803"/>
    </row>
    <row r="204" spans="1:22" s="820" customFormat="1" ht="12.75" customHeight="1" x14ac:dyDescent="0.25">
      <c r="A204" s="803" t="s">
        <v>308</v>
      </c>
      <c r="B204" s="803">
        <v>6</v>
      </c>
      <c r="C204" s="803" t="s">
        <v>519</v>
      </c>
      <c r="D204" s="803" t="s">
        <v>297</v>
      </c>
      <c r="E204" s="803">
        <v>1</v>
      </c>
      <c r="F204" s="803" t="s">
        <v>317</v>
      </c>
      <c r="G204" s="803" t="s">
        <v>512</v>
      </c>
      <c r="H204" s="803" t="s">
        <v>518</v>
      </c>
      <c r="I204" s="803"/>
      <c r="J204" s="803"/>
      <c r="K204" s="803"/>
      <c r="L204" s="803" t="s">
        <v>191</v>
      </c>
      <c r="M204" s="803" t="s">
        <v>467</v>
      </c>
      <c r="N204" s="803" t="s">
        <v>8</v>
      </c>
      <c r="O204" s="803" t="s">
        <v>27</v>
      </c>
      <c r="P204" s="803">
        <f>S204/P$9*100000</f>
        <v>6.9738046462973458</v>
      </c>
      <c r="Q204" s="803">
        <v>5.936009814202893</v>
      </c>
      <c r="R204" s="803">
        <f t="shared" si="9"/>
        <v>1</v>
      </c>
      <c r="S204" s="810">
        <v>6.4</v>
      </c>
      <c r="T204" s="803"/>
      <c r="U204" s="861" t="s">
        <v>623</v>
      </c>
      <c r="V204" s="803"/>
    </row>
    <row r="205" spans="1:22" s="820" customFormat="1" ht="12.75" customHeight="1" x14ac:dyDescent="0.25">
      <c r="A205" s="803" t="s">
        <v>308</v>
      </c>
      <c r="B205" s="803">
        <v>6</v>
      </c>
      <c r="C205" s="803" t="s">
        <v>519</v>
      </c>
      <c r="D205" s="803" t="s">
        <v>297</v>
      </c>
      <c r="E205" s="803">
        <v>1</v>
      </c>
      <c r="F205" s="803" t="s">
        <v>317</v>
      </c>
      <c r="G205" s="803" t="s">
        <v>512</v>
      </c>
      <c r="H205" s="803" t="s">
        <v>518</v>
      </c>
      <c r="I205" s="803"/>
      <c r="J205" s="803"/>
      <c r="K205" s="803"/>
      <c r="L205" s="803" t="s">
        <v>191</v>
      </c>
      <c r="M205" s="803" t="s">
        <v>467</v>
      </c>
      <c r="N205" s="803" t="s">
        <v>9</v>
      </c>
      <c r="O205" s="803" t="s">
        <v>27</v>
      </c>
      <c r="P205" s="803">
        <f>S205/P$10*100000</f>
        <v>11.359118532401885</v>
      </c>
      <c r="Q205" s="803">
        <v>10.856770625007142</v>
      </c>
      <c r="R205" s="803">
        <f t="shared" si="9"/>
        <v>1</v>
      </c>
      <c r="S205" s="810">
        <v>8</v>
      </c>
      <c r="T205" s="803"/>
      <c r="U205" s="861" t="s">
        <v>623</v>
      </c>
      <c r="V205" s="803"/>
    </row>
    <row r="206" spans="1:22" s="820" customFormat="1" ht="12.75" customHeight="1" x14ac:dyDescent="0.25">
      <c r="A206" s="803" t="s">
        <v>308</v>
      </c>
      <c r="B206" s="803">
        <v>6</v>
      </c>
      <c r="C206" s="803" t="s">
        <v>519</v>
      </c>
      <c r="D206" s="803" t="s">
        <v>297</v>
      </c>
      <c r="E206" s="803">
        <v>1</v>
      </c>
      <c r="F206" s="803" t="s">
        <v>317</v>
      </c>
      <c r="G206" s="803" t="s">
        <v>512</v>
      </c>
      <c r="H206" s="803" t="s">
        <v>518</v>
      </c>
      <c r="I206" s="803"/>
      <c r="J206" s="803"/>
      <c r="K206" s="803"/>
      <c r="L206" s="803" t="s">
        <v>191</v>
      </c>
      <c r="M206" s="803" t="s">
        <v>467</v>
      </c>
      <c r="N206" s="803" t="s">
        <v>249</v>
      </c>
      <c r="O206" s="803" t="s">
        <v>26</v>
      </c>
      <c r="P206" s="803">
        <f>S206/P$11*100000</f>
        <v>1.9315791732841141</v>
      </c>
      <c r="Q206" s="803">
        <v>1.6798782088298601</v>
      </c>
      <c r="R206" s="803">
        <f t="shared" si="9"/>
        <v>1</v>
      </c>
      <c r="S206" s="810">
        <v>1.8</v>
      </c>
      <c r="T206" s="803"/>
      <c r="U206" s="861" t="s">
        <v>623</v>
      </c>
      <c r="V206" s="803"/>
    </row>
    <row r="207" spans="1:22" s="820" customFormat="1" ht="12.75" customHeight="1" x14ac:dyDescent="0.25">
      <c r="A207" s="803" t="s">
        <v>308</v>
      </c>
      <c r="B207" s="803">
        <v>6</v>
      </c>
      <c r="C207" s="803" t="s">
        <v>519</v>
      </c>
      <c r="D207" s="803" t="s">
        <v>297</v>
      </c>
      <c r="E207" s="803">
        <v>1</v>
      </c>
      <c r="F207" s="803" t="s">
        <v>317</v>
      </c>
      <c r="G207" s="803" t="s">
        <v>512</v>
      </c>
      <c r="H207" s="803" t="s">
        <v>518</v>
      </c>
      <c r="I207" s="803"/>
      <c r="J207" s="803"/>
      <c r="K207" s="803"/>
      <c r="L207" s="803" t="s">
        <v>191</v>
      </c>
      <c r="M207" s="803" t="s">
        <v>467</v>
      </c>
      <c r="N207" s="803" t="s">
        <v>244</v>
      </c>
      <c r="O207" s="803" t="s">
        <v>26</v>
      </c>
      <c r="P207" s="803">
        <f>S207/P$12*100000</f>
        <v>25.024171074333161</v>
      </c>
      <c r="Q207" s="803">
        <v>1.2475607588080388</v>
      </c>
      <c r="R207" s="803">
        <f t="shared" si="9"/>
        <v>20.058478833721963</v>
      </c>
      <c r="S207" s="810">
        <v>48.4</v>
      </c>
      <c r="T207" s="803"/>
      <c r="U207" s="861" t="s">
        <v>623</v>
      </c>
      <c r="V207" s="803"/>
    </row>
    <row r="208" spans="1:22" s="820" customFormat="1" ht="12.75" customHeight="1" x14ac:dyDescent="0.25">
      <c r="A208" s="803" t="s">
        <v>308</v>
      </c>
      <c r="B208" s="803">
        <v>6</v>
      </c>
      <c r="C208" s="803" t="s">
        <v>519</v>
      </c>
      <c r="D208" s="803" t="s">
        <v>297</v>
      </c>
      <c r="E208" s="803">
        <v>1</v>
      </c>
      <c r="F208" s="803" t="s">
        <v>317</v>
      </c>
      <c r="G208" s="803" t="s">
        <v>512</v>
      </c>
      <c r="H208" s="803" t="s">
        <v>518</v>
      </c>
      <c r="I208" s="803"/>
      <c r="J208" s="803"/>
      <c r="K208" s="803"/>
      <c r="L208" s="803" t="s">
        <v>191</v>
      </c>
      <c r="M208" s="803" t="s">
        <v>467</v>
      </c>
      <c r="N208" s="803" t="s">
        <v>4</v>
      </c>
      <c r="O208" s="803" t="s">
        <v>26</v>
      </c>
      <c r="P208" s="803">
        <f>S208/P$13*100000</f>
        <v>12.282795538939311</v>
      </c>
      <c r="Q208" s="803">
        <v>14.556611929586504</v>
      </c>
      <c r="R208" s="803">
        <f t="shared" si="9"/>
        <v>0.84379494338063443</v>
      </c>
      <c r="S208" s="810">
        <v>38.799999999999997</v>
      </c>
      <c r="T208" s="803"/>
      <c r="U208" s="861" t="s">
        <v>623</v>
      </c>
      <c r="V208" s="803"/>
    </row>
    <row r="209" spans="1:22" s="820" customFormat="1" ht="12.75" customHeight="1" x14ac:dyDescent="0.25">
      <c r="A209" s="803" t="s">
        <v>308</v>
      </c>
      <c r="B209" s="803">
        <v>6</v>
      </c>
      <c r="C209" s="803" t="s">
        <v>519</v>
      </c>
      <c r="D209" s="803" t="s">
        <v>297</v>
      </c>
      <c r="E209" s="803">
        <v>1</v>
      </c>
      <c r="F209" s="803" t="s">
        <v>317</v>
      </c>
      <c r="G209" s="803" t="s">
        <v>512</v>
      </c>
      <c r="H209" s="803" t="s">
        <v>518</v>
      </c>
      <c r="I209" s="803"/>
      <c r="J209" s="803"/>
      <c r="K209" s="803"/>
      <c r="L209" s="803" t="s">
        <v>191</v>
      </c>
      <c r="M209" s="803" t="s">
        <v>467</v>
      </c>
      <c r="N209" s="803" t="s">
        <v>5</v>
      </c>
      <c r="O209" s="803" t="s">
        <v>26</v>
      </c>
      <c r="P209" s="803">
        <f>S209/P$14*100000</f>
        <v>14.539271434644128</v>
      </c>
      <c r="Q209" s="803">
        <v>11.259377248297257</v>
      </c>
      <c r="R209" s="803">
        <f t="shared" si="9"/>
        <v>1.2913033388985067</v>
      </c>
      <c r="S209" s="810">
        <v>47.2</v>
      </c>
      <c r="T209" s="803"/>
      <c r="U209" s="861" t="s">
        <v>623</v>
      </c>
      <c r="V209" s="803"/>
    </row>
    <row r="210" spans="1:22" s="820" customFormat="1" ht="12.75" customHeight="1" x14ac:dyDescent="0.25">
      <c r="A210" s="803" t="s">
        <v>308</v>
      </c>
      <c r="B210" s="803">
        <v>6</v>
      </c>
      <c r="C210" s="803" t="s">
        <v>519</v>
      </c>
      <c r="D210" s="803" t="s">
        <v>297</v>
      </c>
      <c r="E210" s="803">
        <v>1</v>
      </c>
      <c r="F210" s="803" t="s">
        <v>317</v>
      </c>
      <c r="G210" s="803" t="s">
        <v>512</v>
      </c>
      <c r="H210" s="803" t="s">
        <v>518</v>
      </c>
      <c r="I210" s="803"/>
      <c r="J210" s="803"/>
      <c r="K210" s="803"/>
      <c r="L210" s="803" t="s">
        <v>191</v>
      </c>
      <c r="M210" s="803" t="s">
        <v>467</v>
      </c>
      <c r="N210" s="803" t="s">
        <v>6</v>
      </c>
      <c r="O210" s="803" t="s">
        <v>26</v>
      </c>
      <c r="P210" s="803">
        <f>S210/P$15*100000</f>
        <v>0.79371903668966237</v>
      </c>
      <c r="Q210" s="803">
        <v>14.851722635536756</v>
      </c>
      <c r="R210" s="803">
        <f t="shared" si="9"/>
        <v>1</v>
      </c>
      <c r="S210" s="810">
        <v>2.4</v>
      </c>
      <c r="T210" s="803"/>
      <c r="U210" s="861" t="s">
        <v>623</v>
      </c>
      <c r="V210" s="803"/>
    </row>
    <row r="211" spans="1:22" s="820" customFormat="1" ht="12.75" customHeight="1" x14ac:dyDescent="0.25">
      <c r="A211" s="803" t="s">
        <v>308</v>
      </c>
      <c r="B211" s="803">
        <v>6</v>
      </c>
      <c r="C211" s="803" t="s">
        <v>519</v>
      </c>
      <c r="D211" s="803" t="s">
        <v>297</v>
      </c>
      <c r="E211" s="803">
        <v>1</v>
      </c>
      <c r="F211" s="803" t="s">
        <v>317</v>
      </c>
      <c r="G211" s="803" t="s">
        <v>512</v>
      </c>
      <c r="H211" s="803" t="s">
        <v>518</v>
      </c>
      <c r="I211" s="803"/>
      <c r="J211" s="803"/>
      <c r="K211" s="803"/>
      <c r="L211" s="803" t="s">
        <v>191</v>
      </c>
      <c r="M211" s="803" t="s">
        <v>467</v>
      </c>
      <c r="N211" s="803" t="s">
        <v>7</v>
      </c>
      <c r="O211" s="803" t="s">
        <v>26</v>
      </c>
      <c r="P211" s="803">
        <f>S211/P$16*100000</f>
        <v>12.93059172562976</v>
      </c>
      <c r="Q211" s="803">
        <v>13.143360505599912</v>
      </c>
      <c r="R211" s="803">
        <f t="shared" si="9"/>
        <v>0.98381169109076039</v>
      </c>
      <c r="S211" s="810">
        <v>21.4</v>
      </c>
      <c r="T211" s="803"/>
      <c r="U211" s="861" t="s">
        <v>623</v>
      </c>
      <c r="V211" s="803"/>
    </row>
    <row r="212" spans="1:22" s="820" customFormat="1" ht="12.75" customHeight="1" x14ac:dyDescent="0.25">
      <c r="A212" s="803" t="s">
        <v>308</v>
      </c>
      <c r="B212" s="803">
        <v>6</v>
      </c>
      <c r="C212" s="803" t="s">
        <v>519</v>
      </c>
      <c r="D212" s="803" t="s">
        <v>297</v>
      </c>
      <c r="E212" s="803">
        <v>1</v>
      </c>
      <c r="F212" s="803" t="s">
        <v>317</v>
      </c>
      <c r="G212" s="803" t="s">
        <v>512</v>
      </c>
      <c r="H212" s="803" t="s">
        <v>518</v>
      </c>
      <c r="I212" s="803"/>
      <c r="J212" s="803"/>
      <c r="K212" s="803"/>
      <c r="L212" s="803" t="s">
        <v>191</v>
      </c>
      <c r="M212" s="803" t="s">
        <v>467</v>
      </c>
      <c r="N212" s="803" t="s">
        <v>8</v>
      </c>
      <c r="O212" s="803" t="s">
        <v>26</v>
      </c>
      <c r="P212" s="803">
        <f>S212/P$17*100000</f>
        <v>20.92584086153218</v>
      </c>
      <c r="Q212" s="803">
        <v>22.161941740687549</v>
      </c>
      <c r="R212" s="803">
        <f t="shared" si="9"/>
        <v>0.9442241616903998</v>
      </c>
      <c r="S212" s="810">
        <v>16.399999999999999</v>
      </c>
      <c r="T212" s="803"/>
      <c r="U212" s="861" t="s">
        <v>623</v>
      </c>
      <c r="V212" s="803"/>
    </row>
    <row r="213" spans="1:22" s="820" customFormat="1" ht="12.75" customHeight="1" x14ac:dyDescent="0.25">
      <c r="A213" s="803" t="s">
        <v>308</v>
      </c>
      <c r="B213" s="803">
        <v>6</v>
      </c>
      <c r="C213" s="803" t="s">
        <v>519</v>
      </c>
      <c r="D213" s="803" t="s">
        <v>297</v>
      </c>
      <c r="E213" s="803">
        <v>1</v>
      </c>
      <c r="F213" s="803" t="s">
        <v>317</v>
      </c>
      <c r="G213" s="803" t="s">
        <v>512</v>
      </c>
      <c r="H213" s="803" t="s">
        <v>518</v>
      </c>
      <c r="I213" s="803"/>
      <c r="J213" s="803"/>
      <c r="K213" s="803"/>
      <c r="L213" s="803" t="s">
        <v>191</v>
      </c>
      <c r="M213" s="803" t="s">
        <v>467</v>
      </c>
      <c r="N213" s="803" t="s">
        <v>9</v>
      </c>
      <c r="O213" s="803" t="s">
        <v>26</v>
      </c>
      <c r="P213" s="803">
        <f>S213/P$18*100000</f>
        <v>25.328330206378986</v>
      </c>
      <c r="Q213" s="803">
        <v>22.505002470657878</v>
      </c>
      <c r="R213" s="803">
        <f t="shared" si="9"/>
        <v>1.1254533404029694</v>
      </c>
      <c r="S213" s="810">
        <v>10.8</v>
      </c>
      <c r="T213" s="803"/>
      <c r="U213" s="861" t="s">
        <v>623</v>
      </c>
      <c r="V213" s="803"/>
    </row>
    <row r="214" spans="1:22" s="820" customFormat="1" ht="12.75" customHeight="1" x14ac:dyDescent="0.25">
      <c r="A214" s="803" t="s">
        <v>308</v>
      </c>
      <c r="B214" s="803">
        <v>6</v>
      </c>
      <c r="C214" s="803" t="s">
        <v>519</v>
      </c>
      <c r="D214" s="803" t="s">
        <v>297</v>
      </c>
      <c r="E214" s="803">
        <v>1</v>
      </c>
      <c r="F214" s="803" t="s">
        <v>317</v>
      </c>
      <c r="G214" s="803" t="s">
        <v>512</v>
      </c>
      <c r="H214" s="803" t="s">
        <v>518</v>
      </c>
      <c r="I214" s="803"/>
      <c r="J214" s="803"/>
      <c r="K214" s="803"/>
      <c r="L214" s="803" t="s">
        <v>186</v>
      </c>
      <c r="M214" s="803" t="s">
        <v>468</v>
      </c>
      <c r="N214" s="803" t="s">
        <v>249</v>
      </c>
      <c r="O214" s="803" t="s">
        <v>27</v>
      </c>
      <c r="P214" s="803">
        <f>S214/P$3*100000</f>
        <v>1.1288975186832539</v>
      </c>
      <c r="Q214" s="803">
        <v>0.88219596218908114</v>
      </c>
      <c r="R214" s="803">
        <f t="shared" si="9"/>
        <v>1</v>
      </c>
      <c r="S214" s="810">
        <v>1</v>
      </c>
      <c r="T214" s="803"/>
      <c r="U214" s="861" t="s">
        <v>623</v>
      </c>
      <c r="V214" s="803"/>
    </row>
    <row r="215" spans="1:22" s="820" customFormat="1" ht="12.75" customHeight="1" x14ac:dyDescent="0.25">
      <c r="A215" s="803" t="s">
        <v>308</v>
      </c>
      <c r="B215" s="803">
        <v>6</v>
      </c>
      <c r="C215" s="803" t="s">
        <v>519</v>
      </c>
      <c r="D215" s="803" t="s">
        <v>297</v>
      </c>
      <c r="E215" s="803">
        <v>1</v>
      </c>
      <c r="F215" s="803" t="s">
        <v>317</v>
      </c>
      <c r="G215" s="803" t="s">
        <v>512</v>
      </c>
      <c r="H215" s="803" t="s">
        <v>518</v>
      </c>
      <c r="I215" s="803"/>
      <c r="J215" s="803"/>
      <c r="K215" s="803"/>
      <c r="L215" s="803" t="s">
        <v>186</v>
      </c>
      <c r="M215" s="803" t="s">
        <v>468</v>
      </c>
      <c r="N215" s="803" t="s">
        <v>244</v>
      </c>
      <c r="O215" s="803" t="s">
        <v>27</v>
      </c>
      <c r="P215" s="803">
        <f>S215/P$4*100000</f>
        <v>0.21576136792707265</v>
      </c>
      <c r="Q215" s="803">
        <v>0</v>
      </c>
      <c r="R215" s="803">
        <f t="shared" si="9"/>
        <v>1</v>
      </c>
      <c r="S215" s="810">
        <v>0.4</v>
      </c>
      <c r="T215" s="803"/>
      <c r="U215" s="861" t="s">
        <v>623</v>
      </c>
      <c r="V215" s="803"/>
    </row>
    <row r="216" spans="1:22" s="820" customFormat="1" ht="12.75" customHeight="1" x14ac:dyDescent="0.25">
      <c r="A216" s="803" t="s">
        <v>308</v>
      </c>
      <c r="B216" s="803">
        <v>6</v>
      </c>
      <c r="C216" s="803" t="s">
        <v>519</v>
      </c>
      <c r="D216" s="803" t="s">
        <v>297</v>
      </c>
      <c r="E216" s="803">
        <v>1</v>
      </c>
      <c r="F216" s="803" t="s">
        <v>317</v>
      </c>
      <c r="G216" s="803" t="s">
        <v>512</v>
      </c>
      <c r="H216" s="803" t="s">
        <v>518</v>
      </c>
      <c r="I216" s="803"/>
      <c r="J216" s="803"/>
      <c r="K216" s="803"/>
      <c r="L216" s="803" t="s">
        <v>186</v>
      </c>
      <c r="M216" s="803" t="s">
        <v>468</v>
      </c>
      <c r="N216" s="803" t="s">
        <v>4</v>
      </c>
      <c r="O216" s="803" t="s">
        <v>27</v>
      </c>
      <c r="P216" s="803">
        <f>S216/P$5*100000</f>
        <v>1.6114061774867219</v>
      </c>
      <c r="Q216" s="803">
        <v>0.1939282362097631</v>
      </c>
      <c r="R216" s="803">
        <f t="shared" si="9"/>
        <v>1</v>
      </c>
      <c r="S216" s="810">
        <v>5</v>
      </c>
      <c r="T216" s="803"/>
      <c r="U216" s="861" t="s">
        <v>623</v>
      </c>
      <c r="V216" s="803"/>
    </row>
    <row r="217" spans="1:22" s="820" customFormat="1" ht="12.75" customHeight="1" x14ac:dyDescent="0.25">
      <c r="A217" s="803" t="s">
        <v>308</v>
      </c>
      <c r="B217" s="803">
        <v>6</v>
      </c>
      <c r="C217" s="803" t="s">
        <v>519</v>
      </c>
      <c r="D217" s="803" t="s">
        <v>297</v>
      </c>
      <c r="E217" s="803">
        <v>1</v>
      </c>
      <c r="F217" s="803" t="s">
        <v>317</v>
      </c>
      <c r="G217" s="803" t="s">
        <v>512</v>
      </c>
      <c r="H217" s="803" t="s">
        <v>518</v>
      </c>
      <c r="I217" s="803"/>
      <c r="J217" s="803"/>
      <c r="K217" s="803"/>
      <c r="L217" s="803" t="s">
        <v>186</v>
      </c>
      <c r="M217" s="803" t="s">
        <v>468</v>
      </c>
      <c r="N217" s="803" t="s">
        <v>5</v>
      </c>
      <c r="O217" s="803" t="s">
        <v>27</v>
      </c>
      <c r="P217" s="803">
        <f>S217/P$6*100000</f>
        <v>11.118398450919766</v>
      </c>
      <c r="Q217" s="803">
        <v>1.6315193883238033</v>
      </c>
      <c r="R217" s="803">
        <f t="shared" si="9"/>
        <v>6.8147510415690675</v>
      </c>
      <c r="S217" s="810">
        <v>35.6</v>
      </c>
      <c r="T217" s="803"/>
      <c r="U217" s="861" t="s">
        <v>623</v>
      </c>
      <c r="V217" s="803"/>
    </row>
    <row r="218" spans="1:22" s="820" customFormat="1" ht="12.75" customHeight="1" x14ac:dyDescent="0.25">
      <c r="A218" s="803" t="s">
        <v>308</v>
      </c>
      <c r="B218" s="803">
        <v>6</v>
      </c>
      <c r="C218" s="803" t="s">
        <v>519</v>
      </c>
      <c r="D218" s="803" t="s">
        <v>297</v>
      </c>
      <c r="E218" s="803">
        <v>1</v>
      </c>
      <c r="F218" s="803" t="s">
        <v>317</v>
      </c>
      <c r="G218" s="803" t="s">
        <v>512</v>
      </c>
      <c r="H218" s="803" t="s">
        <v>518</v>
      </c>
      <c r="I218" s="803"/>
      <c r="J218" s="803"/>
      <c r="K218" s="803"/>
      <c r="L218" s="803" t="s">
        <v>186</v>
      </c>
      <c r="M218" s="803" t="s">
        <v>468</v>
      </c>
      <c r="N218" s="803" t="s">
        <v>6</v>
      </c>
      <c r="O218" s="803" t="s">
        <v>27</v>
      </c>
      <c r="P218" s="803">
        <f>S218/P$7*100000</f>
        <v>0</v>
      </c>
      <c r="Q218" s="803">
        <v>10.350627506792598</v>
      </c>
      <c r="R218" s="803">
        <f t="shared" si="9"/>
        <v>1</v>
      </c>
      <c r="S218" s="810">
        <v>0</v>
      </c>
      <c r="T218" s="803"/>
      <c r="U218" s="861" t="s">
        <v>623</v>
      </c>
      <c r="V218" s="803"/>
    </row>
    <row r="219" spans="1:22" s="820" customFormat="1" ht="12.75" customHeight="1" x14ac:dyDescent="0.25">
      <c r="A219" s="803" t="s">
        <v>308</v>
      </c>
      <c r="B219" s="803">
        <v>6</v>
      </c>
      <c r="C219" s="803" t="s">
        <v>519</v>
      </c>
      <c r="D219" s="803" t="s">
        <v>297</v>
      </c>
      <c r="E219" s="803">
        <v>1</v>
      </c>
      <c r="F219" s="803" t="s">
        <v>317</v>
      </c>
      <c r="G219" s="803" t="s">
        <v>512</v>
      </c>
      <c r="H219" s="803" t="s">
        <v>518</v>
      </c>
      <c r="I219" s="803"/>
      <c r="J219" s="803"/>
      <c r="K219" s="803"/>
      <c r="L219" s="803" t="s">
        <v>186</v>
      </c>
      <c r="M219" s="803" t="s">
        <v>468</v>
      </c>
      <c r="N219" s="803" t="s">
        <v>7</v>
      </c>
      <c r="O219" s="803" t="s">
        <v>27</v>
      </c>
      <c r="P219" s="803">
        <f>S219/P$8*100000</f>
        <v>32.207195912249318</v>
      </c>
      <c r="Q219" s="803">
        <v>31.805289063151747</v>
      </c>
      <c r="R219" s="803">
        <f t="shared" si="9"/>
        <v>1.0126364784265773</v>
      </c>
      <c r="S219" s="810">
        <v>57.8</v>
      </c>
      <c r="T219" s="803"/>
      <c r="U219" s="861" t="s">
        <v>623</v>
      </c>
      <c r="V219" s="803"/>
    </row>
    <row r="220" spans="1:22" s="820" customFormat="1" ht="12.75" customHeight="1" x14ac:dyDescent="0.25">
      <c r="A220" s="803" t="s">
        <v>308</v>
      </c>
      <c r="B220" s="803">
        <v>6</v>
      </c>
      <c r="C220" s="803" t="s">
        <v>519</v>
      </c>
      <c r="D220" s="803" t="s">
        <v>297</v>
      </c>
      <c r="E220" s="803">
        <v>1</v>
      </c>
      <c r="F220" s="803" t="s">
        <v>317</v>
      </c>
      <c r="G220" s="803" t="s">
        <v>512</v>
      </c>
      <c r="H220" s="803" t="s">
        <v>518</v>
      </c>
      <c r="I220" s="803"/>
      <c r="J220" s="803"/>
      <c r="K220" s="803"/>
      <c r="L220" s="803" t="s">
        <v>186</v>
      </c>
      <c r="M220" s="803" t="s">
        <v>468</v>
      </c>
      <c r="N220" s="803" t="s">
        <v>8</v>
      </c>
      <c r="O220" s="803" t="s">
        <v>27</v>
      </c>
      <c r="P220" s="803">
        <f>S220/P$9*100000</f>
        <v>132.28435688445279</v>
      </c>
      <c r="Q220" s="803">
        <v>142.21690179861099</v>
      </c>
      <c r="R220" s="803">
        <f t="shared" si="9"/>
        <v>0.93015918088116301</v>
      </c>
      <c r="S220" s="810">
        <v>121.4</v>
      </c>
      <c r="T220" s="803"/>
      <c r="U220" s="861" t="s">
        <v>623</v>
      </c>
      <c r="V220" s="803"/>
    </row>
    <row r="221" spans="1:22" s="820" customFormat="1" ht="12.75" customHeight="1" x14ac:dyDescent="0.25">
      <c r="A221" s="803" t="s">
        <v>308</v>
      </c>
      <c r="B221" s="803">
        <v>6</v>
      </c>
      <c r="C221" s="803" t="s">
        <v>519</v>
      </c>
      <c r="D221" s="803" t="s">
        <v>297</v>
      </c>
      <c r="E221" s="803">
        <v>1</v>
      </c>
      <c r="F221" s="803" t="s">
        <v>317</v>
      </c>
      <c r="G221" s="803" t="s">
        <v>512</v>
      </c>
      <c r="H221" s="803" t="s">
        <v>518</v>
      </c>
      <c r="I221" s="803"/>
      <c r="J221" s="803"/>
      <c r="K221" s="803"/>
      <c r="L221" s="803" t="s">
        <v>186</v>
      </c>
      <c r="M221" s="803" t="s">
        <v>468</v>
      </c>
      <c r="N221" s="803" t="s">
        <v>9</v>
      </c>
      <c r="O221" s="803" t="s">
        <v>27</v>
      </c>
      <c r="P221" s="803">
        <f>S221/P$10*100000</f>
        <v>855.62560345317206</v>
      </c>
      <c r="Q221" s="803">
        <v>798.25834542815664</v>
      </c>
      <c r="R221" s="803">
        <f t="shared" si="9"/>
        <v>1.0718655286895193</v>
      </c>
      <c r="S221" s="810">
        <v>602.6</v>
      </c>
      <c r="T221" s="803"/>
      <c r="U221" s="861" t="s">
        <v>623</v>
      </c>
      <c r="V221" s="803"/>
    </row>
    <row r="222" spans="1:22" s="820" customFormat="1" ht="12.75" customHeight="1" x14ac:dyDescent="0.25">
      <c r="A222" s="803" t="s">
        <v>308</v>
      </c>
      <c r="B222" s="803">
        <v>6</v>
      </c>
      <c r="C222" s="803" t="s">
        <v>519</v>
      </c>
      <c r="D222" s="803" t="s">
        <v>297</v>
      </c>
      <c r="E222" s="803">
        <v>1</v>
      </c>
      <c r="F222" s="803" t="s">
        <v>317</v>
      </c>
      <c r="G222" s="803" t="s">
        <v>512</v>
      </c>
      <c r="H222" s="803" t="s">
        <v>518</v>
      </c>
      <c r="I222" s="803"/>
      <c r="J222" s="803"/>
      <c r="K222" s="803"/>
      <c r="L222" s="803" t="s">
        <v>186</v>
      </c>
      <c r="M222" s="803" t="s">
        <v>468</v>
      </c>
      <c r="N222" s="803" t="s">
        <v>249</v>
      </c>
      <c r="O222" s="803" t="s">
        <v>26</v>
      </c>
      <c r="P222" s="803">
        <f>S222/P$11*100000</f>
        <v>0.42923981628535868</v>
      </c>
      <c r="Q222" s="803">
        <v>0.41996955220746501</v>
      </c>
      <c r="R222" s="803">
        <f t="shared" si="9"/>
        <v>1</v>
      </c>
      <c r="S222" s="810">
        <v>0.4</v>
      </c>
      <c r="T222" s="803"/>
      <c r="U222" s="861" t="s">
        <v>623</v>
      </c>
      <c r="V222" s="803"/>
    </row>
    <row r="223" spans="1:22" s="820" customFormat="1" ht="12.75" customHeight="1" x14ac:dyDescent="0.25">
      <c r="A223" s="803" t="s">
        <v>308</v>
      </c>
      <c r="B223" s="803">
        <v>6</v>
      </c>
      <c r="C223" s="803" t="s">
        <v>519</v>
      </c>
      <c r="D223" s="803" t="s">
        <v>297</v>
      </c>
      <c r="E223" s="803">
        <v>1</v>
      </c>
      <c r="F223" s="803" t="s">
        <v>317</v>
      </c>
      <c r="G223" s="803" t="s">
        <v>512</v>
      </c>
      <c r="H223" s="803" t="s">
        <v>518</v>
      </c>
      <c r="I223" s="803"/>
      <c r="J223" s="803"/>
      <c r="K223" s="803"/>
      <c r="L223" s="803" t="s">
        <v>186</v>
      </c>
      <c r="M223" s="803" t="s">
        <v>468</v>
      </c>
      <c r="N223" s="803" t="s">
        <v>244</v>
      </c>
      <c r="O223" s="803" t="s">
        <v>26</v>
      </c>
      <c r="P223" s="803">
        <f>S223/P$12*100000</f>
        <v>0.72383965917492621</v>
      </c>
      <c r="Q223" s="803">
        <v>0.10396339656733658</v>
      </c>
      <c r="R223" s="803">
        <f t="shared" si="9"/>
        <v>1</v>
      </c>
      <c r="S223" s="810">
        <v>1.4</v>
      </c>
      <c r="T223" s="803"/>
      <c r="U223" s="861" t="s">
        <v>623</v>
      </c>
      <c r="V223" s="803"/>
    </row>
    <row r="224" spans="1:22" s="820" customFormat="1" ht="12.75" customHeight="1" x14ac:dyDescent="0.25">
      <c r="A224" s="803" t="s">
        <v>308</v>
      </c>
      <c r="B224" s="803">
        <v>6</v>
      </c>
      <c r="C224" s="803" t="s">
        <v>519</v>
      </c>
      <c r="D224" s="803" t="s">
        <v>297</v>
      </c>
      <c r="E224" s="803">
        <v>1</v>
      </c>
      <c r="F224" s="803" t="s">
        <v>317</v>
      </c>
      <c r="G224" s="803" t="s">
        <v>512</v>
      </c>
      <c r="H224" s="803" t="s">
        <v>518</v>
      </c>
      <c r="I224" s="803"/>
      <c r="J224" s="803"/>
      <c r="K224" s="803"/>
      <c r="L224" s="803" t="s">
        <v>186</v>
      </c>
      <c r="M224" s="803" t="s">
        <v>468</v>
      </c>
      <c r="N224" s="803" t="s">
        <v>4</v>
      </c>
      <c r="O224" s="803" t="s">
        <v>26</v>
      </c>
      <c r="P224" s="803">
        <f>S224/P$13*100000</f>
        <v>3.228982332401571</v>
      </c>
      <c r="Q224" s="803">
        <v>0.37973770251095229</v>
      </c>
      <c r="R224" s="803">
        <f t="shared" si="9"/>
        <v>8.5031913108718555</v>
      </c>
      <c r="S224" s="810">
        <v>10.199999999999999</v>
      </c>
      <c r="T224" s="803"/>
      <c r="U224" s="861" t="s">
        <v>623</v>
      </c>
      <c r="V224" s="803"/>
    </row>
    <row r="225" spans="1:22" s="820" customFormat="1" ht="12.75" customHeight="1" x14ac:dyDescent="0.25">
      <c r="A225" s="803" t="s">
        <v>308</v>
      </c>
      <c r="B225" s="803">
        <v>6</v>
      </c>
      <c r="C225" s="803" t="s">
        <v>519</v>
      </c>
      <c r="D225" s="803" t="s">
        <v>297</v>
      </c>
      <c r="E225" s="803">
        <v>1</v>
      </c>
      <c r="F225" s="803" t="s">
        <v>317</v>
      </c>
      <c r="G225" s="803" t="s">
        <v>512</v>
      </c>
      <c r="H225" s="803" t="s">
        <v>518</v>
      </c>
      <c r="I225" s="803"/>
      <c r="J225" s="803"/>
      <c r="K225" s="803"/>
      <c r="L225" s="803" t="s">
        <v>186</v>
      </c>
      <c r="M225" s="803" t="s">
        <v>468</v>
      </c>
      <c r="N225" s="803" t="s">
        <v>5</v>
      </c>
      <c r="O225" s="803" t="s">
        <v>26</v>
      </c>
      <c r="P225" s="803">
        <f>S225/P$14*100000</f>
        <v>16.695519316900672</v>
      </c>
      <c r="Q225" s="803">
        <v>3.0533904402162055</v>
      </c>
      <c r="R225" s="803">
        <f t="shared" si="9"/>
        <v>5.4678625756483639</v>
      </c>
      <c r="S225" s="810">
        <v>54.2</v>
      </c>
      <c r="T225" s="803"/>
      <c r="U225" s="861" t="s">
        <v>623</v>
      </c>
      <c r="V225" s="803"/>
    </row>
    <row r="226" spans="1:22" s="820" customFormat="1" ht="12.75" customHeight="1" x14ac:dyDescent="0.25">
      <c r="A226" s="803" t="s">
        <v>308</v>
      </c>
      <c r="B226" s="803">
        <v>6</v>
      </c>
      <c r="C226" s="803" t="s">
        <v>519</v>
      </c>
      <c r="D226" s="803" t="s">
        <v>297</v>
      </c>
      <c r="E226" s="803">
        <v>1</v>
      </c>
      <c r="F226" s="803" t="s">
        <v>317</v>
      </c>
      <c r="G226" s="803" t="s">
        <v>512</v>
      </c>
      <c r="H226" s="803" t="s">
        <v>518</v>
      </c>
      <c r="I226" s="803"/>
      <c r="J226" s="803"/>
      <c r="K226" s="803"/>
      <c r="L226" s="803" t="s">
        <v>186</v>
      </c>
      <c r="M226" s="803" t="s">
        <v>468</v>
      </c>
      <c r="N226" s="803" t="s">
        <v>6</v>
      </c>
      <c r="O226" s="803" t="s">
        <v>26</v>
      </c>
      <c r="P226" s="803">
        <f>S226/P$15*100000</f>
        <v>0</v>
      </c>
      <c r="Q226" s="803">
        <v>15.508878504365818</v>
      </c>
      <c r="R226" s="803">
        <f t="shared" si="9"/>
        <v>1</v>
      </c>
      <c r="S226" s="810">
        <v>0</v>
      </c>
      <c r="T226" s="803"/>
      <c r="U226" s="861" t="s">
        <v>623</v>
      </c>
      <c r="V226" s="803"/>
    </row>
    <row r="227" spans="1:22" s="820" customFormat="1" ht="12.75" customHeight="1" x14ac:dyDescent="0.25">
      <c r="A227" s="803" t="s">
        <v>308</v>
      </c>
      <c r="B227" s="803">
        <v>6</v>
      </c>
      <c r="C227" s="803" t="s">
        <v>519</v>
      </c>
      <c r="D227" s="803" t="s">
        <v>297</v>
      </c>
      <c r="E227" s="803">
        <v>1</v>
      </c>
      <c r="F227" s="803" t="s">
        <v>317</v>
      </c>
      <c r="G227" s="803" t="s">
        <v>512</v>
      </c>
      <c r="H227" s="803" t="s">
        <v>518</v>
      </c>
      <c r="I227" s="803"/>
      <c r="J227" s="803"/>
      <c r="K227" s="803"/>
      <c r="L227" s="803" t="s">
        <v>186</v>
      </c>
      <c r="M227" s="803" t="s">
        <v>468</v>
      </c>
      <c r="N227" s="803" t="s">
        <v>7</v>
      </c>
      <c r="O227" s="803" t="s">
        <v>26</v>
      </c>
      <c r="P227" s="803">
        <f>S227/P$16*100000</f>
        <v>47.251040791787261</v>
      </c>
      <c r="Q227" s="803">
        <v>49.916805324459233</v>
      </c>
      <c r="R227" s="803">
        <f t="shared" si="9"/>
        <v>0.94659585052880479</v>
      </c>
      <c r="S227" s="810">
        <v>78.2</v>
      </c>
      <c r="T227" s="803"/>
      <c r="U227" s="861" t="s">
        <v>623</v>
      </c>
      <c r="V227" s="803"/>
    </row>
    <row r="228" spans="1:22" s="820" customFormat="1" ht="12.75" customHeight="1" x14ac:dyDescent="0.25">
      <c r="A228" s="803" t="s">
        <v>308</v>
      </c>
      <c r="B228" s="803">
        <v>6</v>
      </c>
      <c r="C228" s="803" t="s">
        <v>519</v>
      </c>
      <c r="D228" s="803" t="s">
        <v>297</v>
      </c>
      <c r="E228" s="803">
        <v>1</v>
      </c>
      <c r="F228" s="803" t="s">
        <v>317</v>
      </c>
      <c r="G228" s="803" t="s">
        <v>512</v>
      </c>
      <c r="H228" s="803" t="s">
        <v>518</v>
      </c>
      <c r="I228" s="803"/>
      <c r="J228" s="803"/>
      <c r="K228" s="803"/>
      <c r="L228" s="803" t="s">
        <v>186</v>
      </c>
      <c r="M228" s="803" t="s">
        <v>468</v>
      </c>
      <c r="N228" s="803" t="s">
        <v>8</v>
      </c>
      <c r="O228" s="803" t="s">
        <v>26</v>
      </c>
      <c r="P228" s="803">
        <f>S228/P$17*100000</f>
        <v>154.64706783034757</v>
      </c>
      <c r="Q228" s="803">
        <v>159.86147308949288</v>
      </c>
      <c r="R228" s="803">
        <f t="shared" si="9"/>
        <v>0.9673817264512119</v>
      </c>
      <c r="S228" s="810">
        <v>121.2</v>
      </c>
      <c r="T228" s="803"/>
      <c r="U228" s="861" t="s">
        <v>623</v>
      </c>
      <c r="V228" s="803"/>
    </row>
    <row r="229" spans="1:22" s="820" customFormat="1" ht="12.75" customHeight="1" x14ac:dyDescent="0.25">
      <c r="A229" s="803" t="s">
        <v>308</v>
      </c>
      <c r="B229" s="803">
        <v>6</v>
      </c>
      <c r="C229" s="803" t="s">
        <v>519</v>
      </c>
      <c r="D229" s="803" t="s">
        <v>297</v>
      </c>
      <c r="E229" s="803">
        <v>1</v>
      </c>
      <c r="F229" s="803" t="s">
        <v>317</v>
      </c>
      <c r="G229" s="803" t="s">
        <v>512</v>
      </c>
      <c r="H229" s="803" t="s">
        <v>518</v>
      </c>
      <c r="I229" s="803"/>
      <c r="J229" s="803"/>
      <c r="K229" s="803"/>
      <c r="L229" s="803" t="s">
        <v>186</v>
      </c>
      <c r="M229" s="803" t="s">
        <v>468</v>
      </c>
      <c r="N229" s="803" t="s">
        <v>9</v>
      </c>
      <c r="O229" s="803" t="s">
        <v>26</v>
      </c>
      <c r="P229" s="803">
        <f>S229/P$18*100000</f>
        <v>783.77110694183864</v>
      </c>
      <c r="Q229" s="803">
        <v>749.51443010973628</v>
      </c>
      <c r="R229" s="803">
        <f t="shared" si="9"/>
        <v>1.0457051598420686</v>
      </c>
      <c r="S229" s="810">
        <v>334.2</v>
      </c>
      <c r="T229" s="803"/>
      <c r="U229" s="861" t="s">
        <v>623</v>
      </c>
      <c r="V229" s="803"/>
    </row>
    <row r="230" spans="1:22" s="820" customFormat="1" ht="12.75" customHeight="1" x14ac:dyDescent="0.25">
      <c r="A230" s="803" t="s">
        <v>308</v>
      </c>
      <c r="B230" s="803">
        <v>7</v>
      </c>
      <c r="C230" s="803" t="s">
        <v>321</v>
      </c>
      <c r="D230" s="803" t="s">
        <v>301</v>
      </c>
      <c r="E230" s="803">
        <v>1</v>
      </c>
      <c r="F230" s="803" t="s">
        <v>317</v>
      </c>
      <c r="G230" s="803" t="s">
        <v>512</v>
      </c>
      <c r="H230" s="803" t="s">
        <v>518</v>
      </c>
      <c r="I230" s="803"/>
      <c r="J230" s="803"/>
      <c r="K230" s="803"/>
      <c r="L230" s="803"/>
      <c r="M230" s="803"/>
      <c r="N230" s="803"/>
      <c r="O230" s="803" t="s">
        <v>27</v>
      </c>
      <c r="P230" s="803">
        <v>1287</v>
      </c>
      <c r="Q230" s="803">
        <v>1600</v>
      </c>
      <c r="R230" s="803">
        <v>0.80437499999999995</v>
      </c>
      <c r="S230" s="803">
        <v>9.9170263743409998E-3</v>
      </c>
      <c r="T230" s="803">
        <v>5.0694064533372503E-2</v>
      </c>
      <c r="U230" s="812">
        <v>41507.648148148102</v>
      </c>
      <c r="V230" s="803"/>
    </row>
    <row r="231" spans="1:22" s="829" customFormat="1" ht="12.75" customHeight="1" x14ac:dyDescent="0.25">
      <c r="A231" s="813" t="s">
        <v>308</v>
      </c>
      <c r="B231" s="813">
        <v>7</v>
      </c>
      <c r="C231" s="813" t="s">
        <v>321</v>
      </c>
      <c r="D231" s="813" t="s">
        <v>301</v>
      </c>
      <c r="E231" s="813">
        <v>1</v>
      </c>
      <c r="F231" s="813" t="s">
        <v>317</v>
      </c>
      <c r="G231" s="813" t="s">
        <v>512</v>
      </c>
      <c r="H231" s="813" t="s">
        <v>518</v>
      </c>
      <c r="I231" s="813"/>
      <c r="J231" s="813"/>
      <c r="K231" s="813"/>
      <c r="L231" s="813"/>
      <c r="M231" s="813"/>
      <c r="N231" s="813"/>
      <c r="O231" s="813" t="s">
        <v>26</v>
      </c>
      <c r="P231" s="813">
        <v>1254</v>
      </c>
      <c r="Q231" s="813">
        <v>1640</v>
      </c>
      <c r="R231" s="813">
        <v>0.76463414634146298</v>
      </c>
      <c r="S231" s="813">
        <v>1.0475545523664601E-2</v>
      </c>
      <c r="T231" s="813">
        <v>4.4507499116087798E-2</v>
      </c>
      <c r="U231" s="814">
        <v>41507.648148148102</v>
      </c>
      <c r="V231" s="813"/>
    </row>
    <row r="232" spans="1:22" ht="12.75" customHeight="1" x14ac:dyDescent="0.25">
      <c r="A232" s="830" t="s">
        <v>265</v>
      </c>
      <c r="B232" s="830" t="s">
        <v>266</v>
      </c>
      <c r="C232" s="830" t="s">
        <v>267</v>
      </c>
      <c r="D232" s="830" t="s">
        <v>268</v>
      </c>
      <c r="E232" s="830" t="s">
        <v>269</v>
      </c>
      <c r="F232" s="830" t="s">
        <v>270</v>
      </c>
      <c r="G232" s="830" t="s">
        <v>511</v>
      </c>
      <c r="H232" s="830" t="s">
        <v>271</v>
      </c>
      <c r="I232" s="830" t="s">
        <v>272</v>
      </c>
      <c r="J232" s="830" t="s">
        <v>273</v>
      </c>
      <c r="K232" s="830" t="s">
        <v>274</v>
      </c>
      <c r="L232" s="830" t="s">
        <v>275</v>
      </c>
      <c r="M232" s="830" t="s">
        <v>276</v>
      </c>
      <c r="N232" s="830" t="s">
        <v>69</v>
      </c>
      <c r="O232" s="830" t="s">
        <v>277</v>
      </c>
      <c r="P232" s="830" t="s">
        <v>278</v>
      </c>
      <c r="Q232" s="830" t="s">
        <v>279</v>
      </c>
      <c r="R232" s="830" t="s">
        <v>280</v>
      </c>
      <c r="S232" s="830" t="s">
        <v>281</v>
      </c>
      <c r="T232" s="830" t="s">
        <v>411</v>
      </c>
    </row>
    <row r="233" spans="1:22" ht="12.75" customHeight="1" x14ac:dyDescent="0.25">
      <c r="A233" s="830" t="s">
        <v>308</v>
      </c>
      <c r="B233" s="830">
        <v>1</v>
      </c>
      <c r="C233" s="830" t="s">
        <v>282</v>
      </c>
      <c r="D233" s="830" t="s">
        <v>283</v>
      </c>
      <c r="E233" s="830">
        <v>1</v>
      </c>
      <c r="F233" s="830" t="s">
        <v>284</v>
      </c>
      <c r="G233" s="830" t="s">
        <v>512</v>
      </c>
      <c r="H233" s="830" t="s">
        <v>285</v>
      </c>
      <c r="I233" s="830" t="s">
        <v>308</v>
      </c>
      <c r="J233" s="830" t="s">
        <v>286</v>
      </c>
      <c r="K233" s="830" t="s">
        <v>287</v>
      </c>
      <c r="M233" s="830" t="s">
        <v>288</v>
      </c>
      <c r="N233" s="830" t="s">
        <v>289</v>
      </c>
      <c r="O233" s="830">
        <v>7811</v>
      </c>
      <c r="P233" s="830">
        <v>6730594.7562380303</v>
      </c>
      <c r="Q233" s="830">
        <v>1.4022789195086112</v>
      </c>
      <c r="R233" s="830">
        <v>0.26264286300369599</v>
      </c>
      <c r="S233" s="830">
        <v>0.155301973327481</v>
      </c>
      <c r="T233" s="831">
        <v>41711.644224536998</v>
      </c>
    </row>
    <row r="234" spans="1:22" ht="12.75" customHeight="1" x14ac:dyDescent="0.25">
      <c r="A234" s="830" t="s">
        <v>308</v>
      </c>
      <c r="B234" s="830">
        <v>1</v>
      </c>
      <c r="C234" s="830" t="s">
        <v>282</v>
      </c>
      <c r="D234" s="830" t="s">
        <v>283</v>
      </c>
      <c r="E234" s="830">
        <v>1</v>
      </c>
      <c r="F234" s="830" t="s">
        <v>284</v>
      </c>
      <c r="G234" s="830" t="s">
        <v>512</v>
      </c>
      <c r="H234" s="830" t="s">
        <v>290</v>
      </c>
      <c r="I234" s="830" t="s">
        <v>309</v>
      </c>
      <c r="J234" s="830" t="s">
        <v>286</v>
      </c>
      <c r="K234" s="830" t="s">
        <v>287</v>
      </c>
      <c r="M234" s="830" t="s">
        <v>288</v>
      </c>
      <c r="N234" s="830" t="s">
        <v>289</v>
      </c>
      <c r="O234" s="830">
        <v>7811</v>
      </c>
      <c r="P234" s="830">
        <v>6730594.7562380303</v>
      </c>
      <c r="Q234" s="830">
        <v>7.1899167641291646</v>
      </c>
      <c r="R234" s="830">
        <v>0.34929077634019301</v>
      </c>
      <c r="S234" s="830">
        <v>4.0281814973230502E-2</v>
      </c>
      <c r="T234" s="831">
        <v>41711.644224536998</v>
      </c>
    </row>
    <row r="235" spans="1:22" ht="12.75" customHeight="1" x14ac:dyDescent="0.25">
      <c r="A235" s="830" t="s">
        <v>308</v>
      </c>
      <c r="B235" s="830">
        <v>1</v>
      </c>
      <c r="C235" s="830" t="s">
        <v>282</v>
      </c>
      <c r="D235" s="830" t="s">
        <v>283</v>
      </c>
      <c r="E235" s="830">
        <v>1</v>
      </c>
      <c r="F235" s="830" t="s">
        <v>284</v>
      </c>
      <c r="G235" s="830" t="s">
        <v>512</v>
      </c>
      <c r="H235" s="830" t="s">
        <v>291</v>
      </c>
      <c r="I235" s="830" t="s">
        <v>310</v>
      </c>
      <c r="J235" s="830" t="s">
        <v>286</v>
      </c>
      <c r="K235" s="830" t="s">
        <v>287</v>
      </c>
      <c r="M235" s="830" t="s">
        <v>288</v>
      </c>
      <c r="N235" s="830" t="s">
        <v>289</v>
      </c>
      <c r="O235" s="830">
        <v>7811</v>
      </c>
      <c r="P235" s="830">
        <v>6730594.7562380303</v>
      </c>
      <c r="Q235" s="830">
        <v>56.616350947204999</v>
      </c>
      <c r="R235" s="830">
        <v>1.0023182460245099</v>
      </c>
      <c r="S235" s="830">
        <v>1.7703688585637999E-2</v>
      </c>
      <c r="T235" s="831">
        <v>41711.644224536998</v>
      </c>
    </row>
    <row r="236" spans="1:22" ht="12.75" customHeight="1" x14ac:dyDescent="0.25">
      <c r="A236" s="830" t="s">
        <v>308</v>
      </c>
      <c r="B236" s="830">
        <v>1</v>
      </c>
      <c r="C236" s="830" t="s">
        <v>282</v>
      </c>
      <c r="D236" s="830" t="s">
        <v>283</v>
      </c>
      <c r="E236" s="830">
        <v>1</v>
      </c>
      <c r="F236" s="830" t="s">
        <v>284</v>
      </c>
      <c r="G236" s="830" t="s">
        <v>512</v>
      </c>
      <c r="H236" s="830" t="s">
        <v>292</v>
      </c>
      <c r="I236" s="830" t="s">
        <v>311</v>
      </c>
      <c r="J236" s="830" t="s">
        <v>286</v>
      </c>
      <c r="K236" s="830" t="s">
        <v>287</v>
      </c>
      <c r="M236" s="830" t="s">
        <v>288</v>
      </c>
      <c r="N236" s="830" t="s">
        <v>289</v>
      </c>
      <c r="O236" s="830">
        <v>7811</v>
      </c>
      <c r="P236" s="830">
        <v>6730594.7562380303</v>
      </c>
      <c r="Q236" s="830">
        <v>5.4555008632618698</v>
      </c>
      <c r="R236" s="830">
        <v>0.59822480366720798</v>
      </c>
      <c r="S236" s="830">
        <v>0.10965534029986899</v>
      </c>
      <c r="T236" s="831">
        <v>41711.644224536998</v>
      </c>
    </row>
    <row r="237" spans="1:22" ht="12.75" customHeight="1" x14ac:dyDescent="0.25">
      <c r="A237" s="830" t="s">
        <v>308</v>
      </c>
      <c r="B237" s="830">
        <v>1</v>
      </c>
      <c r="C237" s="830" t="s">
        <v>282</v>
      </c>
      <c r="D237" s="830" t="s">
        <v>283</v>
      </c>
      <c r="E237" s="830">
        <v>1</v>
      </c>
      <c r="F237" s="830" t="s">
        <v>284</v>
      </c>
      <c r="G237" s="830" t="s">
        <v>512</v>
      </c>
      <c r="H237" s="830" t="s">
        <v>293</v>
      </c>
      <c r="I237" s="830" t="s">
        <v>442</v>
      </c>
      <c r="J237" s="830" t="s">
        <v>286</v>
      </c>
      <c r="K237" s="830" t="s">
        <v>287</v>
      </c>
      <c r="M237" s="830" t="s">
        <v>288</v>
      </c>
      <c r="N237" s="830" t="s">
        <v>289</v>
      </c>
      <c r="O237" s="830">
        <v>7811</v>
      </c>
      <c r="P237" s="830">
        <v>6730594.7562380303</v>
      </c>
      <c r="Q237" s="830">
        <v>1.8103078358783</v>
      </c>
      <c r="R237" s="830">
        <v>0.282932868038065</v>
      </c>
      <c r="S237" s="830">
        <v>0.15628992065915501</v>
      </c>
      <c r="T237" s="831">
        <v>41711.644224536998</v>
      </c>
    </row>
    <row r="238" spans="1:22" ht="12.75" customHeight="1" x14ac:dyDescent="0.25">
      <c r="A238" s="830" t="s">
        <v>308</v>
      </c>
      <c r="B238" s="830">
        <v>1</v>
      </c>
      <c r="C238" s="830" t="s">
        <v>282</v>
      </c>
      <c r="D238" s="830" t="s">
        <v>283</v>
      </c>
      <c r="E238" s="830">
        <v>1</v>
      </c>
      <c r="F238" s="830" t="s">
        <v>284</v>
      </c>
      <c r="G238" s="830" t="s">
        <v>512</v>
      </c>
      <c r="H238" s="830" t="s">
        <v>294</v>
      </c>
      <c r="I238" s="830" t="s">
        <v>443</v>
      </c>
      <c r="J238" s="830" t="s">
        <v>286</v>
      </c>
      <c r="K238" s="830" t="s">
        <v>287</v>
      </c>
      <c r="M238" s="830" t="s">
        <v>288</v>
      </c>
      <c r="N238" s="830" t="s">
        <v>289</v>
      </c>
      <c r="O238" s="830">
        <v>7811</v>
      </c>
      <c r="P238" s="830">
        <v>6730594.7562380303</v>
      </c>
      <c r="Q238" s="830">
        <v>0.65661237312104304</v>
      </c>
      <c r="R238" s="830">
        <v>0.17917365259013901</v>
      </c>
      <c r="S238" s="830">
        <v>0.27287583957408901</v>
      </c>
      <c r="T238" s="831">
        <v>41711.644224536998</v>
      </c>
    </row>
    <row r="239" spans="1:22" ht="12.75" customHeight="1" x14ac:dyDescent="0.25">
      <c r="A239" s="830" t="s">
        <v>308</v>
      </c>
      <c r="B239" s="830">
        <v>1</v>
      </c>
      <c r="C239" s="830" t="s">
        <v>282</v>
      </c>
      <c r="D239" s="830" t="s">
        <v>283</v>
      </c>
      <c r="E239" s="830">
        <v>1</v>
      </c>
      <c r="F239" s="830" t="s">
        <v>284</v>
      </c>
      <c r="G239" s="830" t="s">
        <v>512</v>
      </c>
      <c r="H239" s="830" t="s">
        <v>295</v>
      </c>
      <c r="I239" s="830" t="s">
        <v>444</v>
      </c>
      <c r="J239" s="830" t="s">
        <v>286</v>
      </c>
      <c r="K239" s="830" t="s">
        <v>287</v>
      </c>
      <c r="M239" s="830" t="s">
        <v>288</v>
      </c>
      <c r="N239" s="830" t="s">
        <v>289</v>
      </c>
      <c r="O239" s="830">
        <v>7811</v>
      </c>
      <c r="P239" s="830">
        <v>6730594.7562380303</v>
      </c>
      <c r="Q239" s="830">
        <v>0.62163625548133195</v>
      </c>
      <c r="R239" s="830">
        <v>0.180811004074933</v>
      </c>
      <c r="S239" s="830">
        <v>0.29086302878993298</v>
      </c>
      <c r="T239" s="831">
        <v>41711.644224536998</v>
      </c>
    </row>
    <row r="240" spans="1:22" ht="12.75" customHeight="1" x14ac:dyDescent="0.25">
      <c r="A240" s="830" t="s">
        <v>308</v>
      </c>
      <c r="B240" s="830">
        <v>2</v>
      </c>
      <c r="C240" s="830" t="s">
        <v>296</v>
      </c>
      <c r="D240" s="830" t="s">
        <v>297</v>
      </c>
      <c r="E240" s="830">
        <v>1</v>
      </c>
      <c r="F240" s="830" t="s">
        <v>284</v>
      </c>
      <c r="G240" s="830" t="s">
        <v>512</v>
      </c>
      <c r="H240" s="830" t="s">
        <v>285</v>
      </c>
      <c r="I240" s="830" t="s">
        <v>308</v>
      </c>
      <c r="J240" s="830" t="s">
        <v>286</v>
      </c>
      <c r="K240" s="830" t="s">
        <v>287</v>
      </c>
      <c r="M240" s="830" t="s">
        <v>288</v>
      </c>
      <c r="N240" s="830" t="s">
        <v>289</v>
      </c>
      <c r="O240" s="830">
        <v>7811</v>
      </c>
      <c r="P240" s="830">
        <v>6730594.7562380303</v>
      </c>
      <c r="Q240" s="830">
        <v>1.05160219421111</v>
      </c>
      <c r="R240" s="830">
        <v>0.26264286300369599</v>
      </c>
      <c r="S240" s="830">
        <v>0.155301973327481</v>
      </c>
      <c r="T240" s="831">
        <v>41711.644224536998</v>
      </c>
    </row>
    <row r="241" spans="1:20" ht="12.75" customHeight="1" x14ac:dyDescent="0.25">
      <c r="A241" s="830" t="s">
        <v>308</v>
      </c>
      <c r="B241" s="830">
        <v>2</v>
      </c>
      <c r="C241" s="830" t="s">
        <v>296</v>
      </c>
      <c r="D241" s="830" t="s">
        <v>297</v>
      </c>
      <c r="E241" s="830">
        <v>1</v>
      </c>
      <c r="F241" s="830" t="s">
        <v>284</v>
      </c>
      <c r="G241" s="830" t="s">
        <v>512</v>
      </c>
      <c r="H241" s="830" t="s">
        <v>285</v>
      </c>
      <c r="I241" s="830" t="s">
        <v>308</v>
      </c>
      <c r="J241" s="830" t="s">
        <v>286</v>
      </c>
      <c r="K241" s="830" t="s">
        <v>287</v>
      </c>
      <c r="M241" s="830" t="s">
        <v>249</v>
      </c>
      <c r="N241" s="830" t="s">
        <v>10</v>
      </c>
      <c r="T241" s="831">
        <v>41736.707511574103</v>
      </c>
    </row>
    <row r="242" spans="1:20" ht="12.75" customHeight="1" x14ac:dyDescent="0.25">
      <c r="A242" s="830" t="s">
        <v>308</v>
      </c>
      <c r="B242" s="830">
        <v>2</v>
      </c>
      <c r="C242" s="830" t="s">
        <v>296</v>
      </c>
      <c r="D242" s="830" t="s">
        <v>297</v>
      </c>
      <c r="E242" s="830">
        <v>1</v>
      </c>
      <c r="F242" s="830" t="s">
        <v>284</v>
      </c>
      <c r="G242" s="830" t="s">
        <v>512</v>
      </c>
      <c r="H242" s="830" t="s">
        <v>285</v>
      </c>
      <c r="I242" s="830" t="s">
        <v>308</v>
      </c>
      <c r="J242" s="830" t="s">
        <v>286</v>
      </c>
      <c r="K242" s="830" t="s">
        <v>287</v>
      </c>
      <c r="M242" s="830" t="s">
        <v>244</v>
      </c>
      <c r="N242" s="830" t="s">
        <v>10</v>
      </c>
      <c r="O242" s="830">
        <v>430</v>
      </c>
      <c r="P242" s="830">
        <v>413853.27238590003</v>
      </c>
      <c r="Q242" s="830">
        <v>0.26211097343372902</v>
      </c>
      <c r="R242" s="830">
        <v>0.15372074666310401</v>
      </c>
      <c r="S242" s="830">
        <v>0.36467847982623403</v>
      </c>
      <c r="T242" s="831">
        <v>41711.644224536998</v>
      </c>
    </row>
    <row r="243" spans="1:20" ht="12.75" customHeight="1" x14ac:dyDescent="0.25">
      <c r="A243" s="830" t="s">
        <v>308</v>
      </c>
      <c r="B243" s="830">
        <v>2</v>
      </c>
      <c r="C243" s="830" t="s">
        <v>296</v>
      </c>
      <c r="D243" s="830" t="s">
        <v>297</v>
      </c>
      <c r="E243" s="830">
        <v>1</v>
      </c>
      <c r="F243" s="830" t="s">
        <v>284</v>
      </c>
      <c r="G243" s="830" t="s">
        <v>512</v>
      </c>
      <c r="H243" s="830" t="s">
        <v>285</v>
      </c>
      <c r="I243" s="830" t="s">
        <v>308</v>
      </c>
      <c r="J243" s="830" t="s">
        <v>286</v>
      </c>
      <c r="K243" s="830" t="s">
        <v>287</v>
      </c>
      <c r="M243" s="830" t="s">
        <v>4</v>
      </c>
      <c r="N243" s="830" t="s">
        <v>10</v>
      </c>
      <c r="O243" s="830">
        <v>383</v>
      </c>
      <c r="P243" s="830">
        <v>613017.45477680105</v>
      </c>
      <c r="Q243" s="830">
        <v>1</v>
      </c>
      <c r="R243" s="830">
        <v>1.1100492969595701</v>
      </c>
      <c r="S243" s="830">
        <v>0.69024794114385102</v>
      </c>
      <c r="T243" s="831">
        <v>41711.644224536998</v>
      </c>
    </row>
    <row r="244" spans="1:20" ht="12.75" customHeight="1" x14ac:dyDescent="0.25">
      <c r="A244" s="830" t="s">
        <v>308</v>
      </c>
      <c r="B244" s="830">
        <v>2</v>
      </c>
      <c r="C244" s="830" t="s">
        <v>296</v>
      </c>
      <c r="D244" s="830" t="s">
        <v>297</v>
      </c>
      <c r="E244" s="830">
        <v>1</v>
      </c>
      <c r="F244" s="830" t="s">
        <v>284</v>
      </c>
      <c r="G244" s="830" t="s">
        <v>512</v>
      </c>
      <c r="H244" s="830" t="s">
        <v>285</v>
      </c>
      <c r="I244" s="830" t="s">
        <v>308</v>
      </c>
      <c r="J244" s="830" t="s">
        <v>286</v>
      </c>
      <c r="K244" s="830" t="s">
        <v>287</v>
      </c>
      <c r="M244" s="830" t="s">
        <v>5</v>
      </c>
      <c r="N244" s="830" t="s">
        <v>10</v>
      </c>
      <c r="O244" s="830">
        <v>641</v>
      </c>
      <c r="P244" s="830">
        <v>788726.84875310096</v>
      </c>
      <c r="Q244" s="830">
        <v>1.02098192910546</v>
      </c>
      <c r="R244" s="830">
        <v>0.998103821026464</v>
      </c>
      <c r="S244" s="830">
        <v>0.60788372579716998</v>
      </c>
      <c r="T244" s="831">
        <v>41711.644224536998</v>
      </c>
    </row>
    <row r="245" spans="1:20" ht="12.75" customHeight="1" x14ac:dyDescent="0.25">
      <c r="A245" s="830" t="s">
        <v>308</v>
      </c>
      <c r="B245" s="830">
        <v>2</v>
      </c>
      <c r="C245" s="830" t="s">
        <v>296</v>
      </c>
      <c r="D245" s="830" t="s">
        <v>297</v>
      </c>
      <c r="E245" s="830">
        <v>1</v>
      </c>
      <c r="F245" s="830" t="s">
        <v>284</v>
      </c>
      <c r="G245" s="830" t="s">
        <v>512</v>
      </c>
      <c r="H245" s="830" t="s">
        <v>285</v>
      </c>
      <c r="I245" s="830" t="s">
        <v>308</v>
      </c>
      <c r="J245" s="830" t="s">
        <v>286</v>
      </c>
      <c r="K245" s="830" t="s">
        <v>287</v>
      </c>
      <c r="M245" s="830" t="s">
        <v>6</v>
      </c>
      <c r="N245" s="830" t="s">
        <v>10</v>
      </c>
      <c r="O245" s="830">
        <v>1181</v>
      </c>
      <c r="P245" s="830">
        <v>792921.57536120201</v>
      </c>
      <c r="Q245" s="830">
        <v>0.49771397610304302</v>
      </c>
      <c r="R245" s="830">
        <v>0.31357776608043397</v>
      </c>
      <c r="S245" s="830">
        <v>0.391767386611799</v>
      </c>
      <c r="T245" s="831">
        <v>41711.644224536998</v>
      </c>
    </row>
    <row r="246" spans="1:20" ht="12.75" customHeight="1" x14ac:dyDescent="0.25">
      <c r="A246" s="830" t="s">
        <v>308</v>
      </c>
      <c r="B246" s="830">
        <v>2</v>
      </c>
      <c r="C246" s="830" t="s">
        <v>296</v>
      </c>
      <c r="D246" s="830" t="s">
        <v>297</v>
      </c>
      <c r="E246" s="830">
        <v>1</v>
      </c>
      <c r="F246" s="830" t="s">
        <v>284</v>
      </c>
      <c r="G246" s="830" t="s">
        <v>512</v>
      </c>
      <c r="H246" s="830" t="s">
        <v>285</v>
      </c>
      <c r="I246" s="830" t="s">
        <v>308</v>
      </c>
      <c r="J246" s="830" t="s">
        <v>286</v>
      </c>
      <c r="K246" s="830" t="s">
        <v>287</v>
      </c>
      <c r="M246" s="830" t="s">
        <v>7</v>
      </c>
      <c r="N246" s="830" t="s">
        <v>10</v>
      </c>
      <c r="O246" s="830">
        <v>701</v>
      </c>
      <c r="P246" s="830">
        <v>367311.51258709998</v>
      </c>
      <c r="Q246" s="830">
        <v>0.11788277003637899</v>
      </c>
      <c r="R246" s="830">
        <v>0.106602407325321</v>
      </c>
      <c r="S246" s="830">
        <v>0.56231482501920904</v>
      </c>
      <c r="T246" s="831">
        <v>41711.644224536998</v>
      </c>
    </row>
    <row r="247" spans="1:20" ht="12.75" customHeight="1" x14ac:dyDescent="0.25">
      <c r="A247" s="830" t="s">
        <v>308</v>
      </c>
      <c r="B247" s="830">
        <v>2</v>
      </c>
      <c r="C247" s="830" t="s">
        <v>296</v>
      </c>
      <c r="D247" s="830" t="s">
        <v>297</v>
      </c>
      <c r="E247" s="830">
        <v>1</v>
      </c>
      <c r="F247" s="830" t="s">
        <v>284</v>
      </c>
      <c r="G247" s="830" t="s">
        <v>512</v>
      </c>
      <c r="H247" s="830" t="s">
        <v>285</v>
      </c>
      <c r="I247" s="830" t="s">
        <v>308</v>
      </c>
      <c r="J247" s="830" t="s">
        <v>286</v>
      </c>
      <c r="K247" s="830" t="s">
        <v>287</v>
      </c>
      <c r="M247" s="830" t="s">
        <v>8</v>
      </c>
      <c r="N247" s="830" t="s">
        <v>10</v>
      </c>
      <c r="O247" s="830">
        <v>444</v>
      </c>
      <c r="P247" s="830">
        <v>217543.27286500001</v>
      </c>
      <c r="Q247" s="830">
        <v>2.28308553575601E-2</v>
      </c>
      <c r="R247" s="830">
        <v>3.6710330031733102E-2</v>
      </c>
      <c r="S247" s="830">
        <v>0.99983643790377896</v>
      </c>
      <c r="T247" s="831">
        <v>41711.644224536998</v>
      </c>
    </row>
    <row r="248" spans="1:20" ht="12.75" customHeight="1" x14ac:dyDescent="0.25">
      <c r="A248" s="830" t="s">
        <v>308</v>
      </c>
      <c r="B248" s="830">
        <v>2</v>
      </c>
      <c r="C248" s="830" t="s">
        <v>296</v>
      </c>
      <c r="D248" s="830" t="s">
        <v>297</v>
      </c>
      <c r="E248" s="830">
        <v>1</v>
      </c>
      <c r="F248" s="830" t="s">
        <v>284</v>
      </c>
      <c r="G248" s="830" t="s">
        <v>512</v>
      </c>
      <c r="H248" s="830" t="s">
        <v>285</v>
      </c>
      <c r="I248" s="830" t="s">
        <v>308</v>
      </c>
      <c r="J248" s="830" t="s">
        <v>286</v>
      </c>
      <c r="K248" s="830" t="s">
        <v>287</v>
      </c>
      <c r="M248" s="830" t="s">
        <v>9</v>
      </c>
      <c r="N248" s="830" t="s">
        <v>10</v>
      </c>
      <c r="O248" s="830">
        <v>335</v>
      </c>
      <c r="P248" s="830">
        <v>151737.18073769999</v>
      </c>
      <c r="Q248" s="830">
        <v>3.2368646500094397E-2</v>
      </c>
      <c r="R248" s="830">
        <v>5.2086313524725002E-2</v>
      </c>
      <c r="S248" s="830">
        <v>1.0006033092861699</v>
      </c>
      <c r="T248" s="831">
        <v>41711.644224536998</v>
      </c>
    </row>
    <row r="249" spans="1:20" ht="12.75" customHeight="1" x14ac:dyDescent="0.25">
      <c r="A249" s="830" t="s">
        <v>308</v>
      </c>
      <c r="B249" s="830">
        <v>2</v>
      </c>
      <c r="C249" s="830" t="s">
        <v>296</v>
      </c>
      <c r="D249" s="830" t="s">
        <v>297</v>
      </c>
      <c r="E249" s="830">
        <v>1</v>
      </c>
      <c r="F249" s="830" t="s">
        <v>284</v>
      </c>
      <c r="G249" s="830" t="s">
        <v>512</v>
      </c>
      <c r="H249" s="830" t="s">
        <v>285</v>
      </c>
      <c r="I249" s="830" t="s">
        <v>308</v>
      </c>
      <c r="J249" s="830" t="s">
        <v>286</v>
      </c>
      <c r="K249" s="830" t="s">
        <v>287</v>
      </c>
      <c r="M249" s="830" t="s">
        <v>249</v>
      </c>
      <c r="N249" s="830" t="s">
        <v>298</v>
      </c>
      <c r="T249" s="831">
        <v>41736.707511574103</v>
      </c>
    </row>
    <row r="250" spans="1:20" ht="12.75" customHeight="1" x14ac:dyDescent="0.25">
      <c r="A250" s="830" t="s">
        <v>308</v>
      </c>
      <c r="B250" s="830">
        <v>2</v>
      </c>
      <c r="C250" s="830" t="s">
        <v>296</v>
      </c>
      <c r="D250" s="830" t="s">
        <v>297</v>
      </c>
      <c r="E250" s="830">
        <v>1</v>
      </c>
      <c r="F250" s="830" t="s">
        <v>284</v>
      </c>
      <c r="G250" s="830" t="s">
        <v>512</v>
      </c>
      <c r="H250" s="830" t="s">
        <v>285</v>
      </c>
      <c r="I250" s="830" t="s">
        <v>308</v>
      </c>
      <c r="J250" s="830" t="s">
        <v>286</v>
      </c>
      <c r="K250" s="830" t="s">
        <v>287</v>
      </c>
      <c r="M250" s="830" t="s">
        <v>244</v>
      </c>
      <c r="N250" s="830" t="s">
        <v>298</v>
      </c>
      <c r="O250" s="830">
        <v>435</v>
      </c>
      <c r="P250" s="830">
        <v>439736.50015500002</v>
      </c>
      <c r="Q250" s="830">
        <v>0.82651782930533702</v>
      </c>
      <c r="R250" s="830">
        <v>0.42194633344675903</v>
      </c>
      <c r="S250" s="830">
        <v>0.31744452763563002</v>
      </c>
      <c r="T250" s="831">
        <v>41711.644224536998</v>
      </c>
    </row>
    <row r="251" spans="1:20" ht="12.75" customHeight="1" x14ac:dyDescent="0.25">
      <c r="A251" s="830" t="s">
        <v>308</v>
      </c>
      <c r="B251" s="830">
        <v>2</v>
      </c>
      <c r="C251" s="830" t="s">
        <v>296</v>
      </c>
      <c r="D251" s="830" t="s">
        <v>297</v>
      </c>
      <c r="E251" s="830">
        <v>1</v>
      </c>
      <c r="F251" s="830" t="s">
        <v>284</v>
      </c>
      <c r="G251" s="830" t="s">
        <v>512</v>
      </c>
      <c r="H251" s="830" t="s">
        <v>285</v>
      </c>
      <c r="I251" s="830" t="s">
        <v>308</v>
      </c>
      <c r="J251" s="830" t="s">
        <v>286</v>
      </c>
      <c r="K251" s="830" t="s">
        <v>287</v>
      </c>
      <c r="M251" s="830" t="s">
        <v>4</v>
      </c>
      <c r="N251" s="830" t="s">
        <v>298</v>
      </c>
      <c r="O251" s="830">
        <v>388</v>
      </c>
      <c r="P251" s="830">
        <v>607769.81752030004</v>
      </c>
      <c r="Q251" s="830">
        <v>3.6796100649664898</v>
      </c>
      <c r="R251" s="830">
        <v>1.9817456476636599</v>
      </c>
      <c r="S251" s="830">
        <v>0.33489523534058602</v>
      </c>
      <c r="T251" s="831">
        <v>41711.644224536998</v>
      </c>
    </row>
    <row r="252" spans="1:20" ht="12.75" customHeight="1" x14ac:dyDescent="0.25">
      <c r="A252" s="830" t="s">
        <v>308</v>
      </c>
      <c r="B252" s="830">
        <v>2</v>
      </c>
      <c r="C252" s="830" t="s">
        <v>296</v>
      </c>
      <c r="D252" s="830" t="s">
        <v>297</v>
      </c>
      <c r="E252" s="830">
        <v>1</v>
      </c>
      <c r="F252" s="830" t="s">
        <v>284</v>
      </c>
      <c r="G252" s="830" t="s">
        <v>512</v>
      </c>
      <c r="H252" s="830" t="s">
        <v>285</v>
      </c>
      <c r="I252" s="830" t="s">
        <v>308</v>
      </c>
      <c r="J252" s="830" t="s">
        <v>286</v>
      </c>
      <c r="K252" s="830" t="s">
        <v>287</v>
      </c>
      <c r="M252" s="830" t="s">
        <v>5</v>
      </c>
      <c r="N252" s="830" t="s">
        <v>298</v>
      </c>
      <c r="O252" s="830">
        <v>580</v>
      </c>
      <c r="P252" s="830">
        <v>975232.60376570094</v>
      </c>
      <c r="Q252" s="830">
        <v>1.2266736407611101</v>
      </c>
      <c r="R252" s="830">
        <v>0.51087689618850096</v>
      </c>
      <c r="S252" s="830">
        <v>0.25897037364042502</v>
      </c>
      <c r="T252" s="831">
        <v>41711.644224536998</v>
      </c>
    </row>
    <row r="253" spans="1:20" ht="12.75" customHeight="1" x14ac:dyDescent="0.25">
      <c r="A253" s="830" t="s">
        <v>308</v>
      </c>
      <c r="B253" s="830">
        <v>2</v>
      </c>
      <c r="C253" s="830" t="s">
        <v>296</v>
      </c>
      <c r="D253" s="830" t="s">
        <v>297</v>
      </c>
      <c r="E253" s="830">
        <v>1</v>
      </c>
      <c r="F253" s="830" t="s">
        <v>284</v>
      </c>
      <c r="G253" s="830" t="s">
        <v>512</v>
      </c>
      <c r="H253" s="830" t="s">
        <v>285</v>
      </c>
      <c r="I253" s="830" t="s">
        <v>308</v>
      </c>
      <c r="J253" s="830" t="s">
        <v>286</v>
      </c>
      <c r="K253" s="830" t="s">
        <v>287</v>
      </c>
      <c r="M253" s="830" t="s">
        <v>6</v>
      </c>
      <c r="N253" s="830" t="s">
        <v>298</v>
      </c>
      <c r="O253" s="830">
        <v>1057</v>
      </c>
      <c r="P253" s="830">
        <v>760588.46623699996</v>
      </c>
      <c r="Q253" s="830">
        <v>1.1659173695712</v>
      </c>
      <c r="R253" s="830">
        <v>0.47113655250801201</v>
      </c>
      <c r="S253" s="830">
        <v>0.25127071823193298</v>
      </c>
      <c r="T253" s="831">
        <v>41711.644224536998</v>
      </c>
    </row>
    <row r="254" spans="1:20" ht="12.75" customHeight="1" x14ac:dyDescent="0.25">
      <c r="A254" s="830" t="s">
        <v>308</v>
      </c>
      <c r="B254" s="830">
        <v>2</v>
      </c>
      <c r="C254" s="830" t="s">
        <v>296</v>
      </c>
      <c r="D254" s="830" t="s">
        <v>297</v>
      </c>
      <c r="E254" s="830">
        <v>1</v>
      </c>
      <c r="F254" s="830" t="s">
        <v>284</v>
      </c>
      <c r="G254" s="830" t="s">
        <v>512</v>
      </c>
      <c r="H254" s="830" t="s">
        <v>285</v>
      </c>
      <c r="I254" s="830" t="s">
        <v>308</v>
      </c>
      <c r="J254" s="830" t="s">
        <v>286</v>
      </c>
      <c r="K254" s="830" t="s">
        <v>287</v>
      </c>
      <c r="M254" s="830" t="s">
        <v>7</v>
      </c>
      <c r="N254" s="830" t="s">
        <v>298</v>
      </c>
      <c r="O254" s="830">
        <v>629</v>
      </c>
      <c r="P254" s="830">
        <v>332519.05184079998</v>
      </c>
      <c r="Q254" s="830">
        <v>1.05226975998435</v>
      </c>
      <c r="R254" s="830">
        <v>0.63016810352956998</v>
      </c>
      <c r="S254" s="830">
        <v>0.37238500194631802</v>
      </c>
      <c r="T254" s="831">
        <v>41711.644224536998</v>
      </c>
    </row>
    <row r="255" spans="1:20" ht="12.75" customHeight="1" x14ac:dyDescent="0.25">
      <c r="A255" s="830" t="s">
        <v>308</v>
      </c>
      <c r="B255" s="830">
        <v>2</v>
      </c>
      <c r="C255" s="830" t="s">
        <v>296</v>
      </c>
      <c r="D255" s="830" t="s">
        <v>297</v>
      </c>
      <c r="E255" s="830">
        <v>1</v>
      </c>
      <c r="F255" s="830" t="s">
        <v>284</v>
      </c>
      <c r="G255" s="830" t="s">
        <v>512</v>
      </c>
      <c r="H255" s="830" t="s">
        <v>285</v>
      </c>
      <c r="I255" s="830" t="s">
        <v>308</v>
      </c>
      <c r="J255" s="830" t="s">
        <v>286</v>
      </c>
      <c r="K255" s="830" t="s">
        <v>287</v>
      </c>
      <c r="M255" s="830" t="s">
        <v>8</v>
      </c>
      <c r="N255" s="830" t="s">
        <v>298</v>
      </c>
      <c r="O255" s="830">
        <v>404</v>
      </c>
      <c r="P255" s="830">
        <v>184380.10302050001</v>
      </c>
      <c r="Q255" s="830">
        <v>0.38253677573296402</v>
      </c>
      <c r="R255" s="830">
        <v>0.319842280153181</v>
      </c>
      <c r="S255" s="830">
        <v>0.51990684299582202</v>
      </c>
      <c r="T255" s="831">
        <v>41711.644224536998</v>
      </c>
    </row>
    <row r="256" spans="1:20" ht="12.75" customHeight="1" x14ac:dyDescent="0.25">
      <c r="A256" s="830" t="s">
        <v>308</v>
      </c>
      <c r="B256" s="830">
        <v>2</v>
      </c>
      <c r="C256" s="830" t="s">
        <v>296</v>
      </c>
      <c r="D256" s="830" t="s">
        <v>297</v>
      </c>
      <c r="E256" s="830">
        <v>1</v>
      </c>
      <c r="F256" s="830" t="s">
        <v>284</v>
      </c>
      <c r="G256" s="830" t="s">
        <v>512</v>
      </c>
      <c r="H256" s="830" t="s">
        <v>285</v>
      </c>
      <c r="I256" s="830" t="s">
        <v>308</v>
      </c>
      <c r="J256" s="830" t="s">
        <v>286</v>
      </c>
      <c r="K256" s="830" t="s">
        <v>287</v>
      </c>
      <c r="M256" s="830" t="s">
        <v>9</v>
      </c>
      <c r="N256" s="830" t="s">
        <v>298</v>
      </c>
      <c r="O256" s="830">
        <v>203</v>
      </c>
      <c r="P256" s="830">
        <v>85257.096231899995</v>
      </c>
      <c r="Q256" s="830">
        <v>0</v>
      </c>
      <c r="R256" s="830">
        <v>0</v>
      </c>
      <c r="T256" s="831">
        <v>41711.644224536998</v>
      </c>
    </row>
    <row r="257" spans="1:20" ht="12.75" customHeight="1" x14ac:dyDescent="0.25">
      <c r="A257" s="830" t="s">
        <v>308</v>
      </c>
      <c r="B257" s="830">
        <v>2</v>
      </c>
      <c r="C257" s="830" t="s">
        <v>296</v>
      </c>
      <c r="D257" s="830" t="s">
        <v>297</v>
      </c>
      <c r="E257" s="830">
        <v>1</v>
      </c>
      <c r="F257" s="830" t="s">
        <v>284</v>
      </c>
      <c r="G257" s="830" t="s">
        <v>512</v>
      </c>
      <c r="H257" s="830" t="s">
        <v>290</v>
      </c>
      <c r="I257" s="830" t="s">
        <v>309</v>
      </c>
      <c r="J257" s="830" t="s">
        <v>286</v>
      </c>
      <c r="K257" s="830" t="s">
        <v>287</v>
      </c>
      <c r="M257" s="830" t="s">
        <v>288</v>
      </c>
      <c r="N257" s="830" t="s">
        <v>289</v>
      </c>
      <c r="O257" s="830">
        <v>7811</v>
      </c>
      <c r="P257" s="830">
        <v>6730594.7562380303</v>
      </c>
      <c r="Q257" s="830">
        <v>1.00033876620263</v>
      </c>
      <c r="R257" s="830">
        <v>0.34929077634019301</v>
      </c>
      <c r="S257" s="830">
        <v>4.0281814973230502E-2</v>
      </c>
      <c r="T257" s="831">
        <v>41711.644224536998</v>
      </c>
    </row>
    <row r="258" spans="1:20" ht="12.75" customHeight="1" x14ac:dyDescent="0.25">
      <c r="A258" s="830" t="s">
        <v>308</v>
      </c>
      <c r="B258" s="830">
        <v>2</v>
      </c>
      <c r="C258" s="830" t="s">
        <v>296</v>
      </c>
      <c r="D258" s="830" t="s">
        <v>297</v>
      </c>
      <c r="E258" s="830">
        <v>1</v>
      </c>
      <c r="F258" s="830" t="s">
        <v>284</v>
      </c>
      <c r="G258" s="830" t="s">
        <v>512</v>
      </c>
      <c r="H258" s="830" t="s">
        <v>290</v>
      </c>
      <c r="I258" s="830" t="s">
        <v>309</v>
      </c>
      <c r="J258" s="830" t="s">
        <v>286</v>
      </c>
      <c r="K258" s="830" t="s">
        <v>287</v>
      </c>
      <c r="M258" s="830" t="s">
        <v>249</v>
      </c>
      <c r="N258" s="830" t="s">
        <v>10</v>
      </c>
      <c r="T258" s="831">
        <v>41736.707511574103</v>
      </c>
    </row>
    <row r="259" spans="1:20" ht="12.75" customHeight="1" x14ac:dyDescent="0.25">
      <c r="A259" s="830" t="s">
        <v>308</v>
      </c>
      <c r="B259" s="830">
        <v>2</v>
      </c>
      <c r="C259" s="830" t="s">
        <v>296</v>
      </c>
      <c r="D259" s="830" t="s">
        <v>297</v>
      </c>
      <c r="E259" s="830">
        <v>1</v>
      </c>
      <c r="F259" s="830" t="s">
        <v>284</v>
      </c>
      <c r="G259" s="830" t="s">
        <v>512</v>
      </c>
      <c r="H259" s="830" t="s">
        <v>290</v>
      </c>
      <c r="I259" s="830" t="s">
        <v>309</v>
      </c>
      <c r="J259" s="830" t="s">
        <v>286</v>
      </c>
      <c r="K259" s="830" t="s">
        <v>287</v>
      </c>
      <c r="M259" s="830" t="s">
        <v>244</v>
      </c>
      <c r="N259" s="830" t="s">
        <v>10</v>
      </c>
      <c r="O259" s="830">
        <v>430</v>
      </c>
      <c r="P259" s="830">
        <v>413853.27238590003</v>
      </c>
      <c r="Q259" s="830">
        <v>0.85226295221793102</v>
      </c>
      <c r="R259" s="830">
        <v>1.17063063708827</v>
      </c>
      <c r="S259" s="830">
        <v>0.158458407921793</v>
      </c>
      <c r="T259" s="831">
        <v>41711.644224536998</v>
      </c>
    </row>
    <row r="260" spans="1:20" ht="12.75" customHeight="1" x14ac:dyDescent="0.25">
      <c r="A260" s="830" t="s">
        <v>308</v>
      </c>
      <c r="B260" s="830">
        <v>2</v>
      </c>
      <c r="C260" s="830" t="s">
        <v>296</v>
      </c>
      <c r="D260" s="830" t="s">
        <v>297</v>
      </c>
      <c r="E260" s="830">
        <v>1</v>
      </c>
      <c r="F260" s="830" t="s">
        <v>284</v>
      </c>
      <c r="G260" s="830" t="s">
        <v>512</v>
      </c>
      <c r="H260" s="830" t="s">
        <v>290</v>
      </c>
      <c r="I260" s="830" t="s">
        <v>309</v>
      </c>
      <c r="J260" s="830" t="s">
        <v>286</v>
      </c>
      <c r="K260" s="830" t="s">
        <v>287</v>
      </c>
      <c r="M260" s="830" t="s">
        <v>4</v>
      </c>
      <c r="N260" s="830" t="s">
        <v>10</v>
      </c>
      <c r="O260" s="830">
        <v>383</v>
      </c>
      <c r="P260" s="830">
        <v>613017.45477680105</v>
      </c>
      <c r="Q260" s="830">
        <v>1</v>
      </c>
      <c r="R260" s="830">
        <v>1.38172119637368</v>
      </c>
      <c r="S260" s="830">
        <v>0.159400409280998</v>
      </c>
      <c r="T260" s="831">
        <v>41711.644224536998</v>
      </c>
    </row>
    <row r="261" spans="1:20" ht="12.75" customHeight="1" x14ac:dyDescent="0.25">
      <c r="A261" s="830" t="s">
        <v>308</v>
      </c>
      <c r="B261" s="830">
        <v>2</v>
      </c>
      <c r="C261" s="830" t="s">
        <v>296</v>
      </c>
      <c r="D261" s="830" t="s">
        <v>297</v>
      </c>
      <c r="E261" s="830">
        <v>1</v>
      </c>
      <c r="F261" s="830" t="s">
        <v>284</v>
      </c>
      <c r="G261" s="830" t="s">
        <v>512</v>
      </c>
      <c r="H261" s="830" t="s">
        <v>290</v>
      </c>
      <c r="I261" s="830" t="s">
        <v>309</v>
      </c>
      <c r="J261" s="830" t="s">
        <v>286</v>
      </c>
      <c r="K261" s="830" t="s">
        <v>287</v>
      </c>
      <c r="M261" s="830" t="s">
        <v>5</v>
      </c>
      <c r="N261" s="830" t="s">
        <v>10</v>
      </c>
      <c r="O261" s="830">
        <v>641</v>
      </c>
      <c r="P261" s="830">
        <v>788726.84875310096</v>
      </c>
      <c r="Q261" s="830">
        <v>1.04889795862337</v>
      </c>
      <c r="R261" s="830">
        <v>0.97744568240907503</v>
      </c>
      <c r="S261" s="830">
        <v>0.107504935906283</v>
      </c>
      <c r="T261" s="831">
        <v>41711.644224536998</v>
      </c>
    </row>
    <row r="262" spans="1:20" ht="12.75" customHeight="1" x14ac:dyDescent="0.25">
      <c r="A262" s="830" t="s">
        <v>308</v>
      </c>
      <c r="B262" s="830">
        <v>2</v>
      </c>
      <c r="C262" s="830" t="s">
        <v>296</v>
      </c>
      <c r="D262" s="830" t="s">
        <v>297</v>
      </c>
      <c r="E262" s="830">
        <v>1</v>
      </c>
      <c r="F262" s="830" t="s">
        <v>284</v>
      </c>
      <c r="G262" s="830" t="s">
        <v>512</v>
      </c>
      <c r="H262" s="830" t="s">
        <v>290</v>
      </c>
      <c r="I262" s="830" t="s">
        <v>309</v>
      </c>
      <c r="J262" s="830" t="s">
        <v>286</v>
      </c>
      <c r="K262" s="830" t="s">
        <v>287</v>
      </c>
      <c r="M262" s="830" t="s">
        <v>6</v>
      </c>
      <c r="N262" s="830" t="s">
        <v>10</v>
      </c>
      <c r="O262" s="830">
        <v>1181</v>
      </c>
      <c r="P262" s="830">
        <v>792921.57536120201</v>
      </c>
      <c r="Q262" s="830">
        <v>1.0924397662882199</v>
      </c>
      <c r="R262" s="830">
        <v>0.91723113261956402</v>
      </c>
      <c r="S262" s="830">
        <v>9.6861301144224601E-2</v>
      </c>
      <c r="T262" s="831">
        <v>41711.644224536998</v>
      </c>
    </row>
    <row r="263" spans="1:20" ht="12.75" customHeight="1" x14ac:dyDescent="0.25">
      <c r="A263" s="830" t="s">
        <v>308</v>
      </c>
      <c r="B263" s="830">
        <v>2</v>
      </c>
      <c r="C263" s="830" t="s">
        <v>296</v>
      </c>
      <c r="D263" s="830" t="s">
        <v>297</v>
      </c>
      <c r="E263" s="830">
        <v>1</v>
      </c>
      <c r="F263" s="830" t="s">
        <v>284</v>
      </c>
      <c r="G263" s="830" t="s">
        <v>512</v>
      </c>
      <c r="H263" s="830" t="s">
        <v>290</v>
      </c>
      <c r="I263" s="830" t="s">
        <v>309</v>
      </c>
      <c r="J263" s="830" t="s">
        <v>286</v>
      </c>
      <c r="K263" s="830" t="s">
        <v>287</v>
      </c>
      <c r="M263" s="830" t="s">
        <v>7</v>
      </c>
      <c r="N263" s="830" t="s">
        <v>10</v>
      </c>
      <c r="O263" s="830">
        <v>701</v>
      </c>
      <c r="P263" s="830">
        <v>367311.51258709998</v>
      </c>
      <c r="Q263" s="830">
        <v>1.13900273757777</v>
      </c>
      <c r="R263" s="830">
        <v>1.1379182975425299</v>
      </c>
      <c r="S263" s="830">
        <v>0.115253819073633</v>
      </c>
      <c r="T263" s="831">
        <v>41711.644224536998</v>
      </c>
    </row>
    <row r="264" spans="1:20" ht="12.75" customHeight="1" x14ac:dyDescent="0.25">
      <c r="A264" s="830" t="s">
        <v>308</v>
      </c>
      <c r="B264" s="830">
        <v>2</v>
      </c>
      <c r="C264" s="830" t="s">
        <v>296</v>
      </c>
      <c r="D264" s="830" t="s">
        <v>297</v>
      </c>
      <c r="E264" s="830">
        <v>1</v>
      </c>
      <c r="F264" s="830" t="s">
        <v>284</v>
      </c>
      <c r="G264" s="830" t="s">
        <v>512</v>
      </c>
      <c r="H264" s="830" t="s">
        <v>290</v>
      </c>
      <c r="I264" s="830" t="s">
        <v>309</v>
      </c>
      <c r="J264" s="830" t="s">
        <v>286</v>
      </c>
      <c r="K264" s="830" t="s">
        <v>287</v>
      </c>
      <c r="M264" s="830" t="s">
        <v>8</v>
      </c>
      <c r="N264" s="830" t="s">
        <v>10</v>
      </c>
      <c r="O264" s="830">
        <v>444</v>
      </c>
      <c r="P264" s="830">
        <v>217543.27286500001</v>
      </c>
      <c r="Q264" s="830">
        <v>0.98581557199724901</v>
      </c>
      <c r="R264" s="830">
        <v>1.6095969896959299</v>
      </c>
      <c r="S264" s="830">
        <v>0.18836078397293601</v>
      </c>
      <c r="T264" s="831">
        <v>41711.644224536998</v>
      </c>
    </row>
    <row r="265" spans="1:20" ht="12.75" customHeight="1" x14ac:dyDescent="0.25">
      <c r="A265" s="830" t="s">
        <v>308</v>
      </c>
      <c r="B265" s="830">
        <v>2</v>
      </c>
      <c r="C265" s="830" t="s">
        <v>296</v>
      </c>
      <c r="D265" s="830" t="s">
        <v>297</v>
      </c>
      <c r="E265" s="830">
        <v>1</v>
      </c>
      <c r="F265" s="830" t="s">
        <v>284</v>
      </c>
      <c r="G265" s="830" t="s">
        <v>512</v>
      </c>
      <c r="H265" s="830" t="s">
        <v>290</v>
      </c>
      <c r="I265" s="830" t="s">
        <v>309</v>
      </c>
      <c r="J265" s="830" t="s">
        <v>286</v>
      </c>
      <c r="K265" s="830" t="s">
        <v>287</v>
      </c>
      <c r="M265" s="830" t="s">
        <v>9</v>
      </c>
      <c r="N265" s="830" t="s">
        <v>10</v>
      </c>
      <c r="O265" s="830">
        <v>335</v>
      </c>
      <c r="P265" s="830">
        <v>151737.18073769999</v>
      </c>
      <c r="Q265" s="830">
        <v>0.78342547321719602</v>
      </c>
      <c r="R265" s="830">
        <v>1.4277255972782701</v>
      </c>
      <c r="S265" s="830">
        <v>0.21024034934877101</v>
      </c>
      <c r="T265" s="831">
        <v>41711.644224536998</v>
      </c>
    </row>
    <row r="266" spans="1:20" ht="12.75" customHeight="1" x14ac:dyDescent="0.25">
      <c r="A266" s="830" t="s">
        <v>308</v>
      </c>
      <c r="B266" s="830">
        <v>2</v>
      </c>
      <c r="C266" s="830" t="s">
        <v>296</v>
      </c>
      <c r="D266" s="830" t="s">
        <v>297</v>
      </c>
      <c r="E266" s="830">
        <v>1</v>
      </c>
      <c r="F266" s="830" t="s">
        <v>284</v>
      </c>
      <c r="G266" s="830" t="s">
        <v>512</v>
      </c>
      <c r="H266" s="830" t="s">
        <v>290</v>
      </c>
      <c r="I266" s="830" t="s">
        <v>309</v>
      </c>
      <c r="J266" s="830" t="s">
        <v>286</v>
      </c>
      <c r="K266" s="830" t="s">
        <v>287</v>
      </c>
      <c r="M266" s="830" t="s">
        <v>249</v>
      </c>
      <c r="N266" s="830" t="s">
        <v>298</v>
      </c>
      <c r="T266" s="831">
        <v>41736.707511574103</v>
      </c>
    </row>
    <row r="267" spans="1:20" ht="12.75" customHeight="1" x14ac:dyDescent="0.25">
      <c r="A267" s="830" t="s">
        <v>308</v>
      </c>
      <c r="B267" s="830">
        <v>2</v>
      </c>
      <c r="C267" s="830" t="s">
        <v>296</v>
      </c>
      <c r="D267" s="830" t="s">
        <v>297</v>
      </c>
      <c r="E267" s="830">
        <v>1</v>
      </c>
      <c r="F267" s="830" t="s">
        <v>284</v>
      </c>
      <c r="G267" s="830" t="s">
        <v>512</v>
      </c>
      <c r="H267" s="830" t="s">
        <v>290</v>
      </c>
      <c r="I267" s="830" t="s">
        <v>309</v>
      </c>
      <c r="J267" s="830" t="s">
        <v>286</v>
      </c>
      <c r="K267" s="830" t="s">
        <v>287</v>
      </c>
      <c r="M267" s="830" t="s">
        <v>244</v>
      </c>
      <c r="N267" s="830" t="s">
        <v>298</v>
      </c>
      <c r="O267" s="830">
        <v>435</v>
      </c>
      <c r="P267" s="830">
        <v>439736.50015500002</v>
      </c>
      <c r="Q267" s="830">
        <v>0.79158443403708001</v>
      </c>
      <c r="R267" s="830">
        <v>0.97943505661705998</v>
      </c>
      <c r="S267" s="830">
        <v>0.142740564920257</v>
      </c>
      <c r="T267" s="831">
        <v>41711.644224536998</v>
      </c>
    </row>
    <row r="268" spans="1:20" ht="12.75" customHeight="1" x14ac:dyDescent="0.25">
      <c r="A268" s="830" t="s">
        <v>308</v>
      </c>
      <c r="B268" s="830">
        <v>2</v>
      </c>
      <c r="C268" s="830" t="s">
        <v>296</v>
      </c>
      <c r="D268" s="830" t="s">
        <v>297</v>
      </c>
      <c r="E268" s="830">
        <v>1</v>
      </c>
      <c r="F268" s="830" t="s">
        <v>284</v>
      </c>
      <c r="G268" s="830" t="s">
        <v>512</v>
      </c>
      <c r="H268" s="830" t="s">
        <v>290</v>
      </c>
      <c r="I268" s="830" t="s">
        <v>309</v>
      </c>
      <c r="J268" s="830" t="s">
        <v>286</v>
      </c>
      <c r="K268" s="830" t="s">
        <v>287</v>
      </c>
      <c r="M268" s="830" t="s">
        <v>4</v>
      </c>
      <c r="N268" s="830" t="s">
        <v>298</v>
      </c>
      <c r="O268" s="830">
        <v>388</v>
      </c>
      <c r="P268" s="830">
        <v>607769.81752030004</v>
      </c>
      <c r="Q268" s="830">
        <v>0.92516411642603202</v>
      </c>
      <c r="R268" s="830">
        <v>1.56065594543246</v>
      </c>
      <c r="S268" s="830">
        <v>0.194606527626077</v>
      </c>
      <c r="T268" s="831">
        <v>41711.644224536998</v>
      </c>
    </row>
    <row r="269" spans="1:20" ht="12.75" customHeight="1" x14ac:dyDescent="0.25">
      <c r="A269" s="830" t="s">
        <v>308</v>
      </c>
      <c r="B269" s="830">
        <v>2</v>
      </c>
      <c r="C269" s="830" t="s">
        <v>296</v>
      </c>
      <c r="D269" s="830" t="s">
        <v>297</v>
      </c>
      <c r="E269" s="830">
        <v>1</v>
      </c>
      <c r="F269" s="830" t="s">
        <v>284</v>
      </c>
      <c r="G269" s="830" t="s">
        <v>512</v>
      </c>
      <c r="H269" s="830" t="s">
        <v>290</v>
      </c>
      <c r="I269" s="830" t="s">
        <v>309</v>
      </c>
      <c r="J269" s="830" t="s">
        <v>286</v>
      </c>
      <c r="K269" s="830" t="s">
        <v>287</v>
      </c>
      <c r="M269" s="830" t="s">
        <v>5</v>
      </c>
      <c r="N269" s="830" t="s">
        <v>298</v>
      </c>
      <c r="O269" s="830">
        <v>580</v>
      </c>
      <c r="P269" s="830">
        <v>975232.60376570094</v>
      </c>
      <c r="Q269" s="830">
        <v>1.0075515439965801</v>
      </c>
      <c r="R269" s="830">
        <v>1.1583239555656799</v>
      </c>
      <c r="S269" s="830">
        <v>0.13262694852418899</v>
      </c>
      <c r="T269" s="831">
        <v>41711.644224536998</v>
      </c>
    </row>
    <row r="270" spans="1:20" ht="12.75" customHeight="1" x14ac:dyDescent="0.25">
      <c r="A270" s="830" t="s">
        <v>308</v>
      </c>
      <c r="B270" s="830">
        <v>2</v>
      </c>
      <c r="C270" s="830" t="s">
        <v>296</v>
      </c>
      <c r="D270" s="830" t="s">
        <v>297</v>
      </c>
      <c r="E270" s="830">
        <v>1</v>
      </c>
      <c r="F270" s="830" t="s">
        <v>284</v>
      </c>
      <c r="G270" s="830" t="s">
        <v>512</v>
      </c>
      <c r="H270" s="830" t="s">
        <v>290</v>
      </c>
      <c r="I270" s="830" t="s">
        <v>309</v>
      </c>
      <c r="J270" s="830" t="s">
        <v>286</v>
      </c>
      <c r="K270" s="830" t="s">
        <v>287</v>
      </c>
      <c r="M270" s="830" t="s">
        <v>6</v>
      </c>
      <c r="N270" s="830" t="s">
        <v>298</v>
      </c>
      <c r="O270" s="830">
        <v>1057</v>
      </c>
      <c r="P270" s="830">
        <v>760588.46623699996</v>
      </c>
      <c r="Q270" s="830">
        <v>1.10915001918962</v>
      </c>
      <c r="R270" s="830">
        <v>0.96777502184948905</v>
      </c>
      <c r="S270" s="830">
        <v>0.10065912015586299</v>
      </c>
      <c r="T270" s="831">
        <v>41711.644224536998</v>
      </c>
    </row>
    <row r="271" spans="1:20" ht="12.75" customHeight="1" x14ac:dyDescent="0.25">
      <c r="A271" s="830" t="s">
        <v>308</v>
      </c>
      <c r="B271" s="830">
        <v>2</v>
      </c>
      <c r="C271" s="830" t="s">
        <v>296</v>
      </c>
      <c r="D271" s="830" t="s">
        <v>297</v>
      </c>
      <c r="E271" s="830">
        <v>1</v>
      </c>
      <c r="F271" s="830" t="s">
        <v>284</v>
      </c>
      <c r="G271" s="830" t="s">
        <v>512</v>
      </c>
      <c r="H271" s="830" t="s">
        <v>290</v>
      </c>
      <c r="I271" s="830" t="s">
        <v>309</v>
      </c>
      <c r="J271" s="830" t="s">
        <v>286</v>
      </c>
      <c r="K271" s="830" t="s">
        <v>287</v>
      </c>
      <c r="M271" s="830" t="s">
        <v>7</v>
      </c>
      <c r="N271" s="830" t="s">
        <v>298</v>
      </c>
      <c r="O271" s="830">
        <v>629</v>
      </c>
      <c r="P271" s="830">
        <v>332519.05184079998</v>
      </c>
      <c r="Q271" s="830">
        <v>0.99606851920570905</v>
      </c>
      <c r="R271" s="830">
        <v>0.96834719754402798</v>
      </c>
      <c r="S271" s="830">
        <v>0.112153000700966</v>
      </c>
      <c r="T271" s="831">
        <v>41711.644224536998</v>
      </c>
    </row>
    <row r="272" spans="1:20" ht="12.75" customHeight="1" x14ac:dyDescent="0.25">
      <c r="A272" s="830" t="s">
        <v>308</v>
      </c>
      <c r="B272" s="830">
        <v>2</v>
      </c>
      <c r="C272" s="830" t="s">
        <v>296</v>
      </c>
      <c r="D272" s="830" t="s">
        <v>297</v>
      </c>
      <c r="E272" s="830">
        <v>1</v>
      </c>
      <c r="F272" s="830" t="s">
        <v>284</v>
      </c>
      <c r="G272" s="830" t="s">
        <v>512</v>
      </c>
      <c r="H272" s="830" t="s">
        <v>290</v>
      </c>
      <c r="I272" s="830" t="s">
        <v>309</v>
      </c>
      <c r="J272" s="830" t="s">
        <v>286</v>
      </c>
      <c r="K272" s="830" t="s">
        <v>287</v>
      </c>
      <c r="M272" s="830" t="s">
        <v>8</v>
      </c>
      <c r="N272" s="830" t="s">
        <v>298</v>
      </c>
      <c r="O272" s="830">
        <v>404</v>
      </c>
      <c r="P272" s="830">
        <v>184380.10302050001</v>
      </c>
      <c r="Q272" s="830">
        <v>1.037916738874</v>
      </c>
      <c r="R272" s="830">
        <v>1.64131950376383</v>
      </c>
      <c r="S272" s="830">
        <v>0.182431414885251</v>
      </c>
      <c r="T272" s="831">
        <v>41711.644224536998</v>
      </c>
    </row>
    <row r="273" spans="1:20" ht="12.75" customHeight="1" x14ac:dyDescent="0.25">
      <c r="A273" s="830" t="s">
        <v>308</v>
      </c>
      <c r="B273" s="830">
        <v>2</v>
      </c>
      <c r="C273" s="830" t="s">
        <v>296</v>
      </c>
      <c r="D273" s="830" t="s">
        <v>297</v>
      </c>
      <c r="E273" s="830">
        <v>1</v>
      </c>
      <c r="F273" s="830" t="s">
        <v>284</v>
      </c>
      <c r="G273" s="830" t="s">
        <v>512</v>
      </c>
      <c r="H273" s="830" t="s">
        <v>290</v>
      </c>
      <c r="I273" s="830" t="s">
        <v>309</v>
      </c>
      <c r="J273" s="830" t="s">
        <v>286</v>
      </c>
      <c r="K273" s="830" t="s">
        <v>287</v>
      </c>
      <c r="M273" s="830" t="s">
        <v>9</v>
      </c>
      <c r="N273" s="830" t="s">
        <v>298</v>
      </c>
      <c r="O273" s="830">
        <v>203</v>
      </c>
      <c r="P273" s="830">
        <v>85257.096231899995</v>
      </c>
      <c r="Q273" s="830">
        <v>0.73623468661497604</v>
      </c>
      <c r="R273" s="830">
        <v>1.2045631531767</v>
      </c>
      <c r="S273" s="830">
        <v>0.18874797967409701</v>
      </c>
      <c r="T273" s="831">
        <v>41711.644224536998</v>
      </c>
    </row>
    <row r="274" spans="1:20" ht="12.75" customHeight="1" x14ac:dyDescent="0.25">
      <c r="A274" s="830" t="s">
        <v>308</v>
      </c>
      <c r="B274" s="830">
        <v>3</v>
      </c>
      <c r="C274" s="830" t="s">
        <v>299</v>
      </c>
      <c r="D274" s="830" t="s">
        <v>300</v>
      </c>
      <c r="E274" s="830">
        <v>1</v>
      </c>
      <c r="F274" s="830" t="s">
        <v>284</v>
      </c>
      <c r="G274" s="830" t="s">
        <v>512</v>
      </c>
      <c r="H274" s="830" t="s">
        <v>285</v>
      </c>
      <c r="I274" s="830" t="s">
        <v>308</v>
      </c>
      <c r="J274" s="830" t="s">
        <v>286</v>
      </c>
      <c r="K274" s="830" t="s">
        <v>287</v>
      </c>
      <c r="M274" s="830" t="s">
        <v>288</v>
      </c>
      <c r="N274" s="830" t="s">
        <v>289</v>
      </c>
      <c r="O274" s="830">
        <v>7811</v>
      </c>
      <c r="P274" s="830">
        <v>6730594.7562380303</v>
      </c>
      <c r="Q274" s="830">
        <v>0.28045578390172221</v>
      </c>
      <c r="R274" s="830">
        <v>4.50489683536765E-2</v>
      </c>
      <c r="S274" s="830">
        <v>0.174531861326259</v>
      </c>
      <c r="T274" s="831">
        <v>41711.644224536998</v>
      </c>
    </row>
    <row r="275" spans="1:20" ht="12.75" customHeight="1" x14ac:dyDescent="0.25">
      <c r="A275" s="830" t="s">
        <v>308</v>
      </c>
      <c r="B275" s="830">
        <v>3</v>
      </c>
      <c r="C275" s="830" t="s">
        <v>299</v>
      </c>
      <c r="D275" s="830" t="s">
        <v>300</v>
      </c>
      <c r="E275" s="830">
        <v>1</v>
      </c>
      <c r="F275" s="830" t="s">
        <v>284</v>
      </c>
      <c r="G275" s="830" t="s">
        <v>512</v>
      </c>
      <c r="H275" s="830" t="s">
        <v>290</v>
      </c>
      <c r="I275" s="830" t="s">
        <v>309</v>
      </c>
      <c r="J275" s="830" t="s">
        <v>286</v>
      </c>
      <c r="K275" s="830" t="s">
        <v>287</v>
      </c>
      <c r="M275" s="830" t="s">
        <v>288</v>
      </c>
      <c r="N275" s="830" t="s">
        <v>289</v>
      </c>
      <c r="O275" s="830">
        <v>7811</v>
      </c>
      <c r="P275" s="830">
        <v>6730594.7562380303</v>
      </c>
      <c r="Q275" s="830">
        <v>0.3594958382064582</v>
      </c>
      <c r="R275" s="830">
        <v>1.7327200017710799E-2</v>
      </c>
      <c r="S275" s="830">
        <v>4.2586897969199199E-2</v>
      </c>
      <c r="T275" s="831">
        <v>41711.644224536998</v>
      </c>
    </row>
    <row r="276" spans="1:20" ht="12.75" customHeight="1" x14ac:dyDescent="0.25">
      <c r="A276" s="830" t="s">
        <v>308</v>
      </c>
      <c r="B276" s="830">
        <v>3</v>
      </c>
      <c r="C276" s="830" t="s">
        <v>299</v>
      </c>
      <c r="D276" s="830" t="s">
        <v>300</v>
      </c>
      <c r="E276" s="830">
        <v>1</v>
      </c>
      <c r="F276" s="830" t="s">
        <v>284</v>
      </c>
      <c r="G276" s="830" t="s">
        <v>512</v>
      </c>
      <c r="H276" s="830" t="s">
        <v>291</v>
      </c>
      <c r="I276" s="830" t="s">
        <v>310</v>
      </c>
      <c r="J276" s="830" t="s">
        <v>286</v>
      </c>
      <c r="K276" s="830" t="s">
        <v>287</v>
      </c>
      <c r="M276" s="830" t="s">
        <v>288</v>
      </c>
      <c r="N276" s="830" t="s">
        <v>289</v>
      </c>
      <c r="O276" s="830">
        <v>7811</v>
      </c>
      <c r="P276" s="830">
        <v>6730594.7562380303</v>
      </c>
      <c r="Q276" s="830">
        <v>27.0594720137263</v>
      </c>
      <c r="R276" s="830">
        <v>0.79202558177553595</v>
      </c>
      <c r="S276" s="830">
        <v>2.9269809158647599E-2</v>
      </c>
      <c r="T276" s="831">
        <v>41711.644224536998</v>
      </c>
    </row>
    <row r="277" spans="1:20" ht="12.75" customHeight="1" x14ac:dyDescent="0.25">
      <c r="A277" s="830" t="s">
        <v>308</v>
      </c>
      <c r="B277" s="830">
        <v>3</v>
      </c>
      <c r="C277" s="830" t="s">
        <v>299</v>
      </c>
      <c r="D277" s="830" t="s">
        <v>300</v>
      </c>
      <c r="E277" s="830">
        <v>1</v>
      </c>
      <c r="F277" s="830" t="s">
        <v>284</v>
      </c>
      <c r="G277" s="830" t="s">
        <v>512</v>
      </c>
      <c r="H277" s="830" t="s">
        <v>292</v>
      </c>
      <c r="I277" s="830" t="s">
        <v>311</v>
      </c>
      <c r="J277" s="830" t="s">
        <v>286</v>
      </c>
      <c r="K277" s="830" t="s">
        <v>287</v>
      </c>
      <c r="M277" s="830" t="s">
        <v>288</v>
      </c>
      <c r="N277" s="830" t="s">
        <v>289</v>
      </c>
      <c r="O277" s="830">
        <v>7811</v>
      </c>
      <c r="P277" s="830">
        <v>6730594.7562380303</v>
      </c>
      <c r="Q277" s="830">
        <v>0.42516541002301639</v>
      </c>
      <c r="R277" s="830">
        <v>9.74024538649962E-2</v>
      </c>
      <c r="S277" s="830">
        <v>0.119317731302114</v>
      </c>
      <c r="T277" s="831">
        <v>41711.644224536998</v>
      </c>
    </row>
    <row r="278" spans="1:20" ht="12.75" customHeight="1" x14ac:dyDescent="0.25">
      <c r="A278" s="830" t="s">
        <v>308</v>
      </c>
      <c r="B278" s="830">
        <v>3</v>
      </c>
      <c r="C278" s="830" t="s">
        <v>299</v>
      </c>
      <c r="D278" s="830" t="s">
        <v>300</v>
      </c>
      <c r="E278" s="830">
        <v>1</v>
      </c>
      <c r="F278" s="830" t="s">
        <v>284</v>
      </c>
      <c r="G278" s="830" t="s">
        <v>512</v>
      </c>
      <c r="H278" s="830" t="s">
        <v>293</v>
      </c>
      <c r="I278" s="830" t="s">
        <v>442</v>
      </c>
      <c r="J278" s="830" t="s">
        <v>286</v>
      </c>
      <c r="K278" s="830" t="s">
        <v>287</v>
      </c>
      <c r="M278" s="830" t="s">
        <v>288</v>
      </c>
      <c r="N278" s="830" t="s">
        <v>289</v>
      </c>
      <c r="O278" s="830">
        <v>7811</v>
      </c>
      <c r="P278" s="830">
        <v>6730594.7562380303</v>
      </c>
      <c r="Q278" s="830">
        <v>1.0886499009670347</v>
      </c>
      <c r="R278" s="830">
        <v>0.182297845370502</v>
      </c>
      <c r="S278" s="830">
        <v>0.33739562450350802</v>
      </c>
      <c r="T278" s="831">
        <v>41711.644224536998</v>
      </c>
    </row>
    <row r="279" spans="1:20" ht="12.75" customHeight="1" x14ac:dyDescent="0.25">
      <c r="A279" s="830" t="s">
        <v>308</v>
      </c>
      <c r="B279" s="830">
        <v>3</v>
      </c>
      <c r="C279" s="830" t="s">
        <v>299</v>
      </c>
      <c r="D279" s="830" t="s">
        <v>300</v>
      </c>
      <c r="E279" s="830">
        <v>1</v>
      </c>
      <c r="F279" s="830" t="s">
        <v>284</v>
      </c>
      <c r="G279" s="830" t="s">
        <v>512</v>
      </c>
      <c r="H279" s="830" t="s">
        <v>294</v>
      </c>
      <c r="I279" s="830" t="s">
        <v>443</v>
      </c>
      <c r="J279" s="830" t="s">
        <v>286</v>
      </c>
      <c r="K279" s="830" t="s">
        <v>287</v>
      </c>
      <c r="M279" s="830" t="s">
        <v>288</v>
      </c>
      <c r="N279" s="830" t="s">
        <v>289</v>
      </c>
      <c r="O279" s="830">
        <v>7811</v>
      </c>
      <c r="P279" s="830">
        <v>6730594.7562380303</v>
      </c>
      <c r="Q279" s="830">
        <v>1.0886499009670347</v>
      </c>
      <c r="R279" s="830">
        <v>0.107103162193235</v>
      </c>
      <c r="S279" s="830">
        <v>0.29002309738397197</v>
      </c>
      <c r="T279" s="831">
        <v>41711.644224536998</v>
      </c>
    </row>
    <row r="280" spans="1:20" ht="12.75" customHeight="1" x14ac:dyDescent="0.25">
      <c r="A280" s="830" t="s">
        <v>308</v>
      </c>
      <c r="B280" s="830">
        <v>3</v>
      </c>
      <c r="C280" s="830" t="s">
        <v>299</v>
      </c>
      <c r="D280" s="830" t="s">
        <v>300</v>
      </c>
      <c r="E280" s="830">
        <v>1</v>
      </c>
      <c r="F280" s="830" t="s">
        <v>284</v>
      </c>
      <c r="G280" s="830" t="s">
        <v>512</v>
      </c>
      <c r="H280" s="830" t="s">
        <v>295</v>
      </c>
      <c r="I280" s="830" t="s">
        <v>444</v>
      </c>
      <c r="J280" s="830" t="s">
        <v>286</v>
      </c>
      <c r="K280" s="830" t="s">
        <v>287</v>
      </c>
      <c r="M280" s="830" t="s">
        <v>288</v>
      </c>
      <c r="N280" s="830" t="s">
        <v>289</v>
      </c>
      <c r="O280" s="830">
        <v>7811</v>
      </c>
      <c r="P280" s="830">
        <v>6730594.7562380303</v>
      </c>
      <c r="Q280" s="830">
        <v>1.0886499009670347</v>
      </c>
      <c r="R280" s="830">
        <v>0.12756237326804601</v>
      </c>
      <c r="S280" s="830">
        <v>0.36547480793418802</v>
      </c>
      <c r="T280" s="831">
        <v>41711.644224536998</v>
      </c>
    </row>
    <row r="281" spans="1:20" ht="12.75" customHeight="1" x14ac:dyDescent="0.25">
      <c r="A281" s="830" t="s">
        <v>308</v>
      </c>
      <c r="B281" s="830">
        <v>9</v>
      </c>
      <c r="C281" s="830" t="s">
        <v>303</v>
      </c>
      <c r="D281" s="830" t="s">
        <v>304</v>
      </c>
      <c r="F281" s="830" t="s">
        <v>284</v>
      </c>
      <c r="G281" s="830" t="s">
        <v>512</v>
      </c>
      <c r="J281" s="830" t="s">
        <v>305</v>
      </c>
      <c r="K281" s="830" t="s">
        <v>306</v>
      </c>
      <c r="L281" s="830" t="s">
        <v>308</v>
      </c>
      <c r="M281" s="830" t="s">
        <v>249</v>
      </c>
      <c r="N281" s="830" t="s">
        <v>27</v>
      </c>
      <c r="T281" s="831">
        <v>41736.707534722198</v>
      </c>
    </row>
    <row r="282" spans="1:20" ht="12.75" customHeight="1" x14ac:dyDescent="0.25">
      <c r="A282" s="830" t="s">
        <v>308</v>
      </c>
      <c r="B282" s="830">
        <v>9</v>
      </c>
      <c r="C282" s="830" t="s">
        <v>303</v>
      </c>
      <c r="D282" s="830" t="s">
        <v>304</v>
      </c>
      <c r="F282" s="830" t="s">
        <v>284</v>
      </c>
      <c r="G282" s="830" t="s">
        <v>512</v>
      </c>
      <c r="J282" s="830" t="s">
        <v>305</v>
      </c>
      <c r="K282" s="830" t="s">
        <v>306</v>
      </c>
      <c r="L282" s="830" t="s">
        <v>308</v>
      </c>
      <c r="M282" s="830" t="s">
        <v>244</v>
      </c>
      <c r="N282" s="830" t="s">
        <v>27</v>
      </c>
      <c r="T282" s="831">
        <v>41736.707534722198</v>
      </c>
    </row>
    <row r="283" spans="1:20" ht="12.75" customHeight="1" x14ac:dyDescent="0.25">
      <c r="A283" s="830" t="s">
        <v>308</v>
      </c>
      <c r="B283" s="830">
        <v>9</v>
      </c>
      <c r="C283" s="830" t="s">
        <v>303</v>
      </c>
      <c r="D283" s="830" t="s">
        <v>304</v>
      </c>
      <c r="F283" s="830" t="s">
        <v>284</v>
      </c>
      <c r="G283" s="830" t="s">
        <v>512</v>
      </c>
      <c r="J283" s="830" t="s">
        <v>305</v>
      </c>
      <c r="K283" s="830" t="s">
        <v>306</v>
      </c>
      <c r="L283" s="830" t="s">
        <v>308</v>
      </c>
      <c r="M283" s="830" t="s">
        <v>4</v>
      </c>
      <c r="N283" s="830" t="s">
        <v>27</v>
      </c>
      <c r="O283" s="830">
        <v>58</v>
      </c>
      <c r="Q283" s="830">
        <v>8.8666666666666707</v>
      </c>
      <c r="T283" s="831">
        <v>41736.707534722198</v>
      </c>
    </row>
    <row r="284" spans="1:20" ht="12.75" customHeight="1" x14ac:dyDescent="0.25">
      <c r="A284" s="830" t="s">
        <v>308</v>
      </c>
      <c r="B284" s="830">
        <v>9</v>
      </c>
      <c r="C284" s="830" t="s">
        <v>303</v>
      </c>
      <c r="D284" s="830" t="s">
        <v>304</v>
      </c>
      <c r="F284" s="830" t="s">
        <v>284</v>
      </c>
      <c r="G284" s="830" t="s">
        <v>512</v>
      </c>
      <c r="J284" s="830" t="s">
        <v>305</v>
      </c>
      <c r="K284" s="830" t="s">
        <v>306</v>
      </c>
      <c r="L284" s="830" t="s">
        <v>308</v>
      </c>
      <c r="M284" s="830" t="s">
        <v>5</v>
      </c>
      <c r="N284" s="830" t="s">
        <v>27</v>
      </c>
      <c r="O284" s="830">
        <v>173</v>
      </c>
      <c r="Q284" s="830">
        <v>41</v>
      </c>
      <c r="T284" s="831">
        <v>41736.707534722198</v>
      </c>
    </row>
    <row r="285" spans="1:20" ht="12.75" customHeight="1" x14ac:dyDescent="0.25">
      <c r="A285" s="830" t="s">
        <v>308</v>
      </c>
      <c r="B285" s="830">
        <v>9</v>
      </c>
      <c r="C285" s="830" t="s">
        <v>303</v>
      </c>
      <c r="D285" s="830" t="s">
        <v>304</v>
      </c>
      <c r="F285" s="830" t="s">
        <v>284</v>
      </c>
      <c r="G285" s="830" t="s">
        <v>512</v>
      </c>
      <c r="J285" s="830" t="s">
        <v>305</v>
      </c>
      <c r="K285" s="830" t="s">
        <v>306</v>
      </c>
      <c r="L285" s="830" t="s">
        <v>308</v>
      </c>
      <c r="M285" s="830" t="s">
        <v>6</v>
      </c>
      <c r="N285" s="830" t="s">
        <v>27</v>
      </c>
      <c r="O285" s="830">
        <v>322</v>
      </c>
      <c r="Q285" s="830">
        <v>41.65</v>
      </c>
      <c r="T285" s="831">
        <v>41736.707534722198</v>
      </c>
    </row>
    <row r="286" spans="1:20" ht="12.75" customHeight="1" x14ac:dyDescent="0.25">
      <c r="A286" s="830" t="s">
        <v>308</v>
      </c>
      <c r="B286" s="830">
        <v>9</v>
      </c>
      <c r="C286" s="830" t="s">
        <v>303</v>
      </c>
      <c r="D286" s="830" t="s">
        <v>304</v>
      </c>
      <c r="F286" s="830" t="s">
        <v>284</v>
      </c>
      <c r="G286" s="830" t="s">
        <v>512</v>
      </c>
      <c r="J286" s="830" t="s">
        <v>305</v>
      </c>
      <c r="K286" s="830" t="s">
        <v>306</v>
      </c>
      <c r="L286" s="830" t="s">
        <v>308</v>
      </c>
      <c r="M286" s="830" t="s">
        <v>7</v>
      </c>
      <c r="N286" s="830" t="s">
        <v>27</v>
      </c>
      <c r="O286" s="830">
        <v>230</v>
      </c>
      <c r="Q286" s="830">
        <v>32.799999999999997</v>
      </c>
      <c r="T286" s="831">
        <v>41736.707534722198</v>
      </c>
    </row>
    <row r="287" spans="1:20" ht="12.75" customHeight="1" x14ac:dyDescent="0.25">
      <c r="A287" s="830" t="s">
        <v>308</v>
      </c>
      <c r="B287" s="830">
        <v>9</v>
      </c>
      <c r="C287" s="830" t="s">
        <v>303</v>
      </c>
      <c r="D287" s="830" t="s">
        <v>304</v>
      </c>
      <c r="F287" s="830" t="s">
        <v>284</v>
      </c>
      <c r="G287" s="830" t="s">
        <v>512</v>
      </c>
      <c r="J287" s="830" t="s">
        <v>305</v>
      </c>
      <c r="K287" s="830" t="s">
        <v>306</v>
      </c>
      <c r="L287" s="830" t="s">
        <v>308</v>
      </c>
      <c r="M287" s="830" t="s">
        <v>8</v>
      </c>
      <c r="N287" s="830" t="s">
        <v>27</v>
      </c>
      <c r="O287" s="830">
        <v>160</v>
      </c>
      <c r="Q287" s="830">
        <v>5.8333333333333304</v>
      </c>
      <c r="T287" s="831">
        <v>41736.707534722198</v>
      </c>
    </row>
    <row r="288" spans="1:20" ht="12.75" customHeight="1" x14ac:dyDescent="0.25">
      <c r="A288" s="830" t="s">
        <v>308</v>
      </c>
      <c r="B288" s="830">
        <v>9</v>
      </c>
      <c r="C288" s="830" t="s">
        <v>303</v>
      </c>
      <c r="D288" s="830" t="s">
        <v>304</v>
      </c>
      <c r="F288" s="830" t="s">
        <v>284</v>
      </c>
      <c r="G288" s="830" t="s">
        <v>512</v>
      </c>
      <c r="J288" s="830" t="s">
        <v>305</v>
      </c>
      <c r="K288" s="830" t="s">
        <v>306</v>
      </c>
      <c r="L288" s="830" t="s">
        <v>308</v>
      </c>
      <c r="M288" s="830" t="s">
        <v>9</v>
      </c>
      <c r="N288" s="830" t="s">
        <v>27</v>
      </c>
      <c r="O288" s="830">
        <v>116</v>
      </c>
      <c r="Q288" s="830">
        <v>6.5</v>
      </c>
      <c r="T288" s="831">
        <v>41736.707534722198</v>
      </c>
    </row>
    <row r="289" spans="1:20" ht="12.75" customHeight="1" x14ac:dyDescent="0.25">
      <c r="A289" s="830" t="s">
        <v>308</v>
      </c>
      <c r="B289" s="830">
        <v>9</v>
      </c>
      <c r="C289" s="830" t="s">
        <v>303</v>
      </c>
      <c r="D289" s="830" t="s">
        <v>304</v>
      </c>
      <c r="F289" s="830" t="s">
        <v>284</v>
      </c>
      <c r="G289" s="830" t="s">
        <v>512</v>
      </c>
      <c r="J289" s="830" t="s">
        <v>305</v>
      </c>
      <c r="K289" s="830" t="s">
        <v>306</v>
      </c>
      <c r="L289" s="830" t="s">
        <v>308</v>
      </c>
      <c r="M289" s="830" t="s">
        <v>249</v>
      </c>
      <c r="N289" s="830" t="s">
        <v>26</v>
      </c>
      <c r="T289" s="831">
        <v>41736.707534722198</v>
      </c>
    </row>
    <row r="290" spans="1:20" ht="12.75" customHeight="1" x14ac:dyDescent="0.25">
      <c r="A290" s="830" t="s">
        <v>308</v>
      </c>
      <c r="B290" s="830">
        <v>9</v>
      </c>
      <c r="C290" s="830" t="s">
        <v>303</v>
      </c>
      <c r="D290" s="830" t="s">
        <v>304</v>
      </c>
      <c r="F290" s="830" t="s">
        <v>284</v>
      </c>
      <c r="G290" s="830" t="s">
        <v>512</v>
      </c>
      <c r="J290" s="830" t="s">
        <v>305</v>
      </c>
      <c r="K290" s="830" t="s">
        <v>306</v>
      </c>
      <c r="L290" s="830" t="s">
        <v>308</v>
      </c>
      <c r="M290" s="830" t="s">
        <v>244</v>
      </c>
      <c r="N290" s="830" t="s">
        <v>26</v>
      </c>
      <c r="T290" s="831">
        <v>41736.707534722198</v>
      </c>
    </row>
    <row r="291" spans="1:20" ht="12.75" customHeight="1" x14ac:dyDescent="0.25">
      <c r="A291" s="830" t="s">
        <v>308</v>
      </c>
      <c r="B291" s="830">
        <v>9</v>
      </c>
      <c r="C291" s="830" t="s">
        <v>303</v>
      </c>
      <c r="D291" s="830" t="s">
        <v>304</v>
      </c>
      <c r="F291" s="830" t="s">
        <v>284</v>
      </c>
      <c r="G291" s="830" t="s">
        <v>512</v>
      </c>
      <c r="J291" s="830" t="s">
        <v>305</v>
      </c>
      <c r="K291" s="830" t="s">
        <v>306</v>
      </c>
      <c r="L291" s="830" t="s">
        <v>308</v>
      </c>
      <c r="M291" s="830" t="s">
        <v>4</v>
      </c>
      <c r="N291" s="830" t="s">
        <v>26</v>
      </c>
      <c r="O291" s="830">
        <v>59</v>
      </c>
      <c r="Q291" s="830">
        <v>57.8</v>
      </c>
      <c r="T291" s="831">
        <v>41736.707534722198</v>
      </c>
    </row>
    <row r="292" spans="1:20" ht="12.75" customHeight="1" x14ac:dyDescent="0.25">
      <c r="A292" s="830" t="s">
        <v>308</v>
      </c>
      <c r="B292" s="830">
        <v>9</v>
      </c>
      <c r="C292" s="830" t="s">
        <v>303</v>
      </c>
      <c r="D292" s="830" t="s">
        <v>304</v>
      </c>
      <c r="F292" s="830" t="s">
        <v>284</v>
      </c>
      <c r="G292" s="830" t="s">
        <v>512</v>
      </c>
      <c r="J292" s="830" t="s">
        <v>305</v>
      </c>
      <c r="K292" s="830" t="s">
        <v>306</v>
      </c>
      <c r="L292" s="830" t="s">
        <v>308</v>
      </c>
      <c r="M292" s="830" t="s">
        <v>5</v>
      </c>
      <c r="N292" s="830" t="s">
        <v>26</v>
      </c>
      <c r="O292" s="830">
        <v>130</v>
      </c>
      <c r="Q292" s="830">
        <v>51.25</v>
      </c>
      <c r="T292" s="831">
        <v>41736.707534722198</v>
      </c>
    </row>
    <row r="293" spans="1:20" ht="12.75" customHeight="1" x14ac:dyDescent="0.25">
      <c r="A293" s="830" t="s">
        <v>308</v>
      </c>
      <c r="B293" s="830">
        <v>9</v>
      </c>
      <c r="C293" s="830" t="s">
        <v>303</v>
      </c>
      <c r="D293" s="830" t="s">
        <v>304</v>
      </c>
      <c r="F293" s="830" t="s">
        <v>284</v>
      </c>
      <c r="G293" s="830" t="s">
        <v>512</v>
      </c>
      <c r="J293" s="830" t="s">
        <v>305</v>
      </c>
      <c r="K293" s="830" t="s">
        <v>306</v>
      </c>
      <c r="L293" s="830" t="s">
        <v>308</v>
      </c>
      <c r="M293" s="830" t="s">
        <v>6</v>
      </c>
      <c r="N293" s="830" t="s">
        <v>26</v>
      </c>
      <c r="O293" s="830">
        <v>251</v>
      </c>
      <c r="Q293" s="830">
        <v>58.274999999999999</v>
      </c>
      <c r="T293" s="831">
        <v>41736.707534722198</v>
      </c>
    </row>
    <row r="294" spans="1:20" ht="12.75" customHeight="1" x14ac:dyDescent="0.25">
      <c r="A294" s="830" t="s">
        <v>308</v>
      </c>
      <c r="B294" s="830">
        <v>9</v>
      </c>
      <c r="C294" s="830" t="s">
        <v>303</v>
      </c>
      <c r="D294" s="830" t="s">
        <v>304</v>
      </c>
      <c r="F294" s="830" t="s">
        <v>284</v>
      </c>
      <c r="G294" s="830" t="s">
        <v>512</v>
      </c>
      <c r="J294" s="830" t="s">
        <v>305</v>
      </c>
      <c r="K294" s="830" t="s">
        <v>306</v>
      </c>
      <c r="L294" s="830" t="s">
        <v>308</v>
      </c>
      <c r="M294" s="830" t="s">
        <v>7</v>
      </c>
      <c r="N294" s="830" t="s">
        <v>26</v>
      </c>
      <c r="O294" s="830">
        <v>155</v>
      </c>
      <c r="Q294" s="830">
        <v>41</v>
      </c>
      <c r="T294" s="831">
        <v>41736.707534722198</v>
      </c>
    </row>
    <row r="295" spans="1:20" ht="12.75" customHeight="1" x14ac:dyDescent="0.25">
      <c r="A295" s="830" t="s">
        <v>308</v>
      </c>
      <c r="B295" s="830">
        <v>9</v>
      </c>
      <c r="C295" s="830" t="s">
        <v>303</v>
      </c>
      <c r="D295" s="830" t="s">
        <v>304</v>
      </c>
      <c r="F295" s="830" t="s">
        <v>284</v>
      </c>
      <c r="G295" s="830" t="s">
        <v>512</v>
      </c>
      <c r="J295" s="830" t="s">
        <v>305</v>
      </c>
      <c r="K295" s="830" t="s">
        <v>306</v>
      </c>
      <c r="L295" s="830" t="s">
        <v>308</v>
      </c>
      <c r="M295" s="830" t="s">
        <v>8</v>
      </c>
      <c r="N295" s="830" t="s">
        <v>26</v>
      </c>
      <c r="O295" s="830">
        <v>99</v>
      </c>
      <c r="Q295" s="830">
        <v>4.375</v>
      </c>
      <c r="T295" s="831">
        <v>41736.707534722198</v>
      </c>
    </row>
    <row r="296" spans="1:20" ht="12.75" customHeight="1" x14ac:dyDescent="0.25">
      <c r="A296" s="830" t="s">
        <v>308</v>
      </c>
      <c r="B296" s="830">
        <v>9</v>
      </c>
      <c r="C296" s="830" t="s">
        <v>303</v>
      </c>
      <c r="D296" s="830" t="s">
        <v>304</v>
      </c>
      <c r="F296" s="830" t="s">
        <v>284</v>
      </c>
      <c r="G296" s="830" t="s">
        <v>512</v>
      </c>
      <c r="J296" s="830" t="s">
        <v>305</v>
      </c>
      <c r="K296" s="830" t="s">
        <v>306</v>
      </c>
      <c r="L296" s="830" t="s">
        <v>308</v>
      </c>
      <c r="M296" s="830" t="s">
        <v>9</v>
      </c>
      <c r="N296" s="830" t="s">
        <v>26</v>
      </c>
      <c r="O296" s="830">
        <v>62</v>
      </c>
      <c r="Q296" s="830">
        <v>0</v>
      </c>
      <c r="T296" s="831">
        <v>41736.707534722198</v>
      </c>
    </row>
    <row r="297" spans="1:20" ht="12.75" customHeight="1" x14ac:dyDescent="0.25">
      <c r="A297" s="830" t="s">
        <v>308</v>
      </c>
      <c r="B297" s="830">
        <v>9</v>
      </c>
      <c r="C297" s="830" t="s">
        <v>303</v>
      </c>
      <c r="D297" s="830" t="s">
        <v>304</v>
      </c>
      <c r="F297" s="830" t="s">
        <v>284</v>
      </c>
      <c r="G297" s="830" t="s">
        <v>512</v>
      </c>
      <c r="J297" s="830" t="s">
        <v>305</v>
      </c>
      <c r="K297" s="830" t="s">
        <v>306</v>
      </c>
      <c r="L297" s="830" t="s">
        <v>309</v>
      </c>
      <c r="M297" s="830" t="s">
        <v>249</v>
      </c>
      <c r="N297" s="830" t="s">
        <v>27</v>
      </c>
      <c r="T297" s="831">
        <v>41736.707534722198</v>
      </c>
    </row>
    <row r="298" spans="1:20" ht="12.75" customHeight="1" x14ac:dyDescent="0.25">
      <c r="A298" s="830" t="s">
        <v>308</v>
      </c>
      <c r="B298" s="830">
        <v>9</v>
      </c>
      <c r="C298" s="830" t="s">
        <v>303</v>
      </c>
      <c r="D298" s="830" t="s">
        <v>304</v>
      </c>
      <c r="F298" s="830" t="s">
        <v>284</v>
      </c>
      <c r="G298" s="830" t="s">
        <v>512</v>
      </c>
      <c r="J298" s="830" t="s">
        <v>305</v>
      </c>
      <c r="K298" s="830" t="s">
        <v>306</v>
      </c>
      <c r="L298" s="830" t="s">
        <v>309</v>
      </c>
      <c r="M298" s="830" t="s">
        <v>244</v>
      </c>
      <c r="N298" s="830" t="s">
        <v>27</v>
      </c>
      <c r="T298" s="831">
        <v>41736.707534722198</v>
      </c>
    </row>
    <row r="299" spans="1:20" ht="12.75" customHeight="1" x14ac:dyDescent="0.25">
      <c r="A299" s="830" t="s">
        <v>308</v>
      </c>
      <c r="B299" s="830">
        <v>9</v>
      </c>
      <c r="C299" s="830" t="s">
        <v>303</v>
      </c>
      <c r="D299" s="830" t="s">
        <v>304</v>
      </c>
      <c r="F299" s="830" t="s">
        <v>284</v>
      </c>
      <c r="G299" s="830" t="s">
        <v>512</v>
      </c>
      <c r="J299" s="830" t="s">
        <v>305</v>
      </c>
      <c r="K299" s="830" t="s">
        <v>306</v>
      </c>
      <c r="L299" s="830" t="s">
        <v>309</v>
      </c>
      <c r="M299" s="830" t="s">
        <v>4</v>
      </c>
      <c r="N299" s="830" t="s">
        <v>27</v>
      </c>
      <c r="O299" s="830">
        <v>65</v>
      </c>
      <c r="Q299" s="830">
        <v>24.6</v>
      </c>
      <c r="T299" s="831">
        <v>41736.707534722198</v>
      </c>
    </row>
    <row r="300" spans="1:20" ht="12.75" customHeight="1" x14ac:dyDescent="0.25">
      <c r="A300" s="830" t="s">
        <v>308</v>
      </c>
      <c r="B300" s="830">
        <v>9</v>
      </c>
      <c r="C300" s="830" t="s">
        <v>303</v>
      </c>
      <c r="D300" s="830" t="s">
        <v>304</v>
      </c>
      <c r="F300" s="830" t="s">
        <v>284</v>
      </c>
      <c r="G300" s="830" t="s">
        <v>512</v>
      </c>
      <c r="J300" s="830" t="s">
        <v>305</v>
      </c>
      <c r="K300" s="830" t="s">
        <v>306</v>
      </c>
      <c r="L300" s="830" t="s">
        <v>309</v>
      </c>
      <c r="M300" s="830" t="s">
        <v>5</v>
      </c>
      <c r="N300" s="830" t="s">
        <v>27</v>
      </c>
      <c r="O300" s="830">
        <v>191</v>
      </c>
      <c r="Q300" s="830">
        <v>35.875</v>
      </c>
      <c r="T300" s="831">
        <v>41736.707534722198</v>
      </c>
    </row>
    <row r="301" spans="1:20" ht="12.75" customHeight="1" x14ac:dyDescent="0.25">
      <c r="A301" s="830" t="s">
        <v>308</v>
      </c>
      <c r="B301" s="830">
        <v>9</v>
      </c>
      <c r="C301" s="830" t="s">
        <v>303</v>
      </c>
      <c r="D301" s="830" t="s">
        <v>304</v>
      </c>
      <c r="F301" s="830" t="s">
        <v>284</v>
      </c>
      <c r="G301" s="830" t="s">
        <v>512</v>
      </c>
      <c r="J301" s="830" t="s">
        <v>305</v>
      </c>
      <c r="K301" s="830" t="s">
        <v>306</v>
      </c>
      <c r="L301" s="830" t="s">
        <v>309</v>
      </c>
      <c r="M301" s="830" t="s">
        <v>6</v>
      </c>
      <c r="N301" s="830" t="s">
        <v>27</v>
      </c>
      <c r="O301" s="830">
        <v>329</v>
      </c>
      <c r="Q301" s="830">
        <v>43.05</v>
      </c>
      <c r="T301" s="831">
        <v>41736.707534722198</v>
      </c>
    </row>
    <row r="302" spans="1:20" ht="12.75" customHeight="1" x14ac:dyDescent="0.25">
      <c r="A302" s="830" t="s">
        <v>308</v>
      </c>
      <c r="B302" s="830">
        <v>9</v>
      </c>
      <c r="C302" s="830" t="s">
        <v>303</v>
      </c>
      <c r="D302" s="830" t="s">
        <v>304</v>
      </c>
      <c r="F302" s="830" t="s">
        <v>284</v>
      </c>
      <c r="G302" s="830" t="s">
        <v>512</v>
      </c>
      <c r="J302" s="830" t="s">
        <v>305</v>
      </c>
      <c r="K302" s="830" t="s">
        <v>306</v>
      </c>
      <c r="L302" s="830" t="s">
        <v>309</v>
      </c>
      <c r="M302" s="830" t="s">
        <v>7</v>
      </c>
      <c r="N302" s="830" t="s">
        <v>27</v>
      </c>
      <c r="O302" s="830">
        <v>230</v>
      </c>
      <c r="Q302" s="830">
        <v>18</v>
      </c>
      <c r="T302" s="831">
        <v>41736.707534722198</v>
      </c>
    </row>
    <row r="303" spans="1:20" ht="12.75" customHeight="1" x14ac:dyDescent="0.25">
      <c r="A303" s="830" t="s">
        <v>308</v>
      </c>
      <c r="B303" s="830">
        <v>9</v>
      </c>
      <c r="C303" s="830" t="s">
        <v>303</v>
      </c>
      <c r="D303" s="830" t="s">
        <v>304</v>
      </c>
      <c r="F303" s="830" t="s">
        <v>284</v>
      </c>
      <c r="G303" s="830" t="s">
        <v>512</v>
      </c>
      <c r="J303" s="830" t="s">
        <v>305</v>
      </c>
      <c r="K303" s="830" t="s">
        <v>306</v>
      </c>
      <c r="L303" s="830" t="s">
        <v>309</v>
      </c>
      <c r="M303" s="830" t="s">
        <v>8</v>
      </c>
      <c r="N303" s="830" t="s">
        <v>27</v>
      </c>
      <c r="O303" s="830">
        <v>171</v>
      </c>
      <c r="Q303" s="830">
        <v>5</v>
      </c>
      <c r="T303" s="831">
        <v>41736.707534722198</v>
      </c>
    </row>
    <row r="304" spans="1:20" ht="12.75" customHeight="1" x14ac:dyDescent="0.25">
      <c r="A304" s="830" t="s">
        <v>308</v>
      </c>
      <c r="B304" s="830">
        <v>9</v>
      </c>
      <c r="C304" s="830" t="s">
        <v>303</v>
      </c>
      <c r="D304" s="830" t="s">
        <v>304</v>
      </c>
      <c r="F304" s="830" t="s">
        <v>284</v>
      </c>
      <c r="G304" s="830" t="s">
        <v>512</v>
      </c>
      <c r="J304" s="830" t="s">
        <v>305</v>
      </c>
      <c r="K304" s="830" t="s">
        <v>306</v>
      </c>
      <c r="L304" s="830" t="s">
        <v>309</v>
      </c>
      <c r="M304" s="830" t="s">
        <v>9</v>
      </c>
      <c r="N304" s="830" t="s">
        <v>27</v>
      </c>
      <c r="O304" s="830">
        <v>116</v>
      </c>
      <c r="Q304" s="830">
        <v>3.125</v>
      </c>
      <c r="T304" s="831">
        <v>41736.707534722198</v>
      </c>
    </row>
    <row r="305" spans="1:20" ht="12.75" customHeight="1" x14ac:dyDescent="0.25">
      <c r="A305" s="830" t="s">
        <v>308</v>
      </c>
      <c r="B305" s="830">
        <v>9</v>
      </c>
      <c r="C305" s="830" t="s">
        <v>303</v>
      </c>
      <c r="D305" s="830" t="s">
        <v>304</v>
      </c>
      <c r="F305" s="830" t="s">
        <v>284</v>
      </c>
      <c r="G305" s="830" t="s">
        <v>512</v>
      </c>
      <c r="J305" s="830" t="s">
        <v>305</v>
      </c>
      <c r="K305" s="830" t="s">
        <v>306</v>
      </c>
      <c r="L305" s="830" t="s">
        <v>309</v>
      </c>
      <c r="M305" s="830" t="s">
        <v>249</v>
      </c>
      <c r="N305" s="830" t="s">
        <v>26</v>
      </c>
      <c r="T305" s="831">
        <v>41736.707534722198</v>
      </c>
    </row>
    <row r="306" spans="1:20" ht="12.75" customHeight="1" x14ac:dyDescent="0.25">
      <c r="A306" s="830" t="s">
        <v>308</v>
      </c>
      <c r="B306" s="830">
        <v>9</v>
      </c>
      <c r="C306" s="830" t="s">
        <v>303</v>
      </c>
      <c r="D306" s="830" t="s">
        <v>304</v>
      </c>
      <c r="F306" s="830" t="s">
        <v>284</v>
      </c>
      <c r="G306" s="830" t="s">
        <v>512</v>
      </c>
      <c r="J306" s="830" t="s">
        <v>305</v>
      </c>
      <c r="K306" s="830" t="s">
        <v>306</v>
      </c>
      <c r="L306" s="830" t="s">
        <v>309</v>
      </c>
      <c r="M306" s="830" t="s">
        <v>244</v>
      </c>
      <c r="N306" s="830" t="s">
        <v>26</v>
      </c>
      <c r="T306" s="831">
        <v>41736.707534722198</v>
      </c>
    </row>
    <row r="307" spans="1:20" ht="12.75" customHeight="1" x14ac:dyDescent="0.25">
      <c r="A307" s="830" t="s">
        <v>308</v>
      </c>
      <c r="B307" s="830">
        <v>9</v>
      </c>
      <c r="C307" s="830" t="s">
        <v>303</v>
      </c>
      <c r="D307" s="830" t="s">
        <v>304</v>
      </c>
      <c r="F307" s="830" t="s">
        <v>284</v>
      </c>
      <c r="G307" s="830" t="s">
        <v>512</v>
      </c>
      <c r="J307" s="830" t="s">
        <v>305</v>
      </c>
      <c r="K307" s="830" t="s">
        <v>306</v>
      </c>
      <c r="L307" s="830" t="s">
        <v>309</v>
      </c>
      <c r="M307" s="830" t="s">
        <v>4</v>
      </c>
      <c r="N307" s="830" t="s">
        <v>26</v>
      </c>
      <c r="O307" s="830">
        <v>60</v>
      </c>
      <c r="Q307" s="830">
        <v>41</v>
      </c>
      <c r="T307" s="831">
        <v>41736.707534722198</v>
      </c>
    </row>
    <row r="308" spans="1:20" ht="12.75" customHeight="1" x14ac:dyDescent="0.25">
      <c r="A308" s="830" t="s">
        <v>308</v>
      </c>
      <c r="B308" s="830">
        <v>9</v>
      </c>
      <c r="C308" s="830" t="s">
        <v>303</v>
      </c>
      <c r="D308" s="830" t="s">
        <v>304</v>
      </c>
      <c r="F308" s="830" t="s">
        <v>284</v>
      </c>
      <c r="G308" s="830" t="s">
        <v>512</v>
      </c>
      <c r="J308" s="830" t="s">
        <v>305</v>
      </c>
      <c r="K308" s="830" t="s">
        <v>306</v>
      </c>
      <c r="L308" s="830" t="s">
        <v>309</v>
      </c>
      <c r="M308" s="830" t="s">
        <v>5</v>
      </c>
      <c r="N308" s="830" t="s">
        <v>26</v>
      </c>
      <c r="O308" s="830">
        <v>126</v>
      </c>
      <c r="Q308" s="830">
        <v>51.25</v>
      </c>
      <c r="T308" s="831">
        <v>41736.707534722198</v>
      </c>
    </row>
    <row r="309" spans="1:20" ht="12.75" customHeight="1" x14ac:dyDescent="0.25">
      <c r="A309" s="830" t="s">
        <v>308</v>
      </c>
      <c r="B309" s="830">
        <v>9</v>
      </c>
      <c r="C309" s="830" t="s">
        <v>303</v>
      </c>
      <c r="D309" s="830" t="s">
        <v>304</v>
      </c>
      <c r="F309" s="830" t="s">
        <v>284</v>
      </c>
      <c r="G309" s="830" t="s">
        <v>512</v>
      </c>
      <c r="J309" s="830" t="s">
        <v>305</v>
      </c>
      <c r="K309" s="830" t="s">
        <v>306</v>
      </c>
      <c r="L309" s="830" t="s">
        <v>309</v>
      </c>
      <c r="M309" s="830" t="s">
        <v>6</v>
      </c>
      <c r="N309" s="830" t="s">
        <v>26</v>
      </c>
      <c r="O309" s="830">
        <v>219</v>
      </c>
      <c r="Q309" s="830">
        <v>61.5</v>
      </c>
      <c r="T309" s="831">
        <v>41736.707534722198</v>
      </c>
    </row>
    <row r="310" spans="1:20" ht="12.75" customHeight="1" x14ac:dyDescent="0.25">
      <c r="A310" s="830" t="s">
        <v>308</v>
      </c>
      <c r="B310" s="830">
        <v>9</v>
      </c>
      <c r="C310" s="830" t="s">
        <v>303</v>
      </c>
      <c r="D310" s="830" t="s">
        <v>304</v>
      </c>
      <c r="F310" s="830" t="s">
        <v>284</v>
      </c>
      <c r="G310" s="830" t="s">
        <v>512</v>
      </c>
      <c r="J310" s="830" t="s">
        <v>305</v>
      </c>
      <c r="K310" s="830" t="s">
        <v>306</v>
      </c>
      <c r="L310" s="830" t="s">
        <v>309</v>
      </c>
      <c r="M310" s="830" t="s">
        <v>7</v>
      </c>
      <c r="N310" s="830" t="s">
        <v>26</v>
      </c>
      <c r="O310" s="830">
        <v>150</v>
      </c>
      <c r="Q310" s="830">
        <v>31.25</v>
      </c>
      <c r="T310" s="831">
        <v>41736.707534722198</v>
      </c>
    </row>
    <row r="311" spans="1:20" ht="12.75" customHeight="1" x14ac:dyDescent="0.25">
      <c r="A311" s="830" t="s">
        <v>308</v>
      </c>
      <c r="B311" s="830">
        <v>9</v>
      </c>
      <c r="C311" s="830" t="s">
        <v>303</v>
      </c>
      <c r="D311" s="830" t="s">
        <v>304</v>
      </c>
      <c r="F311" s="830" t="s">
        <v>284</v>
      </c>
      <c r="G311" s="830" t="s">
        <v>512</v>
      </c>
      <c r="J311" s="830" t="s">
        <v>305</v>
      </c>
      <c r="K311" s="830" t="s">
        <v>306</v>
      </c>
      <c r="L311" s="830" t="s">
        <v>309</v>
      </c>
      <c r="M311" s="830" t="s">
        <v>8</v>
      </c>
      <c r="N311" s="830" t="s">
        <v>26</v>
      </c>
      <c r="O311" s="830">
        <v>105</v>
      </c>
      <c r="Q311" s="830">
        <v>5</v>
      </c>
      <c r="T311" s="831">
        <v>41736.707534722198</v>
      </c>
    </row>
    <row r="312" spans="1:20" ht="12.75" customHeight="1" x14ac:dyDescent="0.25">
      <c r="A312" s="830" t="s">
        <v>308</v>
      </c>
      <c r="B312" s="830">
        <v>9</v>
      </c>
      <c r="C312" s="830" t="s">
        <v>303</v>
      </c>
      <c r="D312" s="830" t="s">
        <v>304</v>
      </c>
      <c r="F312" s="830" t="s">
        <v>284</v>
      </c>
      <c r="G312" s="830" t="s">
        <v>512</v>
      </c>
      <c r="J312" s="830" t="s">
        <v>305</v>
      </c>
      <c r="K312" s="830" t="s">
        <v>306</v>
      </c>
      <c r="L312" s="830" t="s">
        <v>309</v>
      </c>
      <c r="M312" s="830" t="s">
        <v>9</v>
      </c>
      <c r="N312" s="830" t="s">
        <v>26</v>
      </c>
      <c r="O312" s="830">
        <v>60</v>
      </c>
      <c r="Q312" s="830">
        <v>10</v>
      </c>
      <c r="T312" s="831">
        <v>41736.707534722198</v>
      </c>
    </row>
    <row r="313" spans="1:20" ht="12.75" customHeight="1" x14ac:dyDescent="0.25">
      <c r="A313" s="830" t="s">
        <v>308</v>
      </c>
      <c r="B313" s="830">
        <v>9</v>
      </c>
      <c r="C313" s="830" t="s">
        <v>303</v>
      </c>
      <c r="D313" s="830" t="s">
        <v>304</v>
      </c>
      <c r="F313" s="830" t="s">
        <v>284</v>
      </c>
      <c r="G313" s="830" t="s">
        <v>512</v>
      </c>
      <c r="J313" s="830" t="s">
        <v>305</v>
      </c>
      <c r="K313" s="830" t="s">
        <v>306</v>
      </c>
      <c r="L313" s="830" t="s">
        <v>310</v>
      </c>
      <c r="M313" s="830" t="s">
        <v>249</v>
      </c>
      <c r="N313" s="830" t="s">
        <v>27</v>
      </c>
      <c r="T313" s="831">
        <v>41736.707534722198</v>
      </c>
    </row>
    <row r="314" spans="1:20" ht="12.75" customHeight="1" x14ac:dyDescent="0.25">
      <c r="A314" s="830" t="s">
        <v>308</v>
      </c>
      <c r="B314" s="830">
        <v>9</v>
      </c>
      <c r="C314" s="830" t="s">
        <v>303</v>
      </c>
      <c r="D314" s="830" t="s">
        <v>304</v>
      </c>
      <c r="F314" s="830" t="s">
        <v>284</v>
      </c>
      <c r="G314" s="830" t="s">
        <v>512</v>
      </c>
      <c r="J314" s="830" t="s">
        <v>305</v>
      </c>
      <c r="K314" s="830" t="s">
        <v>306</v>
      </c>
      <c r="L314" s="830" t="s">
        <v>310</v>
      </c>
      <c r="M314" s="830" t="s">
        <v>244</v>
      </c>
      <c r="N314" s="830" t="s">
        <v>27</v>
      </c>
      <c r="T314" s="831">
        <v>41736.707534722198</v>
      </c>
    </row>
    <row r="315" spans="1:20" ht="12.75" customHeight="1" x14ac:dyDescent="0.25">
      <c r="A315" s="830" t="s">
        <v>308</v>
      </c>
      <c r="B315" s="830">
        <v>9</v>
      </c>
      <c r="C315" s="830" t="s">
        <v>303</v>
      </c>
      <c r="D315" s="830" t="s">
        <v>304</v>
      </c>
      <c r="F315" s="830" t="s">
        <v>284</v>
      </c>
      <c r="G315" s="830" t="s">
        <v>512</v>
      </c>
      <c r="J315" s="830" t="s">
        <v>305</v>
      </c>
      <c r="K315" s="830" t="s">
        <v>306</v>
      </c>
      <c r="L315" s="830" t="s">
        <v>310</v>
      </c>
      <c r="M315" s="830" t="s">
        <v>4</v>
      </c>
      <c r="N315" s="830" t="s">
        <v>27</v>
      </c>
      <c r="O315" s="830">
        <v>67</v>
      </c>
      <c r="Q315" s="830">
        <v>29.85</v>
      </c>
      <c r="T315" s="831">
        <v>41736.707534722198</v>
      </c>
    </row>
    <row r="316" spans="1:20" ht="12.75" customHeight="1" x14ac:dyDescent="0.25">
      <c r="A316" s="830" t="s">
        <v>308</v>
      </c>
      <c r="B316" s="830">
        <v>9</v>
      </c>
      <c r="C316" s="830" t="s">
        <v>303</v>
      </c>
      <c r="D316" s="830" t="s">
        <v>304</v>
      </c>
      <c r="F316" s="830" t="s">
        <v>284</v>
      </c>
      <c r="G316" s="830" t="s">
        <v>512</v>
      </c>
      <c r="J316" s="830" t="s">
        <v>305</v>
      </c>
      <c r="K316" s="830" t="s">
        <v>306</v>
      </c>
      <c r="L316" s="830" t="s">
        <v>310</v>
      </c>
      <c r="M316" s="830" t="s">
        <v>5</v>
      </c>
      <c r="N316" s="830" t="s">
        <v>27</v>
      </c>
      <c r="O316" s="830">
        <v>170</v>
      </c>
      <c r="Q316" s="830">
        <v>38.85</v>
      </c>
      <c r="T316" s="831">
        <v>41736.707534722198</v>
      </c>
    </row>
    <row r="317" spans="1:20" ht="12.75" customHeight="1" x14ac:dyDescent="0.25">
      <c r="A317" s="830" t="s">
        <v>308</v>
      </c>
      <c r="B317" s="830">
        <v>9</v>
      </c>
      <c r="C317" s="830" t="s">
        <v>303</v>
      </c>
      <c r="D317" s="830" t="s">
        <v>304</v>
      </c>
      <c r="F317" s="830" t="s">
        <v>284</v>
      </c>
      <c r="G317" s="830" t="s">
        <v>512</v>
      </c>
      <c r="J317" s="830" t="s">
        <v>305</v>
      </c>
      <c r="K317" s="830" t="s">
        <v>306</v>
      </c>
      <c r="L317" s="830" t="s">
        <v>310</v>
      </c>
      <c r="M317" s="830" t="s">
        <v>6</v>
      </c>
      <c r="N317" s="830" t="s">
        <v>27</v>
      </c>
      <c r="O317" s="830">
        <v>320</v>
      </c>
      <c r="Q317" s="830">
        <v>46.066666666666698</v>
      </c>
      <c r="T317" s="831">
        <v>41736.707534722198</v>
      </c>
    </row>
    <row r="318" spans="1:20" ht="12.75" customHeight="1" x14ac:dyDescent="0.25">
      <c r="A318" s="830" t="s">
        <v>308</v>
      </c>
      <c r="B318" s="830">
        <v>9</v>
      </c>
      <c r="C318" s="830" t="s">
        <v>303</v>
      </c>
      <c r="D318" s="830" t="s">
        <v>304</v>
      </c>
      <c r="F318" s="830" t="s">
        <v>284</v>
      </c>
      <c r="G318" s="830" t="s">
        <v>512</v>
      </c>
      <c r="J318" s="830" t="s">
        <v>305</v>
      </c>
      <c r="K318" s="830" t="s">
        <v>306</v>
      </c>
      <c r="L318" s="830" t="s">
        <v>310</v>
      </c>
      <c r="M318" s="830" t="s">
        <v>7</v>
      </c>
      <c r="N318" s="830" t="s">
        <v>27</v>
      </c>
      <c r="O318" s="830">
        <v>229</v>
      </c>
      <c r="Q318" s="830">
        <v>31.75</v>
      </c>
      <c r="T318" s="831">
        <v>41736.707534722198</v>
      </c>
    </row>
    <row r="319" spans="1:20" ht="12.75" customHeight="1" x14ac:dyDescent="0.25">
      <c r="A319" s="830" t="s">
        <v>308</v>
      </c>
      <c r="B319" s="830">
        <v>9</v>
      </c>
      <c r="C319" s="830" t="s">
        <v>303</v>
      </c>
      <c r="D319" s="830" t="s">
        <v>304</v>
      </c>
      <c r="F319" s="830" t="s">
        <v>284</v>
      </c>
      <c r="G319" s="830" t="s">
        <v>512</v>
      </c>
      <c r="J319" s="830" t="s">
        <v>305</v>
      </c>
      <c r="K319" s="830" t="s">
        <v>306</v>
      </c>
      <c r="L319" s="830" t="s">
        <v>310</v>
      </c>
      <c r="M319" s="830" t="s">
        <v>8</v>
      </c>
      <c r="N319" s="830" t="s">
        <v>27</v>
      </c>
      <c r="O319" s="830">
        <v>147</v>
      </c>
      <c r="Q319" s="830">
        <v>2.5</v>
      </c>
      <c r="T319" s="831">
        <v>41736.707534722198</v>
      </c>
    </row>
    <row r="320" spans="1:20" ht="12.75" customHeight="1" x14ac:dyDescent="0.25">
      <c r="A320" s="830" t="s">
        <v>308</v>
      </c>
      <c r="B320" s="830">
        <v>9</v>
      </c>
      <c r="C320" s="830" t="s">
        <v>303</v>
      </c>
      <c r="D320" s="830" t="s">
        <v>304</v>
      </c>
      <c r="F320" s="830" t="s">
        <v>284</v>
      </c>
      <c r="G320" s="830" t="s">
        <v>512</v>
      </c>
      <c r="J320" s="830" t="s">
        <v>305</v>
      </c>
      <c r="K320" s="830" t="s">
        <v>306</v>
      </c>
      <c r="L320" s="830" t="s">
        <v>310</v>
      </c>
      <c r="M320" s="830" t="s">
        <v>9</v>
      </c>
      <c r="N320" s="830" t="s">
        <v>27</v>
      </c>
      <c r="O320" s="830">
        <v>120</v>
      </c>
      <c r="Q320" s="830">
        <v>0.83333333333333304</v>
      </c>
      <c r="T320" s="831">
        <v>41736.707534722198</v>
      </c>
    </row>
    <row r="321" spans="1:20" ht="12.75" customHeight="1" x14ac:dyDescent="0.25">
      <c r="A321" s="830" t="s">
        <v>308</v>
      </c>
      <c r="B321" s="830">
        <v>9</v>
      </c>
      <c r="C321" s="830" t="s">
        <v>303</v>
      </c>
      <c r="D321" s="830" t="s">
        <v>304</v>
      </c>
      <c r="F321" s="830" t="s">
        <v>284</v>
      </c>
      <c r="G321" s="830" t="s">
        <v>512</v>
      </c>
      <c r="J321" s="830" t="s">
        <v>305</v>
      </c>
      <c r="K321" s="830" t="s">
        <v>306</v>
      </c>
      <c r="L321" s="830" t="s">
        <v>310</v>
      </c>
      <c r="M321" s="830" t="s">
        <v>249</v>
      </c>
      <c r="N321" s="830" t="s">
        <v>26</v>
      </c>
      <c r="T321" s="831">
        <v>41736.707534722198</v>
      </c>
    </row>
    <row r="322" spans="1:20" ht="12.75" customHeight="1" x14ac:dyDescent="0.25">
      <c r="A322" s="830" t="s">
        <v>308</v>
      </c>
      <c r="B322" s="830">
        <v>9</v>
      </c>
      <c r="C322" s="830" t="s">
        <v>303</v>
      </c>
      <c r="D322" s="830" t="s">
        <v>304</v>
      </c>
      <c r="F322" s="830" t="s">
        <v>284</v>
      </c>
      <c r="G322" s="830" t="s">
        <v>512</v>
      </c>
      <c r="J322" s="830" t="s">
        <v>305</v>
      </c>
      <c r="K322" s="830" t="s">
        <v>306</v>
      </c>
      <c r="L322" s="830" t="s">
        <v>310</v>
      </c>
      <c r="M322" s="830" t="s">
        <v>244</v>
      </c>
      <c r="N322" s="830" t="s">
        <v>26</v>
      </c>
      <c r="T322" s="831">
        <v>41736.707534722198</v>
      </c>
    </row>
    <row r="323" spans="1:20" ht="12.75" customHeight="1" x14ac:dyDescent="0.25">
      <c r="A323" s="830" t="s">
        <v>308</v>
      </c>
      <c r="B323" s="830">
        <v>9</v>
      </c>
      <c r="C323" s="830" t="s">
        <v>303</v>
      </c>
      <c r="D323" s="830" t="s">
        <v>304</v>
      </c>
      <c r="F323" s="830" t="s">
        <v>284</v>
      </c>
      <c r="G323" s="830" t="s">
        <v>512</v>
      </c>
      <c r="J323" s="830" t="s">
        <v>305</v>
      </c>
      <c r="K323" s="830" t="s">
        <v>306</v>
      </c>
      <c r="L323" s="830" t="s">
        <v>310</v>
      </c>
      <c r="M323" s="830" t="s">
        <v>4</v>
      </c>
      <c r="N323" s="830" t="s">
        <v>26</v>
      </c>
      <c r="O323" s="830">
        <v>71</v>
      </c>
      <c r="Q323" s="830">
        <v>45.5</v>
      </c>
      <c r="T323" s="831">
        <v>41736.707534722198</v>
      </c>
    </row>
    <row r="324" spans="1:20" ht="12.75" customHeight="1" x14ac:dyDescent="0.25">
      <c r="A324" s="830" t="s">
        <v>308</v>
      </c>
      <c r="B324" s="830">
        <v>9</v>
      </c>
      <c r="C324" s="830" t="s">
        <v>303</v>
      </c>
      <c r="D324" s="830" t="s">
        <v>304</v>
      </c>
      <c r="F324" s="830" t="s">
        <v>284</v>
      </c>
      <c r="G324" s="830" t="s">
        <v>512</v>
      </c>
      <c r="J324" s="830" t="s">
        <v>305</v>
      </c>
      <c r="K324" s="830" t="s">
        <v>306</v>
      </c>
      <c r="L324" s="830" t="s">
        <v>310</v>
      </c>
      <c r="M324" s="830" t="s">
        <v>5</v>
      </c>
      <c r="N324" s="830" t="s">
        <v>26</v>
      </c>
      <c r="O324" s="830">
        <v>140</v>
      </c>
      <c r="Q324" s="830">
        <v>64.75</v>
      </c>
      <c r="T324" s="831">
        <v>41736.707534722198</v>
      </c>
    </row>
    <row r="325" spans="1:20" ht="12.75" customHeight="1" x14ac:dyDescent="0.25">
      <c r="A325" s="830" t="s">
        <v>308</v>
      </c>
      <c r="B325" s="830">
        <v>9</v>
      </c>
      <c r="C325" s="830" t="s">
        <v>303</v>
      </c>
      <c r="D325" s="830" t="s">
        <v>304</v>
      </c>
      <c r="F325" s="830" t="s">
        <v>284</v>
      </c>
      <c r="G325" s="830" t="s">
        <v>512</v>
      </c>
      <c r="J325" s="830" t="s">
        <v>305</v>
      </c>
      <c r="K325" s="830" t="s">
        <v>306</v>
      </c>
      <c r="L325" s="830" t="s">
        <v>310</v>
      </c>
      <c r="M325" s="830" t="s">
        <v>6</v>
      </c>
      <c r="N325" s="830" t="s">
        <v>26</v>
      </c>
      <c r="O325" s="830">
        <v>265</v>
      </c>
      <c r="Q325" s="830">
        <v>53.725000000000001</v>
      </c>
      <c r="T325" s="831">
        <v>41736.707534722198</v>
      </c>
    </row>
    <row r="326" spans="1:20" ht="12.75" customHeight="1" x14ac:dyDescent="0.25">
      <c r="A326" s="830" t="s">
        <v>308</v>
      </c>
      <c r="B326" s="830">
        <v>9</v>
      </c>
      <c r="C326" s="830" t="s">
        <v>303</v>
      </c>
      <c r="D326" s="830" t="s">
        <v>304</v>
      </c>
      <c r="F326" s="830" t="s">
        <v>284</v>
      </c>
      <c r="G326" s="830" t="s">
        <v>512</v>
      </c>
      <c r="J326" s="830" t="s">
        <v>305</v>
      </c>
      <c r="K326" s="830" t="s">
        <v>306</v>
      </c>
      <c r="L326" s="830" t="s">
        <v>310</v>
      </c>
      <c r="M326" s="830" t="s">
        <v>7</v>
      </c>
      <c r="N326" s="830" t="s">
        <v>26</v>
      </c>
      <c r="O326" s="830">
        <v>160</v>
      </c>
      <c r="Q326" s="830">
        <v>44.0833333333333</v>
      </c>
      <c r="T326" s="831">
        <v>41736.707534722198</v>
      </c>
    </row>
    <row r="327" spans="1:20" ht="12.75" customHeight="1" x14ac:dyDescent="0.25">
      <c r="A327" s="830" t="s">
        <v>308</v>
      </c>
      <c r="B327" s="830">
        <v>9</v>
      </c>
      <c r="C327" s="830" t="s">
        <v>303</v>
      </c>
      <c r="D327" s="830" t="s">
        <v>304</v>
      </c>
      <c r="F327" s="830" t="s">
        <v>284</v>
      </c>
      <c r="G327" s="830" t="s">
        <v>512</v>
      </c>
      <c r="J327" s="830" t="s">
        <v>305</v>
      </c>
      <c r="K327" s="830" t="s">
        <v>306</v>
      </c>
      <c r="L327" s="830" t="s">
        <v>310</v>
      </c>
      <c r="M327" s="830" t="s">
        <v>8</v>
      </c>
      <c r="N327" s="830" t="s">
        <v>26</v>
      </c>
      <c r="O327" s="830">
        <v>84</v>
      </c>
      <c r="Q327" s="830">
        <v>8.3333333333333304</v>
      </c>
      <c r="T327" s="831">
        <v>41736.707534722198</v>
      </c>
    </row>
    <row r="328" spans="1:20" ht="12.75" customHeight="1" x14ac:dyDescent="0.25">
      <c r="A328" s="830" t="s">
        <v>308</v>
      </c>
      <c r="B328" s="830">
        <v>9</v>
      </c>
      <c r="C328" s="830" t="s">
        <v>303</v>
      </c>
      <c r="D328" s="830" t="s">
        <v>304</v>
      </c>
      <c r="F328" s="830" t="s">
        <v>284</v>
      </c>
      <c r="G328" s="830" t="s">
        <v>512</v>
      </c>
      <c r="J328" s="830" t="s">
        <v>305</v>
      </c>
      <c r="K328" s="830" t="s">
        <v>306</v>
      </c>
      <c r="L328" s="830" t="s">
        <v>310</v>
      </c>
      <c r="M328" s="830" t="s">
        <v>9</v>
      </c>
      <c r="N328" s="830" t="s">
        <v>26</v>
      </c>
      <c r="O328" s="830">
        <v>63</v>
      </c>
      <c r="Q328" s="830">
        <v>3.75</v>
      </c>
      <c r="T328" s="831">
        <v>41736.707534722198</v>
      </c>
    </row>
    <row r="329" spans="1:20" ht="12.75" customHeight="1" x14ac:dyDescent="0.25">
      <c r="A329" s="830" t="s">
        <v>308</v>
      </c>
      <c r="B329" s="830">
        <v>9</v>
      </c>
      <c r="C329" s="830" t="s">
        <v>303</v>
      </c>
      <c r="D329" s="830" t="s">
        <v>304</v>
      </c>
      <c r="F329" s="830" t="s">
        <v>284</v>
      </c>
      <c r="G329" s="830" t="s">
        <v>512</v>
      </c>
      <c r="J329" s="830" t="s">
        <v>305</v>
      </c>
      <c r="K329" s="830" t="s">
        <v>306</v>
      </c>
      <c r="L329" s="830" t="s">
        <v>311</v>
      </c>
      <c r="M329" s="830" t="s">
        <v>249</v>
      </c>
      <c r="N329" s="830" t="s">
        <v>27</v>
      </c>
      <c r="T329" s="831">
        <v>41736.707534722198</v>
      </c>
    </row>
    <row r="330" spans="1:20" ht="12.75" customHeight="1" x14ac:dyDescent="0.25">
      <c r="A330" s="830" t="s">
        <v>308</v>
      </c>
      <c r="B330" s="830">
        <v>9</v>
      </c>
      <c r="C330" s="830" t="s">
        <v>303</v>
      </c>
      <c r="D330" s="830" t="s">
        <v>304</v>
      </c>
      <c r="F330" s="830" t="s">
        <v>284</v>
      </c>
      <c r="G330" s="830" t="s">
        <v>512</v>
      </c>
      <c r="J330" s="830" t="s">
        <v>305</v>
      </c>
      <c r="K330" s="830" t="s">
        <v>306</v>
      </c>
      <c r="L330" s="830" t="s">
        <v>311</v>
      </c>
      <c r="M330" s="830" t="s">
        <v>244</v>
      </c>
      <c r="N330" s="830" t="s">
        <v>27</v>
      </c>
      <c r="T330" s="831">
        <v>41736.707534722198</v>
      </c>
    </row>
    <row r="331" spans="1:20" ht="12.75" customHeight="1" x14ac:dyDescent="0.25">
      <c r="A331" s="830" t="s">
        <v>308</v>
      </c>
      <c r="B331" s="830">
        <v>9</v>
      </c>
      <c r="C331" s="830" t="s">
        <v>303</v>
      </c>
      <c r="D331" s="830" t="s">
        <v>304</v>
      </c>
      <c r="F331" s="830" t="s">
        <v>284</v>
      </c>
      <c r="G331" s="830" t="s">
        <v>512</v>
      </c>
      <c r="J331" s="830" t="s">
        <v>305</v>
      </c>
      <c r="K331" s="830" t="s">
        <v>306</v>
      </c>
      <c r="L331" s="830" t="s">
        <v>311</v>
      </c>
      <c r="M331" s="830" t="s">
        <v>4</v>
      </c>
      <c r="N331" s="830" t="s">
        <v>27</v>
      </c>
      <c r="O331" s="830">
        <v>55</v>
      </c>
      <c r="Q331" s="830">
        <v>30.4</v>
      </c>
      <c r="T331" s="831">
        <v>41736.707534722198</v>
      </c>
    </row>
    <row r="332" spans="1:20" ht="12.75" customHeight="1" x14ac:dyDescent="0.25">
      <c r="A332" s="830" t="s">
        <v>308</v>
      </c>
      <c r="B332" s="830">
        <v>9</v>
      </c>
      <c r="C332" s="830" t="s">
        <v>303</v>
      </c>
      <c r="D332" s="830" t="s">
        <v>304</v>
      </c>
      <c r="F332" s="830" t="s">
        <v>284</v>
      </c>
      <c r="G332" s="830" t="s">
        <v>512</v>
      </c>
      <c r="J332" s="830" t="s">
        <v>305</v>
      </c>
      <c r="K332" s="830" t="s">
        <v>306</v>
      </c>
      <c r="L332" s="830" t="s">
        <v>311</v>
      </c>
      <c r="M332" s="830" t="s">
        <v>5</v>
      </c>
      <c r="N332" s="830" t="s">
        <v>27</v>
      </c>
      <c r="O332" s="830">
        <v>141</v>
      </c>
      <c r="Q332" s="830">
        <v>41</v>
      </c>
      <c r="T332" s="831">
        <v>41736.707534722198</v>
      </c>
    </row>
    <row r="333" spans="1:20" ht="12.75" customHeight="1" x14ac:dyDescent="0.25">
      <c r="A333" s="830" t="s">
        <v>308</v>
      </c>
      <c r="B333" s="830">
        <v>9</v>
      </c>
      <c r="C333" s="830" t="s">
        <v>303</v>
      </c>
      <c r="D333" s="830" t="s">
        <v>304</v>
      </c>
      <c r="F333" s="830" t="s">
        <v>284</v>
      </c>
      <c r="G333" s="830" t="s">
        <v>512</v>
      </c>
      <c r="J333" s="830" t="s">
        <v>305</v>
      </c>
      <c r="K333" s="830" t="s">
        <v>306</v>
      </c>
      <c r="L333" s="830" t="s">
        <v>311</v>
      </c>
      <c r="M333" s="830" t="s">
        <v>6</v>
      </c>
      <c r="N333" s="830" t="s">
        <v>27</v>
      </c>
      <c r="O333" s="830">
        <v>334</v>
      </c>
      <c r="Q333" s="830">
        <v>41</v>
      </c>
      <c r="T333" s="831">
        <v>41736.707534722198</v>
      </c>
    </row>
    <row r="334" spans="1:20" ht="12.75" customHeight="1" x14ac:dyDescent="0.25">
      <c r="A334" s="830" t="s">
        <v>308</v>
      </c>
      <c r="B334" s="830">
        <v>9</v>
      </c>
      <c r="C334" s="830" t="s">
        <v>303</v>
      </c>
      <c r="D334" s="830" t="s">
        <v>304</v>
      </c>
      <c r="F334" s="830" t="s">
        <v>284</v>
      </c>
      <c r="G334" s="830" t="s">
        <v>512</v>
      </c>
      <c r="J334" s="830" t="s">
        <v>305</v>
      </c>
      <c r="K334" s="830" t="s">
        <v>306</v>
      </c>
      <c r="L334" s="830" t="s">
        <v>311</v>
      </c>
      <c r="M334" s="830" t="s">
        <v>7</v>
      </c>
      <c r="N334" s="830" t="s">
        <v>27</v>
      </c>
      <c r="O334" s="830">
        <v>223</v>
      </c>
      <c r="Q334" s="830">
        <v>20.5</v>
      </c>
      <c r="T334" s="831">
        <v>41736.707534722198</v>
      </c>
    </row>
    <row r="335" spans="1:20" ht="12.75" customHeight="1" x14ac:dyDescent="0.25">
      <c r="A335" s="830" t="s">
        <v>308</v>
      </c>
      <c r="B335" s="830">
        <v>9</v>
      </c>
      <c r="C335" s="830" t="s">
        <v>303</v>
      </c>
      <c r="D335" s="830" t="s">
        <v>304</v>
      </c>
      <c r="F335" s="830" t="s">
        <v>284</v>
      </c>
      <c r="G335" s="830" t="s">
        <v>512</v>
      </c>
      <c r="J335" s="830" t="s">
        <v>305</v>
      </c>
      <c r="K335" s="830" t="s">
        <v>306</v>
      </c>
      <c r="L335" s="830" t="s">
        <v>311</v>
      </c>
      <c r="M335" s="830" t="s">
        <v>8</v>
      </c>
      <c r="N335" s="830" t="s">
        <v>27</v>
      </c>
      <c r="O335" s="830">
        <v>115</v>
      </c>
      <c r="Q335" s="830">
        <v>3.75</v>
      </c>
      <c r="T335" s="831">
        <v>41736.707534722198</v>
      </c>
    </row>
    <row r="336" spans="1:20" ht="12.75" customHeight="1" x14ac:dyDescent="0.25">
      <c r="A336" s="830" t="s">
        <v>308</v>
      </c>
      <c r="B336" s="830">
        <v>9</v>
      </c>
      <c r="C336" s="830" t="s">
        <v>303</v>
      </c>
      <c r="D336" s="830" t="s">
        <v>304</v>
      </c>
      <c r="F336" s="830" t="s">
        <v>284</v>
      </c>
      <c r="G336" s="830" t="s">
        <v>512</v>
      </c>
      <c r="J336" s="830" t="s">
        <v>305</v>
      </c>
      <c r="K336" s="830" t="s">
        <v>306</v>
      </c>
      <c r="L336" s="830" t="s">
        <v>311</v>
      </c>
      <c r="M336" s="830" t="s">
        <v>9</v>
      </c>
      <c r="N336" s="830" t="s">
        <v>27</v>
      </c>
      <c r="Q336" s="830">
        <v>0</v>
      </c>
      <c r="T336" s="831">
        <v>41736.707534722198</v>
      </c>
    </row>
    <row r="337" spans="1:20" ht="12.75" customHeight="1" x14ac:dyDescent="0.25">
      <c r="A337" s="830" t="s">
        <v>308</v>
      </c>
      <c r="B337" s="830">
        <v>9</v>
      </c>
      <c r="C337" s="830" t="s">
        <v>303</v>
      </c>
      <c r="D337" s="830" t="s">
        <v>304</v>
      </c>
      <c r="F337" s="830" t="s">
        <v>284</v>
      </c>
      <c r="G337" s="830" t="s">
        <v>512</v>
      </c>
      <c r="J337" s="830" t="s">
        <v>305</v>
      </c>
      <c r="K337" s="830" t="s">
        <v>306</v>
      </c>
      <c r="L337" s="830" t="s">
        <v>311</v>
      </c>
      <c r="M337" s="830" t="s">
        <v>249</v>
      </c>
      <c r="N337" s="830" t="s">
        <v>26</v>
      </c>
      <c r="T337" s="831">
        <v>41736.707534722198</v>
      </c>
    </row>
    <row r="338" spans="1:20" ht="12.75" customHeight="1" x14ac:dyDescent="0.25">
      <c r="A338" s="830" t="s">
        <v>308</v>
      </c>
      <c r="B338" s="830">
        <v>9</v>
      </c>
      <c r="C338" s="830" t="s">
        <v>303</v>
      </c>
      <c r="D338" s="830" t="s">
        <v>304</v>
      </c>
      <c r="F338" s="830" t="s">
        <v>284</v>
      </c>
      <c r="G338" s="830" t="s">
        <v>512</v>
      </c>
      <c r="J338" s="830" t="s">
        <v>305</v>
      </c>
      <c r="K338" s="830" t="s">
        <v>306</v>
      </c>
      <c r="L338" s="830" t="s">
        <v>311</v>
      </c>
      <c r="M338" s="830" t="s">
        <v>244</v>
      </c>
      <c r="N338" s="830" t="s">
        <v>26</v>
      </c>
      <c r="T338" s="831">
        <v>41736.707534722198</v>
      </c>
    </row>
    <row r="339" spans="1:20" ht="12.75" customHeight="1" x14ac:dyDescent="0.25">
      <c r="A339" s="830" t="s">
        <v>308</v>
      </c>
      <c r="B339" s="830">
        <v>9</v>
      </c>
      <c r="C339" s="830" t="s">
        <v>303</v>
      </c>
      <c r="D339" s="830" t="s">
        <v>304</v>
      </c>
      <c r="F339" s="830" t="s">
        <v>284</v>
      </c>
      <c r="G339" s="830" t="s">
        <v>512</v>
      </c>
      <c r="J339" s="830" t="s">
        <v>305</v>
      </c>
      <c r="K339" s="830" t="s">
        <v>306</v>
      </c>
      <c r="L339" s="830" t="s">
        <v>311</v>
      </c>
      <c r="M339" s="830" t="s">
        <v>4</v>
      </c>
      <c r="N339" s="830" t="s">
        <v>26</v>
      </c>
      <c r="O339" s="830">
        <v>60</v>
      </c>
      <c r="Q339" s="830">
        <v>37.924999999999997</v>
      </c>
      <c r="T339" s="831">
        <v>41736.707534722198</v>
      </c>
    </row>
    <row r="340" spans="1:20" ht="12.75" customHeight="1" x14ac:dyDescent="0.25">
      <c r="A340" s="830" t="s">
        <v>308</v>
      </c>
      <c r="B340" s="830">
        <v>9</v>
      </c>
      <c r="C340" s="830" t="s">
        <v>303</v>
      </c>
      <c r="D340" s="830" t="s">
        <v>304</v>
      </c>
      <c r="F340" s="830" t="s">
        <v>284</v>
      </c>
      <c r="G340" s="830" t="s">
        <v>512</v>
      </c>
      <c r="J340" s="830" t="s">
        <v>305</v>
      </c>
      <c r="K340" s="830" t="s">
        <v>306</v>
      </c>
      <c r="L340" s="830" t="s">
        <v>311</v>
      </c>
      <c r="M340" s="830" t="s">
        <v>5</v>
      </c>
      <c r="N340" s="830" t="s">
        <v>26</v>
      </c>
      <c r="O340" s="830">
        <v>123</v>
      </c>
      <c r="Q340" s="830">
        <v>46.125</v>
      </c>
      <c r="T340" s="831">
        <v>41736.707534722198</v>
      </c>
    </row>
    <row r="341" spans="1:20" ht="12.75" customHeight="1" x14ac:dyDescent="0.25">
      <c r="A341" s="830" t="s">
        <v>308</v>
      </c>
      <c r="B341" s="830">
        <v>9</v>
      </c>
      <c r="C341" s="830" t="s">
        <v>303</v>
      </c>
      <c r="D341" s="830" t="s">
        <v>304</v>
      </c>
      <c r="F341" s="830" t="s">
        <v>284</v>
      </c>
      <c r="G341" s="830" t="s">
        <v>512</v>
      </c>
      <c r="J341" s="830" t="s">
        <v>305</v>
      </c>
      <c r="K341" s="830" t="s">
        <v>306</v>
      </c>
      <c r="L341" s="830" t="s">
        <v>311</v>
      </c>
      <c r="M341" s="830" t="s">
        <v>6</v>
      </c>
      <c r="N341" s="830" t="s">
        <v>26</v>
      </c>
      <c r="O341" s="830">
        <v>240</v>
      </c>
      <c r="Q341" s="830">
        <v>52.2</v>
      </c>
      <c r="T341" s="831">
        <v>41736.707534722198</v>
      </c>
    </row>
    <row r="342" spans="1:20" ht="12.75" customHeight="1" x14ac:dyDescent="0.25">
      <c r="A342" s="830" t="s">
        <v>308</v>
      </c>
      <c r="B342" s="830">
        <v>9</v>
      </c>
      <c r="C342" s="830" t="s">
        <v>303</v>
      </c>
      <c r="D342" s="830" t="s">
        <v>304</v>
      </c>
      <c r="F342" s="830" t="s">
        <v>284</v>
      </c>
      <c r="G342" s="830" t="s">
        <v>512</v>
      </c>
      <c r="J342" s="830" t="s">
        <v>305</v>
      </c>
      <c r="K342" s="830" t="s">
        <v>306</v>
      </c>
      <c r="L342" s="830" t="s">
        <v>311</v>
      </c>
      <c r="M342" s="830" t="s">
        <v>7</v>
      </c>
      <c r="N342" s="830" t="s">
        <v>26</v>
      </c>
      <c r="O342" s="830">
        <v>154</v>
      </c>
      <c r="Q342" s="830">
        <v>42.5</v>
      </c>
      <c r="T342" s="831">
        <v>41736.707534722198</v>
      </c>
    </row>
    <row r="343" spans="1:20" ht="12.75" customHeight="1" x14ac:dyDescent="0.25">
      <c r="A343" s="830" t="s">
        <v>308</v>
      </c>
      <c r="B343" s="830">
        <v>9</v>
      </c>
      <c r="C343" s="830" t="s">
        <v>303</v>
      </c>
      <c r="D343" s="830" t="s">
        <v>304</v>
      </c>
      <c r="F343" s="830" t="s">
        <v>284</v>
      </c>
      <c r="G343" s="830" t="s">
        <v>512</v>
      </c>
      <c r="J343" s="830" t="s">
        <v>305</v>
      </c>
      <c r="K343" s="830" t="s">
        <v>306</v>
      </c>
      <c r="L343" s="830" t="s">
        <v>311</v>
      </c>
      <c r="M343" s="830" t="s">
        <v>8</v>
      </c>
      <c r="N343" s="830" t="s">
        <v>26</v>
      </c>
      <c r="O343" s="830">
        <v>97</v>
      </c>
      <c r="Q343" s="830">
        <v>3.75</v>
      </c>
      <c r="T343" s="831">
        <v>41736.707534722198</v>
      </c>
    </row>
    <row r="344" spans="1:20" ht="12.75" customHeight="1" x14ac:dyDescent="0.25">
      <c r="A344" s="830" t="s">
        <v>308</v>
      </c>
      <c r="B344" s="830">
        <v>9</v>
      </c>
      <c r="C344" s="830" t="s">
        <v>303</v>
      </c>
      <c r="D344" s="830" t="s">
        <v>304</v>
      </c>
      <c r="F344" s="830" t="s">
        <v>284</v>
      </c>
      <c r="G344" s="830" t="s">
        <v>512</v>
      </c>
      <c r="J344" s="830" t="s">
        <v>305</v>
      </c>
      <c r="K344" s="830" t="s">
        <v>306</v>
      </c>
      <c r="L344" s="830" t="s">
        <v>311</v>
      </c>
      <c r="M344" s="830" t="s">
        <v>9</v>
      </c>
      <c r="N344" s="830" t="s">
        <v>26</v>
      </c>
      <c r="O344" s="830">
        <v>9</v>
      </c>
      <c r="Q344" s="830">
        <v>5.2083333333333304</v>
      </c>
      <c r="T344" s="831">
        <v>41736.707534722198</v>
      </c>
    </row>
    <row r="345" spans="1:20" ht="12.75" customHeight="1" x14ac:dyDescent="0.25">
      <c r="A345" s="830" t="s">
        <v>308</v>
      </c>
      <c r="B345" s="830">
        <v>9</v>
      </c>
      <c r="C345" s="830" t="s">
        <v>303</v>
      </c>
      <c r="D345" s="830" t="s">
        <v>304</v>
      </c>
      <c r="F345" s="830" t="s">
        <v>284</v>
      </c>
      <c r="G345" s="830" t="s">
        <v>512</v>
      </c>
      <c r="J345" s="830" t="s">
        <v>305</v>
      </c>
      <c r="K345" s="830" t="s">
        <v>306</v>
      </c>
      <c r="L345" s="830" t="s">
        <v>442</v>
      </c>
      <c r="M345" s="830" t="s">
        <v>249</v>
      </c>
      <c r="N345" s="830" t="s">
        <v>27</v>
      </c>
      <c r="T345" s="831">
        <v>41736.707534722198</v>
      </c>
    </row>
    <row r="346" spans="1:20" ht="12.75" customHeight="1" x14ac:dyDescent="0.25">
      <c r="A346" s="830" t="s">
        <v>308</v>
      </c>
      <c r="B346" s="830">
        <v>9</v>
      </c>
      <c r="C346" s="830" t="s">
        <v>303</v>
      </c>
      <c r="D346" s="830" t="s">
        <v>304</v>
      </c>
      <c r="F346" s="830" t="s">
        <v>284</v>
      </c>
      <c r="G346" s="830" t="s">
        <v>512</v>
      </c>
      <c r="J346" s="830" t="s">
        <v>305</v>
      </c>
      <c r="K346" s="830" t="s">
        <v>306</v>
      </c>
      <c r="L346" s="830" t="s">
        <v>442</v>
      </c>
      <c r="M346" s="830" t="s">
        <v>244</v>
      </c>
      <c r="N346" s="830" t="s">
        <v>27</v>
      </c>
      <c r="T346" s="831">
        <v>41736.707534722198</v>
      </c>
    </row>
    <row r="347" spans="1:20" ht="12.75" customHeight="1" x14ac:dyDescent="0.25">
      <c r="A347" s="830" t="s">
        <v>308</v>
      </c>
      <c r="B347" s="830">
        <v>9</v>
      </c>
      <c r="C347" s="830" t="s">
        <v>303</v>
      </c>
      <c r="D347" s="830" t="s">
        <v>304</v>
      </c>
      <c r="F347" s="830" t="s">
        <v>284</v>
      </c>
      <c r="G347" s="830" t="s">
        <v>512</v>
      </c>
      <c r="J347" s="830" t="s">
        <v>305</v>
      </c>
      <c r="K347" s="830" t="s">
        <v>306</v>
      </c>
      <c r="L347" s="830" t="s">
        <v>442</v>
      </c>
      <c r="M347" s="830" t="s">
        <v>4</v>
      </c>
      <c r="N347" s="830" t="s">
        <v>27</v>
      </c>
      <c r="O347" s="830">
        <v>60</v>
      </c>
      <c r="Q347" s="830">
        <v>41</v>
      </c>
      <c r="T347" s="831">
        <v>41736.707534722198</v>
      </c>
    </row>
    <row r="348" spans="1:20" ht="12.75" customHeight="1" x14ac:dyDescent="0.25">
      <c r="A348" s="830" t="s">
        <v>308</v>
      </c>
      <c r="B348" s="830">
        <v>9</v>
      </c>
      <c r="C348" s="830" t="s">
        <v>303</v>
      </c>
      <c r="D348" s="830" t="s">
        <v>304</v>
      </c>
      <c r="F348" s="830" t="s">
        <v>284</v>
      </c>
      <c r="G348" s="830" t="s">
        <v>512</v>
      </c>
      <c r="J348" s="830" t="s">
        <v>305</v>
      </c>
      <c r="K348" s="830" t="s">
        <v>306</v>
      </c>
      <c r="L348" s="830" t="s">
        <v>442</v>
      </c>
      <c r="M348" s="830" t="s">
        <v>5</v>
      </c>
      <c r="N348" s="830" t="s">
        <v>27</v>
      </c>
      <c r="O348" s="830">
        <v>180</v>
      </c>
      <c r="Q348" s="830">
        <v>42.266666666666701</v>
      </c>
      <c r="T348" s="831">
        <v>41736.707534722198</v>
      </c>
    </row>
    <row r="349" spans="1:20" ht="12.75" customHeight="1" x14ac:dyDescent="0.25">
      <c r="A349" s="830" t="s">
        <v>308</v>
      </c>
      <c r="B349" s="830">
        <v>9</v>
      </c>
      <c r="C349" s="830" t="s">
        <v>303</v>
      </c>
      <c r="D349" s="830" t="s">
        <v>304</v>
      </c>
      <c r="F349" s="830" t="s">
        <v>284</v>
      </c>
      <c r="G349" s="830" t="s">
        <v>512</v>
      </c>
      <c r="J349" s="830" t="s">
        <v>305</v>
      </c>
      <c r="K349" s="830" t="s">
        <v>306</v>
      </c>
      <c r="L349" s="830" t="s">
        <v>442</v>
      </c>
      <c r="M349" s="830" t="s">
        <v>6</v>
      </c>
      <c r="N349" s="830" t="s">
        <v>27</v>
      </c>
      <c r="O349" s="830">
        <v>313</v>
      </c>
      <c r="Q349" s="830">
        <v>41</v>
      </c>
      <c r="T349" s="831">
        <v>41736.707534722198</v>
      </c>
    </row>
    <row r="350" spans="1:20" ht="12.75" customHeight="1" x14ac:dyDescent="0.25">
      <c r="A350" s="830" t="s">
        <v>308</v>
      </c>
      <c r="B350" s="830">
        <v>9</v>
      </c>
      <c r="C350" s="830" t="s">
        <v>303</v>
      </c>
      <c r="D350" s="830" t="s">
        <v>304</v>
      </c>
      <c r="F350" s="830" t="s">
        <v>284</v>
      </c>
      <c r="G350" s="830" t="s">
        <v>512</v>
      </c>
      <c r="J350" s="830" t="s">
        <v>305</v>
      </c>
      <c r="K350" s="830" t="s">
        <v>306</v>
      </c>
      <c r="L350" s="830" t="s">
        <v>442</v>
      </c>
      <c r="M350" s="830" t="s">
        <v>7</v>
      </c>
      <c r="N350" s="830" t="s">
        <v>27</v>
      </c>
      <c r="O350" s="830">
        <v>228</v>
      </c>
      <c r="Q350" s="830">
        <v>4.5</v>
      </c>
      <c r="T350" s="831">
        <v>41736.707534722198</v>
      </c>
    </row>
    <row r="351" spans="1:20" ht="12.75" customHeight="1" x14ac:dyDescent="0.25">
      <c r="A351" s="830" t="s">
        <v>308</v>
      </c>
      <c r="B351" s="830">
        <v>9</v>
      </c>
      <c r="C351" s="830" t="s">
        <v>303</v>
      </c>
      <c r="D351" s="830" t="s">
        <v>304</v>
      </c>
      <c r="F351" s="830" t="s">
        <v>284</v>
      </c>
      <c r="G351" s="830" t="s">
        <v>512</v>
      </c>
      <c r="J351" s="830" t="s">
        <v>305</v>
      </c>
      <c r="K351" s="830" t="s">
        <v>306</v>
      </c>
      <c r="L351" s="830" t="s">
        <v>442</v>
      </c>
      <c r="M351" s="830" t="s">
        <v>8</v>
      </c>
      <c r="N351" s="830" t="s">
        <v>27</v>
      </c>
      <c r="O351" s="830">
        <v>211</v>
      </c>
      <c r="Q351" s="830">
        <v>0</v>
      </c>
      <c r="T351" s="831">
        <v>41736.707534722198</v>
      </c>
    </row>
    <row r="352" spans="1:20" ht="12.75" customHeight="1" x14ac:dyDescent="0.25">
      <c r="A352" s="830" t="s">
        <v>308</v>
      </c>
      <c r="B352" s="830">
        <v>9</v>
      </c>
      <c r="C352" s="830" t="s">
        <v>303</v>
      </c>
      <c r="D352" s="830" t="s">
        <v>304</v>
      </c>
      <c r="F352" s="830" t="s">
        <v>284</v>
      </c>
      <c r="G352" s="830" t="s">
        <v>512</v>
      </c>
      <c r="J352" s="830" t="s">
        <v>305</v>
      </c>
      <c r="K352" s="830" t="s">
        <v>306</v>
      </c>
      <c r="L352" s="830" t="s">
        <v>442</v>
      </c>
      <c r="M352" s="830" t="s">
        <v>9</v>
      </c>
      <c r="N352" s="830" t="s">
        <v>27</v>
      </c>
      <c r="O352" s="830">
        <v>230</v>
      </c>
      <c r="Q352" s="830">
        <v>0</v>
      </c>
      <c r="T352" s="831">
        <v>41736.707534722198</v>
      </c>
    </row>
    <row r="353" spans="1:20" ht="12.75" customHeight="1" x14ac:dyDescent="0.25">
      <c r="A353" s="830" t="s">
        <v>308</v>
      </c>
      <c r="B353" s="830">
        <v>9</v>
      </c>
      <c r="C353" s="830" t="s">
        <v>303</v>
      </c>
      <c r="D353" s="830" t="s">
        <v>304</v>
      </c>
      <c r="F353" s="830" t="s">
        <v>284</v>
      </c>
      <c r="G353" s="830" t="s">
        <v>512</v>
      </c>
      <c r="J353" s="830" t="s">
        <v>305</v>
      </c>
      <c r="K353" s="830" t="s">
        <v>306</v>
      </c>
      <c r="L353" s="830" t="s">
        <v>442</v>
      </c>
      <c r="M353" s="830" t="s">
        <v>249</v>
      </c>
      <c r="N353" s="830" t="s">
        <v>26</v>
      </c>
      <c r="T353" s="831">
        <v>41736.707534722198</v>
      </c>
    </row>
    <row r="354" spans="1:20" ht="12.75" customHeight="1" x14ac:dyDescent="0.25">
      <c r="A354" s="830" t="s">
        <v>308</v>
      </c>
      <c r="B354" s="830">
        <v>9</v>
      </c>
      <c r="C354" s="830" t="s">
        <v>303</v>
      </c>
      <c r="D354" s="830" t="s">
        <v>304</v>
      </c>
      <c r="F354" s="830" t="s">
        <v>284</v>
      </c>
      <c r="G354" s="830" t="s">
        <v>512</v>
      </c>
      <c r="J354" s="830" t="s">
        <v>305</v>
      </c>
      <c r="K354" s="830" t="s">
        <v>306</v>
      </c>
      <c r="L354" s="830" t="s">
        <v>442</v>
      </c>
      <c r="M354" s="830" t="s">
        <v>244</v>
      </c>
      <c r="N354" s="830" t="s">
        <v>26</v>
      </c>
      <c r="T354" s="831">
        <v>41736.707534722198</v>
      </c>
    </row>
    <row r="355" spans="1:20" ht="12.75" customHeight="1" x14ac:dyDescent="0.25">
      <c r="A355" s="830" t="s">
        <v>308</v>
      </c>
      <c r="B355" s="830">
        <v>9</v>
      </c>
      <c r="C355" s="830" t="s">
        <v>303</v>
      </c>
      <c r="D355" s="830" t="s">
        <v>304</v>
      </c>
      <c r="F355" s="830" t="s">
        <v>284</v>
      </c>
      <c r="G355" s="830" t="s">
        <v>512</v>
      </c>
      <c r="J355" s="830" t="s">
        <v>305</v>
      </c>
      <c r="K355" s="830" t="s">
        <v>306</v>
      </c>
      <c r="L355" s="830" t="s">
        <v>442</v>
      </c>
      <c r="M355" s="830" t="s">
        <v>4</v>
      </c>
      <c r="N355" s="830" t="s">
        <v>26</v>
      </c>
      <c r="O355" s="830">
        <v>56</v>
      </c>
      <c r="Q355" s="830">
        <v>41</v>
      </c>
      <c r="T355" s="831">
        <v>41736.707534722198</v>
      </c>
    </row>
    <row r="356" spans="1:20" ht="12.75" customHeight="1" x14ac:dyDescent="0.25">
      <c r="A356" s="830" t="s">
        <v>308</v>
      </c>
      <c r="B356" s="830">
        <v>9</v>
      </c>
      <c r="C356" s="830" t="s">
        <v>303</v>
      </c>
      <c r="D356" s="830" t="s">
        <v>304</v>
      </c>
      <c r="F356" s="830" t="s">
        <v>284</v>
      </c>
      <c r="G356" s="830" t="s">
        <v>512</v>
      </c>
      <c r="J356" s="830" t="s">
        <v>305</v>
      </c>
      <c r="K356" s="830" t="s">
        <v>306</v>
      </c>
      <c r="L356" s="830" t="s">
        <v>442</v>
      </c>
      <c r="M356" s="830" t="s">
        <v>5</v>
      </c>
      <c r="N356" s="830" t="s">
        <v>26</v>
      </c>
      <c r="O356" s="830">
        <v>125</v>
      </c>
      <c r="Q356" s="830">
        <v>44.8</v>
      </c>
      <c r="T356" s="831">
        <v>41736.707534722198</v>
      </c>
    </row>
    <row r="357" spans="1:20" ht="12.75" customHeight="1" x14ac:dyDescent="0.25">
      <c r="A357" s="830" t="s">
        <v>308</v>
      </c>
      <c r="B357" s="830">
        <v>9</v>
      </c>
      <c r="C357" s="830" t="s">
        <v>303</v>
      </c>
      <c r="D357" s="830" t="s">
        <v>304</v>
      </c>
      <c r="F357" s="830" t="s">
        <v>284</v>
      </c>
      <c r="G357" s="830" t="s">
        <v>512</v>
      </c>
      <c r="J357" s="830" t="s">
        <v>305</v>
      </c>
      <c r="K357" s="830" t="s">
        <v>306</v>
      </c>
      <c r="L357" s="830" t="s">
        <v>442</v>
      </c>
      <c r="M357" s="830" t="s">
        <v>6</v>
      </c>
      <c r="N357" s="830" t="s">
        <v>26</v>
      </c>
      <c r="O357" s="830">
        <v>249</v>
      </c>
      <c r="Q357" s="830">
        <v>46.7</v>
      </c>
      <c r="T357" s="831">
        <v>41736.707534722198</v>
      </c>
    </row>
    <row r="358" spans="1:20" ht="12.75" customHeight="1" x14ac:dyDescent="0.25">
      <c r="A358" s="830" t="s">
        <v>308</v>
      </c>
      <c r="B358" s="830">
        <v>9</v>
      </c>
      <c r="C358" s="830" t="s">
        <v>303</v>
      </c>
      <c r="D358" s="830" t="s">
        <v>304</v>
      </c>
      <c r="F358" s="830" t="s">
        <v>284</v>
      </c>
      <c r="G358" s="830" t="s">
        <v>512</v>
      </c>
      <c r="J358" s="830" t="s">
        <v>305</v>
      </c>
      <c r="K358" s="830" t="s">
        <v>306</v>
      </c>
      <c r="L358" s="830" t="s">
        <v>442</v>
      </c>
      <c r="M358" s="830" t="s">
        <v>7</v>
      </c>
      <c r="N358" s="830" t="s">
        <v>26</v>
      </c>
      <c r="O358" s="830">
        <v>160</v>
      </c>
      <c r="Q358" s="830">
        <v>32.799999999999997</v>
      </c>
      <c r="T358" s="831">
        <v>41736.707534722198</v>
      </c>
    </row>
    <row r="359" spans="1:20" ht="12.75" customHeight="1" x14ac:dyDescent="0.25">
      <c r="A359" s="830" t="s">
        <v>308</v>
      </c>
      <c r="B359" s="830">
        <v>9</v>
      </c>
      <c r="C359" s="830" t="s">
        <v>303</v>
      </c>
      <c r="D359" s="830" t="s">
        <v>304</v>
      </c>
      <c r="F359" s="830" t="s">
        <v>284</v>
      </c>
      <c r="G359" s="830" t="s">
        <v>512</v>
      </c>
      <c r="J359" s="830" t="s">
        <v>305</v>
      </c>
      <c r="K359" s="830" t="s">
        <v>306</v>
      </c>
      <c r="L359" s="830" t="s">
        <v>442</v>
      </c>
      <c r="M359" s="830" t="s">
        <v>8</v>
      </c>
      <c r="N359" s="830" t="s">
        <v>26</v>
      </c>
      <c r="O359" s="830">
        <v>111</v>
      </c>
      <c r="Q359" s="830">
        <v>13.125</v>
      </c>
      <c r="T359" s="831">
        <v>41736.707534722198</v>
      </c>
    </row>
    <row r="360" spans="1:20" ht="12.75" customHeight="1" x14ac:dyDescent="0.25">
      <c r="A360" s="830" t="s">
        <v>308</v>
      </c>
      <c r="B360" s="830">
        <v>9</v>
      </c>
      <c r="C360" s="830" t="s">
        <v>303</v>
      </c>
      <c r="D360" s="830" t="s">
        <v>304</v>
      </c>
      <c r="F360" s="830" t="s">
        <v>284</v>
      </c>
      <c r="G360" s="830" t="s">
        <v>512</v>
      </c>
      <c r="J360" s="830" t="s">
        <v>305</v>
      </c>
      <c r="K360" s="830" t="s">
        <v>306</v>
      </c>
      <c r="L360" s="830" t="s">
        <v>442</v>
      </c>
      <c r="M360" s="830" t="s">
        <v>9</v>
      </c>
      <c r="N360" s="830" t="s">
        <v>26</v>
      </c>
      <c r="O360" s="830">
        <v>114</v>
      </c>
      <c r="Q360" s="830">
        <v>0</v>
      </c>
      <c r="T360" s="831">
        <v>41736.707534722198</v>
      </c>
    </row>
    <row r="361" spans="1:20" ht="12.75" customHeight="1" x14ac:dyDescent="0.25">
      <c r="A361" s="830" t="s">
        <v>308</v>
      </c>
      <c r="B361" s="830">
        <v>8</v>
      </c>
      <c r="C361" s="830" t="s">
        <v>312</v>
      </c>
      <c r="D361" s="830" t="s">
        <v>313</v>
      </c>
      <c r="F361" s="830" t="s">
        <v>314</v>
      </c>
      <c r="G361" s="830" t="s">
        <v>512</v>
      </c>
      <c r="H361" s="830" t="s">
        <v>93</v>
      </c>
      <c r="Q361" s="830">
        <v>2.7760816879597998</v>
      </c>
      <c r="T361" s="831">
        <v>41736.707523148201</v>
      </c>
    </row>
    <row r="362" spans="1:20" ht="12.75" customHeight="1" x14ac:dyDescent="0.25">
      <c r="A362" s="830" t="s">
        <v>308</v>
      </c>
      <c r="B362" s="830">
        <v>10.1</v>
      </c>
      <c r="C362" s="830" t="s">
        <v>483</v>
      </c>
      <c r="D362" s="830" t="s">
        <v>446</v>
      </c>
      <c r="F362" s="830" t="s">
        <v>474</v>
      </c>
      <c r="G362" s="830" t="s">
        <v>512</v>
      </c>
      <c r="H362" s="830" t="s">
        <v>315</v>
      </c>
      <c r="I362" s="830" t="s">
        <v>308</v>
      </c>
      <c r="J362" s="830" t="s">
        <v>449</v>
      </c>
      <c r="K362" s="830" t="s">
        <v>215</v>
      </c>
      <c r="Q362" s="832">
        <v>107542473.19164297</v>
      </c>
      <c r="T362" s="831">
        <v>41736.707534722198</v>
      </c>
    </row>
    <row r="363" spans="1:20" ht="12.75" customHeight="1" x14ac:dyDescent="0.25">
      <c r="A363" s="830" t="s">
        <v>308</v>
      </c>
      <c r="B363" s="830">
        <v>10.1</v>
      </c>
      <c r="C363" s="830" t="s">
        <v>483</v>
      </c>
      <c r="D363" s="830" t="s">
        <v>446</v>
      </c>
      <c r="F363" s="830" t="s">
        <v>474</v>
      </c>
      <c r="G363" s="830" t="s">
        <v>512</v>
      </c>
      <c r="H363" s="830" t="s">
        <v>316</v>
      </c>
      <c r="I363" s="830" t="s">
        <v>309</v>
      </c>
      <c r="J363" s="830" t="s">
        <v>449</v>
      </c>
      <c r="K363" s="830" t="s">
        <v>215</v>
      </c>
      <c r="Q363" s="832">
        <v>26891067.153664753</v>
      </c>
      <c r="T363" s="831">
        <v>41736.707534722198</v>
      </c>
    </row>
    <row r="364" spans="1:20" ht="12.75" customHeight="1" x14ac:dyDescent="0.25">
      <c r="A364" s="830" t="s">
        <v>308</v>
      </c>
      <c r="B364" s="830">
        <v>10.199999999999999</v>
      </c>
      <c r="C364" s="830" t="s">
        <v>484</v>
      </c>
      <c r="D364" s="830" t="s">
        <v>475</v>
      </c>
      <c r="F364" s="830" t="s">
        <v>474</v>
      </c>
      <c r="G364" s="830" t="s">
        <v>512</v>
      </c>
      <c r="H364" s="830" t="s">
        <v>315</v>
      </c>
      <c r="I364" s="830" t="s">
        <v>308</v>
      </c>
      <c r="J364" s="830" t="s">
        <v>449</v>
      </c>
      <c r="K364" s="830" t="s">
        <v>215</v>
      </c>
      <c r="Q364" s="832">
        <v>3471712.0447482974</v>
      </c>
      <c r="T364" s="831">
        <v>41736.707534722198</v>
      </c>
    </row>
    <row r="365" spans="1:20" s="829" customFormat="1" ht="12.75" customHeight="1" x14ac:dyDescent="0.25">
      <c r="A365" s="829" t="s">
        <v>308</v>
      </c>
      <c r="B365" s="829">
        <v>10.199999999999999</v>
      </c>
      <c r="C365" s="829" t="s">
        <v>484</v>
      </c>
      <c r="D365" s="829" t="s">
        <v>475</v>
      </c>
      <c r="F365" s="829" t="s">
        <v>474</v>
      </c>
      <c r="G365" s="829" t="s">
        <v>512</v>
      </c>
      <c r="H365" s="829" t="s">
        <v>316</v>
      </c>
      <c r="I365" s="829" t="s">
        <v>309</v>
      </c>
      <c r="J365" s="829" t="s">
        <v>449</v>
      </c>
      <c r="K365" s="829" t="s">
        <v>215</v>
      </c>
      <c r="Q365" s="833">
        <v>916396.36661584547</v>
      </c>
      <c r="T365" s="834">
        <v>41736.707534722198</v>
      </c>
    </row>
    <row r="366" spans="1:20" ht="12.75" customHeight="1" x14ac:dyDescent="0.25">
      <c r="A366" s="830" t="s">
        <v>308</v>
      </c>
      <c r="B366" s="830">
        <v>4</v>
      </c>
      <c r="C366" s="830" t="s">
        <v>322</v>
      </c>
      <c r="D366" s="830" t="s">
        <v>469</v>
      </c>
      <c r="F366" s="830" t="s">
        <v>284</v>
      </c>
      <c r="G366" s="830" t="s">
        <v>512</v>
      </c>
      <c r="M366" s="830" t="s">
        <v>288</v>
      </c>
      <c r="N366" s="830" t="s">
        <v>289</v>
      </c>
      <c r="P366" s="830">
        <v>3.0436674922</v>
      </c>
      <c r="Q366" s="830">
        <v>5.0167440576362603</v>
      </c>
      <c r="S366" s="830">
        <v>1.6482562797981899</v>
      </c>
      <c r="T366" s="831">
        <v>41736.707511574103</v>
      </c>
    </row>
    <row r="367" spans="1:20" ht="12.75" customHeight="1" x14ac:dyDescent="0.25">
      <c r="A367" s="830" t="s">
        <v>308</v>
      </c>
      <c r="B367" s="830">
        <v>13</v>
      </c>
      <c r="C367" s="830" t="s">
        <v>323</v>
      </c>
      <c r="D367" s="830" t="s">
        <v>324</v>
      </c>
      <c r="F367" s="830" t="s">
        <v>325</v>
      </c>
      <c r="G367" s="830" t="s">
        <v>512</v>
      </c>
      <c r="H367" s="830" t="s">
        <v>326</v>
      </c>
      <c r="J367" s="830" t="s">
        <v>327</v>
      </c>
      <c r="K367" s="830" t="s">
        <v>260</v>
      </c>
      <c r="L367" s="830" t="s">
        <v>308</v>
      </c>
      <c r="M367" s="830" t="s">
        <v>470</v>
      </c>
      <c r="N367" s="830" t="s">
        <v>256</v>
      </c>
      <c r="O367" s="830">
        <v>2</v>
      </c>
      <c r="Q367" s="830">
        <v>0</v>
      </c>
      <c r="T367" s="831">
        <v>41736.707546296297</v>
      </c>
    </row>
    <row r="368" spans="1:20" ht="12.75" customHeight="1" x14ac:dyDescent="0.25">
      <c r="A368" s="830" t="s">
        <v>308</v>
      </c>
      <c r="B368" s="830">
        <v>13</v>
      </c>
      <c r="C368" s="830" t="s">
        <v>323</v>
      </c>
      <c r="D368" s="830" t="s">
        <v>324</v>
      </c>
      <c r="F368" s="830" t="s">
        <v>325</v>
      </c>
      <c r="G368" s="830" t="s">
        <v>512</v>
      </c>
      <c r="H368" s="830" t="s">
        <v>331</v>
      </c>
      <c r="J368" s="830" t="s">
        <v>327</v>
      </c>
      <c r="K368" s="830" t="s">
        <v>260</v>
      </c>
      <c r="L368" s="830" t="s">
        <v>308</v>
      </c>
      <c r="M368" s="830" t="s">
        <v>470</v>
      </c>
      <c r="N368" s="830" t="s">
        <v>256</v>
      </c>
      <c r="Q368" s="830">
        <v>2</v>
      </c>
      <c r="T368" s="831">
        <v>41736.707546296297</v>
      </c>
    </row>
    <row r="369" spans="1:20" ht="12.75" customHeight="1" x14ac:dyDescent="0.25">
      <c r="A369" s="830" t="s">
        <v>308</v>
      </c>
      <c r="B369" s="830">
        <v>13</v>
      </c>
      <c r="C369" s="830" t="s">
        <v>323</v>
      </c>
      <c r="D369" s="830" t="s">
        <v>324</v>
      </c>
      <c r="F369" s="830" t="s">
        <v>325</v>
      </c>
      <c r="G369" s="830" t="s">
        <v>512</v>
      </c>
      <c r="H369" s="830" t="s">
        <v>329</v>
      </c>
      <c r="J369" s="830" t="s">
        <v>327</v>
      </c>
      <c r="K369" s="830" t="s">
        <v>260</v>
      </c>
      <c r="L369" s="830" t="s">
        <v>308</v>
      </c>
      <c r="M369" s="830" t="s">
        <v>470</v>
      </c>
      <c r="N369" s="830" t="s">
        <v>256</v>
      </c>
      <c r="O369" s="830">
        <v>4</v>
      </c>
      <c r="Q369" s="830">
        <v>46</v>
      </c>
      <c r="T369" s="831">
        <v>41736.707546296297</v>
      </c>
    </row>
    <row r="370" spans="1:20" ht="12.75" customHeight="1" x14ac:dyDescent="0.25">
      <c r="A370" s="830" t="s">
        <v>308</v>
      </c>
      <c r="B370" s="830">
        <v>13</v>
      </c>
      <c r="C370" s="830" t="s">
        <v>323</v>
      </c>
      <c r="D370" s="830" t="s">
        <v>324</v>
      </c>
      <c r="F370" s="830" t="s">
        <v>325</v>
      </c>
      <c r="G370" s="830" t="s">
        <v>512</v>
      </c>
      <c r="H370" s="830" t="s">
        <v>330</v>
      </c>
      <c r="J370" s="830" t="s">
        <v>327</v>
      </c>
      <c r="K370" s="830" t="s">
        <v>260</v>
      </c>
      <c r="L370" s="830" t="s">
        <v>308</v>
      </c>
      <c r="M370" s="830" t="s">
        <v>470</v>
      </c>
      <c r="N370" s="830" t="s">
        <v>256</v>
      </c>
      <c r="O370" s="830">
        <v>3</v>
      </c>
      <c r="Q370" s="830">
        <v>8</v>
      </c>
      <c r="T370" s="831">
        <v>41736.707546296297</v>
      </c>
    </row>
    <row r="371" spans="1:20" ht="12.75" customHeight="1" x14ac:dyDescent="0.25">
      <c r="A371" s="830" t="s">
        <v>308</v>
      </c>
      <c r="B371" s="830">
        <v>13</v>
      </c>
      <c r="C371" s="830" t="s">
        <v>323</v>
      </c>
      <c r="D371" s="830" t="s">
        <v>324</v>
      </c>
      <c r="F371" s="830" t="s">
        <v>325</v>
      </c>
      <c r="G371" s="830" t="s">
        <v>512</v>
      </c>
      <c r="H371" s="830" t="s">
        <v>328</v>
      </c>
      <c r="J371" s="830" t="s">
        <v>327</v>
      </c>
      <c r="K371" s="830" t="s">
        <v>260</v>
      </c>
      <c r="L371" s="830" t="s">
        <v>308</v>
      </c>
      <c r="M371" s="830" t="s">
        <v>470</v>
      </c>
      <c r="N371" s="830" t="s">
        <v>256</v>
      </c>
      <c r="O371" s="830">
        <v>5</v>
      </c>
      <c r="Q371" s="830">
        <v>0</v>
      </c>
      <c r="T371" s="831">
        <v>41736.707546296297</v>
      </c>
    </row>
    <row r="372" spans="1:20" ht="12.75" customHeight="1" x14ac:dyDescent="0.25">
      <c r="A372" s="830" t="s">
        <v>308</v>
      </c>
      <c r="B372" s="830">
        <v>13</v>
      </c>
      <c r="C372" s="830" t="s">
        <v>323</v>
      </c>
      <c r="D372" s="830" t="s">
        <v>324</v>
      </c>
      <c r="F372" s="830" t="s">
        <v>325</v>
      </c>
      <c r="G372" s="830" t="s">
        <v>512</v>
      </c>
      <c r="H372" s="830" t="s">
        <v>332</v>
      </c>
      <c r="J372" s="830" t="s">
        <v>327</v>
      </c>
      <c r="K372" s="830" t="s">
        <v>260</v>
      </c>
      <c r="L372" s="830" t="s">
        <v>308</v>
      </c>
      <c r="M372" s="830" t="s">
        <v>470</v>
      </c>
      <c r="N372" s="830" t="s">
        <v>256</v>
      </c>
      <c r="O372" s="830">
        <v>1</v>
      </c>
      <c r="Q372" s="830">
        <v>0</v>
      </c>
      <c r="T372" s="831">
        <v>41736.707546296297</v>
      </c>
    </row>
    <row r="373" spans="1:20" ht="12.75" customHeight="1" x14ac:dyDescent="0.25">
      <c r="A373" s="830" t="s">
        <v>308</v>
      </c>
      <c r="B373" s="830">
        <v>13</v>
      </c>
      <c r="C373" s="830" t="s">
        <v>323</v>
      </c>
      <c r="D373" s="830" t="s">
        <v>324</v>
      </c>
      <c r="F373" s="830" t="s">
        <v>325</v>
      </c>
      <c r="G373" s="830" t="s">
        <v>512</v>
      </c>
      <c r="H373" s="830" t="s">
        <v>333</v>
      </c>
      <c r="J373" s="830" t="s">
        <v>327</v>
      </c>
      <c r="K373" s="830" t="s">
        <v>260</v>
      </c>
      <c r="L373" s="830" t="s">
        <v>308</v>
      </c>
      <c r="M373" s="830" t="s">
        <v>470</v>
      </c>
      <c r="N373" s="830" t="s">
        <v>256</v>
      </c>
      <c r="O373" s="830">
        <v>6</v>
      </c>
      <c r="Q373" s="830">
        <v>1</v>
      </c>
      <c r="T373" s="831">
        <v>41736.707546296297</v>
      </c>
    </row>
    <row r="374" spans="1:20" ht="12.75" customHeight="1" x14ac:dyDescent="0.25">
      <c r="A374" s="830" t="s">
        <v>308</v>
      </c>
      <c r="B374" s="830">
        <v>13</v>
      </c>
      <c r="C374" s="830" t="s">
        <v>323</v>
      </c>
      <c r="D374" s="830" t="s">
        <v>324</v>
      </c>
      <c r="F374" s="830" t="s">
        <v>325</v>
      </c>
      <c r="G374" s="830" t="s">
        <v>512</v>
      </c>
      <c r="H374" s="830" t="s">
        <v>350</v>
      </c>
      <c r="J374" s="830" t="s">
        <v>327</v>
      </c>
      <c r="K374" s="830" t="s">
        <v>260</v>
      </c>
      <c r="L374" s="830" t="s">
        <v>308</v>
      </c>
      <c r="M374" s="830" t="s">
        <v>471</v>
      </c>
      <c r="N374" s="830" t="s">
        <v>256</v>
      </c>
      <c r="O374" s="830">
        <v>4</v>
      </c>
      <c r="P374" s="830">
        <v>4</v>
      </c>
      <c r="Q374" s="830">
        <v>31</v>
      </c>
      <c r="T374" s="831">
        <v>41736.707546296297</v>
      </c>
    </row>
    <row r="375" spans="1:20" ht="12.75" customHeight="1" x14ac:dyDescent="0.25">
      <c r="A375" s="830" t="s">
        <v>308</v>
      </c>
      <c r="B375" s="830">
        <v>13</v>
      </c>
      <c r="C375" s="830" t="s">
        <v>323</v>
      </c>
      <c r="D375" s="830" t="s">
        <v>324</v>
      </c>
      <c r="F375" s="830" t="s">
        <v>325</v>
      </c>
      <c r="G375" s="830" t="s">
        <v>512</v>
      </c>
      <c r="H375" s="830" t="s">
        <v>347</v>
      </c>
      <c r="J375" s="830" t="s">
        <v>327</v>
      </c>
      <c r="K375" s="830" t="s">
        <v>260</v>
      </c>
      <c r="L375" s="830" t="s">
        <v>308</v>
      </c>
      <c r="M375" s="830" t="s">
        <v>471</v>
      </c>
      <c r="N375" s="830" t="s">
        <v>256</v>
      </c>
      <c r="O375" s="830">
        <v>5</v>
      </c>
      <c r="P375" s="830">
        <v>6</v>
      </c>
      <c r="Q375" s="830">
        <v>0</v>
      </c>
      <c r="T375" s="831">
        <v>41736.707546296297</v>
      </c>
    </row>
    <row r="376" spans="1:20" ht="12.75" customHeight="1" x14ac:dyDescent="0.25">
      <c r="A376" s="830" t="s">
        <v>308</v>
      </c>
      <c r="B376" s="830">
        <v>13</v>
      </c>
      <c r="C376" s="830" t="s">
        <v>323</v>
      </c>
      <c r="D376" s="830" t="s">
        <v>324</v>
      </c>
      <c r="F376" s="830" t="s">
        <v>325</v>
      </c>
      <c r="G376" s="830" t="s">
        <v>512</v>
      </c>
      <c r="H376" s="830" t="s">
        <v>381</v>
      </c>
      <c r="J376" s="830" t="s">
        <v>327</v>
      </c>
      <c r="K376" s="830" t="s">
        <v>260</v>
      </c>
      <c r="L376" s="830" t="s">
        <v>308</v>
      </c>
      <c r="M376" s="830" t="s">
        <v>471</v>
      </c>
      <c r="N376" s="830" t="s">
        <v>256</v>
      </c>
      <c r="O376" s="830">
        <v>6</v>
      </c>
      <c r="P376" s="830">
        <v>7</v>
      </c>
      <c r="Q376" s="830">
        <v>0</v>
      </c>
      <c r="T376" s="831">
        <v>41736.707546296297</v>
      </c>
    </row>
    <row r="377" spans="1:20" ht="12.75" customHeight="1" x14ac:dyDescent="0.25">
      <c r="A377" s="830" t="s">
        <v>308</v>
      </c>
      <c r="B377" s="830">
        <v>13</v>
      </c>
      <c r="C377" s="830" t="s">
        <v>323</v>
      </c>
      <c r="D377" s="830" t="s">
        <v>324</v>
      </c>
      <c r="F377" s="830" t="s">
        <v>325</v>
      </c>
      <c r="G377" s="830" t="s">
        <v>512</v>
      </c>
      <c r="H377" s="830" t="s">
        <v>351</v>
      </c>
      <c r="J377" s="830" t="s">
        <v>327</v>
      </c>
      <c r="K377" s="830" t="s">
        <v>260</v>
      </c>
      <c r="L377" s="830" t="s">
        <v>308</v>
      </c>
      <c r="M377" s="830" t="s">
        <v>471</v>
      </c>
      <c r="N377" s="830" t="s">
        <v>256</v>
      </c>
      <c r="O377" s="830">
        <v>4</v>
      </c>
      <c r="P377" s="830">
        <v>3</v>
      </c>
      <c r="Q377" s="830">
        <v>0</v>
      </c>
      <c r="T377" s="831">
        <v>41736.707546296297</v>
      </c>
    </row>
    <row r="378" spans="1:20" ht="12.75" customHeight="1" x14ac:dyDescent="0.25">
      <c r="A378" s="830" t="s">
        <v>308</v>
      </c>
      <c r="B378" s="830">
        <v>13</v>
      </c>
      <c r="C378" s="830" t="s">
        <v>323</v>
      </c>
      <c r="D378" s="830" t="s">
        <v>324</v>
      </c>
      <c r="F378" s="830" t="s">
        <v>325</v>
      </c>
      <c r="G378" s="830" t="s">
        <v>512</v>
      </c>
      <c r="H378" s="830" t="s">
        <v>357</v>
      </c>
      <c r="J378" s="830" t="s">
        <v>327</v>
      </c>
      <c r="K378" s="830" t="s">
        <v>260</v>
      </c>
      <c r="L378" s="830" t="s">
        <v>308</v>
      </c>
      <c r="M378" s="830" t="s">
        <v>471</v>
      </c>
      <c r="N378" s="830" t="s">
        <v>256</v>
      </c>
      <c r="O378" s="830">
        <v>3</v>
      </c>
      <c r="P378" s="830">
        <v>4</v>
      </c>
      <c r="Q378" s="830">
        <v>6</v>
      </c>
      <c r="T378" s="831">
        <v>41736.707546296297</v>
      </c>
    </row>
    <row r="379" spans="1:20" ht="12.75" customHeight="1" x14ac:dyDescent="0.25">
      <c r="A379" s="830" t="s">
        <v>308</v>
      </c>
      <c r="B379" s="830">
        <v>13</v>
      </c>
      <c r="C379" s="830" t="s">
        <v>323</v>
      </c>
      <c r="D379" s="830" t="s">
        <v>324</v>
      </c>
      <c r="F379" s="830" t="s">
        <v>325</v>
      </c>
      <c r="G379" s="830" t="s">
        <v>512</v>
      </c>
      <c r="H379" s="830" t="s">
        <v>378</v>
      </c>
      <c r="J379" s="830" t="s">
        <v>327</v>
      </c>
      <c r="K379" s="830" t="s">
        <v>260</v>
      </c>
      <c r="L379" s="830" t="s">
        <v>308</v>
      </c>
      <c r="M379" s="830" t="s">
        <v>471</v>
      </c>
      <c r="N379" s="830" t="s">
        <v>256</v>
      </c>
      <c r="O379" s="830">
        <v>6</v>
      </c>
      <c r="P379" s="830">
        <v>4</v>
      </c>
      <c r="Q379" s="830">
        <v>0</v>
      </c>
      <c r="T379" s="831">
        <v>41736.707546296297</v>
      </c>
    </row>
    <row r="380" spans="1:20" ht="12.75" customHeight="1" x14ac:dyDescent="0.25">
      <c r="A380" s="830" t="s">
        <v>308</v>
      </c>
      <c r="B380" s="830">
        <v>13</v>
      </c>
      <c r="C380" s="830" t="s">
        <v>323</v>
      </c>
      <c r="D380" s="830" t="s">
        <v>324</v>
      </c>
      <c r="F380" s="830" t="s">
        <v>325</v>
      </c>
      <c r="G380" s="830" t="s">
        <v>512</v>
      </c>
      <c r="H380" s="830" t="s">
        <v>360</v>
      </c>
      <c r="J380" s="830" t="s">
        <v>327</v>
      </c>
      <c r="K380" s="830" t="s">
        <v>260</v>
      </c>
      <c r="L380" s="830" t="s">
        <v>308</v>
      </c>
      <c r="M380" s="830" t="s">
        <v>471</v>
      </c>
      <c r="N380" s="830" t="s">
        <v>256</v>
      </c>
      <c r="O380" s="830">
        <v>3</v>
      </c>
      <c r="P380" s="830">
        <v>7</v>
      </c>
      <c r="Q380" s="830">
        <v>0</v>
      </c>
      <c r="T380" s="831">
        <v>41736.707546296297</v>
      </c>
    </row>
    <row r="381" spans="1:20" ht="12.75" customHeight="1" x14ac:dyDescent="0.25">
      <c r="A381" s="830" t="s">
        <v>308</v>
      </c>
      <c r="B381" s="830">
        <v>13</v>
      </c>
      <c r="C381" s="830" t="s">
        <v>323</v>
      </c>
      <c r="D381" s="830" t="s">
        <v>324</v>
      </c>
      <c r="F381" s="830" t="s">
        <v>325</v>
      </c>
      <c r="G381" s="830" t="s">
        <v>512</v>
      </c>
      <c r="H381" s="830" t="s">
        <v>346</v>
      </c>
      <c r="J381" s="830" t="s">
        <v>327</v>
      </c>
      <c r="K381" s="830" t="s">
        <v>260</v>
      </c>
      <c r="L381" s="830" t="s">
        <v>308</v>
      </c>
      <c r="M381" s="830" t="s">
        <v>471</v>
      </c>
      <c r="N381" s="830" t="s">
        <v>256</v>
      </c>
      <c r="O381" s="830">
        <v>5</v>
      </c>
      <c r="P381" s="830">
        <v>7</v>
      </c>
      <c r="Q381" s="830">
        <v>0</v>
      </c>
      <c r="T381" s="831">
        <v>41736.707546296297</v>
      </c>
    </row>
    <row r="382" spans="1:20" ht="12.75" customHeight="1" x14ac:dyDescent="0.25">
      <c r="A382" s="830" t="s">
        <v>308</v>
      </c>
      <c r="B382" s="830">
        <v>13</v>
      </c>
      <c r="C382" s="830" t="s">
        <v>323</v>
      </c>
      <c r="D382" s="830" t="s">
        <v>324</v>
      </c>
      <c r="F382" s="830" t="s">
        <v>325</v>
      </c>
      <c r="G382" s="830" t="s">
        <v>512</v>
      </c>
      <c r="H382" s="830" t="s">
        <v>367</v>
      </c>
      <c r="J382" s="830" t="s">
        <v>327</v>
      </c>
      <c r="K382" s="830" t="s">
        <v>260</v>
      </c>
      <c r="L382" s="830" t="s">
        <v>308</v>
      </c>
      <c r="M382" s="830" t="s">
        <v>471</v>
      </c>
      <c r="N382" s="830" t="s">
        <v>256</v>
      </c>
      <c r="P382" s="830">
        <v>7</v>
      </c>
      <c r="Q382" s="830">
        <v>0</v>
      </c>
      <c r="T382" s="831">
        <v>41736.707546296297</v>
      </c>
    </row>
    <row r="383" spans="1:20" ht="12.75" customHeight="1" x14ac:dyDescent="0.25">
      <c r="A383" s="830" t="s">
        <v>308</v>
      </c>
      <c r="B383" s="830">
        <v>13</v>
      </c>
      <c r="C383" s="830" t="s">
        <v>323</v>
      </c>
      <c r="D383" s="830" t="s">
        <v>324</v>
      </c>
      <c r="F383" s="830" t="s">
        <v>325</v>
      </c>
      <c r="G383" s="830" t="s">
        <v>512</v>
      </c>
      <c r="H383" s="830" t="s">
        <v>343</v>
      </c>
      <c r="J383" s="830" t="s">
        <v>327</v>
      </c>
      <c r="K383" s="830" t="s">
        <v>260</v>
      </c>
      <c r="L383" s="830" t="s">
        <v>308</v>
      </c>
      <c r="M383" s="830" t="s">
        <v>471</v>
      </c>
      <c r="N383" s="830" t="s">
        <v>256</v>
      </c>
      <c r="O383" s="830">
        <v>5</v>
      </c>
      <c r="P383" s="830">
        <v>4</v>
      </c>
      <c r="Q383" s="830">
        <v>0</v>
      </c>
      <c r="T383" s="831">
        <v>41736.707546296297</v>
      </c>
    </row>
    <row r="384" spans="1:20" ht="12.75" customHeight="1" x14ac:dyDescent="0.25">
      <c r="A384" s="830" t="s">
        <v>308</v>
      </c>
      <c r="B384" s="830">
        <v>13</v>
      </c>
      <c r="C384" s="830" t="s">
        <v>323</v>
      </c>
      <c r="D384" s="830" t="s">
        <v>324</v>
      </c>
      <c r="F384" s="830" t="s">
        <v>325</v>
      </c>
      <c r="G384" s="830" t="s">
        <v>512</v>
      </c>
      <c r="H384" s="830" t="s">
        <v>379</v>
      </c>
      <c r="J384" s="830" t="s">
        <v>327</v>
      </c>
      <c r="K384" s="830" t="s">
        <v>260</v>
      </c>
      <c r="L384" s="830" t="s">
        <v>308</v>
      </c>
      <c r="M384" s="830" t="s">
        <v>471</v>
      </c>
      <c r="N384" s="830" t="s">
        <v>256</v>
      </c>
      <c r="O384" s="830">
        <v>6</v>
      </c>
      <c r="P384" s="830">
        <v>3</v>
      </c>
      <c r="Q384" s="830">
        <v>0</v>
      </c>
      <c r="T384" s="831">
        <v>41736.707546296297</v>
      </c>
    </row>
    <row r="385" spans="1:20" ht="12.75" customHeight="1" x14ac:dyDescent="0.25">
      <c r="A385" s="830" t="s">
        <v>308</v>
      </c>
      <c r="B385" s="830">
        <v>13</v>
      </c>
      <c r="C385" s="830" t="s">
        <v>323</v>
      </c>
      <c r="D385" s="830" t="s">
        <v>324</v>
      </c>
      <c r="F385" s="830" t="s">
        <v>325</v>
      </c>
      <c r="G385" s="830" t="s">
        <v>512</v>
      </c>
      <c r="H385" s="830" t="s">
        <v>329</v>
      </c>
      <c r="J385" s="830" t="s">
        <v>327</v>
      </c>
      <c r="K385" s="830" t="s">
        <v>260</v>
      </c>
      <c r="L385" s="830" t="s">
        <v>308</v>
      </c>
      <c r="M385" s="830" t="s">
        <v>471</v>
      </c>
      <c r="N385" s="830" t="s">
        <v>256</v>
      </c>
      <c r="O385" s="830">
        <v>4</v>
      </c>
      <c r="Q385" s="830">
        <v>0</v>
      </c>
      <c r="T385" s="831">
        <v>41736.707546296297</v>
      </c>
    </row>
    <row r="386" spans="1:20" ht="12.75" customHeight="1" x14ac:dyDescent="0.25">
      <c r="A386" s="830" t="s">
        <v>308</v>
      </c>
      <c r="B386" s="830">
        <v>13</v>
      </c>
      <c r="C386" s="830" t="s">
        <v>323</v>
      </c>
      <c r="D386" s="830" t="s">
        <v>324</v>
      </c>
      <c r="F386" s="830" t="s">
        <v>325</v>
      </c>
      <c r="G386" s="830" t="s">
        <v>512</v>
      </c>
      <c r="H386" s="830" t="s">
        <v>377</v>
      </c>
      <c r="J386" s="830" t="s">
        <v>327</v>
      </c>
      <c r="K386" s="830" t="s">
        <v>260</v>
      </c>
      <c r="L386" s="830" t="s">
        <v>308</v>
      </c>
      <c r="M386" s="830" t="s">
        <v>471</v>
      </c>
      <c r="N386" s="830" t="s">
        <v>256</v>
      </c>
      <c r="O386" s="830">
        <v>6</v>
      </c>
      <c r="P386" s="830">
        <v>5</v>
      </c>
      <c r="Q386" s="830">
        <v>0</v>
      </c>
      <c r="T386" s="831">
        <v>41736.707546296297</v>
      </c>
    </row>
    <row r="387" spans="1:20" ht="12.75" customHeight="1" x14ac:dyDescent="0.25">
      <c r="A387" s="830" t="s">
        <v>308</v>
      </c>
      <c r="B387" s="830">
        <v>13</v>
      </c>
      <c r="C387" s="830" t="s">
        <v>323</v>
      </c>
      <c r="D387" s="830" t="s">
        <v>324</v>
      </c>
      <c r="F387" s="830" t="s">
        <v>325</v>
      </c>
      <c r="G387" s="830" t="s">
        <v>512</v>
      </c>
      <c r="H387" s="830" t="s">
        <v>365</v>
      </c>
      <c r="J387" s="830" t="s">
        <v>327</v>
      </c>
      <c r="K387" s="830" t="s">
        <v>260</v>
      </c>
      <c r="L387" s="830" t="s">
        <v>308</v>
      </c>
      <c r="M387" s="830" t="s">
        <v>471</v>
      </c>
      <c r="N387" s="830" t="s">
        <v>256</v>
      </c>
      <c r="P387" s="830">
        <v>3</v>
      </c>
      <c r="Q387" s="830">
        <v>0</v>
      </c>
      <c r="T387" s="831">
        <v>41736.707546296297</v>
      </c>
    </row>
    <row r="388" spans="1:20" ht="12.75" customHeight="1" x14ac:dyDescent="0.25">
      <c r="A388" s="830" t="s">
        <v>308</v>
      </c>
      <c r="B388" s="830">
        <v>13</v>
      </c>
      <c r="C388" s="830" t="s">
        <v>323</v>
      </c>
      <c r="D388" s="830" t="s">
        <v>324</v>
      </c>
      <c r="F388" s="830" t="s">
        <v>325</v>
      </c>
      <c r="G388" s="830" t="s">
        <v>512</v>
      </c>
      <c r="H388" s="830" t="s">
        <v>371</v>
      </c>
      <c r="J388" s="830" t="s">
        <v>327</v>
      </c>
      <c r="K388" s="830" t="s">
        <v>260</v>
      </c>
      <c r="L388" s="830" t="s">
        <v>308</v>
      </c>
      <c r="M388" s="830" t="s">
        <v>471</v>
      </c>
      <c r="N388" s="830" t="s">
        <v>256</v>
      </c>
      <c r="O388" s="830">
        <v>1</v>
      </c>
      <c r="P388" s="830">
        <v>4</v>
      </c>
      <c r="Q388" s="830">
        <v>20</v>
      </c>
      <c r="T388" s="831">
        <v>41736.707546296297</v>
      </c>
    </row>
    <row r="389" spans="1:20" ht="12.75" customHeight="1" x14ac:dyDescent="0.25">
      <c r="A389" s="830" t="s">
        <v>308</v>
      </c>
      <c r="B389" s="830">
        <v>13</v>
      </c>
      <c r="C389" s="830" t="s">
        <v>323</v>
      </c>
      <c r="D389" s="830" t="s">
        <v>324</v>
      </c>
      <c r="F389" s="830" t="s">
        <v>325</v>
      </c>
      <c r="G389" s="830" t="s">
        <v>512</v>
      </c>
      <c r="H389" s="830" t="s">
        <v>336</v>
      </c>
      <c r="J389" s="830" t="s">
        <v>327</v>
      </c>
      <c r="K389" s="830" t="s">
        <v>260</v>
      </c>
      <c r="L389" s="830" t="s">
        <v>308</v>
      </c>
      <c r="M389" s="830" t="s">
        <v>471</v>
      </c>
      <c r="N389" s="830" t="s">
        <v>256</v>
      </c>
      <c r="O389" s="830">
        <v>2</v>
      </c>
      <c r="P389" s="830">
        <v>4</v>
      </c>
      <c r="Q389" s="830">
        <v>1</v>
      </c>
      <c r="T389" s="831">
        <v>41736.707546296297</v>
      </c>
    </row>
    <row r="390" spans="1:20" ht="12.75" customHeight="1" x14ac:dyDescent="0.25">
      <c r="A390" s="830" t="s">
        <v>308</v>
      </c>
      <c r="B390" s="830">
        <v>13</v>
      </c>
      <c r="C390" s="830" t="s">
        <v>323</v>
      </c>
      <c r="D390" s="830" t="s">
        <v>324</v>
      </c>
      <c r="F390" s="830" t="s">
        <v>325</v>
      </c>
      <c r="G390" s="830" t="s">
        <v>512</v>
      </c>
      <c r="H390" s="830" t="s">
        <v>375</v>
      </c>
      <c r="J390" s="830" t="s">
        <v>327</v>
      </c>
      <c r="K390" s="830" t="s">
        <v>260</v>
      </c>
      <c r="L390" s="830" t="s">
        <v>308</v>
      </c>
      <c r="M390" s="830" t="s">
        <v>471</v>
      </c>
      <c r="N390" s="830" t="s">
        <v>256</v>
      </c>
      <c r="O390" s="830">
        <v>1</v>
      </c>
      <c r="P390" s="830">
        <v>6</v>
      </c>
      <c r="Q390" s="830">
        <v>1</v>
      </c>
      <c r="T390" s="831">
        <v>41736.707546296297</v>
      </c>
    </row>
    <row r="391" spans="1:20" ht="12.75" customHeight="1" x14ac:dyDescent="0.25">
      <c r="A391" s="830" t="s">
        <v>308</v>
      </c>
      <c r="B391" s="830">
        <v>13</v>
      </c>
      <c r="C391" s="830" t="s">
        <v>323</v>
      </c>
      <c r="D391" s="830" t="s">
        <v>324</v>
      </c>
      <c r="F391" s="830" t="s">
        <v>325</v>
      </c>
      <c r="G391" s="830" t="s">
        <v>512</v>
      </c>
      <c r="H391" s="830" t="s">
        <v>380</v>
      </c>
      <c r="J391" s="830" t="s">
        <v>327</v>
      </c>
      <c r="K391" s="830" t="s">
        <v>260</v>
      </c>
      <c r="L391" s="830" t="s">
        <v>308</v>
      </c>
      <c r="M391" s="830" t="s">
        <v>471</v>
      </c>
      <c r="N391" s="830" t="s">
        <v>256</v>
      </c>
      <c r="O391" s="830">
        <v>6</v>
      </c>
      <c r="P391" s="830">
        <v>1</v>
      </c>
      <c r="Q391" s="830">
        <v>0</v>
      </c>
      <c r="T391" s="831">
        <v>41736.707546296297</v>
      </c>
    </row>
    <row r="392" spans="1:20" ht="12.75" customHeight="1" x14ac:dyDescent="0.25">
      <c r="A392" s="830" t="s">
        <v>308</v>
      </c>
      <c r="B392" s="830">
        <v>13</v>
      </c>
      <c r="C392" s="830" t="s">
        <v>323</v>
      </c>
      <c r="D392" s="830" t="s">
        <v>324</v>
      </c>
      <c r="F392" s="830" t="s">
        <v>325</v>
      </c>
      <c r="G392" s="830" t="s">
        <v>512</v>
      </c>
      <c r="H392" s="830" t="s">
        <v>330</v>
      </c>
      <c r="J392" s="830" t="s">
        <v>327</v>
      </c>
      <c r="K392" s="830" t="s">
        <v>260</v>
      </c>
      <c r="L392" s="830" t="s">
        <v>308</v>
      </c>
      <c r="M392" s="830" t="s">
        <v>471</v>
      </c>
      <c r="N392" s="830" t="s">
        <v>256</v>
      </c>
      <c r="O392" s="830">
        <v>3</v>
      </c>
      <c r="Q392" s="830">
        <v>1</v>
      </c>
      <c r="T392" s="831">
        <v>41736.707546296297</v>
      </c>
    </row>
    <row r="393" spans="1:20" ht="12.75" customHeight="1" x14ac:dyDescent="0.25">
      <c r="A393" s="830" t="s">
        <v>308</v>
      </c>
      <c r="B393" s="830">
        <v>13</v>
      </c>
      <c r="C393" s="830" t="s">
        <v>323</v>
      </c>
      <c r="D393" s="830" t="s">
        <v>324</v>
      </c>
      <c r="F393" s="830" t="s">
        <v>325</v>
      </c>
      <c r="G393" s="830" t="s">
        <v>512</v>
      </c>
      <c r="H393" s="830" t="s">
        <v>374</v>
      </c>
      <c r="J393" s="830" t="s">
        <v>327</v>
      </c>
      <c r="K393" s="830" t="s">
        <v>260</v>
      </c>
      <c r="L393" s="830" t="s">
        <v>308</v>
      </c>
      <c r="M393" s="830" t="s">
        <v>471</v>
      </c>
      <c r="N393" s="830" t="s">
        <v>256</v>
      </c>
      <c r="O393" s="830">
        <v>1</v>
      </c>
      <c r="P393" s="830">
        <v>7</v>
      </c>
      <c r="Q393" s="830">
        <v>0</v>
      </c>
      <c r="T393" s="831">
        <v>41736.707546296297</v>
      </c>
    </row>
    <row r="394" spans="1:20" ht="12.75" customHeight="1" x14ac:dyDescent="0.25">
      <c r="A394" s="830" t="s">
        <v>308</v>
      </c>
      <c r="B394" s="830">
        <v>13</v>
      </c>
      <c r="C394" s="830" t="s">
        <v>323</v>
      </c>
      <c r="D394" s="830" t="s">
        <v>324</v>
      </c>
      <c r="F394" s="830" t="s">
        <v>325</v>
      </c>
      <c r="G394" s="830" t="s">
        <v>512</v>
      </c>
      <c r="H394" s="830" t="s">
        <v>358</v>
      </c>
      <c r="J394" s="830" t="s">
        <v>327</v>
      </c>
      <c r="K394" s="830" t="s">
        <v>260</v>
      </c>
      <c r="L394" s="830" t="s">
        <v>308</v>
      </c>
      <c r="M394" s="830" t="s">
        <v>471</v>
      </c>
      <c r="N394" s="830" t="s">
        <v>256</v>
      </c>
      <c r="O394" s="830">
        <v>3</v>
      </c>
      <c r="P394" s="830">
        <v>3</v>
      </c>
      <c r="Q394" s="830">
        <v>0</v>
      </c>
      <c r="T394" s="831">
        <v>41736.707546296297</v>
      </c>
    </row>
    <row r="395" spans="1:20" ht="12.75" customHeight="1" x14ac:dyDescent="0.25">
      <c r="A395" s="830" t="s">
        <v>308</v>
      </c>
      <c r="B395" s="830">
        <v>13</v>
      </c>
      <c r="C395" s="830" t="s">
        <v>323</v>
      </c>
      <c r="D395" s="830" t="s">
        <v>324</v>
      </c>
      <c r="F395" s="830" t="s">
        <v>325</v>
      </c>
      <c r="G395" s="830" t="s">
        <v>512</v>
      </c>
      <c r="H395" s="830" t="s">
        <v>363</v>
      </c>
      <c r="J395" s="830" t="s">
        <v>327</v>
      </c>
      <c r="K395" s="830" t="s">
        <v>260</v>
      </c>
      <c r="L395" s="830" t="s">
        <v>308</v>
      </c>
      <c r="M395" s="830" t="s">
        <v>471</v>
      </c>
      <c r="N395" s="830" t="s">
        <v>256</v>
      </c>
      <c r="P395" s="830">
        <v>5</v>
      </c>
      <c r="Q395" s="830">
        <v>0</v>
      </c>
      <c r="T395" s="831">
        <v>41736.707546296297</v>
      </c>
    </row>
    <row r="396" spans="1:20" ht="12.75" customHeight="1" x14ac:dyDescent="0.25">
      <c r="A396" s="830" t="s">
        <v>308</v>
      </c>
      <c r="B396" s="830">
        <v>13</v>
      </c>
      <c r="C396" s="830" t="s">
        <v>323</v>
      </c>
      <c r="D396" s="830" t="s">
        <v>324</v>
      </c>
      <c r="F396" s="830" t="s">
        <v>325</v>
      </c>
      <c r="G396" s="830" t="s">
        <v>512</v>
      </c>
      <c r="H396" s="830" t="s">
        <v>353</v>
      </c>
      <c r="J396" s="830" t="s">
        <v>327</v>
      </c>
      <c r="K396" s="830" t="s">
        <v>260</v>
      </c>
      <c r="L396" s="830" t="s">
        <v>308</v>
      </c>
      <c r="M396" s="830" t="s">
        <v>471</v>
      </c>
      <c r="N396" s="830" t="s">
        <v>256</v>
      </c>
      <c r="O396" s="830">
        <v>4</v>
      </c>
      <c r="P396" s="830">
        <v>7</v>
      </c>
      <c r="Q396" s="830">
        <v>0</v>
      </c>
      <c r="T396" s="831">
        <v>41736.707546296297</v>
      </c>
    </row>
    <row r="397" spans="1:20" ht="12.75" customHeight="1" x14ac:dyDescent="0.25">
      <c r="A397" s="830" t="s">
        <v>308</v>
      </c>
      <c r="B397" s="830">
        <v>13</v>
      </c>
      <c r="C397" s="830" t="s">
        <v>323</v>
      </c>
      <c r="D397" s="830" t="s">
        <v>324</v>
      </c>
      <c r="F397" s="830" t="s">
        <v>325</v>
      </c>
      <c r="G397" s="830" t="s">
        <v>512</v>
      </c>
      <c r="H397" s="830" t="s">
        <v>370</v>
      </c>
      <c r="J397" s="830" t="s">
        <v>327</v>
      </c>
      <c r="K397" s="830" t="s">
        <v>260</v>
      </c>
      <c r="L397" s="830" t="s">
        <v>308</v>
      </c>
      <c r="M397" s="830" t="s">
        <v>471</v>
      </c>
      <c r="N397" s="830" t="s">
        <v>256</v>
      </c>
      <c r="O397" s="830">
        <v>1</v>
      </c>
      <c r="P397" s="830">
        <v>5</v>
      </c>
      <c r="Q397" s="830">
        <v>0</v>
      </c>
      <c r="T397" s="831">
        <v>41736.707546296297</v>
      </c>
    </row>
    <row r="398" spans="1:20" ht="12.75" customHeight="1" x14ac:dyDescent="0.25">
      <c r="A398" s="830" t="s">
        <v>308</v>
      </c>
      <c r="B398" s="830">
        <v>13</v>
      </c>
      <c r="C398" s="830" t="s">
        <v>323</v>
      </c>
      <c r="D398" s="830" t="s">
        <v>324</v>
      </c>
      <c r="F398" s="830" t="s">
        <v>325</v>
      </c>
      <c r="G398" s="830" t="s">
        <v>512</v>
      </c>
      <c r="H398" s="830" t="s">
        <v>364</v>
      </c>
      <c r="J398" s="830" t="s">
        <v>327</v>
      </c>
      <c r="K398" s="830" t="s">
        <v>260</v>
      </c>
      <c r="L398" s="830" t="s">
        <v>308</v>
      </c>
      <c r="M398" s="830" t="s">
        <v>471</v>
      </c>
      <c r="N398" s="830" t="s">
        <v>256</v>
      </c>
      <c r="P398" s="830">
        <v>4</v>
      </c>
      <c r="Q398" s="830">
        <v>0</v>
      </c>
      <c r="T398" s="831">
        <v>41736.707546296297</v>
      </c>
    </row>
    <row r="399" spans="1:20" ht="12.75" customHeight="1" x14ac:dyDescent="0.25">
      <c r="A399" s="830" t="s">
        <v>308</v>
      </c>
      <c r="B399" s="830">
        <v>13</v>
      </c>
      <c r="C399" s="830" t="s">
        <v>323</v>
      </c>
      <c r="D399" s="830" t="s">
        <v>324</v>
      </c>
      <c r="F399" s="830" t="s">
        <v>325</v>
      </c>
      <c r="G399" s="830" t="s">
        <v>512</v>
      </c>
      <c r="H399" s="830" t="s">
        <v>339</v>
      </c>
      <c r="J399" s="830" t="s">
        <v>327</v>
      </c>
      <c r="K399" s="830" t="s">
        <v>260</v>
      </c>
      <c r="L399" s="830" t="s">
        <v>308</v>
      </c>
      <c r="M399" s="830" t="s">
        <v>471</v>
      </c>
      <c r="N399" s="830" t="s">
        <v>256</v>
      </c>
      <c r="O399" s="830">
        <v>2</v>
      </c>
      <c r="P399" s="830">
        <v>7</v>
      </c>
      <c r="Q399" s="830">
        <v>0</v>
      </c>
      <c r="T399" s="831">
        <v>41736.707546296297</v>
      </c>
    </row>
    <row r="400" spans="1:20" ht="12.75" customHeight="1" x14ac:dyDescent="0.25">
      <c r="A400" s="830" t="s">
        <v>308</v>
      </c>
      <c r="B400" s="830">
        <v>13</v>
      </c>
      <c r="C400" s="830" t="s">
        <v>323</v>
      </c>
      <c r="D400" s="830" t="s">
        <v>324</v>
      </c>
      <c r="F400" s="830" t="s">
        <v>325</v>
      </c>
      <c r="G400" s="830" t="s">
        <v>512</v>
      </c>
      <c r="H400" s="830" t="s">
        <v>344</v>
      </c>
      <c r="J400" s="830" t="s">
        <v>327</v>
      </c>
      <c r="K400" s="830" t="s">
        <v>260</v>
      </c>
      <c r="L400" s="830" t="s">
        <v>308</v>
      </c>
      <c r="M400" s="830" t="s">
        <v>471</v>
      </c>
      <c r="N400" s="830" t="s">
        <v>256</v>
      </c>
      <c r="O400" s="830">
        <v>5</v>
      </c>
      <c r="P400" s="830">
        <v>3</v>
      </c>
      <c r="Q400" s="830">
        <v>0</v>
      </c>
      <c r="T400" s="831">
        <v>41736.707546296297</v>
      </c>
    </row>
    <row r="401" spans="1:20" ht="12.75" customHeight="1" x14ac:dyDescent="0.25">
      <c r="A401" s="830" t="s">
        <v>308</v>
      </c>
      <c r="B401" s="830">
        <v>13</v>
      </c>
      <c r="C401" s="830" t="s">
        <v>323</v>
      </c>
      <c r="D401" s="830" t="s">
        <v>324</v>
      </c>
      <c r="F401" s="830" t="s">
        <v>325</v>
      </c>
      <c r="G401" s="830" t="s">
        <v>512</v>
      </c>
      <c r="H401" s="830" t="s">
        <v>328</v>
      </c>
      <c r="J401" s="830" t="s">
        <v>327</v>
      </c>
      <c r="K401" s="830" t="s">
        <v>260</v>
      </c>
      <c r="L401" s="830" t="s">
        <v>308</v>
      </c>
      <c r="M401" s="830" t="s">
        <v>471</v>
      </c>
      <c r="N401" s="830" t="s">
        <v>256</v>
      </c>
      <c r="O401" s="830">
        <v>5</v>
      </c>
      <c r="Q401" s="830">
        <v>0</v>
      </c>
      <c r="T401" s="831">
        <v>41736.707546296297</v>
      </c>
    </row>
    <row r="402" spans="1:20" ht="12.75" customHeight="1" x14ac:dyDescent="0.25">
      <c r="A402" s="830" t="s">
        <v>308</v>
      </c>
      <c r="B402" s="830">
        <v>13</v>
      </c>
      <c r="C402" s="830" t="s">
        <v>323</v>
      </c>
      <c r="D402" s="830" t="s">
        <v>324</v>
      </c>
      <c r="F402" s="830" t="s">
        <v>325</v>
      </c>
      <c r="G402" s="830" t="s">
        <v>512</v>
      </c>
      <c r="H402" s="830" t="s">
        <v>333</v>
      </c>
      <c r="J402" s="830" t="s">
        <v>327</v>
      </c>
      <c r="K402" s="830" t="s">
        <v>260</v>
      </c>
      <c r="L402" s="830" t="s">
        <v>308</v>
      </c>
      <c r="M402" s="830" t="s">
        <v>471</v>
      </c>
      <c r="N402" s="830" t="s">
        <v>256</v>
      </c>
      <c r="O402" s="830">
        <v>6</v>
      </c>
      <c r="Q402" s="830">
        <v>0</v>
      </c>
      <c r="T402" s="831">
        <v>41736.707546296297</v>
      </c>
    </row>
    <row r="403" spans="1:20" ht="12.75" customHeight="1" x14ac:dyDescent="0.25">
      <c r="A403" s="830" t="s">
        <v>308</v>
      </c>
      <c r="B403" s="830">
        <v>13</v>
      </c>
      <c r="C403" s="830" t="s">
        <v>323</v>
      </c>
      <c r="D403" s="830" t="s">
        <v>324</v>
      </c>
      <c r="F403" s="830" t="s">
        <v>325</v>
      </c>
      <c r="G403" s="830" t="s">
        <v>512</v>
      </c>
      <c r="H403" s="830" t="s">
        <v>356</v>
      </c>
      <c r="J403" s="830" t="s">
        <v>327</v>
      </c>
      <c r="K403" s="830" t="s">
        <v>260</v>
      </c>
      <c r="L403" s="830" t="s">
        <v>308</v>
      </c>
      <c r="M403" s="830" t="s">
        <v>471</v>
      </c>
      <c r="N403" s="830" t="s">
        <v>256</v>
      </c>
      <c r="O403" s="830">
        <v>3</v>
      </c>
      <c r="P403" s="830">
        <v>5</v>
      </c>
      <c r="Q403" s="830">
        <v>0</v>
      </c>
      <c r="T403" s="831">
        <v>41736.707546296297</v>
      </c>
    </row>
    <row r="404" spans="1:20" ht="12.75" customHeight="1" x14ac:dyDescent="0.25">
      <c r="A404" s="830" t="s">
        <v>308</v>
      </c>
      <c r="B404" s="830">
        <v>13</v>
      </c>
      <c r="C404" s="830" t="s">
        <v>323</v>
      </c>
      <c r="D404" s="830" t="s">
        <v>324</v>
      </c>
      <c r="F404" s="830" t="s">
        <v>325</v>
      </c>
      <c r="G404" s="830" t="s">
        <v>512</v>
      </c>
      <c r="H404" s="830" t="s">
        <v>355</v>
      </c>
      <c r="J404" s="830" t="s">
        <v>327</v>
      </c>
      <c r="K404" s="830" t="s">
        <v>260</v>
      </c>
      <c r="L404" s="830" t="s">
        <v>308</v>
      </c>
      <c r="M404" s="830" t="s">
        <v>471</v>
      </c>
      <c r="N404" s="830" t="s">
        <v>256</v>
      </c>
      <c r="O404" s="830">
        <v>3</v>
      </c>
      <c r="P404" s="830">
        <v>2</v>
      </c>
      <c r="Q404" s="830">
        <v>0</v>
      </c>
      <c r="T404" s="831">
        <v>41736.707546296297</v>
      </c>
    </row>
    <row r="405" spans="1:20" ht="12.75" customHeight="1" x14ac:dyDescent="0.25">
      <c r="A405" s="830" t="s">
        <v>308</v>
      </c>
      <c r="B405" s="830">
        <v>13</v>
      </c>
      <c r="C405" s="830" t="s">
        <v>323</v>
      </c>
      <c r="D405" s="830" t="s">
        <v>324</v>
      </c>
      <c r="F405" s="830" t="s">
        <v>325</v>
      </c>
      <c r="G405" s="830" t="s">
        <v>512</v>
      </c>
      <c r="H405" s="830" t="s">
        <v>341</v>
      </c>
      <c r="J405" s="830" t="s">
        <v>327</v>
      </c>
      <c r="K405" s="830" t="s">
        <v>260</v>
      </c>
      <c r="L405" s="830" t="s">
        <v>308</v>
      </c>
      <c r="M405" s="830" t="s">
        <v>471</v>
      </c>
      <c r="N405" s="830" t="s">
        <v>256</v>
      </c>
      <c r="O405" s="830">
        <v>5</v>
      </c>
      <c r="P405" s="830">
        <v>2</v>
      </c>
      <c r="Q405" s="830">
        <v>0</v>
      </c>
      <c r="T405" s="831">
        <v>41736.707546296297</v>
      </c>
    </row>
    <row r="406" spans="1:20" ht="12.75" customHeight="1" x14ac:dyDescent="0.25">
      <c r="A406" s="830" t="s">
        <v>308</v>
      </c>
      <c r="B406" s="830">
        <v>13</v>
      </c>
      <c r="C406" s="830" t="s">
        <v>323</v>
      </c>
      <c r="D406" s="830" t="s">
        <v>324</v>
      </c>
      <c r="F406" s="830" t="s">
        <v>325</v>
      </c>
      <c r="G406" s="830" t="s">
        <v>512</v>
      </c>
      <c r="H406" s="830" t="s">
        <v>348</v>
      </c>
      <c r="J406" s="830" t="s">
        <v>327</v>
      </c>
      <c r="K406" s="830" t="s">
        <v>260</v>
      </c>
      <c r="L406" s="830" t="s">
        <v>308</v>
      </c>
      <c r="M406" s="830" t="s">
        <v>471</v>
      </c>
      <c r="N406" s="830" t="s">
        <v>256</v>
      </c>
      <c r="O406" s="830">
        <v>4</v>
      </c>
      <c r="P406" s="830">
        <v>2</v>
      </c>
      <c r="Q406" s="830">
        <v>0</v>
      </c>
      <c r="T406" s="831">
        <v>41736.707546296297</v>
      </c>
    </row>
    <row r="407" spans="1:20" ht="12.75" customHeight="1" x14ac:dyDescent="0.25">
      <c r="A407" s="830" t="s">
        <v>308</v>
      </c>
      <c r="B407" s="830">
        <v>13</v>
      </c>
      <c r="C407" s="830" t="s">
        <v>323</v>
      </c>
      <c r="D407" s="830" t="s">
        <v>324</v>
      </c>
      <c r="F407" s="830" t="s">
        <v>325</v>
      </c>
      <c r="G407" s="830" t="s">
        <v>512</v>
      </c>
      <c r="H407" s="830" t="s">
        <v>373</v>
      </c>
      <c r="J407" s="830" t="s">
        <v>327</v>
      </c>
      <c r="K407" s="830" t="s">
        <v>260</v>
      </c>
      <c r="L407" s="830" t="s">
        <v>308</v>
      </c>
      <c r="M407" s="830" t="s">
        <v>471</v>
      </c>
      <c r="N407" s="830" t="s">
        <v>256</v>
      </c>
      <c r="O407" s="830">
        <v>1</v>
      </c>
      <c r="P407" s="830">
        <v>1</v>
      </c>
      <c r="Q407" s="830">
        <v>0</v>
      </c>
      <c r="T407" s="831">
        <v>41736.707546296297</v>
      </c>
    </row>
    <row r="408" spans="1:20" ht="12.75" customHeight="1" x14ac:dyDescent="0.25">
      <c r="A408" s="830" t="s">
        <v>308</v>
      </c>
      <c r="B408" s="830">
        <v>13</v>
      </c>
      <c r="C408" s="830" t="s">
        <v>323</v>
      </c>
      <c r="D408" s="830" t="s">
        <v>324</v>
      </c>
      <c r="F408" s="830" t="s">
        <v>325</v>
      </c>
      <c r="G408" s="830" t="s">
        <v>512</v>
      </c>
      <c r="H408" s="830" t="s">
        <v>337</v>
      </c>
      <c r="J408" s="830" t="s">
        <v>327</v>
      </c>
      <c r="K408" s="830" t="s">
        <v>260</v>
      </c>
      <c r="L408" s="830" t="s">
        <v>308</v>
      </c>
      <c r="M408" s="830" t="s">
        <v>471</v>
      </c>
      <c r="N408" s="830" t="s">
        <v>256</v>
      </c>
      <c r="O408" s="830">
        <v>2</v>
      </c>
      <c r="P408" s="830">
        <v>3</v>
      </c>
      <c r="Q408" s="830">
        <v>0</v>
      </c>
      <c r="T408" s="831">
        <v>41736.707546296297</v>
      </c>
    </row>
    <row r="409" spans="1:20" ht="12.75" customHeight="1" x14ac:dyDescent="0.25">
      <c r="A409" s="830" t="s">
        <v>308</v>
      </c>
      <c r="B409" s="830">
        <v>13</v>
      </c>
      <c r="C409" s="830" t="s">
        <v>323</v>
      </c>
      <c r="D409" s="830" t="s">
        <v>324</v>
      </c>
      <c r="F409" s="830" t="s">
        <v>325</v>
      </c>
      <c r="G409" s="830" t="s">
        <v>512</v>
      </c>
      <c r="H409" s="830" t="s">
        <v>342</v>
      </c>
      <c r="J409" s="830" t="s">
        <v>327</v>
      </c>
      <c r="K409" s="830" t="s">
        <v>260</v>
      </c>
      <c r="L409" s="830" t="s">
        <v>308</v>
      </c>
      <c r="M409" s="830" t="s">
        <v>471</v>
      </c>
      <c r="N409" s="830" t="s">
        <v>256</v>
      </c>
      <c r="O409" s="830">
        <v>5</v>
      </c>
      <c r="P409" s="830">
        <v>5</v>
      </c>
      <c r="Q409" s="830">
        <v>0</v>
      </c>
      <c r="T409" s="831">
        <v>41736.707546296297</v>
      </c>
    </row>
    <row r="410" spans="1:20" ht="12.75" customHeight="1" x14ac:dyDescent="0.25">
      <c r="A410" s="830" t="s">
        <v>308</v>
      </c>
      <c r="B410" s="830">
        <v>13</v>
      </c>
      <c r="C410" s="830" t="s">
        <v>323</v>
      </c>
      <c r="D410" s="830" t="s">
        <v>324</v>
      </c>
      <c r="F410" s="830" t="s">
        <v>325</v>
      </c>
      <c r="G410" s="830" t="s">
        <v>512</v>
      </c>
      <c r="H410" s="830" t="s">
        <v>332</v>
      </c>
      <c r="J410" s="830" t="s">
        <v>327</v>
      </c>
      <c r="K410" s="830" t="s">
        <v>260</v>
      </c>
      <c r="L410" s="830" t="s">
        <v>308</v>
      </c>
      <c r="M410" s="830" t="s">
        <v>471</v>
      </c>
      <c r="N410" s="830" t="s">
        <v>256</v>
      </c>
      <c r="O410" s="830">
        <v>1</v>
      </c>
      <c r="Q410" s="830">
        <v>2</v>
      </c>
      <c r="T410" s="831">
        <v>41736.707546296297</v>
      </c>
    </row>
    <row r="411" spans="1:20" ht="12.75" customHeight="1" x14ac:dyDescent="0.25">
      <c r="A411" s="830" t="s">
        <v>308</v>
      </c>
      <c r="B411" s="830">
        <v>13</v>
      </c>
      <c r="C411" s="830" t="s">
        <v>323</v>
      </c>
      <c r="D411" s="830" t="s">
        <v>324</v>
      </c>
      <c r="F411" s="830" t="s">
        <v>325</v>
      </c>
      <c r="G411" s="830" t="s">
        <v>512</v>
      </c>
      <c r="H411" s="830" t="s">
        <v>376</v>
      </c>
      <c r="J411" s="830" t="s">
        <v>327</v>
      </c>
      <c r="K411" s="830" t="s">
        <v>260</v>
      </c>
      <c r="L411" s="830" t="s">
        <v>308</v>
      </c>
      <c r="M411" s="830" t="s">
        <v>471</v>
      </c>
      <c r="N411" s="830" t="s">
        <v>256</v>
      </c>
      <c r="O411" s="830">
        <v>6</v>
      </c>
      <c r="P411" s="830">
        <v>2</v>
      </c>
      <c r="Q411" s="830">
        <v>0</v>
      </c>
      <c r="T411" s="831">
        <v>41736.707546296297</v>
      </c>
    </row>
    <row r="412" spans="1:20" ht="12.75" customHeight="1" x14ac:dyDescent="0.25">
      <c r="A412" s="830" t="s">
        <v>308</v>
      </c>
      <c r="B412" s="830">
        <v>13</v>
      </c>
      <c r="C412" s="830" t="s">
        <v>323</v>
      </c>
      <c r="D412" s="830" t="s">
        <v>324</v>
      </c>
      <c r="F412" s="830" t="s">
        <v>325</v>
      </c>
      <c r="G412" s="830" t="s">
        <v>512</v>
      </c>
      <c r="H412" s="830" t="s">
        <v>369</v>
      </c>
      <c r="J412" s="830" t="s">
        <v>327</v>
      </c>
      <c r="K412" s="830" t="s">
        <v>260</v>
      </c>
      <c r="L412" s="830" t="s">
        <v>308</v>
      </c>
      <c r="M412" s="830" t="s">
        <v>471</v>
      </c>
      <c r="N412" s="830" t="s">
        <v>256</v>
      </c>
      <c r="O412" s="830">
        <v>1</v>
      </c>
      <c r="P412" s="830">
        <v>2</v>
      </c>
      <c r="Q412" s="830">
        <v>0</v>
      </c>
      <c r="T412" s="831">
        <v>41736.707546296297</v>
      </c>
    </row>
    <row r="413" spans="1:20" ht="12.75" customHeight="1" x14ac:dyDescent="0.25">
      <c r="A413" s="830" t="s">
        <v>308</v>
      </c>
      <c r="B413" s="830">
        <v>13</v>
      </c>
      <c r="C413" s="830" t="s">
        <v>323</v>
      </c>
      <c r="D413" s="830" t="s">
        <v>324</v>
      </c>
      <c r="F413" s="830" t="s">
        <v>325</v>
      </c>
      <c r="G413" s="830" t="s">
        <v>512</v>
      </c>
      <c r="H413" s="830" t="s">
        <v>362</v>
      </c>
      <c r="J413" s="830" t="s">
        <v>327</v>
      </c>
      <c r="K413" s="830" t="s">
        <v>260</v>
      </c>
      <c r="L413" s="830" t="s">
        <v>308</v>
      </c>
      <c r="M413" s="830" t="s">
        <v>471</v>
      </c>
      <c r="N413" s="830" t="s">
        <v>256</v>
      </c>
      <c r="P413" s="830">
        <v>2</v>
      </c>
      <c r="Q413" s="830">
        <v>0</v>
      </c>
      <c r="T413" s="831">
        <v>41736.707546296297</v>
      </c>
    </row>
    <row r="414" spans="1:20" ht="12.75" customHeight="1" x14ac:dyDescent="0.25">
      <c r="A414" s="830" t="s">
        <v>308</v>
      </c>
      <c r="B414" s="830">
        <v>13</v>
      </c>
      <c r="C414" s="830" t="s">
        <v>323</v>
      </c>
      <c r="D414" s="830" t="s">
        <v>324</v>
      </c>
      <c r="F414" s="830" t="s">
        <v>325</v>
      </c>
      <c r="G414" s="830" t="s">
        <v>512</v>
      </c>
      <c r="H414" s="830" t="s">
        <v>331</v>
      </c>
      <c r="J414" s="830" t="s">
        <v>327</v>
      </c>
      <c r="K414" s="830" t="s">
        <v>260</v>
      </c>
      <c r="L414" s="830" t="s">
        <v>308</v>
      </c>
      <c r="M414" s="830" t="s">
        <v>471</v>
      </c>
      <c r="N414" s="830" t="s">
        <v>256</v>
      </c>
      <c r="Q414" s="830">
        <v>2</v>
      </c>
      <c r="T414" s="831">
        <v>41736.707546296297</v>
      </c>
    </row>
    <row r="415" spans="1:20" ht="12.75" customHeight="1" x14ac:dyDescent="0.25">
      <c r="A415" s="830" t="s">
        <v>308</v>
      </c>
      <c r="B415" s="830">
        <v>13</v>
      </c>
      <c r="C415" s="830" t="s">
        <v>323</v>
      </c>
      <c r="D415" s="830" t="s">
        <v>324</v>
      </c>
      <c r="F415" s="830" t="s">
        <v>325</v>
      </c>
      <c r="G415" s="830" t="s">
        <v>512</v>
      </c>
      <c r="H415" s="830" t="s">
        <v>372</v>
      </c>
      <c r="J415" s="830" t="s">
        <v>327</v>
      </c>
      <c r="K415" s="830" t="s">
        <v>260</v>
      </c>
      <c r="L415" s="830" t="s">
        <v>308</v>
      </c>
      <c r="M415" s="830" t="s">
        <v>471</v>
      </c>
      <c r="N415" s="830" t="s">
        <v>256</v>
      </c>
      <c r="O415" s="830">
        <v>1</v>
      </c>
      <c r="P415" s="830">
        <v>3</v>
      </c>
      <c r="Q415" s="830">
        <v>0</v>
      </c>
      <c r="T415" s="831">
        <v>41736.707546296297</v>
      </c>
    </row>
    <row r="416" spans="1:20" ht="12.75" customHeight="1" x14ac:dyDescent="0.25">
      <c r="A416" s="830" t="s">
        <v>308</v>
      </c>
      <c r="B416" s="830">
        <v>13</v>
      </c>
      <c r="C416" s="830" t="s">
        <v>323</v>
      </c>
      <c r="D416" s="830" t="s">
        <v>324</v>
      </c>
      <c r="F416" s="830" t="s">
        <v>325</v>
      </c>
      <c r="G416" s="830" t="s">
        <v>512</v>
      </c>
      <c r="H416" s="830" t="s">
        <v>352</v>
      </c>
      <c r="J416" s="830" t="s">
        <v>327</v>
      </c>
      <c r="K416" s="830" t="s">
        <v>260</v>
      </c>
      <c r="L416" s="830" t="s">
        <v>308</v>
      </c>
      <c r="M416" s="830" t="s">
        <v>471</v>
      </c>
      <c r="N416" s="830" t="s">
        <v>256</v>
      </c>
      <c r="O416" s="830">
        <v>4</v>
      </c>
      <c r="P416" s="830">
        <v>1</v>
      </c>
      <c r="Q416" s="830">
        <v>0</v>
      </c>
      <c r="T416" s="831">
        <v>41736.707546296297</v>
      </c>
    </row>
    <row r="417" spans="1:20" ht="12.75" customHeight="1" x14ac:dyDescent="0.25">
      <c r="A417" s="830" t="s">
        <v>308</v>
      </c>
      <c r="B417" s="830">
        <v>13</v>
      </c>
      <c r="C417" s="830" t="s">
        <v>323</v>
      </c>
      <c r="D417" s="830" t="s">
        <v>324</v>
      </c>
      <c r="F417" s="830" t="s">
        <v>325</v>
      </c>
      <c r="G417" s="830" t="s">
        <v>512</v>
      </c>
      <c r="H417" s="830" t="s">
        <v>335</v>
      </c>
      <c r="J417" s="830" t="s">
        <v>327</v>
      </c>
      <c r="K417" s="830" t="s">
        <v>260</v>
      </c>
      <c r="L417" s="830" t="s">
        <v>308</v>
      </c>
      <c r="M417" s="830" t="s">
        <v>471</v>
      </c>
      <c r="N417" s="830" t="s">
        <v>256</v>
      </c>
      <c r="O417" s="830">
        <v>2</v>
      </c>
      <c r="P417" s="830">
        <v>5</v>
      </c>
      <c r="Q417" s="830">
        <v>0</v>
      </c>
      <c r="T417" s="831">
        <v>41736.707546296297</v>
      </c>
    </row>
    <row r="418" spans="1:20" ht="12.75" customHeight="1" x14ac:dyDescent="0.25">
      <c r="A418" s="830" t="s">
        <v>308</v>
      </c>
      <c r="B418" s="830">
        <v>13</v>
      </c>
      <c r="C418" s="830" t="s">
        <v>323</v>
      </c>
      <c r="D418" s="830" t="s">
        <v>324</v>
      </c>
      <c r="F418" s="830" t="s">
        <v>325</v>
      </c>
      <c r="G418" s="830" t="s">
        <v>512</v>
      </c>
      <c r="H418" s="830" t="s">
        <v>349</v>
      </c>
      <c r="J418" s="830" t="s">
        <v>327</v>
      </c>
      <c r="K418" s="830" t="s">
        <v>260</v>
      </c>
      <c r="L418" s="830" t="s">
        <v>308</v>
      </c>
      <c r="M418" s="830" t="s">
        <v>471</v>
      </c>
      <c r="N418" s="830" t="s">
        <v>256</v>
      </c>
      <c r="O418" s="830">
        <v>4</v>
      </c>
      <c r="P418" s="830">
        <v>5</v>
      </c>
      <c r="Q418" s="830">
        <v>0</v>
      </c>
      <c r="T418" s="831">
        <v>41736.707546296297</v>
      </c>
    </row>
    <row r="419" spans="1:20" ht="12.75" customHeight="1" x14ac:dyDescent="0.25">
      <c r="A419" s="830" t="s">
        <v>308</v>
      </c>
      <c r="B419" s="830">
        <v>13</v>
      </c>
      <c r="C419" s="830" t="s">
        <v>323</v>
      </c>
      <c r="D419" s="830" t="s">
        <v>324</v>
      </c>
      <c r="F419" s="830" t="s">
        <v>325</v>
      </c>
      <c r="G419" s="830" t="s">
        <v>512</v>
      </c>
      <c r="H419" s="830" t="s">
        <v>334</v>
      </c>
      <c r="J419" s="830" t="s">
        <v>327</v>
      </c>
      <c r="K419" s="830" t="s">
        <v>260</v>
      </c>
      <c r="L419" s="830" t="s">
        <v>308</v>
      </c>
      <c r="M419" s="830" t="s">
        <v>471</v>
      </c>
      <c r="N419" s="830" t="s">
        <v>256</v>
      </c>
      <c r="O419" s="830">
        <v>2</v>
      </c>
      <c r="P419" s="830">
        <v>2</v>
      </c>
      <c r="Q419" s="830">
        <v>0</v>
      </c>
      <c r="T419" s="831">
        <v>41736.707546296297</v>
      </c>
    </row>
    <row r="420" spans="1:20" ht="12.75" customHeight="1" x14ac:dyDescent="0.25">
      <c r="A420" s="830" t="s">
        <v>308</v>
      </c>
      <c r="B420" s="830">
        <v>13</v>
      </c>
      <c r="C420" s="830" t="s">
        <v>323</v>
      </c>
      <c r="D420" s="830" t="s">
        <v>324</v>
      </c>
      <c r="F420" s="830" t="s">
        <v>325</v>
      </c>
      <c r="G420" s="830" t="s">
        <v>512</v>
      </c>
      <c r="H420" s="830" t="s">
        <v>338</v>
      </c>
      <c r="J420" s="830" t="s">
        <v>327</v>
      </c>
      <c r="K420" s="830" t="s">
        <v>260</v>
      </c>
      <c r="L420" s="830" t="s">
        <v>308</v>
      </c>
      <c r="M420" s="830" t="s">
        <v>471</v>
      </c>
      <c r="N420" s="830" t="s">
        <v>256</v>
      </c>
      <c r="O420" s="830">
        <v>2</v>
      </c>
      <c r="P420" s="830">
        <v>1</v>
      </c>
      <c r="Q420" s="830">
        <v>0</v>
      </c>
      <c r="T420" s="831">
        <v>41736.707546296297</v>
      </c>
    </row>
    <row r="421" spans="1:20" ht="12.75" customHeight="1" x14ac:dyDescent="0.25">
      <c r="A421" s="830" t="s">
        <v>308</v>
      </c>
      <c r="B421" s="830">
        <v>13</v>
      </c>
      <c r="C421" s="830" t="s">
        <v>323</v>
      </c>
      <c r="D421" s="830" t="s">
        <v>324</v>
      </c>
      <c r="F421" s="830" t="s">
        <v>325</v>
      </c>
      <c r="G421" s="830" t="s">
        <v>512</v>
      </c>
      <c r="H421" s="830" t="s">
        <v>359</v>
      </c>
      <c r="J421" s="830" t="s">
        <v>327</v>
      </c>
      <c r="K421" s="830" t="s">
        <v>260</v>
      </c>
      <c r="L421" s="830" t="s">
        <v>308</v>
      </c>
      <c r="M421" s="830" t="s">
        <v>471</v>
      </c>
      <c r="N421" s="830" t="s">
        <v>256</v>
      </c>
      <c r="O421" s="830">
        <v>3</v>
      </c>
      <c r="P421" s="830">
        <v>1</v>
      </c>
      <c r="Q421" s="830">
        <v>0</v>
      </c>
      <c r="T421" s="831">
        <v>41736.707546296297</v>
      </c>
    </row>
    <row r="422" spans="1:20" ht="12.75" customHeight="1" x14ac:dyDescent="0.25">
      <c r="A422" s="830" t="s">
        <v>308</v>
      </c>
      <c r="B422" s="830">
        <v>13</v>
      </c>
      <c r="C422" s="830" t="s">
        <v>323</v>
      </c>
      <c r="D422" s="830" t="s">
        <v>324</v>
      </c>
      <c r="F422" s="830" t="s">
        <v>325</v>
      </c>
      <c r="G422" s="830" t="s">
        <v>512</v>
      </c>
      <c r="H422" s="830" t="s">
        <v>354</v>
      </c>
      <c r="J422" s="830" t="s">
        <v>327</v>
      </c>
      <c r="K422" s="830" t="s">
        <v>260</v>
      </c>
      <c r="L422" s="830" t="s">
        <v>308</v>
      </c>
      <c r="M422" s="830" t="s">
        <v>471</v>
      </c>
      <c r="N422" s="830" t="s">
        <v>256</v>
      </c>
      <c r="O422" s="830">
        <v>4</v>
      </c>
      <c r="P422" s="830">
        <v>6</v>
      </c>
      <c r="Q422" s="830">
        <v>9</v>
      </c>
      <c r="T422" s="831">
        <v>41736.707546296297</v>
      </c>
    </row>
    <row r="423" spans="1:20" ht="12.75" customHeight="1" x14ac:dyDescent="0.25">
      <c r="A423" s="830" t="s">
        <v>308</v>
      </c>
      <c r="B423" s="830">
        <v>13</v>
      </c>
      <c r="C423" s="830" t="s">
        <v>323</v>
      </c>
      <c r="D423" s="830" t="s">
        <v>324</v>
      </c>
      <c r="F423" s="830" t="s">
        <v>325</v>
      </c>
      <c r="G423" s="830" t="s">
        <v>512</v>
      </c>
      <c r="H423" s="830" t="s">
        <v>345</v>
      </c>
      <c r="J423" s="830" t="s">
        <v>327</v>
      </c>
      <c r="K423" s="830" t="s">
        <v>260</v>
      </c>
      <c r="L423" s="830" t="s">
        <v>308</v>
      </c>
      <c r="M423" s="830" t="s">
        <v>471</v>
      </c>
      <c r="N423" s="830" t="s">
        <v>256</v>
      </c>
      <c r="O423" s="830">
        <v>5</v>
      </c>
      <c r="P423" s="830">
        <v>1</v>
      </c>
      <c r="Q423" s="830">
        <v>0</v>
      </c>
      <c r="T423" s="831">
        <v>41736.707546296297</v>
      </c>
    </row>
    <row r="424" spans="1:20" ht="12.75" customHeight="1" x14ac:dyDescent="0.25">
      <c r="A424" s="830" t="s">
        <v>308</v>
      </c>
      <c r="B424" s="830">
        <v>13</v>
      </c>
      <c r="C424" s="830" t="s">
        <v>323</v>
      </c>
      <c r="D424" s="830" t="s">
        <v>324</v>
      </c>
      <c r="F424" s="830" t="s">
        <v>325</v>
      </c>
      <c r="G424" s="830" t="s">
        <v>512</v>
      </c>
      <c r="H424" s="830" t="s">
        <v>382</v>
      </c>
      <c r="J424" s="830" t="s">
        <v>327</v>
      </c>
      <c r="K424" s="830" t="s">
        <v>260</v>
      </c>
      <c r="L424" s="830" t="s">
        <v>308</v>
      </c>
      <c r="M424" s="830" t="s">
        <v>471</v>
      </c>
      <c r="N424" s="830" t="s">
        <v>256</v>
      </c>
      <c r="O424" s="830">
        <v>6</v>
      </c>
      <c r="P424" s="830">
        <v>6</v>
      </c>
      <c r="Q424" s="830">
        <v>0</v>
      </c>
      <c r="T424" s="831">
        <v>41736.707546296297</v>
      </c>
    </row>
    <row r="425" spans="1:20" ht="12.75" customHeight="1" x14ac:dyDescent="0.25">
      <c r="A425" s="830" t="s">
        <v>308</v>
      </c>
      <c r="B425" s="830">
        <v>13</v>
      </c>
      <c r="C425" s="830" t="s">
        <v>323</v>
      </c>
      <c r="D425" s="830" t="s">
        <v>324</v>
      </c>
      <c r="F425" s="830" t="s">
        <v>325</v>
      </c>
      <c r="G425" s="830" t="s">
        <v>512</v>
      </c>
      <c r="H425" s="830" t="s">
        <v>361</v>
      </c>
      <c r="J425" s="830" t="s">
        <v>327</v>
      </c>
      <c r="K425" s="830" t="s">
        <v>260</v>
      </c>
      <c r="L425" s="830" t="s">
        <v>308</v>
      </c>
      <c r="M425" s="830" t="s">
        <v>471</v>
      </c>
      <c r="N425" s="830" t="s">
        <v>256</v>
      </c>
      <c r="O425" s="830">
        <v>3</v>
      </c>
      <c r="P425" s="830">
        <v>6</v>
      </c>
      <c r="Q425" s="830">
        <v>2</v>
      </c>
      <c r="T425" s="831">
        <v>41736.707546296297</v>
      </c>
    </row>
    <row r="426" spans="1:20" ht="12.75" customHeight="1" x14ac:dyDescent="0.25">
      <c r="A426" s="830" t="s">
        <v>308</v>
      </c>
      <c r="B426" s="830">
        <v>13</v>
      </c>
      <c r="C426" s="830" t="s">
        <v>323</v>
      </c>
      <c r="D426" s="830" t="s">
        <v>324</v>
      </c>
      <c r="F426" s="830" t="s">
        <v>325</v>
      </c>
      <c r="G426" s="830" t="s">
        <v>512</v>
      </c>
      <c r="H426" s="830" t="s">
        <v>366</v>
      </c>
      <c r="J426" s="830" t="s">
        <v>327</v>
      </c>
      <c r="K426" s="830" t="s">
        <v>260</v>
      </c>
      <c r="L426" s="830" t="s">
        <v>308</v>
      </c>
      <c r="M426" s="830" t="s">
        <v>471</v>
      </c>
      <c r="N426" s="830" t="s">
        <v>256</v>
      </c>
      <c r="P426" s="830">
        <v>1</v>
      </c>
      <c r="Q426" s="830">
        <v>0</v>
      </c>
      <c r="T426" s="831">
        <v>41736.707546296297</v>
      </c>
    </row>
    <row r="427" spans="1:20" ht="12.75" customHeight="1" x14ac:dyDescent="0.25">
      <c r="A427" s="830" t="s">
        <v>308</v>
      </c>
      <c r="B427" s="830">
        <v>13</v>
      </c>
      <c r="C427" s="830" t="s">
        <v>323</v>
      </c>
      <c r="D427" s="830" t="s">
        <v>324</v>
      </c>
      <c r="F427" s="830" t="s">
        <v>325</v>
      </c>
      <c r="G427" s="830" t="s">
        <v>512</v>
      </c>
      <c r="H427" s="830" t="s">
        <v>368</v>
      </c>
      <c r="J427" s="830" t="s">
        <v>327</v>
      </c>
      <c r="K427" s="830" t="s">
        <v>260</v>
      </c>
      <c r="L427" s="830" t="s">
        <v>308</v>
      </c>
      <c r="M427" s="830" t="s">
        <v>471</v>
      </c>
      <c r="N427" s="830" t="s">
        <v>256</v>
      </c>
      <c r="P427" s="830">
        <v>6</v>
      </c>
      <c r="Q427" s="830">
        <v>0</v>
      </c>
      <c r="T427" s="831">
        <v>41736.707546296297</v>
      </c>
    </row>
    <row r="428" spans="1:20" ht="12.75" customHeight="1" x14ac:dyDescent="0.25">
      <c r="A428" s="830" t="s">
        <v>308</v>
      </c>
      <c r="B428" s="830">
        <v>13</v>
      </c>
      <c r="C428" s="830" t="s">
        <v>323</v>
      </c>
      <c r="D428" s="830" t="s">
        <v>324</v>
      </c>
      <c r="F428" s="830" t="s">
        <v>325</v>
      </c>
      <c r="G428" s="830" t="s">
        <v>512</v>
      </c>
      <c r="H428" s="830" t="s">
        <v>340</v>
      </c>
      <c r="J428" s="830" t="s">
        <v>327</v>
      </c>
      <c r="K428" s="830" t="s">
        <v>260</v>
      </c>
      <c r="L428" s="830" t="s">
        <v>308</v>
      </c>
      <c r="M428" s="830" t="s">
        <v>471</v>
      </c>
      <c r="N428" s="830" t="s">
        <v>256</v>
      </c>
      <c r="O428" s="830">
        <v>2</v>
      </c>
      <c r="P428" s="830">
        <v>6</v>
      </c>
      <c r="Q428" s="830">
        <v>1</v>
      </c>
      <c r="T428" s="831">
        <v>41736.707546296297</v>
      </c>
    </row>
    <row r="429" spans="1:20" ht="12.75" customHeight="1" x14ac:dyDescent="0.25">
      <c r="A429" s="830" t="s">
        <v>308</v>
      </c>
      <c r="B429" s="830">
        <v>13</v>
      </c>
      <c r="C429" s="830" t="s">
        <v>323</v>
      </c>
      <c r="D429" s="830" t="s">
        <v>324</v>
      </c>
      <c r="F429" s="830" t="s">
        <v>325</v>
      </c>
      <c r="G429" s="830" t="s">
        <v>512</v>
      </c>
      <c r="H429" s="830" t="s">
        <v>326</v>
      </c>
      <c r="J429" s="830" t="s">
        <v>327</v>
      </c>
      <c r="K429" s="830" t="s">
        <v>260</v>
      </c>
      <c r="L429" s="830" t="s">
        <v>308</v>
      </c>
      <c r="M429" s="830" t="s">
        <v>471</v>
      </c>
      <c r="N429" s="830" t="s">
        <v>256</v>
      </c>
      <c r="O429" s="830">
        <v>2</v>
      </c>
      <c r="Q429" s="830">
        <v>0</v>
      </c>
      <c r="T429" s="831">
        <v>41736.707546296297</v>
      </c>
    </row>
    <row r="430" spans="1:20" ht="12.75" customHeight="1" x14ac:dyDescent="0.25">
      <c r="A430" s="830" t="s">
        <v>308</v>
      </c>
      <c r="B430" s="830">
        <v>13</v>
      </c>
      <c r="C430" s="830" t="s">
        <v>323</v>
      </c>
      <c r="D430" s="830" t="s">
        <v>324</v>
      </c>
      <c r="F430" s="830" t="s">
        <v>325</v>
      </c>
      <c r="G430" s="830" t="s">
        <v>512</v>
      </c>
      <c r="H430" s="830" t="s">
        <v>333</v>
      </c>
      <c r="J430" s="830" t="s">
        <v>327</v>
      </c>
      <c r="K430" s="830" t="s">
        <v>260</v>
      </c>
      <c r="L430" s="830" t="s">
        <v>308</v>
      </c>
      <c r="M430" s="830" t="s">
        <v>470</v>
      </c>
      <c r="N430" s="830" t="s">
        <v>257</v>
      </c>
      <c r="O430" s="830">
        <v>6</v>
      </c>
      <c r="Q430" s="830">
        <v>3</v>
      </c>
      <c r="T430" s="831">
        <v>41736.707546296297</v>
      </c>
    </row>
    <row r="431" spans="1:20" ht="12.75" customHeight="1" x14ac:dyDescent="0.25">
      <c r="A431" s="830" t="s">
        <v>308</v>
      </c>
      <c r="B431" s="830">
        <v>13</v>
      </c>
      <c r="C431" s="830" t="s">
        <v>323</v>
      </c>
      <c r="D431" s="830" t="s">
        <v>324</v>
      </c>
      <c r="F431" s="830" t="s">
        <v>325</v>
      </c>
      <c r="G431" s="830" t="s">
        <v>512</v>
      </c>
      <c r="H431" s="830" t="s">
        <v>328</v>
      </c>
      <c r="J431" s="830" t="s">
        <v>327</v>
      </c>
      <c r="K431" s="830" t="s">
        <v>260</v>
      </c>
      <c r="L431" s="830" t="s">
        <v>308</v>
      </c>
      <c r="M431" s="830" t="s">
        <v>470</v>
      </c>
      <c r="N431" s="830" t="s">
        <v>257</v>
      </c>
      <c r="O431" s="830">
        <v>5</v>
      </c>
      <c r="Q431" s="830">
        <v>0</v>
      </c>
      <c r="T431" s="831">
        <v>41736.707546296297</v>
      </c>
    </row>
    <row r="432" spans="1:20" ht="12.75" customHeight="1" x14ac:dyDescent="0.25">
      <c r="A432" s="830" t="s">
        <v>308</v>
      </c>
      <c r="B432" s="830">
        <v>13</v>
      </c>
      <c r="C432" s="830" t="s">
        <v>323</v>
      </c>
      <c r="D432" s="830" t="s">
        <v>324</v>
      </c>
      <c r="F432" s="830" t="s">
        <v>325</v>
      </c>
      <c r="G432" s="830" t="s">
        <v>512</v>
      </c>
      <c r="H432" s="830" t="s">
        <v>332</v>
      </c>
      <c r="J432" s="830" t="s">
        <v>327</v>
      </c>
      <c r="K432" s="830" t="s">
        <v>260</v>
      </c>
      <c r="L432" s="830" t="s">
        <v>308</v>
      </c>
      <c r="M432" s="830" t="s">
        <v>470</v>
      </c>
      <c r="N432" s="830" t="s">
        <v>257</v>
      </c>
      <c r="O432" s="830">
        <v>1</v>
      </c>
      <c r="Q432" s="830">
        <v>0</v>
      </c>
      <c r="T432" s="831">
        <v>41736.707546296297</v>
      </c>
    </row>
    <row r="433" spans="1:20" ht="12.75" customHeight="1" x14ac:dyDescent="0.25">
      <c r="A433" s="830" t="s">
        <v>308</v>
      </c>
      <c r="B433" s="830">
        <v>13</v>
      </c>
      <c r="C433" s="830" t="s">
        <v>323</v>
      </c>
      <c r="D433" s="830" t="s">
        <v>324</v>
      </c>
      <c r="F433" s="830" t="s">
        <v>325</v>
      </c>
      <c r="G433" s="830" t="s">
        <v>512</v>
      </c>
      <c r="H433" s="830" t="s">
        <v>329</v>
      </c>
      <c r="J433" s="830" t="s">
        <v>327</v>
      </c>
      <c r="K433" s="830" t="s">
        <v>260</v>
      </c>
      <c r="L433" s="830" t="s">
        <v>308</v>
      </c>
      <c r="M433" s="830" t="s">
        <v>470</v>
      </c>
      <c r="N433" s="830" t="s">
        <v>257</v>
      </c>
      <c r="O433" s="830">
        <v>4</v>
      </c>
      <c r="Q433" s="830">
        <v>74</v>
      </c>
      <c r="T433" s="831">
        <v>41736.707546296297</v>
      </c>
    </row>
    <row r="434" spans="1:20" ht="12.75" customHeight="1" x14ac:dyDescent="0.25">
      <c r="A434" s="830" t="s">
        <v>308</v>
      </c>
      <c r="B434" s="830">
        <v>13</v>
      </c>
      <c r="C434" s="830" t="s">
        <v>323</v>
      </c>
      <c r="D434" s="830" t="s">
        <v>324</v>
      </c>
      <c r="F434" s="830" t="s">
        <v>325</v>
      </c>
      <c r="G434" s="830" t="s">
        <v>512</v>
      </c>
      <c r="H434" s="830" t="s">
        <v>331</v>
      </c>
      <c r="J434" s="830" t="s">
        <v>327</v>
      </c>
      <c r="K434" s="830" t="s">
        <v>260</v>
      </c>
      <c r="L434" s="830" t="s">
        <v>308</v>
      </c>
      <c r="M434" s="830" t="s">
        <v>470</v>
      </c>
      <c r="N434" s="830" t="s">
        <v>257</v>
      </c>
      <c r="Q434" s="830">
        <v>1</v>
      </c>
      <c r="T434" s="831">
        <v>41736.707546296297</v>
      </c>
    </row>
    <row r="435" spans="1:20" ht="12.75" customHeight="1" x14ac:dyDescent="0.25">
      <c r="A435" s="830" t="s">
        <v>308</v>
      </c>
      <c r="B435" s="830">
        <v>13</v>
      </c>
      <c r="C435" s="830" t="s">
        <v>323</v>
      </c>
      <c r="D435" s="830" t="s">
        <v>324</v>
      </c>
      <c r="F435" s="830" t="s">
        <v>325</v>
      </c>
      <c r="G435" s="830" t="s">
        <v>512</v>
      </c>
      <c r="H435" s="830" t="s">
        <v>330</v>
      </c>
      <c r="J435" s="830" t="s">
        <v>327</v>
      </c>
      <c r="K435" s="830" t="s">
        <v>260</v>
      </c>
      <c r="L435" s="830" t="s">
        <v>308</v>
      </c>
      <c r="M435" s="830" t="s">
        <v>470</v>
      </c>
      <c r="N435" s="830" t="s">
        <v>257</v>
      </c>
      <c r="O435" s="830">
        <v>3</v>
      </c>
      <c r="Q435" s="830">
        <v>17</v>
      </c>
      <c r="T435" s="831">
        <v>41736.707546296297</v>
      </c>
    </row>
    <row r="436" spans="1:20" ht="12.75" customHeight="1" x14ac:dyDescent="0.25">
      <c r="A436" s="830" t="s">
        <v>308</v>
      </c>
      <c r="B436" s="830">
        <v>13</v>
      </c>
      <c r="C436" s="830" t="s">
        <v>323</v>
      </c>
      <c r="D436" s="830" t="s">
        <v>324</v>
      </c>
      <c r="F436" s="830" t="s">
        <v>325</v>
      </c>
      <c r="G436" s="830" t="s">
        <v>512</v>
      </c>
      <c r="H436" s="830" t="s">
        <v>326</v>
      </c>
      <c r="J436" s="830" t="s">
        <v>327</v>
      </c>
      <c r="K436" s="830" t="s">
        <v>260</v>
      </c>
      <c r="L436" s="830" t="s">
        <v>308</v>
      </c>
      <c r="M436" s="830" t="s">
        <v>470</v>
      </c>
      <c r="N436" s="830" t="s">
        <v>257</v>
      </c>
      <c r="O436" s="830">
        <v>2</v>
      </c>
      <c r="Q436" s="830">
        <v>0</v>
      </c>
      <c r="T436" s="831">
        <v>41736.707546296297</v>
      </c>
    </row>
    <row r="437" spans="1:20" ht="12.75" customHeight="1" x14ac:dyDescent="0.25">
      <c r="A437" s="830" t="s">
        <v>308</v>
      </c>
      <c r="B437" s="830">
        <v>13</v>
      </c>
      <c r="C437" s="830" t="s">
        <v>323</v>
      </c>
      <c r="D437" s="830" t="s">
        <v>324</v>
      </c>
      <c r="F437" s="830" t="s">
        <v>325</v>
      </c>
      <c r="G437" s="830" t="s">
        <v>512</v>
      </c>
      <c r="H437" s="830" t="s">
        <v>346</v>
      </c>
      <c r="J437" s="830" t="s">
        <v>327</v>
      </c>
      <c r="K437" s="830" t="s">
        <v>260</v>
      </c>
      <c r="L437" s="830" t="s">
        <v>308</v>
      </c>
      <c r="M437" s="830" t="s">
        <v>471</v>
      </c>
      <c r="N437" s="830" t="s">
        <v>257</v>
      </c>
      <c r="O437" s="830">
        <v>5</v>
      </c>
      <c r="P437" s="830">
        <v>7</v>
      </c>
      <c r="Q437" s="830">
        <v>0</v>
      </c>
      <c r="T437" s="831">
        <v>41736.707546296297</v>
      </c>
    </row>
    <row r="438" spans="1:20" ht="12.75" customHeight="1" x14ac:dyDescent="0.25">
      <c r="A438" s="830" t="s">
        <v>308</v>
      </c>
      <c r="B438" s="830">
        <v>13</v>
      </c>
      <c r="C438" s="830" t="s">
        <v>323</v>
      </c>
      <c r="D438" s="830" t="s">
        <v>324</v>
      </c>
      <c r="F438" s="830" t="s">
        <v>325</v>
      </c>
      <c r="G438" s="830" t="s">
        <v>512</v>
      </c>
      <c r="H438" s="830" t="s">
        <v>328</v>
      </c>
      <c r="J438" s="830" t="s">
        <v>327</v>
      </c>
      <c r="K438" s="830" t="s">
        <v>260</v>
      </c>
      <c r="L438" s="830" t="s">
        <v>308</v>
      </c>
      <c r="M438" s="830" t="s">
        <v>471</v>
      </c>
      <c r="N438" s="830" t="s">
        <v>257</v>
      </c>
      <c r="O438" s="830">
        <v>5</v>
      </c>
      <c r="Q438" s="830">
        <v>0</v>
      </c>
      <c r="T438" s="831">
        <v>41736.707546296297</v>
      </c>
    </row>
    <row r="439" spans="1:20" ht="12.75" customHeight="1" x14ac:dyDescent="0.25">
      <c r="A439" s="830" t="s">
        <v>308</v>
      </c>
      <c r="B439" s="830">
        <v>13</v>
      </c>
      <c r="C439" s="830" t="s">
        <v>323</v>
      </c>
      <c r="D439" s="830" t="s">
        <v>324</v>
      </c>
      <c r="F439" s="830" t="s">
        <v>325</v>
      </c>
      <c r="G439" s="830" t="s">
        <v>512</v>
      </c>
      <c r="H439" s="830" t="s">
        <v>339</v>
      </c>
      <c r="J439" s="830" t="s">
        <v>327</v>
      </c>
      <c r="K439" s="830" t="s">
        <v>260</v>
      </c>
      <c r="L439" s="830" t="s">
        <v>308</v>
      </c>
      <c r="M439" s="830" t="s">
        <v>471</v>
      </c>
      <c r="N439" s="830" t="s">
        <v>257</v>
      </c>
      <c r="O439" s="830">
        <v>2</v>
      </c>
      <c r="P439" s="830">
        <v>7</v>
      </c>
      <c r="Q439" s="830">
        <v>0</v>
      </c>
      <c r="T439" s="831">
        <v>41736.707546296297</v>
      </c>
    </row>
    <row r="440" spans="1:20" ht="12.75" customHeight="1" x14ac:dyDescent="0.25">
      <c r="A440" s="830" t="s">
        <v>308</v>
      </c>
      <c r="B440" s="830">
        <v>13</v>
      </c>
      <c r="C440" s="830" t="s">
        <v>323</v>
      </c>
      <c r="D440" s="830" t="s">
        <v>324</v>
      </c>
      <c r="F440" s="830" t="s">
        <v>325</v>
      </c>
      <c r="G440" s="830" t="s">
        <v>512</v>
      </c>
      <c r="H440" s="830" t="s">
        <v>370</v>
      </c>
      <c r="J440" s="830" t="s">
        <v>327</v>
      </c>
      <c r="K440" s="830" t="s">
        <v>260</v>
      </c>
      <c r="L440" s="830" t="s">
        <v>308</v>
      </c>
      <c r="M440" s="830" t="s">
        <v>471</v>
      </c>
      <c r="N440" s="830" t="s">
        <v>257</v>
      </c>
      <c r="O440" s="830">
        <v>1</v>
      </c>
      <c r="P440" s="830">
        <v>5</v>
      </c>
      <c r="Q440" s="830">
        <v>0</v>
      </c>
      <c r="T440" s="831">
        <v>41736.707546296297</v>
      </c>
    </row>
    <row r="441" spans="1:20" ht="12.75" customHeight="1" x14ac:dyDescent="0.25">
      <c r="A441" s="830" t="s">
        <v>308</v>
      </c>
      <c r="B441" s="830">
        <v>13</v>
      </c>
      <c r="C441" s="830" t="s">
        <v>323</v>
      </c>
      <c r="D441" s="830" t="s">
        <v>324</v>
      </c>
      <c r="F441" s="830" t="s">
        <v>325</v>
      </c>
      <c r="G441" s="830" t="s">
        <v>512</v>
      </c>
      <c r="H441" s="830" t="s">
        <v>338</v>
      </c>
      <c r="J441" s="830" t="s">
        <v>327</v>
      </c>
      <c r="K441" s="830" t="s">
        <v>260</v>
      </c>
      <c r="L441" s="830" t="s">
        <v>308</v>
      </c>
      <c r="M441" s="830" t="s">
        <v>471</v>
      </c>
      <c r="N441" s="830" t="s">
        <v>257</v>
      </c>
      <c r="O441" s="830">
        <v>2</v>
      </c>
      <c r="P441" s="830">
        <v>1</v>
      </c>
      <c r="Q441" s="830">
        <v>0</v>
      </c>
      <c r="T441" s="831">
        <v>41736.707546296297</v>
      </c>
    </row>
    <row r="442" spans="1:20" ht="12.75" customHeight="1" x14ac:dyDescent="0.25">
      <c r="A442" s="830" t="s">
        <v>308</v>
      </c>
      <c r="B442" s="830">
        <v>13</v>
      </c>
      <c r="C442" s="830" t="s">
        <v>323</v>
      </c>
      <c r="D442" s="830" t="s">
        <v>324</v>
      </c>
      <c r="F442" s="830" t="s">
        <v>325</v>
      </c>
      <c r="G442" s="830" t="s">
        <v>512</v>
      </c>
      <c r="H442" s="830" t="s">
        <v>373</v>
      </c>
      <c r="J442" s="830" t="s">
        <v>327</v>
      </c>
      <c r="K442" s="830" t="s">
        <v>260</v>
      </c>
      <c r="L442" s="830" t="s">
        <v>308</v>
      </c>
      <c r="M442" s="830" t="s">
        <v>471</v>
      </c>
      <c r="N442" s="830" t="s">
        <v>257</v>
      </c>
      <c r="O442" s="830">
        <v>1</v>
      </c>
      <c r="P442" s="830">
        <v>1</v>
      </c>
      <c r="Q442" s="830">
        <v>0</v>
      </c>
      <c r="T442" s="831">
        <v>41736.707546296297</v>
      </c>
    </row>
    <row r="443" spans="1:20" ht="12.75" customHeight="1" x14ac:dyDescent="0.25">
      <c r="A443" s="830" t="s">
        <v>308</v>
      </c>
      <c r="B443" s="830">
        <v>13</v>
      </c>
      <c r="C443" s="830" t="s">
        <v>323</v>
      </c>
      <c r="D443" s="830" t="s">
        <v>324</v>
      </c>
      <c r="F443" s="830" t="s">
        <v>325</v>
      </c>
      <c r="G443" s="830" t="s">
        <v>512</v>
      </c>
      <c r="H443" s="830" t="s">
        <v>357</v>
      </c>
      <c r="J443" s="830" t="s">
        <v>327</v>
      </c>
      <c r="K443" s="830" t="s">
        <v>260</v>
      </c>
      <c r="L443" s="830" t="s">
        <v>308</v>
      </c>
      <c r="M443" s="830" t="s">
        <v>471</v>
      </c>
      <c r="N443" s="830" t="s">
        <v>257</v>
      </c>
      <c r="O443" s="830">
        <v>3</v>
      </c>
      <c r="P443" s="830">
        <v>4</v>
      </c>
      <c r="Q443" s="830">
        <v>14</v>
      </c>
      <c r="T443" s="831">
        <v>41736.707546296297</v>
      </c>
    </row>
    <row r="444" spans="1:20" ht="12.75" customHeight="1" x14ac:dyDescent="0.25">
      <c r="A444" s="830" t="s">
        <v>308</v>
      </c>
      <c r="B444" s="830">
        <v>13</v>
      </c>
      <c r="C444" s="830" t="s">
        <v>323</v>
      </c>
      <c r="D444" s="830" t="s">
        <v>324</v>
      </c>
      <c r="F444" s="830" t="s">
        <v>325</v>
      </c>
      <c r="G444" s="830" t="s">
        <v>512</v>
      </c>
      <c r="H444" s="830" t="s">
        <v>382</v>
      </c>
      <c r="J444" s="830" t="s">
        <v>327</v>
      </c>
      <c r="K444" s="830" t="s">
        <v>260</v>
      </c>
      <c r="L444" s="830" t="s">
        <v>308</v>
      </c>
      <c r="M444" s="830" t="s">
        <v>471</v>
      </c>
      <c r="N444" s="830" t="s">
        <v>257</v>
      </c>
      <c r="O444" s="830">
        <v>6</v>
      </c>
      <c r="P444" s="830">
        <v>6</v>
      </c>
      <c r="Q444" s="830">
        <v>1</v>
      </c>
      <c r="T444" s="831">
        <v>41736.707546296297</v>
      </c>
    </row>
    <row r="445" spans="1:20" ht="12.75" customHeight="1" x14ac:dyDescent="0.25">
      <c r="A445" s="830" t="s">
        <v>308</v>
      </c>
      <c r="B445" s="830">
        <v>13</v>
      </c>
      <c r="C445" s="830" t="s">
        <v>323</v>
      </c>
      <c r="D445" s="830" t="s">
        <v>324</v>
      </c>
      <c r="F445" s="830" t="s">
        <v>325</v>
      </c>
      <c r="G445" s="830" t="s">
        <v>512</v>
      </c>
      <c r="H445" s="830" t="s">
        <v>336</v>
      </c>
      <c r="J445" s="830" t="s">
        <v>327</v>
      </c>
      <c r="K445" s="830" t="s">
        <v>260</v>
      </c>
      <c r="L445" s="830" t="s">
        <v>308</v>
      </c>
      <c r="M445" s="830" t="s">
        <v>471</v>
      </c>
      <c r="N445" s="830" t="s">
        <v>257</v>
      </c>
      <c r="O445" s="830">
        <v>2</v>
      </c>
      <c r="P445" s="830">
        <v>4</v>
      </c>
      <c r="Q445" s="830">
        <v>1</v>
      </c>
      <c r="T445" s="831">
        <v>41736.707546296297</v>
      </c>
    </row>
    <row r="446" spans="1:20" ht="12.75" customHeight="1" x14ac:dyDescent="0.25">
      <c r="A446" s="830" t="s">
        <v>308</v>
      </c>
      <c r="B446" s="830">
        <v>13</v>
      </c>
      <c r="C446" s="830" t="s">
        <v>323</v>
      </c>
      <c r="D446" s="830" t="s">
        <v>324</v>
      </c>
      <c r="F446" s="830" t="s">
        <v>325</v>
      </c>
      <c r="G446" s="830" t="s">
        <v>512</v>
      </c>
      <c r="H446" s="830" t="s">
        <v>363</v>
      </c>
      <c r="J446" s="830" t="s">
        <v>327</v>
      </c>
      <c r="K446" s="830" t="s">
        <v>260</v>
      </c>
      <c r="L446" s="830" t="s">
        <v>308</v>
      </c>
      <c r="M446" s="830" t="s">
        <v>471</v>
      </c>
      <c r="N446" s="830" t="s">
        <v>257</v>
      </c>
      <c r="P446" s="830">
        <v>5</v>
      </c>
      <c r="Q446" s="830">
        <v>0</v>
      </c>
      <c r="T446" s="831">
        <v>41736.707546296297</v>
      </c>
    </row>
    <row r="447" spans="1:20" ht="12.75" customHeight="1" x14ac:dyDescent="0.25">
      <c r="A447" s="830" t="s">
        <v>308</v>
      </c>
      <c r="B447" s="830">
        <v>13</v>
      </c>
      <c r="C447" s="830" t="s">
        <v>323</v>
      </c>
      <c r="D447" s="830" t="s">
        <v>324</v>
      </c>
      <c r="F447" s="830" t="s">
        <v>325</v>
      </c>
      <c r="G447" s="830" t="s">
        <v>512</v>
      </c>
      <c r="H447" s="830" t="s">
        <v>326</v>
      </c>
      <c r="J447" s="830" t="s">
        <v>327</v>
      </c>
      <c r="K447" s="830" t="s">
        <v>260</v>
      </c>
      <c r="L447" s="830" t="s">
        <v>308</v>
      </c>
      <c r="M447" s="830" t="s">
        <v>471</v>
      </c>
      <c r="N447" s="830" t="s">
        <v>257</v>
      </c>
      <c r="O447" s="830">
        <v>2</v>
      </c>
      <c r="Q447" s="830">
        <v>0</v>
      </c>
      <c r="T447" s="831">
        <v>41736.707546296297</v>
      </c>
    </row>
    <row r="448" spans="1:20" ht="12.75" customHeight="1" x14ac:dyDescent="0.25">
      <c r="A448" s="830" t="s">
        <v>308</v>
      </c>
      <c r="B448" s="830">
        <v>13</v>
      </c>
      <c r="C448" s="830" t="s">
        <v>323</v>
      </c>
      <c r="D448" s="830" t="s">
        <v>324</v>
      </c>
      <c r="F448" s="830" t="s">
        <v>325</v>
      </c>
      <c r="G448" s="830" t="s">
        <v>512</v>
      </c>
      <c r="H448" s="830" t="s">
        <v>356</v>
      </c>
      <c r="J448" s="830" t="s">
        <v>327</v>
      </c>
      <c r="K448" s="830" t="s">
        <v>260</v>
      </c>
      <c r="L448" s="830" t="s">
        <v>308</v>
      </c>
      <c r="M448" s="830" t="s">
        <v>471</v>
      </c>
      <c r="N448" s="830" t="s">
        <v>257</v>
      </c>
      <c r="O448" s="830">
        <v>3</v>
      </c>
      <c r="P448" s="830">
        <v>5</v>
      </c>
      <c r="Q448" s="830">
        <v>0</v>
      </c>
      <c r="T448" s="831">
        <v>41736.707546296297</v>
      </c>
    </row>
    <row r="449" spans="1:20" ht="12.75" customHeight="1" x14ac:dyDescent="0.25">
      <c r="A449" s="830" t="s">
        <v>308</v>
      </c>
      <c r="B449" s="830">
        <v>13</v>
      </c>
      <c r="C449" s="830" t="s">
        <v>323</v>
      </c>
      <c r="D449" s="830" t="s">
        <v>324</v>
      </c>
      <c r="F449" s="830" t="s">
        <v>325</v>
      </c>
      <c r="G449" s="830" t="s">
        <v>512</v>
      </c>
      <c r="H449" s="830" t="s">
        <v>365</v>
      </c>
      <c r="J449" s="830" t="s">
        <v>327</v>
      </c>
      <c r="K449" s="830" t="s">
        <v>260</v>
      </c>
      <c r="L449" s="830" t="s">
        <v>308</v>
      </c>
      <c r="M449" s="830" t="s">
        <v>471</v>
      </c>
      <c r="N449" s="830" t="s">
        <v>257</v>
      </c>
      <c r="P449" s="830">
        <v>3</v>
      </c>
      <c r="Q449" s="830">
        <v>0</v>
      </c>
      <c r="T449" s="831">
        <v>41736.707546296297</v>
      </c>
    </row>
    <row r="450" spans="1:20" ht="12.75" customHeight="1" x14ac:dyDescent="0.25">
      <c r="A450" s="830" t="s">
        <v>308</v>
      </c>
      <c r="B450" s="830">
        <v>13</v>
      </c>
      <c r="C450" s="830" t="s">
        <v>323</v>
      </c>
      <c r="D450" s="830" t="s">
        <v>324</v>
      </c>
      <c r="F450" s="830" t="s">
        <v>325</v>
      </c>
      <c r="G450" s="830" t="s">
        <v>512</v>
      </c>
      <c r="H450" s="830" t="s">
        <v>347</v>
      </c>
      <c r="J450" s="830" t="s">
        <v>327</v>
      </c>
      <c r="K450" s="830" t="s">
        <v>260</v>
      </c>
      <c r="L450" s="830" t="s">
        <v>308</v>
      </c>
      <c r="M450" s="830" t="s">
        <v>471</v>
      </c>
      <c r="N450" s="830" t="s">
        <v>257</v>
      </c>
      <c r="O450" s="830">
        <v>5</v>
      </c>
      <c r="P450" s="830">
        <v>6</v>
      </c>
      <c r="Q450" s="830">
        <v>0</v>
      </c>
      <c r="T450" s="831">
        <v>41736.707546296297</v>
      </c>
    </row>
    <row r="451" spans="1:20" ht="12.75" customHeight="1" x14ac:dyDescent="0.25">
      <c r="A451" s="830" t="s">
        <v>308</v>
      </c>
      <c r="B451" s="830">
        <v>13</v>
      </c>
      <c r="C451" s="830" t="s">
        <v>323</v>
      </c>
      <c r="D451" s="830" t="s">
        <v>324</v>
      </c>
      <c r="F451" s="830" t="s">
        <v>325</v>
      </c>
      <c r="G451" s="830" t="s">
        <v>512</v>
      </c>
      <c r="H451" s="830" t="s">
        <v>337</v>
      </c>
      <c r="J451" s="830" t="s">
        <v>327</v>
      </c>
      <c r="K451" s="830" t="s">
        <v>260</v>
      </c>
      <c r="L451" s="830" t="s">
        <v>308</v>
      </c>
      <c r="M451" s="830" t="s">
        <v>471</v>
      </c>
      <c r="N451" s="830" t="s">
        <v>257</v>
      </c>
      <c r="O451" s="830">
        <v>2</v>
      </c>
      <c r="P451" s="830">
        <v>3</v>
      </c>
      <c r="Q451" s="830">
        <v>0</v>
      </c>
      <c r="T451" s="831">
        <v>41736.707546296297</v>
      </c>
    </row>
    <row r="452" spans="1:20" ht="12.75" customHeight="1" x14ac:dyDescent="0.25">
      <c r="A452" s="830" t="s">
        <v>308</v>
      </c>
      <c r="B452" s="830">
        <v>13</v>
      </c>
      <c r="C452" s="830" t="s">
        <v>323</v>
      </c>
      <c r="D452" s="830" t="s">
        <v>324</v>
      </c>
      <c r="F452" s="830" t="s">
        <v>325</v>
      </c>
      <c r="G452" s="830" t="s">
        <v>512</v>
      </c>
      <c r="H452" s="830" t="s">
        <v>349</v>
      </c>
      <c r="J452" s="830" t="s">
        <v>327</v>
      </c>
      <c r="K452" s="830" t="s">
        <v>260</v>
      </c>
      <c r="L452" s="830" t="s">
        <v>308</v>
      </c>
      <c r="M452" s="830" t="s">
        <v>471</v>
      </c>
      <c r="N452" s="830" t="s">
        <v>257</v>
      </c>
      <c r="O452" s="830">
        <v>4</v>
      </c>
      <c r="P452" s="830">
        <v>5</v>
      </c>
      <c r="Q452" s="830">
        <v>0</v>
      </c>
      <c r="T452" s="831">
        <v>41736.707546296297</v>
      </c>
    </row>
    <row r="453" spans="1:20" ht="12.75" customHeight="1" x14ac:dyDescent="0.25">
      <c r="A453" s="830" t="s">
        <v>308</v>
      </c>
      <c r="B453" s="830">
        <v>13</v>
      </c>
      <c r="C453" s="830" t="s">
        <v>323</v>
      </c>
      <c r="D453" s="830" t="s">
        <v>324</v>
      </c>
      <c r="F453" s="830" t="s">
        <v>325</v>
      </c>
      <c r="G453" s="830" t="s">
        <v>512</v>
      </c>
      <c r="H453" s="830" t="s">
        <v>345</v>
      </c>
      <c r="J453" s="830" t="s">
        <v>327</v>
      </c>
      <c r="K453" s="830" t="s">
        <v>260</v>
      </c>
      <c r="L453" s="830" t="s">
        <v>308</v>
      </c>
      <c r="M453" s="830" t="s">
        <v>471</v>
      </c>
      <c r="N453" s="830" t="s">
        <v>257</v>
      </c>
      <c r="O453" s="830">
        <v>5</v>
      </c>
      <c r="P453" s="830">
        <v>1</v>
      </c>
      <c r="Q453" s="830">
        <v>0</v>
      </c>
      <c r="T453" s="831">
        <v>41736.707546296297</v>
      </c>
    </row>
    <row r="454" spans="1:20" ht="12.75" customHeight="1" x14ac:dyDescent="0.25">
      <c r="A454" s="830" t="s">
        <v>308</v>
      </c>
      <c r="B454" s="830">
        <v>13</v>
      </c>
      <c r="C454" s="830" t="s">
        <v>323</v>
      </c>
      <c r="D454" s="830" t="s">
        <v>324</v>
      </c>
      <c r="F454" s="830" t="s">
        <v>325</v>
      </c>
      <c r="G454" s="830" t="s">
        <v>512</v>
      </c>
      <c r="H454" s="830" t="s">
        <v>372</v>
      </c>
      <c r="J454" s="830" t="s">
        <v>327</v>
      </c>
      <c r="K454" s="830" t="s">
        <v>260</v>
      </c>
      <c r="L454" s="830" t="s">
        <v>308</v>
      </c>
      <c r="M454" s="830" t="s">
        <v>471</v>
      </c>
      <c r="N454" s="830" t="s">
        <v>257</v>
      </c>
      <c r="O454" s="830">
        <v>1</v>
      </c>
      <c r="P454" s="830">
        <v>3</v>
      </c>
      <c r="Q454" s="830">
        <v>0</v>
      </c>
      <c r="T454" s="831">
        <v>41736.707546296297</v>
      </c>
    </row>
    <row r="455" spans="1:20" ht="12.75" customHeight="1" x14ac:dyDescent="0.25">
      <c r="A455" s="830" t="s">
        <v>308</v>
      </c>
      <c r="B455" s="830">
        <v>13</v>
      </c>
      <c r="C455" s="830" t="s">
        <v>323</v>
      </c>
      <c r="D455" s="830" t="s">
        <v>324</v>
      </c>
      <c r="F455" s="830" t="s">
        <v>325</v>
      </c>
      <c r="G455" s="830" t="s">
        <v>512</v>
      </c>
      <c r="H455" s="830" t="s">
        <v>361</v>
      </c>
      <c r="J455" s="830" t="s">
        <v>327</v>
      </c>
      <c r="K455" s="830" t="s">
        <v>260</v>
      </c>
      <c r="L455" s="830" t="s">
        <v>308</v>
      </c>
      <c r="M455" s="830" t="s">
        <v>471</v>
      </c>
      <c r="N455" s="830" t="s">
        <v>257</v>
      </c>
      <c r="O455" s="830">
        <v>3</v>
      </c>
      <c r="P455" s="830">
        <v>6</v>
      </c>
      <c r="Q455" s="830">
        <v>8</v>
      </c>
      <c r="T455" s="831">
        <v>41736.707546296297</v>
      </c>
    </row>
    <row r="456" spans="1:20" ht="12.75" customHeight="1" x14ac:dyDescent="0.25">
      <c r="A456" s="830" t="s">
        <v>308</v>
      </c>
      <c r="B456" s="830">
        <v>13</v>
      </c>
      <c r="C456" s="830" t="s">
        <v>323</v>
      </c>
      <c r="D456" s="830" t="s">
        <v>324</v>
      </c>
      <c r="F456" s="830" t="s">
        <v>325</v>
      </c>
      <c r="G456" s="830" t="s">
        <v>512</v>
      </c>
      <c r="H456" s="830" t="s">
        <v>375</v>
      </c>
      <c r="J456" s="830" t="s">
        <v>327</v>
      </c>
      <c r="K456" s="830" t="s">
        <v>260</v>
      </c>
      <c r="L456" s="830" t="s">
        <v>308</v>
      </c>
      <c r="M456" s="830" t="s">
        <v>471</v>
      </c>
      <c r="N456" s="830" t="s">
        <v>257</v>
      </c>
      <c r="O456" s="830">
        <v>1</v>
      </c>
      <c r="P456" s="830">
        <v>6</v>
      </c>
      <c r="Q456" s="830">
        <v>4</v>
      </c>
      <c r="T456" s="831">
        <v>41736.707546296297</v>
      </c>
    </row>
    <row r="457" spans="1:20" ht="12.75" customHeight="1" x14ac:dyDescent="0.25">
      <c r="A457" s="830" t="s">
        <v>308</v>
      </c>
      <c r="B457" s="830">
        <v>13</v>
      </c>
      <c r="C457" s="830" t="s">
        <v>323</v>
      </c>
      <c r="D457" s="830" t="s">
        <v>324</v>
      </c>
      <c r="F457" s="830" t="s">
        <v>325</v>
      </c>
      <c r="G457" s="830" t="s">
        <v>512</v>
      </c>
      <c r="H457" s="830" t="s">
        <v>330</v>
      </c>
      <c r="J457" s="830" t="s">
        <v>327</v>
      </c>
      <c r="K457" s="830" t="s">
        <v>260</v>
      </c>
      <c r="L457" s="830" t="s">
        <v>308</v>
      </c>
      <c r="M457" s="830" t="s">
        <v>471</v>
      </c>
      <c r="N457" s="830" t="s">
        <v>257</v>
      </c>
      <c r="O457" s="830">
        <v>3</v>
      </c>
      <c r="Q457" s="830">
        <v>2</v>
      </c>
      <c r="T457" s="831">
        <v>41736.707546296297</v>
      </c>
    </row>
    <row r="458" spans="1:20" ht="12.75" customHeight="1" x14ac:dyDescent="0.25">
      <c r="A458" s="830" t="s">
        <v>308</v>
      </c>
      <c r="B458" s="830">
        <v>13</v>
      </c>
      <c r="C458" s="830" t="s">
        <v>323</v>
      </c>
      <c r="D458" s="830" t="s">
        <v>324</v>
      </c>
      <c r="F458" s="830" t="s">
        <v>325</v>
      </c>
      <c r="G458" s="830" t="s">
        <v>512</v>
      </c>
      <c r="H458" s="830" t="s">
        <v>380</v>
      </c>
      <c r="J458" s="830" t="s">
        <v>327</v>
      </c>
      <c r="K458" s="830" t="s">
        <v>260</v>
      </c>
      <c r="L458" s="830" t="s">
        <v>308</v>
      </c>
      <c r="M458" s="830" t="s">
        <v>471</v>
      </c>
      <c r="N458" s="830" t="s">
        <v>257</v>
      </c>
      <c r="O458" s="830">
        <v>6</v>
      </c>
      <c r="P458" s="830">
        <v>1</v>
      </c>
      <c r="Q458" s="830">
        <v>0</v>
      </c>
      <c r="T458" s="831">
        <v>41736.707546296297</v>
      </c>
    </row>
    <row r="459" spans="1:20" ht="12.75" customHeight="1" x14ac:dyDescent="0.25">
      <c r="A459" s="830" t="s">
        <v>308</v>
      </c>
      <c r="B459" s="830">
        <v>13</v>
      </c>
      <c r="C459" s="830" t="s">
        <v>323</v>
      </c>
      <c r="D459" s="830" t="s">
        <v>324</v>
      </c>
      <c r="F459" s="830" t="s">
        <v>325</v>
      </c>
      <c r="G459" s="830" t="s">
        <v>512</v>
      </c>
      <c r="H459" s="830" t="s">
        <v>366</v>
      </c>
      <c r="J459" s="830" t="s">
        <v>327</v>
      </c>
      <c r="K459" s="830" t="s">
        <v>260</v>
      </c>
      <c r="L459" s="830" t="s">
        <v>308</v>
      </c>
      <c r="M459" s="830" t="s">
        <v>471</v>
      </c>
      <c r="N459" s="830" t="s">
        <v>257</v>
      </c>
      <c r="P459" s="830">
        <v>1</v>
      </c>
      <c r="Q459" s="830">
        <v>0</v>
      </c>
      <c r="T459" s="831">
        <v>41736.707546296297</v>
      </c>
    </row>
    <row r="460" spans="1:20" ht="12.75" customHeight="1" x14ac:dyDescent="0.25">
      <c r="A460" s="830" t="s">
        <v>308</v>
      </c>
      <c r="B460" s="830">
        <v>13</v>
      </c>
      <c r="C460" s="830" t="s">
        <v>323</v>
      </c>
      <c r="D460" s="830" t="s">
        <v>324</v>
      </c>
      <c r="F460" s="830" t="s">
        <v>325</v>
      </c>
      <c r="G460" s="830" t="s">
        <v>512</v>
      </c>
      <c r="H460" s="830" t="s">
        <v>329</v>
      </c>
      <c r="J460" s="830" t="s">
        <v>327</v>
      </c>
      <c r="K460" s="830" t="s">
        <v>260</v>
      </c>
      <c r="L460" s="830" t="s">
        <v>308</v>
      </c>
      <c r="M460" s="830" t="s">
        <v>471</v>
      </c>
      <c r="N460" s="830" t="s">
        <v>257</v>
      </c>
      <c r="O460" s="830">
        <v>4</v>
      </c>
      <c r="Q460" s="830">
        <v>1</v>
      </c>
      <c r="T460" s="831">
        <v>41736.707546296297</v>
      </c>
    </row>
    <row r="461" spans="1:20" ht="12.75" customHeight="1" x14ac:dyDescent="0.25">
      <c r="A461" s="830" t="s">
        <v>308</v>
      </c>
      <c r="B461" s="830">
        <v>13</v>
      </c>
      <c r="C461" s="830" t="s">
        <v>323</v>
      </c>
      <c r="D461" s="830" t="s">
        <v>324</v>
      </c>
      <c r="F461" s="830" t="s">
        <v>325</v>
      </c>
      <c r="G461" s="830" t="s">
        <v>512</v>
      </c>
      <c r="H461" s="830" t="s">
        <v>368</v>
      </c>
      <c r="J461" s="830" t="s">
        <v>327</v>
      </c>
      <c r="K461" s="830" t="s">
        <v>260</v>
      </c>
      <c r="L461" s="830" t="s">
        <v>308</v>
      </c>
      <c r="M461" s="830" t="s">
        <v>471</v>
      </c>
      <c r="N461" s="830" t="s">
        <v>257</v>
      </c>
      <c r="P461" s="830">
        <v>6</v>
      </c>
      <c r="Q461" s="830">
        <v>0</v>
      </c>
      <c r="T461" s="831">
        <v>41736.707546296297</v>
      </c>
    </row>
    <row r="462" spans="1:20" ht="12.75" customHeight="1" x14ac:dyDescent="0.25">
      <c r="A462" s="830" t="s">
        <v>308</v>
      </c>
      <c r="B462" s="830">
        <v>13</v>
      </c>
      <c r="C462" s="830" t="s">
        <v>323</v>
      </c>
      <c r="D462" s="830" t="s">
        <v>324</v>
      </c>
      <c r="F462" s="830" t="s">
        <v>325</v>
      </c>
      <c r="G462" s="830" t="s">
        <v>512</v>
      </c>
      <c r="H462" s="830" t="s">
        <v>369</v>
      </c>
      <c r="J462" s="830" t="s">
        <v>327</v>
      </c>
      <c r="K462" s="830" t="s">
        <v>260</v>
      </c>
      <c r="L462" s="830" t="s">
        <v>308</v>
      </c>
      <c r="M462" s="830" t="s">
        <v>471</v>
      </c>
      <c r="N462" s="830" t="s">
        <v>257</v>
      </c>
      <c r="O462" s="830">
        <v>1</v>
      </c>
      <c r="P462" s="830">
        <v>2</v>
      </c>
      <c r="Q462" s="830">
        <v>0</v>
      </c>
      <c r="T462" s="831">
        <v>41736.707546296297</v>
      </c>
    </row>
    <row r="463" spans="1:20" ht="12.75" customHeight="1" x14ac:dyDescent="0.25">
      <c r="A463" s="830" t="s">
        <v>308</v>
      </c>
      <c r="B463" s="830">
        <v>13</v>
      </c>
      <c r="C463" s="830" t="s">
        <v>323</v>
      </c>
      <c r="D463" s="830" t="s">
        <v>324</v>
      </c>
      <c r="F463" s="830" t="s">
        <v>325</v>
      </c>
      <c r="G463" s="830" t="s">
        <v>512</v>
      </c>
      <c r="H463" s="830" t="s">
        <v>379</v>
      </c>
      <c r="J463" s="830" t="s">
        <v>327</v>
      </c>
      <c r="K463" s="830" t="s">
        <v>260</v>
      </c>
      <c r="L463" s="830" t="s">
        <v>308</v>
      </c>
      <c r="M463" s="830" t="s">
        <v>471</v>
      </c>
      <c r="N463" s="830" t="s">
        <v>257</v>
      </c>
      <c r="O463" s="830">
        <v>6</v>
      </c>
      <c r="P463" s="830">
        <v>3</v>
      </c>
      <c r="Q463" s="830">
        <v>0</v>
      </c>
      <c r="T463" s="831">
        <v>41736.707546296297</v>
      </c>
    </row>
    <row r="464" spans="1:20" ht="12.75" customHeight="1" x14ac:dyDescent="0.25">
      <c r="A464" s="830" t="s">
        <v>308</v>
      </c>
      <c r="B464" s="830">
        <v>13</v>
      </c>
      <c r="C464" s="830" t="s">
        <v>323</v>
      </c>
      <c r="D464" s="830" t="s">
        <v>324</v>
      </c>
      <c r="F464" s="830" t="s">
        <v>325</v>
      </c>
      <c r="G464" s="830" t="s">
        <v>512</v>
      </c>
      <c r="H464" s="830" t="s">
        <v>342</v>
      </c>
      <c r="J464" s="830" t="s">
        <v>327</v>
      </c>
      <c r="K464" s="830" t="s">
        <v>260</v>
      </c>
      <c r="L464" s="830" t="s">
        <v>308</v>
      </c>
      <c r="M464" s="830" t="s">
        <v>471</v>
      </c>
      <c r="N464" s="830" t="s">
        <v>257</v>
      </c>
      <c r="O464" s="830">
        <v>5</v>
      </c>
      <c r="P464" s="830">
        <v>5</v>
      </c>
      <c r="Q464" s="830">
        <v>0</v>
      </c>
      <c r="T464" s="831">
        <v>41736.707546296297</v>
      </c>
    </row>
    <row r="465" spans="1:20" ht="12.75" customHeight="1" x14ac:dyDescent="0.25">
      <c r="A465" s="830" t="s">
        <v>308</v>
      </c>
      <c r="B465" s="830">
        <v>13</v>
      </c>
      <c r="C465" s="830" t="s">
        <v>323</v>
      </c>
      <c r="D465" s="830" t="s">
        <v>324</v>
      </c>
      <c r="F465" s="830" t="s">
        <v>325</v>
      </c>
      <c r="G465" s="830" t="s">
        <v>512</v>
      </c>
      <c r="H465" s="830" t="s">
        <v>334</v>
      </c>
      <c r="J465" s="830" t="s">
        <v>327</v>
      </c>
      <c r="K465" s="830" t="s">
        <v>260</v>
      </c>
      <c r="L465" s="830" t="s">
        <v>308</v>
      </c>
      <c r="M465" s="830" t="s">
        <v>471</v>
      </c>
      <c r="N465" s="830" t="s">
        <v>257</v>
      </c>
      <c r="O465" s="830">
        <v>2</v>
      </c>
      <c r="P465" s="830">
        <v>2</v>
      </c>
      <c r="Q465" s="830">
        <v>0</v>
      </c>
      <c r="T465" s="831">
        <v>41736.707546296297</v>
      </c>
    </row>
    <row r="466" spans="1:20" ht="12.75" customHeight="1" x14ac:dyDescent="0.25">
      <c r="A466" s="830" t="s">
        <v>308</v>
      </c>
      <c r="B466" s="830">
        <v>13</v>
      </c>
      <c r="C466" s="830" t="s">
        <v>323</v>
      </c>
      <c r="D466" s="830" t="s">
        <v>324</v>
      </c>
      <c r="F466" s="830" t="s">
        <v>325</v>
      </c>
      <c r="G466" s="830" t="s">
        <v>512</v>
      </c>
      <c r="H466" s="830" t="s">
        <v>381</v>
      </c>
      <c r="J466" s="830" t="s">
        <v>327</v>
      </c>
      <c r="K466" s="830" t="s">
        <v>260</v>
      </c>
      <c r="L466" s="830" t="s">
        <v>308</v>
      </c>
      <c r="M466" s="830" t="s">
        <v>471</v>
      </c>
      <c r="N466" s="830" t="s">
        <v>257</v>
      </c>
      <c r="O466" s="830">
        <v>6</v>
      </c>
      <c r="P466" s="830">
        <v>7</v>
      </c>
      <c r="Q466" s="830">
        <v>0</v>
      </c>
      <c r="T466" s="831">
        <v>41736.707546296297</v>
      </c>
    </row>
    <row r="467" spans="1:20" ht="12.75" customHeight="1" x14ac:dyDescent="0.25">
      <c r="A467" s="830" t="s">
        <v>308</v>
      </c>
      <c r="B467" s="830">
        <v>13</v>
      </c>
      <c r="C467" s="830" t="s">
        <v>323</v>
      </c>
      <c r="D467" s="830" t="s">
        <v>324</v>
      </c>
      <c r="F467" s="830" t="s">
        <v>325</v>
      </c>
      <c r="G467" s="830" t="s">
        <v>512</v>
      </c>
      <c r="H467" s="830" t="s">
        <v>367</v>
      </c>
      <c r="J467" s="830" t="s">
        <v>327</v>
      </c>
      <c r="K467" s="830" t="s">
        <v>260</v>
      </c>
      <c r="L467" s="830" t="s">
        <v>308</v>
      </c>
      <c r="M467" s="830" t="s">
        <v>471</v>
      </c>
      <c r="N467" s="830" t="s">
        <v>257</v>
      </c>
      <c r="P467" s="830">
        <v>7</v>
      </c>
      <c r="Q467" s="830">
        <v>0</v>
      </c>
      <c r="T467" s="831">
        <v>41736.707546296297</v>
      </c>
    </row>
    <row r="468" spans="1:20" ht="12.75" customHeight="1" x14ac:dyDescent="0.25">
      <c r="A468" s="830" t="s">
        <v>308</v>
      </c>
      <c r="B468" s="830">
        <v>13</v>
      </c>
      <c r="C468" s="830" t="s">
        <v>323</v>
      </c>
      <c r="D468" s="830" t="s">
        <v>324</v>
      </c>
      <c r="F468" s="830" t="s">
        <v>325</v>
      </c>
      <c r="G468" s="830" t="s">
        <v>512</v>
      </c>
      <c r="H468" s="830" t="s">
        <v>355</v>
      </c>
      <c r="J468" s="830" t="s">
        <v>327</v>
      </c>
      <c r="K468" s="830" t="s">
        <v>260</v>
      </c>
      <c r="L468" s="830" t="s">
        <v>308</v>
      </c>
      <c r="M468" s="830" t="s">
        <v>471</v>
      </c>
      <c r="N468" s="830" t="s">
        <v>257</v>
      </c>
      <c r="O468" s="830">
        <v>3</v>
      </c>
      <c r="P468" s="830">
        <v>2</v>
      </c>
      <c r="Q468" s="830">
        <v>0</v>
      </c>
      <c r="T468" s="831">
        <v>41736.707546296297</v>
      </c>
    </row>
    <row r="469" spans="1:20" ht="12.75" customHeight="1" x14ac:dyDescent="0.25">
      <c r="A469" s="830" t="s">
        <v>308</v>
      </c>
      <c r="B469" s="830">
        <v>13</v>
      </c>
      <c r="C469" s="830" t="s">
        <v>323</v>
      </c>
      <c r="D469" s="830" t="s">
        <v>324</v>
      </c>
      <c r="F469" s="830" t="s">
        <v>325</v>
      </c>
      <c r="G469" s="830" t="s">
        <v>512</v>
      </c>
      <c r="H469" s="830" t="s">
        <v>340</v>
      </c>
      <c r="J469" s="830" t="s">
        <v>327</v>
      </c>
      <c r="K469" s="830" t="s">
        <v>260</v>
      </c>
      <c r="L469" s="830" t="s">
        <v>308</v>
      </c>
      <c r="M469" s="830" t="s">
        <v>471</v>
      </c>
      <c r="N469" s="830" t="s">
        <v>257</v>
      </c>
      <c r="O469" s="830">
        <v>2</v>
      </c>
      <c r="P469" s="830">
        <v>6</v>
      </c>
      <c r="Q469" s="830">
        <v>1</v>
      </c>
      <c r="T469" s="831">
        <v>41736.707546296297</v>
      </c>
    </row>
    <row r="470" spans="1:20" ht="12.75" customHeight="1" x14ac:dyDescent="0.25">
      <c r="A470" s="830" t="s">
        <v>308</v>
      </c>
      <c r="B470" s="830">
        <v>13</v>
      </c>
      <c r="C470" s="830" t="s">
        <v>323</v>
      </c>
      <c r="D470" s="830" t="s">
        <v>324</v>
      </c>
      <c r="F470" s="830" t="s">
        <v>325</v>
      </c>
      <c r="G470" s="830" t="s">
        <v>512</v>
      </c>
      <c r="H470" s="830" t="s">
        <v>364</v>
      </c>
      <c r="J470" s="830" t="s">
        <v>327</v>
      </c>
      <c r="K470" s="830" t="s">
        <v>260</v>
      </c>
      <c r="L470" s="830" t="s">
        <v>308</v>
      </c>
      <c r="M470" s="830" t="s">
        <v>471</v>
      </c>
      <c r="N470" s="830" t="s">
        <v>257</v>
      </c>
      <c r="P470" s="830">
        <v>4</v>
      </c>
      <c r="Q470" s="830">
        <v>0</v>
      </c>
      <c r="T470" s="831">
        <v>41736.707546296297</v>
      </c>
    </row>
    <row r="471" spans="1:20" ht="12.75" customHeight="1" x14ac:dyDescent="0.25">
      <c r="A471" s="830" t="s">
        <v>308</v>
      </c>
      <c r="B471" s="830">
        <v>13</v>
      </c>
      <c r="C471" s="830" t="s">
        <v>323</v>
      </c>
      <c r="D471" s="830" t="s">
        <v>324</v>
      </c>
      <c r="F471" s="830" t="s">
        <v>325</v>
      </c>
      <c r="G471" s="830" t="s">
        <v>512</v>
      </c>
      <c r="H471" s="830" t="s">
        <v>378</v>
      </c>
      <c r="J471" s="830" t="s">
        <v>327</v>
      </c>
      <c r="K471" s="830" t="s">
        <v>260</v>
      </c>
      <c r="L471" s="830" t="s">
        <v>308</v>
      </c>
      <c r="M471" s="830" t="s">
        <v>471</v>
      </c>
      <c r="N471" s="830" t="s">
        <v>257</v>
      </c>
      <c r="O471" s="830">
        <v>6</v>
      </c>
      <c r="P471" s="830">
        <v>4</v>
      </c>
      <c r="Q471" s="830">
        <v>1</v>
      </c>
      <c r="T471" s="831">
        <v>41736.707546296297</v>
      </c>
    </row>
    <row r="472" spans="1:20" ht="12.75" customHeight="1" x14ac:dyDescent="0.25">
      <c r="A472" s="830" t="s">
        <v>308</v>
      </c>
      <c r="B472" s="830">
        <v>13</v>
      </c>
      <c r="C472" s="830" t="s">
        <v>323</v>
      </c>
      <c r="D472" s="830" t="s">
        <v>324</v>
      </c>
      <c r="F472" s="830" t="s">
        <v>325</v>
      </c>
      <c r="G472" s="830" t="s">
        <v>512</v>
      </c>
      <c r="H472" s="830" t="s">
        <v>360</v>
      </c>
      <c r="J472" s="830" t="s">
        <v>327</v>
      </c>
      <c r="K472" s="830" t="s">
        <v>260</v>
      </c>
      <c r="L472" s="830" t="s">
        <v>308</v>
      </c>
      <c r="M472" s="830" t="s">
        <v>471</v>
      </c>
      <c r="N472" s="830" t="s">
        <v>257</v>
      </c>
      <c r="O472" s="830">
        <v>3</v>
      </c>
      <c r="P472" s="830">
        <v>7</v>
      </c>
      <c r="Q472" s="830">
        <v>0</v>
      </c>
      <c r="T472" s="831">
        <v>41736.707546296297</v>
      </c>
    </row>
    <row r="473" spans="1:20" ht="12.75" customHeight="1" x14ac:dyDescent="0.25">
      <c r="A473" s="830" t="s">
        <v>308</v>
      </c>
      <c r="B473" s="830">
        <v>13</v>
      </c>
      <c r="C473" s="830" t="s">
        <v>323</v>
      </c>
      <c r="D473" s="830" t="s">
        <v>324</v>
      </c>
      <c r="F473" s="830" t="s">
        <v>325</v>
      </c>
      <c r="G473" s="830" t="s">
        <v>512</v>
      </c>
      <c r="H473" s="830" t="s">
        <v>352</v>
      </c>
      <c r="J473" s="830" t="s">
        <v>327</v>
      </c>
      <c r="K473" s="830" t="s">
        <v>260</v>
      </c>
      <c r="L473" s="830" t="s">
        <v>308</v>
      </c>
      <c r="M473" s="830" t="s">
        <v>471</v>
      </c>
      <c r="N473" s="830" t="s">
        <v>257</v>
      </c>
      <c r="O473" s="830">
        <v>4</v>
      </c>
      <c r="P473" s="830">
        <v>1</v>
      </c>
      <c r="Q473" s="830">
        <v>0</v>
      </c>
      <c r="T473" s="831">
        <v>41736.707546296297</v>
      </c>
    </row>
    <row r="474" spans="1:20" ht="12.75" customHeight="1" x14ac:dyDescent="0.25">
      <c r="A474" s="830" t="s">
        <v>308</v>
      </c>
      <c r="B474" s="830">
        <v>13</v>
      </c>
      <c r="C474" s="830" t="s">
        <v>323</v>
      </c>
      <c r="D474" s="830" t="s">
        <v>324</v>
      </c>
      <c r="F474" s="830" t="s">
        <v>325</v>
      </c>
      <c r="G474" s="830" t="s">
        <v>512</v>
      </c>
      <c r="H474" s="830" t="s">
        <v>350</v>
      </c>
      <c r="J474" s="830" t="s">
        <v>327</v>
      </c>
      <c r="K474" s="830" t="s">
        <v>260</v>
      </c>
      <c r="L474" s="830" t="s">
        <v>308</v>
      </c>
      <c r="M474" s="830" t="s">
        <v>471</v>
      </c>
      <c r="N474" s="830" t="s">
        <v>257</v>
      </c>
      <c r="O474" s="830">
        <v>4</v>
      </c>
      <c r="P474" s="830">
        <v>4</v>
      </c>
      <c r="Q474" s="830">
        <v>54</v>
      </c>
      <c r="T474" s="831">
        <v>41736.707546296297</v>
      </c>
    </row>
    <row r="475" spans="1:20" ht="12.75" customHeight="1" x14ac:dyDescent="0.25">
      <c r="A475" s="830" t="s">
        <v>308</v>
      </c>
      <c r="B475" s="830">
        <v>13</v>
      </c>
      <c r="C475" s="830" t="s">
        <v>323</v>
      </c>
      <c r="D475" s="830" t="s">
        <v>324</v>
      </c>
      <c r="F475" s="830" t="s">
        <v>325</v>
      </c>
      <c r="G475" s="830" t="s">
        <v>512</v>
      </c>
      <c r="H475" s="830" t="s">
        <v>353</v>
      </c>
      <c r="J475" s="830" t="s">
        <v>327</v>
      </c>
      <c r="K475" s="830" t="s">
        <v>260</v>
      </c>
      <c r="L475" s="830" t="s">
        <v>308</v>
      </c>
      <c r="M475" s="830" t="s">
        <v>471</v>
      </c>
      <c r="N475" s="830" t="s">
        <v>257</v>
      </c>
      <c r="O475" s="830">
        <v>4</v>
      </c>
      <c r="P475" s="830">
        <v>7</v>
      </c>
      <c r="Q475" s="830">
        <v>1</v>
      </c>
      <c r="T475" s="831">
        <v>41736.707546296297</v>
      </c>
    </row>
    <row r="476" spans="1:20" ht="12.75" customHeight="1" x14ac:dyDescent="0.25">
      <c r="A476" s="830" t="s">
        <v>308</v>
      </c>
      <c r="B476" s="830">
        <v>13</v>
      </c>
      <c r="C476" s="830" t="s">
        <v>323</v>
      </c>
      <c r="D476" s="830" t="s">
        <v>324</v>
      </c>
      <c r="F476" s="830" t="s">
        <v>325</v>
      </c>
      <c r="G476" s="830" t="s">
        <v>512</v>
      </c>
      <c r="H476" s="830" t="s">
        <v>359</v>
      </c>
      <c r="J476" s="830" t="s">
        <v>327</v>
      </c>
      <c r="K476" s="830" t="s">
        <v>260</v>
      </c>
      <c r="L476" s="830" t="s">
        <v>308</v>
      </c>
      <c r="M476" s="830" t="s">
        <v>471</v>
      </c>
      <c r="N476" s="830" t="s">
        <v>257</v>
      </c>
      <c r="O476" s="830">
        <v>3</v>
      </c>
      <c r="P476" s="830">
        <v>1</v>
      </c>
      <c r="Q476" s="830">
        <v>0</v>
      </c>
      <c r="T476" s="831">
        <v>41736.707546296297</v>
      </c>
    </row>
    <row r="477" spans="1:20" ht="12.75" customHeight="1" x14ac:dyDescent="0.25">
      <c r="A477" s="830" t="s">
        <v>308</v>
      </c>
      <c r="B477" s="830">
        <v>13</v>
      </c>
      <c r="C477" s="830" t="s">
        <v>323</v>
      </c>
      <c r="D477" s="830" t="s">
        <v>324</v>
      </c>
      <c r="F477" s="830" t="s">
        <v>325</v>
      </c>
      <c r="G477" s="830" t="s">
        <v>512</v>
      </c>
      <c r="H477" s="830" t="s">
        <v>343</v>
      </c>
      <c r="J477" s="830" t="s">
        <v>327</v>
      </c>
      <c r="K477" s="830" t="s">
        <v>260</v>
      </c>
      <c r="L477" s="830" t="s">
        <v>308</v>
      </c>
      <c r="M477" s="830" t="s">
        <v>471</v>
      </c>
      <c r="N477" s="830" t="s">
        <v>257</v>
      </c>
      <c r="O477" s="830">
        <v>5</v>
      </c>
      <c r="P477" s="830">
        <v>4</v>
      </c>
      <c r="Q477" s="830">
        <v>0</v>
      </c>
      <c r="T477" s="831">
        <v>41736.707546296297</v>
      </c>
    </row>
    <row r="478" spans="1:20" ht="12.75" customHeight="1" x14ac:dyDescent="0.25">
      <c r="A478" s="830" t="s">
        <v>308</v>
      </c>
      <c r="B478" s="830">
        <v>13</v>
      </c>
      <c r="C478" s="830" t="s">
        <v>323</v>
      </c>
      <c r="D478" s="830" t="s">
        <v>324</v>
      </c>
      <c r="F478" s="830" t="s">
        <v>325</v>
      </c>
      <c r="G478" s="830" t="s">
        <v>512</v>
      </c>
      <c r="H478" s="830" t="s">
        <v>331</v>
      </c>
      <c r="J478" s="830" t="s">
        <v>327</v>
      </c>
      <c r="K478" s="830" t="s">
        <v>260</v>
      </c>
      <c r="L478" s="830" t="s">
        <v>308</v>
      </c>
      <c r="M478" s="830" t="s">
        <v>471</v>
      </c>
      <c r="N478" s="830" t="s">
        <v>257</v>
      </c>
      <c r="Q478" s="830">
        <v>5</v>
      </c>
      <c r="T478" s="831">
        <v>41736.707546296297</v>
      </c>
    </row>
    <row r="479" spans="1:20" ht="12.75" customHeight="1" x14ac:dyDescent="0.25">
      <c r="A479" s="830" t="s">
        <v>308</v>
      </c>
      <c r="B479" s="830">
        <v>13</v>
      </c>
      <c r="C479" s="830" t="s">
        <v>323</v>
      </c>
      <c r="D479" s="830" t="s">
        <v>324</v>
      </c>
      <c r="F479" s="830" t="s">
        <v>325</v>
      </c>
      <c r="G479" s="830" t="s">
        <v>512</v>
      </c>
      <c r="H479" s="830" t="s">
        <v>376</v>
      </c>
      <c r="J479" s="830" t="s">
        <v>327</v>
      </c>
      <c r="K479" s="830" t="s">
        <v>260</v>
      </c>
      <c r="L479" s="830" t="s">
        <v>308</v>
      </c>
      <c r="M479" s="830" t="s">
        <v>471</v>
      </c>
      <c r="N479" s="830" t="s">
        <v>257</v>
      </c>
      <c r="O479" s="830">
        <v>6</v>
      </c>
      <c r="P479" s="830">
        <v>2</v>
      </c>
      <c r="Q479" s="830">
        <v>0</v>
      </c>
      <c r="T479" s="831">
        <v>41736.707546296297</v>
      </c>
    </row>
    <row r="480" spans="1:20" ht="12.75" customHeight="1" x14ac:dyDescent="0.25">
      <c r="A480" s="830" t="s">
        <v>308</v>
      </c>
      <c r="B480" s="830">
        <v>13</v>
      </c>
      <c r="C480" s="830" t="s">
        <v>323</v>
      </c>
      <c r="D480" s="830" t="s">
        <v>324</v>
      </c>
      <c r="F480" s="830" t="s">
        <v>325</v>
      </c>
      <c r="G480" s="830" t="s">
        <v>512</v>
      </c>
      <c r="H480" s="830" t="s">
        <v>341</v>
      </c>
      <c r="J480" s="830" t="s">
        <v>327</v>
      </c>
      <c r="K480" s="830" t="s">
        <v>260</v>
      </c>
      <c r="L480" s="830" t="s">
        <v>308</v>
      </c>
      <c r="M480" s="830" t="s">
        <v>471</v>
      </c>
      <c r="N480" s="830" t="s">
        <v>257</v>
      </c>
      <c r="O480" s="830">
        <v>5</v>
      </c>
      <c r="P480" s="830">
        <v>2</v>
      </c>
      <c r="Q480" s="830">
        <v>0</v>
      </c>
      <c r="T480" s="831">
        <v>41736.707546296297</v>
      </c>
    </row>
    <row r="481" spans="1:20" ht="12.75" customHeight="1" x14ac:dyDescent="0.25">
      <c r="A481" s="830" t="s">
        <v>308</v>
      </c>
      <c r="B481" s="830">
        <v>13</v>
      </c>
      <c r="C481" s="830" t="s">
        <v>323</v>
      </c>
      <c r="D481" s="830" t="s">
        <v>324</v>
      </c>
      <c r="F481" s="830" t="s">
        <v>325</v>
      </c>
      <c r="G481" s="830" t="s">
        <v>512</v>
      </c>
      <c r="H481" s="830" t="s">
        <v>335</v>
      </c>
      <c r="J481" s="830" t="s">
        <v>327</v>
      </c>
      <c r="K481" s="830" t="s">
        <v>260</v>
      </c>
      <c r="L481" s="830" t="s">
        <v>308</v>
      </c>
      <c r="M481" s="830" t="s">
        <v>471</v>
      </c>
      <c r="N481" s="830" t="s">
        <v>257</v>
      </c>
      <c r="O481" s="830">
        <v>2</v>
      </c>
      <c r="P481" s="830">
        <v>5</v>
      </c>
      <c r="Q481" s="830">
        <v>0</v>
      </c>
      <c r="T481" s="831">
        <v>41736.707546296297</v>
      </c>
    </row>
    <row r="482" spans="1:20" ht="12.75" customHeight="1" x14ac:dyDescent="0.25">
      <c r="A482" s="830" t="s">
        <v>308</v>
      </c>
      <c r="B482" s="830">
        <v>13</v>
      </c>
      <c r="C482" s="830" t="s">
        <v>323</v>
      </c>
      <c r="D482" s="830" t="s">
        <v>324</v>
      </c>
      <c r="F482" s="830" t="s">
        <v>325</v>
      </c>
      <c r="G482" s="830" t="s">
        <v>512</v>
      </c>
      <c r="H482" s="830" t="s">
        <v>362</v>
      </c>
      <c r="J482" s="830" t="s">
        <v>327</v>
      </c>
      <c r="K482" s="830" t="s">
        <v>260</v>
      </c>
      <c r="L482" s="830" t="s">
        <v>308</v>
      </c>
      <c r="M482" s="830" t="s">
        <v>471</v>
      </c>
      <c r="N482" s="830" t="s">
        <v>257</v>
      </c>
      <c r="P482" s="830">
        <v>2</v>
      </c>
      <c r="Q482" s="830">
        <v>0</v>
      </c>
      <c r="T482" s="831">
        <v>41736.707546296297</v>
      </c>
    </row>
    <row r="483" spans="1:20" ht="12.75" customHeight="1" x14ac:dyDescent="0.25">
      <c r="A483" s="830" t="s">
        <v>308</v>
      </c>
      <c r="B483" s="830">
        <v>13</v>
      </c>
      <c r="C483" s="830" t="s">
        <v>323</v>
      </c>
      <c r="D483" s="830" t="s">
        <v>324</v>
      </c>
      <c r="F483" s="830" t="s">
        <v>325</v>
      </c>
      <c r="G483" s="830" t="s">
        <v>512</v>
      </c>
      <c r="H483" s="830" t="s">
        <v>358</v>
      </c>
      <c r="J483" s="830" t="s">
        <v>327</v>
      </c>
      <c r="K483" s="830" t="s">
        <v>260</v>
      </c>
      <c r="L483" s="830" t="s">
        <v>308</v>
      </c>
      <c r="M483" s="830" t="s">
        <v>471</v>
      </c>
      <c r="N483" s="830" t="s">
        <v>257</v>
      </c>
      <c r="O483" s="830">
        <v>3</v>
      </c>
      <c r="P483" s="830">
        <v>3</v>
      </c>
      <c r="Q483" s="830">
        <v>0</v>
      </c>
      <c r="T483" s="831">
        <v>41736.707546296297</v>
      </c>
    </row>
    <row r="484" spans="1:20" ht="12.75" customHeight="1" x14ac:dyDescent="0.25">
      <c r="A484" s="830" t="s">
        <v>308</v>
      </c>
      <c r="B484" s="830">
        <v>13</v>
      </c>
      <c r="C484" s="830" t="s">
        <v>323</v>
      </c>
      <c r="D484" s="830" t="s">
        <v>324</v>
      </c>
      <c r="F484" s="830" t="s">
        <v>325</v>
      </c>
      <c r="G484" s="830" t="s">
        <v>512</v>
      </c>
      <c r="H484" s="830" t="s">
        <v>344</v>
      </c>
      <c r="J484" s="830" t="s">
        <v>327</v>
      </c>
      <c r="K484" s="830" t="s">
        <v>260</v>
      </c>
      <c r="L484" s="830" t="s">
        <v>308</v>
      </c>
      <c r="M484" s="830" t="s">
        <v>471</v>
      </c>
      <c r="N484" s="830" t="s">
        <v>257</v>
      </c>
      <c r="O484" s="830">
        <v>5</v>
      </c>
      <c r="P484" s="830">
        <v>3</v>
      </c>
      <c r="Q484" s="830">
        <v>0</v>
      </c>
      <c r="T484" s="831">
        <v>41736.707546296297</v>
      </c>
    </row>
    <row r="485" spans="1:20" ht="12.75" customHeight="1" x14ac:dyDescent="0.25">
      <c r="A485" s="830" t="s">
        <v>308</v>
      </c>
      <c r="B485" s="830">
        <v>13</v>
      </c>
      <c r="C485" s="830" t="s">
        <v>323</v>
      </c>
      <c r="D485" s="830" t="s">
        <v>324</v>
      </c>
      <c r="F485" s="830" t="s">
        <v>325</v>
      </c>
      <c r="G485" s="830" t="s">
        <v>512</v>
      </c>
      <c r="H485" s="830" t="s">
        <v>374</v>
      </c>
      <c r="J485" s="830" t="s">
        <v>327</v>
      </c>
      <c r="K485" s="830" t="s">
        <v>260</v>
      </c>
      <c r="L485" s="830" t="s">
        <v>308</v>
      </c>
      <c r="M485" s="830" t="s">
        <v>471</v>
      </c>
      <c r="N485" s="830" t="s">
        <v>257</v>
      </c>
      <c r="O485" s="830">
        <v>1</v>
      </c>
      <c r="P485" s="830">
        <v>7</v>
      </c>
      <c r="Q485" s="830">
        <v>0</v>
      </c>
      <c r="T485" s="831">
        <v>41736.707546296297</v>
      </c>
    </row>
    <row r="486" spans="1:20" ht="12.75" customHeight="1" x14ac:dyDescent="0.25">
      <c r="A486" s="830" t="s">
        <v>308</v>
      </c>
      <c r="B486" s="830">
        <v>13</v>
      </c>
      <c r="C486" s="830" t="s">
        <v>323</v>
      </c>
      <c r="D486" s="830" t="s">
        <v>324</v>
      </c>
      <c r="F486" s="830" t="s">
        <v>325</v>
      </c>
      <c r="G486" s="830" t="s">
        <v>512</v>
      </c>
      <c r="H486" s="830" t="s">
        <v>332</v>
      </c>
      <c r="J486" s="830" t="s">
        <v>327</v>
      </c>
      <c r="K486" s="830" t="s">
        <v>260</v>
      </c>
      <c r="L486" s="830" t="s">
        <v>308</v>
      </c>
      <c r="M486" s="830" t="s">
        <v>471</v>
      </c>
      <c r="N486" s="830" t="s">
        <v>257</v>
      </c>
      <c r="O486" s="830">
        <v>1</v>
      </c>
      <c r="Q486" s="830">
        <v>8</v>
      </c>
      <c r="T486" s="831">
        <v>41736.707546296297</v>
      </c>
    </row>
    <row r="487" spans="1:20" ht="12.75" customHeight="1" x14ac:dyDescent="0.25">
      <c r="A487" s="830" t="s">
        <v>308</v>
      </c>
      <c r="B487" s="830">
        <v>13</v>
      </c>
      <c r="C487" s="830" t="s">
        <v>323</v>
      </c>
      <c r="D487" s="830" t="s">
        <v>324</v>
      </c>
      <c r="F487" s="830" t="s">
        <v>325</v>
      </c>
      <c r="G487" s="830" t="s">
        <v>512</v>
      </c>
      <c r="H487" s="830" t="s">
        <v>354</v>
      </c>
      <c r="J487" s="830" t="s">
        <v>327</v>
      </c>
      <c r="K487" s="830" t="s">
        <v>260</v>
      </c>
      <c r="L487" s="830" t="s">
        <v>308</v>
      </c>
      <c r="M487" s="830" t="s">
        <v>471</v>
      </c>
      <c r="N487" s="830" t="s">
        <v>257</v>
      </c>
      <c r="O487" s="830">
        <v>4</v>
      </c>
      <c r="P487" s="830">
        <v>6</v>
      </c>
      <c r="Q487" s="830">
        <v>24</v>
      </c>
      <c r="T487" s="831">
        <v>41736.707546296297</v>
      </c>
    </row>
    <row r="488" spans="1:20" ht="12.75" customHeight="1" x14ac:dyDescent="0.25">
      <c r="A488" s="830" t="s">
        <v>308</v>
      </c>
      <c r="B488" s="830">
        <v>13</v>
      </c>
      <c r="C488" s="830" t="s">
        <v>323</v>
      </c>
      <c r="D488" s="830" t="s">
        <v>324</v>
      </c>
      <c r="F488" s="830" t="s">
        <v>325</v>
      </c>
      <c r="G488" s="830" t="s">
        <v>512</v>
      </c>
      <c r="H488" s="830" t="s">
        <v>377</v>
      </c>
      <c r="J488" s="830" t="s">
        <v>327</v>
      </c>
      <c r="K488" s="830" t="s">
        <v>260</v>
      </c>
      <c r="L488" s="830" t="s">
        <v>308</v>
      </c>
      <c r="M488" s="830" t="s">
        <v>471</v>
      </c>
      <c r="N488" s="830" t="s">
        <v>257</v>
      </c>
      <c r="O488" s="830">
        <v>6</v>
      </c>
      <c r="P488" s="830">
        <v>5</v>
      </c>
      <c r="Q488" s="830">
        <v>0</v>
      </c>
      <c r="T488" s="831">
        <v>41736.707546296297</v>
      </c>
    </row>
    <row r="489" spans="1:20" ht="12.75" customHeight="1" x14ac:dyDescent="0.25">
      <c r="A489" s="830" t="s">
        <v>308</v>
      </c>
      <c r="B489" s="830">
        <v>13</v>
      </c>
      <c r="C489" s="830" t="s">
        <v>323</v>
      </c>
      <c r="D489" s="830" t="s">
        <v>324</v>
      </c>
      <c r="F489" s="830" t="s">
        <v>325</v>
      </c>
      <c r="G489" s="830" t="s">
        <v>512</v>
      </c>
      <c r="H489" s="830" t="s">
        <v>351</v>
      </c>
      <c r="J489" s="830" t="s">
        <v>327</v>
      </c>
      <c r="K489" s="830" t="s">
        <v>260</v>
      </c>
      <c r="L489" s="830" t="s">
        <v>308</v>
      </c>
      <c r="M489" s="830" t="s">
        <v>471</v>
      </c>
      <c r="N489" s="830" t="s">
        <v>257</v>
      </c>
      <c r="O489" s="830">
        <v>4</v>
      </c>
      <c r="P489" s="830">
        <v>3</v>
      </c>
      <c r="Q489" s="830">
        <v>0</v>
      </c>
      <c r="T489" s="831">
        <v>41736.707546296297</v>
      </c>
    </row>
    <row r="490" spans="1:20" ht="12.75" customHeight="1" x14ac:dyDescent="0.25">
      <c r="A490" s="830" t="s">
        <v>308</v>
      </c>
      <c r="B490" s="830">
        <v>13</v>
      </c>
      <c r="C490" s="830" t="s">
        <v>323</v>
      </c>
      <c r="D490" s="830" t="s">
        <v>324</v>
      </c>
      <c r="F490" s="830" t="s">
        <v>325</v>
      </c>
      <c r="G490" s="830" t="s">
        <v>512</v>
      </c>
      <c r="H490" s="830" t="s">
        <v>371</v>
      </c>
      <c r="J490" s="830" t="s">
        <v>327</v>
      </c>
      <c r="K490" s="830" t="s">
        <v>260</v>
      </c>
      <c r="L490" s="830" t="s">
        <v>308</v>
      </c>
      <c r="M490" s="830" t="s">
        <v>471</v>
      </c>
      <c r="N490" s="830" t="s">
        <v>257</v>
      </c>
      <c r="O490" s="830">
        <v>1</v>
      </c>
      <c r="P490" s="830">
        <v>4</v>
      </c>
      <c r="Q490" s="830">
        <v>26</v>
      </c>
      <c r="T490" s="831">
        <v>41736.707546296297</v>
      </c>
    </row>
    <row r="491" spans="1:20" ht="12.75" customHeight="1" x14ac:dyDescent="0.25">
      <c r="A491" s="830" t="s">
        <v>308</v>
      </c>
      <c r="B491" s="830">
        <v>13</v>
      </c>
      <c r="C491" s="830" t="s">
        <v>323</v>
      </c>
      <c r="D491" s="830" t="s">
        <v>324</v>
      </c>
      <c r="F491" s="830" t="s">
        <v>325</v>
      </c>
      <c r="G491" s="830" t="s">
        <v>512</v>
      </c>
      <c r="H491" s="830" t="s">
        <v>348</v>
      </c>
      <c r="J491" s="830" t="s">
        <v>327</v>
      </c>
      <c r="K491" s="830" t="s">
        <v>260</v>
      </c>
      <c r="L491" s="830" t="s">
        <v>308</v>
      </c>
      <c r="M491" s="830" t="s">
        <v>471</v>
      </c>
      <c r="N491" s="830" t="s">
        <v>257</v>
      </c>
      <c r="O491" s="830">
        <v>4</v>
      </c>
      <c r="P491" s="830">
        <v>2</v>
      </c>
      <c r="Q491" s="830">
        <v>0</v>
      </c>
      <c r="T491" s="831">
        <v>41736.707546296297</v>
      </c>
    </row>
    <row r="492" spans="1:20" ht="12.75" customHeight="1" x14ac:dyDescent="0.25">
      <c r="A492" s="830" t="s">
        <v>308</v>
      </c>
      <c r="B492" s="830">
        <v>13</v>
      </c>
      <c r="C492" s="830" t="s">
        <v>323</v>
      </c>
      <c r="D492" s="830" t="s">
        <v>324</v>
      </c>
      <c r="F492" s="830" t="s">
        <v>325</v>
      </c>
      <c r="G492" s="830" t="s">
        <v>512</v>
      </c>
      <c r="H492" s="830" t="s">
        <v>333</v>
      </c>
      <c r="J492" s="830" t="s">
        <v>327</v>
      </c>
      <c r="K492" s="830" t="s">
        <v>260</v>
      </c>
      <c r="L492" s="830" t="s">
        <v>308</v>
      </c>
      <c r="M492" s="830" t="s">
        <v>471</v>
      </c>
      <c r="N492" s="830" t="s">
        <v>257</v>
      </c>
      <c r="O492" s="830">
        <v>6</v>
      </c>
      <c r="Q492" s="830">
        <v>1</v>
      </c>
      <c r="T492" s="831">
        <v>41736.707546296297</v>
      </c>
    </row>
    <row r="493" spans="1:20" ht="12.75" customHeight="1" x14ac:dyDescent="0.25">
      <c r="A493" s="830" t="s">
        <v>308</v>
      </c>
      <c r="B493" s="830">
        <v>13</v>
      </c>
      <c r="C493" s="830" t="s">
        <v>323</v>
      </c>
      <c r="D493" s="830" t="s">
        <v>324</v>
      </c>
      <c r="F493" s="830" t="s">
        <v>325</v>
      </c>
      <c r="G493" s="830" t="s">
        <v>512</v>
      </c>
      <c r="H493" s="830" t="s">
        <v>330</v>
      </c>
      <c r="J493" s="830" t="s">
        <v>327</v>
      </c>
      <c r="K493" s="830" t="s">
        <v>260</v>
      </c>
      <c r="L493" s="830" t="s">
        <v>308</v>
      </c>
      <c r="M493" s="830" t="s">
        <v>470</v>
      </c>
      <c r="N493" s="830" t="s">
        <v>255</v>
      </c>
      <c r="O493" s="830">
        <v>3</v>
      </c>
      <c r="Q493" s="830">
        <v>86</v>
      </c>
      <c r="T493" s="831">
        <v>41736.707546296297</v>
      </c>
    </row>
    <row r="494" spans="1:20" ht="12.75" customHeight="1" x14ac:dyDescent="0.25">
      <c r="A494" s="830" t="s">
        <v>308</v>
      </c>
      <c r="B494" s="830">
        <v>13</v>
      </c>
      <c r="C494" s="830" t="s">
        <v>323</v>
      </c>
      <c r="D494" s="830" t="s">
        <v>324</v>
      </c>
      <c r="F494" s="830" t="s">
        <v>325</v>
      </c>
      <c r="G494" s="830" t="s">
        <v>512</v>
      </c>
      <c r="H494" s="830" t="s">
        <v>328</v>
      </c>
      <c r="J494" s="830" t="s">
        <v>327</v>
      </c>
      <c r="K494" s="830" t="s">
        <v>260</v>
      </c>
      <c r="L494" s="830" t="s">
        <v>308</v>
      </c>
      <c r="M494" s="830" t="s">
        <v>470</v>
      </c>
      <c r="N494" s="830" t="s">
        <v>255</v>
      </c>
      <c r="O494" s="830">
        <v>5</v>
      </c>
      <c r="Q494" s="830">
        <v>1</v>
      </c>
      <c r="T494" s="831">
        <v>41736.707546296297</v>
      </c>
    </row>
    <row r="495" spans="1:20" ht="12.75" customHeight="1" x14ac:dyDescent="0.25">
      <c r="A495" s="830" t="s">
        <v>308</v>
      </c>
      <c r="B495" s="830">
        <v>13</v>
      </c>
      <c r="C495" s="830" t="s">
        <v>323</v>
      </c>
      <c r="D495" s="830" t="s">
        <v>324</v>
      </c>
      <c r="F495" s="830" t="s">
        <v>325</v>
      </c>
      <c r="G495" s="830" t="s">
        <v>512</v>
      </c>
      <c r="H495" s="830" t="s">
        <v>333</v>
      </c>
      <c r="J495" s="830" t="s">
        <v>327</v>
      </c>
      <c r="K495" s="830" t="s">
        <v>260</v>
      </c>
      <c r="L495" s="830" t="s">
        <v>308</v>
      </c>
      <c r="M495" s="830" t="s">
        <v>470</v>
      </c>
      <c r="N495" s="830" t="s">
        <v>255</v>
      </c>
      <c r="O495" s="830">
        <v>6</v>
      </c>
      <c r="Q495" s="830">
        <v>6</v>
      </c>
      <c r="T495" s="831">
        <v>41736.707546296297</v>
      </c>
    </row>
    <row r="496" spans="1:20" ht="12.75" customHeight="1" x14ac:dyDescent="0.25">
      <c r="A496" s="830" t="s">
        <v>308</v>
      </c>
      <c r="B496" s="830">
        <v>13</v>
      </c>
      <c r="C496" s="830" t="s">
        <v>323</v>
      </c>
      <c r="D496" s="830" t="s">
        <v>324</v>
      </c>
      <c r="F496" s="830" t="s">
        <v>325</v>
      </c>
      <c r="G496" s="830" t="s">
        <v>512</v>
      </c>
      <c r="H496" s="830" t="s">
        <v>329</v>
      </c>
      <c r="J496" s="830" t="s">
        <v>327</v>
      </c>
      <c r="K496" s="830" t="s">
        <v>260</v>
      </c>
      <c r="L496" s="830" t="s">
        <v>308</v>
      </c>
      <c r="M496" s="830" t="s">
        <v>470</v>
      </c>
      <c r="N496" s="830" t="s">
        <v>255</v>
      </c>
      <c r="O496" s="830">
        <v>4</v>
      </c>
      <c r="Q496" s="830">
        <v>358</v>
      </c>
      <c r="T496" s="831">
        <v>41736.707546296297</v>
      </c>
    </row>
    <row r="497" spans="1:20" ht="12.75" customHeight="1" x14ac:dyDescent="0.25">
      <c r="A497" s="830" t="s">
        <v>308</v>
      </c>
      <c r="B497" s="830">
        <v>13</v>
      </c>
      <c r="C497" s="830" t="s">
        <v>323</v>
      </c>
      <c r="D497" s="830" t="s">
        <v>324</v>
      </c>
      <c r="F497" s="830" t="s">
        <v>325</v>
      </c>
      <c r="G497" s="830" t="s">
        <v>512</v>
      </c>
      <c r="H497" s="830" t="s">
        <v>326</v>
      </c>
      <c r="J497" s="830" t="s">
        <v>327</v>
      </c>
      <c r="K497" s="830" t="s">
        <v>260</v>
      </c>
      <c r="L497" s="830" t="s">
        <v>308</v>
      </c>
      <c r="M497" s="830" t="s">
        <v>470</v>
      </c>
      <c r="N497" s="830" t="s">
        <v>255</v>
      </c>
      <c r="O497" s="830">
        <v>2</v>
      </c>
      <c r="Q497" s="830">
        <v>13</v>
      </c>
      <c r="T497" s="831">
        <v>41736.707546296297</v>
      </c>
    </row>
    <row r="498" spans="1:20" ht="12.75" customHeight="1" x14ac:dyDescent="0.25">
      <c r="A498" s="830" t="s">
        <v>308</v>
      </c>
      <c r="B498" s="830">
        <v>13</v>
      </c>
      <c r="C498" s="830" t="s">
        <v>323</v>
      </c>
      <c r="D498" s="830" t="s">
        <v>324</v>
      </c>
      <c r="F498" s="830" t="s">
        <v>325</v>
      </c>
      <c r="G498" s="830" t="s">
        <v>512</v>
      </c>
      <c r="H498" s="830" t="s">
        <v>332</v>
      </c>
      <c r="J498" s="830" t="s">
        <v>327</v>
      </c>
      <c r="K498" s="830" t="s">
        <v>260</v>
      </c>
      <c r="L498" s="830" t="s">
        <v>308</v>
      </c>
      <c r="M498" s="830" t="s">
        <v>470</v>
      </c>
      <c r="N498" s="830" t="s">
        <v>255</v>
      </c>
      <c r="O498" s="830">
        <v>1</v>
      </c>
      <c r="Q498" s="830">
        <v>2</v>
      </c>
      <c r="T498" s="831">
        <v>41736.707546296297</v>
      </c>
    </row>
    <row r="499" spans="1:20" ht="12.75" customHeight="1" x14ac:dyDescent="0.25">
      <c r="A499" s="830" t="s">
        <v>308</v>
      </c>
      <c r="B499" s="830">
        <v>13</v>
      </c>
      <c r="C499" s="830" t="s">
        <v>323</v>
      </c>
      <c r="D499" s="830" t="s">
        <v>324</v>
      </c>
      <c r="F499" s="830" t="s">
        <v>325</v>
      </c>
      <c r="G499" s="830" t="s">
        <v>512</v>
      </c>
      <c r="H499" s="830" t="s">
        <v>331</v>
      </c>
      <c r="J499" s="830" t="s">
        <v>327</v>
      </c>
      <c r="K499" s="830" t="s">
        <v>260</v>
      </c>
      <c r="L499" s="830" t="s">
        <v>308</v>
      </c>
      <c r="M499" s="830" t="s">
        <v>470</v>
      </c>
      <c r="N499" s="830" t="s">
        <v>255</v>
      </c>
      <c r="Q499" s="830">
        <v>50</v>
      </c>
      <c r="T499" s="831">
        <v>41736.707546296297</v>
      </c>
    </row>
    <row r="500" spans="1:20" ht="12.75" customHeight="1" x14ac:dyDescent="0.25">
      <c r="A500" s="830" t="s">
        <v>308</v>
      </c>
      <c r="B500" s="830">
        <v>13</v>
      </c>
      <c r="C500" s="830" t="s">
        <v>323</v>
      </c>
      <c r="D500" s="830" t="s">
        <v>324</v>
      </c>
      <c r="F500" s="830" t="s">
        <v>325</v>
      </c>
      <c r="G500" s="830" t="s">
        <v>512</v>
      </c>
      <c r="H500" s="830" t="s">
        <v>333</v>
      </c>
      <c r="J500" s="830" t="s">
        <v>327</v>
      </c>
      <c r="K500" s="830" t="s">
        <v>260</v>
      </c>
      <c r="L500" s="830" t="s">
        <v>308</v>
      </c>
      <c r="M500" s="830" t="s">
        <v>471</v>
      </c>
      <c r="N500" s="830" t="s">
        <v>255</v>
      </c>
      <c r="O500" s="830">
        <v>6</v>
      </c>
      <c r="Q500" s="830">
        <v>0</v>
      </c>
      <c r="T500" s="831">
        <v>41736.707546296297</v>
      </c>
    </row>
    <row r="501" spans="1:20" ht="12.75" customHeight="1" x14ac:dyDescent="0.25">
      <c r="A501" s="830" t="s">
        <v>308</v>
      </c>
      <c r="B501" s="830">
        <v>13</v>
      </c>
      <c r="C501" s="830" t="s">
        <v>323</v>
      </c>
      <c r="D501" s="830" t="s">
        <v>324</v>
      </c>
      <c r="F501" s="830" t="s">
        <v>325</v>
      </c>
      <c r="G501" s="830" t="s">
        <v>512</v>
      </c>
      <c r="H501" s="830" t="s">
        <v>382</v>
      </c>
      <c r="J501" s="830" t="s">
        <v>327</v>
      </c>
      <c r="K501" s="830" t="s">
        <v>260</v>
      </c>
      <c r="L501" s="830" t="s">
        <v>308</v>
      </c>
      <c r="M501" s="830" t="s">
        <v>471</v>
      </c>
      <c r="N501" s="830" t="s">
        <v>255</v>
      </c>
      <c r="O501" s="830">
        <v>6</v>
      </c>
      <c r="P501" s="830">
        <v>6</v>
      </c>
      <c r="Q501" s="830">
        <v>2</v>
      </c>
      <c r="T501" s="831">
        <v>41736.707546296297</v>
      </c>
    </row>
    <row r="502" spans="1:20" ht="12.75" customHeight="1" x14ac:dyDescent="0.25">
      <c r="A502" s="830" t="s">
        <v>308</v>
      </c>
      <c r="B502" s="830">
        <v>13</v>
      </c>
      <c r="C502" s="830" t="s">
        <v>323</v>
      </c>
      <c r="D502" s="830" t="s">
        <v>324</v>
      </c>
      <c r="F502" s="830" t="s">
        <v>325</v>
      </c>
      <c r="G502" s="830" t="s">
        <v>512</v>
      </c>
      <c r="H502" s="830" t="s">
        <v>368</v>
      </c>
      <c r="J502" s="830" t="s">
        <v>327</v>
      </c>
      <c r="K502" s="830" t="s">
        <v>260</v>
      </c>
      <c r="L502" s="830" t="s">
        <v>308</v>
      </c>
      <c r="M502" s="830" t="s">
        <v>471</v>
      </c>
      <c r="N502" s="830" t="s">
        <v>255</v>
      </c>
      <c r="P502" s="830">
        <v>6</v>
      </c>
      <c r="Q502" s="830">
        <v>0</v>
      </c>
      <c r="T502" s="831">
        <v>41736.707546296297</v>
      </c>
    </row>
    <row r="503" spans="1:20" ht="12.75" customHeight="1" x14ac:dyDescent="0.25">
      <c r="A503" s="830" t="s">
        <v>308</v>
      </c>
      <c r="B503" s="830">
        <v>13</v>
      </c>
      <c r="C503" s="830" t="s">
        <v>323</v>
      </c>
      <c r="D503" s="830" t="s">
        <v>324</v>
      </c>
      <c r="F503" s="830" t="s">
        <v>325</v>
      </c>
      <c r="G503" s="830" t="s">
        <v>512</v>
      </c>
      <c r="H503" s="830" t="s">
        <v>332</v>
      </c>
      <c r="J503" s="830" t="s">
        <v>327</v>
      </c>
      <c r="K503" s="830" t="s">
        <v>260</v>
      </c>
      <c r="L503" s="830" t="s">
        <v>308</v>
      </c>
      <c r="M503" s="830" t="s">
        <v>471</v>
      </c>
      <c r="N503" s="830" t="s">
        <v>255</v>
      </c>
      <c r="O503" s="830">
        <v>1</v>
      </c>
      <c r="Q503" s="830">
        <v>85</v>
      </c>
      <c r="T503" s="831">
        <v>41736.707546296297</v>
      </c>
    </row>
    <row r="504" spans="1:20" ht="12.75" customHeight="1" x14ac:dyDescent="0.25">
      <c r="A504" s="830" t="s">
        <v>308</v>
      </c>
      <c r="B504" s="830">
        <v>13</v>
      </c>
      <c r="C504" s="830" t="s">
        <v>323</v>
      </c>
      <c r="D504" s="830" t="s">
        <v>324</v>
      </c>
      <c r="F504" s="830" t="s">
        <v>325</v>
      </c>
      <c r="G504" s="830" t="s">
        <v>512</v>
      </c>
      <c r="H504" s="830" t="s">
        <v>349</v>
      </c>
      <c r="J504" s="830" t="s">
        <v>327</v>
      </c>
      <c r="K504" s="830" t="s">
        <v>260</v>
      </c>
      <c r="L504" s="830" t="s">
        <v>308</v>
      </c>
      <c r="M504" s="830" t="s">
        <v>471</v>
      </c>
      <c r="N504" s="830" t="s">
        <v>255</v>
      </c>
      <c r="O504" s="830">
        <v>4</v>
      </c>
      <c r="P504" s="830">
        <v>5</v>
      </c>
      <c r="Q504" s="830">
        <v>6</v>
      </c>
      <c r="T504" s="831">
        <v>41736.707546296297</v>
      </c>
    </row>
    <row r="505" spans="1:20" ht="12.75" customHeight="1" x14ac:dyDescent="0.25">
      <c r="A505" s="830" t="s">
        <v>308</v>
      </c>
      <c r="B505" s="830">
        <v>13</v>
      </c>
      <c r="C505" s="830" t="s">
        <v>323</v>
      </c>
      <c r="D505" s="830" t="s">
        <v>324</v>
      </c>
      <c r="F505" s="830" t="s">
        <v>325</v>
      </c>
      <c r="G505" s="830" t="s">
        <v>512</v>
      </c>
      <c r="H505" s="830" t="s">
        <v>330</v>
      </c>
      <c r="J505" s="830" t="s">
        <v>327</v>
      </c>
      <c r="K505" s="830" t="s">
        <v>260</v>
      </c>
      <c r="L505" s="830" t="s">
        <v>308</v>
      </c>
      <c r="M505" s="830" t="s">
        <v>471</v>
      </c>
      <c r="N505" s="830" t="s">
        <v>255</v>
      </c>
      <c r="O505" s="830">
        <v>3</v>
      </c>
      <c r="Q505" s="830">
        <v>1</v>
      </c>
      <c r="T505" s="831">
        <v>41736.707546296297</v>
      </c>
    </row>
    <row r="506" spans="1:20" ht="12.75" customHeight="1" x14ac:dyDescent="0.25">
      <c r="A506" s="830" t="s">
        <v>308</v>
      </c>
      <c r="B506" s="830">
        <v>13</v>
      </c>
      <c r="C506" s="830" t="s">
        <v>323</v>
      </c>
      <c r="D506" s="830" t="s">
        <v>324</v>
      </c>
      <c r="F506" s="830" t="s">
        <v>325</v>
      </c>
      <c r="G506" s="830" t="s">
        <v>512</v>
      </c>
      <c r="H506" s="830" t="s">
        <v>328</v>
      </c>
      <c r="J506" s="830" t="s">
        <v>327</v>
      </c>
      <c r="K506" s="830" t="s">
        <v>260</v>
      </c>
      <c r="L506" s="830" t="s">
        <v>308</v>
      </c>
      <c r="M506" s="830" t="s">
        <v>471</v>
      </c>
      <c r="N506" s="830" t="s">
        <v>255</v>
      </c>
      <c r="O506" s="830">
        <v>5</v>
      </c>
      <c r="Q506" s="830">
        <v>0</v>
      </c>
      <c r="T506" s="831">
        <v>41736.707546296297</v>
      </c>
    </row>
    <row r="507" spans="1:20" ht="12.75" customHeight="1" x14ac:dyDescent="0.25">
      <c r="A507" s="830" t="s">
        <v>308</v>
      </c>
      <c r="B507" s="830">
        <v>13</v>
      </c>
      <c r="C507" s="830" t="s">
        <v>323</v>
      </c>
      <c r="D507" s="830" t="s">
        <v>324</v>
      </c>
      <c r="F507" s="830" t="s">
        <v>325</v>
      </c>
      <c r="G507" s="830" t="s">
        <v>512</v>
      </c>
      <c r="H507" s="830" t="s">
        <v>375</v>
      </c>
      <c r="J507" s="830" t="s">
        <v>327</v>
      </c>
      <c r="K507" s="830" t="s">
        <v>260</v>
      </c>
      <c r="L507" s="830" t="s">
        <v>308</v>
      </c>
      <c r="M507" s="830" t="s">
        <v>471</v>
      </c>
      <c r="N507" s="830" t="s">
        <v>255</v>
      </c>
      <c r="O507" s="830">
        <v>1</v>
      </c>
      <c r="P507" s="830">
        <v>6</v>
      </c>
      <c r="Q507" s="830">
        <v>18</v>
      </c>
      <c r="T507" s="831">
        <v>41736.707546296297</v>
      </c>
    </row>
    <row r="508" spans="1:20" ht="12.75" customHeight="1" x14ac:dyDescent="0.25">
      <c r="A508" s="830" t="s">
        <v>308</v>
      </c>
      <c r="B508" s="830">
        <v>13</v>
      </c>
      <c r="C508" s="830" t="s">
        <v>323</v>
      </c>
      <c r="D508" s="830" t="s">
        <v>324</v>
      </c>
      <c r="F508" s="830" t="s">
        <v>325</v>
      </c>
      <c r="G508" s="830" t="s">
        <v>512</v>
      </c>
      <c r="H508" s="830" t="s">
        <v>331</v>
      </c>
      <c r="J508" s="830" t="s">
        <v>327</v>
      </c>
      <c r="K508" s="830" t="s">
        <v>260</v>
      </c>
      <c r="L508" s="830" t="s">
        <v>308</v>
      </c>
      <c r="M508" s="830" t="s">
        <v>471</v>
      </c>
      <c r="N508" s="830" t="s">
        <v>255</v>
      </c>
      <c r="Q508" s="830">
        <v>71</v>
      </c>
      <c r="T508" s="831">
        <v>41736.707546296297</v>
      </c>
    </row>
    <row r="509" spans="1:20" ht="12.75" customHeight="1" x14ac:dyDescent="0.25">
      <c r="A509" s="830" t="s">
        <v>308</v>
      </c>
      <c r="B509" s="830">
        <v>13</v>
      </c>
      <c r="C509" s="830" t="s">
        <v>323</v>
      </c>
      <c r="D509" s="830" t="s">
        <v>324</v>
      </c>
      <c r="F509" s="830" t="s">
        <v>325</v>
      </c>
      <c r="G509" s="830" t="s">
        <v>512</v>
      </c>
      <c r="H509" s="830" t="s">
        <v>374</v>
      </c>
      <c r="J509" s="830" t="s">
        <v>327</v>
      </c>
      <c r="K509" s="830" t="s">
        <v>260</v>
      </c>
      <c r="L509" s="830" t="s">
        <v>308</v>
      </c>
      <c r="M509" s="830" t="s">
        <v>471</v>
      </c>
      <c r="N509" s="830" t="s">
        <v>255</v>
      </c>
      <c r="O509" s="830">
        <v>1</v>
      </c>
      <c r="P509" s="830">
        <v>7</v>
      </c>
      <c r="Q509" s="830">
        <v>1</v>
      </c>
      <c r="T509" s="831">
        <v>41736.707546296297</v>
      </c>
    </row>
    <row r="510" spans="1:20" ht="12.75" customHeight="1" x14ac:dyDescent="0.25">
      <c r="A510" s="830" t="s">
        <v>308</v>
      </c>
      <c r="B510" s="830">
        <v>13</v>
      </c>
      <c r="C510" s="830" t="s">
        <v>323</v>
      </c>
      <c r="D510" s="830" t="s">
        <v>324</v>
      </c>
      <c r="F510" s="830" t="s">
        <v>325</v>
      </c>
      <c r="G510" s="830" t="s">
        <v>512</v>
      </c>
      <c r="H510" s="830" t="s">
        <v>339</v>
      </c>
      <c r="J510" s="830" t="s">
        <v>327</v>
      </c>
      <c r="K510" s="830" t="s">
        <v>260</v>
      </c>
      <c r="L510" s="830" t="s">
        <v>308</v>
      </c>
      <c r="M510" s="830" t="s">
        <v>471</v>
      </c>
      <c r="N510" s="830" t="s">
        <v>255</v>
      </c>
      <c r="O510" s="830">
        <v>2</v>
      </c>
      <c r="P510" s="830">
        <v>7</v>
      </c>
      <c r="Q510" s="830">
        <v>0</v>
      </c>
      <c r="T510" s="831">
        <v>41736.707546296297</v>
      </c>
    </row>
    <row r="511" spans="1:20" ht="12.75" customHeight="1" x14ac:dyDescent="0.25">
      <c r="A511" s="830" t="s">
        <v>308</v>
      </c>
      <c r="B511" s="830">
        <v>13</v>
      </c>
      <c r="C511" s="830" t="s">
        <v>323</v>
      </c>
      <c r="D511" s="830" t="s">
        <v>324</v>
      </c>
      <c r="F511" s="830" t="s">
        <v>325</v>
      </c>
      <c r="G511" s="830" t="s">
        <v>512</v>
      </c>
      <c r="H511" s="830" t="s">
        <v>360</v>
      </c>
      <c r="J511" s="830" t="s">
        <v>327</v>
      </c>
      <c r="K511" s="830" t="s">
        <v>260</v>
      </c>
      <c r="L511" s="830" t="s">
        <v>308</v>
      </c>
      <c r="M511" s="830" t="s">
        <v>471</v>
      </c>
      <c r="N511" s="830" t="s">
        <v>255</v>
      </c>
      <c r="O511" s="830">
        <v>3</v>
      </c>
      <c r="P511" s="830">
        <v>7</v>
      </c>
      <c r="Q511" s="830">
        <v>0</v>
      </c>
      <c r="T511" s="831">
        <v>41736.707546296297</v>
      </c>
    </row>
    <row r="512" spans="1:20" ht="12.75" customHeight="1" x14ac:dyDescent="0.25">
      <c r="A512" s="830" t="s">
        <v>308</v>
      </c>
      <c r="B512" s="830">
        <v>13</v>
      </c>
      <c r="C512" s="830" t="s">
        <v>323</v>
      </c>
      <c r="D512" s="830" t="s">
        <v>324</v>
      </c>
      <c r="F512" s="830" t="s">
        <v>325</v>
      </c>
      <c r="G512" s="830" t="s">
        <v>512</v>
      </c>
      <c r="H512" s="830" t="s">
        <v>356</v>
      </c>
      <c r="J512" s="830" t="s">
        <v>327</v>
      </c>
      <c r="K512" s="830" t="s">
        <v>260</v>
      </c>
      <c r="L512" s="830" t="s">
        <v>308</v>
      </c>
      <c r="M512" s="830" t="s">
        <v>471</v>
      </c>
      <c r="N512" s="830" t="s">
        <v>255</v>
      </c>
      <c r="O512" s="830">
        <v>3</v>
      </c>
      <c r="P512" s="830">
        <v>5</v>
      </c>
      <c r="Q512" s="830">
        <v>1</v>
      </c>
      <c r="T512" s="831">
        <v>41736.707546296297</v>
      </c>
    </row>
    <row r="513" spans="1:20" ht="12.75" customHeight="1" x14ac:dyDescent="0.25">
      <c r="A513" s="830" t="s">
        <v>308</v>
      </c>
      <c r="B513" s="830">
        <v>13</v>
      </c>
      <c r="C513" s="830" t="s">
        <v>323</v>
      </c>
      <c r="D513" s="830" t="s">
        <v>324</v>
      </c>
      <c r="F513" s="830" t="s">
        <v>325</v>
      </c>
      <c r="G513" s="830" t="s">
        <v>512</v>
      </c>
      <c r="H513" s="830" t="s">
        <v>347</v>
      </c>
      <c r="J513" s="830" t="s">
        <v>327</v>
      </c>
      <c r="K513" s="830" t="s">
        <v>260</v>
      </c>
      <c r="L513" s="830" t="s">
        <v>308</v>
      </c>
      <c r="M513" s="830" t="s">
        <v>471</v>
      </c>
      <c r="N513" s="830" t="s">
        <v>255</v>
      </c>
      <c r="O513" s="830">
        <v>5</v>
      </c>
      <c r="P513" s="830">
        <v>6</v>
      </c>
      <c r="Q513" s="830">
        <v>1</v>
      </c>
      <c r="T513" s="831">
        <v>41736.707546296297</v>
      </c>
    </row>
    <row r="514" spans="1:20" ht="12.75" customHeight="1" x14ac:dyDescent="0.25">
      <c r="A514" s="830" t="s">
        <v>308</v>
      </c>
      <c r="B514" s="830">
        <v>13</v>
      </c>
      <c r="C514" s="830" t="s">
        <v>323</v>
      </c>
      <c r="D514" s="830" t="s">
        <v>324</v>
      </c>
      <c r="F514" s="830" t="s">
        <v>325</v>
      </c>
      <c r="G514" s="830" t="s">
        <v>512</v>
      </c>
      <c r="H514" s="830" t="s">
        <v>340</v>
      </c>
      <c r="J514" s="830" t="s">
        <v>327</v>
      </c>
      <c r="K514" s="830" t="s">
        <v>260</v>
      </c>
      <c r="L514" s="830" t="s">
        <v>308</v>
      </c>
      <c r="M514" s="830" t="s">
        <v>471</v>
      </c>
      <c r="N514" s="830" t="s">
        <v>255</v>
      </c>
      <c r="O514" s="830">
        <v>2</v>
      </c>
      <c r="P514" s="830">
        <v>6</v>
      </c>
      <c r="Q514" s="830">
        <v>7</v>
      </c>
      <c r="T514" s="831">
        <v>41736.707546296297</v>
      </c>
    </row>
    <row r="515" spans="1:20" ht="12.75" customHeight="1" x14ac:dyDescent="0.25">
      <c r="A515" s="830" t="s">
        <v>308</v>
      </c>
      <c r="B515" s="830">
        <v>13</v>
      </c>
      <c r="C515" s="830" t="s">
        <v>323</v>
      </c>
      <c r="D515" s="830" t="s">
        <v>324</v>
      </c>
      <c r="F515" s="830" t="s">
        <v>325</v>
      </c>
      <c r="G515" s="830" t="s">
        <v>512</v>
      </c>
      <c r="H515" s="830" t="s">
        <v>363</v>
      </c>
      <c r="J515" s="830" t="s">
        <v>327</v>
      </c>
      <c r="K515" s="830" t="s">
        <v>260</v>
      </c>
      <c r="L515" s="830" t="s">
        <v>308</v>
      </c>
      <c r="M515" s="830" t="s">
        <v>471</v>
      </c>
      <c r="N515" s="830" t="s">
        <v>255</v>
      </c>
      <c r="P515" s="830">
        <v>5</v>
      </c>
      <c r="Q515" s="830">
        <v>0</v>
      </c>
      <c r="T515" s="831">
        <v>41736.707546296297</v>
      </c>
    </row>
    <row r="516" spans="1:20" ht="12.75" customHeight="1" x14ac:dyDescent="0.25">
      <c r="A516" s="830" t="s">
        <v>308</v>
      </c>
      <c r="B516" s="830">
        <v>13</v>
      </c>
      <c r="C516" s="830" t="s">
        <v>323</v>
      </c>
      <c r="D516" s="830" t="s">
        <v>324</v>
      </c>
      <c r="F516" s="830" t="s">
        <v>325</v>
      </c>
      <c r="G516" s="830" t="s">
        <v>512</v>
      </c>
      <c r="H516" s="830" t="s">
        <v>377</v>
      </c>
      <c r="J516" s="830" t="s">
        <v>327</v>
      </c>
      <c r="K516" s="830" t="s">
        <v>260</v>
      </c>
      <c r="L516" s="830" t="s">
        <v>308</v>
      </c>
      <c r="M516" s="830" t="s">
        <v>471</v>
      </c>
      <c r="N516" s="830" t="s">
        <v>255</v>
      </c>
      <c r="O516" s="830">
        <v>6</v>
      </c>
      <c r="P516" s="830">
        <v>5</v>
      </c>
      <c r="Q516" s="830">
        <v>0</v>
      </c>
      <c r="T516" s="831">
        <v>41736.707546296297</v>
      </c>
    </row>
    <row r="517" spans="1:20" ht="12.75" customHeight="1" x14ac:dyDescent="0.25">
      <c r="A517" s="830" t="s">
        <v>308</v>
      </c>
      <c r="B517" s="830">
        <v>13</v>
      </c>
      <c r="C517" s="830" t="s">
        <v>323</v>
      </c>
      <c r="D517" s="830" t="s">
        <v>324</v>
      </c>
      <c r="F517" s="830" t="s">
        <v>325</v>
      </c>
      <c r="G517" s="830" t="s">
        <v>512</v>
      </c>
      <c r="H517" s="830" t="s">
        <v>329</v>
      </c>
      <c r="J517" s="830" t="s">
        <v>327</v>
      </c>
      <c r="K517" s="830" t="s">
        <v>260</v>
      </c>
      <c r="L517" s="830" t="s">
        <v>308</v>
      </c>
      <c r="M517" s="830" t="s">
        <v>471</v>
      </c>
      <c r="N517" s="830" t="s">
        <v>255</v>
      </c>
      <c r="O517" s="830">
        <v>4</v>
      </c>
      <c r="Q517" s="830">
        <v>10</v>
      </c>
      <c r="T517" s="831">
        <v>41736.707546296297</v>
      </c>
    </row>
    <row r="518" spans="1:20" ht="12.75" customHeight="1" x14ac:dyDescent="0.25">
      <c r="A518" s="830" t="s">
        <v>308</v>
      </c>
      <c r="B518" s="830">
        <v>13</v>
      </c>
      <c r="C518" s="830" t="s">
        <v>323</v>
      </c>
      <c r="D518" s="830" t="s">
        <v>324</v>
      </c>
      <c r="F518" s="830" t="s">
        <v>325</v>
      </c>
      <c r="G518" s="830" t="s">
        <v>512</v>
      </c>
      <c r="H518" s="830" t="s">
        <v>366</v>
      </c>
      <c r="J518" s="830" t="s">
        <v>327</v>
      </c>
      <c r="K518" s="830" t="s">
        <v>260</v>
      </c>
      <c r="L518" s="830" t="s">
        <v>308</v>
      </c>
      <c r="M518" s="830" t="s">
        <v>471</v>
      </c>
      <c r="N518" s="830" t="s">
        <v>255</v>
      </c>
      <c r="P518" s="830">
        <v>1</v>
      </c>
      <c r="Q518" s="830">
        <v>0</v>
      </c>
      <c r="T518" s="831">
        <v>41736.707546296297</v>
      </c>
    </row>
    <row r="519" spans="1:20" ht="12.75" customHeight="1" x14ac:dyDescent="0.25">
      <c r="A519" s="830" t="s">
        <v>308</v>
      </c>
      <c r="B519" s="830">
        <v>13</v>
      </c>
      <c r="C519" s="830" t="s">
        <v>323</v>
      </c>
      <c r="D519" s="830" t="s">
        <v>324</v>
      </c>
      <c r="F519" s="830" t="s">
        <v>325</v>
      </c>
      <c r="G519" s="830" t="s">
        <v>512</v>
      </c>
      <c r="H519" s="830" t="s">
        <v>373</v>
      </c>
      <c r="J519" s="830" t="s">
        <v>327</v>
      </c>
      <c r="K519" s="830" t="s">
        <v>260</v>
      </c>
      <c r="L519" s="830" t="s">
        <v>308</v>
      </c>
      <c r="M519" s="830" t="s">
        <v>471</v>
      </c>
      <c r="N519" s="830" t="s">
        <v>255</v>
      </c>
      <c r="O519" s="830">
        <v>1</v>
      </c>
      <c r="P519" s="830">
        <v>1</v>
      </c>
      <c r="Q519" s="830">
        <v>0</v>
      </c>
      <c r="T519" s="831">
        <v>41736.707546296297</v>
      </c>
    </row>
    <row r="520" spans="1:20" ht="12.75" customHeight="1" x14ac:dyDescent="0.25">
      <c r="A520" s="830" t="s">
        <v>308</v>
      </c>
      <c r="B520" s="830">
        <v>13</v>
      </c>
      <c r="C520" s="830" t="s">
        <v>323</v>
      </c>
      <c r="D520" s="830" t="s">
        <v>324</v>
      </c>
      <c r="F520" s="830" t="s">
        <v>325</v>
      </c>
      <c r="G520" s="830" t="s">
        <v>512</v>
      </c>
      <c r="H520" s="830" t="s">
        <v>359</v>
      </c>
      <c r="J520" s="830" t="s">
        <v>327</v>
      </c>
      <c r="K520" s="830" t="s">
        <v>260</v>
      </c>
      <c r="L520" s="830" t="s">
        <v>308</v>
      </c>
      <c r="M520" s="830" t="s">
        <v>471</v>
      </c>
      <c r="N520" s="830" t="s">
        <v>255</v>
      </c>
      <c r="O520" s="830">
        <v>3</v>
      </c>
      <c r="P520" s="830">
        <v>1</v>
      </c>
      <c r="Q520" s="830">
        <v>0</v>
      </c>
      <c r="T520" s="831">
        <v>41736.707546296297</v>
      </c>
    </row>
    <row r="521" spans="1:20" ht="12.75" customHeight="1" x14ac:dyDescent="0.25">
      <c r="A521" s="830" t="s">
        <v>308</v>
      </c>
      <c r="B521" s="830">
        <v>13</v>
      </c>
      <c r="C521" s="830" t="s">
        <v>323</v>
      </c>
      <c r="D521" s="830" t="s">
        <v>324</v>
      </c>
      <c r="F521" s="830" t="s">
        <v>325</v>
      </c>
      <c r="G521" s="830" t="s">
        <v>512</v>
      </c>
      <c r="H521" s="830" t="s">
        <v>380</v>
      </c>
      <c r="J521" s="830" t="s">
        <v>327</v>
      </c>
      <c r="K521" s="830" t="s">
        <v>260</v>
      </c>
      <c r="L521" s="830" t="s">
        <v>308</v>
      </c>
      <c r="M521" s="830" t="s">
        <v>471</v>
      </c>
      <c r="N521" s="830" t="s">
        <v>255</v>
      </c>
      <c r="O521" s="830">
        <v>6</v>
      </c>
      <c r="P521" s="830">
        <v>1</v>
      </c>
      <c r="Q521" s="830">
        <v>0</v>
      </c>
      <c r="T521" s="831">
        <v>41736.707546296297</v>
      </c>
    </row>
    <row r="522" spans="1:20" ht="12.75" customHeight="1" x14ac:dyDescent="0.25">
      <c r="A522" s="830" t="s">
        <v>308</v>
      </c>
      <c r="B522" s="830">
        <v>13</v>
      </c>
      <c r="C522" s="830" t="s">
        <v>323</v>
      </c>
      <c r="D522" s="830" t="s">
        <v>324</v>
      </c>
      <c r="F522" s="830" t="s">
        <v>325</v>
      </c>
      <c r="G522" s="830" t="s">
        <v>512</v>
      </c>
      <c r="H522" s="830" t="s">
        <v>352</v>
      </c>
      <c r="J522" s="830" t="s">
        <v>327</v>
      </c>
      <c r="K522" s="830" t="s">
        <v>260</v>
      </c>
      <c r="L522" s="830" t="s">
        <v>308</v>
      </c>
      <c r="M522" s="830" t="s">
        <v>471</v>
      </c>
      <c r="N522" s="830" t="s">
        <v>255</v>
      </c>
      <c r="O522" s="830">
        <v>4</v>
      </c>
      <c r="P522" s="830">
        <v>1</v>
      </c>
      <c r="Q522" s="830">
        <v>2</v>
      </c>
      <c r="T522" s="831">
        <v>41736.707546296297</v>
      </c>
    </row>
    <row r="523" spans="1:20" ht="12.75" customHeight="1" x14ac:dyDescent="0.25">
      <c r="A523" s="830" t="s">
        <v>308</v>
      </c>
      <c r="B523" s="830">
        <v>13</v>
      </c>
      <c r="C523" s="830" t="s">
        <v>323</v>
      </c>
      <c r="D523" s="830" t="s">
        <v>324</v>
      </c>
      <c r="F523" s="830" t="s">
        <v>325</v>
      </c>
      <c r="G523" s="830" t="s">
        <v>512</v>
      </c>
      <c r="H523" s="830" t="s">
        <v>345</v>
      </c>
      <c r="J523" s="830" t="s">
        <v>327</v>
      </c>
      <c r="K523" s="830" t="s">
        <v>260</v>
      </c>
      <c r="L523" s="830" t="s">
        <v>308</v>
      </c>
      <c r="M523" s="830" t="s">
        <v>471</v>
      </c>
      <c r="N523" s="830" t="s">
        <v>255</v>
      </c>
      <c r="O523" s="830">
        <v>5</v>
      </c>
      <c r="P523" s="830">
        <v>1</v>
      </c>
      <c r="Q523" s="830">
        <v>0</v>
      </c>
      <c r="T523" s="831">
        <v>41736.707546296297</v>
      </c>
    </row>
    <row r="524" spans="1:20" ht="12.75" customHeight="1" x14ac:dyDescent="0.25">
      <c r="A524" s="830" t="s">
        <v>308</v>
      </c>
      <c r="B524" s="830">
        <v>13</v>
      </c>
      <c r="C524" s="830" t="s">
        <v>323</v>
      </c>
      <c r="D524" s="830" t="s">
        <v>324</v>
      </c>
      <c r="F524" s="830" t="s">
        <v>325</v>
      </c>
      <c r="G524" s="830" t="s">
        <v>512</v>
      </c>
      <c r="H524" s="830" t="s">
        <v>354</v>
      </c>
      <c r="J524" s="830" t="s">
        <v>327</v>
      </c>
      <c r="K524" s="830" t="s">
        <v>260</v>
      </c>
      <c r="L524" s="830" t="s">
        <v>308</v>
      </c>
      <c r="M524" s="830" t="s">
        <v>471</v>
      </c>
      <c r="N524" s="830" t="s">
        <v>255</v>
      </c>
      <c r="O524" s="830">
        <v>4</v>
      </c>
      <c r="P524" s="830">
        <v>6</v>
      </c>
      <c r="Q524" s="830">
        <v>54</v>
      </c>
      <c r="T524" s="831">
        <v>41736.707546296297</v>
      </c>
    </row>
    <row r="525" spans="1:20" ht="12.75" customHeight="1" x14ac:dyDescent="0.25">
      <c r="A525" s="830" t="s">
        <v>308</v>
      </c>
      <c r="B525" s="830">
        <v>13</v>
      </c>
      <c r="C525" s="830" t="s">
        <v>323</v>
      </c>
      <c r="D525" s="830" t="s">
        <v>324</v>
      </c>
      <c r="F525" s="830" t="s">
        <v>325</v>
      </c>
      <c r="G525" s="830" t="s">
        <v>512</v>
      </c>
      <c r="H525" s="830" t="s">
        <v>353</v>
      </c>
      <c r="J525" s="830" t="s">
        <v>327</v>
      </c>
      <c r="K525" s="830" t="s">
        <v>260</v>
      </c>
      <c r="L525" s="830" t="s">
        <v>308</v>
      </c>
      <c r="M525" s="830" t="s">
        <v>471</v>
      </c>
      <c r="N525" s="830" t="s">
        <v>255</v>
      </c>
      <c r="O525" s="830">
        <v>4</v>
      </c>
      <c r="P525" s="830">
        <v>7</v>
      </c>
      <c r="Q525" s="830">
        <v>0</v>
      </c>
      <c r="T525" s="831">
        <v>41736.707546296297</v>
      </c>
    </row>
    <row r="526" spans="1:20" ht="12.75" customHeight="1" x14ac:dyDescent="0.25">
      <c r="A526" s="830" t="s">
        <v>308</v>
      </c>
      <c r="B526" s="830">
        <v>13</v>
      </c>
      <c r="C526" s="830" t="s">
        <v>323</v>
      </c>
      <c r="D526" s="830" t="s">
        <v>324</v>
      </c>
      <c r="F526" s="830" t="s">
        <v>325</v>
      </c>
      <c r="G526" s="830" t="s">
        <v>512</v>
      </c>
      <c r="H526" s="830" t="s">
        <v>361</v>
      </c>
      <c r="J526" s="830" t="s">
        <v>327</v>
      </c>
      <c r="K526" s="830" t="s">
        <v>260</v>
      </c>
      <c r="L526" s="830" t="s">
        <v>308</v>
      </c>
      <c r="M526" s="830" t="s">
        <v>471</v>
      </c>
      <c r="N526" s="830" t="s">
        <v>255</v>
      </c>
      <c r="O526" s="830">
        <v>3</v>
      </c>
      <c r="P526" s="830">
        <v>6</v>
      </c>
      <c r="Q526" s="830">
        <v>14</v>
      </c>
      <c r="T526" s="831">
        <v>41736.707546296297</v>
      </c>
    </row>
    <row r="527" spans="1:20" ht="12.75" customHeight="1" x14ac:dyDescent="0.25">
      <c r="A527" s="830" t="s">
        <v>308</v>
      </c>
      <c r="B527" s="830">
        <v>13</v>
      </c>
      <c r="C527" s="830" t="s">
        <v>323</v>
      </c>
      <c r="D527" s="830" t="s">
        <v>324</v>
      </c>
      <c r="F527" s="830" t="s">
        <v>325</v>
      </c>
      <c r="G527" s="830" t="s">
        <v>512</v>
      </c>
      <c r="H527" s="830" t="s">
        <v>342</v>
      </c>
      <c r="J527" s="830" t="s">
        <v>327</v>
      </c>
      <c r="K527" s="830" t="s">
        <v>260</v>
      </c>
      <c r="L527" s="830" t="s">
        <v>308</v>
      </c>
      <c r="M527" s="830" t="s">
        <v>471</v>
      </c>
      <c r="N527" s="830" t="s">
        <v>255</v>
      </c>
      <c r="O527" s="830">
        <v>5</v>
      </c>
      <c r="P527" s="830">
        <v>5</v>
      </c>
      <c r="Q527" s="830">
        <v>0</v>
      </c>
      <c r="T527" s="831">
        <v>41736.707546296297</v>
      </c>
    </row>
    <row r="528" spans="1:20" ht="12.75" customHeight="1" x14ac:dyDescent="0.25">
      <c r="A528" s="830" t="s">
        <v>308</v>
      </c>
      <c r="B528" s="830">
        <v>13</v>
      </c>
      <c r="C528" s="830" t="s">
        <v>323</v>
      </c>
      <c r="D528" s="830" t="s">
        <v>324</v>
      </c>
      <c r="F528" s="830" t="s">
        <v>325</v>
      </c>
      <c r="G528" s="830" t="s">
        <v>512</v>
      </c>
      <c r="H528" s="830" t="s">
        <v>335</v>
      </c>
      <c r="J528" s="830" t="s">
        <v>327</v>
      </c>
      <c r="K528" s="830" t="s">
        <v>260</v>
      </c>
      <c r="L528" s="830" t="s">
        <v>308</v>
      </c>
      <c r="M528" s="830" t="s">
        <v>471</v>
      </c>
      <c r="N528" s="830" t="s">
        <v>255</v>
      </c>
      <c r="O528" s="830">
        <v>2</v>
      </c>
      <c r="P528" s="830">
        <v>5</v>
      </c>
      <c r="Q528" s="830">
        <v>4</v>
      </c>
      <c r="T528" s="831">
        <v>41736.707546296297</v>
      </c>
    </row>
    <row r="529" spans="1:20" ht="12.75" customHeight="1" x14ac:dyDescent="0.25">
      <c r="A529" s="830" t="s">
        <v>308</v>
      </c>
      <c r="B529" s="830">
        <v>13</v>
      </c>
      <c r="C529" s="830" t="s">
        <v>323</v>
      </c>
      <c r="D529" s="830" t="s">
        <v>324</v>
      </c>
      <c r="F529" s="830" t="s">
        <v>325</v>
      </c>
      <c r="G529" s="830" t="s">
        <v>512</v>
      </c>
      <c r="H529" s="830" t="s">
        <v>370</v>
      </c>
      <c r="J529" s="830" t="s">
        <v>327</v>
      </c>
      <c r="K529" s="830" t="s">
        <v>260</v>
      </c>
      <c r="L529" s="830" t="s">
        <v>308</v>
      </c>
      <c r="M529" s="830" t="s">
        <v>471</v>
      </c>
      <c r="N529" s="830" t="s">
        <v>255</v>
      </c>
      <c r="O529" s="830">
        <v>1</v>
      </c>
      <c r="P529" s="830">
        <v>5</v>
      </c>
      <c r="Q529" s="830">
        <v>16</v>
      </c>
      <c r="T529" s="831">
        <v>41736.707546296297</v>
      </c>
    </row>
    <row r="530" spans="1:20" ht="12.75" customHeight="1" x14ac:dyDescent="0.25">
      <c r="A530" s="830" t="s">
        <v>308</v>
      </c>
      <c r="B530" s="830">
        <v>13</v>
      </c>
      <c r="C530" s="830" t="s">
        <v>323</v>
      </c>
      <c r="D530" s="830" t="s">
        <v>324</v>
      </c>
      <c r="F530" s="830" t="s">
        <v>325</v>
      </c>
      <c r="G530" s="830" t="s">
        <v>512</v>
      </c>
      <c r="H530" s="830" t="s">
        <v>364</v>
      </c>
      <c r="J530" s="830" t="s">
        <v>327</v>
      </c>
      <c r="K530" s="830" t="s">
        <v>260</v>
      </c>
      <c r="L530" s="830" t="s">
        <v>308</v>
      </c>
      <c r="M530" s="830" t="s">
        <v>471</v>
      </c>
      <c r="N530" s="830" t="s">
        <v>255</v>
      </c>
      <c r="P530" s="830">
        <v>4</v>
      </c>
      <c r="Q530" s="830">
        <v>0</v>
      </c>
      <c r="T530" s="831">
        <v>41736.707546296297</v>
      </c>
    </row>
    <row r="531" spans="1:20" ht="12.75" customHeight="1" x14ac:dyDescent="0.25">
      <c r="A531" s="830" t="s">
        <v>308</v>
      </c>
      <c r="B531" s="830">
        <v>13</v>
      </c>
      <c r="C531" s="830" t="s">
        <v>323</v>
      </c>
      <c r="D531" s="830" t="s">
        <v>324</v>
      </c>
      <c r="F531" s="830" t="s">
        <v>325</v>
      </c>
      <c r="G531" s="830" t="s">
        <v>512</v>
      </c>
      <c r="H531" s="830" t="s">
        <v>378</v>
      </c>
      <c r="J531" s="830" t="s">
        <v>327</v>
      </c>
      <c r="K531" s="830" t="s">
        <v>260</v>
      </c>
      <c r="L531" s="830" t="s">
        <v>308</v>
      </c>
      <c r="M531" s="830" t="s">
        <v>471</v>
      </c>
      <c r="N531" s="830" t="s">
        <v>255</v>
      </c>
      <c r="O531" s="830">
        <v>6</v>
      </c>
      <c r="P531" s="830">
        <v>4</v>
      </c>
      <c r="Q531" s="830">
        <v>1</v>
      </c>
      <c r="T531" s="831">
        <v>41736.707546296297</v>
      </c>
    </row>
    <row r="532" spans="1:20" ht="12.75" customHeight="1" x14ac:dyDescent="0.25">
      <c r="A532" s="830" t="s">
        <v>308</v>
      </c>
      <c r="B532" s="830">
        <v>13</v>
      </c>
      <c r="C532" s="830" t="s">
        <v>323</v>
      </c>
      <c r="D532" s="830" t="s">
        <v>324</v>
      </c>
      <c r="F532" s="830" t="s">
        <v>325</v>
      </c>
      <c r="G532" s="830" t="s">
        <v>512</v>
      </c>
      <c r="H532" s="830" t="s">
        <v>343</v>
      </c>
      <c r="J532" s="830" t="s">
        <v>327</v>
      </c>
      <c r="K532" s="830" t="s">
        <v>260</v>
      </c>
      <c r="L532" s="830" t="s">
        <v>308</v>
      </c>
      <c r="M532" s="830" t="s">
        <v>471</v>
      </c>
      <c r="N532" s="830" t="s">
        <v>255</v>
      </c>
      <c r="O532" s="830">
        <v>5</v>
      </c>
      <c r="P532" s="830">
        <v>4</v>
      </c>
      <c r="Q532" s="830">
        <v>0</v>
      </c>
      <c r="T532" s="831">
        <v>41736.707546296297</v>
      </c>
    </row>
    <row r="533" spans="1:20" ht="12.75" customHeight="1" x14ac:dyDescent="0.25">
      <c r="A533" s="830" t="s">
        <v>308</v>
      </c>
      <c r="B533" s="830">
        <v>13</v>
      </c>
      <c r="C533" s="830" t="s">
        <v>323</v>
      </c>
      <c r="D533" s="830" t="s">
        <v>324</v>
      </c>
      <c r="F533" s="830" t="s">
        <v>325</v>
      </c>
      <c r="G533" s="830" t="s">
        <v>512</v>
      </c>
      <c r="H533" s="830" t="s">
        <v>350</v>
      </c>
      <c r="J533" s="830" t="s">
        <v>327</v>
      </c>
      <c r="K533" s="830" t="s">
        <v>260</v>
      </c>
      <c r="L533" s="830" t="s">
        <v>308</v>
      </c>
      <c r="M533" s="830" t="s">
        <v>471</v>
      </c>
      <c r="N533" s="830" t="s">
        <v>255</v>
      </c>
      <c r="O533" s="830">
        <v>4</v>
      </c>
      <c r="P533" s="830">
        <v>4</v>
      </c>
      <c r="Q533" s="830">
        <v>291</v>
      </c>
      <c r="T533" s="831">
        <v>41736.707546296297</v>
      </c>
    </row>
    <row r="534" spans="1:20" ht="12.75" customHeight="1" x14ac:dyDescent="0.25">
      <c r="A534" s="830" t="s">
        <v>308</v>
      </c>
      <c r="B534" s="830">
        <v>13</v>
      </c>
      <c r="C534" s="830" t="s">
        <v>323</v>
      </c>
      <c r="D534" s="830" t="s">
        <v>324</v>
      </c>
      <c r="F534" s="830" t="s">
        <v>325</v>
      </c>
      <c r="G534" s="830" t="s">
        <v>512</v>
      </c>
      <c r="H534" s="830" t="s">
        <v>346</v>
      </c>
      <c r="J534" s="830" t="s">
        <v>327</v>
      </c>
      <c r="K534" s="830" t="s">
        <v>260</v>
      </c>
      <c r="L534" s="830" t="s">
        <v>308</v>
      </c>
      <c r="M534" s="830" t="s">
        <v>471</v>
      </c>
      <c r="N534" s="830" t="s">
        <v>255</v>
      </c>
      <c r="O534" s="830">
        <v>5</v>
      </c>
      <c r="P534" s="830">
        <v>7</v>
      </c>
      <c r="Q534" s="830">
        <v>0</v>
      </c>
      <c r="T534" s="831">
        <v>41736.707546296297</v>
      </c>
    </row>
    <row r="535" spans="1:20" ht="12.75" customHeight="1" x14ac:dyDescent="0.25">
      <c r="A535" s="830" t="s">
        <v>308</v>
      </c>
      <c r="B535" s="830">
        <v>13</v>
      </c>
      <c r="C535" s="830" t="s">
        <v>323</v>
      </c>
      <c r="D535" s="830" t="s">
        <v>324</v>
      </c>
      <c r="F535" s="830" t="s">
        <v>325</v>
      </c>
      <c r="G535" s="830" t="s">
        <v>512</v>
      </c>
      <c r="H535" s="830" t="s">
        <v>357</v>
      </c>
      <c r="J535" s="830" t="s">
        <v>327</v>
      </c>
      <c r="K535" s="830" t="s">
        <v>260</v>
      </c>
      <c r="L535" s="830" t="s">
        <v>308</v>
      </c>
      <c r="M535" s="830" t="s">
        <v>471</v>
      </c>
      <c r="N535" s="830" t="s">
        <v>255</v>
      </c>
      <c r="O535" s="830">
        <v>3</v>
      </c>
      <c r="P535" s="830">
        <v>4</v>
      </c>
      <c r="Q535" s="830">
        <v>119</v>
      </c>
      <c r="T535" s="831">
        <v>41736.707546296297</v>
      </c>
    </row>
    <row r="536" spans="1:20" ht="12.75" customHeight="1" x14ac:dyDescent="0.25">
      <c r="A536" s="830" t="s">
        <v>308</v>
      </c>
      <c r="B536" s="830">
        <v>13</v>
      </c>
      <c r="C536" s="830" t="s">
        <v>323</v>
      </c>
      <c r="D536" s="830" t="s">
        <v>324</v>
      </c>
      <c r="F536" s="830" t="s">
        <v>325</v>
      </c>
      <c r="G536" s="830" t="s">
        <v>512</v>
      </c>
      <c r="H536" s="830" t="s">
        <v>344</v>
      </c>
      <c r="J536" s="830" t="s">
        <v>327</v>
      </c>
      <c r="K536" s="830" t="s">
        <v>260</v>
      </c>
      <c r="L536" s="830" t="s">
        <v>308</v>
      </c>
      <c r="M536" s="830" t="s">
        <v>471</v>
      </c>
      <c r="N536" s="830" t="s">
        <v>255</v>
      </c>
      <c r="O536" s="830">
        <v>5</v>
      </c>
      <c r="P536" s="830">
        <v>3</v>
      </c>
      <c r="Q536" s="830">
        <v>0</v>
      </c>
      <c r="T536" s="831">
        <v>41736.707546296297</v>
      </c>
    </row>
    <row r="537" spans="1:20" ht="12.75" customHeight="1" x14ac:dyDescent="0.25">
      <c r="A537" s="830" t="s">
        <v>308</v>
      </c>
      <c r="B537" s="830">
        <v>13</v>
      </c>
      <c r="C537" s="830" t="s">
        <v>323</v>
      </c>
      <c r="D537" s="830" t="s">
        <v>324</v>
      </c>
      <c r="F537" s="830" t="s">
        <v>325</v>
      </c>
      <c r="G537" s="830" t="s">
        <v>512</v>
      </c>
      <c r="H537" s="830" t="s">
        <v>336</v>
      </c>
      <c r="J537" s="830" t="s">
        <v>327</v>
      </c>
      <c r="K537" s="830" t="s">
        <v>260</v>
      </c>
      <c r="L537" s="830" t="s">
        <v>308</v>
      </c>
      <c r="M537" s="830" t="s">
        <v>471</v>
      </c>
      <c r="N537" s="830" t="s">
        <v>255</v>
      </c>
      <c r="O537" s="830">
        <v>2</v>
      </c>
      <c r="P537" s="830">
        <v>4</v>
      </c>
      <c r="Q537" s="830">
        <v>46</v>
      </c>
      <c r="T537" s="831">
        <v>41736.707546296297</v>
      </c>
    </row>
    <row r="538" spans="1:20" ht="12.75" customHeight="1" x14ac:dyDescent="0.25">
      <c r="A538" s="830" t="s">
        <v>308</v>
      </c>
      <c r="B538" s="830">
        <v>13</v>
      </c>
      <c r="C538" s="830" t="s">
        <v>323</v>
      </c>
      <c r="D538" s="830" t="s">
        <v>324</v>
      </c>
      <c r="F538" s="830" t="s">
        <v>325</v>
      </c>
      <c r="G538" s="830" t="s">
        <v>512</v>
      </c>
      <c r="H538" s="830" t="s">
        <v>371</v>
      </c>
      <c r="J538" s="830" t="s">
        <v>327</v>
      </c>
      <c r="K538" s="830" t="s">
        <v>260</v>
      </c>
      <c r="L538" s="830" t="s">
        <v>308</v>
      </c>
      <c r="M538" s="830" t="s">
        <v>471</v>
      </c>
      <c r="N538" s="830" t="s">
        <v>255</v>
      </c>
      <c r="O538" s="830">
        <v>1</v>
      </c>
      <c r="P538" s="830">
        <v>4</v>
      </c>
      <c r="Q538" s="830">
        <v>291</v>
      </c>
      <c r="T538" s="831">
        <v>41736.707546296297</v>
      </c>
    </row>
    <row r="539" spans="1:20" ht="12.75" customHeight="1" x14ac:dyDescent="0.25">
      <c r="A539" s="830" t="s">
        <v>308</v>
      </c>
      <c r="B539" s="830">
        <v>13</v>
      </c>
      <c r="C539" s="830" t="s">
        <v>323</v>
      </c>
      <c r="D539" s="830" t="s">
        <v>324</v>
      </c>
      <c r="F539" s="830" t="s">
        <v>325</v>
      </c>
      <c r="G539" s="830" t="s">
        <v>512</v>
      </c>
      <c r="H539" s="830" t="s">
        <v>338</v>
      </c>
      <c r="J539" s="830" t="s">
        <v>327</v>
      </c>
      <c r="K539" s="830" t="s">
        <v>260</v>
      </c>
      <c r="L539" s="830" t="s">
        <v>308</v>
      </c>
      <c r="M539" s="830" t="s">
        <v>471</v>
      </c>
      <c r="N539" s="830" t="s">
        <v>255</v>
      </c>
      <c r="O539" s="830">
        <v>2</v>
      </c>
      <c r="P539" s="830">
        <v>1</v>
      </c>
      <c r="Q539" s="830">
        <v>0</v>
      </c>
      <c r="T539" s="831">
        <v>41736.707546296297</v>
      </c>
    </row>
    <row r="540" spans="1:20" ht="12.75" customHeight="1" x14ac:dyDescent="0.25">
      <c r="A540" s="830" t="s">
        <v>308</v>
      </c>
      <c r="B540" s="830">
        <v>13</v>
      </c>
      <c r="C540" s="830" t="s">
        <v>323</v>
      </c>
      <c r="D540" s="830" t="s">
        <v>324</v>
      </c>
      <c r="F540" s="830" t="s">
        <v>325</v>
      </c>
      <c r="G540" s="830" t="s">
        <v>512</v>
      </c>
      <c r="H540" s="830" t="s">
        <v>379</v>
      </c>
      <c r="J540" s="830" t="s">
        <v>327</v>
      </c>
      <c r="K540" s="830" t="s">
        <v>260</v>
      </c>
      <c r="L540" s="830" t="s">
        <v>308</v>
      </c>
      <c r="M540" s="830" t="s">
        <v>471</v>
      </c>
      <c r="N540" s="830" t="s">
        <v>255</v>
      </c>
      <c r="O540" s="830">
        <v>6</v>
      </c>
      <c r="P540" s="830">
        <v>3</v>
      </c>
      <c r="Q540" s="830">
        <v>0</v>
      </c>
      <c r="T540" s="831">
        <v>41736.707546296297</v>
      </c>
    </row>
    <row r="541" spans="1:20" ht="12.75" customHeight="1" x14ac:dyDescent="0.25">
      <c r="A541" s="830" t="s">
        <v>308</v>
      </c>
      <c r="B541" s="830">
        <v>13</v>
      </c>
      <c r="C541" s="830" t="s">
        <v>323</v>
      </c>
      <c r="D541" s="830" t="s">
        <v>324</v>
      </c>
      <c r="F541" s="830" t="s">
        <v>325</v>
      </c>
      <c r="G541" s="830" t="s">
        <v>512</v>
      </c>
      <c r="H541" s="830" t="s">
        <v>348</v>
      </c>
      <c r="J541" s="830" t="s">
        <v>327</v>
      </c>
      <c r="K541" s="830" t="s">
        <v>260</v>
      </c>
      <c r="L541" s="830" t="s">
        <v>308</v>
      </c>
      <c r="M541" s="830" t="s">
        <v>471</v>
      </c>
      <c r="N541" s="830" t="s">
        <v>255</v>
      </c>
      <c r="O541" s="830">
        <v>4</v>
      </c>
      <c r="P541" s="830">
        <v>2</v>
      </c>
      <c r="Q541" s="830">
        <v>0</v>
      </c>
      <c r="T541" s="831">
        <v>41736.707546296297</v>
      </c>
    </row>
    <row r="542" spans="1:20" ht="12.75" customHeight="1" x14ac:dyDescent="0.25">
      <c r="A542" s="830" t="s">
        <v>308</v>
      </c>
      <c r="B542" s="830">
        <v>13</v>
      </c>
      <c r="C542" s="830" t="s">
        <v>323</v>
      </c>
      <c r="D542" s="830" t="s">
        <v>324</v>
      </c>
      <c r="F542" s="830" t="s">
        <v>325</v>
      </c>
      <c r="G542" s="830" t="s">
        <v>512</v>
      </c>
      <c r="H542" s="830" t="s">
        <v>381</v>
      </c>
      <c r="J542" s="830" t="s">
        <v>327</v>
      </c>
      <c r="K542" s="830" t="s">
        <v>260</v>
      </c>
      <c r="L542" s="830" t="s">
        <v>308</v>
      </c>
      <c r="M542" s="830" t="s">
        <v>471</v>
      </c>
      <c r="N542" s="830" t="s">
        <v>255</v>
      </c>
      <c r="O542" s="830">
        <v>6</v>
      </c>
      <c r="P542" s="830">
        <v>7</v>
      </c>
      <c r="Q542" s="830">
        <v>0</v>
      </c>
      <c r="T542" s="831">
        <v>41736.707546296297</v>
      </c>
    </row>
    <row r="543" spans="1:20" ht="12.75" customHeight="1" x14ac:dyDescent="0.25">
      <c r="A543" s="830" t="s">
        <v>308</v>
      </c>
      <c r="B543" s="830">
        <v>13</v>
      </c>
      <c r="C543" s="830" t="s">
        <v>323</v>
      </c>
      <c r="D543" s="830" t="s">
        <v>324</v>
      </c>
      <c r="F543" s="830" t="s">
        <v>325</v>
      </c>
      <c r="G543" s="830" t="s">
        <v>512</v>
      </c>
      <c r="H543" s="830" t="s">
        <v>367</v>
      </c>
      <c r="J543" s="830" t="s">
        <v>327</v>
      </c>
      <c r="K543" s="830" t="s">
        <v>260</v>
      </c>
      <c r="L543" s="830" t="s">
        <v>308</v>
      </c>
      <c r="M543" s="830" t="s">
        <v>471</v>
      </c>
      <c r="N543" s="830" t="s">
        <v>255</v>
      </c>
      <c r="P543" s="830">
        <v>7</v>
      </c>
      <c r="Q543" s="830">
        <v>2</v>
      </c>
      <c r="T543" s="831">
        <v>41736.707546296297</v>
      </c>
    </row>
    <row r="544" spans="1:20" ht="12.75" customHeight="1" x14ac:dyDescent="0.25">
      <c r="A544" s="830" t="s">
        <v>308</v>
      </c>
      <c r="B544" s="830">
        <v>13</v>
      </c>
      <c r="C544" s="830" t="s">
        <v>323</v>
      </c>
      <c r="D544" s="830" t="s">
        <v>324</v>
      </c>
      <c r="F544" s="830" t="s">
        <v>325</v>
      </c>
      <c r="G544" s="830" t="s">
        <v>512</v>
      </c>
      <c r="H544" s="830" t="s">
        <v>326</v>
      </c>
      <c r="J544" s="830" t="s">
        <v>327</v>
      </c>
      <c r="K544" s="830" t="s">
        <v>260</v>
      </c>
      <c r="L544" s="830" t="s">
        <v>308</v>
      </c>
      <c r="M544" s="830" t="s">
        <v>471</v>
      </c>
      <c r="N544" s="830" t="s">
        <v>255</v>
      </c>
      <c r="O544" s="830">
        <v>2</v>
      </c>
      <c r="Q544" s="830">
        <v>10</v>
      </c>
      <c r="T544" s="831">
        <v>41736.707546296297</v>
      </c>
    </row>
    <row r="545" spans="1:20" ht="12.75" customHeight="1" x14ac:dyDescent="0.25">
      <c r="A545" s="830" t="s">
        <v>308</v>
      </c>
      <c r="B545" s="830">
        <v>13</v>
      </c>
      <c r="C545" s="830" t="s">
        <v>323</v>
      </c>
      <c r="D545" s="830" t="s">
        <v>324</v>
      </c>
      <c r="F545" s="830" t="s">
        <v>325</v>
      </c>
      <c r="G545" s="830" t="s">
        <v>512</v>
      </c>
      <c r="H545" s="830" t="s">
        <v>365</v>
      </c>
      <c r="J545" s="830" t="s">
        <v>327</v>
      </c>
      <c r="K545" s="830" t="s">
        <v>260</v>
      </c>
      <c r="L545" s="830" t="s">
        <v>308</v>
      </c>
      <c r="M545" s="830" t="s">
        <v>471</v>
      </c>
      <c r="N545" s="830" t="s">
        <v>255</v>
      </c>
      <c r="P545" s="830">
        <v>3</v>
      </c>
      <c r="Q545" s="830">
        <v>0</v>
      </c>
      <c r="T545" s="831">
        <v>41736.707546296297</v>
      </c>
    </row>
    <row r="546" spans="1:20" ht="12.75" customHeight="1" x14ac:dyDescent="0.25">
      <c r="A546" s="830" t="s">
        <v>308</v>
      </c>
      <c r="B546" s="830">
        <v>13</v>
      </c>
      <c r="C546" s="830" t="s">
        <v>323</v>
      </c>
      <c r="D546" s="830" t="s">
        <v>324</v>
      </c>
      <c r="F546" s="830" t="s">
        <v>325</v>
      </c>
      <c r="G546" s="830" t="s">
        <v>512</v>
      </c>
      <c r="H546" s="830" t="s">
        <v>369</v>
      </c>
      <c r="J546" s="830" t="s">
        <v>327</v>
      </c>
      <c r="K546" s="830" t="s">
        <v>260</v>
      </c>
      <c r="L546" s="830" t="s">
        <v>308</v>
      </c>
      <c r="M546" s="830" t="s">
        <v>471</v>
      </c>
      <c r="N546" s="830" t="s">
        <v>255</v>
      </c>
      <c r="O546" s="830">
        <v>1</v>
      </c>
      <c r="P546" s="830">
        <v>2</v>
      </c>
      <c r="Q546" s="830">
        <v>0</v>
      </c>
      <c r="T546" s="831">
        <v>41736.707546296297</v>
      </c>
    </row>
    <row r="547" spans="1:20" ht="12.75" customHeight="1" x14ac:dyDescent="0.25">
      <c r="A547" s="830" t="s">
        <v>308</v>
      </c>
      <c r="B547" s="830">
        <v>13</v>
      </c>
      <c r="C547" s="830" t="s">
        <v>323</v>
      </c>
      <c r="D547" s="830" t="s">
        <v>324</v>
      </c>
      <c r="F547" s="830" t="s">
        <v>325</v>
      </c>
      <c r="G547" s="830" t="s">
        <v>512</v>
      </c>
      <c r="H547" s="830" t="s">
        <v>355</v>
      </c>
      <c r="J547" s="830" t="s">
        <v>327</v>
      </c>
      <c r="K547" s="830" t="s">
        <v>260</v>
      </c>
      <c r="L547" s="830" t="s">
        <v>308</v>
      </c>
      <c r="M547" s="830" t="s">
        <v>471</v>
      </c>
      <c r="N547" s="830" t="s">
        <v>255</v>
      </c>
      <c r="O547" s="830">
        <v>3</v>
      </c>
      <c r="P547" s="830">
        <v>2</v>
      </c>
      <c r="Q547" s="830">
        <v>0</v>
      </c>
      <c r="T547" s="831">
        <v>41736.707546296297</v>
      </c>
    </row>
    <row r="548" spans="1:20" ht="12.75" customHeight="1" x14ac:dyDescent="0.25">
      <c r="A548" s="830" t="s">
        <v>308</v>
      </c>
      <c r="B548" s="830">
        <v>13</v>
      </c>
      <c r="C548" s="830" t="s">
        <v>323</v>
      </c>
      <c r="D548" s="830" t="s">
        <v>324</v>
      </c>
      <c r="F548" s="830" t="s">
        <v>325</v>
      </c>
      <c r="G548" s="830" t="s">
        <v>512</v>
      </c>
      <c r="H548" s="830" t="s">
        <v>351</v>
      </c>
      <c r="J548" s="830" t="s">
        <v>327</v>
      </c>
      <c r="K548" s="830" t="s">
        <v>260</v>
      </c>
      <c r="L548" s="830" t="s">
        <v>308</v>
      </c>
      <c r="M548" s="830" t="s">
        <v>471</v>
      </c>
      <c r="N548" s="830" t="s">
        <v>255</v>
      </c>
      <c r="O548" s="830">
        <v>4</v>
      </c>
      <c r="P548" s="830">
        <v>3</v>
      </c>
      <c r="Q548" s="830">
        <v>0</v>
      </c>
      <c r="T548" s="831">
        <v>41736.707546296297</v>
      </c>
    </row>
    <row r="549" spans="1:20" ht="12.75" customHeight="1" x14ac:dyDescent="0.25">
      <c r="A549" s="830" t="s">
        <v>308</v>
      </c>
      <c r="B549" s="830">
        <v>13</v>
      </c>
      <c r="C549" s="830" t="s">
        <v>323</v>
      </c>
      <c r="D549" s="830" t="s">
        <v>324</v>
      </c>
      <c r="F549" s="830" t="s">
        <v>325</v>
      </c>
      <c r="G549" s="830" t="s">
        <v>512</v>
      </c>
      <c r="H549" s="830" t="s">
        <v>341</v>
      </c>
      <c r="J549" s="830" t="s">
        <v>327</v>
      </c>
      <c r="K549" s="830" t="s">
        <v>260</v>
      </c>
      <c r="L549" s="830" t="s">
        <v>308</v>
      </c>
      <c r="M549" s="830" t="s">
        <v>471</v>
      </c>
      <c r="N549" s="830" t="s">
        <v>255</v>
      </c>
      <c r="O549" s="830">
        <v>5</v>
      </c>
      <c r="P549" s="830">
        <v>2</v>
      </c>
      <c r="Q549" s="830">
        <v>0</v>
      </c>
      <c r="T549" s="831">
        <v>41736.707546296297</v>
      </c>
    </row>
    <row r="550" spans="1:20" ht="12.75" customHeight="1" x14ac:dyDescent="0.25">
      <c r="A550" s="830" t="s">
        <v>308</v>
      </c>
      <c r="B550" s="830">
        <v>13</v>
      </c>
      <c r="C550" s="830" t="s">
        <v>323</v>
      </c>
      <c r="D550" s="830" t="s">
        <v>324</v>
      </c>
      <c r="F550" s="830" t="s">
        <v>325</v>
      </c>
      <c r="G550" s="830" t="s">
        <v>512</v>
      </c>
      <c r="H550" s="830" t="s">
        <v>376</v>
      </c>
      <c r="J550" s="830" t="s">
        <v>327</v>
      </c>
      <c r="K550" s="830" t="s">
        <v>260</v>
      </c>
      <c r="L550" s="830" t="s">
        <v>308</v>
      </c>
      <c r="M550" s="830" t="s">
        <v>471</v>
      </c>
      <c r="N550" s="830" t="s">
        <v>255</v>
      </c>
      <c r="O550" s="830">
        <v>6</v>
      </c>
      <c r="P550" s="830">
        <v>2</v>
      </c>
      <c r="Q550" s="830">
        <v>0</v>
      </c>
      <c r="T550" s="831">
        <v>41736.707546296297</v>
      </c>
    </row>
    <row r="551" spans="1:20" ht="12.75" customHeight="1" x14ac:dyDescent="0.25">
      <c r="A551" s="830" t="s">
        <v>308</v>
      </c>
      <c r="B551" s="830">
        <v>13</v>
      </c>
      <c r="C551" s="830" t="s">
        <v>323</v>
      </c>
      <c r="D551" s="830" t="s">
        <v>324</v>
      </c>
      <c r="F551" s="830" t="s">
        <v>325</v>
      </c>
      <c r="G551" s="830" t="s">
        <v>512</v>
      </c>
      <c r="H551" s="830" t="s">
        <v>362</v>
      </c>
      <c r="J551" s="830" t="s">
        <v>327</v>
      </c>
      <c r="K551" s="830" t="s">
        <v>260</v>
      </c>
      <c r="L551" s="830" t="s">
        <v>308</v>
      </c>
      <c r="M551" s="830" t="s">
        <v>471</v>
      </c>
      <c r="N551" s="830" t="s">
        <v>255</v>
      </c>
      <c r="P551" s="830">
        <v>2</v>
      </c>
      <c r="Q551" s="830">
        <v>0</v>
      </c>
      <c r="T551" s="831">
        <v>41736.707546296297</v>
      </c>
    </row>
    <row r="552" spans="1:20" ht="12.75" customHeight="1" x14ac:dyDescent="0.25">
      <c r="A552" s="830" t="s">
        <v>308</v>
      </c>
      <c r="B552" s="830">
        <v>13</v>
      </c>
      <c r="C552" s="830" t="s">
        <v>323</v>
      </c>
      <c r="D552" s="830" t="s">
        <v>324</v>
      </c>
      <c r="F552" s="830" t="s">
        <v>325</v>
      </c>
      <c r="G552" s="830" t="s">
        <v>512</v>
      </c>
      <c r="H552" s="830" t="s">
        <v>372</v>
      </c>
      <c r="J552" s="830" t="s">
        <v>327</v>
      </c>
      <c r="K552" s="830" t="s">
        <v>260</v>
      </c>
      <c r="L552" s="830" t="s">
        <v>308</v>
      </c>
      <c r="M552" s="830" t="s">
        <v>471</v>
      </c>
      <c r="N552" s="830" t="s">
        <v>255</v>
      </c>
      <c r="O552" s="830">
        <v>1</v>
      </c>
      <c r="P552" s="830">
        <v>3</v>
      </c>
      <c r="Q552" s="830">
        <v>2</v>
      </c>
      <c r="T552" s="831">
        <v>41736.707546296297</v>
      </c>
    </row>
    <row r="553" spans="1:20" ht="12.75" customHeight="1" x14ac:dyDescent="0.25">
      <c r="A553" s="830" t="s">
        <v>308</v>
      </c>
      <c r="B553" s="830">
        <v>13</v>
      </c>
      <c r="C553" s="830" t="s">
        <v>323</v>
      </c>
      <c r="D553" s="830" t="s">
        <v>324</v>
      </c>
      <c r="F553" s="830" t="s">
        <v>325</v>
      </c>
      <c r="G553" s="830" t="s">
        <v>512</v>
      </c>
      <c r="H553" s="830" t="s">
        <v>337</v>
      </c>
      <c r="J553" s="830" t="s">
        <v>327</v>
      </c>
      <c r="K553" s="830" t="s">
        <v>260</v>
      </c>
      <c r="L553" s="830" t="s">
        <v>308</v>
      </c>
      <c r="M553" s="830" t="s">
        <v>471</v>
      </c>
      <c r="N553" s="830" t="s">
        <v>255</v>
      </c>
      <c r="O553" s="830">
        <v>2</v>
      </c>
      <c r="P553" s="830">
        <v>3</v>
      </c>
      <c r="Q553" s="830">
        <v>0</v>
      </c>
      <c r="T553" s="831">
        <v>41736.707546296297</v>
      </c>
    </row>
    <row r="554" spans="1:20" ht="12.75" customHeight="1" x14ac:dyDescent="0.25">
      <c r="A554" s="830" t="s">
        <v>308</v>
      </c>
      <c r="B554" s="830">
        <v>13</v>
      </c>
      <c r="C554" s="830" t="s">
        <v>323</v>
      </c>
      <c r="D554" s="830" t="s">
        <v>324</v>
      </c>
      <c r="F554" s="830" t="s">
        <v>325</v>
      </c>
      <c r="G554" s="830" t="s">
        <v>512</v>
      </c>
      <c r="H554" s="830" t="s">
        <v>358</v>
      </c>
      <c r="J554" s="830" t="s">
        <v>327</v>
      </c>
      <c r="K554" s="830" t="s">
        <v>260</v>
      </c>
      <c r="L554" s="830" t="s">
        <v>308</v>
      </c>
      <c r="M554" s="830" t="s">
        <v>471</v>
      </c>
      <c r="N554" s="830" t="s">
        <v>255</v>
      </c>
      <c r="O554" s="830">
        <v>3</v>
      </c>
      <c r="P554" s="830">
        <v>3</v>
      </c>
      <c r="Q554" s="830">
        <v>7</v>
      </c>
      <c r="T554" s="831">
        <v>41736.707546296297</v>
      </c>
    </row>
    <row r="555" spans="1:20" ht="12.75" customHeight="1" x14ac:dyDescent="0.25">
      <c r="A555" s="830" t="s">
        <v>308</v>
      </c>
      <c r="B555" s="830">
        <v>13</v>
      </c>
      <c r="C555" s="830" t="s">
        <v>323</v>
      </c>
      <c r="D555" s="830" t="s">
        <v>324</v>
      </c>
      <c r="F555" s="830" t="s">
        <v>325</v>
      </c>
      <c r="G555" s="830" t="s">
        <v>512</v>
      </c>
      <c r="H555" s="830" t="s">
        <v>334</v>
      </c>
      <c r="J555" s="830" t="s">
        <v>327</v>
      </c>
      <c r="K555" s="830" t="s">
        <v>260</v>
      </c>
      <c r="L555" s="830" t="s">
        <v>308</v>
      </c>
      <c r="M555" s="830" t="s">
        <v>471</v>
      </c>
      <c r="N555" s="830" t="s">
        <v>255</v>
      </c>
      <c r="O555" s="830">
        <v>2</v>
      </c>
      <c r="P555" s="830">
        <v>2</v>
      </c>
      <c r="Q555" s="830">
        <v>1</v>
      </c>
      <c r="T555" s="831">
        <v>41736.707546296297</v>
      </c>
    </row>
    <row r="556" spans="1:20" ht="12.75" customHeight="1" x14ac:dyDescent="0.25">
      <c r="A556" s="830" t="s">
        <v>308</v>
      </c>
      <c r="B556" s="830">
        <v>13</v>
      </c>
      <c r="C556" s="830" t="s">
        <v>323</v>
      </c>
      <c r="D556" s="830" t="s">
        <v>324</v>
      </c>
      <c r="F556" s="830" t="s">
        <v>325</v>
      </c>
      <c r="G556" s="830" t="s">
        <v>512</v>
      </c>
      <c r="H556" s="830" t="s">
        <v>330</v>
      </c>
      <c r="J556" s="830" t="s">
        <v>327</v>
      </c>
      <c r="K556" s="830" t="s">
        <v>260</v>
      </c>
      <c r="L556" s="830" t="s">
        <v>308</v>
      </c>
      <c r="M556" s="830" t="s">
        <v>470</v>
      </c>
      <c r="N556" s="830" t="s">
        <v>259</v>
      </c>
      <c r="O556" s="830">
        <v>3</v>
      </c>
      <c r="Q556" s="830">
        <v>19</v>
      </c>
      <c r="T556" s="831">
        <v>41736.707546296297</v>
      </c>
    </row>
    <row r="557" spans="1:20" ht="12.75" customHeight="1" x14ac:dyDescent="0.25">
      <c r="A557" s="830" t="s">
        <v>308</v>
      </c>
      <c r="B557" s="830">
        <v>13</v>
      </c>
      <c r="C557" s="830" t="s">
        <v>323</v>
      </c>
      <c r="D557" s="830" t="s">
        <v>324</v>
      </c>
      <c r="F557" s="830" t="s">
        <v>325</v>
      </c>
      <c r="G557" s="830" t="s">
        <v>512</v>
      </c>
      <c r="H557" s="830" t="s">
        <v>333</v>
      </c>
      <c r="J557" s="830" t="s">
        <v>327</v>
      </c>
      <c r="K557" s="830" t="s">
        <v>260</v>
      </c>
      <c r="L557" s="830" t="s">
        <v>308</v>
      </c>
      <c r="M557" s="830" t="s">
        <v>470</v>
      </c>
      <c r="N557" s="830" t="s">
        <v>259</v>
      </c>
      <c r="O557" s="830">
        <v>6</v>
      </c>
      <c r="Q557" s="830">
        <v>1</v>
      </c>
      <c r="T557" s="831">
        <v>41736.707546296297</v>
      </c>
    </row>
    <row r="558" spans="1:20" ht="12.75" customHeight="1" x14ac:dyDescent="0.25">
      <c r="A558" s="830" t="s">
        <v>308</v>
      </c>
      <c r="B558" s="830">
        <v>13</v>
      </c>
      <c r="C558" s="830" t="s">
        <v>323</v>
      </c>
      <c r="D558" s="830" t="s">
        <v>324</v>
      </c>
      <c r="F558" s="830" t="s">
        <v>325</v>
      </c>
      <c r="G558" s="830" t="s">
        <v>512</v>
      </c>
      <c r="H558" s="830" t="s">
        <v>328</v>
      </c>
      <c r="J558" s="830" t="s">
        <v>327</v>
      </c>
      <c r="K558" s="830" t="s">
        <v>260</v>
      </c>
      <c r="L558" s="830" t="s">
        <v>308</v>
      </c>
      <c r="M558" s="830" t="s">
        <v>470</v>
      </c>
      <c r="N558" s="830" t="s">
        <v>259</v>
      </c>
      <c r="O558" s="830">
        <v>5</v>
      </c>
      <c r="Q558" s="830">
        <v>0</v>
      </c>
      <c r="T558" s="831">
        <v>41736.707546296297</v>
      </c>
    </row>
    <row r="559" spans="1:20" ht="12.75" customHeight="1" x14ac:dyDescent="0.25">
      <c r="A559" s="830" t="s">
        <v>308</v>
      </c>
      <c r="B559" s="830">
        <v>13</v>
      </c>
      <c r="C559" s="830" t="s">
        <v>323</v>
      </c>
      <c r="D559" s="830" t="s">
        <v>324</v>
      </c>
      <c r="F559" s="830" t="s">
        <v>325</v>
      </c>
      <c r="G559" s="830" t="s">
        <v>512</v>
      </c>
      <c r="H559" s="830" t="s">
        <v>326</v>
      </c>
      <c r="J559" s="830" t="s">
        <v>327</v>
      </c>
      <c r="K559" s="830" t="s">
        <v>260</v>
      </c>
      <c r="L559" s="830" t="s">
        <v>308</v>
      </c>
      <c r="M559" s="830" t="s">
        <v>470</v>
      </c>
      <c r="N559" s="830" t="s">
        <v>259</v>
      </c>
      <c r="O559" s="830">
        <v>2</v>
      </c>
      <c r="Q559" s="830">
        <v>3</v>
      </c>
      <c r="T559" s="831">
        <v>41736.707546296297</v>
      </c>
    </row>
    <row r="560" spans="1:20" ht="12.75" customHeight="1" x14ac:dyDescent="0.25">
      <c r="A560" s="830" t="s">
        <v>308</v>
      </c>
      <c r="B560" s="830">
        <v>13</v>
      </c>
      <c r="C560" s="830" t="s">
        <v>323</v>
      </c>
      <c r="D560" s="830" t="s">
        <v>324</v>
      </c>
      <c r="F560" s="830" t="s">
        <v>325</v>
      </c>
      <c r="G560" s="830" t="s">
        <v>512</v>
      </c>
      <c r="H560" s="830" t="s">
        <v>332</v>
      </c>
      <c r="J560" s="830" t="s">
        <v>327</v>
      </c>
      <c r="K560" s="830" t="s">
        <v>260</v>
      </c>
      <c r="L560" s="830" t="s">
        <v>308</v>
      </c>
      <c r="M560" s="830" t="s">
        <v>470</v>
      </c>
      <c r="N560" s="830" t="s">
        <v>259</v>
      </c>
      <c r="O560" s="830">
        <v>1</v>
      </c>
      <c r="Q560" s="830">
        <v>0</v>
      </c>
      <c r="T560" s="831">
        <v>41736.707546296297</v>
      </c>
    </row>
    <row r="561" spans="1:20" ht="12.75" customHeight="1" x14ac:dyDescent="0.25">
      <c r="A561" s="830" t="s">
        <v>308</v>
      </c>
      <c r="B561" s="830">
        <v>13</v>
      </c>
      <c r="C561" s="830" t="s">
        <v>323</v>
      </c>
      <c r="D561" s="830" t="s">
        <v>324</v>
      </c>
      <c r="F561" s="830" t="s">
        <v>325</v>
      </c>
      <c r="G561" s="830" t="s">
        <v>512</v>
      </c>
      <c r="H561" s="830" t="s">
        <v>329</v>
      </c>
      <c r="J561" s="830" t="s">
        <v>327</v>
      </c>
      <c r="K561" s="830" t="s">
        <v>260</v>
      </c>
      <c r="L561" s="830" t="s">
        <v>308</v>
      </c>
      <c r="M561" s="830" t="s">
        <v>470</v>
      </c>
      <c r="N561" s="830" t="s">
        <v>259</v>
      </c>
      <c r="O561" s="830">
        <v>4</v>
      </c>
      <c r="Q561" s="830">
        <v>52</v>
      </c>
      <c r="T561" s="831">
        <v>41736.707546296297</v>
      </c>
    </row>
    <row r="562" spans="1:20" ht="12.75" customHeight="1" x14ac:dyDescent="0.25">
      <c r="A562" s="830" t="s">
        <v>308</v>
      </c>
      <c r="B562" s="830">
        <v>13</v>
      </c>
      <c r="C562" s="830" t="s">
        <v>323</v>
      </c>
      <c r="D562" s="830" t="s">
        <v>324</v>
      </c>
      <c r="F562" s="830" t="s">
        <v>325</v>
      </c>
      <c r="G562" s="830" t="s">
        <v>512</v>
      </c>
      <c r="H562" s="830" t="s">
        <v>331</v>
      </c>
      <c r="J562" s="830" t="s">
        <v>327</v>
      </c>
      <c r="K562" s="830" t="s">
        <v>260</v>
      </c>
      <c r="L562" s="830" t="s">
        <v>308</v>
      </c>
      <c r="M562" s="830" t="s">
        <v>470</v>
      </c>
      <c r="N562" s="830" t="s">
        <v>259</v>
      </c>
      <c r="Q562" s="830">
        <v>6</v>
      </c>
      <c r="T562" s="831">
        <v>41736.707546296297</v>
      </c>
    </row>
    <row r="563" spans="1:20" ht="12.75" customHeight="1" x14ac:dyDescent="0.25">
      <c r="A563" s="830" t="s">
        <v>308</v>
      </c>
      <c r="B563" s="830">
        <v>13</v>
      </c>
      <c r="C563" s="830" t="s">
        <v>323</v>
      </c>
      <c r="D563" s="830" t="s">
        <v>324</v>
      </c>
      <c r="F563" s="830" t="s">
        <v>325</v>
      </c>
      <c r="G563" s="830" t="s">
        <v>512</v>
      </c>
      <c r="H563" s="830" t="s">
        <v>373</v>
      </c>
      <c r="J563" s="830" t="s">
        <v>327</v>
      </c>
      <c r="K563" s="830" t="s">
        <v>260</v>
      </c>
      <c r="L563" s="830" t="s">
        <v>308</v>
      </c>
      <c r="M563" s="830" t="s">
        <v>471</v>
      </c>
      <c r="N563" s="830" t="s">
        <v>259</v>
      </c>
      <c r="O563" s="830">
        <v>1</v>
      </c>
      <c r="P563" s="830">
        <v>1</v>
      </c>
      <c r="Q563" s="830">
        <v>0</v>
      </c>
      <c r="T563" s="831">
        <v>41736.707546296297</v>
      </c>
    </row>
    <row r="564" spans="1:20" ht="12.75" customHeight="1" x14ac:dyDescent="0.25">
      <c r="A564" s="830" t="s">
        <v>308</v>
      </c>
      <c r="B564" s="830">
        <v>13</v>
      </c>
      <c r="C564" s="830" t="s">
        <v>323</v>
      </c>
      <c r="D564" s="830" t="s">
        <v>324</v>
      </c>
      <c r="F564" s="830" t="s">
        <v>325</v>
      </c>
      <c r="G564" s="830" t="s">
        <v>512</v>
      </c>
      <c r="H564" s="830" t="s">
        <v>344</v>
      </c>
      <c r="J564" s="830" t="s">
        <v>327</v>
      </c>
      <c r="K564" s="830" t="s">
        <v>260</v>
      </c>
      <c r="L564" s="830" t="s">
        <v>308</v>
      </c>
      <c r="M564" s="830" t="s">
        <v>471</v>
      </c>
      <c r="N564" s="830" t="s">
        <v>259</v>
      </c>
      <c r="O564" s="830">
        <v>5</v>
      </c>
      <c r="P564" s="830">
        <v>3</v>
      </c>
      <c r="Q564" s="830">
        <v>0</v>
      </c>
      <c r="T564" s="831">
        <v>41736.707546296297</v>
      </c>
    </row>
    <row r="565" spans="1:20" ht="12.75" customHeight="1" x14ac:dyDescent="0.25">
      <c r="A565" s="830" t="s">
        <v>308</v>
      </c>
      <c r="B565" s="830">
        <v>13</v>
      </c>
      <c r="C565" s="830" t="s">
        <v>323</v>
      </c>
      <c r="D565" s="830" t="s">
        <v>324</v>
      </c>
      <c r="F565" s="830" t="s">
        <v>325</v>
      </c>
      <c r="G565" s="830" t="s">
        <v>512</v>
      </c>
      <c r="H565" s="830" t="s">
        <v>359</v>
      </c>
      <c r="J565" s="830" t="s">
        <v>327</v>
      </c>
      <c r="K565" s="830" t="s">
        <v>260</v>
      </c>
      <c r="L565" s="830" t="s">
        <v>308</v>
      </c>
      <c r="M565" s="830" t="s">
        <v>471</v>
      </c>
      <c r="N565" s="830" t="s">
        <v>259</v>
      </c>
      <c r="O565" s="830">
        <v>3</v>
      </c>
      <c r="P565" s="830">
        <v>1</v>
      </c>
      <c r="Q565" s="830">
        <v>0</v>
      </c>
      <c r="T565" s="831">
        <v>41736.707546296297</v>
      </c>
    </row>
    <row r="566" spans="1:20" ht="12.75" customHeight="1" x14ac:dyDescent="0.25">
      <c r="A566" s="830" t="s">
        <v>308</v>
      </c>
      <c r="B566" s="830">
        <v>13</v>
      </c>
      <c r="C566" s="830" t="s">
        <v>323</v>
      </c>
      <c r="D566" s="830" t="s">
        <v>324</v>
      </c>
      <c r="F566" s="830" t="s">
        <v>325</v>
      </c>
      <c r="G566" s="830" t="s">
        <v>512</v>
      </c>
      <c r="H566" s="830" t="s">
        <v>336</v>
      </c>
      <c r="J566" s="830" t="s">
        <v>327</v>
      </c>
      <c r="K566" s="830" t="s">
        <v>260</v>
      </c>
      <c r="L566" s="830" t="s">
        <v>308</v>
      </c>
      <c r="M566" s="830" t="s">
        <v>471</v>
      </c>
      <c r="N566" s="830" t="s">
        <v>259</v>
      </c>
      <c r="O566" s="830">
        <v>2</v>
      </c>
      <c r="P566" s="830">
        <v>4</v>
      </c>
      <c r="Q566" s="830">
        <v>6</v>
      </c>
      <c r="T566" s="831">
        <v>41736.707546296297</v>
      </c>
    </row>
    <row r="567" spans="1:20" ht="12.75" customHeight="1" x14ac:dyDescent="0.25">
      <c r="A567" s="830" t="s">
        <v>308</v>
      </c>
      <c r="B567" s="830">
        <v>13</v>
      </c>
      <c r="C567" s="830" t="s">
        <v>323</v>
      </c>
      <c r="D567" s="830" t="s">
        <v>324</v>
      </c>
      <c r="F567" s="830" t="s">
        <v>325</v>
      </c>
      <c r="G567" s="830" t="s">
        <v>512</v>
      </c>
      <c r="H567" s="830" t="s">
        <v>337</v>
      </c>
      <c r="J567" s="830" t="s">
        <v>327</v>
      </c>
      <c r="K567" s="830" t="s">
        <v>260</v>
      </c>
      <c r="L567" s="830" t="s">
        <v>308</v>
      </c>
      <c r="M567" s="830" t="s">
        <v>471</v>
      </c>
      <c r="N567" s="830" t="s">
        <v>259</v>
      </c>
      <c r="O567" s="830">
        <v>2</v>
      </c>
      <c r="P567" s="830">
        <v>3</v>
      </c>
      <c r="Q567" s="830">
        <v>0</v>
      </c>
      <c r="T567" s="831">
        <v>41736.707546296297</v>
      </c>
    </row>
    <row r="568" spans="1:20" ht="12.75" customHeight="1" x14ac:dyDescent="0.25">
      <c r="A568" s="830" t="s">
        <v>308</v>
      </c>
      <c r="B568" s="830">
        <v>13</v>
      </c>
      <c r="C568" s="830" t="s">
        <v>323</v>
      </c>
      <c r="D568" s="830" t="s">
        <v>324</v>
      </c>
      <c r="F568" s="830" t="s">
        <v>325</v>
      </c>
      <c r="G568" s="830" t="s">
        <v>512</v>
      </c>
      <c r="H568" s="830" t="s">
        <v>358</v>
      </c>
      <c r="J568" s="830" t="s">
        <v>327</v>
      </c>
      <c r="K568" s="830" t="s">
        <v>260</v>
      </c>
      <c r="L568" s="830" t="s">
        <v>308</v>
      </c>
      <c r="M568" s="830" t="s">
        <v>471</v>
      </c>
      <c r="N568" s="830" t="s">
        <v>259</v>
      </c>
      <c r="O568" s="830">
        <v>3</v>
      </c>
      <c r="P568" s="830">
        <v>3</v>
      </c>
      <c r="Q568" s="830">
        <v>0</v>
      </c>
      <c r="T568" s="831">
        <v>41736.707546296297</v>
      </c>
    </row>
    <row r="569" spans="1:20" ht="12.75" customHeight="1" x14ac:dyDescent="0.25">
      <c r="A569" s="830" t="s">
        <v>308</v>
      </c>
      <c r="B569" s="830">
        <v>13</v>
      </c>
      <c r="C569" s="830" t="s">
        <v>323</v>
      </c>
      <c r="D569" s="830" t="s">
        <v>324</v>
      </c>
      <c r="F569" s="830" t="s">
        <v>325</v>
      </c>
      <c r="G569" s="830" t="s">
        <v>512</v>
      </c>
      <c r="H569" s="830" t="s">
        <v>369</v>
      </c>
      <c r="J569" s="830" t="s">
        <v>327</v>
      </c>
      <c r="K569" s="830" t="s">
        <v>260</v>
      </c>
      <c r="L569" s="830" t="s">
        <v>308</v>
      </c>
      <c r="M569" s="830" t="s">
        <v>471</v>
      </c>
      <c r="N569" s="830" t="s">
        <v>259</v>
      </c>
      <c r="O569" s="830">
        <v>1</v>
      </c>
      <c r="P569" s="830">
        <v>2</v>
      </c>
      <c r="Q569" s="830">
        <v>0</v>
      </c>
      <c r="T569" s="831">
        <v>41736.707546296297</v>
      </c>
    </row>
    <row r="570" spans="1:20" ht="12.75" customHeight="1" x14ac:dyDescent="0.25">
      <c r="A570" s="830" t="s">
        <v>308</v>
      </c>
      <c r="B570" s="830">
        <v>13</v>
      </c>
      <c r="C570" s="830" t="s">
        <v>323</v>
      </c>
      <c r="D570" s="830" t="s">
        <v>324</v>
      </c>
      <c r="F570" s="830" t="s">
        <v>325</v>
      </c>
      <c r="G570" s="830" t="s">
        <v>512</v>
      </c>
      <c r="H570" s="830" t="s">
        <v>376</v>
      </c>
      <c r="J570" s="830" t="s">
        <v>327</v>
      </c>
      <c r="K570" s="830" t="s">
        <v>260</v>
      </c>
      <c r="L570" s="830" t="s">
        <v>308</v>
      </c>
      <c r="M570" s="830" t="s">
        <v>471</v>
      </c>
      <c r="N570" s="830" t="s">
        <v>259</v>
      </c>
      <c r="O570" s="830">
        <v>6</v>
      </c>
      <c r="P570" s="830">
        <v>2</v>
      </c>
      <c r="Q570" s="830">
        <v>0</v>
      </c>
      <c r="T570" s="831">
        <v>41736.707546296297</v>
      </c>
    </row>
    <row r="571" spans="1:20" ht="12.75" customHeight="1" x14ac:dyDescent="0.25">
      <c r="A571" s="830" t="s">
        <v>308</v>
      </c>
      <c r="B571" s="830">
        <v>13</v>
      </c>
      <c r="C571" s="830" t="s">
        <v>323</v>
      </c>
      <c r="D571" s="830" t="s">
        <v>324</v>
      </c>
      <c r="F571" s="830" t="s">
        <v>325</v>
      </c>
      <c r="G571" s="830" t="s">
        <v>512</v>
      </c>
      <c r="H571" s="830" t="s">
        <v>379</v>
      </c>
      <c r="J571" s="830" t="s">
        <v>327</v>
      </c>
      <c r="K571" s="830" t="s">
        <v>260</v>
      </c>
      <c r="L571" s="830" t="s">
        <v>308</v>
      </c>
      <c r="M571" s="830" t="s">
        <v>471</v>
      </c>
      <c r="N571" s="830" t="s">
        <v>259</v>
      </c>
      <c r="O571" s="830">
        <v>6</v>
      </c>
      <c r="P571" s="830">
        <v>3</v>
      </c>
      <c r="Q571" s="830">
        <v>0</v>
      </c>
      <c r="T571" s="831">
        <v>41736.707546296297</v>
      </c>
    </row>
    <row r="572" spans="1:20" ht="12.75" customHeight="1" x14ac:dyDescent="0.25">
      <c r="A572" s="830" t="s">
        <v>308</v>
      </c>
      <c r="B572" s="830">
        <v>13</v>
      </c>
      <c r="C572" s="830" t="s">
        <v>323</v>
      </c>
      <c r="D572" s="830" t="s">
        <v>324</v>
      </c>
      <c r="F572" s="830" t="s">
        <v>325</v>
      </c>
      <c r="G572" s="830" t="s">
        <v>512</v>
      </c>
      <c r="H572" s="830" t="s">
        <v>365</v>
      </c>
      <c r="J572" s="830" t="s">
        <v>327</v>
      </c>
      <c r="K572" s="830" t="s">
        <v>260</v>
      </c>
      <c r="L572" s="830" t="s">
        <v>308</v>
      </c>
      <c r="M572" s="830" t="s">
        <v>471</v>
      </c>
      <c r="N572" s="830" t="s">
        <v>259</v>
      </c>
      <c r="P572" s="830">
        <v>3</v>
      </c>
      <c r="Q572" s="830">
        <v>0</v>
      </c>
      <c r="T572" s="831">
        <v>41736.707546296297</v>
      </c>
    </row>
    <row r="573" spans="1:20" ht="12.75" customHeight="1" x14ac:dyDescent="0.25">
      <c r="A573" s="830" t="s">
        <v>308</v>
      </c>
      <c r="B573" s="830">
        <v>13</v>
      </c>
      <c r="C573" s="830" t="s">
        <v>323</v>
      </c>
      <c r="D573" s="830" t="s">
        <v>324</v>
      </c>
      <c r="F573" s="830" t="s">
        <v>325</v>
      </c>
      <c r="G573" s="830" t="s">
        <v>512</v>
      </c>
      <c r="H573" s="830" t="s">
        <v>371</v>
      </c>
      <c r="J573" s="830" t="s">
        <v>327</v>
      </c>
      <c r="K573" s="830" t="s">
        <v>260</v>
      </c>
      <c r="L573" s="830" t="s">
        <v>308</v>
      </c>
      <c r="M573" s="830" t="s">
        <v>471</v>
      </c>
      <c r="N573" s="830" t="s">
        <v>259</v>
      </c>
      <c r="O573" s="830">
        <v>1</v>
      </c>
      <c r="P573" s="830">
        <v>4</v>
      </c>
      <c r="Q573" s="830">
        <v>12</v>
      </c>
      <c r="T573" s="831">
        <v>41736.707546296297</v>
      </c>
    </row>
    <row r="574" spans="1:20" ht="12.75" customHeight="1" x14ac:dyDescent="0.25">
      <c r="A574" s="830" t="s">
        <v>308</v>
      </c>
      <c r="B574" s="830">
        <v>13</v>
      </c>
      <c r="C574" s="830" t="s">
        <v>323</v>
      </c>
      <c r="D574" s="830" t="s">
        <v>324</v>
      </c>
      <c r="F574" s="830" t="s">
        <v>325</v>
      </c>
      <c r="G574" s="830" t="s">
        <v>512</v>
      </c>
      <c r="H574" s="830" t="s">
        <v>372</v>
      </c>
      <c r="J574" s="830" t="s">
        <v>327</v>
      </c>
      <c r="K574" s="830" t="s">
        <v>260</v>
      </c>
      <c r="L574" s="830" t="s">
        <v>308</v>
      </c>
      <c r="M574" s="830" t="s">
        <v>471</v>
      </c>
      <c r="N574" s="830" t="s">
        <v>259</v>
      </c>
      <c r="O574" s="830">
        <v>1</v>
      </c>
      <c r="P574" s="830">
        <v>3</v>
      </c>
      <c r="Q574" s="830">
        <v>1</v>
      </c>
      <c r="T574" s="831">
        <v>41736.707546296297</v>
      </c>
    </row>
    <row r="575" spans="1:20" ht="12.75" customHeight="1" x14ac:dyDescent="0.25">
      <c r="A575" s="830" t="s">
        <v>308</v>
      </c>
      <c r="B575" s="830">
        <v>13</v>
      </c>
      <c r="C575" s="830" t="s">
        <v>323</v>
      </c>
      <c r="D575" s="830" t="s">
        <v>324</v>
      </c>
      <c r="F575" s="830" t="s">
        <v>325</v>
      </c>
      <c r="G575" s="830" t="s">
        <v>512</v>
      </c>
      <c r="H575" s="830" t="s">
        <v>357</v>
      </c>
      <c r="J575" s="830" t="s">
        <v>327</v>
      </c>
      <c r="K575" s="830" t="s">
        <v>260</v>
      </c>
      <c r="L575" s="830" t="s">
        <v>308</v>
      </c>
      <c r="M575" s="830" t="s">
        <v>471</v>
      </c>
      <c r="N575" s="830" t="s">
        <v>259</v>
      </c>
      <c r="O575" s="830">
        <v>3</v>
      </c>
      <c r="P575" s="830">
        <v>4</v>
      </c>
      <c r="Q575" s="830">
        <v>7</v>
      </c>
      <c r="T575" s="831">
        <v>41736.707546296297</v>
      </c>
    </row>
    <row r="576" spans="1:20" ht="12.75" customHeight="1" x14ac:dyDescent="0.25">
      <c r="A576" s="830" t="s">
        <v>308</v>
      </c>
      <c r="B576" s="830">
        <v>13</v>
      </c>
      <c r="C576" s="830" t="s">
        <v>323</v>
      </c>
      <c r="D576" s="830" t="s">
        <v>324</v>
      </c>
      <c r="F576" s="830" t="s">
        <v>325</v>
      </c>
      <c r="G576" s="830" t="s">
        <v>512</v>
      </c>
      <c r="H576" s="830" t="s">
        <v>338</v>
      </c>
      <c r="J576" s="830" t="s">
        <v>327</v>
      </c>
      <c r="K576" s="830" t="s">
        <v>260</v>
      </c>
      <c r="L576" s="830" t="s">
        <v>308</v>
      </c>
      <c r="M576" s="830" t="s">
        <v>471</v>
      </c>
      <c r="N576" s="830" t="s">
        <v>259</v>
      </c>
      <c r="O576" s="830">
        <v>2</v>
      </c>
      <c r="P576" s="830">
        <v>1</v>
      </c>
      <c r="Q576" s="830">
        <v>0</v>
      </c>
      <c r="T576" s="831">
        <v>41736.707546296297</v>
      </c>
    </row>
    <row r="577" spans="1:20" ht="12.75" customHeight="1" x14ac:dyDescent="0.25">
      <c r="A577" s="830" t="s">
        <v>308</v>
      </c>
      <c r="B577" s="830">
        <v>13</v>
      </c>
      <c r="C577" s="830" t="s">
        <v>323</v>
      </c>
      <c r="D577" s="830" t="s">
        <v>324</v>
      </c>
      <c r="F577" s="830" t="s">
        <v>325</v>
      </c>
      <c r="G577" s="830" t="s">
        <v>512</v>
      </c>
      <c r="H577" s="830" t="s">
        <v>352</v>
      </c>
      <c r="J577" s="830" t="s">
        <v>327</v>
      </c>
      <c r="K577" s="830" t="s">
        <v>260</v>
      </c>
      <c r="L577" s="830" t="s">
        <v>308</v>
      </c>
      <c r="M577" s="830" t="s">
        <v>471</v>
      </c>
      <c r="N577" s="830" t="s">
        <v>259</v>
      </c>
      <c r="O577" s="830">
        <v>4</v>
      </c>
      <c r="P577" s="830">
        <v>1</v>
      </c>
      <c r="Q577" s="830">
        <v>0</v>
      </c>
      <c r="T577" s="831">
        <v>41736.707546296297</v>
      </c>
    </row>
    <row r="578" spans="1:20" ht="12.75" customHeight="1" x14ac:dyDescent="0.25">
      <c r="A578" s="830" t="s">
        <v>308</v>
      </c>
      <c r="B578" s="830">
        <v>13</v>
      </c>
      <c r="C578" s="830" t="s">
        <v>323</v>
      </c>
      <c r="D578" s="830" t="s">
        <v>324</v>
      </c>
      <c r="F578" s="830" t="s">
        <v>325</v>
      </c>
      <c r="G578" s="830" t="s">
        <v>512</v>
      </c>
      <c r="H578" s="830" t="s">
        <v>341</v>
      </c>
      <c r="J578" s="830" t="s">
        <v>327</v>
      </c>
      <c r="K578" s="830" t="s">
        <v>260</v>
      </c>
      <c r="L578" s="830" t="s">
        <v>308</v>
      </c>
      <c r="M578" s="830" t="s">
        <v>471</v>
      </c>
      <c r="N578" s="830" t="s">
        <v>259</v>
      </c>
      <c r="O578" s="830">
        <v>5</v>
      </c>
      <c r="P578" s="830">
        <v>2</v>
      </c>
      <c r="Q578" s="830">
        <v>0</v>
      </c>
      <c r="T578" s="831">
        <v>41736.707546296297</v>
      </c>
    </row>
    <row r="579" spans="1:20" ht="12.75" customHeight="1" x14ac:dyDescent="0.25">
      <c r="A579" s="830" t="s">
        <v>308</v>
      </c>
      <c r="B579" s="830">
        <v>13</v>
      </c>
      <c r="C579" s="830" t="s">
        <v>323</v>
      </c>
      <c r="D579" s="830" t="s">
        <v>324</v>
      </c>
      <c r="F579" s="830" t="s">
        <v>325</v>
      </c>
      <c r="G579" s="830" t="s">
        <v>512</v>
      </c>
      <c r="H579" s="830" t="s">
        <v>348</v>
      </c>
      <c r="J579" s="830" t="s">
        <v>327</v>
      </c>
      <c r="K579" s="830" t="s">
        <v>260</v>
      </c>
      <c r="L579" s="830" t="s">
        <v>308</v>
      </c>
      <c r="M579" s="830" t="s">
        <v>471</v>
      </c>
      <c r="N579" s="830" t="s">
        <v>259</v>
      </c>
      <c r="O579" s="830">
        <v>4</v>
      </c>
      <c r="P579" s="830">
        <v>2</v>
      </c>
      <c r="Q579" s="830">
        <v>0</v>
      </c>
      <c r="T579" s="831">
        <v>41736.707546296297</v>
      </c>
    </row>
    <row r="580" spans="1:20" ht="12.75" customHeight="1" x14ac:dyDescent="0.25">
      <c r="A580" s="830" t="s">
        <v>308</v>
      </c>
      <c r="B580" s="830">
        <v>13</v>
      </c>
      <c r="C580" s="830" t="s">
        <v>323</v>
      </c>
      <c r="D580" s="830" t="s">
        <v>324</v>
      </c>
      <c r="F580" s="830" t="s">
        <v>325</v>
      </c>
      <c r="G580" s="830" t="s">
        <v>512</v>
      </c>
      <c r="H580" s="830" t="s">
        <v>355</v>
      </c>
      <c r="J580" s="830" t="s">
        <v>327</v>
      </c>
      <c r="K580" s="830" t="s">
        <v>260</v>
      </c>
      <c r="L580" s="830" t="s">
        <v>308</v>
      </c>
      <c r="M580" s="830" t="s">
        <v>471</v>
      </c>
      <c r="N580" s="830" t="s">
        <v>259</v>
      </c>
      <c r="O580" s="830">
        <v>3</v>
      </c>
      <c r="P580" s="830">
        <v>2</v>
      </c>
      <c r="Q580" s="830">
        <v>0</v>
      </c>
      <c r="T580" s="831">
        <v>41736.707546296297</v>
      </c>
    </row>
    <row r="581" spans="1:20" ht="12.75" customHeight="1" x14ac:dyDescent="0.25">
      <c r="A581" s="830" t="s">
        <v>308</v>
      </c>
      <c r="B581" s="830">
        <v>13</v>
      </c>
      <c r="C581" s="830" t="s">
        <v>323</v>
      </c>
      <c r="D581" s="830" t="s">
        <v>324</v>
      </c>
      <c r="F581" s="830" t="s">
        <v>325</v>
      </c>
      <c r="G581" s="830" t="s">
        <v>512</v>
      </c>
      <c r="H581" s="830" t="s">
        <v>380</v>
      </c>
      <c r="J581" s="830" t="s">
        <v>327</v>
      </c>
      <c r="K581" s="830" t="s">
        <v>260</v>
      </c>
      <c r="L581" s="830" t="s">
        <v>308</v>
      </c>
      <c r="M581" s="830" t="s">
        <v>471</v>
      </c>
      <c r="N581" s="830" t="s">
        <v>259</v>
      </c>
      <c r="O581" s="830">
        <v>6</v>
      </c>
      <c r="P581" s="830">
        <v>1</v>
      </c>
      <c r="Q581" s="830">
        <v>0</v>
      </c>
      <c r="T581" s="831">
        <v>41736.707546296297</v>
      </c>
    </row>
    <row r="582" spans="1:20" ht="12.75" customHeight="1" x14ac:dyDescent="0.25">
      <c r="A582" s="830" t="s">
        <v>308</v>
      </c>
      <c r="B582" s="830">
        <v>13</v>
      </c>
      <c r="C582" s="830" t="s">
        <v>323</v>
      </c>
      <c r="D582" s="830" t="s">
        <v>324</v>
      </c>
      <c r="F582" s="830" t="s">
        <v>325</v>
      </c>
      <c r="G582" s="830" t="s">
        <v>512</v>
      </c>
      <c r="H582" s="830" t="s">
        <v>360</v>
      </c>
      <c r="J582" s="830" t="s">
        <v>327</v>
      </c>
      <c r="K582" s="830" t="s">
        <v>260</v>
      </c>
      <c r="L582" s="830" t="s">
        <v>308</v>
      </c>
      <c r="M582" s="830" t="s">
        <v>471</v>
      </c>
      <c r="N582" s="830" t="s">
        <v>259</v>
      </c>
      <c r="O582" s="830">
        <v>3</v>
      </c>
      <c r="P582" s="830">
        <v>7</v>
      </c>
      <c r="Q582" s="830">
        <v>0</v>
      </c>
      <c r="T582" s="831">
        <v>41736.707546296297</v>
      </c>
    </row>
    <row r="583" spans="1:20" ht="12.75" customHeight="1" x14ac:dyDescent="0.25">
      <c r="A583" s="830" t="s">
        <v>308</v>
      </c>
      <c r="B583" s="830">
        <v>13</v>
      </c>
      <c r="C583" s="830" t="s">
        <v>323</v>
      </c>
      <c r="D583" s="830" t="s">
        <v>324</v>
      </c>
      <c r="F583" s="830" t="s">
        <v>325</v>
      </c>
      <c r="G583" s="830" t="s">
        <v>512</v>
      </c>
      <c r="H583" s="830" t="s">
        <v>334</v>
      </c>
      <c r="J583" s="830" t="s">
        <v>327</v>
      </c>
      <c r="K583" s="830" t="s">
        <v>260</v>
      </c>
      <c r="L583" s="830" t="s">
        <v>308</v>
      </c>
      <c r="M583" s="830" t="s">
        <v>471</v>
      </c>
      <c r="N583" s="830" t="s">
        <v>259</v>
      </c>
      <c r="O583" s="830">
        <v>2</v>
      </c>
      <c r="P583" s="830">
        <v>2</v>
      </c>
      <c r="Q583" s="830">
        <v>0</v>
      </c>
      <c r="T583" s="831">
        <v>41736.707546296297</v>
      </c>
    </row>
    <row r="584" spans="1:20" ht="12.75" customHeight="1" x14ac:dyDescent="0.25">
      <c r="A584" s="830" t="s">
        <v>308</v>
      </c>
      <c r="B584" s="830">
        <v>13</v>
      </c>
      <c r="C584" s="830" t="s">
        <v>323</v>
      </c>
      <c r="D584" s="830" t="s">
        <v>324</v>
      </c>
      <c r="F584" s="830" t="s">
        <v>325</v>
      </c>
      <c r="G584" s="830" t="s">
        <v>512</v>
      </c>
      <c r="H584" s="830" t="s">
        <v>350</v>
      </c>
      <c r="J584" s="830" t="s">
        <v>327</v>
      </c>
      <c r="K584" s="830" t="s">
        <v>260</v>
      </c>
      <c r="L584" s="830" t="s">
        <v>308</v>
      </c>
      <c r="M584" s="830" t="s">
        <v>471</v>
      </c>
      <c r="N584" s="830" t="s">
        <v>259</v>
      </c>
      <c r="O584" s="830">
        <v>4</v>
      </c>
      <c r="P584" s="830">
        <v>4</v>
      </c>
      <c r="Q584" s="830">
        <v>30</v>
      </c>
      <c r="T584" s="831">
        <v>41736.707546296297</v>
      </c>
    </row>
    <row r="585" spans="1:20" ht="12.75" customHeight="1" x14ac:dyDescent="0.25">
      <c r="A585" s="830" t="s">
        <v>308</v>
      </c>
      <c r="B585" s="830">
        <v>13</v>
      </c>
      <c r="C585" s="830" t="s">
        <v>323</v>
      </c>
      <c r="D585" s="830" t="s">
        <v>324</v>
      </c>
      <c r="F585" s="830" t="s">
        <v>325</v>
      </c>
      <c r="G585" s="830" t="s">
        <v>512</v>
      </c>
      <c r="H585" s="830" t="s">
        <v>378</v>
      </c>
      <c r="J585" s="830" t="s">
        <v>327</v>
      </c>
      <c r="K585" s="830" t="s">
        <v>260</v>
      </c>
      <c r="L585" s="830" t="s">
        <v>308</v>
      </c>
      <c r="M585" s="830" t="s">
        <v>471</v>
      </c>
      <c r="N585" s="830" t="s">
        <v>259</v>
      </c>
      <c r="O585" s="830">
        <v>6</v>
      </c>
      <c r="P585" s="830">
        <v>4</v>
      </c>
      <c r="Q585" s="830">
        <v>0</v>
      </c>
      <c r="T585" s="831">
        <v>41736.707546296297</v>
      </c>
    </row>
    <row r="586" spans="1:20" ht="12.75" customHeight="1" x14ac:dyDescent="0.25">
      <c r="A586" s="830" t="s">
        <v>308</v>
      </c>
      <c r="B586" s="830">
        <v>13</v>
      </c>
      <c r="C586" s="830" t="s">
        <v>323</v>
      </c>
      <c r="D586" s="830" t="s">
        <v>324</v>
      </c>
      <c r="F586" s="830" t="s">
        <v>325</v>
      </c>
      <c r="G586" s="830" t="s">
        <v>512</v>
      </c>
      <c r="H586" s="830" t="s">
        <v>351</v>
      </c>
      <c r="J586" s="830" t="s">
        <v>327</v>
      </c>
      <c r="K586" s="830" t="s">
        <v>260</v>
      </c>
      <c r="L586" s="830" t="s">
        <v>308</v>
      </c>
      <c r="M586" s="830" t="s">
        <v>471</v>
      </c>
      <c r="N586" s="830" t="s">
        <v>259</v>
      </c>
      <c r="O586" s="830">
        <v>4</v>
      </c>
      <c r="P586" s="830">
        <v>3</v>
      </c>
      <c r="Q586" s="830">
        <v>0</v>
      </c>
      <c r="T586" s="831">
        <v>41736.707546296297</v>
      </c>
    </row>
    <row r="587" spans="1:20" ht="12.75" customHeight="1" x14ac:dyDescent="0.25">
      <c r="A587" s="830" t="s">
        <v>308</v>
      </c>
      <c r="B587" s="830">
        <v>13</v>
      </c>
      <c r="C587" s="830" t="s">
        <v>323</v>
      </c>
      <c r="D587" s="830" t="s">
        <v>324</v>
      </c>
      <c r="F587" s="830" t="s">
        <v>325</v>
      </c>
      <c r="G587" s="830" t="s">
        <v>512</v>
      </c>
      <c r="H587" s="830" t="s">
        <v>364</v>
      </c>
      <c r="J587" s="830" t="s">
        <v>327</v>
      </c>
      <c r="K587" s="830" t="s">
        <v>260</v>
      </c>
      <c r="L587" s="830" t="s">
        <v>308</v>
      </c>
      <c r="M587" s="830" t="s">
        <v>471</v>
      </c>
      <c r="N587" s="830" t="s">
        <v>259</v>
      </c>
      <c r="P587" s="830">
        <v>4</v>
      </c>
      <c r="Q587" s="830">
        <v>0</v>
      </c>
      <c r="T587" s="831">
        <v>41736.707546296297</v>
      </c>
    </row>
    <row r="588" spans="1:20" ht="12.75" customHeight="1" x14ac:dyDescent="0.25">
      <c r="A588" s="830" t="s">
        <v>308</v>
      </c>
      <c r="B588" s="830">
        <v>13</v>
      </c>
      <c r="C588" s="830" t="s">
        <v>323</v>
      </c>
      <c r="D588" s="830" t="s">
        <v>324</v>
      </c>
      <c r="F588" s="830" t="s">
        <v>325</v>
      </c>
      <c r="G588" s="830" t="s">
        <v>512</v>
      </c>
      <c r="H588" s="830" t="s">
        <v>343</v>
      </c>
      <c r="J588" s="830" t="s">
        <v>327</v>
      </c>
      <c r="K588" s="830" t="s">
        <v>260</v>
      </c>
      <c r="L588" s="830" t="s">
        <v>308</v>
      </c>
      <c r="M588" s="830" t="s">
        <v>471</v>
      </c>
      <c r="N588" s="830" t="s">
        <v>259</v>
      </c>
      <c r="O588" s="830">
        <v>5</v>
      </c>
      <c r="P588" s="830">
        <v>4</v>
      </c>
      <c r="Q588" s="830">
        <v>0</v>
      </c>
      <c r="T588" s="831">
        <v>41736.707546296297</v>
      </c>
    </row>
    <row r="589" spans="1:20" ht="12.75" customHeight="1" x14ac:dyDescent="0.25">
      <c r="A589" s="830" t="s">
        <v>308</v>
      </c>
      <c r="B589" s="830">
        <v>13</v>
      </c>
      <c r="C589" s="830" t="s">
        <v>323</v>
      </c>
      <c r="D589" s="830" t="s">
        <v>324</v>
      </c>
      <c r="F589" s="830" t="s">
        <v>325</v>
      </c>
      <c r="G589" s="830" t="s">
        <v>512</v>
      </c>
      <c r="H589" s="830" t="s">
        <v>339</v>
      </c>
      <c r="J589" s="830" t="s">
        <v>327</v>
      </c>
      <c r="K589" s="830" t="s">
        <v>260</v>
      </c>
      <c r="L589" s="830" t="s">
        <v>308</v>
      </c>
      <c r="M589" s="830" t="s">
        <v>471</v>
      </c>
      <c r="N589" s="830" t="s">
        <v>259</v>
      </c>
      <c r="O589" s="830">
        <v>2</v>
      </c>
      <c r="P589" s="830">
        <v>7</v>
      </c>
      <c r="Q589" s="830">
        <v>0</v>
      </c>
      <c r="T589" s="831">
        <v>41736.707546296297</v>
      </c>
    </row>
    <row r="590" spans="1:20" ht="12.75" customHeight="1" x14ac:dyDescent="0.25">
      <c r="A590" s="830" t="s">
        <v>308</v>
      </c>
      <c r="B590" s="830">
        <v>13</v>
      </c>
      <c r="C590" s="830" t="s">
        <v>323</v>
      </c>
      <c r="D590" s="830" t="s">
        <v>324</v>
      </c>
      <c r="F590" s="830" t="s">
        <v>325</v>
      </c>
      <c r="G590" s="830" t="s">
        <v>512</v>
      </c>
      <c r="H590" s="830" t="s">
        <v>362</v>
      </c>
      <c r="J590" s="830" t="s">
        <v>327</v>
      </c>
      <c r="K590" s="830" t="s">
        <v>260</v>
      </c>
      <c r="L590" s="830" t="s">
        <v>308</v>
      </c>
      <c r="M590" s="830" t="s">
        <v>471</v>
      </c>
      <c r="N590" s="830" t="s">
        <v>259</v>
      </c>
      <c r="P590" s="830">
        <v>2</v>
      </c>
      <c r="Q590" s="830">
        <v>0</v>
      </c>
      <c r="T590" s="831">
        <v>41736.707546296297</v>
      </c>
    </row>
    <row r="591" spans="1:20" ht="12.75" customHeight="1" x14ac:dyDescent="0.25">
      <c r="A591" s="830" t="s">
        <v>308</v>
      </c>
      <c r="B591" s="830">
        <v>13</v>
      </c>
      <c r="C591" s="830" t="s">
        <v>323</v>
      </c>
      <c r="D591" s="830" t="s">
        <v>324</v>
      </c>
      <c r="F591" s="830" t="s">
        <v>325</v>
      </c>
      <c r="G591" s="830" t="s">
        <v>512</v>
      </c>
      <c r="H591" s="830" t="s">
        <v>335</v>
      </c>
      <c r="J591" s="830" t="s">
        <v>327</v>
      </c>
      <c r="K591" s="830" t="s">
        <v>260</v>
      </c>
      <c r="L591" s="830" t="s">
        <v>308</v>
      </c>
      <c r="M591" s="830" t="s">
        <v>471</v>
      </c>
      <c r="N591" s="830" t="s">
        <v>259</v>
      </c>
      <c r="O591" s="830">
        <v>2</v>
      </c>
      <c r="P591" s="830">
        <v>5</v>
      </c>
      <c r="Q591" s="830">
        <v>0</v>
      </c>
      <c r="T591" s="831">
        <v>41736.707546296297</v>
      </c>
    </row>
    <row r="592" spans="1:20" ht="12.75" customHeight="1" x14ac:dyDescent="0.25">
      <c r="A592" s="830" t="s">
        <v>308</v>
      </c>
      <c r="B592" s="830">
        <v>13</v>
      </c>
      <c r="C592" s="830" t="s">
        <v>323</v>
      </c>
      <c r="D592" s="830" t="s">
        <v>324</v>
      </c>
      <c r="F592" s="830" t="s">
        <v>325</v>
      </c>
      <c r="G592" s="830" t="s">
        <v>512</v>
      </c>
      <c r="H592" s="830" t="s">
        <v>332</v>
      </c>
      <c r="J592" s="830" t="s">
        <v>327</v>
      </c>
      <c r="K592" s="830" t="s">
        <v>260</v>
      </c>
      <c r="L592" s="830" t="s">
        <v>308</v>
      </c>
      <c r="M592" s="830" t="s">
        <v>471</v>
      </c>
      <c r="N592" s="830" t="s">
        <v>259</v>
      </c>
      <c r="O592" s="830">
        <v>1</v>
      </c>
      <c r="Q592" s="830">
        <v>10</v>
      </c>
      <c r="T592" s="831">
        <v>41736.707546296297</v>
      </c>
    </row>
    <row r="593" spans="1:20" ht="12.75" customHeight="1" x14ac:dyDescent="0.25">
      <c r="A593" s="830" t="s">
        <v>308</v>
      </c>
      <c r="B593" s="830">
        <v>13</v>
      </c>
      <c r="C593" s="830" t="s">
        <v>323</v>
      </c>
      <c r="D593" s="830" t="s">
        <v>324</v>
      </c>
      <c r="F593" s="830" t="s">
        <v>325</v>
      </c>
      <c r="G593" s="830" t="s">
        <v>512</v>
      </c>
      <c r="H593" s="830" t="s">
        <v>368</v>
      </c>
      <c r="J593" s="830" t="s">
        <v>327</v>
      </c>
      <c r="K593" s="830" t="s">
        <v>260</v>
      </c>
      <c r="L593" s="830" t="s">
        <v>308</v>
      </c>
      <c r="M593" s="830" t="s">
        <v>471</v>
      </c>
      <c r="N593" s="830" t="s">
        <v>259</v>
      </c>
      <c r="P593" s="830">
        <v>6</v>
      </c>
      <c r="Q593" s="830">
        <v>0</v>
      </c>
      <c r="T593" s="831">
        <v>41736.707546296297</v>
      </c>
    </row>
    <row r="594" spans="1:20" ht="12.75" customHeight="1" x14ac:dyDescent="0.25">
      <c r="A594" s="830" t="s">
        <v>308</v>
      </c>
      <c r="B594" s="830">
        <v>13</v>
      </c>
      <c r="C594" s="830" t="s">
        <v>323</v>
      </c>
      <c r="D594" s="830" t="s">
        <v>324</v>
      </c>
      <c r="F594" s="830" t="s">
        <v>325</v>
      </c>
      <c r="G594" s="830" t="s">
        <v>512</v>
      </c>
      <c r="H594" s="830" t="s">
        <v>382</v>
      </c>
      <c r="J594" s="830" t="s">
        <v>327</v>
      </c>
      <c r="K594" s="830" t="s">
        <v>260</v>
      </c>
      <c r="L594" s="830" t="s">
        <v>308</v>
      </c>
      <c r="M594" s="830" t="s">
        <v>471</v>
      </c>
      <c r="N594" s="830" t="s">
        <v>259</v>
      </c>
      <c r="O594" s="830">
        <v>6</v>
      </c>
      <c r="P594" s="830">
        <v>6</v>
      </c>
      <c r="Q594" s="830">
        <v>0</v>
      </c>
      <c r="T594" s="831">
        <v>41736.707546296297</v>
      </c>
    </row>
    <row r="595" spans="1:20" ht="12.75" customHeight="1" x14ac:dyDescent="0.25">
      <c r="A595" s="830" t="s">
        <v>308</v>
      </c>
      <c r="B595" s="830">
        <v>13</v>
      </c>
      <c r="C595" s="830" t="s">
        <v>323</v>
      </c>
      <c r="D595" s="830" t="s">
        <v>324</v>
      </c>
      <c r="F595" s="830" t="s">
        <v>325</v>
      </c>
      <c r="G595" s="830" t="s">
        <v>512</v>
      </c>
      <c r="H595" s="830" t="s">
        <v>347</v>
      </c>
      <c r="J595" s="830" t="s">
        <v>327</v>
      </c>
      <c r="K595" s="830" t="s">
        <v>260</v>
      </c>
      <c r="L595" s="830" t="s">
        <v>308</v>
      </c>
      <c r="M595" s="830" t="s">
        <v>471</v>
      </c>
      <c r="N595" s="830" t="s">
        <v>259</v>
      </c>
      <c r="O595" s="830">
        <v>5</v>
      </c>
      <c r="P595" s="830">
        <v>6</v>
      </c>
      <c r="Q595" s="830">
        <v>0</v>
      </c>
      <c r="T595" s="831">
        <v>41736.707546296297</v>
      </c>
    </row>
    <row r="596" spans="1:20" ht="12.75" customHeight="1" x14ac:dyDescent="0.25">
      <c r="A596" s="830" t="s">
        <v>308</v>
      </c>
      <c r="B596" s="830">
        <v>13</v>
      </c>
      <c r="C596" s="830" t="s">
        <v>323</v>
      </c>
      <c r="D596" s="830" t="s">
        <v>324</v>
      </c>
      <c r="F596" s="830" t="s">
        <v>325</v>
      </c>
      <c r="G596" s="830" t="s">
        <v>512</v>
      </c>
      <c r="H596" s="830" t="s">
        <v>345</v>
      </c>
      <c r="J596" s="830" t="s">
        <v>327</v>
      </c>
      <c r="K596" s="830" t="s">
        <v>260</v>
      </c>
      <c r="L596" s="830" t="s">
        <v>308</v>
      </c>
      <c r="M596" s="830" t="s">
        <v>471</v>
      </c>
      <c r="N596" s="830" t="s">
        <v>259</v>
      </c>
      <c r="O596" s="830">
        <v>5</v>
      </c>
      <c r="P596" s="830">
        <v>1</v>
      </c>
      <c r="Q596" s="830">
        <v>0</v>
      </c>
      <c r="T596" s="831">
        <v>41736.707546296297</v>
      </c>
    </row>
    <row r="597" spans="1:20" ht="12.75" customHeight="1" x14ac:dyDescent="0.25">
      <c r="A597" s="830" t="s">
        <v>308</v>
      </c>
      <c r="B597" s="830">
        <v>13</v>
      </c>
      <c r="C597" s="830" t="s">
        <v>323</v>
      </c>
      <c r="D597" s="830" t="s">
        <v>324</v>
      </c>
      <c r="F597" s="830" t="s">
        <v>325</v>
      </c>
      <c r="G597" s="830" t="s">
        <v>512</v>
      </c>
      <c r="H597" s="830" t="s">
        <v>361</v>
      </c>
      <c r="J597" s="830" t="s">
        <v>327</v>
      </c>
      <c r="K597" s="830" t="s">
        <v>260</v>
      </c>
      <c r="L597" s="830" t="s">
        <v>308</v>
      </c>
      <c r="M597" s="830" t="s">
        <v>471</v>
      </c>
      <c r="N597" s="830" t="s">
        <v>259</v>
      </c>
      <c r="O597" s="830">
        <v>3</v>
      </c>
      <c r="P597" s="830">
        <v>6</v>
      </c>
      <c r="Q597" s="830">
        <v>1</v>
      </c>
      <c r="T597" s="831">
        <v>41736.707546296297</v>
      </c>
    </row>
    <row r="598" spans="1:20" ht="12.75" customHeight="1" x14ac:dyDescent="0.25">
      <c r="A598" s="830" t="s">
        <v>308</v>
      </c>
      <c r="B598" s="830">
        <v>13</v>
      </c>
      <c r="C598" s="830" t="s">
        <v>323</v>
      </c>
      <c r="D598" s="830" t="s">
        <v>324</v>
      </c>
      <c r="F598" s="830" t="s">
        <v>325</v>
      </c>
      <c r="G598" s="830" t="s">
        <v>512</v>
      </c>
      <c r="H598" s="830" t="s">
        <v>328</v>
      </c>
      <c r="J598" s="830" t="s">
        <v>327</v>
      </c>
      <c r="K598" s="830" t="s">
        <v>260</v>
      </c>
      <c r="L598" s="830" t="s">
        <v>308</v>
      </c>
      <c r="M598" s="830" t="s">
        <v>471</v>
      </c>
      <c r="N598" s="830" t="s">
        <v>259</v>
      </c>
      <c r="O598" s="830">
        <v>5</v>
      </c>
      <c r="Q598" s="830">
        <v>0</v>
      </c>
      <c r="T598" s="831">
        <v>41736.707546296297</v>
      </c>
    </row>
    <row r="599" spans="1:20" ht="12.75" customHeight="1" x14ac:dyDescent="0.25">
      <c r="A599" s="830" t="s">
        <v>308</v>
      </c>
      <c r="B599" s="830">
        <v>13</v>
      </c>
      <c r="C599" s="830" t="s">
        <v>323</v>
      </c>
      <c r="D599" s="830" t="s">
        <v>324</v>
      </c>
      <c r="F599" s="830" t="s">
        <v>325</v>
      </c>
      <c r="G599" s="830" t="s">
        <v>512</v>
      </c>
      <c r="H599" s="830" t="s">
        <v>375</v>
      </c>
      <c r="J599" s="830" t="s">
        <v>327</v>
      </c>
      <c r="K599" s="830" t="s">
        <v>260</v>
      </c>
      <c r="L599" s="830" t="s">
        <v>308</v>
      </c>
      <c r="M599" s="830" t="s">
        <v>471</v>
      </c>
      <c r="N599" s="830" t="s">
        <v>259</v>
      </c>
      <c r="O599" s="830">
        <v>1</v>
      </c>
      <c r="P599" s="830">
        <v>6</v>
      </c>
      <c r="Q599" s="830">
        <v>0</v>
      </c>
      <c r="T599" s="831">
        <v>41736.707546296297</v>
      </c>
    </row>
    <row r="600" spans="1:20" ht="12.75" customHeight="1" x14ac:dyDescent="0.25">
      <c r="A600" s="830" t="s">
        <v>308</v>
      </c>
      <c r="B600" s="830">
        <v>13</v>
      </c>
      <c r="C600" s="830" t="s">
        <v>323</v>
      </c>
      <c r="D600" s="830" t="s">
        <v>324</v>
      </c>
      <c r="F600" s="830" t="s">
        <v>325</v>
      </c>
      <c r="G600" s="830" t="s">
        <v>512</v>
      </c>
      <c r="H600" s="830" t="s">
        <v>363</v>
      </c>
      <c r="J600" s="830" t="s">
        <v>327</v>
      </c>
      <c r="K600" s="830" t="s">
        <v>260</v>
      </c>
      <c r="L600" s="830" t="s">
        <v>308</v>
      </c>
      <c r="M600" s="830" t="s">
        <v>471</v>
      </c>
      <c r="N600" s="830" t="s">
        <v>259</v>
      </c>
      <c r="P600" s="830">
        <v>5</v>
      </c>
      <c r="Q600" s="830">
        <v>0</v>
      </c>
      <c r="T600" s="831">
        <v>41736.707546296297</v>
      </c>
    </row>
    <row r="601" spans="1:20" ht="12.75" customHeight="1" x14ac:dyDescent="0.25">
      <c r="A601" s="830" t="s">
        <v>308</v>
      </c>
      <c r="B601" s="830">
        <v>13</v>
      </c>
      <c r="C601" s="830" t="s">
        <v>323</v>
      </c>
      <c r="D601" s="830" t="s">
        <v>324</v>
      </c>
      <c r="F601" s="830" t="s">
        <v>325</v>
      </c>
      <c r="G601" s="830" t="s">
        <v>512</v>
      </c>
      <c r="H601" s="830" t="s">
        <v>377</v>
      </c>
      <c r="J601" s="830" t="s">
        <v>327</v>
      </c>
      <c r="K601" s="830" t="s">
        <v>260</v>
      </c>
      <c r="L601" s="830" t="s">
        <v>308</v>
      </c>
      <c r="M601" s="830" t="s">
        <v>471</v>
      </c>
      <c r="N601" s="830" t="s">
        <v>259</v>
      </c>
      <c r="O601" s="830">
        <v>6</v>
      </c>
      <c r="P601" s="830">
        <v>5</v>
      </c>
      <c r="Q601" s="830">
        <v>0</v>
      </c>
      <c r="T601" s="831">
        <v>41736.707546296297</v>
      </c>
    </row>
    <row r="602" spans="1:20" ht="12.75" customHeight="1" x14ac:dyDescent="0.25">
      <c r="A602" s="830" t="s">
        <v>308</v>
      </c>
      <c r="B602" s="830">
        <v>13</v>
      </c>
      <c r="C602" s="830" t="s">
        <v>323</v>
      </c>
      <c r="D602" s="830" t="s">
        <v>324</v>
      </c>
      <c r="F602" s="830" t="s">
        <v>325</v>
      </c>
      <c r="G602" s="830" t="s">
        <v>512</v>
      </c>
      <c r="H602" s="830" t="s">
        <v>342</v>
      </c>
      <c r="J602" s="830" t="s">
        <v>327</v>
      </c>
      <c r="K602" s="830" t="s">
        <v>260</v>
      </c>
      <c r="L602" s="830" t="s">
        <v>308</v>
      </c>
      <c r="M602" s="830" t="s">
        <v>471</v>
      </c>
      <c r="N602" s="830" t="s">
        <v>259</v>
      </c>
      <c r="O602" s="830">
        <v>5</v>
      </c>
      <c r="P602" s="830">
        <v>5</v>
      </c>
      <c r="Q602" s="830">
        <v>0</v>
      </c>
      <c r="T602" s="831">
        <v>41736.707546296297</v>
      </c>
    </row>
    <row r="603" spans="1:20" ht="12.75" customHeight="1" x14ac:dyDescent="0.25">
      <c r="A603" s="830" t="s">
        <v>308</v>
      </c>
      <c r="B603" s="830">
        <v>13</v>
      </c>
      <c r="C603" s="830" t="s">
        <v>323</v>
      </c>
      <c r="D603" s="830" t="s">
        <v>324</v>
      </c>
      <c r="F603" s="830" t="s">
        <v>325</v>
      </c>
      <c r="G603" s="830" t="s">
        <v>512</v>
      </c>
      <c r="H603" s="830" t="s">
        <v>354</v>
      </c>
      <c r="J603" s="830" t="s">
        <v>327</v>
      </c>
      <c r="K603" s="830" t="s">
        <v>260</v>
      </c>
      <c r="L603" s="830" t="s">
        <v>308</v>
      </c>
      <c r="M603" s="830" t="s">
        <v>471</v>
      </c>
      <c r="N603" s="830" t="s">
        <v>259</v>
      </c>
      <c r="O603" s="830">
        <v>4</v>
      </c>
      <c r="P603" s="830">
        <v>6</v>
      </c>
      <c r="Q603" s="830">
        <v>10</v>
      </c>
      <c r="T603" s="831">
        <v>41736.707546296297</v>
      </c>
    </row>
    <row r="604" spans="1:20" ht="12.75" customHeight="1" x14ac:dyDescent="0.25">
      <c r="A604" s="830" t="s">
        <v>308</v>
      </c>
      <c r="B604" s="830">
        <v>13</v>
      </c>
      <c r="C604" s="830" t="s">
        <v>323</v>
      </c>
      <c r="D604" s="830" t="s">
        <v>324</v>
      </c>
      <c r="F604" s="830" t="s">
        <v>325</v>
      </c>
      <c r="G604" s="830" t="s">
        <v>512</v>
      </c>
      <c r="H604" s="830" t="s">
        <v>356</v>
      </c>
      <c r="J604" s="830" t="s">
        <v>327</v>
      </c>
      <c r="K604" s="830" t="s">
        <v>260</v>
      </c>
      <c r="L604" s="830" t="s">
        <v>308</v>
      </c>
      <c r="M604" s="830" t="s">
        <v>471</v>
      </c>
      <c r="N604" s="830" t="s">
        <v>259</v>
      </c>
      <c r="O604" s="830">
        <v>3</v>
      </c>
      <c r="P604" s="830">
        <v>5</v>
      </c>
      <c r="Q604" s="830">
        <v>0</v>
      </c>
      <c r="T604" s="831">
        <v>41736.707546296297</v>
      </c>
    </row>
    <row r="605" spans="1:20" ht="12.75" customHeight="1" x14ac:dyDescent="0.25">
      <c r="A605" s="830" t="s">
        <v>308</v>
      </c>
      <c r="B605" s="830">
        <v>13</v>
      </c>
      <c r="C605" s="830" t="s">
        <v>323</v>
      </c>
      <c r="D605" s="830" t="s">
        <v>324</v>
      </c>
      <c r="F605" s="830" t="s">
        <v>325</v>
      </c>
      <c r="G605" s="830" t="s">
        <v>512</v>
      </c>
      <c r="H605" s="830" t="s">
        <v>370</v>
      </c>
      <c r="J605" s="830" t="s">
        <v>327</v>
      </c>
      <c r="K605" s="830" t="s">
        <v>260</v>
      </c>
      <c r="L605" s="830" t="s">
        <v>308</v>
      </c>
      <c r="M605" s="830" t="s">
        <v>471</v>
      </c>
      <c r="N605" s="830" t="s">
        <v>259</v>
      </c>
      <c r="O605" s="830">
        <v>1</v>
      </c>
      <c r="P605" s="830">
        <v>5</v>
      </c>
      <c r="Q605" s="830">
        <v>0</v>
      </c>
      <c r="T605" s="831">
        <v>41736.707546296297</v>
      </c>
    </row>
    <row r="606" spans="1:20" ht="12.75" customHeight="1" x14ac:dyDescent="0.25">
      <c r="A606" s="830" t="s">
        <v>308</v>
      </c>
      <c r="B606" s="830">
        <v>13</v>
      </c>
      <c r="C606" s="830" t="s">
        <v>323</v>
      </c>
      <c r="D606" s="830" t="s">
        <v>324</v>
      </c>
      <c r="F606" s="830" t="s">
        <v>325</v>
      </c>
      <c r="G606" s="830" t="s">
        <v>512</v>
      </c>
      <c r="H606" s="830" t="s">
        <v>346</v>
      </c>
      <c r="J606" s="830" t="s">
        <v>327</v>
      </c>
      <c r="K606" s="830" t="s">
        <v>260</v>
      </c>
      <c r="L606" s="830" t="s">
        <v>308</v>
      </c>
      <c r="M606" s="830" t="s">
        <v>471</v>
      </c>
      <c r="N606" s="830" t="s">
        <v>259</v>
      </c>
      <c r="O606" s="830">
        <v>5</v>
      </c>
      <c r="P606" s="830">
        <v>7</v>
      </c>
      <c r="Q606" s="830">
        <v>0</v>
      </c>
      <c r="T606" s="831">
        <v>41736.707546296297</v>
      </c>
    </row>
    <row r="607" spans="1:20" ht="12.75" customHeight="1" x14ac:dyDescent="0.25">
      <c r="A607" s="830" t="s">
        <v>308</v>
      </c>
      <c r="B607" s="830">
        <v>13</v>
      </c>
      <c r="C607" s="830" t="s">
        <v>323</v>
      </c>
      <c r="D607" s="830" t="s">
        <v>324</v>
      </c>
      <c r="F607" s="830" t="s">
        <v>325</v>
      </c>
      <c r="G607" s="830" t="s">
        <v>512</v>
      </c>
      <c r="H607" s="830" t="s">
        <v>366</v>
      </c>
      <c r="J607" s="830" t="s">
        <v>327</v>
      </c>
      <c r="K607" s="830" t="s">
        <v>260</v>
      </c>
      <c r="L607" s="830" t="s">
        <v>308</v>
      </c>
      <c r="M607" s="830" t="s">
        <v>471</v>
      </c>
      <c r="N607" s="830" t="s">
        <v>259</v>
      </c>
      <c r="P607" s="830">
        <v>1</v>
      </c>
      <c r="Q607" s="830">
        <v>0</v>
      </c>
      <c r="T607" s="831">
        <v>41736.707546296297</v>
      </c>
    </row>
    <row r="608" spans="1:20" ht="12.75" customHeight="1" x14ac:dyDescent="0.25">
      <c r="A608" s="830" t="s">
        <v>308</v>
      </c>
      <c r="B608" s="830">
        <v>13</v>
      </c>
      <c r="C608" s="830" t="s">
        <v>323</v>
      </c>
      <c r="D608" s="830" t="s">
        <v>324</v>
      </c>
      <c r="F608" s="830" t="s">
        <v>325</v>
      </c>
      <c r="G608" s="830" t="s">
        <v>512</v>
      </c>
      <c r="H608" s="830" t="s">
        <v>374</v>
      </c>
      <c r="J608" s="830" t="s">
        <v>327</v>
      </c>
      <c r="K608" s="830" t="s">
        <v>260</v>
      </c>
      <c r="L608" s="830" t="s">
        <v>308</v>
      </c>
      <c r="M608" s="830" t="s">
        <v>471</v>
      </c>
      <c r="N608" s="830" t="s">
        <v>259</v>
      </c>
      <c r="O608" s="830">
        <v>1</v>
      </c>
      <c r="P608" s="830">
        <v>7</v>
      </c>
      <c r="Q608" s="830">
        <v>0</v>
      </c>
      <c r="T608" s="831">
        <v>41736.707546296297</v>
      </c>
    </row>
    <row r="609" spans="1:20" ht="12.75" customHeight="1" x14ac:dyDescent="0.25">
      <c r="A609" s="830" t="s">
        <v>308</v>
      </c>
      <c r="B609" s="830">
        <v>13</v>
      </c>
      <c r="C609" s="830" t="s">
        <v>323</v>
      </c>
      <c r="D609" s="830" t="s">
        <v>324</v>
      </c>
      <c r="F609" s="830" t="s">
        <v>325</v>
      </c>
      <c r="G609" s="830" t="s">
        <v>512</v>
      </c>
      <c r="H609" s="830" t="s">
        <v>331</v>
      </c>
      <c r="J609" s="830" t="s">
        <v>327</v>
      </c>
      <c r="K609" s="830" t="s">
        <v>260</v>
      </c>
      <c r="L609" s="830" t="s">
        <v>308</v>
      </c>
      <c r="M609" s="830" t="s">
        <v>471</v>
      </c>
      <c r="N609" s="830" t="s">
        <v>259</v>
      </c>
      <c r="Q609" s="830">
        <v>6</v>
      </c>
      <c r="T609" s="831">
        <v>41736.707546296297</v>
      </c>
    </row>
    <row r="610" spans="1:20" ht="12.75" customHeight="1" x14ac:dyDescent="0.25">
      <c r="A610" s="830" t="s">
        <v>308</v>
      </c>
      <c r="B610" s="830">
        <v>13</v>
      </c>
      <c r="C610" s="830" t="s">
        <v>323</v>
      </c>
      <c r="D610" s="830" t="s">
        <v>324</v>
      </c>
      <c r="F610" s="830" t="s">
        <v>325</v>
      </c>
      <c r="G610" s="830" t="s">
        <v>512</v>
      </c>
      <c r="H610" s="830" t="s">
        <v>349</v>
      </c>
      <c r="J610" s="830" t="s">
        <v>327</v>
      </c>
      <c r="K610" s="830" t="s">
        <v>260</v>
      </c>
      <c r="L610" s="830" t="s">
        <v>308</v>
      </c>
      <c r="M610" s="830" t="s">
        <v>471</v>
      </c>
      <c r="N610" s="830" t="s">
        <v>259</v>
      </c>
      <c r="O610" s="830">
        <v>4</v>
      </c>
      <c r="P610" s="830">
        <v>5</v>
      </c>
      <c r="Q610" s="830">
        <v>0</v>
      </c>
      <c r="T610" s="831">
        <v>41736.707546296297</v>
      </c>
    </row>
    <row r="611" spans="1:20" ht="12.75" customHeight="1" x14ac:dyDescent="0.25">
      <c r="A611" s="830" t="s">
        <v>308</v>
      </c>
      <c r="B611" s="830">
        <v>13</v>
      </c>
      <c r="C611" s="830" t="s">
        <v>323</v>
      </c>
      <c r="D611" s="830" t="s">
        <v>324</v>
      </c>
      <c r="F611" s="830" t="s">
        <v>325</v>
      </c>
      <c r="G611" s="830" t="s">
        <v>512</v>
      </c>
      <c r="H611" s="830" t="s">
        <v>381</v>
      </c>
      <c r="J611" s="830" t="s">
        <v>327</v>
      </c>
      <c r="K611" s="830" t="s">
        <v>260</v>
      </c>
      <c r="L611" s="830" t="s">
        <v>308</v>
      </c>
      <c r="M611" s="830" t="s">
        <v>471</v>
      </c>
      <c r="N611" s="830" t="s">
        <v>259</v>
      </c>
      <c r="O611" s="830">
        <v>6</v>
      </c>
      <c r="P611" s="830">
        <v>7</v>
      </c>
      <c r="Q611" s="830">
        <v>0</v>
      </c>
      <c r="T611" s="831">
        <v>41736.707546296297</v>
      </c>
    </row>
    <row r="612" spans="1:20" ht="12.75" customHeight="1" x14ac:dyDescent="0.25">
      <c r="A612" s="830" t="s">
        <v>308</v>
      </c>
      <c r="B612" s="830">
        <v>13</v>
      </c>
      <c r="C612" s="830" t="s">
        <v>323</v>
      </c>
      <c r="D612" s="830" t="s">
        <v>324</v>
      </c>
      <c r="F612" s="830" t="s">
        <v>325</v>
      </c>
      <c r="G612" s="830" t="s">
        <v>512</v>
      </c>
      <c r="H612" s="830" t="s">
        <v>329</v>
      </c>
      <c r="J612" s="830" t="s">
        <v>327</v>
      </c>
      <c r="K612" s="830" t="s">
        <v>260</v>
      </c>
      <c r="L612" s="830" t="s">
        <v>308</v>
      </c>
      <c r="M612" s="830" t="s">
        <v>471</v>
      </c>
      <c r="N612" s="830" t="s">
        <v>259</v>
      </c>
      <c r="O612" s="830">
        <v>4</v>
      </c>
      <c r="Q612" s="830">
        <v>1</v>
      </c>
      <c r="T612" s="831">
        <v>41736.707546296297</v>
      </c>
    </row>
    <row r="613" spans="1:20" ht="12.75" customHeight="1" x14ac:dyDescent="0.25">
      <c r="A613" s="830" t="s">
        <v>308</v>
      </c>
      <c r="B613" s="830">
        <v>13</v>
      </c>
      <c r="C613" s="830" t="s">
        <v>323</v>
      </c>
      <c r="D613" s="830" t="s">
        <v>324</v>
      </c>
      <c r="F613" s="830" t="s">
        <v>325</v>
      </c>
      <c r="G613" s="830" t="s">
        <v>512</v>
      </c>
      <c r="H613" s="830" t="s">
        <v>330</v>
      </c>
      <c r="J613" s="830" t="s">
        <v>327</v>
      </c>
      <c r="K613" s="830" t="s">
        <v>260</v>
      </c>
      <c r="L613" s="830" t="s">
        <v>308</v>
      </c>
      <c r="M613" s="830" t="s">
        <v>471</v>
      </c>
      <c r="N613" s="830" t="s">
        <v>259</v>
      </c>
      <c r="O613" s="830">
        <v>3</v>
      </c>
      <c r="Q613" s="830">
        <v>0</v>
      </c>
      <c r="T613" s="831">
        <v>41736.707546296297</v>
      </c>
    </row>
    <row r="614" spans="1:20" ht="12.75" customHeight="1" x14ac:dyDescent="0.25">
      <c r="A614" s="830" t="s">
        <v>308</v>
      </c>
      <c r="B614" s="830">
        <v>13</v>
      </c>
      <c r="C614" s="830" t="s">
        <v>323</v>
      </c>
      <c r="D614" s="830" t="s">
        <v>324</v>
      </c>
      <c r="F614" s="830" t="s">
        <v>325</v>
      </c>
      <c r="G614" s="830" t="s">
        <v>512</v>
      </c>
      <c r="H614" s="830" t="s">
        <v>326</v>
      </c>
      <c r="J614" s="830" t="s">
        <v>327</v>
      </c>
      <c r="K614" s="830" t="s">
        <v>260</v>
      </c>
      <c r="L614" s="830" t="s">
        <v>308</v>
      </c>
      <c r="M614" s="830" t="s">
        <v>471</v>
      </c>
      <c r="N614" s="830" t="s">
        <v>259</v>
      </c>
      <c r="O614" s="830">
        <v>2</v>
      </c>
      <c r="Q614" s="830">
        <v>2</v>
      </c>
      <c r="T614" s="831">
        <v>41736.707546296297</v>
      </c>
    </row>
    <row r="615" spans="1:20" ht="12.75" customHeight="1" x14ac:dyDescent="0.25">
      <c r="A615" s="830" t="s">
        <v>308</v>
      </c>
      <c r="B615" s="830">
        <v>13</v>
      </c>
      <c r="C615" s="830" t="s">
        <v>323</v>
      </c>
      <c r="D615" s="830" t="s">
        <v>324</v>
      </c>
      <c r="F615" s="830" t="s">
        <v>325</v>
      </c>
      <c r="G615" s="830" t="s">
        <v>512</v>
      </c>
      <c r="H615" s="830" t="s">
        <v>353</v>
      </c>
      <c r="J615" s="830" t="s">
        <v>327</v>
      </c>
      <c r="K615" s="830" t="s">
        <v>260</v>
      </c>
      <c r="L615" s="830" t="s">
        <v>308</v>
      </c>
      <c r="M615" s="830" t="s">
        <v>471</v>
      </c>
      <c r="N615" s="830" t="s">
        <v>259</v>
      </c>
      <c r="O615" s="830">
        <v>4</v>
      </c>
      <c r="P615" s="830">
        <v>7</v>
      </c>
      <c r="Q615" s="830">
        <v>0</v>
      </c>
      <c r="T615" s="831">
        <v>41736.707546296297</v>
      </c>
    </row>
    <row r="616" spans="1:20" ht="12.75" customHeight="1" x14ac:dyDescent="0.25">
      <c r="A616" s="830" t="s">
        <v>308</v>
      </c>
      <c r="B616" s="830">
        <v>13</v>
      </c>
      <c r="C616" s="830" t="s">
        <v>323</v>
      </c>
      <c r="D616" s="830" t="s">
        <v>324</v>
      </c>
      <c r="F616" s="830" t="s">
        <v>325</v>
      </c>
      <c r="G616" s="830" t="s">
        <v>512</v>
      </c>
      <c r="H616" s="830" t="s">
        <v>367</v>
      </c>
      <c r="J616" s="830" t="s">
        <v>327</v>
      </c>
      <c r="K616" s="830" t="s">
        <v>260</v>
      </c>
      <c r="L616" s="830" t="s">
        <v>308</v>
      </c>
      <c r="M616" s="830" t="s">
        <v>471</v>
      </c>
      <c r="N616" s="830" t="s">
        <v>259</v>
      </c>
      <c r="P616" s="830">
        <v>7</v>
      </c>
      <c r="Q616" s="830">
        <v>0</v>
      </c>
      <c r="T616" s="831">
        <v>41736.707546296297</v>
      </c>
    </row>
    <row r="617" spans="1:20" ht="12.75" customHeight="1" x14ac:dyDescent="0.25">
      <c r="A617" s="830" t="s">
        <v>308</v>
      </c>
      <c r="B617" s="830">
        <v>13</v>
      </c>
      <c r="C617" s="830" t="s">
        <v>323</v>
      </c>
      <c r="D617" s="830" t="s">
        <v>324</v>
      </c>
      <c r="F617" s="830" t="s">
        <v>325</v>
      </c>
      <c r="G617" s="830" t="s">
        <v>512</v>
      </c>
      <c r="H617" s="830" t="s">
        <v>340</v>
      </c>
      <c r="J617" s="830" t="s">
        <v>327</v>
      </c>
      <c r="K617" s="830" t="s">
        <v>260</v>
      </c>
      <c r="L617" s="830" t="s">
        <v>308</v>
      </c>
      <c r="M617" s="830" t="s">
        <v>471</v>
      </c>
      <c r="N617" s="830" t="s">
        <v>259</v>
      </c>
      <c r="O617" s="830">
        <v>2</v>
      </c>
      <c r="P617" s="830">
        <v>6</v>
      </c>
      <c r="Q617" s="830">
        <v>0</v>
      </c>
      <c r="T617" s="831">
        <v>41736.707546296297</v>
      </c>
    </row>
    <row r="618" spans="1:20" ht="12.75" customHeight="1" x14ac:dyDescent="0.25">
      <c r="A618" s="830" t="s">
        <v>308</v>
      </c>
      <c r="B618" s="830">
        <v>13</v>
      </c>
      <c r="C618" s="830" t="s">
        <v>323</v>
      </c>
      <c r="D618" s="830" t="s">
        <v>324</v>
      </c>
      <c r="F618" s="830" t="s">
        <v>325</v>
      </c>
      <c r="G618" s="830" t="s">
        <v>512</v>
      </c>
      <c r="H618" s="830" t="s">
        <v>333</v>
      </c>
      <c r="J618" s="830" t="s">
        <v>327</v>
      </c>
      <c r="K618" s="830" t="s">
        <v>260</v>
      </c>
      <c r="L618" s="830" t="s">
        <v>308</v>
      </c>
      <c r="M618" s="830" t="s">
        <v>471</v>
      </c>
      <c r="N618" s="830" t="s">
        <v>259</v>
      </c>
      <c r="O618" s="830">
        <v>6</v>
      </c>
      <c r="Q618" s="830">
        <v>0</v>
      </c>
      <c r="T618" s="831">
        <v>41736.707546296297</v>
      </c>
    </row>
    <row r="619" spans="1:20" ht="12.75" customHeight="1" x14ac:dyDescent="0.25">
      <c r="A619" s="830" t="s">
        <v>308</v>
      </c>
      <c r="B619" s="830">
        <v>13</v>
      </c>
      <c r="C619" s="830" t="s">
        <v>323</v>
      </c>
      <c r="D619" s="830" t="s">
        <v>324</v>
      </c>
      <c r="F619" s="830" t="s">
        <v>325</v>
      </c>
      <c r="G619" s="830" t="s">
        <v>512</v>
      </c>
      <c r="H619" s="830" t="s">
        <v>329</v>
      </c>
      <c r="J619" s="830" t="s">
        <v>327</v>
      </c>
      <c r="K619" s="830" t="s">
        <v>261</v>
      </c>
      <c r="L619" s="830" t="s">
        <v>309</v>
      </c>
      <c r="M619" s="830" t="s">
        <v>470</v>
      </c>
      <c r="N619" s="830" t="s">
        <v>256</v>
      </c>
      <c r="O619" s="830">
        <v>4</v>
      </c>
      <c r="Q619" s="830">
        <v>188</v>
      </c>
      <c r="T619" s="831">
        <v>41736.707546296297</v>
      </c>
    </row>
    <row r="620" spans="1:20" ht="12.75" customHeight="1" x14ac:dyDescent="0.25">
      <c r="A620" s="830" t="s">
        <v>308</v>
      </c>
      <c r="B620" s="830">
        <v>13</v>
      </c>
      <c r="C620" s="830" t="s">
        <v>323</v>
      </c>
      <c r="D620" s="830" t="s">
        <v>324</v>
      </c>
      <c r="F620" s="830" t="s">
        <v>325</v>
      </c>
      <c r="G620" s="830" t="s">
        <v>512</v>
      </c>
      <c r="H620" s="830" t="s">
        <v>330</v>
      </c>
      <c r="J620" s="830" t="s">
        <v>327</v>
      </c>
      <c r="K620" s="830" t="s">
        <v>261</v>
      </c>
      <c r="L620" s="830" t="s">
        <v>309</v>
      </c>
      <c r="M620" s="830" t="s">
        <v>470</v>
      </c>
      <c r="N620" s="830" t="s">
        <v>256</v>
      </c>
      <c r="O620" s="830">
        <v>3</v>
      </c>
      <c r="Q620" s="830">
        <v>42</v>
      </c>
      <c r="T620" s="831">
        <v>41736.707546296297</v>
      </c>
    </row>
    <row r="621" spans="1:20" ht="12.75" customHeight="1" x14ac:dyDescent="0.25">
      <c r="A621" s="830" t="s">
        <v>308</v>
      </c>
      <c r="B621" s="830">
        <v>13</v>
      </c>
      <c r="C621" s="830" t="s">
        <v>323</v>
      </c>
      <c r="D621" s="830" t="s">
        <v>324</v>
      </c>
      <c r="F621" s="830" t="s">
        <v>325</v>
      </c>
      <c r="G621" s="830" t="s">
        <v>512</v>
      </c>
      <c r="H621" s="830" t="s">
        <v>333</v>
      </c>
      <c r="J621" s="830" t="s">
        <v>327</v>
      </c>
      <c r="K621" s="830" t="s">
        <v>261</v>
      </c>
      <c r="L621" s="830" t="s">
        <v>309</v>
      </c>
      <c r="M621" s="830" t="s">
        <v>470</v>
      </c>
      <c r="N621" s="830" t="s">
        <v>256</v>
      </c>
      <c r="O621" s="830">
        <v>6</v>
      </c>
      <c r="Q621" s="830">
        <v>4</v>
      </c>
      <c r="T621" s="831">
        <v>41736.707546296297</v>
      </c>
    </row>
    <row r="622" spans="1:20" ht="12.75" customHeight="1" x14ac:dyDescent="0.25">
      <c r="A622" s="830" t="s">
        <v>308</v>
      </c>
      <c r="B622" s="830">
        <v>13</v>
      </c>
      <c r="C622" s="830" t="s">
        <v>323</v>
      </c>
      <c r="D622" s="830" t="s">
        <v>324</v>
      </c>
      <c r="F622" s="830" t="s">
        <v>325</v>
      </c>
      <c r="G622" s="830" t="s">
        <v>512</v>
      </c>
      <c r="H622" s="830" t="s">
        <v>326</v>
      </c>
      <c r="J622" s="830" t="s">
        <v>327</v>
      </c>
      <c r="K622" s="830" t="s">
        <v>261</v>
      </c>
      <c r="L622" s="830" t="s">
        <v>309</v>
      </c>
      <c r="M622" s="830" t="s">
        <v>470</v>
      </c>
      <c r="N622" s="830" t="s">
        <v>256</v>
      </c>
      <c r="O622" s="830">
        <v>2</v>
      </c>
      <c r="Q622" s="830">
        <v>2</v>
      </c>
      <c r="T622" s="831">
        <v>41736.707546296297</v>
      </c>
    </row>
    <row r="623" spans="1:20" ht="12.75" customHeight="1" x14ac:dyDescent="0.25">
      <c r="A623" s="830" t="s">
        <v>308</v>
      </c>
      <c r="B623" s="830">
        <v>13</v>
      </c>
      <c r="C623" s="830" t="s">
        <v>323</v>
      </c>
      <c r="D623" s="830" t="s">
        <v>324</v>
      </c>
      <c r="F623" s="830" t="s">
        <v>325</v>
      </c>
      <c r="G623" s="830" t="s">
        <v>512</v>
      </c>
      <c r="H623" s="830" t="s">
        <v>332</v>
      </c>
      <c r="J623" s="830" t="s">
        <v>327</v>
      </c>
      <c r="K623" s="830" t="s">
        <v>261</v>
      </c>
      <c r="L623" s="830" t="s">
        <v>309</v>
      </c>
      <c r="M623" s="830" t="s">
        <v>470</v>
      </c>
      <c r="N623" s="830" t="s">
        <v>256</v>
      </c>
      <c r="O623" s="830">
        <v>1</v>
      </c>
      <c r="Q623" s="830">
        <v>0</v>
      </c>
      <c r="T623" s="831">
        <v>41736.707546296297</v>
      </c>
    </row>
    <row r="624" spans="1:20" ht="12.75" customHeight="1" x14ac:dyDescent="0.25">
      <c r="A624" s="830" t="s">
        <v>308</v>
      </c>
      <c r="B624" s="830">
        <v>13</v>
      </c>
      <c r="C624" s="830" t="s">
        <v>323</v>
      </c>
      <c r="D624" s="830" t="s">
        <v>324</v>
      </c>
      <c r="F624" s="830" t="s">
        <v>325</v>
      </c>
      <c r="G624" s="830" t="s">
        <v>512</v>
      </c>
      <c r="H624" s="830" t="s">
        <v>328</v>
      </c>
      <c r="J624" s="830" t="s">
        <v>327</v>
      </c>
      <c r="K624" s="830" t="s">
        <v>261</v>
      </c>
      <c r="L624" s="830" t="s">
        <v>309</v>
      </c>
      <c r="M624" s="830" t="s">
        <v>470</v>
      </c>
      <c r="N624" s="830" t="s">
        <v>256</v>
      </c>
      <c r="O624" s="830">
        <v>5</v>
      </c>
      <c r="Q624" s="830">
        <v>0</v>
      </c>
      <c r="T624" s="831">
        <v>41736.707546296297</v>
      </c>
    </row>
    <row r="625" spans="1:20" ht="12.75" customHeight="1" x14ac:dyDescent="0.25">
      <c r="A625" s="830" t="s">
        <v>308</v>
      </c>
      <c r="B625" s="830">
        <v>13</v>
      </c>
      <c r="C625" s="830" t="s">
        <v>323</v>
      </c>
      <c r="D625" s="830" t="s">
        <v>324</v>
      </c>
      <c r="F625" s="830" t="s">
        <v>325</v>
      </c>
      <c r="G625" s="830" t="s">
        <v>512</v>
      </c>
      <c r="H625" s="830" t="s">
        <v>331</v>
      </c>
      <c r="J625" s="830" t="s">
        <v>327</v>
      </c>
      <c r="K625" s="830" t="s">
        <v>261</v>
      </c>
      <c r="L625" s="830" t="s">
        <v>309</v>
      </c>
      <c r="M625" s="830" t="s">
        <v>470</v>
      </c>
      <c r="N625" s="830" t="s">
        <v>256</v>
      </c>
      <c r="Q625" s="830">
        <v>5</v>
      </c>
      <c r="T625" s="831">
        <v>41736.707546296297</v>
      </c>
    </row>
    <row r="626" spans="1:20" ht="12.75" customHeight="1" x14ac:dyDescent="0.25">
      <c r="A626" s="830" t="s">
        <v>308</v>
      </c>
      <c r="B626" s="830">
        <v>13</v>
      </c>
      <c r="C626" s="830" t="s">
        <v>323</v>
      </c>
      <c r="D626" s="830" t="s">
        <v>324</v>
      </c>
      <c r="F626" s="830" t="s">
        <v>325</v>
      </c>
      <c r="G626" s="830" t="s">
        <v>512</v>
      </c>
      <c r="H626" s="830" t="s">
        <v>351</v>
      </c>
      <c r="J626" s="830" t="s">
        <v>327</v>
      </c>
      <c r="K626" s="830" t="s">
        <v>261</v>
      </c>
      <c r="L626" s="830" t="s">
        <v>309</v>
      </c>
      <c r="M626" s="830" t="s">
        <v>471</v>
      </c>
      <c r="N626" s="830" t="s">
        <v>256</v>
      </c>
      <c r="O626" s="830">
        <v>4</v>
      </c>
      <c r="P626" s="830">
        <v>3</v>
      </c>
      <c r="Q626" s="830">
        <v>0</v>
      </c>
      <c r="T626" s="831">
        <v>41736.707546296297</v>
      </c>
    </row>
    <row r="627" spans="1:20" ht="12.75" customHeight="1" x14ac:dyDescent="0.25">
      <c r="A627" s="830" t="s">
        <v>308</v>
      </c>
      <c r="B627" s="830">
        <v>13</v>
      </c>
      <c r="C627" s="830" t="s">
        <v>323</v>
      </c>
      <c r="D627" s="830" t="s">
        <v>324</v>
      </c>
      <c r="F627" s="830" t="s">
        <v>325</v>
      </c>
      <c r="G627" s="830" t="s">
        <v>512</v>
      </c>
      <c r="H627" s="830" t="s">
        <v>331</v>
      </c>
      <c r="J627" s="830" t="s">
        <v>327</v>
      </c>
      <c r="K627" s="830" t="s">
        <v>261</v>
      </c>
      <c r="L627" s="830" t="s">
        <v>309</v>
      </c>
      <c r="M627" s="830" t="s">
        <v>471</v>
      </c>
      <c r="N627" s="830" t="s">
        <v>256</v>
      </c>
      <c r="Q627" s="830">
        <v>18</v>
      </c>
      <c r="T627" s="831">
        <v>41736.707546296297</v>
      </c>
    </row>
    <row r="628" spans="1:20" ht="12.75" customHeight="1" x14ac:dyDescent="0.25">
      <c r="A628" s="830" t="s">
        <v>308</v>
      </c>
      <c r="B628" s="830">
        <v>13</v>
      </c>
      <c r="C628" s="830" t="s">
        <v>323</v>
      </c>
      <c r="D628" s="830" t="s">
        <v>324</v>
      </c>
      <c r="F628" s="830" t="s">
        <v>325</v>
      </c>
      <c r="G628" s="830" t="s">
        <v>512</v>
      </c>
      <c r="H628" s="830" t="s">
        <v>373</v>
      </c>
      <c r="J628" s="830" t="s">
        <v>327</v>
      </c>
      <c r="K628" s="830" t="s">
        <v>261</v>
      </c>
      <c r="L628" s="830" t="s">
        <v>309</v>
      </c>
      <c r="M628" s="830" t="s">
        <v>471</v>
      </c>
      <c r="N628" s="830" t="s">
        <v>256</v>
      </c>
      <c r="O628" s="830">
        <v>1</v>
      </c>
      <c r="P628" s="830">
        <v>1</v>
      </c>
      <c r="Q628" s="830">
        <v>0</v>
      </c>
      <c r="T628" s="831">
        <v>41736.707546296297</v>
      </c>
    </row>
    <row r="629" spans="1:20" ht="12.75" customHeight="1" x14ac:dyDescent="0.25">
      <c r="A629" s="830" t="s">
        <v>308</v>
      </c>
      <c r="B629" s="830">
        <v>13</v>
      </c>
      <c r="C629" s="830" t="s">
        <v>323</v>
      </c>
      <c r="D629" s="830" t="s">
        <v>324</v>
      </c>
      <c r="F629" s="830" t="s">
        <v>325</v>
      </c>
      <c r="G629" s="830" t="s">
        <v>512</v>
      </c>
      <c r="H629" s="830" t="s">
        <v>328</v>
      </c>
      <c r="J629" s="830" t="s">
        <v>327</v>
      </c>
      <c r="K629" s="830" t="s">
        <v>261</v>
      </c>
      <c r="L629" s="830" t="s">
        <v>309</v>
      </c>
      <c r="M629" s="830" t="s">
        <v>471</v>
      </c>
      <c r="N629" s="830" t="s">
        <v>256</v>
      </c>
      <c r="O629" s="830">
        <v>5</v>
      </c>
      <c r="Q629" s="830">
        <v>0</v>
      </c>
      <c r="T629" s="831">
        <v>41736.707546296297</v>
      </c>
    </row>
    <row r="630" spans="1:20" ht="12.75" customHeight="1" x14ac:dyDescent="0.25">
      <c r="A630" s="830" t="s">
        <v>308</v>
      </c>
      <c r="B630" s="830">
        <v>13</v>
      </c>
      <c r="C630" s="830" t="s">
        <v>323</v>
      </c>
      <c r="D630" s="830" t="s">
        <v>324</v>
      </c>
      <c r="F630" s="830" t="s">
        <v>325</v>
      </c>
      <c r="G630" s="830" t="s">
        <v>512</v>
      </c>
      <c r="H630" s="830" t="s">
        <v>367</v>
      </c>
      <c r="J630" s="830" t="s">
        <v>327</v>
      </c>
      <c r="K630" s="830" t="s">
        <v>261</v>
      </c>
      <c r="L630" s="830" t="s">
        <v>309</v>
      </c>
      <c r="M630" s="830" t="s">
        <v>471</v>
      </c>
      <c r="N630" s="830" t="s">
        <v>256</v>
      </c>
      <c r="P630" s="830">
        <v>7</v>
      </c>
      <c r="Q630" s="830">
        <v>0</v>
      </c>
      <c r="T630" s="831">
        <v>41736.707546296297</v>
      </c>
    </row>
    <row r="631" spans="1:20" ht="12.75" customHeight="1" x14ac:dyDescent="0.25">
      <c r="A631" s="830" t="s">
        <v>308</v>
      </c>
      <c r="B631" s="830">
        <v>13</v>
      </c>
      <c r="C631" s="830" t="s">
        <v>323</v>
      </c>
      <c r="D631" s="830" t="s">
        <v>324</v>
      </c>
      <c r="F631" s="830" t="s">
        <v>325</v>
      </c>
      <c r="G631" s="830" t="s">
        <v>512</v>
      </c>
      <c r="H631" s="830" t="s">
        <v>376</v>
      </c>
      <c r="J631" s="830" t="s">
        <v>327</v>
      </c>
      <c r="K631" s="830" t="s">
        <v>261</v>
      </c>
      <c r="L631" s="830" t="s">
        <v>309</v>
      </c>
      <c r="M631" s="830" t="s">
        <v>471</v>
      </c>
      <c r="N631" s="830" t="s">
        <v>256</v>
      </c>
      <c r="O631" s="830">
        <v>6</v>
      </c>
      <c r="P631" s="830">
        <v>2</v>
      </c>
      <c r="Q631" s="830">
        <v>0</v>
      </c>
      <c r="T631" s="831">
        <v>41736.707546296297</v>
      </c>
    </row>
    <row r="632" spans="1:20" ht="12.75" customHeight="1" x14ac:dyDescent="0.25">
      <c r="A632" s="830" t="s">
        <v>308</v>
      </c>
      <c r="B632" s="830">
        <v>13</v>
      </c>
      <c r="C632" s="830" t="s">
        <v>323</v>
      </c>
      <c r="D632" s="830" t="s">
        <v>324</v>
      </c>
      <c r="F632" s="830" t="s">
        <v>325</v>
      </c>
      <c r="G632" s="830" t="s">
        <v>512</v>
      </c>
      <c r="H632" s="830" t="s">
        <v>372</v>
      </c>
      <c r="J632" s="830" t="s">
        <v>327</v>
      </c>
      <c r="K632" s="830" t="s">
        <v>261</v>
      </c>
      <c r="L632" s="830" t="s">
        <v>309</v>
      </c>
      <c r="M632" s="830" t="s">
        <v>471</v>
      </c>
      <c r="N632" s="830" t="s">
        <v>256</v>
      </c>
      <c r="O632" s="830">
        <v>1</v>
      </c>
      <c r="P632" s="830">
        <v>3</v>
      </c>
      <c r="Q632" s="830">
        <v>0</v>
      </c>
      <c r="T632" s="831">
        <v>41736.707546296297</v>
      </c>
    </row>
    <row r="633" spans="1:20" ht="12.75" customHeight="1" x14ac:dyDescent="0.25">
      <c r="A633" s="830" t="s">
        <v>308</v>
      </c>
      <c r="B633" s="830">
        <v>13</v>
      </c>
      <c r="C633" s="830" t="s">
        <v>323</v>
      </c>
      <c r="D633" s="830" t="s">
        <v>324</v>
      </c>
      <c r="F633" s="830" t="s">
        <v>325</v>
      </c>
      <c r="G633" s="830" t="s">
        <v>512</v>
      </c>
      <c r="H633" s="830" t="s">
        <v>341</v>
      </c>
      <c r="J633" s="830" t="s">
        <v>327</v>
      </c>
      <c r="K633" s="830" t="s">
        <v>261</v>
      </c>
      <c r="L633" s="830" t="s">
        <v>309</v>
      </c>
      <c r="M633" s="830" t="s">
        <v>471</v>
      </c>
      <c r="N633" s="830" t="s">
        <v>256</v>
      </c>
      <c r="O633" s="830">
        <v>5</v>
      </c>
      <c r="P633" s="830">
        <v>2</v>
      </c>
      <c r="Q633" s="830">
        <v>0</v>
      </c>
      <c r="T633" s="831">
        <v>41736.707546296297</v>
      </c>
    </row>
    <row r="634" spans="1:20" ht="12.75" customHeight="1" x14ac:dyDescent="0.25">
      <c r="A634" s="830" t="s">
        <v>308</v>
      </c>
      <c r="B634" s="830">
        <v>13</v>
      </c>
      <c r="C634" s="830" t="s">
        <v>323</v>
      </c>
      <c r="D634" s="830" t="s">
        <v>324</v>
      </c>
      <c r="F634" s="830" t="s">
        <v>325</v>
      </c>
      <c r="G634" s="830" t="s">
        <v>512</v>
      </c>
      <c r="H634" s="830" t="s">
        <v>342</v>
      </c>
      <c r="J634" s="830" t="s">
        <v>327</v>
      </c>
      <c r="K634" s="830" t="s">
        <v>261</v>
      </c>
      <c r="L634" s="830" t="s">
        <v>309</v>
      </c>
      <c r="M634" s="830" t="s">
        <v>471</v>
      </c>
      <c r="N634" s="830" t="s">
        <v>256</v>
      </c>
      <c r="O634" s="830">
        <v>5</v>
      </c>
      <c r="P634" s="830">
        <v>5</v>
      </c>
      <c r="Q634" s="830">
        <v>1</v>
      </c>
      <c r="T634" s="831">
        <v>41736.707546296297</v>
      </c>
    </row>
    <row r="635" spans="1:20" ht="12.75" customHeight="1" x14ac:dyDescent="0.25">
      <c r="A635" s="830" t="s">
        <v>308</v>
      </c>
      <c r="B635" s="830">
        <v>13</v>
      </c>
      <c r="C635" s="830" t="s">
        <v>323</v>
      </c>
      <c r="D635" s="830" t="s">
        <v>324</v>
      </c>
      <c r="F635" s="830" t="s">
        <v>325</v>
      </c>
      <c r="G635" s="830" t="s">
        <v>512</v>
      </c>
      <c r="H635" s="830" t="s">
        <v>350</v>
      </c>
      <c r="J635" s="830" t="s">
        <v>327</v>
      </c>
      <c r="K635" s="830" t="s">
        <v>261</v>
      </c>
      <c r="L635" s="830" t="s">
        <v>309</v>
      </c>
      <c r="M635" s="830" t="s">
        <v>471</v>
      </c>
      <c r="N635" s="830" t="s">
        <v>256</v>
      </c>
      <c r="O635" s="830">
        <v>4</v>
      </c>
      <c r="P635" s="830">
        <v>4</v>
      </c>
      <c r="Q635" s="830">
        <v>160</v>
      </c>
      <c r="T635" s="831">
        <v>41736.707546296297</v>
      </c>
    </row>
    <row r="636" spans="1:20" ht="12.75" customHeight="1" x14ac:dyDescent="0.25">
      <c r="A636" s="830" t="s">
        <v>308</v>
      </c>
      <c r="B636" s="830">
        <v>13</v>
      </c>
      <c r="C636" s="830" t="s">
        <v>323</v>
      </c>
      <c r="D636" s="830" t="s">
        <v>324</v>
      </c>
      <c r="F636" s="830" t="s">
        <v>325</v>
      </c>
      <c r="G636" s="830" t="s">
        <v>512</v>
      </c>
      <c r="H636" s="830" t="s">
        <v>358</v>
      </c>
      <c r="J636" s="830" t="s">
        <v>327</v>
      </c>
      <c r="K636" s="830" t="s">
        <v>261</v>
      </c>
      <c r="L636" s="830" t="s">
        <v>309</v>
      </c>
      <c r="M636" s="830" t="s">
        <v>471</v>
      </c>
      <c r="N636" s="830" t="s">
        <v>256</v>
      </c>
      <c r="O636" s="830">
        <v>3</v>
      </c>
      <c r="P636" s="830">
        <v>3</v>
      </c>
      <c r="Q636" s="830">
        <v>2</v>
      </c>
      <c r="T636" s="831">
        <v>41736.707546296297</v>
      </c>
    </row>
    <row r="637" spans="1:20" ht="12.75" customHeight="1" x14ac:dyDescent="0.25">
      <c r="A637" s="830" t="s">
        <v>308</v>
      </c>
      <c r="B637" s="830">
        <v>13</v>
      </c>
      <c r="C637" s="830" t="s">
        <v>323</v>
      </c>
      <c r="D637" s="830" t="s">
        <v>324</v>
      </c>
      <c r="F637" s="830" t="s">
        <v>325</v>
      </c>
      <c r="G637" s="830" t="s">
        <v>512</v>
      </c>
      <c r="H637" s="830" t="s">
        <v>343</v>
      </c>
      <c r="J637" s="830" t="s">
        <v>327</v>
      </c>
      <c r="K637" s="830" t="s">
        <v>261</v>
      </c>
      <c r="L637" s="830" t="s">
        <v>309</v>
      </c>
      <c r="M637" s="830" t="s">
        <v>471</v>
      </c>
      <c r="N637" s="830" t="s">
        <v>256</v>
      </c>
      <c r="O637" s="830">
        <v>5</v>
      </c>
      <c r="P637" s="830">
        <v>4</v>
      </c>
      <c r="Q637" s="830">
        <v>0</v>
      </c>
      <c r="T637" s="831">
        <v>41736.707546296297</v>
      </c>
    </row>
    <row r="638" spans="1:20" ht="12.75" customHeight="1" x14ac:dyDescent="0.25">
      <c r="A638" s="830" t="s">
        <v>308</v>
      </c>
      <c r="B638" s="830">
        <v>13</v>
      </c>
      <c r="C638" s="830" t="s">
        <v>323</v>
      </c>
      <c r="D638" s="830" t="s">
        <v>324</v>
      </c>
      <c r="F638" s="830" t="s">
        <v>325</v>
      </c>
      <c r="G638" s="830" t="s">
        <v>512</v>
      </c>
      <c r="H638" s="830" t="s">
        <v>357</v>
      </c>
      <c r="J638" s="830" t="s">
        <v>327</v>
      </c>
      <c r="K638" s="830" t="s">
        <v>261</v>
      </c>
      <c r="L638" s="830" t="s">
        <v>309</v>
      </c>
      <c r="M638" s="830" t="s">
        <v>471</v>
      </c>
      <c r="N638" s="830" t="s">
        <v>256</v>
      </c>
      <c r="O638" s="830">
        <v>3</v>
      </c>
      <c r="P638" s="830">
        <v>4</v>
      </c>
      <c r="Q638" s="830">
        <v>50</v>
      </c>
      <c r="T638" s="831">
        <v>41736.707546296297</v>
      </c>
    </row>
    <row r="639" spans="1:20" ht="12.75" customHeight="1" x14ac:dyDescent="0.25">
      <c r="A639" s="830" t="s">
        <v>308</v>
      </c>
      <c r="B639" s="830">
        <v>13</v>
      </c>
      <c r="C639" s="830" t="s">
        <v>323</v>
      </c>
      <c r="D639" s="830" t="s">
        <v>324</v>
      </c>
      <c r="F639" s="830" t="s">
        <v>325</v>
      </c>
      <c r="G639" s="830" t="s">
        <v>512</v>
      </c>
      <c r="H639" s="830" t="s">
        <v>374</v>
      </c>
      <c r="J639" s="830" t="s">
        <v>327</v>
      </c>
      <c r="K639" s="830" t="s">
        <v>261</v>
      </c>
      <c r="L639" s="830" t="s">
        <v>309</v>
      </c>
      <c r="M639" s="830" t="s">
        <v>471</v>
      </c>
      <c r="N639" s="830" t="s">
        <v>256</v>
      </c>
      <c r="O639" s="830">
        <v>1</v>
      </c>
      <c r="P639" s="830">
        <v>7</v>
      </c>
      <c r="Q639" s="830">
        <v>0</v>
      </c>
      <c r="T639" s="831">
        <v>41736.707546296297</v>
      </c>
    </row>
    <row r="640" spans="1:20" ht="12.75" customHeight="1" x14ac:dyDescent="0.25">
      <c r="A640" s="830" t="s">
        <v>308</v>
      </c>
      <c r="B640" s="830">
        <v>13</v>
      </c>
      <c r="C640" s="830" t="s">
        <v>323</v>
      </c>
      <c r="D640" s="830" t="s">
        <v>324</v>
      </c>
      <c r="F640" s="830" t="s">
        <v>325</v>
      </c>
      <c r="G640" s="830" t="s">
        <v>512</v>
      </c>
      <c r="H640" s="830" t="s">
        <v>338</v>
      </c>
      <c r="J640" s="830" t="s">
        <v>327</v>
      </c>
      <c r="K640" s="830" t="s">
        <v>261</v>
      </c>
      <c r="L640" s="830" t="s">
        <v>309</v>
      </c>
      <c r="M640" s="830" t="s">
        <v>471</v>
      </c>
      <c r="N640" s="830" t="s">
        <v>256</v>
      </c>
      <c r="O640" s="830">
        <v>2</v>
      </c>
      <c r="P640" s="830">
        <v>1</v>
      </c>
      <c r="Q640" s="830">
        <v>0</v>
      </c>
      <c r="T640" s="831">
        <v>41736.707546296297</v>
      </c>
    </row>
    <row r="641" spans="1:20" ht="12.75" customHeight="1" x14ac:dyDescent="0.25">
      <c r="A641" s="830" t="s">
        <v>308</v>
      </c>
      <c r="B641" s="830">
        <v>13</v>
      </c>
      <c r="C641" s="830" t="s">
        <v>323</v>
      </c>
      <c r="D641" s="830" t="s">
        <v>324</v>
      </c>
      <c r="F641" s="830" t="s">
        <v>325</v>
      </c>
      <c r="G641" s="830" t="s">
        <v>512</v>
      </c>
      <c r="H641" s="830" t="s">
        <v>381</v>
      </c>
      <c r="J641" s="830" t="s">
        <v>327</v>
      </c>
      <c r="K641" s="830" t="s">
        <v>261</v>
      </c>
      <c r="L641" s="830" t="s">
        <v>309</v>
      </c>
      <c r="M641" s="830" t="s">
        <v>471</v>
      </c>
      <c r="N641" s="830" t="s">
        <v>256</v>
      </c>
      <c r="O641" s="830">
        <v>6</v>
      </c>
      <c r="P641" s="830">
        <v>7</v>
      </c>
      <c r="Q641" s="830">
        <v>0</v>
      </c>
      <c r="T641" s="831">
        <v>41736.707546296297</v>
      </c>
    </row>
    <row r="642" spans="1:20" ht="12.75" customHeight="1" x14ac:dyDescent="0.25">
      <c r="A642" s="830" t="s">
        <v>308</v>
      </c>
      <c r="B642" s="830">
        <v>13</v>
      </c>
      <c r="C642" s="830" t="s">
        <v>323</v>
      </c>
      <c r="D642" s="830" t="s">
        <v>324</v>
      </c>
      <c r="F642" s="830" t="s">
        <v>325</v>
      </c>
      <c r="G642" s="830" t="s">
        <v>512</v>
      </c>
      <c r="H642" s="830" t="s">
        <v>346</v>
      </c>
      <c r="J642" s="830" t="s">
        <v>327</v>
      </c>
      <c r="K642" s="830" t="s">
        <v>261</v>
      </c>
      <c r="L642" s="830" t="s">
        <v>309</v>
      </c>
      <c r="M642" s="830" t="s">
        <v>471</v>
      </c>
      <c r="N642" s="830" t="s">
        <v>256</v>
      </c>
      <c r="O642" s="830">
        <v>5</v>
      </c>
      <c r="P642" s="830">
        <v>7</v>
      </c>
      <c r="Q642" s="830">
        <v>0</v>
      </c>
      <c r="T642" s="831">
        <v>41736.707546296297</v>
      </c>
    </row>
    <row r="643" spans="1:20" ht="12.75" customHeight="1" x14ac:dyDescent="0.25">
      <c r="A643" s="830" t="s">
        <v>308</v>
      </c>
      <c r="B643" s="830">
        <v>13</v>
      </c>
      <c r="C643" s="830" t="s">
        <v>323</v>
      </c>
      <c r="D643" s="830" t="s">
        <v>324</v>
      </c>
      <c r="F643" s="830" t="s">
        <v>325</v>
      </c>
      <c r="G643" s="830" t="s">
        <v>512</v>
      </c>
      <c r="H643" s="830" t="s">
        <v>339</v>
      </c>
      <c r="J643" s="830" t="s">
        <v>327</v>
      </c>
      <c r="K643" s="830" t="s">
        <v>261</v>
      </c>
      <c r="L643" s="830" t="s">
        <v>309</v>
      </c>
      <c r="M643" s="830" t="s">
        <v>471</v>
      </c>
      <c r="N643" s="830" t="s">
        <v>256</v>
      </c>
      <c r="O643" s="830">
        <v>2</v>
      </c>
      <c r="P643" s="830">
        <v>7</v>
      </c>
      <c r="Q643" s="830">
        <v>0</v>
      </c>
      <c r="T643" s="831">
        <v>41736.707546296297</v>
      </c>
    </row>
    <row r="644" spans="1:20" ht="12.75" customHeight="1" x14ac:dyDescent="0.25">
      <c r="A644" s="830" t="s">
        <v>308</v>
      </c>
      <c r="B644" s="830">
        <v>13</v>
      </c>
      <c r="C644" s="830" t="s">
        <v>323</v>
      </c>
      <c r="D644" s="830" t="s">
        <v>324</v>
      </c>
      <c r="F644" s="830" t="s">
        <v>325</v>
      </c>
      <c r="G644" s="830" t="s">
        <v>512</v>
      </c>
      <c r="H644" s="830" t="s">
        <v>359</v>
      </c>
      <c r="J644" s="830" t="s">
        <v>327</v>
      </c>
      <c r="K644" s="830" t="s">
        <v>261</v>
      </c>
      <c r="L644" s="830" t="s">
        <v>309</v>
      </c>
      <c r="M644" s="830" t="s">
        <v>471</v>
      </c>
      <c r="N644" s="830" t="s">
        <v>256</v>
      </c>
      <c r="O644" s="830">
        <v>3</v>
      </c>
      <c r="P644" s="830">
        <v>1</v>
      </c>
      <c r="Q644" s="830">
        <v>0</v>
      </c>
      <c r="T644" s="831">
        <v>41736.707546296297</v>
      </c>
    </row>
    <row r="645" spans="1:20" ht="12.75" customHeight="1" x14ac:dyDescent="0.25">
      <c r="A645" s="830" t="s">
        <v>308</v>
      </c>
      <c r="B645" s="830">
        <v>13</v>
      </c>
      <c r="C645" s="830" t="s">
        <v>323</v>
      </c>
      <c r="D645" s="830" t="s">
        <v>324</v>
      </c>
      <c r="F645" s="830" t="s">
        <v>325</v>
      </c>
      <c r="G645" s="830" t="s">
        <v>512</v>
      </c>
      <c r="H645" s="830" t="s">
        <v>329</v>
      </c>
      <c r="J645" s="830" t="s">
        <v>327</v>
      </c>
      <c r="K645" s="830" t="s">
        <v>261</v>
      </c>
      <c r="L645" s="830" t="s">
        <v>309</v>
      </c>
      <c r="M645" s="830" t="s">
        <v>471</v>
      </c>
      <c r="N645" s="830" t="s">
        <v>256</v>
      </c>
      <c r="O645" s="830">
        <v>4</v>
      </c>
      <c r="Q645" s="830">
        <v>3</v>
      </c>
      <c r="T645" s="831">
        <v>41736.707546296297</v>
      </c>
    </row>
    <row r="646" spans="1:20" ht="12.75" customHeight="1" x14ac:dyDescent="0.25">
      <c r="A646" s="830" t="s">
        <v>308</v>
      </c>
      <c r="B646" s="830">
        <v>13</v>
      </c>
      <c r="C646" s="830" t="s">
        <v>323</v>
      </c>
      <c r="D646" s="830" t="s">
        <v>324</v>
      </c>
      <c r="F646" s="830" t="s">
        <v>325</v>
      </c>
      <c r="G646" s="830" t="s">
        <v>512</v>
      </c>
      <c r="H646" s="830" t="s">
        <v>352</v>
      </c>
      <c r="J646" s="830" t="s">
        <v>327</v>
      </c>
      <c r="K646" s="830" t="s">
        <v>261</v>
      </c>
      <c r="L646" s="830" t="s">
        <v>309</v>
      </c>
      <c r="M646" s="830" t="s">
        <v>471</v>
      </c>
      <c r="N646" s="830" t="s">
        <v>256</v>
      </c>
      <c r="O646" s="830">
        <v>4</v>
      </c>
      <c r="P646" s="830">
        <v>1</v>
      </c>
      <c r="Q646" s="830">
        <v>0</v>
      </c>
      <c r="T646" s="831">
        <v>41736.707546296297</v>
      </c>
    </row>
    <row r="647" spans="1:20" ht="12.75" customHeight="1" x14ac:dyDescent="0.25">
      <c r="A647" s="830" t="s">
        <v>308</v>
      </c>
      <c r="B647" s="830">
        <v>13</v>
      </c>
      <c r="C647" s="830" t="s">
        <v>323</v>
      </c>
      <c r="D647" s="830" t="s">
        <v>324</v>
      </c>
      <c r="F647" s="830" t="s">
        <v>325</v>
      </c>
      <c r="G647" s="830" t="s">
        <v>512</v>
      </c>
      <c r="H647" s="830" t="s">
        <v>353</v>
      </c>
      <c r="J647" s="830" t="s">
        <v>327</v>
      </c>
      <c r="K647" s="830" t="s">
        <v>261</v>
      </c>
      <c r="L647" s="830" t="s">
        <v>309</v>
      </c>
      <c r="M647" s="830" t="s">
        <v>471</v>
      </c>
      <c r="N647" s="830" t="s">
        <v>256</v>
      </c>
      <c r="O647" s="830">
        <v>4</v>
      </c>
      <c r="P647" s="830">
        <v>7</v>
      </c>
      <c r="Q647" s="830">
        <v>0</v>
      </c>
      <c r="T647" s="831">
        <v>41736.707546296297</v>
      </c>
    </row>
    <row r="648" spans="1:20" ht="12.75" customHeight="1" x14ac:dyDescent="0.25">
      <c r="A648" s="830" t="s">
        <v>308</v>
      </c>
      <c r="B648" s="830">
        <v>13</v>
      </c>
      <c r="C648" s="830" t="s">
        <v>323</v>
      </c>
      <c r="D648" s="830" t="s">
        <v>324</v>
      </c>
      <c r="F648" s="830" t="s">
        <v>325</v>
      </c>
      <c r="G648" s="830" t="s">
        <v>512</v>
      </c>
      <c r="H648" s="830" t="s">
        <v>326</v>
      </c>
      <c r="J648" s="830" t="s">
        <v>327</v>
      </c>
      <c r="K648" s="830" t="s">
        <v>261</v>
      </c>
      <c r="L648" s="830" t="s">
        <v>309</v>
      </c>
      <c r="M648" s="830" t="s">
        <v>471</v>
      </c>
      <c r="N648" s="830" t="s">
        <v>256</v>
      </c>
      <c r="O648" s="830">
        <v>2</v>
      </c>
      <c r="Q648" s="830">
        <v>5</v>
      </c>
      <c r="T648" s="831">
        <v>41736.707546296297</v>
      </c>
    </row>
    <row r="649" spans="1:20" ht="12.75" customHeight="1" x14ac:dyDescent="0.25">
      <c r="A649" s="830" t="s">
        <v>308</v>
      </c>
      <c r="B649" s="830">
        <v>13</v>
      </c>
      <c r="C649" s="830" t="s">
        <v>323</v>
      </c>
      <c r="D649" s="830" t="s">
        <v>324</v>
      </c>
      <c r="F649" s="830" t="s">
        <v>325</v>
      </c>
      <c r="G649" s="830" t="s">
        <v>512</v>
      </c>
      <c r="H649" s="830" t="s">
        <v>360</v>
      </c>
      <c r="J649" s="830" t="s">
        <v>327</v>
      </c>
      <c r="K649" s="830" t="s">
        <v>261</v>
      </c>
      <c r="L649" s="830" t="s">
        <v>309</v>
      </c>
      <c r="M649" s="830" t="s">
        <v>471</v>
      </c>
      <c r="N649" s="830" t="s">
        <v>256</v>
      </c>
      <c r="O649" s="830">
        <v>3</v>
      </c>
      <c r="P649" s="830">
        <v>7</v>
      </c>
      <c r="Q649" s="830">
        <v>0</v>
      </c>
      <c r="T649" s="831">
        <v>41736.707546296297</v>
      </c>
    </row>
    <row r="650" spans="1:20" ht="12.75" customHeight="1" x14ac:dyDescent="0.25">
      <c r="A650" s="830" t="s">
        <v>308</v>
      </c>
      <c r="B650" s="830">
        <v>13</v>
      </c>
      <c r="C650" s="830" t="s">
        <v>323</v>
      </c>
      <c r="D650" s="830" t="s">
        <v>324</v>
      </c>
      <c r="F650" s="830" t="s">
        <v>325</v>
      </c>
      <c r="G650" s="830" t="s">
        <v>512</v>
      </c>
      <c r="H650" s="830" t="s">
        <v>365</v>
      </c>
      <c r="J650" s="830" t="s">
        <v>327</v>
      </c>
      <c r="K650" s="830" t="s">
        <v>261</v>
      </c>
      <c r="L650" s="830" t="s">
        <v>309</v>
      </c>
      <c r="M650" s="830" t="s">
        <v>471</v>
      </c>
      <c r="N650" s="830" t="s">
        <v>256</v>
      </c>
      <c r="P650" s="830">
        <v>3</v>
      </c>
      <c r="Q650" s="830">
        <v>0</v>
      </c>
      <c r="T650" s="831">
        <v>41736.707546296297</v>
      </c>
    </row>
    <row r="651" spans="1:20" ht="12.75" customHeight="1" x14ac:dyDescent="0.25">
      <c r="A651" s="830" t="s">
        <v>308</v>
      </c>
      <c r="B651" s="830">
        <v>13</v>
      </c>
      <c r="C651" s="830" t="s">
        <v>323</v>
      </c>
      <c r="D651" s="830" t="s">
        <v>324</v>
      </c>
      <c r="F651" s="830" t="s">
        <v>325</v>
      </c>
      <c r="G651" s="830" t="s">
        <v>512</v>
      </c>
      <c r="H651" s="830" t="s">
        <v>332</v>
      </c>
      <c r="J651" s="830" t="s">
        <v>327</v>
      </c>
      <c r="K651" s="830" t="s">
        <v>261</v>
      </c>
      <c r="L651" s="830" t="s">
        <v>309</v>
      </c>
      <c r="M651" s="830" t="s">
        <v>471</v>
      </c>
      <c r="N651" s="830" t="s">
        <v>256</v>
      </c>
      <c r="O651" s="830">
        <v>1</v>
      </c>
      <c r="Q651" s="830">
        <v>6</v>
      </c>
      <c r="T651" s="831">
        <v>41736.707546296297</v>
      </c>
    </row>
    <row r="652" spans="1:20" ht="12.75" customHeight="1" x14ac:dyDescent="0.25">
      <c r="A652" s="830" t="s">
        <v>308</v>
      </c>
      <c r="B652" s="830">
        <v>13</v>
      </c>
      <c r="C652" s="830" t="s">
        <v>323</v>
      </c>
      <c r="D652" s="830" t="s">
        <v>324</v>
      </c>
      <c r="F652" s="830" t="s">
        <v>325</v>
      </c>
      <c r="G652" s="830" t="s">
        <v>512</v>
      </c>
      <c r="H652" s="830" t="s">
        <v>333</v>
      </c>
      <c r="J652" s="830" t="s">
        <v>327</v>
      </c>
      <c r="K652" s="830" t="s">
        <v>261</v>
      </c>
      <c r="L652" s="830" t="s">
        <v>309</v>
      </c>
      <c r="M652" s="830" t="s">
        <v>471</v>
      </c>
      <c r="N652" s="830" t="s">
        <v>256</v>
      </c>
      <c r="O652" s="830">
        <v>6</v>
      </c>
      <c r="Q652" s="830">
        <v>0</v>
      </c>
      <c r="T652" s="831">
        <v>41736.707546296297</v>
      </c>
    </row>
    <row r="653" spans="1:20" ht="12.75" customHeight="1" x14ac:dyDescent="0.25">
      <c r="A653" s="830" t="s">
        <v>308</v>
      </c>
      <c r="B653" s="830">
        <v>13</v>
      </c>
      <c r="C653" s="830" t="s">
        <v>323</v>
      </c>
      <c r="D653" s="830" t="s">
        <v>324</v>
      </c>
      <c r="F653" s="830" t="s">
        <v>325</v>
      </c>
      <c r="G653" s="830" t="s">
        <v>512</v>
      </c>
      <c r="H653" s="830" t="s">
        <v>347</v>
      </c>
      <c r="J653" s="830" t="s">
        <v>327</v>
      </c>
      <c r="K653" s="830" t="s">
        <v>261</v>
      </c>
      <c r="L653" s="830" t="s">
        <v>309</v>
      </c>
      <c r="M653" s="830" t="s">
        <v>471</v>
      </c>
      <c r="N653" s="830" t="s">
        <v>256</v>
      </c>
      <c r="O653" s="830">
        <v>5</v>
      </c>
      <c r="P653" s="830">
        <v>6</v>
      </c>
      <c r="Q653" s="830">
        <v>0</v>
      </c>
      <c r="T653" s="831">
        <v>41736.707546296297</v>
      </c>
    </row>
    <row r="654" spans="1:20" ht="12.75" customHeight="1" x14ac:dyDescent="0.25">
      <c r="A654" s="830" t="s">
        <v>308</v>
      </c>
      <c r="B654" s="830">
        <v>13</v>
      </c>
      <c r="C654" s="830" t="s">
        <v>323</v>
      </c>
      <c r="D654" s="830" t="s">
        <v>324</v>
      </c>
      <c r="F654" s="830" t="s">
        <v>325</v>
      </c>
      <c r="G654" s="830" t="s">
        <v>512</v>
      </c>
      <c r="H654" s="830" t="s">
        <v>336</v>
      </c>
      <c r="J654" s="830" t="s">
        <v>327</v>
      </c>
      <c r="K654" s="830" t="s">
        <v>261</v>
      </c>
      <c r="L654" s="830" t="s">
        <v>309</v>
      </c>
      <c r="M654" s="830" t="s">
        <v>471</v>
      </c>
      <c r="N654" s="830" t="s">
        <v>256</v>
      </c>
      <c r="O654" s="830">
        <v>2</v>
      </c>
      <c r="P654" s="830">
        <v>4</v>
      </c>
      <c r="Q654" s="830">
        <v>7</v>
      </c>
      <c r="T654" s="831">
        <v>41736.707546296297</v>
      </c>
    </row>
    <row r="655" spans="1:20" ht="12.75" customHeight="1" x14ac:dyDescent="0.25">
      <c r="A655" s="830" t="s">
        <v>308</v>
      </c>
      <c r="B655" s="830">
        <v>13</v>
      </c>
      <c r="C655" s="830" t="s">
        <v>323</v>
      </c>
      <c r="D655" s="830" t="s">
        <v>324</v>
      </c>
      <c r="F655" s="830" t="s">
        <v>325</v>
      </c>
      <c r="G655" s="830" t="s">
        <v>512</v>
      </c>
      <c r="H655" s="830" t="s">
        <v>368</v>
      </c>
      <c r="J655" s="830" t="s">
        <v>327</v>
      </c>
      <c r="K655" s="830" t="s">
        <v>261</v>
      </c>
      <c r="L655" s="830" t="s">
        <v>309</v>
      </c>
      <c r="M655" s="830" t="s">
        <v>471</v>
      </c>
      <c r="N655" s="830" t="s">
        <v>256</v>
      </c>
      <c r="P655" s="830">
        <v>6</v>
      </c>
      <c r="Q655" s="830">
        <v>0</v>
      </c>
      <c r="T655" s="831">
        <v>41736.707546296297</v>
      </c>
    </row>
    <row r="656" spans="1:20" ht="12.75" customHeight="1" x14ac:dyDescent="0.25">
      <c r="A656" s="830" t="s">
        <v>308</v>
      </c>
      <c r="B656" s="830">
        <v>13</v>
      </c>
      <c r="C656" s="830" t="s">
        <v>323</v>
      </c>
      <c r="D656" s="830" t="s">
        <v>324</v>
      </c>
      <c r="F656" s="830" t="s">
        <v>325</v>
      </c>
      <c r="G656" s="830" t="s">
        <v>512</v>
      </c>
      <c r="H656" s="830" t="s">
        <v>380</v>
      </c>
      <c r="J656" s="830" t="s">
        <v>327</v>
      </c>
      <c r="K656" s="830" t="s">
        <v>261</v>
      </c>
      <c r="L656" s="830" t="s">
        <v>309</v>
      </c>
      <c r="M656" s="830" t="s">
        <v>471</v>
      </c>
      <c r="N656" s="830" t="s">
        <v>256</v>
      </c>
      <c r="O656" s="830">
        <v>6</v>
      </c>
      <c r="P656" s="830">
        <v>1</v>
      </c>
      <c r="Q656" s="830">
        <v>0</v>
      </c>
      <c r="T656" s="831">
        <v>41736.707546296297</v>
      </c>
    </row>
    <row r="657" spans="1:20" ht="12.75" customHeight="1" x14ac:dyDescent="0.25">
      <c r="A657" s="830" t="s">
        <v>308</v>
      </c>
      <c r="B657" s="830">
        <v>13</v>
      </c>
      <c r="C657" s="830" t="s">
        <v>323</v>
      </c>
      <c r="D657" s="830" t="s">
        <v>324</v>
      </c>
      <c r="F657" s="830" t="s">
        <v>325</v>
      </c>
      <c r="G657" s="830" t="s">
        <v>512</v>
      </c>
      <c r="H657" s="830" t="s">
        <v>379</v>
      </c>
      <c r="J657" s="830" t="s">
        <v>327</v>
      </c>
      <c r="K657" s="830" t="s">
        <v>261</v>
      </c>
      <c r="L657" s="830" t="s">
        <v>309</v>
      </c>
      <c r="M657" s="830" t="s">
        <v>471</v>
      </c>
      <c r="N657" s="830" t="s">
        <v>256</v>
      </c>
      <c r="O657" s="830">
        <v>6</v>
      </c>
      <c r="P657" s="830">
        <v>3</v>
      </c>
      <c r="Q657" s="830">
        <v>0</v>
      </c>
      <c r="T657" s="831">
        <v>41736.707546296297</v>
      </c>
    </row>
    <row r="658" spans="1:20" ht="12.75" customHeight="1" x14ac:dyDescent="0.25">
      <c r="A658" s="830" t="s">
        <v>308</v>
      </c>
      <c r="B658" s="830">
        <v>13</v>
      </c>
      <c r="C658" s="830" t="s">
        <v>323</v>
      </c>
      <c r="D658" s="830" t="s">
        <v>324</v>
      </c>
      <c r="F658" s="830" t="s">
        <v>325</v>
      </c>
      <c r="G658" s="830" t="s">
        <v>512</v>
      </c>
      <c r="H658" s="830" t="s">
        <v>348</v>
      </c>
      <c r="J658" s="830" t="s">
        <v>327</v>
      </c>
      <c r="K658" s="830" t="s">
        <v>261</v>
      </c>
      <c r="L658" s="830" t="s">
        <v>309</v>
      </c>
      <c r="M658" s="830" t="s">
        <v>471</v>
      </c>
      <c r="N658" s="830" t="s">
        <v>256</v>
      </c>
      <c r="O658" s="830">
        <v>4</v>
      </c>
      <c r="P658" s="830">
        <v>2</v>
      </c>
      <c r="Q658" s="830">
        <v>0</v>
      </c>
      <c r="T658" s="831">
        <v>41736.707546296297</v>
      </c>
    </row>
    <row r="659" spans="1:20" ht="12.75" customHeight="1" x14ac:dyDescent="0.25">
      <c r="A659" s="830" t="s">
        <v>308</v>
      </c>
      <c r="B659" s="830">
        <v>13</v>
      </c>
      <c r="C659" s="830" t="s">
        <v>323</v>
      </c>
      <c r="D659" s="830" t="s">
        <v>324</v>
      </c>
      <c r="F659" s="830" t="s">
        <v>325</v>
      </c>
      <c r="G659" s="830" t="s">
        <v>512</v>
      </c>
      <c r="H659" s="830" t="s">
        <v>371</v>
      </c>
      <c r="J659" s="830" t="s">
        <v>327</v>
      </c>
      <c r="K659" s="830" t="s">
        <v>261</v>
      </c>
      <c r="L659" s="830" t="s">
        <v>309</v>
      </c>
      <c r="M659" s="830" t="s">
        <v>471</v>
      </c>
      <c r="N659" s="830" t="s">
        <v>256</v>
      </c>
      <c r="O659" s="830">
        <v>1</v>
      </c>
      <c r="P659" s="830">
        <v>4</v>
      </c>
      <c r="Q659" s="830">
        <v>18</v>
      </c>
      <c r="T659" s="831">
        <v>41736.707546296297</v>
      </c>
    </row>
    <row r="660" spans="1:20" ht="12.75" customHeight="1" x14ac:dyDescent="0.25">
      <c r="A660" s="830" t="s">
        <v>308</v>
      </c>
      <c r="B660" s="830">
        <v>13</v>
      </c>
      <c r="C660" s="830" t="s">
        <v>323</v>
      </c>
      <c r="D660" s="830" t="s">
        <v>324</v>
      </c>
      <c r="F660" s="830" t="s">
        <v>325</v>
      </c>
      <c r="G660" s="830" t="s">
        <v>512</v>
      </c>
      <c r="H660" s="830" t="s">
        <v>382</v>
      </c>
      <c r="J660" s="830" t="s">
        <v>327</v>
      </c>
      <c r="K660" s="830" t="s">
        <v>261</v>
      </c>
      <c r="L660" s="830" t="s">
        <v>309</v>
      </c>
      <c r="M660" s="830" t="s">
        <v>471</v>
      </c>
      <c r="N660" s="830" t="s">
        <v>256</v>
      </c>
      <c r="O660" s="830">
        <v>6</v>
      </c>
      <c r="P660" s="830">
        <v>6</v>
      </c>
      <c r="Q660" s="830">
        <v>4</v>
      </c>
      <c r="T660" s="831">
        <v>41736.707546296297</v>
      </c>
    </row>
    <row r="661" spans="1:20" ht="12.75" customHeight="1" x14ac:dyDescent="0.25">
      <c r="A661" s="830" t="s">
        <v>308</v>
      </c>
      <c r="B661" s="830">
        <v>13</v>
      </c>
      <c r="C661" s="830" t="s">
        <v>323</v>
      </c>
      <c r="D661" s="830" t="s">
        <v>324</v>
      </c>
      <c r="F661" s="830" t="s">
        <v>325</v>
      </c>
      <c r="G661" s="830" t="s">
        <v>512</v>
      </c>
      <c r="H661" s="830" t="s">
        <v>363</v>
      </c>
      <c r="J661" s="830" t="s">
        <v>327</v>
      </c>
      <c r="K661" s="830" t="s">
        <v>261</v>
      </c>
      <c r="L661" s="830" t="s">
        <v>309</v>
      </c>
      <c r="M661" s="830" t="s">
        <v>471</v>
      </c>
      <c r="N661" s="830" t="s">
        <v>256</v>
      </c>
      <c r="P661" s="830">
        <v>5</v>
      </c>
      <c r="Q661" s="830">
        <v>0</v>
      </c>
      <c r="T661" s="831">
        <v>41736.707546296297</v>
      </c>
    </row>
    <row r="662" spans="1:20" ht="12.75" customHeight="1" x14ac:dyDescent="0.25">
      <c r="A662" s="830" t="s">
        <v>308</v>
      </c>
      <c r="B662" s="830">
        <v>13</v>
      </c>
      <c r="C662" s="830" t="s">
        <v>323</v>
      </c>
      <c r="D662" s="830" t="s">
        <v>324</v>
      </c>
      <c r="F662" s="830" t="s">
        <v>325</v>
      </c>
      <c r="G662" s="830" t="s">
        <v>512</v>
      </c>
      <c r="H662" s="830" t="s">
        <v>334</v>
      </c>
      <c r="J662" s="830" t="s">
        <v>327</v>
      </c>
      <c r="K662" s="830" t="s">
        <v>261</v>
      </c>
      <c r="L662" s="830" t="s">
        <v>309</v>
      </c>
      <c r="M662" s="830" t="s">
        <v>471</v>
      </c>
      <c r="N662" s="830" t="s">
        <v>256</v>
      </c>
      <c r="O662" s="830">
        <v>2</v>
      </c>
      <c r="P662" s="830">
        <v>2</v>
      </c>
      <c r="Q662" s="830">
        <v>1</v>
      </c>
      <c r="T662" s="831">
        <v>41736.707546296297</v>
      </c>
    </row>
    <row r="663" spans="1:20" ht="12.75" customHeight="1" x14ac:dyDescent="0.25">
      <c r="A663" s="830" t="s">
        <v>308</v>
      </c>
      <c r="B663" s="830">
        <v>13</v>
      </c>
      <c r="C663" s="830" t="s">
        <v>323</v>
      </c>
      <c r="D663" s="830" t="s">
        <v>324</v>
      </c>
      <c r="F663" s="830" t="s">
        <v>325</v>
      </c>
      <c r="G663" s="830" t="s">
        <v>512</v>
      </c>
      <c r="H663" s="830" t="s">
        <v>375</v>
      </c>
      <c r="J663" s="830" t="s">
        <v>327</v>
      </c>
      <c r="K663" s="830" t="s">
        <v>261</v>
      </c>
      <c r="L663" s="830" t="s">
        <v>309</v>
      </c>
      <c r="M663" s="830" t="s">
        <v>471</v>
      </c>
      <c r="N663" s="830" t="s">
        <v>256</v>
      </c>
      <c r="O663" s="830">
        <v>1</v>
      </c>
      <c r="P663" s="830">
        <v>6</v>
      </c>
      <c r="Q663" s="830">
        <v>1</v>
      </c>
      <c r="T663" s="831">
        <v>41736.707546296297</v>
      </c>
    </row>
    <row r="664" spans="1:20" ht="12.75" customHeight="1" x14ac:dyDescent="0.25">
      <c r="A664" s="830" t="s">
        <v>308</v>
      </c>
      <c r="B664" s="830">
        <v>13</v>
      </c>
      <c r="C664" s="830" t="s">
        <v>323</v>
      </c>
      <c r="D664" s="830" t="s">
        <v>324</v>
      </c>
      <c r="F664" s="830" t="s">
        <v>325</v>
      </c>
      <c r="G664" s="830" t="s">
        <v>512</v>
      </c>
      <c r="H664" s="830" t="s">
        <v>354</v>
      </c>
      <c r="J664" s="830" t="s">
        <v>327</v>
      </c>
      <c r="K664" s="830" t="s">
        <v>261</v>
      </c>
      <c r="L664" s="830" t="s">
        <v>309</v>
      </c>
      <c r="M664" s="830" t="s">
        <v>471</v>
      </c>
      <c r="N664" s="830" t="s">
        <v>256</v>
      </c>
      <c r="O664" s="830">
        <v>4</v>
      </c>
      <c r="P664" s="830">
        <v>6</v>
      </c>
      <c r="Q664" s="830">
        <v>26</v>
      </c>
      <c r="T664" s="831">
        <v>41736.707546296297</v>
      </c>
    </row>
    <row r="665" spans="1:20" ht="12.75" customHeight="1" x14ac:dyDescent="0.25">
      <c r="A665" s="830" t="s">
        <v>308</v>
      </c>
      <c r="B665" s="830">
        <v>13</v>
      </c>
      <c r="C665" s="830" t="s">
        <v>323</v>
      </c>
      <c r="D665" s="830" t="s">
        <v>324</v>
      </c>
      <c r="F665" s="830" t="s">
        <v>325</v>
      </c>
      <c r="G665" s="830" t="s">
        <v>512</v>
      </c>
      <c r="H665" s="830" t="s">
        <v>340</v>
      </c>
      <c r="J665" s="830" t="s">
        <v>327</v>
      </c>
      <c r="K665" s="830" t="s">
        <v>261</v>
      </c>
      <c r="L665" s="830" t="s">
        <v>309</v>
      </c>
      <c r="M665" s="830" t="s">
        <v>471</v>
      </c>
      <c r="N665" s="830" t="s">
        <v>256</v>
      </c>
      <c r="O665" s="830">
        <v>2</v>
      </c>
      <c r="P665" s="830">
        <v>6</v>
      </c>
      <c r="Q665" s="830">
        <v>0</v>
      </c>
      <c r="T665" s="831">
        <v>41736.707546296297</v>
      </c>
    </row>
    <row r="666" spans="1:20" ht="12.75" customHeight="1" x14ac:dyDescent="0.25">
      <c r="A666" s="830" t="s">
        <v>308</v>
      </c>
      <c r="B666" s="830">
        <v>13</v>
      </c>
      <c r="C666" s="830" t="s">
        <v>323</v>
      </c>
      <c r="D666" s="830" t="s">
        <v>324</v>
      </c>
      <c r="F666" s="830" t="s">
        <v>325</v>
      </c>
      <c r="G666" s="830" t="s">
        <v>512</v>
      </c>
      <c r="H666" s="830" t="s">
        <v>366</v>
      </c>
      <c r="J666" s="830" t="s">
        <v>327</v>
      </c>
      <c r="K666" s="830" t="s">
        <v>261</v>
      </c>
      <c r="L666" s="830" t="s">
        <v>309</v>
      </c>
      <c r="M666" s="830" t="s">
        <v>471</v>
      </c>
      <c r="N666" s="830" t="s">
        <v>256</v>
      </c>
      <c r="P666" s="830">
        <v>1</v>
      </c>
      <c r="Q666" s="830">
        <v>0</v>
      </c>
      <c r="T666" s="831">
        <v>41736.707546296297</v>
      </c>
    </row>
    <row r="667" spans="1:20" ht="12.75" customHeight="1" x14ac:dyDescent="0.25">
      <c r="A667" s="830" t="s">
        <v>308</v>
      </c>
      <c r="B667" s="830">
        <v>13</v>
      </c>
      <c r="C667" s="830" t="s">
        <v>323</v>
      </c>
      <c r="D667" s="830" t="s">
        <v>324</v>
      </c>
      <c r="F667" s="830" t="s">
        <v>325</v>
      </c>
      <c r="G667" s="830" t="s">
        <v>512</v>
      </c>
      <c r="H667" s="830" t="s">
        <v>370</v>
      </c>
      <c r="J667" s="830" t="s">
        <v>327</v>
      </c>
      <c r="K667" s="830" t="s">
        <v>261</v>
      </c>
      <c r="L667" s="830" t="s">
        <v>309</v>
      </c>
      <c r="M667" s="830" t="s">
        <v>471</v>
      </c>
      <c r="N667" s="830" t="s">
        <v>256</v>
      </c>
      <c r="O667" s="830">
        <v>1</v>
      </c>
      <c r="P667" s="830">
        <v>5</v>
      </c>
      <c r="Q667" s="830">
        <v>0</v>
      </c>
      <c r="T667" s="831">
        <v>41736.707546296297</v>
      </c>
    </row>
    <row r="668" spans="1:20" ht="12.75" customHeight="1" x14ac:dyDescent="0.25">
      <c r="A668" s="830" t="s">
        <v>308</v>
      </c>
      <c r="B668" s="830">
        <v>13</v>
      </c>
      <c r="C668" s="830" t="s">
        <v>323</v>
      </c>
      <c r="D668" s="830" t="s">
        <v>324</v>
      </c>
      <c r="F668" s="830" t="s">
        <v>325</v>
      </c>
      <c r="G668" s="830" t="s">
        <v>512</v>
      </c>
      <c r="H668" s="830" t="s">
        <v>349</v>
      </c>
      <c r="J668" s="830" t="s">
        <v>327</v>
      </c>
      <c r="K668" s="830" t="s">
        <v>261</v>
      </c>
      <c r="L668" s="830" t="s">
        <v>309</v>
      </c>
      <c r="M668" s="830" t="s">
        <v>471</v>
      </c>
      <c r="N668" s="830" t="s">
        <v>256</v>
      </c>
      <c r="O668" s="830">
        <v>4</v>
      </c>
      <c r="P668" s="830">
        <v>5</v>
      </c>
      <c r="Q668" s="830">
        <v>0</v>
      </c>
      <c r="T668" s="831">
        <v>41736.707546296297</v>
      </c>
    </row>
    <row r="669" spans="1:20" ht="12.75" customHeight="1" x14ac:dyDescent="0.25">
      <c r="A669" s="830" t="s">
        <v>308</v>
      </c>
      <c r="B669" s="830">
        <v>13</v>
      </c>
      <c r="C669" s="830" t="s">
        <v>323</v>
      </c>
      <c r="D669" s="830" t="s">
        <v>324</v>
      </c>
      <c r="F669" s="830" t="s">
        <v>325</v>
      </c>
      <c r="G669" s="830" t="s">
        <v>512</v>
      </c>
      <c r="H669" s="830" t="s">
        <v>377</v>
      </c>
      <c r="J669" s="830" t="s">
        <v>327</v>
      </c>
      <c r="K669" s="830" t="s">
        <v>261</v>
      </c>
      <c r="L669" s="830" t="s">
        <v>309</v>
      </c>
      <c r="M669" s="830" t="s">
        <v>471</v>
      </c>
      <c r="N669" s="830" t="s">
        <v>256</v>
      </c>
      <c r="O669" s="830">
        <v>6</v>
      </c>
      <c r="P669" s="830">
        <v>5</v>
      </c>
      <c r="Q669" s="830">
        <v>1</v>
      </c>
      <c r="T669" s="831">
        <v>41736.707546296297</v>
      </c>
    </row>
    <row r="670" spans="1:20" ht="12.75" customHeight="1" x14ac:dyDescent="0.25">
      <c r="A670" s="830" t="s">
        <v>308</v>
      </c>
      <c r="B670" s="830">
        <v>13</v>
      </c>
      <c r="C670" s="830" t="s">
        <v>323</v>
      </c>
      <c r="D670" s="830" t="s">
        <v>324</v>
      </c>
      <c r="F670" s="830" t="s">
        <v>325</v>
      </c>
      <c r="G670" s="830" t="s">
        <v>512</v>
      </c>
      <c r="H670" s="830" t="s">
        <v>378</v>
      </c>
      <c r="J670" s="830" t="s">
        <v>327</v>
      </c>
      <c r="K670" s="830" t="s">
        <v>261</v>
      </c>
      <c r="L670" s="830" t="s">
        <v>309</v>
      </c>
      <c r="M670" s="830" t="s">
        <v>471</v>
      </c>
      <c r="N670" s="830" t="s">
        <v>256</v>
      </c>
      <c r="O670" s="830">
        <v>6</v>
      </c>
      <c r="P670" s="830">
        <v>4</v>
      </c>
      <c r="Q670" s="830">
        <v>2</v>
      </c>
      <c r="T670" s="831">
        <v>41736.707546296297</v>
      </c>
    </row>
    <row r="671" spans="1:20" ht="12.75" customHeight="1" x14ac:dyDescent="0.25">
      <c r="A671" s="830" t="s">
        <v>308</v>
      </c>
      <c r="B671" s="830">
        <v>13</v>
      </c>
      <c r="C671" s="830" t="s">
        <v>323</v>
      </c>
      <c r="D671" s="830" t="s">
        <v>324</v>
      </c>
      <c r="F671" s="830" t="s">
        <v>325</v>
      </c>
      <c r="G671" s="830" t="s">
        <v>512</v>
      </c>
      <c r="H671" s="830" t="s">
        <v>356</v>
      </c>
      <c r="J671" s="830" t="s">
        <v>327</v>
      </c>
      <c r="K671" s="830" t="s">
        <v>261</v>
      </c>
      <c r="L671" s="830" t="s">
        <v>309</v>
      </c>
      <c r="M671" s="830" t="s">
        <v>471</v>
      </c>
      <c r="N671" s="830" t="s">
        <v>256</v>
      </c>
      <c r="O671" s="830">
        <v>3</v>
      </c>
      <c r="P671" s="830">
        <v>5</v>
      </c>
      <c r="Q671" s="830">
        <v>0</v>
      </c>
      <c r="T671" s="831">
        <v>41736.707546296297</v>
      </c>
    </row>
    <row r="672" spans="1:20" ht="12.75" customHeight="1" x14ac:dyDescent="0.25">
      <c r="A672" s="830" t="s">
        <v>308</v>
      </c>
      <c r="B672" s="830">
        <v>13</v>
      </c>
      <c r="C672" s="830" t="s">
        <v>323</v>
      </c>
      <c r="D672" s="830" t="s">
        <v>324</v>
      </c>
      <c r="F672" s="830" t="s">
        <v>325</v>
      </c>
      <c r="G672" s="830" t="s">
        <v>512</v>
      </c>
      <c r="H672" s="830" t="s">
        <v>337</v>
      </c>
      <c r="J672" s="830" t="s">
        <v>327</v>
      </c>
      <c r="K672" s="830" t="s">
        <v>261</v>
      </c>
      <c r="L672" s="830" t="s">
        <v>309</v>
      </c>
      <c r="M672" s="830" t="s">
        <v>471</v>
      </c>
      <c r="N672" s="830" t="s">
        <v>256</v>
      </c>
      <c r="O672" s="830">
        <v>2</v>
      </c>
      <c r="P672" s="830">
        <v>3</v>
      </c>
      <c r="Q672" s="830">
        <v>0</v>
      </c>
      <c r="T672" s="831">
        <v>41736.707546296297</v>
      </c>
    </row>
    <row r="673" spans="1:20" ht="12.75" customHeight="1" x14ac:dyDescent="0.25">
      <c r="A673" s="830" t="s">
        <v>308</v>
      </c>
      <c r="B673" s="830">
        <v>13</v>
      </c>
      <c r="C673" s="830" t="s">
        <v>323</v>
      </c>
      <c r="D673" s="830" t="s">
        <v>324</v>
      </c>
      <c r="F673" s="830" t="s">
        <v>325</v>
      </c>
      <c r="G673" s="830" t="s">
        <v>512</v>
      </c>
      <c r="H673" s="830" t="s">
        <v>344</v>
      </c>
      <c r="J673" s="830" t="s">
        <v>327</v>
      </c>
      <c r="K673" s="830" t="s">
        <v>261</v>
      </c>
      <c r="L673" s="830" t="s">
        <v>309</v>
      </c>
      <c r="M673" s="830" t="s">
        <v>471</v>
      </c>
      <c r="N673" s="830" t="s">
        <v>256</v>
      </c>
      <c r="O673" s="830">
        <v>5</v>
      </c>
      <c r="P673" s="830">
        <v>3</v>
      </c>
      <c r="Q673" s="830">
        <v>0</v>
      </c>
      <c r="T673" s="831">
        <v>41736.707546296297</v>
      </c>
    </row>
    <row r="674" spans="1:20" ht="12.75" customHeight="1" x14ac:dyDescent="0.25">
      <c r="A674" s="830" t="s">
        <v>308</v>
      </c>
      <c r="B674" s="830">
        <v>13</v>
      </c>
      <c r="C674" s="830" t="s">
        <v>323</v>
      </c>
      <c r="D674" s="830" t="s">
        <v>324</v>
      </c>
      <c r="F674" s="830" t="s">
        <v>325</v>
      </c>
      <c r="G674" s="830" t="s">
        <v>512</v>
      </c>
      <c r="H674" s="830" t="s">
        <v>335</v>
      </c>
      <c r="J674" s="830" t="s">
        <v>327</v>
      </c>
      <c r="K674" s="830" t="s">
        <v>261</v>
      </c>
      <c r="L674" s="830" t="s">
        <v>309</v>
      </c>
      <c r="M674" s="830" t="s">
        <v>471</v>
      </c>
      <c r="N674" s="830" t="s">
        <v>256</v>
      </c>
      <c r="O674" s="830">
        <v>2</v>
      </c>
      <c r="P674" s="830">
        <v>5</v>
      </c>
      <c r="Q674" s="830">
        <v>1</v>
      </c>
      <c r="T674" s="831">
        <v>41736.707546296297</v>
      </c>
    </row>
    <row r="675" spans="1:20" ht="12.75" customHeight="1" x14ac:dyDescent="0.25">
      <c r="A675" s="830" t="s">
        <v>308</v>
      </c>
      <c r="B675" s="830">
        <v>13</v>
      </c>
      <c r="C675" s="830" t="s">
        <v>323</v>
      </c>
      <c r="D675" s="830" t="s">
        <v>324</v>
      </c>
      <c r="F675" s="830" t="s">
        <v>325</v>
      </c>
      <c r="G675" s="830" t="s">
        <v>512</v>
      </c>
      <c r="H675" s="830" t="s">
        <v>361</v>
      </c>
      <c r="J675" s="830" t="s">
        <v>327</v>
      </c>
      <c r="K675" s="830" t="s">
        <v>261</v>
      </c>
      <c r="L675" s="830" t="s">
        <v>309</v>
      </c>
      <c r="M675" s="830" t="s">
        <v>471</v>
      </c>
      <c r="N675" s="830" t="s">
        <v>256</v>
      </c>
      <c r="O675" s="830">
        <v>3</v>
      </c>
      <c r="P675" s="830">
        <v>6</v>
      </c>
      <c r="Q675" s="830">
        <v>5</v>
      </c>
      <c r="T675" s="831">
        <v>41736.707546296297</v>
      </c>
    </row>
    <row r="676" spans="1:20" ht="12.75" customHeight="1" x14ac:dyDescent="0.25">
      <c r="A676" s="830" t="s">
        <v>308</v>
      </c>
      <c r="B676" s="830">
        <v>13</v>
      </c>
      <c r="C676" s="830" t="s">
        <v>323</v>
      </c>
      <c r="D676" s="830" t="s">
        <v>324</v>
      </c>
      <c r="F676" s="830" t="s">
        <v>325</v>
      </c>
      <c r="G676" s="830" t="s">
        <v>512</v>
      </c>
      <c r="H676" s="830" t="s">
        <v>364</v>
      </c>
      <c r="J676" s="830" t="s">
        <v>327</v>
      </c>
      <c r="K676" s="830" t="s">
        <v>261</v>
      </c>
      <c r="L676" s="830" t="s">
        <v>309</v>
      </c>
      <c r="M676" s="830" t="s">
        <v>471</v>
      </c>
      <c r="N676" s="830" t="s">
        <v>256</v>
      </c>
      <c r="P676" s="830">
        <v>4</v>
      </c>
      <c r="Q676" s="830">
        <v>0</v>
      </c>
      <c r="T676" s="831">
        <v>41736.707546296297</v>
      </c>
    </row>
    <row r="677" spans="1:20" ht="12.75" customHeight="1" x14ac:dyDescent="0.25">
      <c r="A677" s="830" t="s">
        <v>308</v>
      </c>
      <c r="B677" s="830">
        <v>13</v>
      </c>
      <c r="C677" s="830" t="s">
        <v>323</v>
      </c>
      <c r="D677" s="830" t="s">
        <v>324</v>
      </c>
      <c r="F677" s="830" t="s">
        <v>325</v>
      </c>
      <c r="G677" s="830" t="s">
        <v>512</v>
      </c>
      <c r="H677" s="830" t="s">
        <v>345</v>
      </c>
      <c r="J677" s="830" t="s">
        <v>327</v>
      </c>
      <c r="K677" s="830" t="s">
        <v>261</v>
      </c>
      <c r="L677" s="830" t="s">
        <v>309</v>
      </c>
      <c r="M677" s="830" t="s">
        <v>471</v>
      </c>
      <c r="N677" s="830" t="s">
        <v>256</v>
      </c>
      <c r="O677" s="830">
        <v>5</v>
      </c>
      <c r="P677" s="830">
        <v>1</v>
      </c>
      <c r="Q677" s="830">
        <v>0</v>
      </c>
      <c r="T677" s="831">
        <v>41736.707546296297</v>
      </c>
    </row>
    <row r="678" spans="1:20" ht="12.75" customHeight="1" x14ac:dyDescent="0.25">
      <c r="A678" s="830" t="s">
        <v>308</v>
      </c>
      <c r="B678" s="830">
        <v>13</v>
      </c>
      <c r="C678" s="830" t="s">
        <v>323</v>
      </c>
      <c r="D678" s="830" t="s">
        <v>324</v>
      </c>
      <c r="F678" s="830" t="s">
        <v>325</v>
      </c>
      <c r="G678" s="830" t="s">
        <v>512</v>
      </c>
      <c r="H678" s="830" t="s">
        <v>330</v>
      </c>
      <c r="J678" s="830" t="s">
        <v>327</v>
      </c>
      <c r="K678" s="830" t="s">
        <v>261</v>
      </c>
      <c r="L678" s="830" t="s">
        <v>309</v>
      </c>
      <c r="M678" s="830" t="s">
        <v>471</v>
      </c>
      <c r="N678" s="830" t="s">
        <v>256</v>
      </c>
      <c r="O678" s="830">
        <v>3</v>
      </c>
      <c r="Q678" s="830">
        <v>0</v>
      </c>
      <c r="T678" s="831">
        <v>41736.707546296297</v>
      </c>
    </row>
    <row r="679" spans="1:20" ht="12.75" customHeight="1" x14ac:dyDescent="0.25">
      <c r="A679" s="830" t="s">
        <v>308</v>
      </c>
      <c r="B679" s="830">
        <v>13</v>
      </c>
      <c r="C679" s="830" t="s">
        <v>323</v>
      </c>
      <c r="D679" s="830" t="s">
        <v>324</v>
      </c>
      <c r="F679" s="830" t="s">
        <v>325</v>
      </c>
      <c r="G679" s="830" t="s">
        <v>512</v>
      </c>
      <c r="H679" s="830" t="s">
        <v>355</v>
      </c>
      <c r="J679" s="830" t="s">
        <v>327</v>
      </c>
      <c r="K679" s="830" t="s">
        <v>261</v>
      </c>
      <c r="L679" s="830" t="s">
        <v>309</v>
      </c>
      <c r="M679" s="830" t="s">
        <v>471</v>
      </c>
      <c r="N679" s="830" t="s">
        <v>256</v>
      </c>
      <c r="O679" s="830">
        <v>3</v>
      </c>
      <c r="P679" s="830">
        <v>2</v>
      </c>
      <c r="Q679" s="830">
        <v>0</v>
      </c>
      <c r="T679" s="831">
        <v>41736.707546296297</v>
      </c>
    </row>
    <row r="680" spans="1:20" ht="12.75" customHeight="1" x14ac:dyDescent="0.25">
      <c r="A680" s="830" t="s">
        <v>308</v>
      </c>
      <c r="B680" s="830">
        <v>13</v>
      </c>
      <c r="C680" s="830" t="s">
        <v>323</v>
      </c>
      <c r="D680" s="830" t="s">
        <v>324</v>
      </c>
      <c r="F680" s="830" t="s">
        <v>325</v>
      </c>
      <c r="G680" s="830" t="s">
        <v>512</v>
      </c>
      <c r="H680" s="830" t="s">
        <v>369</v>
      </c>
      <c r="J680" s="830" t="s">
        <v>327</v>
      </c>
      <c r="K680" s="830" t="s">
        <v>261</v>
      </c>
      <c r="L680" s="830" t="s">
        <v>309</v>
      </c>
      <c r="M680" s="830" t="s">
        <v>471</v>
      </c>
      <c r="N680" s="830" t="s">
        <v>256</v>
      </c>
      <c r="O680" s="830">
        <v>1</v>
      </c>
      <c r="P680" s="830">
        <v>2</v>
      </c>
      <c r="Q680" s="830">
        <v>0</v>
      </c>
      <c r="T680" s="831">
        <v>41736.707546296297</v>
      </c>
    </row>
    <row r="681" spans="1:20" ht="12.75" customHeight="1" x14ac:dyDescent="0.25">
      <c r="A681" s="830" t="s">
        <v>308</v>
      </c>
      <c r="B681" s="830">
        <v>13</v>
      </c>
      <c r="C681" s="830" t="s">
        <v>323</v>
      </c>
      <c r="D681" s="830" t="s">
        <v>324</v>
      </c>
      <c r="F681" s="830" t="s">
        <v>325</v>
      </c>
      <c r="G681" s="830" t="s">
        <v>512</v>
      </c>
      <c r="H681" s="830" t="s">
        <v>362</v>
      </c>
      <c r="J681" s="830" t="s">
        <v>327</v>
      </c>
      <c r="K681" s="830" t="s">
        <v>261</v>
      </c>
      <c r="L681" s="830" t="s">
        <v>309</v>
      </c>
      <c r="M681" s="830" t="s">
        <v>471</v>
      </c>
      <c r="N681" s="830" t="s">
        <v>256</v>
      </c>
      <c r="P681" s="830">
        <v>2</v>
      </c>
      <c r="Q681" s="830">
        <v>0</v>
      </c>
      <c r="T681" s="831">
        <v>41736.707546296297</v>
      </c>
    </row>
    <row r="682" spans="1:20" ht="12.75" customHeight="1" x14ac:dyDescent="0.25">
      <c r="A682" s="830" t="s">
        <v>308</v>
      </c>
      <c r="B682" s="830">
        <v>13</v>
      </c>
      <c r="C682" s="830" t="s">
        <v>323</v>
      </c>
      <c r="D682" s="830" t="s">
        <v>324</v>
      </c>
      <c r="F682" s="830" t="s">
        <v>325</v>
      </c>
      <c r="G682" s="830" t="s">
        <v>512</v>
      </c>
      <c r="H682" s="830" t="s">
        <v>326</v>
      </c>
      <c r="J682" s="830" t="s">
        <v>327</v>
      </c>
      <c r="K682" s="830" t="s">
        <v>261</v>
      </c>
      <c r="L682" s="830" t="s">
        <v>309</v>
      </c>
      <c r="M682" s="830" t="s">
        <v>470</v>
      </c>
      <c r="N682" s="830" t="s">
        <v>257</v>
      </c>
      <c r="O682" s="830">
        <v>2</v>
      </c>
      <c r="Q682" s="830">
        <v>0</v>
      </c>
      <c r="T682" s="831">
        <v>41736.707546296297</v>
      </c>
    </row>
    <row r="683" spans="1:20" ht="12.75" customHeight="1" x14ac:dyDescent="0.25">
      <c r="A683" s="830" t="s">
        <v>308</v>
      </c>
      <c r="B683" s="830">
        <v>13</v>
      </c>
      <c r="C683" s="830" t="s">
        <v>323</v>
      </c>
      <c r="D683" s="830" t="s">
        <v>324</v>
      </c>
      <c r="F683" s="830" t="s">
        <v>325</v>
      </c>
      <c r="G683" s="830" t="s">
        <v>512</v>
      </c>
      <c r="H683" s="830" t="s">
        <v>329</v>
      </c>
      <c r="J683" s="830" t="s">
        <v>327</v>
      </c>
      <c r="K683" s="830" t="s">
        <v>261</v>
      </c>
      <c r="L683" s="830" t="s">
        <v>309</v>
      </c>
      <c r="M683" s="830" t="s">
        <v>470</v>
      </c>
      <c r="N683" s="830" t="s">
        <v>257</v>
      </c>
      <c r="O683" s="830">
        <v>4</v>
      </c>
      <c r="Q683" s="830">
        <v>257</v>
      </c>
      <c r="T683" s="831">
        <v>41736.707546296297</v>
      </c>
    </row>
    <row r="684" spans="1:20" ht="12.75" customHeight="1" x14ac:dyDescent="0.25">
      <c r="A684" s="830" t="s">
        <v>308</v>
      </c>
      <c r="B684" s="830">
        <v>13</v>
      </c>
      <c r="C684" s="830" t="s">
        <v>323</v>
      </c>
      <c r="D684" s="830" t="s">
        <v>324</v>
      </c>
      <c r="F684" s="830" t="s">
        <v>325</v>
      </c>
      <c r="G684" s="830" t="s">
        <v>512</v>
      </c>
      <c r="H684" s="830" t="s">
        <v>328</v>
      </c>
      <c r="J684" s="830" t="s">
        <v>327</v>
      </c>
      <c r="K684" s="830" t="s">
        <v>261</v>
      </c>
      <c r="L684" s="830" t="s">
        <v>309</v>
      </c>
      <c r="M684" s="830" t="s">
        <v>470</v>
      </c>
      <c r="N684" s="830" t="s">
        <v>257</v>
      </c>
      <c r="O684" s="830">
        <v>5</v>
      </c>
      <c r="Q684" s="830">
        <v>2</v>
      </c>
      <c r="T684" s="831">
        <v>41736.707546296297</v>
      </c>
    </row>
    <row r="685" spans="1:20" ht="12.75" customHeight="1" x14ac:dyDescent="0.25">
      <c r="A685" s="830" t="s">
        <v>308</v>
      </c>
      <c r="B685" s="830">
        <v>13</v>
      </c>
      <c r="C685" s="830" t="s">
        <v>323</v>
      </c>
      <c r="D685" s="830" t="s">
        <v>324</v>
      </c>
      <c r="F685" s="830" t="s">
        <v>325</v>
      </c>
      <c r="G685" s="830" t="s">
        <v>512</v>
      </c>
      <c r="H685" s="830" t="s">
        <v>331</v>
      </c>
      <c r="J685" s="830" t="s">
        <v>327</v>
      </c>
      <c r="K685" s="830" t="s">
        <v>261</v>
      </c>
      <c r="L685" s="830" t="s">
        <v>309</v>
      </c>
      <c r="M685" s="830" t="s">
        <v>470</v>
      </c>
      <c r="N685" s="830" t="s">
        <v>257</v>
      </c>
      <c r="Q685" s="830">
        <v>2</v>
      </c>
      <c r="T685" s="831">
        <v>41736.707546296297</v>
      </c>
    </row>
    <row r="686" spans="1:20" ht="12.75" customHeight="1" x14ac:dyDescent="0.25">
      <c r="A686" s="830" t="s">
        <v>308</v>
      </c>
      <c r="B686" s="830">
        <v>13</v>
      </c>
      <c r="C686" s="830" t="s">
        <v>323</v>
      </c>
      <c r="D686" s="830" t="s">
        <v>324</v>
      </c>
      <c r="F686" s="830" t="s">
        <v>325</v>
      </c>
      <c r="G686" s="830" t="s">
        <v>512</v>
      </c>
      <c r="H686" s="830" t="s">
        <v>330</v>
      </c>
      <c r="J686" s="830" t="s">
        <v>327</v>
      </c>
      <c r="K686" s="830" t="s">
        <v>261</v>
      </c>
      <c r="L686" s="830" t="s">
        <v>309</v>
      </c>
      <c r="M686" s="830" t="s">
        <v>470</v>
      </c>
      <c r="N686" s="830" t="s">
        <v>257</v>
      </c>
      <c r="O686" s="830">
        <v>3</v>
      </c>
      <c r="Q686" s="830">
        <v>53</v>
      </c>
      <c r="T686" s="831">
        <v>41736.707546296297</v>
      </c>
    </row>
    <row r="687" spans="1:20" ht="12.75" customHeight="1" x14ac:dyDescent="0.25">
      <c r="A687" s="830" t="s">
        <v>308</v>
      </c>
      <c r="B687" s="830">
        <v>13</v>
      </c>
      <c r="C687" s="830" t="s">
        <v>323</v>
      </c>
      <c r="D687" s="830" t="s">
        <v>324</v>
      </c>
      <c r="F687" s="830" t="s">
        <v>325</v>
      </c>
      <c r="G687" s="830" t="s">
        <v>512</v>
      </c>
      <c r="H687" s="830" t="s">
        <v>332</v>
      </c>
      <c r="J687" s="830" t="s">
        <v>327</v>
      </c>
      <c r="K687" s="830" t="s">
        <v>261</v>
      </c>
      <c r="L687" s="830" t="s">
        <v>309</v>
      </c>
      <c r="M687" s="830" t="s">
        <v>470</v>
      </c>
      <c r="N687" s="830" t="s">
        <v>257</v>
      </c>
      <c r="O687" s="830">
        <v>1</v>
      </c>
      <c r="Q687" s="830">
        <v>0</v>
      </c>
      <c r="T687" s="831">
        <v>41736.707546296297</v>
      </c>
    </row>
    <row r="688" spans="1:20" ht="12.75" customHeight="1" x14ac:dyDescent="0.25">
      <c r="A688" s="830" t="s">
        <v>308</v>
      </c>
      <c r="B688" s="830">
        <v>13</v>
      </c>
      <c r="C688" s="830" t="s">
        <v>323</v>
      </c>
      <c r="D688" s="830" t="s">
        <v>324</v>
      </c>
      <c r="F688" s="830" t="s">
        <v>325</v>
      </c>
      <c r="G688" s="830" t="s">
        <v>512</v>
      </c>
      <c r="H688" s="830" t="s">
        <v>333</v>
      </c>
      <c r="J688" s="830" t="s">
        <v>327</v>
      </c>
      <c r="K688" s="830" t="s">
        <v>261</v>
      </c>
      <c r="L688" s="830" t="s">
        <v>309</v>
      </c>
      <c r="M688" s="830" t="s">
        <v>470</v>
      </c>
      <c r="N688" s="830" t="s">
        <v>257</v>
      </c>
      <c r="O688" s="830">
        <v>6</v>
      </c>
      <c r="Q688" s="830">
        <v>7</v>
      </c>
      <c r="T688" s="831">
        <v>41736.707546296297</v>
      </c>
    </row>
    <row r="689" spans="1:20" ht="12.75" customHeight="1" x14ac:dyDescent="0.25">
      <c r="A689" s="830" t="s">
        <v>308</v>
      </c>
      <c r="B689" s="830">
        <v>13</v>
      </c>
      <c r="C689" s="830" t="s">
        <v>323</v>
      </c>
      <c r="D689" s="830" t="s">
        <v>324</v>
      </c>
      <c r="F689" s="830" t="s">
        <v>325</v>
      </c>
      <c r="G689" s="830" t="s">
        <v>512</v>
      </c>
      <c r="H689" s="830" t="s">
        <v>356</v>
      </c>
      <c r="J689" s="830" t="s">
        <v>327</v>
      </c>
      <c r="K689" s="830" t="s">
        <v>261</v>
      </c>
      <c r="L689" s="830" t="s">
        <v>309</v>
      </c>
      <c r="M689" s="830" t="s">
        <v>471</v>
      </c>
      <c r="N689" s="830" t="s">
        <v>257</v>
      </c>
      <c r="O689" s="830">
        <v>3</v>
      </c>
      <c r="P689" s="830">
        <v>5</v>
      </c>
      <c r="Q689" s="830">
        <v>1</v>
      </c>
      <c r="T689" s="831">
        <v>41736.707546296297</v>
      </c>
    </row>
    <row r="690" spans="1:20" ht="12.75" customHeight="1" x14ac:dyDescent="0.25">
      <c r="A690" s="830" t="s">
        <v>308</v>
      </c>
      <c r="B690" s="830">
        <v>13</v>
      </c>
      <c r="C690" s="830" t="s">
        <v>323</v>
      </c>
      <c r="D690" s="830" t="s">
        <v>324</v>
      </c>
      <c r="F690" s="830" t="s">
        <v>325</v>
      </c>
      <c r="G690" s="830" t="s">
        <v>512</v>
      </c>
      <c r="H690" s="830" t="s">
        <v>352</v>
      </c>
      <c r="J690" s="830" t="s">
        <v>327</v>
      </c>
      <c r="K690" s="830" t="s">
        <v>261</v>
      </c>
      <c r="L690" s="830" t="s">
        <v>309</v>
      </c>
      <c r="M690" s="830" t="s">
        <v>471</v>
      </c>
      <c r="N690" s="830" t="s">
        <v>257</v>
      </c>
      <c r="O690" s="830">
        <v>4</v>
      </c>
      <c r="P690" s="830">
        <v>1</v>
      </c>
      <c r="Q690" s="830">
        <v>0</v>
      </c>
      <c r="T690" s="831">
        <v>41736.707546296297</v>
      </c>
    </row>
    <row r="691" spans="1:20" ht="12.75" customHeight="1" x14ac:dyDescent="0.25">
      <c r="A691" s="830" t="s">
        <v>308</v>
      </c>
      <c r="B691" s="830">
        <v>13</v>
      </c>
      <c r="C691" s="830" t="s">
        <v>323</v>
      </c>
      <c r="D691" s="830" t="s">
        <v>324</v>
      </c>
      <c r="F691" s="830" t="s">
        <v>325</v>
      </c>
      <c r="G691" s="830" t="s">
        <v>512</v>
      </c>
      <c r="H691" s="830" t="s">
        <v>355</v>
      </c>
      <c r="J691" s="830" t="s">
        <v>327</v>
      </c>
      <c r="K691" s="830" t="s">
        <v>261</v>
      </c>
      <c r="L691" s="830" t="s">
        <v>309</v>
      </c>
      <c r="M691" s="830" t="s">
        <v>471</v>
      </c>
      <c r="N691" s="830" t="s">
        <v>257</v>
      </c>
      <c r="O691" s="830">
        <v>3</v>
      </c>
      <c r="P691" s="830">
        <v>2</v>
      </c>
      <c r="Q691" s="830">
        <v>0</v>
      </c>
      <c r="T691" s="831">
        <v>41736.707546296297</v>
      </c>
    </row>
    <row r="692" spans="1:20" ht="12.75" customHeight="1" x14ac:dyDescent="0.25">
      <c r="A692" s="830" t="s">
        <v>308</v>
      </c>
      <c r="B692" s="830">
        <v>13</v>
      </c>
      <c r="C692" s="830" t="s">
        <v>323</v>
      </c>
      <c r="D692" s="830" t="s">
        <v>324</v>
      </c>
      <c r="F692" s="830" t="s">
        <v>325</v>
      </c>
      <c r="G692" s="830" t="s">
        <v>512</v>
      </c>
      <c r="H692" s="830" t="s">
        <v>372</v>
      </c>
      <c r="J692" s="830" t="s">
        <v>327</v>
      </c>
      <c r="K692" s="830" t="s">
        <v>261</v>
      </c>
      <c r="L692" s="830" t="s">
        <v>309</v>
      </c>
      <c r="M692" s="830" t="s">
        <v>471</v>
      </c>
      <c r="N692" s="830" t="s">
        <v>257</v>
      </c>
      <c r="O692" s="830">
        <v>1</v>
      </c>
      <c r="P692" s="830">
        <v>3</v>
      </c>
      <c r="Q692" s="830">
        <v>0</v>
      </c>
      <c r="T692" s="831">
        <v>41736.707546296297</v>
      </c>
    </row>
    <row r="693" spans="1:20" ht="12.75" customHeight="1" x14ac:dyDescent="0.25">
      <c r="A693" s="830" t="s">
        <v>308</v>
      </c>
      <c r="B693" s="830">
        <v>13</v>
      </c>
      <c r="C693" s="830" t="s">
        <v>323</v>
      </c>
      <c r="D693" s="830" t="s">
        <v>324</v>
      </c>
      <c r="F693" s="830" t="s">
        <v>325</v>
      </c>
      <c r="G693" s="830" t="s">
        <v>512</v>
      </c>
      <c r="H693" s="830" t="s">
        <v>338</v>
      </c>
      <c r="J693" s="830" t="s">
        <v>327</v>
      </c>
      <c r="K693" s="830" t="s">
        <v>261</v>
      </c>
      <c r="L693" s="830" t="s">
        <v>309</v>
      </c>
      <c r="M693" s="830" t="s">
        <v>471</v>
      </c>
      <c r="N693" s="830" t="s">
        <v>257</v>
      </c>
      <c r="O693" s="830">
        <v>2</v>
      </c>
      <c r="P693" s="830">
        <v>1</v>
      </c>
      <c r="Q693" s="830">
        <v>0</v>
      </c>
      <c r="T693" s="831">
        <v>41736.707546296297</v>
      </c>
    </row>
    <row r="694" spans="1:20" ht="12.75" customHeight="1" x14ac:dyDescent="0.25">
      <c r="A694" s="830" t="s">
        <v>308</v>
      </c>
      <c r="B694" s="830">
        <v>13</v>
      </c>
      <c r="C694" s="830" t="s">
        <v>323</v>
      </c>
      <c r="D694" s="830" t="s">
        <v>324</v>
      </c>
      <c r="F694" s="830" t="s">
        <v>325</v>
      </c>
      <c r="G694" s="830" t="s">
        <v>512</v>
      </c>
      <c r="H694" s="830" t="s">
        <v>337</v>
      </c>
      <c r="J694" s="830" t="s">
        <v>327</v>
      </c>
      <c r="K694" s="830" t="s">
        <v>261</v>
      </c>
      <c r="L694" s="830" t="s">
        <v>309</v>
      </c>
      <c r="M694" s="830" t="s">
        <v>471</v>
      </c>
      <c r="N694" s="830" t="s">
        <v>257</v>
      </c>
      <c r="O694" s="830">
        <v>2</v>
      </c>
      <c r="P694" s="830">
        <v>3</v>
      </c>
      <c r="Q694" s="830">
        <v>0</v>
      </c>
      <c r="T694" s="831">
        <v>41736.707546296297</v>
      </c>
    </row>
    <row r="695" spans="1:20" ht="12.75" customHeight="1" x14ac:dyDescent="0.25">
      <c r="A695" s="830" t="s">
        <v>308</v>
      </c>
      <c r="B695" s="830">
        <v>13</v>
      </c>
      <c r="C695" s="830" t="s">
        <v>323</v>
      </c>
      <c r="D695" s="830" t="s">
        <v>324</v>
      </c>
      <c r="F695" s="830" t="s">
        <v>325</v>
      </c>
      <c r="G695" s="830" t="s">
        <v>512</v>
      </c>
      <c r="H695" s="830" t="s">
        <v>380</v>
      </c>
      <c r="J695" s="830" t="s">
        <v>327</v>
      </c>
      <c r="K695" s="830" t="s">
        <v>261</v>
      </c>
      <c r="L695" s="830" t="s">
        <v>309</v>
      </c>
      <c r="M695" s="830" t="s">
        <v>471</v>
      </c>
      <c r="N695" s="830" t="s">
        <v>257</v>
      </c>
      <c r="O695" s="830">
        <v>6</v>
      </c>
      <c r="P695" s="830">
        <v>1</v>
      </c>
      <c r="Q695" s="830">
        <v>0</v>
      </c>
      <c r="T695" s="831">
        <v>41736.707546296297</v>
      </c>
    </row>
    <row r="696" spans="1:20" ht="12.75" customHeight="1" x14ac:dyDescent="0.25">
      <c r="A696" s="830" t="s">
        <v>308</v>
      </c>
      <c r="B696" s="830">
        <v>13</v>
      </c>
      <c r="C696" s="830" t="s">
        <v>323</v>
      </c>
      <c r="D696" s="830" t="s">
        <v>324</v>
      </c>
      <c r="F696" s="830" t="s">
        <v>325</v>
      </c>
      <c r="G696" s="830" t="s">
        <v>512</v>
      </c>
      <c r="H696" s="830" t="s">
        <v>359</v>
      </c>
      <c r="J696" s="830" t="s">
        <v>327</v>
      </c>
      <c r="K696" s="830" t="s">
        <v>261</v>
      </c>
      <c r="L696" s="830" t="s">
        <v>309</v>
      </c>
      <c r="M696" s="830" t="s">
        <v>471</v>
      </c>
      <c r="N696" s="830" t="s">
        <v>257</v>
      </c>
      <c r="O696" s="830">
        <v>3</v>
      </c>
      <c r="P696" s="830">
        <v>1</v>
      </c>
      <c r="Q696" s="830">
        <v>0</v>
      </c>
      <c r="T696" s="831">
        <v>41736.707546296297</v>
      </c>
    </row>
    <row r="697" spans="1:20" ht="12.75" customHeight="1" x14ac:dyDescent="0.25">
      <c r="A697" s="830" t="s">
        <v>308</v>
      </c>
      <c r="B697" s="830">
        <v>13</v>
      </c>
      <c r="C697" s="830" t="s">
        <v>323</v>
      </c>
      <c r="D697" s="830" t="s">
        <v>324</v>
      </c>
      <c r="F697" s="830" t="s">
        <v>325</v>
      </c>
      <c r="G697" s="830" t="s">
        <v>512</v>
      </c>
      <c r="H697" s="830" t="s">
        <v>374</v>
      </c>
      <c r="J697" s="830" t="s">
        <v>327</v>
      </c>
      <c r="K697" s="830" t="s">
        <v>261</v>
      </c>
      <c r="L697" s="830" t="s">
        <v>309</v>
      </c>
      <c r="M697" s="830" t="s">
        <v>471</v>
      </c>
      <c r="N697" s="830" t="s">
        <v>257</v>
      </c>
      <c r="O697" s="830">
        <v>1</v>
      </c>
      <c r="P697" s="830">
        <v>7</v>
      </c>
      <c r="Q697" s="830">
        <v>0</v>
      </c>
      <c r="T697" s="831">
        <v>41736.707546296297</v>
      </c>
    </row>
    <row r="698" spans="1:20" ht="12.75" customHeight="1" x14ac:dyDescent="0.25">
      <c r="A698" s="830" t="s">
        <v>308</v>
      </c>
      <c r="B698" s="830">
        <v>13</v>
      </c>
      <c r="C698" s="830" t="s">
        <v>323</v>
      </c>
      <c r="D698" s="830" t="s">
        <v>324</v>
      </c>
      <c r="F698" s="830" t="s">
        <v>325</v>
      </c>
      <c r="G698" s="830" t="s">
        <v>512</v>
      </c>
      <c r="H698" s="830" t="s">
        <v>364</v>
      </c>
      <c r="J698" s="830" t="s">
        <v>327</v>
      </c>
      <c r="K698" s="830" t="s">
        <v>261</v>
      </c>
      <c r="L698" s="830" t="s">
        <v>309</v>
      </c>
      <c r="M698" s="830" t="s">
        <v>471</v>
      </c>
      <c r="N698" s="830" t="s">
        <v>257</v>
      </c>
      <c r="P698" s="830">
        <v>4</v>
      </c>
      <c r="Q698" s="830">
        <v>0</v>
      </c>
      <c r="T698" s="831">
        <v>41736.707546296297</v>
      </c>
    </row>
    <row r="699" spans="1:20" ht="12.75" customHeight="1" x14ac:dyDescent="0.25">
      <c r="A699" s="830" t="s">
        <v>308</v>
      </c>
      <c r="B699" s="830">
        <v>13</v>
      </c>
      <c r="C699" s="830" t="s">
        <v>323</v>
      </c>
      <c r="D699" s="830" t="s">
        <v>324</v>
      </c>
      <c r="F699" s="830" t="s">
        <v>325</v>
      </c>
      <c r="G699" s="830" t="s">
        <v>512</v>
      </c>
      <c r="H699" s="830" t="s">
        <v>328</v>
      </c>
      <c r="J699" s="830" t="s">
        <v>327</v>
      </c>
      <c r="K699" s="830" t="s">
        <v>261</v>
      </c>
      <c r="L699" s="830" t="s">
        <v>309</v>
      </c>
      <c r="M699" s="830" t="s">
        <v>471</v>
      </c>
      <c r="N699" s="830" t="s">
        <v>257</v>
      </c>
      <c r="O699" s="830">
        <v>5</v>
      </c>
      <c r="Q699" s="830">
        <v>0</v>
      </c>
      <c r="T699" s="831">
        <v>41736.707546296297</v>
      </c>
    </row>
    <row r="700" spans="1:20" ht="12.75" customHeight="1" x14ac:dyDescent="0.25">
      <c r="A700" s="830" t="s">
        <v>308</v>
      </c>
      <c r="B700" s="830">
        <v>13</v>
      </c>
      <c r="C700" s="830" t="s">
        <v>323</v>
      </c>
      <c r="D700" s="830" t="s">
        <v>324</v>
      </c>
      <c r="F700" s="830" t="s">
        <v>325</v>
      </c>
      <c r="G700" s="830" t="s">
        <v>512</v>
      </c>
      <c r="H700" s="830" t="s">
        <v>340</v>
      </c>
      <c r="J700" s="830" t="s">
        <v>327</v>
      </c>
      <c r="K700" s="830" t="s">
        <v>261</v>
      </c>
      <c r="L700" s="830" t="s">
        <v>309</v>
      </c>
      <c r="M700" s="830" t="s">
        <v>471</v>
      </c>
      <c r="N700" s="830" t="s">
        <v>257</v>
      </c>
      <c r="O700" s="830">
        <v>2</v>
      </c>
      <c r="P700" s="830">
        <v>6</v>
      </c>
      <c r="Q700" s="830">
        <v>0</v>
      </c>
      <c r="T700" s="831">
        <v>41736.707546296297</v>
      </c>
    </row>
    <row r="701" spans="1:20" ht="12.75" customHeight="1" x14ac:dyDescent="0.25">
      <c r="A701" s="830" t="s">
        <v>308</v>
      </c>
      <c r="B701" s="830">
        <v>13</v>
      </c>
      <c r="C701" s="830" t="s">
        <v>323</v>
      </c>
      <c r="D701" s="830" t="s">
        <v>324</v>
      </c>
      <c r="F701" s="830" t="s">
        <v>325</v>
      </c>
      <c r="G701" s="830" t="s">
        <v>512</v>
      </c>
      <c r="H701" s="830" t="s">
        <v>370</v>
      </c>
      <c r="J701" s="830" t="s">
        <v>327</v>
      </c>
      <c r="K701" s="830" t="s">
        <v>261</v>
      </c>
      <c r="L701" s="830" t="s">
        <v>309</v>
      </c>
      <c r="M701" s="830" t="s">
        <v>471</v>
      </c>
      <c r="N701" s="830" t="s">
        <v>257</v>
      </c>
      <c r="O701" s="830">
        <v>1</v>
      </c>
      <c r="P701" s="830">
        <v>5</v>
      </c>
      <c r="Q701" s="830">
        <v>0</v>
      </c>
      <c r="T701" s="831">
        <v>41736.707546296297</v>
      </c>
    </row>
    <row r="702" spans="1:20" ht="12.75" customHeight="1" x14ac:dyDescent="0.25">
      <c r="A702" s="830" t="s">
        <v>308</v>
      </c>
      <c r="B702" s="830">
        <v>13</v>
      </c>
      <c r="C702" s="830" t="s">
        <v>323</v>
      </c>
      <c r="D702" s="830" t="s">
        <v>324</v>
      </c>
      <c r="F702" s="830" t="s">
        <v>325</v>
      </c>
      <c r="G702" s="830" t="s">
        <v>512</v>
      </c>
      <c r="H702" s="830" t="s">
        <v>373</v>
      </c>
      <c r="J702" s="830" t="s">
        <v>327</v>
      </c>
      <c r="K702" s="830" t="s">
        <v>261</v>
      </c>
      <c r="L702" s="830" t="s">
        <v>309</v>
      </c>
      <c r="M702" s="830" t="s">
        <v>471</v>
      </c>
      <c r="N702" s="830" t="s">
        <v>257</v>
      </c>
      <c r="O702" s="830">
        <v>1</v>
      </c>
      <c r="P702" s="830">
        <v>1</v>
      </c>
      <c r="Q702" s="830">
        <v>0</v>
      </c>
      <c r="T702" s="831">
        <v>41736.707546296297</v>
      </c>
    </row>
    <row r="703" spans="1:20" ht="12.75" customHeight="1" x14ac:dyDescent="0.25">
      <c r="A703" s="830" t="s">
        <v>308</v>
      </c>
      <c r="B703" s="830">
        <v>13</v>
      </c>
      <c r="C703" s="830" t="s">
        <v>323</v>
      </c>
      <c r="D703" s="830" t="s">
        <v>324</v>
      </c>
      <c r="F703" s="830" t="s">
        <v>325</v>
      </c>
      <c r="G703" s="830" t="s">
        <v>512</v>
      </c>
      <c r="H703" s="830" t="s">
        <v>345</v>
      </c>
      <c r="J703" s="830" t="s">
        <v>327</v>
      </c>
      <c r="K703" s="830" t="s">
        <v>261</v>
      </c>
      <c r="L703" s="830" t="s">
        <v>309</v>
      </c>
      <c r="M703" s="830" t="s">
        <v>471</v>
      </c>
      <c r="N703" s="830" t="s">
        <v>257</v>
      </c>
      <c r="O703" s="830">
        <v>5</v>
      </c>
      <c r="P703" s="830">
        <v>1</v>
      </c>
      <c r="Q703" s="830">
        <v>0</v>
      </c>
      <c r="T703" s="831">
        <v>41736.707546296297</v>
      </c>
    </row>
    <row r="704" spans="1:20" ht="12.75" customHeight="1" x14ac:dyDescent="0.25">
      <c r="A704" s="830" t="s">
        <v>308</v>
      </c>
      <c r="B704" s="830">
        <v>13</v>
      </c>
      <c r="C704" s="830" t="s">
        <v>323</v>
      </c>
      <c r="D704" s="830" t="s">
        <v>324</v>
      </c>
      <c r="F704" s="830" t="s">
        <v>325</v>
      </c>
      <c r="G704" s="830" t="s">
        <v>512</v>
      </c>
      <c r="H704" s="830" t="s">
        <v>376</v>
      </c>
      <c r="J704" s="830" t="s">
        <v>327</v>
      </c>
      <c r="K704" s="830" t="s">
        <v>261</v>
      </c>
      <c r="L704" s="830" t="s">
        <v>309</v>
      </c>
      <c r="M704" s="830" t="s">
        <v>471</v>
      </c>
      <c r="N704" s="830" t="s">
        <v>257</v>
      </c>
      <c r="O704" s="830">
        <v>6</v>
      </c>
      <c r="P704" s="830">
        <v>2</v>
      </c>
      <c r="Q704" s="830">
        <v>0</v>
      </c>
      <c r="T704" s="831">
        <v>41736.707546296297</v>
      </c>
    </row>
    <row r="705" spans="1:20" ht="12.75" customHeight="1" x14ac:dyDescent="0.25">
      <c r="A705" s="830" t="s">
        <v>308</v>
      </c>
      <c r="B705" s="830">
        <v>13</v>
      </c>
      <c r="C705" s="830" t="s">
        <v>323</v>
      </c>
      <c r="D705" s="830" t="s">
        <v>324</v>
      </c>
      <c r="F705" s="830" t="s">
        <v>325</v>
      </c>
      <c r="G705" s="830" t="s">
        <v>512</v>
      </c>
      <c r="H705" s="830" t="s">
        <v>379</v>
      </c>
      <c r="J705" s="830" t="s">
        <v>327</v>
      </c>
      <c r="K705" s="830" t="s">
        <v>261</v>
      </c>
      <c r="L705" s="830" t="s">
        <v>309</v>
      </c>
      <c r="M705" s="830" t="s">
        <v>471</v>
      </c>
      <c r="N705" s="830" t="s">
        <v>257</v>
      </c>
      <c r="O705" s="830">
        <v>6</v>
      </c>
      <c r="P705" s="830">
        <v>3</v>
      </c>
      <c r="Q705" s="830">
        <v>0</v>
      </c>
      <c r="T705" s="831">
        <v>41736.707546296297</v>
      </c>
    </row>
    <row r="706" spans="1:20" ht="12.75" customHeight="1" x14ac:dyDescent="0.25">
      <c r="A706" s="830" t="s">
        <v>308</v>
      </c>
      <c r="B706" s="830">
        <v>13</v>
      </c>
      <c r="C706" s="830" t="s">
        <v>323</v>
      </c>
      <c r="D706" s="830" t="s">
        <v>324</v>
      </c>
      <c r="F706" s="830" t="s">
        <v>325</v>
      </c>
      <c r="G706" s="830" t="s">
        <v>512</v>
      </c>
      <c r="H706" s="830" t="s">
        <v>366</v>
      </c>
      <c r="J706" s="830" t="s">
        <v>327</v>
      </c>
      <c r="K706" s="830" t="s">
        <v>261</v>
      </c>
      <c r="L706" s="830" t="s">
        <v>309</v>
      </c>
      <c r="M706" s="830" t="s">
        <v>471</v>
      </c>
      <c r="N706" s="830" t="s">
        <v>257</v>
      </c>
      <c r="P706" s="830">
        <v>1</v>
      </c>
      <c r="Q706" s="830">
        <v>0</v>
      </c>
      <c r="T706" s="831">
        <v>41736.707546296297</v>
      </c>
    </row>
    <row r="707" spans="1:20" ht="12.75" customHeight="1" x14ac:dyDescent="0.25">
      <c r="A707" s="830" t="s">
        <v>308</v>
      </c>
      <c r="B707" s="830">
        <v>13</v>
      </c>
      <c r="C707" s="830" t="s">
        <v>323</v>
      </c>
      <c r="D707" s="830" t="s">
        <v>324</v>
      </c>
      <c r="F707" s="830" t="s">
        <v>325</v>
      </c>
      <c r="G707" s="830" t="s">
        <v>512</v>
      </c>
      <c r="H707" s="830" t="s">
        <v>341</v>
      </c>
      <c r="J707" s="830" t="s">
        <v>327</v>
      </c>
      <c r="K707" s="830" t="s">
        <v>261</v>
      </c>
      <c r="L707" s="830" t="s">
        <v>309</v>
      </c>
      <c r="M707" s="830" t="s">
        <v>471</v>
      </c>
      <c r="N707" s="830" t="s">
        <v>257</v>
      </c>
      <c r="O707" s="830">
        <v>5</v>
      </c>
      <c r="P707" s="830">
        <v>2</v>
      </c>
      <c r="Q707" s="830">
        <v>0</v>
      </c>
      <c r="T707" s="831">
        <v>41736.707546296297</v>
      </c>
    </row>
    <row r="708" spans="1:20" ht="12.75" customHeight="1" x14ac:dyDescent="0.25">
      <c r="A708" s="830" t="s">
        <v>308</v>
      </c>
      <c r="B708" s="830">
        <v>13</v>
      </c>
      <c r="C708" s="830" t="s">
        <v>323</v>
      </c>
      <c r="D708" s="830" t="s">
        <v>324</v>
      </c>
      <c r="F708" s="830" t="s">
        <v>325</v>
      </c>
      <c r="G708" s="830" t="s">
        <v>512</v>
      </c>
      <c r="H708" s="830" t="s">
        <v>369</v>
      </c>
      <c r="J708" s="830" t="s">
        <v>327</v>
      </c>
      <c r="K708" s="830" t="s">
        <v>261</v>
      </c>
      <c r="L708" s="830" t="s">
        <v>309</v>
      </c>
      <c r="M708" s="830" t="s">
        <v>471</v>
      </c>
      <c r="N708" s="830" t="s">
        <v>257</v>
      </c>
      <c r="O708" s="830">
        <v>1</v>
      </c>
      <c r="P708" s="830">
        <v>2</v>
      </c>
      <c r="Q708" s="830">
        <v>0</v>
      </c>
      <c r="T708" s="831">
        <v>41736.707546296297</v>
      </c>
    </row>
    <row r="709" spans="1:20" ht="12.75" customHeight="1" x14ac:dyDescent="0.25">
      <c r="A709" s="830" t="s">
        <v>308</v>
      </c>
      <c r="B709" s="830">
        <v>13</v>
      </c>
      <c r="C709" s="830" t="s">
        <v>323</v>
      </c>
      <c r="D709" s="830" t="s">
        <v>324</v>
      </c>
      <c r="F709" s="830" t="s">
        <v>325</v>
      </c>
      <c r="G709" s="830" t="s">
        <v>512</v>
      </c>
      <c r="H709" s="830" t="s">
        <v>348</v>
      </c>
      <c r="J709" s="830" t="s">
        <v>327</v>
      </c>
      <c r="K709" s="830" t="s">
        <v>261</v>
      </c>
      <c r="L709" s="830" t="s">
        <v>309</v>
      </c>
      <c r="M709" s="830" t="s">
        <v>471</v>
      </c>
      <c r="N709" s="830" t="s">
        <v>257</v>
      </c>
      <c r="O709" s="830">
        <v>4</v>
      </c>
      <c r="P709" s="830">
        <v>2</v>
      </c>
      <c r="Q709" s="830">
        <v>0</v>
      </c>
      <c r="T709" s="831">
        <v>41736.707546296297</v>
      </c>
    </row>
    <row r="710" spans="1:20" ht="12.75" customHeight="1" x14ac:dyDescent="0.25">
      <c r="A710" s="830" t="s">
        <v>308</v>
      </c>
      <c r="B710" s="830">
        <v>13</v>
      </c>
      <c r="C710" s="830" t="s">
        <v>323</v>
      </c>
      <c r="D710" s="830" t="s">
        <v>324</v>
      </c>
      <c r="F710" s="830" t="s">
        <v>325</v>
      </c>
      <c r="G710" s="830" t="s">
        <v>512</v>
      </c>
      <c r="H710" s="830" t="s">
        <v>334</v>
      </c>
      <c r="J710" s="830" t="s">
        <v>327</v>
      </c>
      <c r="K710" s="830" t="s">
        <v>261</v>
      </c>
      <c r="L710" s="830" t="s">
        <v>309</v>
      </c>
      <c r="M710" s="830" t="s">
        <v>471</v>
      </c>
      <c r="N710" s="830" t="s">
        <v>257</v>
      </c>
      <c r="O710" s="830">
        <v>2</v>
      </c>
      <c r="P710" s="830">
        <v>2</v>
      </c>
      <c r="Q710" s="830">
        <v>0</v>
      </c>
      <c r="T710" s="831">
        <v>41736.707546296297</v>
      </c>
    </row>
    <row r="711" spans="1:20" ht="12.75" customHeight="1" x14ac:dyDescent="0.25">
      <c r="A711" s="830" t="s">
        <v>308</v>
      </c>
      <c r="B711" s="830">
        <v>13</v>
      </c>
      <c r="C711" s="830" t="s">
        <v>323</v>
      </c>
      <c r="D711" s="830" t="s">
        <v>324</v>
      </c>
      <c r="F711" s="830" t="s">
        <v>325</v>
      </c>
      <c r="G711" s="830" t="s">
        <v>512</v>
      </c>
      <c r="H711" s="830" t="s">
        <v>362</v>
      </c>
      <c r="J711" s="830" t="s">
        <v>327</v>
      </c>
      <c r="K711" s="830" t="s">
        <v>261</v>
      </c>
      <c r="L711" s="830" t="s">
        <v>309</v>
      </c>
      <c r="M711" s="830" t="s">
        <v>471</v>
      </c>
      <c r="N711" s="830" t="s">
        <v>257</v>
      </c>
      <c r="P711" s="830">
        <v>2</v>
      </c>
      <c r="Q711" s="830">
        <v>0</v>
      </c>
      <c r="T711" s="831">
        <v>41736.707546296297</v>
      </c>
    </row>
    <row r="712" spans="1:20" ht="12.75" customHeight="1" x14ac:dyDescent="0.25">
      <c r="A712" s="830" t="s">
        <v>308</v>
      </c>
      <c r="B712" s="830">
        <v>13</v>
      </c>
      <c r="C712" s="830" t="s">
        <v>323</v>
      </c>
      <c r="D712" s="830" t="s">
        <v>324</v>
      </c>
      <c r="F712" s="830" t="s">
        <v>325</v>
      </c>
      <c r="G712" s="830" t="s">
        <v>512</v>
      </c>
      <c r="H712" s="830" t="s">
        <v>351</v>
      </c>
      <c r="J712" s="830" t="s">
        <v>327</v>
      </c>
      <c r="K712" s="830" t="s">
        <v>261</v>
      </c>
      <c r="L712" s="830" t="s">
        <v>309</v>
      </c>
      <c r="M712" s="830" t="s">
        <v>471</v>
      </c>
      <c r="N712" s="830" t="s">
        <v>257</v>
      </c>
      <c r="O712" s="830">
        <v>4</v>
      </c>
      <c r="P712" s="830">
        <v>3</v>
      </c>
      <c r="Q712" s="830">
        <v>0</v>
      </c>
      <c r="T712" s="831">
        <v>41736.707546296297</v>
      </c>
    </row>
    <row r="713" spans="1:20" ht="12.75" customHeight="1" x14ac:dyDescent="0.25">
      <c r="A713" s="830" t="s">
        <v>308</v>
      </c>
      <c r="B713" s="830">
        <v>13</v>
      </c>
      <c r="C713" s="830" t="s">
        <v>323</v>
      </c>
      <c r="D713" s="830" t="s">
        <v>324</v>
      </c>
      <c r="F713" s="830" t="s">
        <v>325</v>
      </c>
      <c r="G713" s="830" t="s">
        <v>512</v>
      </c>
      <c r="H713" s="830" t="s">
        <v>344</v>
      </c>
      <c r="J713" s="830" t="s">
        <v>327</v>
      </c>
      <c r="K713" s="830" t="s">
        <v>261</v>
      </c>
      <c r="L713" s="830" t="s">
        <v>309</v>
      </c>
      <c r="M713" s="830" t="s">
        <v>471</v>
      </c>
      <c r="N713" s="830" t="s">
        <v>257</v>
      </c>
      <c r="O713" s="830">
        <v>5</v>
      </c>
      <c r="P713" s="830">
        <v>3</v>
      </c>
      <c r="Q713" s="830">
        <v>0</v>
      </c>
      <c r="T713" s="831">
        <v>41736.707546296297</v>
      </c>
    </row>
    <row r="714" spans="1:20" ht="12.75" customHeight="1" x14ac:dyDescent="0.25">
      <c r="A714" s="830" t="s">
        <v>308</v>
      </c>
      <c r="B714" s="830">
        <v>13</v>
      </c>
      <c r="C714" s="830" t="s">
        <v>323</v>
      </c>
      <c r="D714" s="830" t="s">
        <v>324</v>
      </c>
      <c r="F714" s="830" t="s">
        <v>325</v>
      </c>
      <c r="G714" s="830" t="s">
        <v>512</v>
      </c>
      <c r="H714" s="830" t="s">
        <v>333</v>
      </c>
      <c r="J714" s="830" t="s">
        <v>327</v>
      </c>
      <c r="K714" s="830" t="s">
        <v>261</v>
      </c>
      <c r="L714" s="830" t="s">
        <v>309</v>
      </c>
      <c r="M714" s="830" t="s">
        <v>471</v>
      </c>
      <c r="N714" s="830" t="s">
        <v>257</v>
      </c>
      <c r="O714" s="830">
        <v>6</v>
      </c>
      <c r="Q714" s="830">
        <v>0</v>
      </c>
      <c r="T714" s="831">
        <v>41736.707546296297</v>
      </c>
    </row>
    <row r="715" spans="1:20" ht="12.75" customHeight="1" x14ac:dyDescent="0.25">
      <c r="A715" s="830" t="s">
        <v>308</v>
      </c>
      <c r="B715" s="830">
        <v>13</v>
      </c>
      <c r="C715" s="830" t="s">
        <v>323</v>
      </c>
      <c r="D715" s="830" t="s">
        <v>324</v>
      </c>
      <c r="F715" s="830" t="s">
        <v>325</v>
      </c>
      <c r="G715" s="830" t="s">
        <v>512</v>
      </c>
      <c r="H715" s="830" t="s">
        <v>375</v>
      </c>
      <c r="J715" s="830" t="s">
        <v>327</v>
      </c>
      <c r="K715" s="830" t="s">
        <v>261</v>
      </c>
      <c r="L715" s="830" t="s">
        <v>309</v>
      </c>
      <c r="M715" s="830" t="s">
        <v>471</v>
      </c>
      <c r="N715" s="830" t="s">
        <v>257</v>
      </c>
      <c r="O715" s="830">
        <v>1</v>
      </c>
      <c r="P715" s="830">
        <v>6</v>
      </c>
      <c r="Q715" s="830">
        <v>3</v>
      </c>
      <c r="T715" s="831">
        <v>41736.707546296297</v>
      </c>
    </row>
    <row r="716" spans="1:20" ht="12.75" customHeight="1" x14ac:dyDescent="0.25">
      <c r="A716" s="830" t="s">
        <v>308</v>
      </c>
      <c r="B716" s="830">
        <v>13</v>
      </c>
      <c r="C716" s="830" t="s">
        <v>323</v>
      </c>
      <c r="D716" s="830" t="s">
        <v>324</v>
      </c>
      <c r="F716" s="830" t="s">
        <v>325</v>
      </c>
      <c r="G716" s="830" t="s">
        <v>512</v>
      </c>
      <c r="H716" s="830" t="s">
        <v>358</v>
      </c>
      <c r="J716" s="830" t="s">
        <v>327</v>
      </c>
      <c r="K716" s="830" t="s">
        <v>261</v>
      </c>
      <c r="L716" s="830" t="s">
        <v>309</v>
      </c>
      <c r="M716" s="830" t="s">
        <v>471</v>
      </c>
      <c r="N716" s="830" t="s">
        <v>257</v>
      </c>
      <c r="O716" s="830">
        <v>3</v>
      </c>
      <c r="P716" s="830">
        <v>3</v>
      </c>
      <c r="Q716" s="830">
        <v>2</v>
      </c>
      <c r="T716" s="831">
        <v>41736.707546296297</v>
      </c>
    </row>
    <row r="717" spans="1:20" ht="12.75" customHeight="1" x14ac:dyDescent="0.25">
      <c r="A717" s="830" t="s">
        <v>308</v>
      </c>
      <c r="B717" s="830">
        <v>13</v>
      </c>
      <c r="C717" s="830" t="s">
        <v>323</v>
      </c>
      <c r="D717" s="830" t="s">
        <v>324</v>
      </c>
      <c r="F717" s="830" t="s">
        <v>325</v>
      </c>
      <c r="G717" s="830" t="s">
        <v>512</v>
      </c>
      <c r="H717" s="830" t="s">
        <v>368</v>
      </c>
      <c r="J717" s="830" t="s">
        <v>327</v>
      </c>
      <c r="K717" s="830" t="s">
        <v>261</v>
      </c>
      <c r="L717" s="830" t="s">
        <v>309</v>
      </c>
      <c r="M717" s="830" t="s">
        <v>471</v>
      </c>
      <c r="N717" s="830" t="s">
        <v>257</v>
      </c>
      <c r="P717" s="830">
        <v>6</v>
      </c>
      <c r="Q717" s="830">
        <v>0</v>
      </c>
      <c r="T717" s="831">
        <v>41736.707546296297</v>
      </c>
    </row>
    <row r="718" spans="1:20" ht="12.75" customHeight="1" x14ac:dyDescent="0.25">
      <c r="A718" s="830" t="s">
        <v>308</v>
      </c>
      <c r="B718" s="830">
        <v>13</v>
      </c>
      <c r="C718" s="830" t="s">
        <v>323</v>
      </c>
      <c r="D718" s="830" t="s">
        <v>324</v>
      </c>
      <c r="F718" s="830" t="s">
        <v>325</v>
      </c>
      <c r="G718" s="830" t="s">
        <v>512</v>
      </c>
      <c r="H718" s="830" t="s">
        <v>381</v>
      </c>
      <c r="J718" s="830" t="s">
        <v>327</v>
      </c>
      <c r="K718" s="830" t="s">
        <v>261</v>
      </c>
      <c r="L718" s="830" t="s">
        <v>309</v>
      </c>
      <c r="M718" s="830" t="s">
        <v>471</v>
      </c>
      <c r="N718" s="830" t="s">
        <v>257</v>
      </c>
      <c r="O718" s="830">
        <v>6</v>
      </c>
      <c r="P718" s="830">
        <v>7</v>
      </c>
      <c r="Q718" s="830">
        <v>0</v>
      </c>
      <c r="T718" s="831">
        <v>41736.707546296297</v>
      </c>
    </row>
    <row r="719" spans="1:20" ht="12.75" customHeight="1" x14ac:dyDescent="0.25">
      <c r="A719" s="830" t="s">
        <v>308</v>
      </c>
      <c r="B719" s="830">
        <v>13</v>
      </c>
      <c r="C719" s="830" t="s">
        <v>323</v>
      </c>
      <c r="D719" s="830" t="s">
        <v>324</v>
      </c>
      <c r="F719" s="830" t="s">
        <v>325</v>
      </c>
      <c r="G719" s="830" t="s">
        <v>512</v>
      </c>
      <c r="H719" s="830" t="s">
        <v>343</v>
      </c>
      <c r="J719" s="830" t="s">
        <v>327</v>
      </c>
      <c r="K719" s="830" t="s">
        <v>261</v>
      </c>
      <c r="L719" s="830" t="s">
        <v>309</v>
      </c>
      <c r="M719" s="830" t="s">
        <v>471</v>
      </c>
      <c r="N719" s="830" t="s">
        <v>257</v>
      </c>
      <c r="O719" s="830">
        <v>5</v>
      </c>
      <c r="P719" s="830">
        <v>4</v>
      </c>
      <c r="Q719" s="830">
        <v>0</v>
      </c>
      <c r="T719" s="831">
        <v>41736.707546296297</v>
      </c>
    </row>
    <row r="720" spans="1:20" ht="12.75" customHeight="1" x14ac:dyDescent="0.25">
      <c r="A720" s="830" t="s">
        <v>308</v>
      </c>
      <c r="B720" s="830">
        <v>13</v>
      </c>
      <c r="C720" s="830" t="s">
        <v>323</v>
      </c>
      <c r="D720" s="830" t="s">
        <v>324</v>
      </c>
      <c r="F720" s="830" t="s">
        <v>325</v>
      </c>
      <c r="G720" s="830" t="s">
        <v>512</v>
      </c>
      <c r="H720" s="830" t="s">
        <v>353</v>
      </c>
      <c r="J720" s="830" t="s">
        <v>327</v>
      </c>
      <c r="K720" s="830" t="s">
        <v>261</v>
      </c>
      <c r="L720" s="830" t="s">
        <v>309</v>
      </c>
      <c r="M720" s="830" t="s">
        <v>471</v>
      </c>
      <c r="N720" s="830" t="s">
        <v>257</v>
      </c>
      <c r="O720" s="830">
        <v>4</v>
      </c>
      <c r="P720" s="830">
        <v>7</v>
      </c>
      <c r="Q720" s="830">
        <v>0</v>
      </c>
      <c r="T720" s="831">
        <v>41736.707546296297</v>
      </c>
    </row>
    <row r="721" spans="1:20" ht="12.75" customHeight="1" x14ac:dyDescent="0.25">
      <c r="A721" s="830" t="s">
        <v>308</v>
      </c>
      <c r="B721" s="830">
        <v>13</v>
      </c>
      <c r="C721" s="830" t="s">
        <v>323</v>
      </c>
      <c r="D721" s="830" t="s">
        <v>324</v>
      </c>
      <c r="F721" s="830" t="s">
        <v>325</v>
      </c>
      <c r="G721" s="830" t="s">
        <v>512</v>
      </c>
      <c r="H721" s="830" t="s">
        <v>354</v>
      </c>
      <c r="J721" s="830" t="s">
        <v>327</v>
      </c>
      <c r="K721" s="830" t="s">
        <v>261</v>
      </c>
      <c r="L721" s="830" t="s">
        <v>309</v>
      </c>
      <c r="M721" s="830" t="s">
        <v>471</v>
      </c>
      <c r="N721" s="830" t="s">
        <v>257</v>
      </c>
      <c r="O721" s="830">
        <v>4</v>
      </c>
      <c r="P721" s="830">
        <v>6</v>
      </c>
      <c r="Q721" s="830">
        <v>48</v>
      </c>
      <c r="T721" s="831">
        <v>41736.707546296297</v>
      </c>
    </row>
    <row r="722" spans="1:20" ht="12.75" customHeight="1" x14ac:dyDescent="0.25">
      <c r="A722" s="830" t="s">
        <v>308</v>
      </c>
      <c r="B722" s="830">
        <v>13</v>
      </c>
      <c r="C722" s="830" t="s">
        <v>323</v>
      </c>
      <c r="D722" s="830" t="s">
        <v>324</v>
      </c>
      <c r="F722" s="830" t="s">
        <v>325</v>
      </c>
      <c r="G722" s="830" t="s">
        <v>512</v>
      </c>
      <c r="H722" s="830" t="s">
        <v>350</v>
      </c>
      <c r="J722" s="830" t="s">
        <v>327</v>
      </c>
      <c r="K722" s="830" t="s">
        <v>261</v>
      </c>
      <c r="L722" s="830" t="s">
        <v>309</v>
      </c>
      <c r="M722" s="830" t="s">
        <v>471</v>
      </c>
      <c r="N722" s="830" t="s">
        <v>257</v>
      </c>
      <c r="O722" s="830">
        <v>4</v>
      </c>
      <c r="P722" s="830">
        <v>4</v>
      </c>
      <c r="Q722" s="830">
        <v>229</v>
      </c>
      <c r="T722" s="831">
        <v>41736.707546296297</v>
      </c>
    </row>
    <row r="723" spans="1:20" ht="12.75" customHeight="1" x14ac:dyDescent="0.25">
      <c r="A723" s="830" t="s">
        <v>308</v>
      </c>
      <c r="B723" s="830">
        <v>13</v>
      </c>
      <c r="C723" s="830" t="s">
        <v>323</v>
      </c>
      <c r="D723" s="830" t="s">
        <v>324</v>
      </c>
      <c r="F723" s="830" t="s">
        <v>325</v>
      </c>
      <c r="G723" s="830" t="s">
        <v>512</v>
      </c>
      <c r="H723" s="830" t="s">
        <v>347</v>
      </c>
      <c r="J723" s="830" t="s">
        <v>327</v>
      </c>
      <c r="K723" s="830" t="s">
        <v>261</v>
      </c>
      <c r="L723" s="830" t="s">
        <v>309</v>
      </c>
      <c r="M723" s="830" t="s">
        <v>471</v>
      </c>
      <c r="N723" s="830" t="s">
        <v>257</v>
      </c>
      <c r="O723" s="830">
        <v>5</v>
      </c>
      <c r="P723" s="830">
        <v>6</v>
      </c>
      <c r="Q723" s="830">
        <v>0</v>
      </c>
      <c r="T723" s="831">
        <v>41736.707546296297</v>
      </c>
    </row>
    <row r="724" spans="1:20" ht="12.75" customHeight="1" x14ac:dyDescent="0.25">
      <c r="A724" s="830" t="s">
        <v>308</v>
      </c>
      <c r="B724" s="830">
        <v>13</v>
      </c>
      <c r="C724" s="830" t="s">
        <v>323</v>
      </c>
      <c r="D724" s="830" t="s">
        <v>324</v>
      </c>
      <c r="F724" s="830" t="s">
        <v>325</v>
      </c>
      <c r="G724" s="830" t="s">
        <v>512</v>
      </c>
      <c r="H724" s="830" t="s">
        <v>361</v>
      </c>
      <c r="J724" s="830" t="s">
        <v>327</v>
      </c>
      <c r="K724" s="830" t="s">
        <v>261</v>
      </c>
      <c r="L724" s="830" t="s">
        <v>309</v>
      </c>
      <c r="M724" s="830" t="s">
        <v>471</v>
      </c>
      <c r="N724" s="830" t="s">
        <v>257</v>
      </c>
      <c r="O724" s="830">
        <v>3</v>
      </c>
      <c r="P724" s="830">
        <v>6</v>
      </c>
      <c r="Q724" s="830">
        <v>4</v>
      </c>
      <c r="T724" s="831">
        <v>41736.707546296297</v>
      </c>
    </row>
    <row r="725" spans="1:20" ht="12.75" customHeight="1" x14ac:dyDescent="0.25">
      <c r="A725" s="830" t="s">
        <v>308</v>
      </c>
      <c r="B725" s="830">
        <v>13</v>
      </c>
      <c r="C725" s="830" t="s">
        <v>323</v>
      </c>
      <c r="D725" s="830" t="s">
        <v>324</v>
      </c>
      <c r="F725" s="830" t="s">
        <v>325</v>
      </c>
      <c r="G725" s="830" t="s">
        <v>512</v>
      </c>
      <c r="H725" s="830" t="s">
        <v>382</v>
      </c>
      <c r="J725" s="830" t="s">
        <v>327</v>
      </c>
      <c r="K725" s="830" t="s">
        <v>261</v>
      </c>
      <c r="L725" s="830" t="s">
        <v>309</v>
      </c>
      <c r="M725" s="830" t="s">
        <v>471</v>
      </c>
      <c r="N725" s="830" t="s">
        <v>257</v>
      </c>
      <c r="O725" s="830">
        <v>6</v>
      </c>
      <c r="P725" s="830">
        <v>6</v>
      </c>
      <c r="Q725" s="830">
        <v>3</v>
      </c>
      <c r="T725" s="831">
        <v>41736.707546296297</v>
      </c>
    </row>
    <row r="726" spans="1:20" ht="12.75" customHeight="1" x14ac:dyDescent="0.25">
      <c r="A726" s="830" t="s">
        <v>308</v>
      </c>
      <c r="B726" s="830">
        <v>13</v>
      </c>
      <c r="C726" s="830" t="s">
        <v>323</v>
      </c>
      <c r="D726" s="830" t="s">
        <v>324</v>
      </c>
      <c r="F726" s="830" t="s">
        <v>325</v>
      </c>
      <c r="G726" s="830" t="s">
        <v>512</v>
      </c>
      <c r="H726" s="830" t="s">
        <v>378</v>
      </c>
      <c r="J726" s="830" t="s">
        <v>327</v>
      </c>
      <c r="K726" s="830" t="s">
        <v>261</v>
      </c>
      <c r="L726" s="830" t="s">
        <v>309</v>
      </c>
      <c r="M726" s="830" t="s">
        <v>471</v>
      </c>
      <c r="N726" s="830" t="s">
        <v>257</v>
      </c>
      <c r="O726" s="830">
        <v>6</v>
      </c>
      <c r="P726" s="830">
        <v>4</v>
      </c>
      <c r="Q726" s="830">
        <v>3</v>
      </c>
      <c r="T726" s="831">
        <v>41736.707546296297</v>
      </c>
    </row>
    <row r="727" spans="1:20" ht="12.75" customHeight="1" x14ac:dyDescent="0.25">
      <c r="A727" s="830" t="s">
        <v>308</v>
      </c>
      <c r="B727" s="830">
        <v>13</v>
      </c>
      <c r="C727" s="830" t="s">
        <v>323</v>
      </c>
      <c r="D727" s="830" t="s">
        <v>324</v>
      </c>
      <c r="F727" s="830" t="s">
        <v>325</v>
      </c>
      <c r="G727" s="830" t="s">
        <v>512</v>
      </c>
      <c r="H727" s="830" t="s">
        <v>336</v>
      </c>
      <c r="J727" s="830" t="s">
        <v>327</v>
      </c>
      <c r="K727" s="830" t="s">
        <v>261</v>
      </c>
      <c r="L727" s="830" t="s">
        <v>309</v>
      </c>
      <c r="M727" s="830" t="s">
        <v>471</v>
      </c>
      <c r="N727" s="830" t="s">
        <v>257</v>
      </c>
      <c r="O727" s="830">
        <v>2</v>
      </c>
      <c r="P727" s="830">
        <v>4</v>
      </c>
      <c r="Q727" s="830">
        <v>5</v>
      </c>
      <c r="T727" s="831">
        <v>41736.707546296297</v>
      </c>
    </row>
    <row r="728" spans="1:20" ht="12.75" customHeight="1" x14ac:dyDescent="0.25">
      <c r="A728" s="830" t="s">
        <v>308</v>
      </c>
      <c r="B728" s="830">
        <v>13</v>
      </c>
      <c r="C728" s="830" t="s">
        <v>323</v>
      </c>
      <c r="D728" s="830" t="s">
        <v>324</v>
      </c>
      <c r="F728" s="830" t="s">
        <v>325</v>
      </c>
      <c r="G728" s="830" t="s">
        <v>512</v>
      </c>
      <c r="H728" s="830" t="s">
        <v>360</v>
      </c>
      <c r="J728" s="830" t="s">
        <v>327</v>
      </c>
      <c r="K728" s="830" t="s">
        <v>261</v>
      </c>
      <c r="L728" s="830" t="s">
        <v>309</v>
      </c>
      <c r="M728" s="830" t="s">
        <v>471</v>
      </c>
      <c r="N728" s="830" t="s">
        <v>257</v>
      </c>
      <c r="O728" s="830">
        <v>3</v>
      </c>
      <c r="P728" s="830">
        <v>7</v>
      </c>
      <c r="Q728" s="830">
        <v>0</v>
      </c>
      <c r="T728" s="831">
        <v>41736.707546296297</v>
      </c>
    </row>
    <row r="729" spans="1:20" ht="12.75" customHeight="1" x14ac:dyDescent="0.25">
      <c r="A729" s="830" t="s">
        <v>308</v>
      </c>
      <c r="B729" s="830">
        <v>13</v>
      </c>
      <c r="C729" s="830" t="s">
        <v>323</v>
      </c>
      <c r="D729" s="830" t="s">
        <v>324</v>
      </c>
      <c r="F729" s="830" t="s">
        <v>325</v>
      </c>
      <c r="G729" s="830" t="s">
        <v>512</v>
      </c>
      <c r="H729" s="830" t="s">
        <v>346</v>
      </c>
      <c r="J729" s="830" t="s">
        <v>327</v>
      </c>
      <c r="K729" s="830" t="s">
        <v>261</v>
      </c>
      <c r="L729" s="830" t="s">
        <v>309</v>
      </c>
      <c r="M729" s="830" t="s">
        <v>471</v>
      </c>
      <c r="N729" s="830" t="s">
        <v>257</v>
      </c>
      <c r="O729" s="830">
        <v>5</v>
      </c>
      <c r="P729" s="830">
        <v>7</v>
      </c>
      <c r="Q729" s="830">
        <v>0</v>
      </c>
      <c r="T729" s="831">
        <v>41736.707546296297</v>
      </c>
    </row>
    <row r="730" spans="1:20" ht="12.75" customHeight="1" x14ac:dyDescent="0.25">
      <c r="A730" s="830" t="s">
        <v>308</v>
      </c>
      <c r="B730" s="830">
        <v>13</v>
      </c>
      <c r="C730" s="830" t="s">
        <v>323</v>
      </c>
      <c r="D730" s="830" t="s">
        <v>324</v>
      </c>
      <c r="F730" s="830" t="s">
        <v>325</v>
      </c>
      <c r="G730" s="830" t="s">
        <v>512</v>
      </c>
      <c r="H730" s="830" t="s">
        <v>371</v>
      </c>
      <c r="J730" s="830" t="s">
        <v>327</v>
      </c>
      <c r="K730" s="830" t="s">
        <v>261</v>
      </c>
      <c r="L730" s="830" t="s">
        <v>309</v>
      </c>
      <c r="M730" s="830" t="s">
        <v>471</v>
      </c>
      <c r="N730" s="830" t="s">
        <v>257</v>
      </c>
      <c r="O730" s="830">
        <v>1</v>
      </c>
      <c r="P730" s="830">
        <v>4</v>
      </c>
      <c r="Q730" s="830">
        <v>29</v>
      </c>
      <c r="T730" s="831">
        <v>41736.707546296297</v>
      </c>
    </row>
    <row r="731" spans="1:20" ht="12.75" customHeight="1" x14ac:dyDescent="0.25">
      <c r="A731" s="830" t="s">
        <v>308</v>
      </c>
      <c r="B731" s="830">
        <v>13</v>
      </c>
      <c r="C731" s="830" t="s">
        <v>323</v>
      </c>
      <c r="D731" s="830" t="s">
        <v>324</v>
      </c>
      <c r="F731" s="830" t="s">
        <v>325</v>
      </c>
      <c r="G731" s="830" t="s">
        <v>512</v>
      </c>
      <c r="H731" s="830" t="s">
        <v>349</v>
      </c>
      <c r="J731" s="830" t="s">
        <v>327</v>
      </c>
      <c r="K731" s="830" t="s">
        <v>261</v>
      </c>
      <c r="L731" s="830" t="s">
        <v>309</v>
      </c>
      <c r="M731" s="830" t="s">
        <v>471</v>
      </c>
      <c r="N731" s="830" t="s">
        <v>257</v>
      </c>
      <c r="O731" s="830">
        <v>4</v>
      </c>
      <c r="P731" s="830">
        <v>5</v>
      </c>
      <c r="Q731" s="830">
        <v>7</v>
      </c>
      <c r="T731" s="831">
        <v>41736.707546296297</v>
      </c>
    </row>
    <row r="732" spans="1:20" ht="12.75" customHeight="1" x14ac:dyDescent="0.25">
      <c r="A732" s="830" t="s">
        <v>308</v>
      </c>
      <c r="B732" s="830">
        <v>13</v>
      </c>
      <c r="C732" s="830" t="s">
        <v>323</v>
      </c>
      <c r="D732" s="830" t="s">
        <v>324</v>
      </c>
      <c r="F732" s="830" t="s">
        <v>325</v>
      </c>
      <c r="G732" s="830" t="s">
        <v>512</v>
      </c>
      <c r="H732" s="830" t="s">
        <v>342</v>
      </c>
      <c r="J732" s="830" t="s">
        <v>327</v>
      </c>
      <c r="K732" s="830" t="s">
        <v>261</v>
      </c>
      <c r="L732" s="830" t="s">
        <v>309</v>
      </c>
      <c r="M732" s="830" t="s">
        <v>471</v>
      </c>
      <c r="N732" s="830" t="s">
        <v>257</v>
      </c>
      <c r="O732" s="830">
        <v>5</v>
      </c>
      <c r="P732" s="830">
        <v>5</v>
      </c>
      <c r="Q732" s="830">
        <v>0</v>
      </c>
      <c r="T732" s="831">
        <v>41736.707546296297</v>
      </c>
    </row>
    <row r="733" spans="1:20" ht="12.75" customHeight="1" x14ac:dyDescent="0.25">
      <c r="A733" s="830" t="s">
        <v>308</v>
      </c>
      <c r="B733" s="830">
        <v>13</v>
      </c>
      <c r="C733" s="830" t="s">
        <v>323</v>
      </c>
      <c r="D733" s="830" t="s">
        <v>324</v>
      </c>
      <c r="F733" s="830" t="s">
        <v>325</v>
      </c>
      <c r="G733" s="830" t="s">
        <v>512</v>
      </c>
      <c r="H733" s="830" t="s">
        <v>326</v>
      </c>
      <c r="J733" s="830" t="s">
        <v>327</v>
      </c>
      <c r="K733" s="830" t="s">
        <v>261</v>
      </c>
      <c r="L733" s="830" t="s">
        <v>309</v>
      </c>
      <c r="M733" s="830" t="s">
        <v>471</v>
      </c>
      <c r="N733" s="830" t="s">
        <v>257</v>
      </c>
      <c r="O733" s="830">
        <v>2</v>
      </c>
      <c r="Q733" s="830">
        <v>0</v>
      </c>
      <c r="T733" s="831">
        <v>41736.707546296297</v>
      </c>
    </row>
    <row r="734" spans="1:20" ht="12.75" customHeight="1" x14ac:dyDescent="0.25">
      <c r="A734" s="830" t="s">
        <v>308</v>
      </c>
      <c r="B734" s="830">
        <v>13</v>
      </c>
      <c r="C734" s="830" t="s">
        <v>323</v>
      </c>
      <c r="D734" s="830" t="s">
        <v>324</v>
      </c>
      <c r="F734" s="830" t="s">
        <v>325</v>
      </c>
      <c r="G734" s="830" t="s">
        <v>512</v>
      </c>
      <c r="H734" s="830" t="s">
        <v>329</v>
      </c>
      <c r="J734" s="830" t="s">
        <v>327</v>
      </c>
      <c r="K734" s="830" t="s">
        <v>261</v>
      </c>
      <c r="L734" s="830" t="s">
        <v>309</v>
      </c>
      <c r="M734" s="830" t="s">
        <v>471</v>
      </c>
      <c r="N734" s="830" t="s">
        <v>257</v>
      </c>
      <c r="O734" s="830">
        <v>4</v>
      </c>
      <c r="Q734" s="830">
        <v>17</v>
      </c>
      <c r="T734" s="831">
        <v>41736.707546296297</v>
      </c>
    </row>
    <row r="735" spans="1:20" ht="12.75" customHeight="1" x14ac:dyDescent="0.25">
      <c r="A735" s="830" t="s">
        <v>308</v>
      </c>
      <c r="B735" s="830">
        <v>13</v>
      </c>
      <c r="C735" s="830" t="s">
        <v>323</v>
      </c>
      <c r="D735" s="830" t="s">
        <v>324</v>
      </c>
      <c r="F735" s="830" t="s">
        <v>325</v>
      </c>
      <c r="G735" s="830" t="s">
        <v>512</v>
      </c>
      <c r="H735" s="830" t="s">
        <v>330</v>
      </c>
      <c r="J735" s="830" t="s">
        <v>327</v>
      </c>
      <c r="K735" s="830" t="s">
        <v>261</v>
      </c>
      <c r="L735" s="830" t="s">
        <v>309</v>
      </c>
      <c r="M735" s="830" t="s">
        <v>471</v>
      </c>
      <c r="N735" s="830" t="s">
        <v>257</v>
      </c>
      <c r="O735" s="830">
        <v>3</v>
      </c>
      <c r="Q735" s="830">
        <v>4</v>
      </c>
      <c r="T735" s="831">
        <v>41736.707546296297</v>
      </c>
    </row>
    <row r="736" spans="1:20" ht="12.75" customHeight="1" x14ac:dyDescent="0.25">
      <c r="A736" s="830" t="s">
        <v>308</v>
      </c>
      <c r="B736" s="830">
        <v>13</v>
      </c>
      <c r="C736" s="830" t="s">
        <v>323</v>
      </c>
      <c r="D736" s="830" t="s">
        <v>324</v>
      </c>
      <c r="F736" s="830" t="s">
        <v>325</v>
      </c>
      <c r="G736" s="830" t="s">
        <v>512</v>
      </c>
      <c r="H736" s="830" t="s">
        <v>339</v>
      </c>
      <c r="J736" s="830" t="s">
        <v>327</v>
      </c>
      <c r="K736" s="830" t="s">
        <v>261</v>
      </c>
      <c r="L736" s="830" t="s">
        <v>309</v>
      </c>
      <c r="M736" s="830" t="s">
        <v>471</v>
      </c>
      <c r="N736" s="830" t="s">
        <v>257</v>
      </c>
      <c r="O736" s="830">
        <v>2</v>
      </c>
      <c r="P736" s="830">
        <v>7</v>
      </c>
      <c r="Q736" s="830">
        <v>0</v>
      </c>
      <c r="T736" s="831">
        <v>41736.707546296297</v>
      </c>
    </row>
    <row r="737" spans="1:20" ht="12.75" customHeight="1" x14ac:dyDescent="0.25">
      <c r="A737" s="830" t="s">
        <v>308</v>
      </c>
      <c r="B737" s="830">
        <v>13</v>
      </c>
      <c r="C737" s="830" t="s">
        <v>323</v>
      </c>
      <c r="D737" s="830" t="s">
        <v>324</v>
      </c>
      <c r="F737" s="830" t="s">
        <v>325</v>
      </c>
      <c r="G737" s="830" t="s">
        <v>512</v>
      </c>
      <c r="H737" s="830" t="s">
        <v>377</v>
      </c>
      <c r="J737" s="830" t="s">
        <v>327</v>
      </c>
      <c r="K737" s="830" t="s">
        <v>261</v>
      </c>
      <c r="L737" s="830" t="s">
        <v>309</v>
      </c>
      <c r="M737" s="830" t="s">
        <v>471</v>
      </c>
      <c r="N737" s="830" t="s">
        <v>257</v>
      </c>
      <c r="O737" s="830">
        <v>6</v>
      </c>
      <c r="P737" s="830">
        <v>5</v>
      </c>
      <c r="Q737" s="830">
        <v>1</v>
      </c>
      <c r="T737" s="831">
        <v>41736.707546296297</v>
      </c>
    </row>
    <row r="738" spans="1:20" ht="12.75" customHeight="1" x14ac:dyDescent="0.25">
      <c r="A738" s="830" t="s">
        <v>308</v>
      </c>
      <c r="B738" s="830">
        <v>13</v>
      </c>
      <c r="C738" s="830" t="s">
        <v>323</v>
      </c>
      <c r="D738" s="830" t="s">
        <v>324</v>
      </c>
      <c r="F738" s="830" t="s">
        <v>325</v>
      </c>
      <c r="G738" s="830" t="s">
        <v>512</v>
      </c>
      <c r="H738" s="830" t="s">
        <v>331</v>
      </c>
      <c r="J738" s="830" t="s">
        <v>327</v>
      </c>
      <c r="K738" s="830" t="s">
        <v>261</v>
      </c>
      <c r="L738" s="830" t="s">
        <v>309</v>
      </c>
      <c r="M738" s="830" t="s">
        <v>471</v>
      </c>
      <c r="N738" s="830" t="s">
        <v>257</v>
      </c>
      <c r="Q738" s="830">
        <v>12</v>
      </c>
      <c r="T738" s="831">
        <v>41736.707546296297</v>
      </c>
    </row>
    <row r="739" spans="1:20" ht="12.75" customHeight="1" x14ac:dyDescent="0.25">
      <c r="A739" s="830" t="s">
        <v>308</v>
      </c>
      <c r="B739" s="830">
        <v>13</v>
      </c>
      <c r="C739" s="830" t="s">
        <v>323</v>
      </c>
      <c r="D739" s="830" t="s">
        <v>324</v>
      </c>
      <c r="F739" s="830" t="s">
        <v>325</v>
      </c>
      <c r="G739" s="830" t="s">
        <v>512</v>
      </c>
      <c r="H739" s="830" t="s">
        <v>367</v>
      </c>
      <c r="J739" s="830" t="s">
        <v>327</v>
      </c>
      <c r="K739" s="830" t="s">
        <v>261</v>
      </c>
      <c r="L739" s="830" t="s">
        <v>309</v>
      </c>
      <c r="M739" s="830" t="s">
        <v>471</v>
      </c>
      <c r="N739" s="830" t="s">
        <v>257</v>
      </c>
      <c r="P739" s="830">
        <v>7</v>
      </c>
      <c r="Q739" s="830">
        <v>0</v>
      </c>
      <c r="T739" s="831">
        <v>41736.707546296297</v>
      </c>
    </row>
    <row r="740" spans="1:20" ht="12.75" customHeight="1" x14ac:dyDescent="0.25">
      <c r="A740" s="830" t="s">
        <v>308</v>
      </c>
      <c r="B740" s="830">
        <v>13</v>
      </c>
      <c r="C740" s="830" t="s">
        <v>323</v>
      </c>
      <c r="D740" s="830" t="s">
        <v>324</v>
      </c>
      <c r="F740" s="830" t="s">
        <v>325</v>
      </c>
      <c r="G740" s="830" t="s">
        <v>512</v>
      </c>
      <c r="H740" s="830" t="s">
        <v>335</v>
      </c>
      <c r="J740" s="830" t="s">
        <v>327</v>
      </c>
      <c r="K740" s="830" t="s">
        <v>261</v>
      </c>
      <c r="L740" s="830" t="s">
        <v>309</v>
      </c>
      <c r="M740" s="830" t="s">
        <v>471</v>
      </c>
      <c r="N740" s="830" t="s">
        <v>257</v>
      </c>
      <c r="O740" s="830">
        <v>2</v>
      </c>
      <c r="P740" s="830">
        <v>5</v>
      </c>
      <c r="Q740" s="830">
        <v>0</v>
      </c>
      <c r="T740" s="831">
        <v>41736.707546296297</v>
      </c>
    </row>
    <row r="741" spans="1:20" ht="12.75" customHeight="1" x14ac:dyDescent="0.25">
      <c r="A741" s="830" t="s">
        <v>308</v>
      </c>
      <c r="B741" s="830">
        <v>13</v>
      </c>
      <c r="C741" s="830" t="s">
        <v>323</v>
      </c>
      <c r="D741" s="830" t="s">
        <v>324</v>
      </c>
      <c r="F741" s="830" t="s">
        <v>325</v>
      </c>
      <c r="G741" s="830" t="s">
        <v>512</v>
      </c>
      <c r="H741" s="830" t="s">
        <v>357</v>
      </c>
      <c r="J741" s="830" t="s">
        <v>327</v>
      </c>
      <c r="K741" s="830" t="s">
        <v>261</v>
      </c>
      <c r="L741" s="830" t="s">
        <v>309</v>
      </c>
      <c r="M741" s="830" t="s">
        <v>471</v>
      </c>
      <c r="N741" s="830" t="s">
        <v>257</v>
      </c>
      <c r="O741" s="830">
        <v>3</v>
      </c>
      <c r="P741" s="830">
        <v>4</v>
      </c>
      <c r="Q741" s="830">
        <v>85</v>
      </c>
      <c r="T741" s="831">
        <v>41736.707546296297</v>
      </c>
    </row>
    <row r="742" spans="1:20" ht="12.75" customHeight="1" x14ac:dyDescent="0.25">
      <c r="A742" s="830" t="s">
        <v>308</v>
      </c>
      <c r="B742" s="830">
        <v>13</v>
      </c>
      <c r="C742" s="830" t="s">
        <v>323</v>
      </c>
      <c r="D742" s="830" t="s">
        <v>324</v>
      </c>
      <c r="F742" s="830" t="s">
        <v>325</v>
      </c>
      <c r="G742" s="830" t="s">
        <v>512</v>
      </c>
      <c r="H742" s="830" t="s">
        <v>332</v>
      </c>
      <c r="J742" s="830" t="s">
        <v>327</v>
      </c>
      <c r="K742" s="830" t="s">
        <v>261</v>
      </c>
      <c r="L742" s="830" t="s">
        <v>309</v>
      </c>
      <c r="M742" s="830" t="s">
        <v>471</v>
      </c>
      <c r="N742" s="830" t="s">
        <v>257</v>
      </c>
      <c r="O742" s="830">
        <v>1</v>
      </c>
      <c r="Q742" s="830">
        <v>2</v>
      </c>
      <c r="T742" s="831">
        <v>41736.707546296297</v>
      </c>
    </row>
    <row r="743" spans="1:20" ht="12.75" customHeight="1" x14ac:dyDescent="0.25">
      <c r="A743" s="830" t="s">
        <v>308</v>
      </c>
      <c r="B743" s="830">
        <v>13</v>
      </c>
      <c r="C743" s="830" t="s">
        <v>323</v>
      </c>
      <c r="D743" s="830" t="s">
        <v>324</v>
      </c>
      <c r="F743" s="830" t="s">
        <v>325</v>
      </c>
      <c r="G743" s="830" t="s">
        <v>512</v>
      </c>
      <c r="H743" s="830" t="s">
        <v>365</v>
      </c>
      <c r="J743" s="830" t="s">
        <v>327</v>
      </c>
      <c r="K743" s="830" t="s">
        <v>261</v>
      </c>
      <c r="L743" s="830" t="s">
        <v>309</v>
      </c>
      <c r="M743" s="830" t="s">
        <v>471</v>
      </c>
      <c r="N743" s="830" t="s">
        <v>257</v>
      </c>
      <c r="P743" s="830">
        <v>3</v>
      </c>
      <c r="Q743" s="830">
        <v>0</v>
      </c>
      <c r="T743" s="831">
        <v>41736.707546296297</v>
      </c>
    </row>
    <row r="744" spans="1:20" ht="12.75" customHeight="1" x14ac:dyDescent="0.25">
      <c r="A744" s="830" t="s">
        <v>308</v>
      </c>
      <c r="B744" s="830">
        <v>13</v>
      </c>
      <c r="C744" s="830" t="s">
        <v>323</v>
      </c>
      <c r="D744" s="830" t="s">
        <v>324</v>
      </c>
      <c r="F744" s="830" t="s">
        <v>325</v>
      </c>
      <c r="G744" s="830" t="s">
        <v>512</v>
      </c>
      <c r="H744" s="830" t="s">
        <v>363</v>
      </c>
      <c r="J744" s="830" t="s">
        <v>327</v>
      </c>
      <c r="K744" s="830" t="s">
        <v>261</v>
      </c>
      <c r="L744" s="830" t="s">
        <v>309</v>
      </c>
      <c r="M744" s="830" t="s">
        <v>471</v>
      </c>
      <c r="N744" s="830" t="s">
        <v>257</v>
      </c>
      <c r="P744" s="830">
        <v>5</v>
      </c>
      <c r="Q744" s="830">
        <v>0</v>
      </c>
      <c r="T744" s="831">
        <v>41736.707546296297</v>
      </c>
    </row>
    <row r="745" spans="1:20" ht="12.75" customHeight="1" x14ac:dyDescent="0.25">
      <c r="A745" s="830" t="s">
        <v>308</v>
      </c>
      <c r="B745" s="830">
        <v>13</v>
      </c>
      <c r="C745" s="830" t="s">
        <v>323</v>
      </c>
      <c r="D745" s="830" t="s">
        <v>324</v>
      </c>
      <c r="F745" s="830" t="s">
        <v>325</v>
      </c>
      <c r="G745" s="830" t="s">
        <v>512</v>
      </c>
      <c r="H745" s="830" t="s">
        <v>329</v>
      </c>
      <c r="J745" s="830" t="s">
        <v>327</v>
      </c>
      <c r="K745" s="830" t="s">
        <v>261</v>
      </c>
      <c r="L745" s="830" t="s">
        <v>309</v>
      </c>
      <c r="M745" s="830" t="s">
        <v>470</v>
      </c>
      <c r="N745" s="830" t="s">
        <v>255</v>
      </c>
      <c r="O745" s="830">
        <v>4</v>
      </c>
      <c r="Q745" s="830">
        <v>1281</v>
      </c>
      <c r="T745" s="831">
        <v>41736.707546296297</v>
      </c>
    </row>
    <row r="746" spans="1:20" ht="12.75" customHeight="1" x14ac:dyDescent="0.25">
      <c r="A746" s="830" t="s">
        <v>308</v>
      </c>
      <c r="B746" s="830">
        <v>13</v>
      </c>
      <c r="C746" s="830" t="s">
        <v>323</v>
      </c>
      <c r="D746" s="830" t="s">
        <v>324</v>
      </c>
      <c r="F746" s="830" t="s">
        <v>325</v>
      </c>
      <c r="G746" s="830" t="s">
        <v>512</v>
      </c>
      <c r="H746" s="830" t="s">
        <v>332</v>
      </c>
      <c r="J746" s="830" t="s">
        <v>327</v>
      </c>
      <c r="K746" s="830" t="s">
        <v>261</v>
      </c>
      <c r="L746" s="830" t="s">
        <v>309</v>
      </c>
      <c r="M746" s="830" t="s">
        <v>470</v>
      </c>
      <c r="N746" s="830" t="s">
        <v>255</v>
      </c>
      <c r="O746" s="830">
        <v>1</v>
      </c>
      <c r="Q746" s="830">
        <v>1</v>
      </c>
      <c r="T746" s="831">
        <v>41736.707546296297</v>
      </c>
    </row>
    <row r="747" spans="1:20" ht="12.75" customHeight="1" x14ac:dyDescent="0.25">
      <c r="A747" s="830" t="s">
        <v>308</v>
      </c>
      <c r="B747" s="830">
        <v>13</v>
      </c>
      <c r="C747" s="830" t="s">
        <v>323</v>
      </c>
      <c r="D747" s="830" t="s">
        <v>324</v>
      </c>
      <c r="F747" s="830" t="s">
        <v>325</v>
      </c>
      <c r="G747" s="830" t="s">
        <v>512</v>
      </c>
      <c r="H747" s="830" t="s">
        <v>331</v>
      </c>
      <c r="J747" s="830" t="s">
        <v>327</v>
      </c>
      <c r="K747" s="830" t="s">
        <v>261</v>
      </c>
      <c r="L747" s="830" t="s">
        <v>309</v>
      </c>
      <c r="M747" s="830" t="s">
        <v>470</v>
      </c>
      <c r="N747" s="830" t="s">
        <v>255</v>
      </c>
      <c r="Q747" s="830">
        <v>195</v>
      </c>
      <c r="T747" s="831">
        <v>41736.707546296297</v>
      </c>
    </row>
    <row r="748" spans="1:20" ht="12.75" customHeight="1" x14ac:dyDescent="0.25">
      <c r="A748" s="830" t="s">
        <v>308</v>
      </c>
      <c r="B748" s="830">
        <v>13</v>
      </c>
      <c r="C748" s="830" t="s">
        <v>323</v>
      </c>
      <c r="D748" s="830" t="s">
        <v>324</v>
      </c>
      <c r="F748" s="830" t="s">
        <v>325</v>
      </c>
      <c r="G748" s="830" t="s">
        <v>512</v>
      </c>
      <c r="H748" s="830" t="s">
        <v>330</v>
      </c>
      <c r="J748" s="830" t="s">
        <v>327</v>
      </c>
      <c r="K748" s="830" t="s">
        <v>261</v>
      </c>
      <c r="L748" s="830" t="s">
        <v>309</v>
      </c>
      <c r="M748" s="830" t="s">
        <v>470</v>
      </c>
      <c r="N748" s="830" t="s">
        <v>255</v>
      </c>
      <c r="O748" s="830">
        <v>3</v>
      </c>
      <c r="Q748" s="830">
        <v>506</v>
      </c>
      <c r="T748" s="831">
        <v>41736.707546296297</v>
      </c>
    </row>
    <row r="749" spans="1:20" ht="12.75" customHeight="1" x14ac:dyDescent="0.25">
      <c r="A749" s="830" t="s">
        <v>308</v>
      </c>
      <c r="B749" s="830">
        <v>13</v>
      </c>
      <c r="C749" s="830" t="s">
        <v>323</v>
      </c>
      <c r="D749" s="830" t="s">
        <v>324</v>
      </c>
      <c r="F749" s="830" t="s">
        <v>325</v>
      </c>
      <c r="G749" s="830" t="s">
        <v>512</v>
      </c>
      <c r="H749" s="830" t="s">
        <v>328</v>
      </c>
      <c r="J749" s="830" t="s">
        <v>327</v>
      </c>
      <c r="K749" s="830" t="s">
        <v>261</v>
      </c>
      <c r="L749" s="830" t="s">
        <v>309</v>
      </c>
      <c r="M749" s="830" t="s">
        <v>470</v>
      </c>
      <c r="N749" s="830" t="s">
        <v>255</v>
      </c>
      <c r="O749" s="830">
        <v>5</v>
      </c>
      <c r="Q749" s="830">
        <v>6</v>
      </c>
      <c r="T749" s="831">
        <v>41736.707546296297</v>
      </c>
    </row>
    <row r="750" spans="1:20" ht="12.75" customHeight="1" x14ac:dyDescent="0.25">
      <c r="A750" s="830" t="s">
        <v>308</v>
      </c>
      <c r="B750" s="830">
        <v>13</v>
      </c>
      <c r="C750" s="830" t="s">
        <v>323</v>
      </c>
      <c r="D750" s="830" t="s">
        <v>324</v>
      </c>
      <c r="F750" s="830" t="s">
        <v>325</v>
      </c>
      <c r="G750" s="830" t="s">
        <v>512</v>
      </c>
      <c r="H750" s="830" t="s">
        <v>333</v>
      </c>
      <c r="J750" s="830" t="s">
        <v>327</v>
      </c>
      <c r="K750" s="830" t="s">
        <v>261</v>
      </c>
      <c r="L750" s="830" t="s">
        <v>309</v>
      </c>
      <c r="M750" s="830" t="s">
        <v>470</v>
      </c>
      <c r="N750" s="830" t="s">
        <v>255</v>
      </c>
      <c r="O750" s="830">
        <v>6</v>
      </c>
      <c r="Q750" s="830">
        <v>23</v>
      </c>
      <c r="T750" s="831">
        <v>41736.707546296297</v>
      </c>
    </row>
    <row r="751" spans="1:20" ht="12.75" customHeight="1" x14ac:dyDescent="0.25">
      <c r="A751" s="830" t="s">
        <v>308</v>
      </c>
      <c r="B751" s="830">
        <v>13</v>
      </c>
      <c r="C751" s="830" t="s">
        <v>323</v>
      </c>
      <c r="D751" s="830" t="s">
        <v>324</v>
      </c>
      <c r="F751" s="830" t="s">
        <v>325</v>
      </c>
      <c r="G751" s="830" t="s">
        <v>512</v>
      </c>
      <c r="H751" s="830" t="s">
        <v>326</v>
      </c>
      <c r="J751" s="830" t="s">
        <v>327</v>
      </c>
      <c r="K751" s="830" t="s">
        <v>261</v>
      </c>
      <c r="L751" s="830" t="s">
        <v>309</v>
      </c>
      <c r="M751" s="830" t="s">
        <v>470</v>
      </c>
      <c r="N751" s="830" t="s">
        <v>255</v>
      </c>
      <c r="O751" s="830">
        <v>2</v>
      </c>
      <c r="Q751" s="830">
        <v>203</v>
      </c>
      <c r="T751" s="831">
        <v>41736.707546296297</v>
      </c>
    </row>
    <row r="752" spans="1:20" ht="12.75" customHeight="1" x14ac:dyDescent="0.25">
      <c r="A752" s="830" t="s">
        <v>308</v>
      </c>
      <c r="B752" s="830">
        <v>13</v>
      </c>
      <c r="C752" s="830" t="s">
        <v>323</v>
      </c>
      <c r="D752" s="830" t="s">
        <v>324</v>
      </c>
      <c r="F752" s="830" t="s">
        <v>325</v>
      </c>
      <c r="G752" s="830" t="s">
        <v>512</v>
      </c>
      <c r="H752" s="830" t="s">
        <v>336</v>
      </c>
      <c r="J752" s="830" t="s">
        <v>327</v>
      </c>
      <c r="K752" s="830" t="s">
        <v>261</v>
      </c>
      <c r="L752" s="830" t="s">
        <v>309</v>
      </c>
      <c r="M752" s="830" t="s">
        <v>471</v>
      </c>
      <c r="N752" s="830" t="s">
        <v>255</v>
      </c>
      <c r="O752" s="830">
        <v>2</v>
      </c>
      <c r="P752" s="830">
        <v>4</v>
      </c>
      <c r="Q752" s="830">
        <v>486</v>
      </c>
      <c r="T752" s="831">
        <v>41736.707546296297</v>
      </c>
    </row>
    <row r="753" spans="1:20" ht="12.75" customHeight="1" x14ac:dyDescent="0.25">
      <c r="A753" s="830" t="s">
        <v>308</v>
      </c>
      <c r="B753" s="830">
        <v>13</v>
      </c>
      <c r="C753" s="830" t="s">
        <v>323</v>
      </c>
      <c r="D753" s="830" t="s">
        <v>324</v>
      </c>
      <c r="F753" s="830" t="s">
        <v>325</v>
      </c>
      <c r="G753" s="830" t="s">
        <v>512</v>
      </c>
      <c r="H753" s="830" t="s">
        <v>372</v>
      </c>
      <c r="J753" s="830" t="s">
        <v>327</v>
      </c>
      <c r="K753" s="830" t="s">
        <v>261</v>
      </c>
      <c r="L753" s="830" t="s">
        <v>309</v>
      </c>
      <c r="M753" s="830" t="s">
        <v>471</v>
      </c>
      <c r="N753" s="830" t="s">
        <v>255</v>
      </c>
      <c r="O753" s="830">
        <v>1</v>
      </c>
      <c r="P753" s="830">
        <v>3</v>
      </c>
      <c r="Q753" s="830">
        <v>19</v>
      </c>
      <c r="T753" s="831">
        <v>41736.707546296297</v>
      </c>
    </row>
    <row r="754" spans="1:20" ht="12.75" customHeight="1" x14ac:dyDescent="0.25">
      <c r="A754" s="830" t="s">
        <v>308</v>
      </c>
      <c r="B754" s="830">
        <v>13</v>
      </c>
      <c r="C754" s="830" t="s">
        <v>323</v>
      </c>
      <c r="D754" s="830" t="s">
        <v>324</v>
      </c>
      <c r="F754" s="830" t="s">
        <v>325</v>
      </c>
      <c r="G754" s="830" t="s">
        <v>512</v>
      </c>
      <c r="H754" s="830" t="s">
        <v>374</v>
      </c>
      <c r="J754" s="830" t="s">
        <v>327</v>
      </c>
      <c r="K754" s="830" t="s">
        <v>261</v>
      </c>
      <c r="L754" s="830" t="s">
        <v>309</v>
      </c>
      <c r="M754" s="830" t="s">
        <v>471</v>
      </c>
      <c r="N754" s="830" t="s">
        <v>255</v>
      </c>
      <c r="O754" s="830">
        <v>1</v>
      </c>
      <c r="P754" s="830">
        <v>7</v>
      </c>
      <c r="Q754" s="830">
        <v>0</v>
      </c>
      <c r="T754" s="831">
        <v>41736.707546296297</v>
      </c>
    </row>
    <row r="755" spans="1:20" ht="12.75" customHeight="1" x14ac:dyDescent="0.25">
      <c r="A755" s="830" t="s">
        <v>308</v>
      </c>
      <c r="B755" s="830">
        <v>13</v>
      </c>
      <c r="C755" s="830" t="s">
        <v>323</v>
      </c>
      <c r="D755" s="830" t="s">
        <v>324</v>
      </c>
      <c r="F755" s="830" t="s">
        <v>325</v>
      </c>
      <c r="G755" s="830" t="s">
        <v>512</v>
      </c>
      <c r="H755" s="830" t="s">
        <v>344</v>
      </c>
      <c r="J755" s="830" t="s">
        <v>327</v>
      </c>
      <c r="K755" s="830" t="s">
        <v>261</v>
      </c>
      <c r="L755" s="830" t="s">
        <v>309</v>
      </c>
      <c r="M755" s="830" t="s">
        <v>471</v>
      </c>
      <c r="N755" s="830" t="s">
        <v>255</v>
      </c>
      <c r="O755" s="830">
        <v>5</v>
      </c>
      <c r="P755" s="830">
        <v>3</v>
      </c>
      <c r="Q755" s="830">
        <v>0</v>
      </c>
      <c r="T755" s="831">
        <v>41736.707546296297</v>
      </c>
    </row>
    <row r="756" spans="1:20" ht="12.75" customHeight="1" x14ac:dyDescent="0.25">
      <c r="A756" s="830" t="s">
        <v>308</v>
      </c>
      <c r="B756" s="830">
        <v>13</v>
      </c>
      <c r="C756" s="830" t="s">
        <v>323</v>
      </c>
      <c r="D756" s="830" t="s">
        <v>324</v>
      </c>
      <c r="F756" s="830" t="s">
        <v>325</v>
      </c>
      <c r="G756" s="830" t="s">
        <v>512</v>
      </c>
      <c r="H756" s="830" t="s">
        <v>348</v>
      </c>
      <c r="J756" s="830" t="s">
        <v>327</v>
      </c>
      <c r="K756" s="830" t="s">
        <v>261</v>
      </c>
      <c r="L756" s="830" t="s">
        <v>309</v>
      </c>
      <c r="M756" s="830" t="s">
        <v>471</v>
      </c>
      <c r="N756" s="830" t="s">
        <v>255</v>
      </c>
      <c r="O756" s="830">
        <v>4</v>
      </c>
      <c r="P756" s="830">
        <v>2</v>
      </c>
      <c r="Q756" s="830">
        <v>0</v>
      </c>
      <c r="T756" s="831">
        <v>41736.707546296297</v>
      </c>
    </row>
    <row r="757" spans="1:20" ht="12.75" customHeight="1" x14ac:dyDescent="0.25">
      <c r="A757" s="830" t="s">
        <v>308</v>
      </c>
      <c r="B757" s="830">
        <v>13</v>
      </c>
      <c r="C757" s="830" t="s">
        <v>323</v>
      </c>
      <c r="D757" s="830" t="s">
        <v>324</v>
      </c>
      <c r="F757" s="830" t="s">
        <v>325</v>
      </c>
      <c r="G757" s="830" t="s">
        <v>512</v>
      </c>
      <c r="H757" s="830" t="s">
        <v>351</v>
      </c>
      <c r="J757" s="830" t="s">
        <v>327</v>
      </c>
      <c r="K757" s="830" t="s">
        <v>261</v>
      </c>
      <c r="L757" s="830" t="s">
        <v>309</v>
      </c>
      <c r="M757" s="830" t="s">
        <v>471</v>
      </c>
      <c r="N757" s="830" t="s">
        <v>255</v>
      </c>
      <c r="O757" s="830">
        <v>4</v>
      </c>
      <c r="P757" s="830">
        <v>3</v>
      </c>
      <c r="Q757" s="830">
        <v>0</v>
      </c>
      <c r="T757" s="831">
        <v>41736.707546296297</v>
      </c>
    </row>
    <row r="758" spans="1:20" ht="12.75" customHeight="1" x14ac:dyDescent="0.25">
      <c r="A758" s="830" t="s">
        <v>308</v>
      </c>
      <c r="B758" s="830">
        <v>13</v>
      </c>
      <c r="C758" s="830" t="s">
        <v>323</v>
      </c>
      <c r="D758" s="830" t="s">
        <v>324</v>
      </c>
      <c r="F758" s="830" t="s">
        <v>325</v>
      </c>
      <c r="G758" s="830" t="s">
        <v>512</v>
      </c>
      <c r="H758" s="830" t="s">
        <v>362</v>
      </c>
      <c r="J758" s="830" t="s">
        <v>327</v>
      </c>
      <c r="K758" s="830" t="s">
        <v>261</v>
      </c>
      <c r="L758" s="830" t="s">
        <v>309</v>
      </c>
      <c r="M758" s="830" t="s">
        <v>471</v>
      </c>
      <c r="N758" s="830" t="s">
        <v>255</v>
      </c>
      <c r="P758" s="830">
        <v>2</v>
      </c>
      <c r="Q758" s="830">
        <v>0</v>
      </c>
      <c r="T758" s="831">
        <v>41736.707546296297</v>
      </c>
    </row>
    <row r="759" spans="1:20" ht="12.75" customHeight="1" x14ac:dyDescent="0.25">
      <c r="A759" s="830" t="s">
        <v>308</v>
      </c>
      <c r="B759" s="830">
        <v>13</v>
      </c>
      <c r="C759" s="830" t="s">
        <v>323</v>
      </c>
      <c r="D759" s="830" t="s">
        <v>324</v>
      </c>
      <c r="F759" s="830" t="s">
        <v>325</v>
      </c>
      <c r="G759" s="830" t="s">
        <v>512</v>
      </c>
      <c r="H759" s="830" t="s">
        <v>378</v>
      </c>
      <c r="J759" s="830" t="s">
        <v>327</v>
      </c>
      <c r="K759" s="830" t="s">
        <v>261</v>
      </c>
      <c r="L759" s="830" t="s">
        <v>309</v>
      </c>
      <c r="M759" s="830" t="s">
        <v>471</v>
      </c>
      <c r="N759" s="830" t="s">
        <v>255</v>
      </c>
      <c r="O759" s="830">
        <v>6</v>
      </c>
      <c r="P759" s="830">
        <v>4</v>
      </c>
      <c r="Q759" s="830">
        <v>9</v>
      </c>
      <c r="T759" s="831">
        <v>41736.707546296297</v>
      </c>
    </row>
    <row r="760" spans="1:20" ht="12.75" customHeight="1" x14ac:dyDescent="0.25">
      <c r="A760" s="830" t="s">
        <v>308</v>
      </c>
      <c r="B760" s="830">
        <v>13</v>
      </c>
      <c r="C760" s="830" t="s">
        <v>323</v>
      </c>
      <c r="D760" s="830" t="s">
        <v>324</v>
      </c>
      <c r="F760" s="830" t="s">
        <v>325</v>
      </c>
      <c r="G760" s="830" t="s">
        <v>512</v>
      </c>
      <c r="H760" s="830" t="s">
        <v>356</v>
      </c>
      <c r="J760" s="830" t="s">
        <v>327</v>
      </c>
      <c r="K760" s="830" t="s">
        <v>261</v>
      </c>
      <c r="L760" s="830" t="s">
        <v>309</v>
      </c>
      <c r="M760" s="830" t="s">
        <v>471</v>
      </c>
      <c r="N760" s="830" t="s">
        <v>255</v>
      </c>
      <c r="O760" s="830">
        <v>3</v>
      </c>
      <c r="P760" s="830">
        <v>5</v>
      </c>
      <c r="Q760" s="830">
        <v>5</v>
      </c>
      <c r="T760" s="831">
        <v>41736.707546296297</v>
      </c>
    </row>
    <row r="761" spans="1:20" ht="12.75" customHeight="1" x14ac:dyDescent="0.25">
      <c r="A761" s="830" t="s">
        <v>308</v>
      </c>
      <c r="B761" s="830">
        <v>13</v>
      </c>
      <c r="C761" s="830" t="s">
        <v>323</v>
      </c>
      <c r="D761" s="830" t="s">
        <v>324</v>
      </c>
      <c r="F761" s="830" t="s">
        <v>325</v>
      </c>
      <c r="G761" s="830" t="s">
        <v>512</v>
      </c>
      <c r="H761" s="830" t="s">
        <v>376</v>
      </c>
      <c r="J761" s="830" t="s">
        <v>327</v>
      </c>
      <c r="K761" s="830" t="s">
        <v>261</v>
      </c>
      <c r="L761" s="830" t="s">
        <v>309</v>
      </c>
      <c r="M761" s="830" t="s">
        <v>471</v>
      </c>
      <c r="N761" s="830" t="s">
        <v>255</v>
      </c>
      <c r="O761" s="830">
        <v>6</v>
      </c>
      <c r="P761" s="830">
        <v>2</v>
      </c>
      <c r="Q761" s="830">
        <v>0</v>
      </c>
      <c r="T761" s="831">
        <v>41736.707546296297</v>
      </c>
    </row>
    <row r="762" spans="1:20" ht="12.75" customHeight="1" x14ac:dyDescent="0.25">
      <c r="A762" s="830" t="s">
        <v>308</v>
      </c>
      <c r="B762" s="830">
        <v>13</v>
      </c>
      <c r="C762" s="830" t="s">
        <v>323</v>
      </c>
      <c r="D762" s="830" t="s">
        <v>324</v>
      </c>
      <c r="F762" s="830" t="s">
        <v>325</v>
      </c>
      <c r="G762" s="830" t="s">
        <v>512</v>
      </c>
      <c r="H762" s="830" t="s">
        <v>364</v>
      </c>
      <c r="J762" s="830" t="s">
        <v>327</v>
      </c>
      <c r="K762" s="830" t="s">
        <v>261</v>
      </c>
      <c r="L762" s="830" t="s">
        <v>309</v>
      </c>
      <c r="M762" s="830" t="s">
        <v>471</v>
      </c>
      <c r="N762" s="830" t="s">
        <v>255</v>
      </c>
      <c r="P762" s="830">
        <v>4</v>
      </c>
      <c r="Q762" s="830">
        <v>0</v>
      </c>
      <c r="T762" s="831">
        <v>41736.707546296297</v>
      </c>
    </row>
    <row r="763" spans="1:20" ht="12.75" customHeight="1" x14ac:dyDescent="0.25">
      <c r="A763" s="830" t="s">
        <v>308</v>
      </c>
      <c r="B763" s="830">
        <v>13</v>
      </c>
      <c r="C763" s="830" t="s">
        <v>323</v>
      </c>
      <c r="D763" s="830" t="s">
        <v>324</v>
      </c>
      <c r="F763" s="830" t="s">
        <v>325</v>
      </c>
      <c r="G763" s="830" t="s">
        <v>512</v>
      </c>
      <c r="H763" s="830" t="s">
        <v>359</v>
      </c>
      <c r="J763" s="830" t="s">
        <v>327</v>
      </c>
      <c r="K763" s="830" t="s">
        <v>261</v>
      </c>
      <c r="L763" s="830" t="s">
        <v>309</v>
      </c>
      <c r="M763" s="830" t="s">
        <v>471</v>
      </c>
      <c r="N763" s="830" t="s">
        <v>255</v>
      </c>
      <c r="O763" s="830">
        <v>3</v>
      </c>
      <c r="P763" s="830">
        <v>1</v>
      </c>
      <c r="Q763" s="830">
        <v>2</v>
      </c>
      <c r="T763" s="831">
        <v>41736.707546296297</v>
      </c>
    </row>
    <row r="764" spans="1:20" ht="12.75" customHeight="1" x14ac:dyDescent="0.25">
      <c r="A764" s="830" t="s">
        <v>308</v>
      </c>
      <c r="B764" s="830">
        <v>13</v>
      </c>
      <c r="C764" s="830" t="s">
        <v>323</v>
      </c>
      <c r="D764" s="830" t="s">
        <v>324</v>
      </c>
      <c r="F764" s="830" t="s">
        <v>325</v>
      </c>
      <c r="G764" s="830" t="s">
        <v>512</v>
      </c>
      <c r="H764" s="830" t="s">
        <v>330</v>
      </c>
      <c r="J764" s="830" t="s">
        <v>327</v>
      </c>
      <c r="K764" s="830" t="s">
        <v>261</v>
      </c>
      <c r="L764" s="830" t="s">
        <v>309</v>
      </c>
      <c r="M764" s="830" t="s">
        <v>471</v>
      </c>
      <c r="N764" s="830" t="s">
        <v>255</v>
      </c>
      <c r="O764" s="830">
        <v>3</v>
      </c>
      <c r="Q764" s="830">
        <v>21</v>
      </c>
      <c r="T764" s="831">
        <v>41736.707546296297</v>
      </c>
    </row>
    <row r="765" spans="1:20" ht="12.75" customHeight="1" x14ac:dyDescent="0.25">
      <c r="A765" s="830" t="s">
        <v>308</v>
      </c>
      <c r="B765" s="830">
        <v>13</v>
      </c>
      <c r="C765" s="830" t="s">
        <v>323</v>
      </c>
      <c r="D765" s="830" t="s">
        <v>324</v>
      </c>
      <c r="F765" s="830" t="s">
        <v>325</v>
      </c>
      <c r="G765" s="830" t="s">
        <v>512</v>
      </c>
      <c r="H765" s="830" t="s">
        <v>370</v>
      </c>
      <c r="J765" s="830" t="s">
        <v>327</v>
      </c>
      <c r="K765" s="830" t="s">
        <v>261</v>
      </c>
      <c r="L765" s="830" t="s">
        <v>309</v>
      </c>
      <c r="M765" s="830" t="s">
        <v>471</v>
      </c>
      <c r="N765" s="830" t="s">
        <v>255</v>
      </c>
      <c r="O765" s="830">
        <v>1</v>
      </c>
      <c r="P765" s="830">
        <v>5</v>
      </c>
      <c r="Q765" s="830">
        <v>29</v>
      </c>
      <c r="T765" s="831">
        <v>41736.707546296297</v>
      </c>
    </row>
    <row r="766" spans="1:20" ht="12.75" customHeight="1" x14ac:dyDescent="0.25">
      <c r="A766" s="830" t="s">
        <v>308</v>
      </c>
      <c r="B766" s="830">
        <v>13</v>
      </c>
      <c r="C766" s="830" t="s">
        <v>323</v>
      </c>
      <c r="D766" s="830" t="s">
        <v>324</v>
      </c>
      <c r="F766" s="830" t="s">
        <v>325</v>
      </c>
      <c r="G766" s="830" t="s">
        <v>512</v>
      </c>
      <c r="H766" s="830" t="s">
        <v>350</v>
      </c>
      <c r="J766" s="830" t="s">
        <v>327</v>
      </c>
      <c r="K766" s="830" t="s">
        <v>261</v>
      </c>
      <c r="L766" s="830" t="s">
        <v>309</v>
      </c>
      <c r="M766" s="830" t="s">
        <v>471</v>
      </c>
      <c r="N766" s="830" t="s">
        <v>255</v>
      </c>
      <c r="O766" s="830">
        <v>4</v>
      </c>
      <c r="P766" s="830">
        <v>4</v>
      </c>
      <c r="Q766" s="830">
        <v>1401</v>
      </c>
      <c r="T766" s="831">
        <v>41736.707546296297</v>
      </c>
    </row>
    <row r="767" spans="1:20" ht="12.75" customHeight="1" x14ac:dyDescent="0.25">
      <c r="A767" s="830" t="s">
        <v>308</v>
      </c>
      <c r="B767" s="830">
        <v>13</v>
      </c>
      <c r="C767" s="830" t="s">
        <v>323</v>
      </c>
      <c r="D767" s="830" t="s">
        <v>324</v>
      </c>
      <c r="F767" s="830" t="s">
        <v>325</v>
      </c>
      <c r="G767" s="830" t="s">
        <v>512</v>
      </c>
      <c r="H767" s="830" t="s">
        <v>337</v>
      </c>
      <c r="J767" s="830" t="s">
        <v>327</v>
      </c>
      <c r="K767" s="830" t="s">
        <v>261</v>
      </c>
      <c r="L767" s="830" t="s">
        <v>309</v>
      </c>
      <c r="M767" s="830" t="s">
        <v>471</v>
      </c>
      <c r="N767" s="830" t="s">
        <v>255</v>
      </c>
      <c r="O767" s="830">
        <v>2</v>
      </c>
      <c r="P767" s="830">
        <v>3</v>
      </c>
      <c r="Q767" s="830">
        <v>5</v>
      </c>
      <c r="T767" s="831">
        <v>41736.707546296297</v>
      </c>
    </row>
    <row r="768" spans="1:20" ht="12.75" customHeight="1" x14ac:dyDescent="0.25">
      <c r="A768" s="830" t="s">
        <v>308</v>
      </c>
      <c r="B768" s="830">
        <v>13</v>
      </c>
      <c r="C768" s="830" t="s">
        <v>323</v>
      </c>
      <c r="D768" s="830" t="s">
        <v>324</v>
      </c>
      <c r="F768" s="830" t="s">
        <v>325</v>
      </c>
      <c r="G768" s="830" t="s">
        <v>512</v>
      </c>
      <c r="H768" s="830" t="s">
        <v>358</v>
      </c>
      <c r="J768" s="830" t="s">
        <v>327</v>
      </c>
      <c r="K768" s="830" t="s">
        <v>261</v>
      </c>
      <c r="L768" s="830" t="s">
        <v>309</v>
      </c>
      <c r="M768" s="830" t="s">
        <v>471</v>
      </c>
      <c r="N768" s="830" t="s">
        <v>255</v>
      </c>
      <c r="O768" s="830">
        <v>3</v>
      </c>
      <c r="P768" s="830">
        <v>3</v>
      </c>
      <c r="Q768" s="830">
        <v>41</v>
      </c>
      <c r="T768" s="831">
        <v>41736.707546296297</v>
      </c>
    </row>
    <row r="769" spans="1:20" ht="12.75" customHeight="1" x14ac:dyDescent="0.25">
      <c r="A769" s="830" t="s">
        <v>308</v>
      </c>
      <c r="B769" s="830">
        <v>13</v>
      </c>
      <c r="C769" s="830" t="s">
        <v>323</v>
      </c>
      <c r="D769" s="830" t="s">
        <v>324</v>
      </c>
      <c r="F769" s="830" t="s">
        <v>325</v>
      </c>
      <c r="G769" s="830" t="s">
        <v>512</v>
      </c>
      <c r="H769" s="830" t="s">
        <v>343</v>
      </c>
      <c r="J769" s="830" t="s">
        <v>327</v>
      </c>
      <c r="K769" s="830" t="s">
        <v>261</v>
      </c>
      <c r="L769" s="830" t="s">
        <v>309</v>
      </c>
      <c r="M769" s="830" t="s">
        <v>471</v>
      </c>
      <c r="N769" s="830" t="s">
        <v>255</v>
      </c>
      <c r="O769" s="830">
        <v>5</v>
      </c>
      <c r="P769" s="830">
        <v>4</v>
      </c>
      <c r="Q769" s="830">
        <v>1</v>
      </c>
      <c r="T769" s="831">
        <v>41736.707546296297</v>
      </c>
    </row>
    <row r="770" spans="1:20" ht="12.75" customHeight="1" x14ac:dyDescent="0.25">
      <c r="A770" s="830" t="s">
        <v>308</v>
      </c>
      <c r="B770" s="830">
        <v>13</v>
      </c>
      <c r="C770" s="830" t="s">
        <v>323</v>
      </c>
      <c r="D770" s="830" t="s">
        <v>324</v>
      </c>
      <c r="F770" s="830" t="s">
        <v>325</v>
      </c>
      <c r="G770" s="830" t="s">
        <v>512</v>
      </c>
      <c r="H770" s="830" t="s">
        <v>363</v>
      </c>
      <c r="J770" s="830" t="s">
        <v>327</v>
      </c>
      <c r="K770" s="830" t="s">
        <v>261</v>
      </c>
      <c r="L770" s="830" t="s">
        <v>309</v>
      </c>
      <c r="M770" s="830" t="s">
        <v>471</v>
      </c>
      <c r="N770" s="830" t="s">
        <v>255</v>
      </c>
      <c r="P770" s="830">
        <v>5</v>
      </c>
      <c r="Q770" s="830">
        <v>0</v>
      </c>
      <c r="T770" s="831">
        <v>41736.707546296297</v>
      </c>
    </row>
    <row r="771" spans="1:20" ht="12.75" customHeight="1" x14ac:dyDescent="0.25">
      <c r="A771" s="830" t="s">
        <v>308</v>
      </c>
      <c r="B771" s="830">
        <v>13</v>
      </c>
      <c r="C771" s="830" t="s">
        <v>323</v>
      </c>
      <c r="D771" s="830" t="s">
        <v>324</v>
      </c>
      <c r="F771" s="830" t="s">
        <v>325</v>
      </c>
      <c r="G771" s="830" t="s">
        <v>512</v>
      </c>
      <c r="H771" s="830" t="s">
        <v>357</v>
      </c>
      <c r="J771" s="830" t="s">
        <v>327</v>
      </c>
      <c r="K771" s="830" t="s">
        <v>261</v>
      </c>
      <c r="L771" s="830" t="s">
        <v>309</v>
      </c>
      <c r="M771" s="830" t="s">
        <v>471</v>
      </c>
      <c r="N771" s="830" t="s">
        <v>255</v>
      </c>
      <c r="O771" s="830">
        <v>3</v>
      </c>
      <c r="P771" s="830">
        <v>4</v>
      </c>
      <c r="Q771" s="830">
        <v>640</v>
      </c>
      <c r="T771" s="831">
        <v>41736.707546296297</v>
      </c>
    </row>
    <row r="772" spans="1:20" ht="12.75" customHeight="1" x14ac:dyDescent="0.25">
      <c r="A772" s="830" t="s">
        <v>308</v>
      </c>
      <c r="B772" s="830">
        <v>13</v>
      </c>
      <c r="C772" s="830" t="s">
        <v>323</v>
      </c>
      <c r="D772" s="830" t="s">
        <v>324</v>
      </c>
      <c r="F772" s="830" t="s">
        <v>325</v>
      </c>
      <c r="G772" s="830" t="s">
        <v>512</v>
      </c>
      <c r="H772" s="830" t="s">
        <v>349</v>
      </c>
      <c r="J772" s="830" t="s">
        <v>327</v>
      </c>
      <c r="K772" s="830" t="s">
        <v>261</v>
      </c>
      <c r="L772" s="830" t="s">
        <v>309</v>
      </c>
      <c r="M772" s="830" t="s">
        <v>471</v>
      </c>
      <c r="N772" s="830" t="s">
        <v>255</v>
      </c>
      <c r="O772" s="830">
        <v>4</v>
      </c>
      <c r="P772" s="830">
        <v>5</v>
      </c>
      <c r="Q772" s="830">
        <v>25</v>
      </c>
      <c r="T772" s="831">
        <v>41736.707546296297</v>
      </c>
    </row>
    <row r="773" spans="1:20" ht="12.75" customHeight="1" x14ac:dyDescent="0.25">
      <c r="A773" s="830" t="s">
        <v>308</v>
      </c>
      <c r="B773" s="830">
        <v>13</v>
      </c>
      <c r="C773" s="830" t="s">
        <v>323</v>
      </c>
      <c r="D773" s="830" t="s">
        <v>324</v>
      </c>
      <c r="F773" s="830" t="s">
        <v>325</v>
      </c>
      <c r="G773" s="830" t="s">
        <v>512</v>
      </c>
      <c r="H773" s="830" t="s">
        <v>365</v>
      </c>
      <c r="J773" s="830" t="s">
        <v>327</v>
      </c>
      <c r="K773" s="830" t="s">
        <v>261</v>
      </c>
      <c r="L773" s="830" t="s">
        <v>309</v>
      </c>
      <c r="M773" s="830" t="s">
        <v>471</v>
      </c>
      <c r="N773" s="830" t="s">
        <v>255</v>
      </c>
      <c r="P773" s="830">
        <v>3</v>
      </c>
      <c r="Q773" s="830">
        <v>0</v>
      </c>
      <c r="T773" s="831">
        <v>41736.707546296297</v>
      </c>
    </row>
    <row r="774" spans="1:20" ht="12.75" customHeight="1" x14ac:dyDescent="0.25">
      <c r="A774" s="830" t="s">
        <v>308</v>
      </c>
      <c r="B774" s="830">
        <v>13</v>
      </c>
      <c r="C774" s="830" t="s">
        <v>323</v>
      </c>
      <c r="D774" s="830" t="s">
        <v>324</v>
      </c>
      <c r="F774" s="830" t="s">
        <v>325</v>
      </c>
      <c r="G774" s="830" t="s">
        <v>512</v>
      </c>
      <c r="H774" s="830" t="s">
        <v>371</v>
      </c>
      <c r="J774" s="830" t="s">
        <v>327</v>
      </c>
      <c r="K774" s="830" t="s">
        <v>261</v>
      </c>
      <c r="L774" s="830" t="s">
        <v>309</v>
      </c>
      <c r="M774" s="830" t="s">
        <v>471</v>
      </c>
      <c r="N774" s="830" t="s">
        <v>255</v>
      </c>
      <c r="O774" s="830">
        <v>1</v>
      </c>
      <c r="P774" s="830">
        <v>4</v>
      </c>
      <c r="Q774" s="830">
        <v>1031</v>
      </c>
      <c r="T774" s="831">
        <v>41736.707546296297</v>
      </c>
    </row>
    <row r="775" spans="1:20" ht="12.75" customHeight="1" x14ac:dyDescent="0.25">
      <c r="A775" s="830" t="s">
        <v>308</v>
      </c>
      <c r="B775" s="830">
        <v>13</v>
      </c>
      <c r="C775" s="830" t="s">
        <v>323</v>
      </c>
      <c r="D775" s="830" t="s">
        <v>324</v>
      </c>
      <c r="F775" s="830" t="s">
        <v>325</v>
      </c>
      <c r="G775" s="830" t="s">
        <v>512</v>
      </c>
      <c r="H775" s="830" t="s">
        <v>342</v>
      </c>
      <c r="J775" s="830" t="s">
        <v>327</v>
      </c>
      <c r="K775" s="830" t="s">
        <v>261</v>
      </c>
      <c r="L775" s="830" t="s">
        <v>309</v>
      </c>
      <c r="M775" s="830" t="s">
        <v>471</v>
      </c>
      <c r="N775" s="830" t="s">
        <v>255</v>
      </c>
      <c r="O775" s="830">
        <v>5</v>
      </c>
      <c r="P775" s="830">
        <v>5</v>
      </c>
      <c r="Q775" s="830">
        <v>7</v>
      </c>
      <c r="T775" s="831">
        <v>41736.707546296297</v>
      </c>
    </row>
    <row r="776" spans="1:20" ht="12.75" customHeight="1" x14ac:dyDescent="0.25">
      <c r="A776" s="830" t="s">
        <v>308</v>
      </c>
      <c r="B776" s="830">
        <v>13</v>
      </c>
      <c r="C776" s="830" t="s">
        <v>323</v>
      </c>
      <c r="D776" s="830" t="s">
        <v>324</v>
      </c>
      <c r="F776" s="830" t="s">
        <v>325</v>
      </c>
      <c r="G776" s="830" t="s">
        <v>512</v>
      </c>
      <c r="H776" s="830" t="s">
        <v>377</v>
      </c>
      <c r="J776" s="830" t="s">
        <v>327</v>
      </c>
      <c r="K776" s="830" t="s">
        <v>261</v>
      </c>
      <c r="L776" s="830" t="s">
        <v>309</v>
      </c>
      <c r="M776" s="830" t="s">
        <v>471</v>
      </c>
      <c r="N776" s="830" t="s">
        <v>255</v>
      </c>
      <c r="O776" s="830">
        <v>6</v>
      </c>
      <c r="P776" s="830">
        <v>5</v>
      </c>
      <c r="Q776" s="830">
        <v>1</v>
      </c>
      <c r="T776" s="831">
        <v>41736.707546296297</v>
      </c>
    </row>
    <row r="777" spans="1:20" ht="12.75" customHeight="1" x14ac:dyDescent="0.25">
      <c r="A777" s="830" t="s">
        <v>308</v>
      </c>
      <c r="B777" s="830">
        <v>13</v>
      </c>
      <c r="C777" s="830" t="s">
        <v>323</v>
      </c>
      <c r="D777" s="830" t="s">
        <v>324</v>
      </c>
      <c r="F777" s="830" t="s">
        <v>325</v>
      </c>
      <c r="G777" s="830" t="s">
        <v>512</v>
      </c>
      <c r="H777" s="830" t="s">
        <v>379</v>
      </c>
      <c r="J777" s="830" t="s">
        <v>327</v>
      </c>
      <c r="K777" s="830" t="s">
        <v>261</v>
      </c>
      <c r="L777" s="830" t="s">
        <v>309</v>
      </c>
      <c r="M777" s="830" t="s">
        <v>471</v>
      </c>
      <c r="N777" s="830" t="s">
        <v>255</v>
      </c>
      <c r="O777" s="830">
        <v>6</v>
      </c>
      <c r="P777" s="830">
        <v>3</v>
      </c>
      <c r="Q777" s="830">
        <v>0</v>
      </c>
      <c r="T777" s="831">
        <v>41736.707546296297</v>
      </c>
    </row>
    <row r="778" spans="1:20" ht="12.75" customHeight="1" x14ac:dyDescent="0.25">
      <c r="A778" s="830" t="s">
        <v>308</v>
      </c>
      <c r="B778" s="830">
        <v>13</v>
      </c>
      <c r="C778" s="830" t="s">
        <v>323</v>
      </c>
      <c r="D778" s="830" t="s">
        <v>324</v>
      </c>
      <c r="F778" s="830" t="s">
        <v>325</v>
      </c>
      <c r="G778" s="830" t="s">
        <v>512</v>
      </c>
      <c r="H778" s="830" t="s">
        <v>368</v>
      </c>
      <c r="J778" s="830" t="s">
        <v>327</v>
      </c>
      <c r="K778" s="830" t="s">
        <v>261</v>
      </c>
      <c r="L778" s="830" t="s">
        <v>309</v>
      </c>
      <c r="M778" s="830" t="s">
        <v>471</v>
      </c>
      <c r="N778" s="830" t="s">
        <v>255</v>
      </c>
      <c r="P778" s="830">
        <v>6</v>
      </c>
      <c r="Q778" s="830">
        <v>0</v>
      </c>
      <c r="T778" s="831">
        <v>41736.707546296297</v>
      </c>
    </row>
    <row r="779" spans="1:20" ht="12.75" customHeight="1" x14ac:dyDescent="0.25">
      <c r="A779" s="830" t="s">
        <v>308</v>
      </c>
      <c r="B779" s="830">
        <v>13</v>
      </c>
      <c r="C779" s="830" t="s">
        <v>323</v>
      </c>
      <c r="D779" s="830" t="s">
        <v>324</v>
      </c>
      <c r="F779" s="830" t="s">
        <v>325</v>
      </c>
      <c r="G779" s="830" t="s">
        <v>512</v>
      </c>
      <c r="H779" s="830" t="s">
        <v>335</v>
      </c>
      <c r="J779" s="830" t="s">
        <v>327</v>
      </c>
      <c r="K779" s="830" t="s">
        <v>261</v>
      </c>
      <c r="L779" s="830" t="s">
        <v>309</v>
      </c>
      <c r="M779" s="830" t="s">
        <v>471</v>
      </c>
      <c r="N779" s="830" t="s">
        <v>255</v>
      </c>
      <c r="O779" s="830">
        <v>2</v>
      </c>
      <c r="P779" s="830">
        <v>5</v>
      </c>
      <c r="Q779" s="830">
        <v>9</v>
      </c>
      <c r="T779" s="831">
        <v>41736.707546296297</v>
      </c>
    </row>
    <row r="780" spans="1:20" ht="12.75" customHeight="1" x14ac:dyDescent="0.25">
      <c r="A780" s="830" t="s">
        <v>308</v>
      </c>
      <c r="B780" s="830">
        <v>13</v>
      </c>
      <c r="C780" s="830" t="s">
        <v>323</v>
      </c>
      <c r="D780" s="830" t="s">
        <v>324</v>
      </c>
      <c r="F780" s="830" t="s">
        <v>325</v>
      </c>
      <c r="G780" s="830" t="s">
        <v>512</v>
      </c>
      <c r="H780" s="830" t="s">
        <v>369</v>
      </c>
      <c r="J780" s="830" t="s">
        <v>327</v>
      </c>
      <c r="K780" s="830" t="s">
        <v>261</v>
      </c>
      <c r="L780" s="830" t="s">
        <v>309</v>
      </c>
      <c r="M780" s="830" t="s">
        <v>471</v>
      </c>
      <c r="N780" s="830" t="s">
        <v>255</v>
      </c>
      <c r="O780" s="830">
        <v>1</v>
      </c>
      <c r="P780" s="830">
        <v>2</v>
      </c>
      <c r="Q780" s="830">
        <v>12</v>
      </c>
      <c r="T780" s="831">
        <v>41736.707546296297</v>
      </c>
    </row>
    <row r="781" spans="1:20" ht="12.75" customHeight="1" x14ac:dyDescent="0.25">
      <c r="A781" s="830" t="s">
        <v>308</v>
      </c>
      <c r="B781" s="830">
        <v>13</v>
      </c>
      <c r="C781" s="830" t="s">
        <v>323</v>
      </c>
      <c r="D781" s="830" t="s">
        <v>324</v>
      </c>
      <c r="F781" s="830" t="s">
        <v>325</v>
      </c>
      <c r="G781" s="830" t="s">
        <v>512</v>
      </c>
      <c r="H781" s="830" t="s">
        <v>331</v>
      </c>
      <c r="J781" s="830" t="s">
        <v>327</v>
      </c>
      <c r="K781" s="830" t="s">
        <v>261</v>
      </c>
      <c r="L781" s="830" t="s">
        <v>309</v>
      </c>
      <c r="M781" s="830" t="s">
        <v>471</v>
      </c>
      <c r="N781" s="830" t="s">
        <v>255</v>
      </c>
      <c r="Q781" s="830">
        <v>488</v>
      </c>
      <c r="T781" s="831">
        <v>41736.707546296297</v>
      </c>
    </row>
    <row r="782" spans="1:20" ht="12.75" customHeight="1" x14ac:dyDescent="0.25">
      <c r="A782" s="830" t="s">
        <v>308</v>
      </c>
      <c r="B782" s="830">
        <v>13</v>
      </c>
      <c r="C782" s="830" t="s">
        <v>323</v>
      </c>
      <c r="D782" s="830" t="s">
        <v>324</v>
      </c>
      <c r="F782" s="830" t="s">
        <v>325</v>
      </c>
      <c r="G782" s="830" t="s">
        <v>512</v>
      </c>
      <c r="H782" s="830" t="s">
        <v>338</v>
      </c>
      <c r="J782" s="830" t="s">
        <v>327</v>
      </c>
      <c r="K782" s="830" t="s">
        <v>261</v>
      </c>
      <c r="L782" s="830" t="s">
        <v>309</v>
      </c>
      <c r="M782" s="830" t="s">
        <v>471</v>
      </c>
      <c r="N782" s="830" t="s">
        <v>255</v>
      </c>
      <c r="O782" s="830">
        <v>2</v>
      </c>
      <c r="P782" s="830">
        <v>1</v>
      </c>
      <c r="Q782" s="830">
        <v>1</v>
      </c>
      <c r="T782" s="831">
        <v>41736.707546296297</v>
      </c>
    </row>
    <row r="783" spans="1:20" ht="12.75" customHeight="1" x14ac:dyDescent="0.25">
      <c r="A783" s="830" t="s">
        <v>308</v>
      </c>
      <c r="B783" s="830">
        <v>13</v>
      </c>
      <c r="C783" s="830" t="s">
        <v>323</v>
      </c>
      <c r="D783" s="830" t="s">
        <v>324</v>
      </c>
      <c r="F783" s="830" t="s">
        <v>325</v>
      </c>
      <c r="G783" s="830" t="s">
        <v>512</v>
      </c>
      <c r="H783" s="830" t="s">
        <v>367</v>
      </c>
      <c r="J783" s="830" t="s">
        <v>327</v>
      </c>
      <c r="K783" s="830" t="s">
        <v>261</v>
      </c>
      <c r="L783" s="830" t="s">
        <v>309</v>
      </c>
      <c r="M783" s="830" t="s">
        <v>471</v>
      </c>
      <c r="N783" s="830" t="s">
        <v>255</v>
      </c>
      <c r="P783" s="830">
        <v>7</v>
      </c>
      <c r="Q783" s="830">
        <v>0</v>
      </c>
      <c r="T783" s="831">
        <v>41736.707546296297</v>
      </c>
    </row>
    <row r="784" spans="1:20" ht="12.75" customHeight="1" x14ac:dyDescent="0.25">
      <c r="A784" s="830" t="s">
        <v>308</v>
      </c>
      <c r="B784" s="830">
        <v>13</v>
      </c>
      <c r="C784" s="830" t="s">
        <v>323</v>
      </c>
      <c r="D784" s="830" t="s">
        <v>324</v>
      </c>
      <c r="F784" s="830" t="s">
        <v>325</v>
      </c>
      <c r="G784" s="830" t="s">
        <v>512</v>
      </c>
      <c r="H784" s="830" t="s">
        <v>361</v>
      </c>
      <c r="J784" s="830" t="s">
        <v>327</v>
      </c>
      <c r="K784" s="830" t="s">
        <v>261</v>
      </c>
      <c r="L784" s="830" t="s">
        <v>309</v>
      </c>
      <c r="M784" s="830" t="s">
        <v>471</v>
      </c>
      <c r="N784" s="830" t="s">
        <v>255</v>
      </c>
      <c r="O784" s="830">
        <v>3</v>
      </c>
      <c r="P784" s="830">
        <v>6</v>
      </c>
      <c r="Q784" s="830">
        <v>22</v>
      </c>
      <c r="T784" s="831">
        <v>41736.707546296297</v>
      </c>
    </row>
    <row r="785" spans="1:20" ht="12.75" customHeight="1" x14ac:dyDescent="0.25">
      <c r="A785" s="830" t="s">
        <v>308</v>
      </c>
      <c r="B785" s="830">
        <v>13</v>
      </c>
      <c r="C785" s="830" t="s">
        <v>323</v>
      </c>
      <c r="D785" s="830" t="s">
        <v>324</v>
      </c>
      <c r="F785" s="830" t="s">
        <v>325</v>
      </c>
      <c r="G785" s="830" t="s">
        <v>512</v>
      </c>
      <c r="H785" s="830" t="s">
        <v>353</v>
      </c>
      <c r="J785" s="830" t="s">
        <v>327</v>
      </c>
      <c r="K785" s="830" t="s">
        <v>261</v>
      </c>
      <c r="L785" s="830" t="s">
        <v>309</v>
      </c>
      <c r="M785" s="830" t="s">
        <v>471</v>
      </c>
      <c r="N785" s="830" t="s">
        <v>255</v>
      </c>
      <c r="O785" s="830">
        <v>4</v>
      </c>
      <c r="P785" s="830">
        <v>7</v>
      </c>
      <c r="Q785" s="830">
        <v>3</v>
      </c>
      <c r="T785" s="831">
        <v>41736.707546296297</v>
      </c>
    </row>
    <row r="786" spans="1:20" ht="12.75" customHeight="1" x14ac:dyDescent="0.25">
      <c r="A786" s="830" t="s">
        <v>308</v>
      </c>
      <c r="B786" s="830">
        <v>13</v>
      </c>
      <c r="C786" s="830" t="s">
        <v>323</v>
      </c>
      <c r="D786" s="830" t="s">
        <v>324</v>
      </c>
      <c r="F786" s="830" t="s">
        <v>325</v>
      </c>
      <c r="G786" s="830" t="s">
        <v>512</v>
      </c>
      <c r="H786" s="830" t="s">
        <v>340</v>
      </c>
      <c r="J786" s="830" t="s">
        <v>327</v>
      </c>
      <c r="K786" s="830" t="s">
        <v>261</v>
      </c>
      <c r="L786" s="830" t="s">
        <v>309</v>
      </c>
      <c r="M786" s="830" t="s">
        <v>471</v>
      </c>
      <c r="N786" s="830" t="s">
        <v>255</v>
      </c>
      <c r="O786" s="830">
        <v>2</v>
      </c>
      <c r="P786" s="830">
        <v>6</v>
      </c>
      <c r="Q786" s="830">
        <v>17</v>
      </c>
      <c r="T786" s="831">
        <v>41736.707546296297</v>
      </c>
    </row>
    <row r="787" spans="1:20" ht="12.75" customHeight="1" x14ac:dyDescent="0.25">
      <c r="A787" s="830" t="s">
        <v>308</v>
      </c>
      <c r="B787" s="830">
        <v>13</v>
      </c>
      <c r="C787" s="830" t="s">
        <v>323</v>
      </c>
      <c r="D787" s="830" t="s">
        <v>324</v>
      </c>
      <c r="F787" s="830" t="s">
        <v>325</v>
      </c>
      <c r="G787" s="830" t="s">
        <v>512</v>
      </c>
      <c r="H787" s="830" t="s">
        <v>334</v>
      </c>
      <c r="J787" s="830" t="s">
        <v>327</v>
      </c>
      <c r="K787" s="830" t="s">
        <v>261</v>
      </c>
      <c r="L787" s="830" t="s">
        <v>309</v>
      </c>
      <c r="M787" s="830" t="s">
        <v>471</v>
      </c>
      <c r="N787" s="830" t="s">
        <v>255</v>
      </c>
      <c r="O787" s="830">
        <v>2</v>
      </c>
      <c r="P787" s="830">
        <v>2</v>
      </c>
      <c r="Q787" s="830">
        <v>28</v>
      </c>
      <c r="T787" s="831">
        <v>41736.707546296297</v>
      </c>
    </row>
    <row r="788" spans="1:20" ht="12.75" customHeight="1" x14ac:dyDescent="0.25">
      <c r="A788" s="830" t="s">
        <v>308</v>
      </c>
      <c r="B788" s="830">
        <v>13</v>
      </c>
      <c r="C788" s="830" t="s">
        <v>323</v>
      </c>
      <c r="D788" s="830" t="s">
        <v>324</v>
      </c>
      <c r="F788" s="830" t="s">
        <v>325</v>
      </c>
      <c r="G788" s="830" t="s">
        <v>512</v>
      </c>
      <c r="H788" s="830" t="s">
        <v>381</v>
      </c>
      <c r="J788" s="830" t="s">
        <v>327</v>
      </c>
      <c r="K788" s="830" t="s">
        <v>261</v>
      </c>
      <c r="L788" s="830" t="s">
        <v>309</v>
      </c>
      <c r="M788" s="830" t="s">
        <v>471</v>
      </c>
      <c r="N788" s="830" t="s">
        <v>255</v>
      </c>
      <c r="O788" s="830">
        <v>6</v>
      </c>
      <c r="P788" s="830">
        <v>7</v>
      </c>
      <c r="Q788" s="830">
        <v>1</v>
      </c>
      <c r="T788" s="831">
        <v>41736.707546296297</v>
      </c>
    </row>
    <row r="789" spans="1:20" ht="12.75" customHeight="1" x14ac:dyDescent="0.25">
      <c r="A789" s="830" t="s">
        <v>308</v>
      </c>
      <c r="B789" s="830">
        <v>13</v>
      </c>
      <c r="C789" s="830" t="s">
        <v>323</v>
      </c>
      <c r="D789" s="830" t="s">
        <v>324</v>
      </c>
      <c r="F789" s="830" t="s">
        <v>325</v>
      </c>
      <c r="G789" s="830" t="s">
        <v>512</v>
      </c>
      <c r="H789" s="830" t="s">
        <v>354</v>
      </c>
      <c r="J789" s="830" t="s">
        <v>327</v>
      </c>
      <c r="K789" s="830" t="s">
        <v>261</v>
      </c>
      <c r="L789" s="830" t="s">
        <v>309</v>
      </c>
      <c r="M789" s="830" t="s">
        <v>471</v>
      </c>
      <c r="N789" s="830" t="s">
        <v>255</v>
      </c>
      <c r="O789" s="830">
        <v>4</v>
      </c>
      <c r="P789" s="830">
        <v>6</v>
      </c>
      <c r="Q789" s="830">
        <v>119</v>
      </c>
      <c r="T789" s="831">
        <v>41736.707546296297</v>
      </c>
    </row>
    <row r="790" spans="1:20" ht="12.75" customHeight="1" x14ac:dyDescent="0.25">
      <c r="A790" s="830" t="s">
        <v>308</v>
      </c>
      <c r="B790" s="830">
        <v>13</v>
      </c>
      <c r="C790" s="830" t="s">
        <v>323</v>
      </c>
      <c r="D790" s="830" t="s">
        <v>324</v>
      </c>
      <c r="F790" s="830" t="s">
        <v>325</v>
      </c>
      <c r="G790" s="830" t="s">
        <v>512</v>
      </c>
      <c r="H790" s="830" t="s">
        <v>375</v>
      </c>
      <c r="J790" s="830" t="s">
        <v>327</v>
      </c>
      <c r="K790" s="830" t="s">
        <v>261</v>
      </c>
      <c r="L790" s="830" t="s">
        <v>309</v>
      </c>
      <c r="M790" s="830" t="s">
        <v>471</v>
      </c>
      <c r="N790" s="830" t="s">
        <v>255</v>
      </c>
      <c r="O790" s="830">
        <v>1</v>
      </c>
      <c r="P790" s="830">
        <v>6</v>
      </c>
      <c r="Q790" s="830">
        <v>19</v>
      </c>
      <c r="T790" s="831">
        <v>41736.707546296297</v>
      </c>
    </row>
    <row r="791" spans="1:20" ht="12.75" customHeight="1" x14ac:dyDescent="0.25">
      <c r="A791" s="830" t="s">
        <v>308</v>
      </c>
      <c r="B791" s="830">
        <v>13</v>
      </c>
      <c r="C791" s="830" t="s">
        <v>323</v>
      </c>
      <c r="D791" s="830" t="s">
        <v>324</v>
      </c>
      <c r="F791" s="830" t="s">
        <v>325</v>
      </c>
      <c r="G791" s="830" t="s">
        <v>512</v>
      </c>
      <c r="H791" s="830" t="s">
        <v>347</v>
      </c>
      <c r="J791" s="830" t="s">
        <v>327</v>
      </c>
      <c r="K791" s="830" t="s">
        <v>261</v>
      </c>
      <c r="L791" s="830" t="s">
        <v>309</v>
      </c>
      <c r="M791" s="830" t="s">
        <v>471</v>
      </c>
      <c r="N791" s="830" t="s">
        <v>255</v>
      </c>
      <c r="O791" s="830">
        <v>5</v>
      </c>
      <c r="P791" s="830">
        <v>6</v>
      </c>
      <c r="Q791" s="830">
        <v>0</v>
      </c>
      <c r="T791" s="831">
        <v>41736.707546296297</v>
      </c>
    </row>
    <row r="792" spans="1:20" ht="12.75" customHeight="1" x14ac:dyDescent="0.25">
      <c r="A792" s="830" t="s">
        <v>308</v>
      </c>
      <c r="B792" s="830">
        <v>13</v>
      </c>
      <c r="C792" s="830" t="s">
        <v>323</v>
      </c>
      <c r="D792" s="830" t="s">
        <v>324</v>
      </c>
      <c r="F792" s="830" t="s">
        <v>325</v>
      </c>
      <c r="G792" s="830" t="s">
        <v>512</v>
      </c>
      <c r="H792" s="830" t="s">
        <v>355</v>
      </c>
      <c r="J792" s="830" t="s">
        <v>327</v>
      </c>
      <c r="K792" s="830" t="s">
        <v>261</v>
      </c>
      <c r="L792" s="830" t="s">
        <v>309</v>
      </c>
      <c r="M792" s="830" t="s">
        <v>471</v>
      </c>
      <c r="N792" s="830" t="s">
        <v>255</v>
      </c>
      <c r="O792" s="830">
        <v>3</v>
      </c>
      <c r="P792" s="830">
        <v>2</v>
      </c>
      <c r="Q792" s="830">
        <v>0</v>
      </c>
      <c r="T792" s="831">
        <v>41736.707546296297</v>
      </c>
    </row>
    <row r="793" spans="1:20" ht="12.75" customHeight="1" x14ac:dyDescent="0.25">
      <c r="A793" s="830" t="s">
        <v>308</v>
      </c>
      <c r="B793" s="830">
        <v>13</v>
      </c>
      <c r="C793" s="830" t="s">
        <v>323</v>
      </c>
      <c r="D793" s="830" t="s">
        <v>324</v>
      </c>
      <c r="F793" s="830" t="s">
        <v>325</v>
      </c>
      <c r="G793" s="830" t="s">
        <v>512</v>
      </c>
      <c r="H793" s="830" t="s">
        <v>346</v>
      </c>
      <c r="J793" s="830" t="s">
        <v>327</v>
      </c>
      <c r="K793" s="830" t="s">
        <v>261</v>
      </c>
      <c r="L793" s="830" t="s">
        <v>309</v>
      </c>
      <c r="M793" s="830" t="s">
        <v>471</v>
      </c>
      <c r="N793" s="830" t="s">
        <v>255</v>
      </c>
      <c r="O793" s="830">
        <v>5</v>
      </c>
      <c r="P793" s="830">
        <v>7</v>
      </c>
      <c r="Q793" s="830">
        <v>0</v>
      </c>
      <c r="T793" s="831">
        <v>41736.707546296297</v>
      </c>
    </row>
    <row r="794" spans="1:20" ht="12.75" customHeight="1" x14ac:dyDescent="0.25">
      <c r="A794" s="830" t="s">
        <v>308</v>
      </c>
      <c r="B794" s="830">
        <v>13</v>
      </c>
      <c r="C794" s="830" t="s">
        <v>323</v>
      </c>
      <c r="D794" s="830" t="s">
        <v>324</v>
      </c>
      <c r="F794" s="830" t="s">
        <v>325</v>
      </c>
      <c r="G794" s="830" t="s">
        <v>512</v>
      </c>
      <c r="H794" s="830" t="s">
        <v>329</v>
      </c>
      <c r="J794" s="830" t="s">
        <v>327</v>
      </c>
      <c r="K794" s="830" t="s">
        <v>261</v>
      </c>
      <c r="L794" s="830" t="s">
        <v>309</v>
      </c>
      <c r="M794" s="830" t="s">
        <v>471</v>
      </c>
      <c r="N794" s="830" t="s">
        <v>255</v>
      </c>
      <c r="O794" s="830">
        <v>4</v>
      </c>
      <c r="Q794" s="830">
        <v>61</v>
      </c>
      <c r="T794" s="831">
        <v>41736.707546296297</v>
      </c>
    </row>
    <row r="795" spans="1:20" ht="12.75" customHeight="1" x14ac:dyDescent="0.25">
      <c r="A795" s="830" t="s">
        <v>308</v>
      </c>
      <c r="B795" s="830">
        <v>13</v>
      </c>
      <c r="C795" s="830" t="s">
        <v>323</v>
      </c>
      <c r="D795" s="830" t="s">
        <v>324</v>
      </c>
      <c r="F795" s="830" t="s">
        <v>325</v>
      </c>
      <c r="G795" s="830" t="s">
        <v>512</v>
      </c>
      <c r="H795" s="830" t="s">
        <v>345</v>
      </c>
      <c r="J795" s="830" t="s">
        <v>327</v>
      </c>
      <c r="K795" s="830" t="s">
        <v>261</v>
      </c>
      <c r="L795" s="830" t="s">
        <v>309</v>
      </c>
      <c r="M795" s="830" t="s">
        <v>471</v>
      </c>
      <c r="N795" s="830" t="s">
        <v>255</v>
      </c>
      <c r="O795" s="830">
        <v>5</v>
      </c>
      <c r="P795" s="830">
        <v>1</v>
      </c>
      <c r="Q795" s="830">
        <v>0</v>
      </c>
      <c r="T795" s="831">
        <v>41736.707546296297</v>
      </c>
    </row>
    <row r="796" spans="1:20" ht="12.75" customHeight="1" x14ac:dyDescent="0.25">
      <c r="A796" s="830" t="s">
        <v>308</v>
      </c>
      <c r="B796" s="830">
        <v>13</v>
      </c>
      <c r="C796" s="830" t="s">
        <v>323</v>
      </c>
      <c r="D796" s="830" t="s">
        <v>324</v>
      </c>
      <c r="F796" s="830" t="s">
        <v>325</v>
      </c>
      <c r="G796" s="830" t="s">
        <v>512</v>
      </c>
      <c r="H796" s="830" t="s">
        <v>332</v>
      </c>
      <c r="J796" s="830" t="s">
        <v>327</v>
      </c>
      <c r="K796" s="830" t="s">
        <v>261</v>
      </c>
      <c r="L796" s="830" t="s">
        <v>309</v>
      </c>
      <c r="M796" s="830" t="s">
        <v>471</v>
      </c>
      <c r="N796" s="830" t="s">
        <v>255</v>
      </c>
      <c r="O796" s="830">
        <v>1</v>
      </c>
      <c r="Q796" s="830">
        <v>385</v>
      </c>
      <c r="T796" s="831">
        <v>41736.707546296297</v>
      </c>
    </row>
    <row r="797" spans="1:20" ht="12.75" customHeight="1" x14ac:dyDescent="0.25">
      <c r="A797" s="830" t="s">
        <v>308</v>
      </c>
      <c r="B797" s="830">
        <v>13</v>
      </c>
      <c r="C797" s="830" t="s">
        <v>323</v>
      </c>
      <c r="D797" s="830" t="s">
        <v>324</v>
      </c>
      <c r="F797" s="830" t="s">
        <v>325</v>
      </c>
      <c r="G797" s="830" t="s">
        <v>512</v>
      </c>
      <c r="H797" s="830" t="s">
        <v>360</v>
      </c>
      <c r="J797" s="830" t="s">
        <v>327</v>
      </c>
      <c r="K797" s="830" t="s">
        <v>261</v>
      </c>
      <c r="L797" s="830" t="s">
        <v>309</v>
      </c>
      <c r="M797" s="830" t="s">
        <v>471</v>
      </c>
      <c r="N797" s="830" t="s">
        <v>255</v>
      </c>
      <c r="O797" s="830">
        <v>3</v>
      </c>
      <c r="P797" s="830">
        <v>7</v>
      </c>
      <c r="Q797" s="830">
        <v>0</v>
      </c>
      <c r="T797" s="831">
        <v>41736.707546296297</v>
      </c>
    </row>
    <row r="798" spans="1:20" ht="12.75" customHeight="1" x14ac:dyDescent="0.25">
      <c r="A798" s="830" t="s">
        <v>308</v>
      </c>
      <c r="B798" s="830">
        <v>13</v>
      </c>
      <c r="C798" s="830" t="s">
        <v>323</v>
      </c>
      <c r="D798" s="830" t="s">
        <v>324</v>
      </c>
      <c r="F798" s="830" t="s">
        <v>325</v>
      </c>
      <c r="G798" s="830" t="s">
        <v>512</v>
      </c>
      <c r="H798" s="830" t="s">
        <v>326</v>
      </c>
      <c r="J798" s="830" t="s">
        <v>327</v>
      </c>
      <c r="K798" s="830" t="s">
        <v>261</v>
      </c>
      <c r="L798" s="830" t="s">
        <v>309</v>
      </c>
      <c r="M798" s="830" t="s">
        <v>471</v>
      </c>
      <c r="N798" s="830" t="s">
        <v>255</v>
      </c>
      <c r="O798" s="830">
        <v>2</v>
      </c>
      <c r="Q798" s="830">
        <v>140</v>
      </c>
      <c r="T798" s="831">
        <v>41736.707546296297</v>
      </c>
    </row>
    <row r="799" spans="1:20" ht="12.75" customHeight="1" x14ac:dyDescent="0.25">
      <c r="A799" s="830" t="s">
        <v>308</v>
      </c>
      <c r="B799" s="830">
        <v>13</v>
      </c>
      <c r="C799" s="830" t="s">
        <v>323</v>
      </c>
      <c r="D799" s="830" t="s">
        <v>324</v>
      </c>
      <c r="F799" s="830" t="s">
        <v>325</v>
      </c>
      <c r="G799" s="830" t="s">
        <v>512</v>
      </c>
      <c r="H799" s="830" t="s">
        <v>382</v>
      </c>
      <c r="J799" s="830" t="s">
        <v>327</v>
      </c>
      <c r="K799" s="830" t="s">
        <v>261</v>
      </c>
      <c r="L799" s="830" t="s">
        <v>309</v>
      </c>
      <c r="M799" s="830" t="s">
        <v>471</v>
      </c>
      <c r="N799" s="830" t="s">
        <v>255</v>
      </c>
      <c r="O799" s="830">
        <v>6</v>
      </c>
      <c r="P799" s="830">
        <v>6</v>
      </c>
      <c r="Q799" s="830">
        <v>21</v>
      </c>
      <c r="T799" s="831">
        <v>41736.707546296297</v>
      </c>
    </row>
    <row r="800" spans="1:20" ht="12.75" customHeight="1" x14ac:dyDescent="0.25">
      <c r="A800" s="830" t="s">
        <v>308</v>
      </c>
      <c r="B800" s="830">
        <v>13</v>
      </c>
      <c r="C800" s="830" t="s">
        <v>323</v>
      </c>
      <c r="D800" s="830" t="s">
        <v>324</v>
      </c>
      <c r="F800" s="830" t="s">
        <v>325</v>
      </c>
      <c r="G800" s="830" t="s">
        <v>512</v>
      </c>
      <c r="H800" s="830" t="s">
        <v>341</v>
      </c>
      <c r="J800" s="830" t="s">
        <v>327</v>
      </c>
      <c r="K800" s="830" t="s">
        <v>261</v>
      </c>
      <c r="L800" s="830" t="s">
        <v>309</v>
      </c>
      <c r="M800" s="830" t="s">
        <v>471</v>
      </c>
      <c r="N800" s="830" t="s">
        <v>255</v>
      </c>
      <c r="O800" s="830">
        <v>5</v>
      </c>
      <c r="P800" s="830">
        <v>2</v>
      </c>
      <c r="Q800" s="830">
        <v>0</v>
      </c>
      <c r="T800" s="831">
        <v>41736.707546296297</v>
      </c>
    </row>
    <row r="801" spans="1:20" ht="12.75" customHeight="1" x14ac:dyDescent="0.25">
      <c r="A801" s="830" t="s">
        <v>308</v>
      </c>
      <c r="B801" s="830">
        <v>13</v>
      </c>
      <c r="C801" s="830" t="s">
        <v>323</v>
      </c>
      <c r="D801" s="830" t="s">
        <v>324</v>
      </c>
      <c r="F801" s="830" t="s">
        <v>325</v>
      </c>
      <c r="G801" s="830" t="s">
        <v>512</v>
      </c>
      <c r="H801" s="830" t="s">
        <v>380</v>
      </c>
      <c r="J801" s="830" t="s">
        <v>327</v>
      </c>
      <c r="K801" s="830" t="s">
        <v>261</v>
      </c>
      <c r="L801" s="830" t="s">
        <v>309</v>
      </c>
      <c r="M801" s="830" t="s">
        <v>471</v>
      </c>
      <c r="N801" s="830" t="s">
        <v>255</v>
      </c>
      <c r="O801" s="830">
        <v>6</v>
      </c>
      <c r="P801" s="830">
        <v>1</v>
      </c>
      <c r="Q801" s="830">
        <v>0</v>
      </c>
      <c r="T801" s="831">
        <v>41736.707546296297</v>
      </c>
    </row>
    <row r="802" spans="1:20" ht="12.75" customHeight="1" x14ac:dyDescent="0.25">
      <c r="A802" s="830" t="s">
        <v>308</v>
      </c>
      <c r="B802" s="830">
        <v>13</v>
      </c>
      <c r="C802" s="830" t="s">
        <v>323</v>
      </c>
      <c r="D802" s="830" t="s">
        <v>324</v>
      </c>
      <c r="F802" s="830" t="s">
        <v>325</v>
      </c>
      <c r="G802" s="830" t="s">
        <v>512</v>
      </c>
      <c r="H802" s="830" t="s">
        <v>339</v>
      </c>
      <c r="J802" s="830" t="s">
        <v>327</v>
      </c>
      <c r="K802" s="830" t="s">
        <v>261</v>
      </c>
      <c r="L802" s="830" t="s">
        <v>309</v>
      </c>
      <c r="M802" s="830" t="s">
        <v>471</v>
      </c>
      <c r="N802" s="830" t="s">
        <v>255</v>
      </c>
      <c r="O802" s="830">
        <v>2</v>
      </c>
      <c r="P802" s="830">
        <v>7</v>
      </c>
      <c r="Q802" s="830">
        <v>0</v>
      </c>
      <c r="T802" s="831">
        <v>41736.707546296297</v>
      </c>
    </row>
    <row r="803" spans="1:20" ht="12.75" customHeight="1" x14ac:dyDescent="0.25">
      <c r="A803" s="830" t="s">
        <v>308</v>
      </c>
      <c r="B803" s="830">
        <v>13</v>
      </c>
      <c r="C803" s="830" t="s">
        <v>323</v>
      </c>
      <c r="D803" s="830" t="s">
        <v>324</v>
      </c>
      <c r="F803" s="830" t="s">
        <v>325</v>
      </c>
      <c r="G803" s="830" t="s">
        <v>512</v>
      </c>
      <c r="H803" s="830" t="s">
        <v>328</v>
      </c>
      <c r="J803" s="830" t="s">
        <v>327</v>
      </c>
      <c r="K803" s="830" t="s">
        <v>261</v>
      </c>
      <c r="L803" s="830" t="s">
        <v>309</v>
      </c>
      <c r="M803" s="830" t="s">
        <v>471</v>
      </c>
      <c r="N803" s="830" t="s">
        <v>255</v>
      </c>
      <c r="O803" s="830">
        <v>5</v>
      </c>
      <c r="Q803" s="830">
        <v>2</v>
      </c>
      <c r="T803" s="831">
        <v>41736.707546296297</v>
      </c>
    </row>
    <row r="804" spans="1:20" ht="12.75" customHeight="1" x14ac:dyDescent="0.25">
      <c r="A804" s="830" t="s">
        <v>308</v>
      </c>
      <c r="B804" s="830">
        <v>13</v>
      </c>
      <c r="C804" s="830" t="s">
        <v>323</v>
      </c>
      <c r="D804" s="830" t="s">
        <v>324</v>
      </c>
      <c r="F804" s="830" t="s">
        <v>325</v>
      </c>
      <c r="G804" s="830" t="s">
        <v>512</v>
      </c>
      <c r="H804" s="830" t="s">
        <v>333</v>
      </c>
      <c r="J804" s="830" t="s">
        <v>327</v>
      </c>
      <c r="K804" s="830" t="s">
        <v>261</v>
      </c>
      <c r="L804" s="830" t="s">
        <v>309</v>
      </c>
      <c r="M804" s="830" t="s">
        <v>471</v>
      </c>
      <c r="N804" s="830" t="s">
        <v>255</v>
      </c>
      <c r="O804" s="830">
        <v>6</v>
      </c>
      <c r="Q804" s="830">
        <v>2</v>
      </c>
      <c r="T804" s="831">
        <v>41736.707546296297</v>
      </c>
    </row>
    <row r="805" spans="1:20" ht="12.75" customHeight="1" x14ac:dyDescent="0.25">
      <c r="A805" s="830" t="s">
        <v>308</v>
      </c>
      <c r="B805" s="830">
        <v>13</v>
      </c>
      <c r="C805" s="830" t="s">
        <v>323</v>
      </c>
      <c r="D805" s="830" t="s">
        <v>324</v>
      </c>
      <c r="F805" s="830" t="s">
        <v>325</v>
      </c>
      <c r="G805" s="830" t="s">
        <v>512</v>
      </c>
      <c r="H805" s="830" t="s">
        <v>373</v>
      </c>
      <c r="J805" s="830" t="s">
        <v>327</v>
      </c>
      <c r="K805" s="830" t="s">
        <v>261</v>
      </c>
      <c r="L805" s="830" t="s">
        <v>309</v>
      </c>
      <c r="M805" s="830" t="s">
        <v>471</v>
      </c>
      <c r="N805" s="830" t="s">
        <v>255</v>
      </c>
      <c r="O805" s="830">
        <v>1</v>
      </c>
      <c r="P805" s="830">
        <v>1</v>
      </c>
      <c r="Q805" s="830">
        <v>0</v>
      </c>
      <c r="T805" s="831">
        <v>41736.707546296297</v>
      </c>
    </row>
    <row r="806" spans="1:20" ht="12.75" customHeight="1" x14ac:dyDescent="0.25">
      <c r="A806" s="830" t="s">
        <v>308</v>
      </c>
      <c r="B806" s="830">
        <v>13</v>
      </c>
      <c r="C806" s="830" t="s">
        <v>323</v>
      </c>
      <c r="D806" s="830" t="s">
        <v>324</v>
      </c>
      <c r="F806" s="830" t="s">
        <v>325</v>
      </c>
      <c r="G806" s="830" t="s">
        <v>512</v>
      </c>
      <c r="H806" s="830" t="s">
        <v>352</v>
      </c>
      <c r="J806" s="830" t="s">
        <v>327</v>
      </c>
      <c r="K806" s="830" t="s">
        <v>261</v>
      </c>
      <c r="L806" s="830" t="s">
        <v>309</v>
      </c>
      <c r="M806" s="830" t="s">
        <v>471</v>
      </c>
      <c r="N806" s="830" t="s">
        <v>255</v>
      </c>
      <c r="O806" s="830">
        <v>4</v>
      </c>
      <c r="P806" s="830">
        <v>1</v>
      </c>
      <c r="Q806" s="830">
        <v>0</v>
      </c>
      <c r="T806" s="831">
        <v>41736.707546296297</v>
      </c>
    </row>
    <row r="807" spans="1:20" ht="12.75" customHeight="1" x14ac:dyDescent="0.25">
      <c r="A807" s="830" t="s">
        <v>308</v>
      </c>
      <c r="B807" s="830">
        <v>13</v>
      </c>
      <c r="C807" s="830" t="s">
        <v>323</v>
      </c>
      <c r="D807" s="830" t="s">
        <v>324</v>
      </c>
      <c r="F807" s="830" t="s">
        <v>325</v>
      </c>
      <c r="G807" s="830" t="s">
        <v>512</v>
      </c>
      <c r="H807" s="830" t="s">
        <v>366</v>
      </c>
      <c r="J807" s="830" t="s">
        <v>327</v>
      </c>
      <c r="K807" s="830" t="s">
        <v>261</v>
      </c>
      <c r="L807" s="830" t="s">
        <v>309</v>
      </c>
      <c r="M807" s="830" t="s">
        <v>471</v>
      </c>
      <c r="N807" s="830" t="s">
        <v>255</v>
      </c>
      <c r="P807" s="830">
        <v>1</v>
      </c>
      <c r="Q807" s="830">
        <v>0</v>
      </c>
      <c r="T807" s="831">
        <v>41736.707546296297</v>
      </c>
    </row>
    <row r="808" spans="1:20" ht="12.75" customHeight="1" x14ac:dyDescent="0.25">
      <c r="A808" s="830" t="s">
        <v>308</v>
      </c>
      <c r="B808" s="830">
        <v>13</v>
      </c>
      <c r="C808" s="830" t="s">
        <v>323</v>
      </c>
      <c r="D808" s="830" t="s">
        <v>324</v>
      </c>
      <c r="F808" s="830" t="s">
        <v>325</v>
      </c>
      <c r="G808" s="830" t="s">
        <v>512</v>
      </c>
      <c r="H808" s="830" t="s">
        <v>326</v>
      </c>
      <c r="J808" s="830" t="s">
        <v>327</v>
      </c>
      <c r="K808" s="830" t="s">
        <v>261</v>
      </c>
      <c r="L808" s="830" t="s">
        <v>309</v>
      </c>
      <c r="M808" s="830" t="s">
        <v>470</v>
      </c>
      <c r="N808" s="830" t="s">
        <v>259</v>
      </c>
      <c r="O808" s="830">
        <v>2</v>
      </c>
      <c r="Q808" s="830">
        <v>33</v>
      </c>
      <c r="T808" s="831">
        <v>41736.707546296297</v>
      </c>
    </row>
    <row r="809" spans="1:20" ht="12.75" customHeight="1" x14ac:dyDescent="0.25">
      <c r="A809" s="830" t="s">
        <v>308</v>
      </c>
      <c r="B809" s="830">
        <v>13</v>
      </c>
      <c r="C809" s="830" t="s">
        <v>323</v>
      </c>
      <c r="D809" s="830" t="s">
        <v>324</v>
      </c>
      <c r="F809" s="830" t="s">
        <v>325</v>
      </c>
      <c r="G809" s="830" t="s">
        <v>512</v>
      </c>
      <c r="H809" s="830" t="s">
        <v>329</v>
      </c>
      <c r="J809" s="830" t="s">
        <v>327</v>
      </c>
      <c r="K809" s="830" t="s">
        <v>261</v>
      </c>
      <c r="L809" s="830" t="s">
        <v>309</v>
      </c>
      <c r="M809" s="830" t="s">
        <v>470</v>
      </c>
      <c r="N809" s="830" t="s">
        <v>259</v>
      </c>
      <c r="O809" s="830">
        <v>4</v>
      </c>
      <c r="Q809" s="830">
        <v>165</v>
      </c>
      <c r="T809" s="831">
        <v>41736.707546296297</v>
      </c>
    </row>
    <row r="810" spans="1:20" ht="12.75" customHeight="1" x14ac:dyDescent="0.25">
      <c r="A810" s="830" t="s">
        <v>308</v>
      </c>
      <c r="B810" s="830">
        <v>13</v>
      </c>
      <c r="C810" s="830" t="s">
        <v>323</v>
      </c>
      <c r="D810" s="830" t="s">
        <v>324</v>
      </c>
      <c r="F810" s="830" t="s">
        <v>325</v>
      </c>
      <c r="G810" s="830" t="s">
        <v>512</v>
      </c>
      <c r="H810" s="830" t="s">
        <v>330</v>
      </c>
      <c r="J810" s="830" t="s">
        <v>327</v>
      </c>
      <c r="K810" s="830" t="s">
        <v>261</v>
      </c>
      <c r="L810" s="830" t="s">
        <v>309</v>
      </c>
      <c r="M810" s="830" t="s">
        <v>470</v>
      </c>
      <c r="N810" s="830" t="s">
        <v>259</v>
      </c>
      <c r="O810" s="830">
        <v>3</v>
      </c>
      <c r="Q810" s="830">
        <v>93</v>
      </c>
      <c r="T810" s="831">
        <v>41736.707546296297</v>
      </c>
    </row>
    <row r="811" spans="1:20" ht="12.75" customHeight="1" x14ac:dyDescent="0.25">
      <c r="A811" s="830" t="s">
        <v>308</v>
      </c>
      <c r="B811" s="830">
        <v>13</v>
      </c>
      <c r="C811" s="830" t="s">
        <v>323</v>
      </c>
      <c r="D811" s="830" t="s">
        <v>324</v>
      </c>
      <c r="F811" s="830" t="s">
        <v>325</v>
      </c>
      <c r="G811" s="830" t="s">
        <v>512</v>
      </c>
      <c r="H811" s="830" t="s">
        <v>332</v>
      </c>
      <c r="J811" s="830" t="s">
        <v>327</v>
      </c>
      <c r="K811" s="830" t="s">
        <v>261</v>
      </c>
      <c r="L811" s="830" t="s">
        <v>309</v>
      </c>
      <c r="M811" s="830" t="s">
        <v>470</v>
      </c>
      <c r="N811" s="830" t="s">
        <v>259</v>
      </c>
      <c r="O811" s="830">
        <v>1</v>
      </c>
      <c r="Q811" s="830">
        <v>0</v>
      </c>
      <c r="T811" s="831">
        <v>41736.707546296297</v>
      </c>
    </row>
    <row r="812" spans="1:20" ht="12.75" customHeight="1" x14ac:dyDescent="0.25">
      <c r="A812" s="830" t="s">
        <v>308</v>
      </c>
      <c r="B812" s="830">
        <v>13</v>
      </c>
      <c r="C812" s="830" t="s">
        <v>323</v>
      </c>
      <c r="D812" s="830" t="s">
        <v>324</v>
      </c>
      <c r="F812" s="830" t="s">
        <v>325</v>
      </c>
      <c r="G812" s="830" t="s">
        <v>512</v>
      </c>
      <c r="H812" s="830" t="s">
        <v>331</v>
      </c>
      <c r="J812" s="830" t="s">
        <v>327</v>
      </c>
      <c r="K812" s="830" t="s">
        <v>261</v>
      </c>
      <c r="L812" s="830" t="s">
        <v>309</v>
      </c>
      <c r="M812" s="830" t="s">
        <v>470</v>
      </c>
      <c r="N812" s="830" t="s">
        <v>259</v>
      </c>
      <c r="Q812" s="830">
        <v>43</v>
      </c>
      <c r="T812" s="831">
        <v>41736.707546296297</v>
      </c>
    </row>
    <row r="813" spans="1:20" ht="12.75" customHeight="1" x14ac:dyDescent="0.25">
      <c r="A813" s="830" t="s">
        <v>308</v>
      </c>
      <c r="B813" s="830">
        <v>13</v>
      </c>
      <c r="C813" s="830" t="s">
        <v>323</v>
      </c>
      <c r="D813" s="830" t="s">
        <v>324</v>
      </c>
      <c r="F813" s="830" t="s">
        <v>325</v>
      </c>
      <c r="G813" s="830" t="s">
        <v>512</v>
      </c>
      <c r="H813" s="830" t="s">
        <v>328</v>
      </c>
      <c r="J813" s="830" t="s">
        <v>327</v>
      </c>
      <c r="K813" s="830" t="s">
        <v>261</v>
      </c>
      <c r="L813" s="830" t="s">
        <v>309</v>
      </c>
      <c r="M813" s="830" t="s">
        <v>470</v>
      </c>
      <c r="N813" s="830" t="s">
        <v>259</v>
      </c>
      <c r="O813" s="830">
        <v>5</v>
      </c>
      <c r="Q813" s="830">
        <v>1</v>
      </c>
      <c r="T813" s="831">
        <v>41736.707546296297</v>
      </c>
    </row>
    <row r="814" spans="1:20" ht="12.75" customHeight="1" x14ac:dyDescent="0.25">
      <c r="A814" s="830" t="s">
        <v>308</v>
      </c>
      <c r="B814" s="830">
        <v>13</v>
      </c>
      <c r="C814" s="830" t="s">
        <v>323</v>
      </c>
      <c r="D814" s="830" t="s">
        <v>324</v>
      </c>
      <c r="F814" s="830" t="s">
        <v>325</v>
      </c>
      <c r="G814" s="830" t="s">
        <v>512</v>
      </c>
      <c r="H814" s="830" t="s">
        <v>333</v>
      </c>
      <c r="J814" s="830" t="s">
        <v>327</v>
      </c>
      <c r="K814" s="830" t="s">
        <v>261</v>
      </c>
      <c r="L814" s="830" t="s">
        <v>309</v>
      </c>
      <c r="M814" s="830" t="s">
        <v>470</v>
      </c>
      <c r="N814" s="830" t="s">
        <v>259</v>
      </c>
      <c r="O814" s="830">
        <v>6</v>
      </c>
      <c r="Q814" s="830">
        <v>3</v>
      </c>
      <c r="T814" s="831">
        <v>41736.707546296297</v>
      </c>
    </row>
    <row r="815" spans="1:20" ht="12.75" customHeight="1" x14ac:dyDescent="0.25">
      <c r="A815" s="830" t="s">
        <v>308</v>
      </c>
      <c r="B815" s="830">
        <v>13</v>
      </c>
      <c r="C815" s="830" t="s">
        <v>323</v>
      </c>
      <c r="D815" s="830" t="s">
        <v>324</v>
      </c>
      <c r="F815" s="830" t="s">
        <v>325</v>
      </c>
      <c r="G815" s="830" t="s">
        <v>512</v>
      </c>
      <c r="H815" s="830" t="s">
        <v>363</v>
      </c>
      <c r="J815" s="830" t="s">
        <v>327</v>
      </c>
      <c r="K815" s="830" t="s">
        <v>261</v>
      </c>
      <c r="L815" s="830" t="s">
        <v>309</v>
      </c>
      <c r="M815" s="830" t="s">
        <v>471</v>
      </c>
      <c r="N815" s="830" t="s">
        <v>259</v>
      </c>
      <c r="P815" s="830">
        <v>5</v>
      </c>
      <c r="Q815" s="830">
        <v>0</v>
      </c>
      <c r="T815" s="831">
        <v>41736.707546296297</v>
      </c>
    </row>
    <row r="816" spans="1:20" ht="12.75" customHeight="1" x14ac:dyDescent="0.25">
      <c r="A816" s="830" t="s">
        <v>308</v>
      </c>
      <c r="B816" s="830">
        <v>13</v>
      </c>
      <c r="C816" s="830" t="s">
        <v>323</v>
      </c>
      <c r="D816" s="830" t="s">
        <v>324</v>
      </c>
      <c r="F816" s="830" t="s">
        <v>325</v>
      </c>
      <c r="G816" s="830" t="s">
        <v>512</v>
      </c>
      <c r="H816" s="830" t="s">
        <v>361</v>
      </c>
      <c r="J816" s="830" t="s">
        <v>327</v>
      </c>
      <c r="K816" s="830" t="s">
        <v>261</v>
      </c>
      <c r="L816" s="830" t="s">
        <v>309</v>
      </c>
      <c r="M816" s="830" t="s">
        <v>471</v>
      </c>
      <c r="N816" s="830" t="s">
        <v>259</v>
      </c>
      <c r="O816" s="830">
        <v>3</v>
      </c>
      <c r="P816" s="830">
        <v>6</v>
      </c>
      <c r="Q816" s="830">
        <v>3</v>
      </c>
      <c r="T816" s="831">
        <v>41736.707546296297</v>
      </c>
    </row>
    <row r="817" spans="1:20" ht="12.75" customHeight="1" x14ac:dyDescent="0.25">
      <c r="A817" s="830" t="s">
        <v>308</v>
      </c>
      <c r="B817" s="830">
        <v>13</v>
      </c>
      <c r="C817" s="830" t="s">
        <v>323</v>
      </c>
      <c r="D817" s="830" t="s">
        <v>324</v>
      </c>
      <c r="F817" s="830" t="s">
        <v>325</v>
      </c>
      <c r="G817" s="830" t="s">
        <v>512</v>
      </c>
      <c r="H817" s="830" t="s">
        <v>343</v>
      </c>
      <c r="J817" s="830" t="s">
        <v>327</v>
      </c>
      <c r="K817" s="830" t="s">
        <v>261</v>
      </c>
      <c r="L817" s="830" t="s">
        <v>309</v>
      </c>
      <c r="M817" s="830" t="s">
        <v>471</v>
      </c>
      <c r="N817" s="830" t="s">
        <v>259</v>
      </c>
      <c r="O817" s="830">
        <v>5</v>
      </c>
      <c r="P817" s="830">
        <v>4</v>
      </c>
      <c r="Q817" s="830">
        <v>0</v>
      </c>
      <c r="T817" s="831">
        <v>41736.707546296297</v>
      </c>
    </row>
    <row r="818" spans="1:20" ht="12.75" customHeight="1" x14ac:dyDescent="0.25">
      <c r="A818" s="830" t="s">
        <v>308</v>
      </c>
      <c r="B818" s="830">
        <v>13</v>
      </c>
      <c r="C818" s="830" t="s">
        <v>323</v>
      </c>
      <c r="D818" s="830" t="s">
        <v>324</v>
      </c>
      <c r="F818" s="830" t="s">
        <v>325</v>
      </c>
      <c r="G818" s="830" t="s">
        <v>512</v>
      </c>
      <c r="H818" s="830" t="s">
        <v>330</v>
      </c>
      <c r="J818" s="830" t="s">
        <v>327</v>
      </c>
      <c r="K818" s="830" t="s">
        <v>261</v>
      </c>
      <c r="L818" s="830" t="s">
        <v>309</v>
      </c>
      <c r="M818" s="830" t="s">
        <v>471</v>
      </c>
      <c r="N818" s="830" t="s">
        <v>259</v>
      </c>
      <c r="O818" s="830">
        <v>3</v>
      </c>
      <c r="Q818" s="830">
        <v>0</v>
      </c>
      <c r="T818" s="831">
        <v>41736.707546296297</v>
      </c>
    </row>
    <row r="819" spans="1:20" ht="12.75" customHeight="1" x14ac:dyDescent="0.25">
      <c r="A819" s="830" t="s">
        <v>308</v>
      </c>
      <c r="B819" s="830">
        <v>13</v>
      </c>
      <c r="C819" s="830" t="s">
        <v>323</v>
      </c>
      <c r="D819" s="830" t="s">
        <v>324</v>
      </c>
      <c r="F819" s="830" t="s">
        <v>325</v>
      </c>
      <c r="G819" s="830" t="s">
        <v>512</v>
      </c>
      <c r="H819" s="830" t="s">
        <v>364</v>
      </c>
      <c r="J819" s="830" t="s">
        <v>327</v>
      </c>
      <c r="K819" s="830" t="s">
        <v>261</v>
      </c>
      <c r="L819" s="830" t="s">
        <v>309</v>
      </c>
      <c r="M819" s="830" t="s">
        <v>471</v>
      </c>
      <c r="N819" s="830" t="s">
        <v>259</v>
      </c>
      <c r="P819" s="830">
        <v>4</v>
      </c>
      <c r="Q819" s="830">
        <v>0</v>
      </c>
      <c r="T819" s="831">
        <v>41736.707546296297</v>
      </c>
    </row>
    <row r="820" spans="1:20" ht="12.75" customHeight="1" x14ac:dyDescent="0.25">
      <c r="A820" s="830" t="s">
        <v>308</v>
      </c>
      <c r="B820" s="830">
        <v>13</v>
      </c>
      <c r="C820" s="830" t="s">
        <v>323</v>
      </c>
      <c r="D820" s="830" t="s">
        <v>324</v>
      </c>
      <c r="F820" s="830" t="s">
        <v>325</v>
      </c>
      <c r="G820" s="830" t="s">
        <v>512</v>
      </c>
      <c r="H820" s="830" t="s">
        <v>377</v>
      </c>
      <c r="J820" s="830" t="s">
        <v>327</v>
      </c>
      <c r="K820" s="830" t="s">
        <v>261</v>
      </c>
      <c r="L820" s="830" t="s">
        <v>309</v>
      </c>
      <c r="M820" s="830" t="s">
        <v>471</v>
      </c>
      <c r="N820" s="830" t="s">
        <v>259</v>
      </c>
      <c r="O820" s="830">
        <v>6</v>
      </c>
      <c r="P820" s="830">
        <v>5</v>
      </c>
      <c r="Q820" s="830">
        <v>0</v>
      </c>
      <c r="T820" s="831">
        <v>41736.707546296297</v>
      </c>
    </row>
    <row r="821" spans="1:20" ht="12.75" customHeight="1" x14ac:dyDescent="0.25">
      <c r="A821" s="830" t="s">
        <v>308</v>
      </c>
      <c r="B821" s="830">
        <v>13</v>
      </c>
      <c r="C821" s="830" t="s">
        <v>323</v>
      </c>
      <c r="D821" s="830" t="s">
        <v>324</v>
      </c>
      <c r="F821" s="830" t="s">
        <v>325</v>
      </c>
      <c r="G821" s="830" t="s">
        <v>512</v>
      </c>
      <c r="H821" s="830" t="s">
        <v>372</v>
      </c>
      <c r="J821" s="830" t="s">
        <v>327</v>
      </c>
      <c r="K821" s="830" t="s">
        <v>261</v>
      </c>
      <c r="L821" s="830" t="s">
        <v>309</v>
      </c>
      <c r="M821" s="830" t="s">
        <v>471</v>
      </c>
      <c r="N821" s="830" t="s">
        <v>259</v>
      </c>
      <c r="O821" s="830">
        <v>1</v>
      </c>
      <c r="P821" s="830">
        <v>3</v>
      </c>
      <c r="Q821" s="830">
        <v>1</v>
      </c>
      <c r="T821" s="831">
        <v>41736.707546296297</v>
      </c>
    </row>
    <row r="822" spans="1:20" ht="12.75" customHeight="1" x14ac:dyDescent="0.25">
      <c r="A822" s="830" t="s">
        <v>308</v>
      </c>
      <c r="B822" s="830">
        <v>13</v>
      </c>
      <c r="C822" s="830" t="s">
        <v>323</v>
      </c>
      <c r="D822" s="830" t="s">
        <v>324</v>
      </c>
      <c r="F822" s="830" t="s">
        <v>325</v>
      </c>
      <c r="G822" s="830" t="s">
        <v>512</v>
      </c>
      <c r="H822" s="830" t="s">
        <v>334</v>
      </c>
      <c r="J822" s="830" t="s">
        <v>327</v>
      </c>
      <c r="K822" s="830" t="s">
        <v>261</v>
      </c>
      <c r="L822" s="830" t="s">
        <v>309</v>
      </c>
      <c r="M822" s="830" t="s">
        <v>471</v>
      </c>
      <c r="N822" s="830" t="s">
        <v>259</v>
      </c>
      <c r="O822" s="830">
        <v>2</v>
      </c>
      <c r="P822" s="830">
        <v>2</v>
      </c>
      <c r="Q822" s="830">
        <v>4</v>
      </c>
      <c r="T822" s="831">
        <v>41736.707546296297</v>
      </c>
    </row>
    <row r="823" spans="1:20" ht="12.75" customHeight="1" x14ac:dyDescent="0.25">
      <c r="A823" s="830" t="s">
        <v>308</v>
      </c>
      <c r="B823" s="830">
        <v>13</v>
      </c>
      <c r="C823" s="830" t="s">
        <v>323</v>
      </c>
      <c r="D823" s="830" t="s">
        <v>324</v>
      </c>
      <c r="F823" s="830" t="s">
        <v>325</v>
      </c>
      <c r="G823" s="830" t="s">
        <v>512</v>
      </c>
      <c r="H823" s="830" t="s">
        <v>355</v>
      </c>
      <c r="J823" s="830" t="s">
        <v>327</v>
      </c>
      <c r="K823" s="830" t="s">
        <v>261</v>
      </c>
      <c r="L823" s="830" t="s">
        <v>309</v>
      </c>
      <c r="M823" s="830" t="s">
        <v>471</v>
      </c>
      <c r="N823" s="830" t="s">
        <v>259</v>
      </c>
      <c r="O823" s="830">
        <v>3</v>
      </c>
      <c r="P823" s="830">
        <v>2</v>
      </c>
      <c r="Q823" s="830">
        <v>0</v>
      </c>
      <c r="T823" s="831">
        <v>41736.707546296297</v>
      </c>
    </row>
    <row r="824" spans="1:20" ht="12.75" customHeight="1" x14ac:dyDescent="0.25">
      <c r="A824" s="830" t="s">
        <v>308</v>
      </c>
      <c r="B824" s="830">
        <v>13</v>
      </c>
      <c r="C824" s="830" t="s">
        <v>323</v>
      </c>
      <c r="D824" s="830" t="s">
        <v>324</v>
      </c>
      <c r="F824" s="830" t="s">
        <v>325</v>
      </c>
      <c r="G824" s="830" t="s">
        <v>512</v>
      </c>
      <c r="H824" s="830" t="s">
        <v>375</v>
      </c>
      <c r="J824" s="830" t="s">
        <v>327</v>
      </c>
      <c r="K824" s="830" t="s">
        <v>261</v>
      </c>
      <c r="L824" s="830" t="s">
        <v>309</v>
      </c>
      <c r="M824" s="830" t="s">
        <v>471</v>
      </c>
      <c r="N824" s="830" t="s">
        <v>259</v>
      </c>
      <c r="O824" s="830">
        <v>1</v>
      </c>
      <c r="P824" s="830">
        <v>6</v>
      </c>
      <c r="Q824" s="830">
        <v>1</v>
      </c>
      <c r="T824" s="831">
        <v>41736.707546296297</v>
      </c>
    </row>
    <row r="825" spans="1:20" ht="12.75" customHeight="1" x14ac:dyDescent="0.25">
      <c r="A825" s="830" t="s">
        <v>308</v>
      </c>
      <c r="B825" s="830">
        <v>13</v>
      </c>
      <c r="C825" s="830" t="s">
        <v>323</v>
      </c>
      <c r="D825" s="830" t="s">
        <v>324</v>
      </c>
      <c r="F825" s="830" t="s">
        <v>325</v>
      </c>
      <c r="G825" s="830" t="s">
        <v>512</v>
      </c>
      <c r="H825" s="830" t="s">
        <v>342</v>
      </c>
      <c r="J825" s="830" t="s">
        <v>327</v>
      </c>
      <c r="K825" s="830" t="s">
        <v>261</v>
      </c>
      <c r="L825" s="830" t="s">
        <v>309</v>
      </c>
      <c r="M825" s="830" t="s">
        <v>471</v>
      </c>
      <c r="N825" s="830" t="s">
        <v>259</v>
      </c>
      <c r="O825" s="830">
        <v>5</v>
      </c>
      <c r="P825" s="830">
        <v>5</v>
      </c>
      <c r="Q825" s="830">
        <v>0</v>
      </c>
      <c r="T825" s="831">
        <v>41736.707546296297</v>
      </c>
    </row>
    <row r="826" spans="1:20" ht="12.75" customHeight="1" x14ac:dyDescent="0.25">
      <c r="A826" s="830" t="s">
        <v>308</v>
      </c>
      <c r="B826" s="830">
        <v>13</v>
      </c>
      <c r="C826" s="830" t="s">
        <v>323</v>
      </c>
      <c r="D826" s="830" t="s">
        <v>324</v>
      </c>
      <c r="F826" s="830" t="s">
        <v>325</v>
      </c>
      <c r="G826" s="830" t="s">
        <v>512</v>
      </c>
      <c r="H826" s="830" t="s">
        <v>369</v>
      </c>
      <c r="J826" s="830" t="s">
        <v>327</v>
      </c>
      <c r="K826" s="830" t="s">
        <v>261</v>
      </c>
      <c r="L826" s="830" t="s">
        <v>309</v>
      </c>
      <c r="M826" s="830" t="s">
        <v>471</v>
      </c>
      <c r="N826" s="830" t="s">
        <v>259</v>
      </c>
      <c r="O826" s="830">
        <v>1</v>
      </c>
      <c r="P826" s="830">
        <v>2</v>
      </c>
      <c r="Q826" s="830">
        <v>5</v>
      </c>
      <c r="T826" s="831">
        <v>41736.707546296297</v>
      </c>
    </row>
    <row r="827" spans="1:20" ht="12.75" customHeight="1" x14ac:dyDescent="0.25">
      <c r="A827" s="830" t="s">
        <v>308</v>
      </c>
      <c r="B827" s="830">
        <v>13</v>
      </c>
      <c r="C827" s="830" t="s">
        <v>323</v>
      </c>
      <c r="D827" s="830" t="s">
        <v>324</v>
      </c>
      <c r="F827" s="830" t="s">
        <v>325</v>
      </c>
      <c r="G827" s="830" t="s">
        <v>512</v>
      </c>
      <c r="H827" s="830" t="s">
        <v>349</v>
      </c>
      <c r="J827" s="830" t="s">
        <v>327</v>
      </c>
      <c r="K827" s="830" t="s">
        <v>261</v>
      </c>
      <c r="L827" s="830" t="s">
        <v>309</v>
      </c>
      <c r="M827" s="830" t="s">
        <v>471</v>
      </c>
      <c r="N827" s="830" t="s">
        <v>259</v>
      </c>
      <c r="O827" s="830">
        <v>4</v>
      </c>
      <c r="P827" s="830">
        <v>5</v>
      </c>
      <c r="Q827" s="830">
        <v>0</v>
      </c>
      <c r="T827" s="831">
        <v>41736.707546296297</v>
      </c>
    </row>
    <row r="828" spans="1:20" ht="12.75" customHeight="1" x14ac:dyDescent="0.25">
      <c r="A828" s="830" t="s">
        <v>308</v>
      </c>
      <c r="B828" s="830">
        <v>13</v>
      </c>
      <c r="C828" s="830" t="s">
        <v>323</v>
      </c>
      <c r="D828" s="830" t="s">
        <v>324</v>
      </c>
      <c r="F828" s="830" t="s">
        <v>325</v>
      </c>
      <c r="G828" s="830" t="s">
        <v>512</v>
      </c>
      <c r="H828" s="830" t="s">
        <v>376</v>
      </c>
      <c r="J828" s="830" t="s">
        <v>327</v>
      </c>
      <c r="K828" s="830" t="s">
        <v>261</v>
      </c>
      <c r="L828" s="830" t="s">
        <v>309</v>
      </c>
      <c r="M828" s="830" t="s">
        <v>471</v>
      </c>
      <c r="N828" s="830" t="s">
        <v>259</v>
      </c>
      <c r="O828" s="830">
        <v>6</v>
      </c>
      <c r="P828" s="830">
        <v>2</v>
      </c>
      <c r="Q828" s="830">
        <v>0</v>
      </c>
      <c r="T828" s="831">
        <v>41736.707546296297</v>
      </c>
    </row>
    <row r="829" spans="1:20" ht="12.75" customHeight="1" x14ac:dyDescent="0.25">
      <c r="A829" s="830" t="s">
        <v>308</v>
      </c>
      <c r="B829" s="830">
        <v>13</v>
      </c>
      <c r="C829" s="830" t="s">
        <v>323</v>
      </c>
      <c r="D829" s="830" t="s">
        <v>324</v>
      </c>
      <c r="F829" s="830" t="s">
        <v>325</v>
      </c>
      <c r="G829" s="830" t="s">
        <v>512</v>
      </c>
      <c r="H829" s="830" t="s">
        <v>378</v>
      </c>
      <c r="J829" s="830" t="s">
        <v>327</v>
      </c>
      <c r="K829" s="830" t="s">
        <v>261</v>
      </c>
      <c r="L829" s="830" t="s">
        <v>309</v>
      </c>
      <c r="M829" s="830" t="s">
        <v>471</v>
      </c>
      <c r="N829" s="830" t="s">
        <v>259</v>
      </c>
      <c r="O829" s="830">
        <v>6</v>
      </c>
      <c r="P829" s="830">
        <v>4</v>
      </c>
      <c r="Q829" s="830">
        <v>0</v>
      </c>
      <c r="T829" s="831">
        <v>41736.707546296297</v>
      </c>
    </row>
    <row r="830" spans="1:20" ht="12.75" customHeight="1" x14ac:dyDescent="0.25">
      <c r="A830" s="830" t="s">
        <v>308</v>
      </c>
      <c r="B830" s="830">
        <v>13</v>
      </c>
      <c r="C830" s="830" t="s">
        <v>323</v>
      </c>
      <c r="D830" s="830" t="s">
        <v>324</v>
      </c>
      <c r="F830" s="830" t="s">
        <v>325</v>
      </c>
      <c r="G830" s="830" t="s">
        <v>512</v>
      </c>
      <c r="H830" s="830" t="s">
        <v>359</v>
      </c>
      <c r="J830" s="830" t="s">
        <v>327</v>
      </c>
      <c r="K830" s="830" t="s">
        <v>261</v>
      </c>
      <c r="L830" s="830" t="s">
        <v>309</v>
      </c>
      <c r="M830" s="830" t="s">
        <v>471</v>
      </c>
      <c r="N830" s="830" t="s">
        <v>259</v>
      </c>
      <c r="O830" s="830">
        <v>3</v>
      </c>
      <c r="P830" s="830">
        <v>1</v>
      </c>
      <c r="Q830" s="830">
        <v>0</v>
      </c>
      <c r="T830" s="831">
        <v>41736.707546296297</v>
      </c>
    </row>
    <row r="831" spans="1:20" ht="12.75" customHeight="1" x14ac:dyDescent="0.25">
      <c r="A831" s="830" t="s">
        <v>308</v>
      </c>
      <c r="B831" s="830">
        <v>13</v>
      </c>
      <c r="C831" s="830" t="s">
        <v>323</v>
      </c>
      <c r="D831" s="830" t="s">
        <v>324</v>
      </c>
      <c r="F831" s="830" t="s">
        <v>325</v>
      </c>
      <c r="G831" s="830" t="s">
        <v>512</v>
      </c>
      <c r="H831" s="830" t="s">
        <v>326</v>
      </c>
      <c r="J831" s="830" t="s">
        <v>327</v>
      </c>
      <c r="K831" s="830" t="s">
        <v>261</v>
      </c>
      <c r="L831" s="830" t="s">
        <v>309</v>
      </c>
      <c r="M831" s="830" t="s">
        <v>471</v>
      </c>
      <c r="N831" s="830" t="s">
        <v>259</v>
      </c>
      <c r="O831" s="830">
        <v>2</v>
      </c>
      <c r="Q831" s="830">
        <v>13</v>
      </c>
      <c r="T831" s="831">
        <v>41736.707546296297</v>
      </c>
    </row>
    <row r="832" spans="1:20" ht="12.75" customHeight="1" x14ac:dyDescent="0.25">
      <c r="A832" s="830" t="s">
        <v>308</v>
      </c>
      <c r="B832" s="830">
        <v>13</v>
      </c>
      <c r="C832" s="830" t="s">
        <v>323</v>
      </c>
      <c r="D832" s="830" t="s">
        <v>324</v>
      </c>
      <c r="F832" s="830" t="s">
        <v>325</v>
      </c>
      <c r="G832" s="830" t="s">
        <v>512</v>
      </c>
      <c r="H832" s="830" t="s">
        <v>332</v>
      </c>
      <c r="J832" s="830" t="s">
        <v>327</v>
      </c>
      <c r="K832" s="830" t="s">
        <v>261</v>
      </c>
      <c r="L832" s="830" t="s">
        <v>309</v>
      </c>
      <c r="M832" s="830" t="s">
        <v>471</v>
      </c>
      <c r="N832" s="830" t="s">
        <v>259</v>
      </c>
      <c r="O832" s="830">
        <v>1</v>
      </c>
      <c r="Q832" s="830">
        <v>36</v>
      </c>
      <c r="T832" s="831">
        <v>41736.707546296297</v>
      </c>
    </row>
    <row r="833" spans="1:20" ht="12.75" customHeight="1" x14ac:dyDescent="0.25">
      <c r="A833" s="830" t="s">
        <v>308</v>
      </c>
      <c r="B833" s="830">
        <v>13</v>
      </c>
      <c r="C833" s="830" t="s">
        <v>323</v>
      </c>
      <c r="D833" s="830" t="s">
        <v>324</v>
      </c>
      <c r="F833" s="830" t="s">
        <v>325</v>
      </c>
      <c r="G833" s="830" t="s">
        <v>512</v>
      </c>
      <c r="H833" s="830" t="s">
        <v>352</v>
      </c>
      <c r="J833" s="830" t="s">
        <v>327</v>
      </c>
      <c r="K833" s="830" t="s">
        <v>261</v>
      </c>
      <c r="L833" s="830" t="s">
        <v>309</v>
      </c>
      <c r="M833" s="830" t="s">
        <v>471</v>
      </c>
      <c r="N833" s="830" t="s">
        <v>259</v>
      </c>
      <c r="O833" s="830">
        <v>4</v>
      </c>
      <c r="P833" s="830">
        <v>1</v>
      </c>
      <c r="Q833" s="830">
        <v>0</v>
      </c>
      <c r="T833" s="831">
        <v>41736.707546296297</v>
      </c>
    </row>
    <row r="834" spans="1:20" ht="12.75" customHeight="1" x14ac:dyDescent="0.25">
      <c r="A834" s="830" t="s">
        <v>308</v>
      </c>
      <c r="B834" s="830">
        <v>13</v>
      </c>
      <c r="C834" s="830" t="s">
        <v>323</v>
      </c>
      <c r="D834" s="830" t="s">
        <v>324</v>
      </c>
      <c r="F834" s="830" t="s">
        <v>325</v>
      </c>
      <c r="G834" s="830" t="s">
        <v>512</v>
      </c>
      <c r="H834" s="830" t="s">
        <v>329</v>
      </c>
      <c r="J834" s="830" t="s">
        <v>327</v>
      </c>
      <c r="K834" s="830" t="s">
        <v>261</v>
      </c>
      <c r="L834" s="830" t="s">
        <v>309</v>
      </c>
      <c r="M834" s="830" t="s">
        <v>471</v>
      </c>
      <c r="N834" s="830" t="s">
        <v>259</v>
      </c>
      <c r="O834" s="830">
        <v>4</v>
      </c>
      <c r="Q834" s="830">
        <v>4</v>
      </c>
      <c r="T834" s="831">
        <v>41736.707546296297</v>
      </c>
    </row>
    <row r="835" spans="1:20" ht="12.75" customHeight="1" x14ac:dyDescent="0.25">
      <c r="A835" s="830" t="s">
        <v>308</v>
      </c>
      <c r="B835" s="830">
        <v>13</v>
      </c>
      <c r="C835" s="830" t="s">
        <v>323</v>
      </c>
      <c r="D835" s="830" t="s">
        <v>324</v>
      </c>
      <c r="F835" s="830" t="s">
        <v>325</v>
      </c>
      <c r="G835" s="830" t="s">
        <v>512</v>
      </c>
      <c r="H835" s="830" t="s">
        <v>362</v>
      </c>
      <c r="J835" s="830" t="s">
        <v>327</v>
      </c>
      <c r="K835" s="830" t="s">
        <v>261</v>
      </c>
      <c r="L835" s="830" t="s">
        <v>309</v>
      </c>
      <c r="M835" s="830" t="s">
        <v>471</v>
      </c>
      <c r="N835" s="830" t="s">
        <v>259</v>
      </c>
      <c r="P835" s="830">
        <v>2</v>
      </c>
      <c r="Q835" s="830">
        <v>0</v>
      </c>
      <c r="T835" s="831">
        <v>41736.707546296297</v>
      </c>
    </row>
    <row r="836" spans="1:20" ht="12.75" customHeight="1" x14ac:dyDescent="0.25">
      <c r="A836" s="830" t="s">
        <v>308</v>
      </c>
      <c r="B836" s="830">
        <v>13</v>
      </c>
      <c r="C836" s="830" t="s">
        <v>323</v>
      </c>
      <c r="D836" s="830" t="s">
        <v>324</v>
      </c>
      <c r="F836" s="830" t="s">
        <v>325</v>
      </c>
      <c r="G836" s="830" t="s">
        <v>512</v>
      </c>
      <c r="H836" s="830" t="s">
        <v>368</v>
      </c>
      <c r="J836" s="830" t="s">
        <v>327</v>
      </c>
      <c r="K836" s="830" t="s">
        <v>261</v>
      </c>
      <c r="L836" s="830" t="s">
        <v>309</v>
      </c>
      <c r="M836" s="830" t="s">
        <v>471</v>
      </c>
      <c r="N836" s="830" t="s">
        <v>259</v>
      </c>
      <c r="P836" s="830">
        <v>6</v>
      </c>
      <c r="Q836" s="830">
        <v>0</v>
      </c>
      <c r="T836" s="831">
        <v>41736.707546296297</v>
      </c>
    </row>
    <row r="837" spans="1:20" ht="12.75" customHeight="1" x14ac:dyDescent="0.25">
      <c r="A837" s="830" t="s">
        <v>308</v>
      </c>
      <c r="B837" s="830">
        <v>13</v>
      </c>
      <c r="C837" s="830" t="s">
        <v>323</v>
      </c>
      <c r="D837" s="830" t="s">
        <v>324</v>
      </c>
      <c r="F837" s="830" t="s">
        <v>325</v>
      </c>
      <c r="G837" s="830" t="s">
        <v>512</v>
      </c>
      <c r="H837" s="830" t="s">
        <v>370</v>
      </c>
      <c r="J837" s="830" t="s">
        <v>327</v>
      </c>
      <c r="K837" s="830" t="s">
        <v>261</v>
      </c>
      <c r="L837" s="830" t="s">
        <v>309</v>
      </c>
      <c r="M837" s="830" t="s">
        <v>471</v>
      </c>
      <c r="N837" s="830" t="s">
        <v>259</v>
      </c>
      <c r="O837" s="830">
        <v>1</v>
      </c>
      <c r="P837" s="830">
        <v>5</v>
      </c>
      <c r="Q837" s="830">
        <v>2</v>
      </c>
      <c r="T837" s="831">
        <v>41736.707546296297</v>
      </c>
    </row>
    <row r="838" spans="1:20" ht="12.75" customHeight="1" x14ac:dyDescent="0.25">
      <c r="A838" s="830" t="s">
        <v>308</v>
      </c>
      <c r="B838" s="830">
        <v>13</v>
      </c>
      <c r="C838" s="830" t="s">
        <v>323</v>
      </c>
      <c r="D838" s="830" t="s">
        <v>324</v>
      </c>
      <c r="F838" s="830" t="s">
        <v>325</v>
      </c>
      <c r="G838" s="830" t="s">
        <v>512</v>
      </c>
      <c r="H838" s="830" t="s">
        <v>345</v>
      </c>
      <c r="J838" s="830" t="s">
        <v>327</v>
      </c>
      <c r="K838" s="830" t="s">
        <v>261</v>
      </c>
      <c r="L838" s="830" t="s">
        <v>309</v>
      </c>
      <c r="M838" s="830" t="s">
        <v>471</v>
      </c>
      <c r="N838" s="830" t="s">
        <v>259</v>
      </c>
      <c r="O838" s="830">
        <v>5</v>
      </c>
      <c r="P838" s="830">
        <v>1</v>
      </c>
      <c r="Q838" s="830">
        <v>0</v>
      </c>
      <c r="T838" s="831">
        <v>41736.707546296297</v>
      </c>
    </row>
    <row r="839" spans="1:20" ht="12.75" customHeight="1" x14ac:dyDescent="0.25">
      <c r="A839" s="830" t="s">
        <v>308</v>
      </c>
      <c r="B839" s="830">
        <v>13</v>
      </c>
      <c r="C839" s="830" t="s">
        <v>323</v>
      </c>
      <c r="D839" s="830" t="s">
        <v>324</v>
      </c>
      <c r="F839" s="830" t="s">
        <v>325</v>
      </c>
      <c r="G839" s="830" t="s">
        <v>512</v>
      </c>
      <c r="H839" s="830" t="s">
        <v>382</v>
      </c>
      <c r="J839" s="830" t="s">
        <v>327</v>
      </c>
      <c r="K839" s="830" t="s">
        <v>261</v>
      </c>
      <c r="L839" s="830" t="s">
        <v>309</v>
      </c>
      <c r="M839" s="830" t="s">
        <v>471</v>
      </c>
      <c r="N839" s="830" t="s">
        <v>259</v>
      </c>
      <c r="O839" s="830">
        <v>6</v>
      </c>
      <c r="P839" s="830">
        <v>6</v>
      </c>
      <c r="Q839" s="830">
        <v>5</v>
      </c>
      <c r="T839" s="831">
        <v>41736.707546296297</v>
      </c>
    </row>
    <row r="840" spans="1:20" ht="12.75" customHeight="1" x14ac:dyDescent="0.25">
      <c r="A840" s="830" t="s">
        <v>308</v>
      </c>
      <c r="B840" s="830">
        <v>13</v>
      </c>
      <c r="C840" s="830" t="s">
        <v>323</v>
      </c>
      <c r="D840" s="830" t="s">
        <v>324</v>
      </c>
      <c r="F840" s="830" t="s">
        <v>325</v>
      </c>
      <c r="G840" s="830" t="s">
        <v>512</v>
      </c>
      <c r="H840" s="830" t="s">
        <v>337</v>
      </c>
      <c r="J840" s="830" t="s">
        <v>327</v>
      </c>
      <c r="K840" s="830" t="s">
        <v>261</v>
      </c>
      <c r="L840" s="830" t="s">
        <v>309</v>
      </c>
      <c r="M840" s="830" t="s">
        <v>471</v>
      </c>
      <c r="N840" s="830" t="s">
        <v>259</v>
      </c>
      <c r="O840" s="830">
        <v>2</v>
      </c>
      <c r="P840" s="830">
        <v>3</v>
      </c>
      <c r="Q840" s="830">
        <v>0</v>
      </c>
      <c r="T840" s="831">
        <v>41736.707546296297</v>
      </c>
    </row>
    <row r="841" spans="1:20" ht="12.75" customHeight="1" x14ac:dyDescent="0.25">
      <c r="A841" s="830" t="s">
        <v>308</v>
      </c>
      <c r="B841" s="830">
        <v>13</v>
      </c>
      <c r="C841" s="830" t="s">
        <v>323</v>
      </c>
      <c r="D841" s="830" t="s">
        <v>324</v>
      </c>
      <c r="F841" s="830" t="s">
        <v>325</v>
      </c>
      <c r="G841" s="830" t="s">
        <v>512</v>
      </c>
      <c r="H841" s="830" t="s">
        <v>341</v>
      </c>
      <c r="J841" s="830" t="s">
        <v>327</v>
      </c>
      <c r="K841" s="830" t="s">
        <v>261</v>
      </c>
      <c r="L841" s="830" t="s">
        <v>309</v>
      </c>
      <c r="M841" s="830" t="s">
        <v>471</v>
      </c>
      <c r="N841" s="830" t="s">
        <v>259</v>
      </c>
      <c r="O841" s="830">
        <v>5</v>
      </c>
      <c r="P841" s="830">
        <v>2</v>
      </c>
      <c r="Q841" s="830">
        <v>0</v>
      </c>
      <c r="T841" s="831">
        <v>41736.707546296297</v>
      </c>
    </row>
    <row r="842" spans="1:20" ht="12.75" customHeight="1" x14ac:dyDescent="0.25">
      <c r="A842" s="830" t="s">
        <v>308</v>
      </c>
      <c r="B842" s="830">
        <v>13</v>
      </c>
      <c r="C842" s="830" t="s">
        <v>323</v>
      </c>
      <c r="D842" s="830" t="s">
        <v>324</v>
      </c>
      <c r="F842" s="830" t="s">
        <v>325</v>
      </c>
      <c r="G842" s="830" t="s">
        <v>512</v>
      </c>
      <c r="H842" s="830" t="s">
        <v>338</v>
      </c>
      <c r="J842" s="830" t="s">
        <v>327</v>
      </c>
      <c r="K842" s="830" t="s">
        <v>261</v>
      </c>
      <c r="L842" s="830" t="s">
        <v>309</v>
      </c>
      <c r="M842" s="830" t="s">
        <v>471</v>
      </c>
      <c r="N842" s="830" t="s">
        <v>259</v>
      </c>
      <c r="O842" s="830">
        <v>2</v>
      </c>
      <c r="P842" s="830">
        <v>1</v>
      </c>
      <c r="Q842" s="830">
        <v>0</v>
      </c>
      <c r="T842" s="831">
        <v>41736.707546296297</v>
      </c>
    </row>
    <row r="843" spans="1:20" ht="12.75" customHeight="1" x14ac:dyDescent="0.25">
      <c r="A843" s="830" t="s">
        <v>308</v>
      </c>
      <c r="B843" s="830">
        <v>13</v>
      </c>
      <c r="C843" s="830" t="s">
        <v>323</v>
      </c>
      <c r="D843" s="830" t="s">
        <v>324</v>
      </c>
      <c r="F843" s="830" t="s">
        <v>325</v>
      </c>
      <c r="G843" s="830" t="s">
        <v>512</v>
      </c>
      <c r="H843" s="830" t="s">
        <v>358</v>
      </c>
      <c r="J843" s="830" t="s">
        <v>327</v>
      </c>
      <c r="K843" s="830" t="s">
        <v>261</v>
      </c>
      <c r="L843" s="830" t="s">
        <v>309</v>
      </c>
      <c r="M843" s="830" t="s">
        <v>471</v>
      </c>
      <c r="N843" s="830" t="s">
        <v>259</v>
      </c>
      <c r="O843" s="830">
        <v>3</v>
      </c>
      <c r="P843" s="830">
        <v>3</v>
      </c>
      <c r="Q843" s="830">
        <v>5</v>
      </c>
      <c r="T843" s="831">
        <v>41736.707546296297</v>
      </c>
    </row>
    <row r="844" spans="1:20" ht="12.75" customHeight="1" x14ac:dyDescent="0.25">
      <c r="A844" s="830" t="s">
        <v>308</v>
      </c>
      <c r="B844" s="830">
        <v>13</v>
      </c>
      <c r="C844" s="830" t="s">
        <v>323</v>
      </c>
      <c r="D844" s="830" t="s">
        <v>324</v>
      </c>
      <c r="F844" s="830" t="s">
        <v>325</v>
      </c>
      <c r="G844" s="830" t="s">
        <v>512</v>
      </c>
      <c r="H844" s="830" t="s">
        <v>350</v>
      </c>
      <c r="J844" s="830" t="s">
        <v>327</v>
      </c>
      <c r="K844" s="830" t="s">
        <v>261</v>
      </c>
      <c r="L844" s="830" t="s">
        <v>309</v>
      </c>
      <c r="M844" s="830" t="s">
        <v>471</v>
      </c>
      <c r="N844" s="830" t="s">
        <v>259</v>
      </c>
      <c r="O844" s="830">
        <v>4</v>
      </c>
      <c r="P844" s="830">
        <v>4</v>
      </c>
      <c r="Q844" s="830">
        <v>100</v>
      </c>
      <c r="T844" s="831">
        <v>41736.707546296297</v>
      </c>
    </row>
    <row r="845" spans="1:20" ht="12.75" customHeight="1" x14ac:dyDescent="0.25">
      <c r="A845" s="830" t="s">
        <v>308</v>
      </c>
      <c r="B845" s="830">
        <v>13</v>
      </c>
      <c r="C845" s="830" t="s">
        <v>323</v>
      </c>
      <c r="D845" s="830" t="s">
        <v>324</v>
      </c>
      <c r="F845" s="830" t="s">
        <v>325</v>
      </c>
      <c r="G845" s="830" t="s">
        <v>512</v>
      </c>
      <c r="H845" s="830" t="s">
        <v>381</v>
      </c>
      <c r="J845" s="830" t="s">
        <v>327</v>
      </c>
      <c r="K845" s="830" t="s">
        <v>261</v>
      </c>
      <c r="L845" s="830" t="s">
        <v>309</v>
      </c>
      <c r="M845" s="830" t="s">
        <v>471</v>
      </c>
      <c r="N845" s="830" t="s">
        <v>259</v>
      </c>
      <c r="O845" s="830">
        <v>6</v>
      </c>
      <c r="P845" s="830">
        <v>7</v>
      </c>
      <c r="Q845" s="830">
        <v>0</v>
      </c>
      <c r="T845" s="831">
        <v>41736.707546296297</v>
      </c>
    </row>
    <row r="846" spans="1:20" ht="12.75" customHeight="1" x14ac:dyDescent="0.25">
      <c r="A846" s="830" t="s">
        <v>308</v>
      </c>
      <c r="B846" s="830">
        <v>13</v>
      </c>
      <c r="C846" s="830" t="s">
        <v>323</v>
      </c>
      <c r="D846" s="830" t="s">
        <v>324</v>
      </c>
      <c r="F846" s="830" t="s">
        <v>325</v>
      </c>
      <c r="G846" s="830" t="s">
        <v>512</v>
      </c>
      <c r="H846" s="830" t="s">
        <v>379</v>
      </c>
      <c r="J846" s="830" t="s">
        <v>327</v>
      </c>
      <c r="K846" s="830" t="s">
        <v>261</v>
      </c>
      <c r="L846" s="830" t="s">
        <v>309</v>
      </c>
      <c r="M846" s="830" t="s">
        <v>471</v>
      </c>
      <c r="N846" s="830" t="s">
        <v>259</v>
      </c>
      <c r="O846" s="830">
        <v>6</v>
      </c>
      <c r="P846" s="830">
        <v>3</v>
      </c>
      <c r="Q846" s="830">
        <v>0</v>
      </c>
      <c r="T846" s="831">
        <v>41736.707546296297</v>
      </c>
    </row>
    <row r="847" spans="1:20" ht="12.75" customHeight="1" x14ac:dyDescent="0.25">
      <c r="A847" s="830" t="s">
        <v>308</v>
      </c>
      <c r="B847" s="830">
        <v>13</v>
      </c>
      <c r="C847" s="830" t="s">
        <v>323</v>
      </c>
      <c r="D847" s="830" t="s">
        <v>324</v>
      </c>
      <c r="F847" s="830" t="s">
        <v>325</v>
      </c>
      <c r="G847" s="830" t="s">
        <v>512</v>
      </c>
      <c r="H847" s="830" t="s">
        <v>357</v>
      </c>
      <c r="J847" s="830" t="s">
        <v>327</v>
      </c>
      <c r="K847" s="830" t="s">
        <v>261</v>
      </c>
      <c r="L847" s="830" t="s">
        <v>309</v>
      </c>
      <c r="M847" s="830" t="s">
        <v>471</v>
      </c>
      <c r="N847" s="830" t="s">
        <v>259</v>
      </c>
      <c r="O847" s="830">
        <v>3</v>
      </c>
      <c r="P847" s="830">
        <v>4</v>
      </c>
      <c r="Q847" s="830">
        <v>42</v>
      </c>
      <c r="T847" s="831">
        <v>41736.707546296297</v>
      </c>
    </row>
    <row r="848" spans="1:20" ht="12.75" customHeight="1" x14ac:dyDescent="0.25">
      <c r="A848" s="830" t="s">
        <v>308</v>
      </c>
      <c r="B848" s="830">
        <v>13</v>
      </c>
      <c r="C848" s="830" t="s">
        <v>323</v>
      </c>
      <c r="D848" s="830" t="s">
        <v>324</v>
      </c>
      <c r="F848" s="830" t="s">
        <v>325</v>
      </c>
      <c r="G848" s="830" t="s">
        <v>512</v>
      </c>
      <c r="H848" s="830" t="s">
        <v>331</v>
      </c>
      <c r="J848" s="830" t="s">
        <v>327</v>
      </c>
      <c r="K848" s="830" t="s">
        <v>261</v>
      </c>
      <c r="L848" s="830" t="s">
        <v>309</v>
      </c>
      <c r="M848" s="830" t="s">
        <v>471</v>
      </c>
      <c r="N848" s="830" t="s">
        <v>259</v>
      </c>
      <c r="Q848" s="830">
        <v>49</v>
      </c>
      <c r="T848" s="831">
        <v>41736.707546296297</v>
      </c>
    </row>
    <row r="849" spans="1:20" ht="12.75" customHeight="1" x14ac:dyDescent="0.25">
      <c r="A849" s="830" t="s">
        <v>308</v>
      </c>
      <c r="B849" s="830">
        <v>13</v>
      </c>
      <c r="C849" s="830" t="s">
        <v>323</v>
      </c>
      <c r="D849" s="830" t="s">
        <v>324</v>
      </c>
      <c r="F849" s="830" t="s">
        <v>325</v>
      </c>
      <c r="G849" s="830" t="s">
        <v>512</v>
      </c>
      <c r="H849" s="830" t="s">
        <v>371</v>
      </c>
      <c r="J849" s="830" t="s">
        <v>327</v>
      </c>
      <c r="K849" s="830" t="s">
        <v>261</v>
      </c>
      <c r="L849" s="830" t="s">
        <v>309</v>
      </c>
      <c r="M849" s="830" t="s">
        <v>471</v>
      </c>
      <c r="N849" s="830" t="s">
        <v>259</v>
      </c>
      <c r="O849" s="830">
        <v>1</v>
      </c>
      <c r="P849" s="830">
        <v>4</v>
      </c>
      <c r="Q849" s="830">
        <v>62</v>
      </c>
      <c r="T849" s="831">
        <v>41736.707546296297</v>
      </c>
    </row>
    <row r="850" spans="1:20" ht="12.75" customHeight="1" x14ac:dyDescent="0.25">
      <c r="A850" s="830" t="s">
        <v>308</v>
      </c>
      <c r="B850" s="830">
        <v>13</v>
      </c>
      <c r="C850" s="830" t="s">
        <v>323</v>
      </c>
      <c r="D850" s="830" t="s">
        <v>324</v>
      </c>
      <c r="F850" s="830" t="s">
        <v>325</v>
      </c>
      <c r="G850" s="830" t="s">
        <v>512</v>
      </c>
      <c r="H850" s="830" t="s">
        <v>333</v>
      </c>
      <c r="J850" s="830" t="s">
        <v>327</v>
      </c>
      <c r="K850" s="830" t="s">
        <v>261</v>
      </c>
      <c r="L850" s="830" t="s">
        <v>309</v>
      </c>
      <c r="M850" s="830" t="s">
        <v>471</v>
      </c>
      <c r="N850" s="830" t="s">
        <v>259</v>
      </c>
      <c r="O850" s="830">
        <v>6</v>
      </c>
      <c r="Q850" s="830">
        <v>0</v>
      </c>
      <c r="T850" s="831">
        <v>41736.707546296297</v>
      </c>
    </row>
    <row r="851" spans="1:20" ht="12.75" customHeight="1" x14ac:dyDescent="0.25">
      <c r="A851" s="830" t="s">
        <v>308</v>
      </c>
      <c r="B851" s="830">
        <v>13</v>
      </c>
      <c r="C851" s="830" t="s">
        <v>323</v>
      </c>
      <c r="D851" s="830" t="s">
        <v>324</v>
      </c>
      <c r="F851" s="830" t="s">
        <v>325</v>
      </c>
      <c r="G851" s="830" t="s">
        <v>512</v>
      </c>
      <c r="H851" s="830" t="s">
        <v>348</v>
      </c>
      <c r="J851" s="830" t="s">
        <v>327</v>
      </c>
      <c r="K851" s="830" t="s">
        <v>261</v>
      </c>
      <c r="L851" s="830" t="s">
        <v>309</v>
      </c>
      <c r="M851" s="830" t="s">
        <v>471</v>
      </c>
      <c r="N851" s="830" t="s">
        <v>259</v>
      </c>
      <c r="O851" s="830">
        <v>4</v>
      </c>
      <c r="P851" s="830">
        <v>2</v>
      </c>
      <c r="Q851" s="830">
        <v>0</v>
      </c>
      <c r="T851" s="831">
        <v>41736.707546296297</v>
      </c>
    </row>
    <row r="852" spans="1:20" ht="12.75" customHeight="1" x14ac:dyDescent="0.25">
      <c r="A852" s="830" t="s">
        <v>308</v>
      </c>
      <c r="B852" s="830">
        <v>13</v>
      </c>
      <c r="C852" s="830" t="s">
        <v>323</v>
      </c>
      <c r="D852" s="830" t="s">
        <v>324</v>
      </c>
      <c r="F852" s="830" t="s">
        <v>325</v>
      </c>
      <c r="G852" s="830" t="s">
        <v>512</v>
      </c>
      <c r="H852" s="830" t="s">
        <v>351</v>
      </c>
      <c r="J852" s="830" t="s">
        <v>327</v>
      </c>
      <c r="K852" s="830" t="s">
        <v>261</v>
      </c>
      <c r="L852" s="830" t="s">
        <v>309</v>
      </c>
      <c r="M852" s="830" t="s">
        <v>471</v>
      </c>
      <c r="N852" s="830" t="s">
        <v>259</v>
      </c>
      <c r="O852" s="830">
        <v>4</v>
      </c>
      <c r="P852" s="830">
        <v>3</v>
      </c>
      <c r="Q852" s="830">
        <v>0</v>
      </c>
      <c r="T852" s="831">
        <v>41736.707546296297</v>
      </c>
    </row>
    <row r="853" spans="1:20" ht="12.75" customHeight="1" x14ac:dyDescent="0.25">
      <c r="A853" s="830" t="s">
        <v>308</v>
      </c>
      <c r="B853" s="830">
        <v>13</v>
      </c>
      <c r="C853" s="830" t="s">
        <v>323</v>
      </c>
      <c r="D853" s="830" t="s">
        <v>324</v>
      </c>
      <c r="F853" s="830" t="s">
        <v>325</v>
      </c>
      <c r="G853" s="830" t="s">
        <v>512</v>
      </c>
      <c r="H853" s="830" t="s">
        <v>374</v>
      </c>
      <c r="J853" s="830" t="s">
        <v>327</v>
      </c>
      <c r="K853" s="830" t="s">
        <v>261</v>
      </c>
      <c r="L853" s="830" t="s">
        <v>309</v>
      </c>
      <c r="M853" s="830" t="s">
        <v>471</v>
      </c>
      <c r="N853" s="830" t="s">
        <v>259</v>
      </c>
      <c r="O853" s="830">
        <v>1</v>
      </c>
      <c r="P853" s="830">
        <v>7</v>
      </c>
      <c r="Q853" s="830">
        <v>0</v>
      </c>
      <c r="T853" s="831">
        <v>41736.707546296297</v>
      </c>
    </row>
    <row r="854" spans="1:20" ht="12.75" customHeight="1" x14ac:dyDescent="0.25">
      <c r="A854" s="830" t="s">
        <v>308</v>
      </c>
      <c r="B854" s="830">
        <v>13</v>
      </c>
      <c r="C854" s="830" t="s">
        <v>323</v>
      </c>
      <c r="D854" s="830" t="s">
        <v>324</v>
      </c>
      <c r="F854" s="830" t="s">
        <v>325</v>
      </c>
      <c r="G854" s="830" t="s">
        <v>512</v>
      </c>
      <c r="H854" s="830" t="s">
        <v>353</v>
      </c>
      <c r="J854" s="830" t="s">
        <v>327</v>
      </c>
      <c r="K854" s="830" t="s">
        <v>261</v>
      </c>
      <c r="L854" s="830" t="s">
        <v>309</v>
      </c>
      <c r="M854" s="830" t="s">
        <v>471</v>
      </c>
      <c r="N854" s="830" t="s">
        <v>259</v>
      </c>
      <c r="O854" s="830">
        <v>4</v>
      </c>
      <c r="P854" s="830">
        <v>7</v>
      </c>
      <c r="Q854" s="830">
        <v>0</v>
      </c>
      <c r="T854" s="831">
        <v>41736.707546296297</v>
      </c>
    </row>
    <row r="855" spans="1:20" ht="12.75" customHeight="1" x14ac:dyDescent="0.25">
      <c r="A855" s="830" t="s">
        <v>308</v>
      </c>
      <c r="B855" s="830">
        <v>13</v>
      </c>
      <c r="C855" s="830" t="s">
        <v>323</v>
      </c>
      <c r="D855" s="830" t="s">
        <v>324</v>
      </c>
      <c r="F855" s="830" t="s">
        <v>325</v>
      </c>
      <c r="G855" s="830" t="s">
        <v>512</v>
      </c>
      <c r="H855" s="830" t="s">
        <v>336</v>
      </c>
      <c r="J855" s="830" t="s">
        <v>327</v>
      </c>
      <c r="K855" s="830" t="s">
        <v>261</v>
      </c>
      <c r="L855" s="830" t="s">
        <v>309</v>
      </c>
      <c r="M855" s="830" t="s">
        <v>471</v>
      </c>
      <c r="N855" s="830" t="s">
        <v>259</v>
      </c>
      <c r="O855" s="830">
        <v>2</v>
      </c>
      <c r="P855" s="830">
        <v>4</v>
      </c>
      <c r="Q855" s="830">
        <v>27</v>
      </c>
      <c r="T855" s="831">
        <v>41736.707546296297</v>
      </c>
    </row>
    <row r="856" spans="1:20" ht="12.75" customHeight="1" x14ac:dyDescent="0.25">
      <c r="A856" s="830" t="s">
        <v>308</v>
      </c>
      <c r="B856" s="830">
        <v>13</v>
      </c>
      <c r="C856" s="830" t="s">
        <v>323</v>
      </c>
      <c r="D856" s="830" t="s">
        <v>324</v>
      </c>
      <c r="F856" s="830" t="s">
        <v>325</v>
      </c>
      <c r="G856" s="830" t="s">
        <v>512</v>
      </c>
      <c r="H856" s="830" t="s">
        <v>339</v>
      </c>
      <c r="J856" s="830" t="s">
        <v>327</v>
      </c>
      <c r="K856" s="830" t="s">
        <v>261</v>
      </c>
      <c r="L856" s="830" t="s">
        <v>309</v>
      </c>
      <c r="M856" s="830" t="s">
        <v>471</v>
      </c>
      <c r="N856" s="830" t="s">
        <v>259</v>
      </c>
      <c r="O856" s="830">
        <v>2</v>
      </c>
      <c r="P856" s="830">
        <v>7</v>
      </c>
      <c r="Q856" s="830">
        <v>0</v>
      </c>
      <c r="T856" s="831">
        <v>41736.707546296297</v>
      </c>
    </row>
    <row r="857" spans="1:20" ht="12.75" customHeight="1" x14ac:dyDescent="0.25">
      <c r="A857" s="830" t="s">
        <v>308</v>
      </c>
      <c r="B857" s="830">
        <v>13</v>
      </c>
      <c r="C857" s="830" t="s">
        <v>323</v>
      </c>
      <c r="D857" s="830" t="s">
        <v>324</v>
      </c>
      <c r="F857" s="830" t="s">
        <v>325</v>
      </c>
      <c r="G857" s="830" t="s">
        <v>512</v>
      </c>
      <c r="H857" s="830" t="s">
        <v>335</v>
      </c>
      <c r="J857" s="830" t="s">
        <v>327</v>
      </c>
      <c r="K857" s="830" t="s">
        <v>261</v>
      </c>
      <c r="L857" s="830" t="s">
        <v>309</v>
      </c>
      <c r="M857" s="830" t="s">
        <v>471</v>
      </c>
      <c r="N857" s="830" t="s">
        <v>259</v>
      </c>
      <c r="O857" s="830">
        <v>2</v>
      </c>
      <c r="P857" s="830">
        <v>5</v>
      </c>
      <c r="Q857" s="830">
        <v>0</v>
      </c>
      <c r="T857" s="831">
        <v>41736.707546296297</v>
      </c>
    </row>
    <row r="858" spans="1:20" ht="12.75" customHeight="1" x14ac:dyDescent="0.25">
      <c r="A858" s="830" t="s">
        <v>308</v>
      </c>
      <c r="B858" s="830">
        <v>13</v>
      </c>
      <c r="C858" s="830" t="s">
        <v>323</v>
      </c>
      <c r="D858" s="830" t="s">
        <v>324</v>
      </c>
      <c r="F858" s="830" t="s">
        <v>325</v>
      </c>
      <c r="G858" s="830" t="s">
        <v>512</v>
      </c>
      <c r="H858" s="830" t="s">
        <v>380</v>
      </c>
      <c r="J858" s="830" t="s">
        <v>327</v>
      </c>
      <c r="K858" s="830" t="s">
        <v>261</v>
      </c>
      <c r="L858" s="830" t="s">
        <v>309</v>
      </c>
      <c r="M858" s="830" t="s">
        <v>471</v>
      </c>
      <c r="N858" s="830" t="s">
        <v>259</v>
      </c>
      <c r="O858" s="830">
        <v>6</v>
      </c>
      <c r="P858" s="830">
        <v>1</v>
      </c>
      <c r="Q858" s="830">
        <v>0</v>
      </c>
      <c r="T858" s="831">
        <v>41736.707546296297</v>
      </c>
    </row>
    <row r="859" spans="1:20" ht="12.75" customHeight="1" x14ac:dyDescent="0.25">
      <c r="A859" s="830" t="s">
        <v>308</v>
      </c>
      <c r="B859" s="830">
        <v>13</v>
      </c>
      <c r="C859" s="830" t="s">
        <v>323</v>
      </c>
      <c r="D859" s="830" t="s">
        <v>324</v>
      </c>
      <c r="F859" s="830" t="s">
        <v>325</v>
      </c>
      <c r="G859" s="830" t="s">
        <v>512</v>
      </c>
      <c r="H859" s="830" t="s">
        <v>365</v>
      </c>
      <c r="J859" s="830" t="s">
        <v>327</v>
      </c>
      <c r="K859" s="830" t="s">
        <v>261</v>
      </c>
      <c r="L859" s="830" t="s">
        <v>309</v>
      </c>
      <c r="M859" s="830" t="s">
        <v>471</v>
      </c>
      <c r="N859" s="830" t="s">
        <v>259</v>
      </c>
      <c r="P859" s="830">
        <v>3</v>
      </c>
      <c r="Q859" s="830">
        <v>0</v>
      </c>
      <c r="T859" s="831">
        <v>41736.707546296297</v>
      </c>
    </row>
    <row r="860" spans="1:20" ht="12.75" customHeight="1" x14ac:dyDescent="0.25">
      <c r="A860" s="830" t="s">
        <v>308</v>
      </c>
      <c r="B860" s="830">
        <v>13</v>
      </c>
      <c r="C860" s="830" t="s">
        <v>323</v>
      </c>
      <c r="D860" s="830" t="s">
        <v>324</v>
      </c>
      <c r="F860" s="830" t="s">
        <v>325</v>
      </c>
      <c r="G860" s="830" t="s">
        <v>512</v>
      </c>
      <c r="H860" s="830" t="s">
        <v>360</v>
      </c>
      <c r="J860" s="830" t="s">
        <v>327</v>
      </c>
      <c r="K860" s="830" t="s">
        <v>261</v>
      </c>
      <c r="L860" s="830" t="s">
        <v>309</v>
      </c>
      <c r="M860" s="830" t="s">
        <v>471</v>
      </c>
      <c r="N860" s="830" t="s">
        <v>259</v>
      </c>
      <c r="O860" s="830">
        <v>3</v>
      </c>
      <c r="P860" s="830">
        <v>7</v>
      </c>
      <c r="Q860" s="830">
        <v>0</v>
      </c>
      <c r="T860" s="831">
        <v>41736.707546296297</v>
      </c>
    </row>
    <row r="861" spans="1:20" ht="12.75" customHeight="1" x14ac:dyDescent="0.25">
      <c r="A861" s="830" t="s">
        <v>308</v>
      </c>
      <c r="B861" s="830">
        <v>13</v>
      </c>
      <c r="C861" s="830" t="s">
        <v>323</v>
      </c>
      <c r="D861" s="830" t="s">
        <v>324</v>
      </c>
      <c r="F861" s="830" t="s">
        <v>325</v>
      </c>
      <c r="G861" s="830" t="s">
        <v>512</v>
      </c>
      <c r="H861" s="830" t="s">
        <v>344</v>
      </c>
      <c r="J861" s="830" t="s">
        <v>327</v>
      </c>
      <c r="K861" s="830" t="s">
        <v>261</v>
      </c>
      <c r="L861" s="830" t="s">
        <v>309</v>
      </c>
      <c r="M861" s="830" t="s">
        <v>471</v>
      </c>
      <c r="N861" s="830" t="s">
        <v>259</v>
      </c>
      <c r="O861" s="830">
        <v>5</v>
      </c>
      <c r="P861" s="830">
        <v>3</v>
      </c>
      <c r="Q861" s="830">
        <v>0</v>
      </c>
      <c r="T861" s="831">
        <v>41736.707546296297</v>
      </c>
    </row>
    <row r="862" spans="1:20" ht="12.75" customHeight="1" x14ac:dyDescent="0.25">
      <c r="A862" s="830" t="s">
        <v>308</v>
      </c>
      <c r="B862" s="830">
        <v>13</v>
      </c>
      <c r="C862" s="830" t="s">
        <v>323</v>
      </c>
      <c r="D862" s="830" t="s">
        <v>324</v>
      </c>
      <c r="F862" s="830" t="s">
        <v>325</v>
      </c>
      <c r="G862" s="830" t="s">
        <v>512</v>
      </c>
      <c r="H862" s="830" t="s">
        <v>340</v>
      </c>
      <c r="J862" s="830" t="s">
        <v>327</v>
      </c>
      <c r="K862" s="830" t="s">
        <v>261</v>
      </c>
      <c r="L862" s="830" t="s">
        <v>309</v>
      </c>
      <c r="M862" s="830" t="s">
        <v>471</v>
      </c>
      <c r="N862" s="830" t="s">
        <v>259</v>
      </c>
      <c r="O862" s="830">
        <v>2</v>
      </c>
      <c r="P862" s="830">
        <v>6</v>
      </c>
      <c r="Q862" s="830">
        <v>2</v>
      </c>
      <c r="T862" s="831">
        <v>41736.707546296297</v>
      </c>
    </row>
    <row r="863" spans="1:20" ht="12.75" customHeight="1" x14ac:dyDescent="0.25">
      <c r="A863" s="830" t="s">
        <v>308</v>
      </c>
      <c r="B863" s="830">
        <v>13</v>
      </c>
      <c r="C863" s="830" t="s">
        <v>323</v>
      </c>
      <c r="D863" s="830" t="s">
        <v>324</v>
      </c>
      <c r="F863" s="830" t="s">
        <v>325</v>
      </c>
      <c r="G863" s="830" t="s">
        <v>512</v>
      </c>
      <c r="H863" s="830" t="s">
        <v>347</v>
      </c>
      <c r="J863" s="830" t="s">
        <v>327</v>
      </c>
      <c r="K863" s="830" t="s">
        <v>261</v>
      </c>
      <c r="L863" s="830" t="s">
        <v>309</v>
      </c>
      <c r="M863" s="830" t="s">
        <v>471</v>
      </c>
      <c r="N863" s="830" t="s">
        <v>259</v>
      </c>
      <c r="O863" s="830">
        <v>5</v>
      </c>
      <c r="P863" s="830">
        <v>6</v>
      </c>
      <c r="Q863" s="830">
        <v>0</v>
      </c>
      <c r="T863" s="831">
        <v>41736.707546296297</v>
      </c>
    </row>
    <row r="864" spans="1:20" ht="12.75" customHeight="1" x14ac:dyDescent="0.25">
      <c r="A864" s="830" t="s">
        <v>308</v>
      </c>
      <c r="B864" s="830">
        <v>13</v>
      </c>
      <c r="C864" s="830" t="s">
        <v>323</v>
      </c>
      <c r="D864" s="830" t="s">
        <v>324</v>
      </c>
      <c r="F864" s="830" t="s">
        <v>325</v>
      </c>
      <c r="G864" s="830" t="s">
        <v>512</v>
      </c>
      <c r="H864" s="830" t="s">
        <v>356</v>
      </c>
      <c r="J864" s="830" t="s">
        <v>327</v>
      </c>
      <c r="K864" s="830" t="s">
        <v>261</v>
      </c>
      <c r="L864" s="830" t="s">
        <v>309</v>
      </c>
      <c r="M864" s="830" t="s">
        <v>471</v>
      </c>
      <c r="N864" s="830" t="s">
        <v>259</v>
      </c>
      <c r="O864" s="830">
        <v>3</v>
      </c>
      <c r="P864" s="830">
        <v>5</v>
      </c>
      <c r="Q864" s="830">
        <v>1</v>
      </c>
      <c r="T864" s="831">
        <v>41736.707546296297</v>
      </c>
    </row>
    <row r="865" spans="1:20" ht="12.75" customHeight="1" x14ac:dyDescent="0.25">
      <c r="A865" s="830" t="s">
        <v>308</v>
      </c>
      <c r="B865" s="830">
        <v>13</v>
      </c>
      <c r="C865" s="830" t="s">
        <v>323</v>
      </c>
      <c r="D865" s="830" t="s">
        <v>324</v>
      </c>
      <c r="F865" s="830" t="s">
        <v>325</v>
      </c>
      <c r="G865" s="830" t="s">
        <v>512</v>
      </c>
      <c r="H865" s="830" t="s">
        <v>354</v>
      </c>
      <c r="J865" s="830" t="s">
        <v>327</v>
      </c>
      <c r="K865" s="830" t="s">
        <v>261</v>
      </c>
      <c r="L865" s="830" t="s">
        <v>309</v>
      </c>
      <c r="M865" s="830" t="s">
        <v>471</v>
      </c>
      <c r="N865" s="830" t="s">
        <v>259</v>
      </c>
      <c r="O865" s="830">
        <v>4</v>
      </c>
      <c r="P865" s="830">
        <v>6</v>
      </c>
      <c r="Q865" s="830">
        <v>17</v>
      </c>
      <c r="T865" s="831">
        <v>41736.707546296297</v>
      </c>
    </row>
    <row r="866" spans="1:20" ht="12.75" customHeight="1" x14ac:dyDescent="0.25">
      <c r="A866" s="830" t="s">
        <v>308</v>
      </c>
      <c r="B866" s="830">
        <v>13</v>
      </c>
      <c r="C866" s="830" t="s">
        <v>323</v>
      </c>
      <c r="D866" s="830" t="s">
        <v>324</v>
      </c>
      <c r="F866" s="830" t="s">
        <v>325</v>
      </c>
      <c r="G866" s="830" t="s">
        <v>512</v>
      </c>
      <c r="H866" s="830" t="s">
        <v>328</v>
      </c>
      <c r="J866" s="830" t="s">
        <v>327</v>
      </c>
      <c r="K866" s="830" t="s">
        <v>261</v>
      </c>
      <c r="L866" s="830" t="s">
        <v>309</v>
      </c>
      <c r="M866" s="830" t="s">
        <v>471</v>
      </c>
      <c r="N866" s="830" t="s">
        <v>259</v>
      </c>
      <c r="O866" s="830">
        <v>5</v>
      </c>
      <c r="Q866" s="830">
        <v>0</v>
      </c>
      <c r="T866" s="831">
        <v>41736.707546296297</v>
      </c>
    </row>
    <row r="867" spans="1:20" ht="12.75" customHeight="1" x14ac:dyDescent="0.25">
      <c r="A867" s="830" t="s">
        <v>308</v>
      </c>
      <c r="B867" s="830">
        <v>13</v>
      </c>
      <c r="C867" s="830" t="s">
        <v>323</v>
      </c>
      <c r="D867" s="830" t="s">
        <v>324</v>
      </c>
      <c r="F867" s="830" t="s">
        <v>325</v>
      </c>
      <c r="G867" s="830" t="s">
        <v>512</v>
      </c>
      <c r="H867" s="830" t="s">
        <v>366</v>
      </c>
      <c r="J867" s="830" t="s">
        <v>327</v>
      </c>
      <c r="K867" s="830" t="s">
        <v>261</v>
      </c>
      <c r="L867" s="830" t="s">
        <v>309</v>
      </c>
      <c r="M867" s="830" t="s">
        <v>471</v>
      </c>
      <c r="N867" s="830" t="s">
        <v>259</v>
      </c>
      <c r="P867" s="830">
        <v>1</v>
      </c>
      <c r="Q867" s="830">
        <v>0</v>
      </c>
      <c r="T867" s="831">
        <v>41736.707546296297</v>
      </c>
    </row>
    <row r="868" spans="1:20" ht="12.75" customHeight="1" x14ac:dyDescent="0.25">
      <c r="A868" s="830" t="s">
        <v>308</v>
      </c>
      <c r="B868" s="830">
        <v>13</v>
      </c>
      <c r="C868" s="830" t="s">
        <v>323</v>
      </c>
      <c r="D868" s="830" t="s">
        <v>324</v>
      </c>
      <c r="F868" s="830" t="s">
        <v>325</v>
      </c>
      <c r="G868" s="830" t="s">
        <v>512</v>
      </c>
      <c r="H868" s="830" t="s">
        <v>373</v>
      </c>
      <c r="J868" s="830" t="s">
        <v>327</v>
      </c>
      <c r="K868" s="830" t="s">
        <v>261</v>
      </c>
      <c r="L868" s="830" t="s">
        <v>309</v>
      </c>
      <c r="M868" s="830" t="s">
        <v>471</v>
      </c>
      <c r="N868" s="830" t="s">
        <v>259</v>
      </c>
      <c r="O868" s="830">
        <v>1</v>
      </c>
      <c r="P868" s="830">
        <v>1</v>
      </c>
      <c r="Q868" s="830">
        <v>0</v>
      </c>
      <c r="T868" s="831">
        <v>41736.707546296297</v>
      </c>
    </row>
    <row r="869" spans="1:20" ht="12.75" customHeight="1" x14ac:dyDescent="0.25">
      <c r="A869" s="830" t="s">
        <v>308</v>
      </c>
      <c r="B869" s="830">
        <v>13</v>
      </c>
      <c r="C869" s="830" t="s">
        <v>323</v>
      </c>
      <c r="D869" s="830" t="s">
        <v>324</v>
      </c>
      <c r="F869" s="830" t="s">
        <v>325</v>
      </c>
      <c r="G869" s="830" t="s">
        <v>512</v>
      </c>
      <c r="H869" s="830" t="s">
        <v>346</v>
      </c>
      <c r="J869" s="830" t="s">
        <v>327</v>
      </c>
      <c r="K869" s="830" t="s">
        <v>261</v>
      </c>
      <c r="L869" s="830" t="s">
        <v>309</v>
      </c>
      <c r="M869" s="830" t="s">
        <v>471</v>
      </c>
      <c r="N869" s="830" t="s">
        <v>259</v>
      </c>
      <c r="O869" s="830">
        <v>5</v>
      </c>
      <c r="P869" s="830">
        <v>7</v>
      </c>
      <c r="Q869" s="830">
        <v>0</v>
      </c>
      <c r="T869" s="831">
        <v>41736.707546296297</v>
      </c>
    </row>
    <row r="870" spans="1:20" ht="12.75" customHeight="1" x14ac:dyDescent="0.25">
      <c r="A870" s="830" t="s">
        <v>308</v>
      </c>
      <c r="B870" s="830">
        <v>13</v>
      </c>
      <c r="C870" s="830" t="s">
        <v>323</v>
      </c>
      <c r="D870" s="830" t="s">
        <v>324</v>
      </c>
      <c r="F870" s="830" t="s">
        <v>325</v>
      </c>
      <c r="G870" s="830" t="s">
        <v>512</v>
      </c>
      <c r="H870" s="830" t="s">
        <v>367</v>
      </c>
      <c r="J870" s="830" t="s">
        <v>327</v>
      </c>
      <c r="K870" s="830" t="s">
        <v>261</v>
      </c>
      <c r="L870" s="830" t="s">
        <v>309</v>
      </c>
      <c r="M870" s="830" t="s">
        <v>471</v>
      </c>
      <c r="N870" s="830" t="s">
        <v>259</v>
      </c>
      <c r="P870" s="830">
        <v>7</v>
      </c>
      <c r="Q870" s="830">
        <v>0</v>
      </c>
      <c r="T870" s="831">
        <v>41736.707546296297</v>
      </c>
    </row>
    <row r="871" spans="1:20" ht="12.75" customHeight="1" x14ac:dyDescent="0.25">
      <c r="A871" s="830" t="s">
        <v>308</v>
      </c>
      <c r="B871" s="830">
        <v>12</v>
      </c>
      <c r="C871" s="830" t="s">
        <v>412</v>
      </c>
      <c r="D871" s="830" t="s">
        <v>413</v>
      </c>
      <c r="F871" s="830" t="s">
        <v>302</v>
      </c>
      <c r="G871" s="830" t="s">
        <v>512</v>
      </c>
      <c r="H871" s="830" t="s">
        <v>414</v>
      </c>
      <c r="P871" s="830">
        <v>140710940.62208599</v>
      </c>
      <c r="Q871" s="830">
        <v>2.8807210176086402</v>
      </c>
      <c r="T871" s="831">
        <v>41736.707534722198</v>
      </c>
    </row>
    <row r="872" spans="1:20" ht="12.75" customHeight="1" x14ac:dyDescent="0.25">
      <c r="A872" s="830" t="s">
        <v>308</v>
      </c>
      <c r="B872" s="830">
        <v>17</v>
      </c>
      <c r="C872" s="830" t="s">
        <v>433</v>
      </c>
      <c r="G872" s="830" t="s">
        <v>512</v>
      </c>
      <c r="J872" s="830" t="s">
        <v>434</v>
      </c>
      <c r="K872" s="830" t="s">
        <v>302</v>
      </c>
      <c r="Q872" s="835">
        <f>R2</f>
        <v>62557</v>
      </c>
      <c r="T872" s="831">
        <v>41736.707511574103</v>
      </c>
    </row>
    <row r="873" spans="1:20" ht="12.75" customHeight="1" x14ac:dyDescent="0.25">
      <c r="A873" s="830" t="s">
        <v>308</v>
      </c>
      <c r="B873" s="830">
        <v>17</v>
      </c>
      <c r="C873" s="830" t="s">
        <v>433</v>
      </c>
      <c r="G873" s="830" t="s">
        <v>512</v>
      </c>
      <c r="J873" s="830" t="s">
        <v>434</v>
      </c>
      <c r="K873" s="830" t="s">
        <v>435</v>
      </c>
      <c r="Q873" s="836">
        <v>1954716</v>
      </c>
      <c r="T873" s="831">
        <v>41736.707511574103</v>
      </c>
    </row>
    <row r="874" spans="1:20" ht="12.75" customHeight="1" x14ac:dyDescent="0.25">
      <c r="A874" s="830" t="s">
        <v>308</v>
      </c>
      <c r="B874" s="830">
        <v>11</v>
      </c>
      <c r="C874" s="830" t="s">
        <v>445</v>
      </c>
      <c r="D874" s="830" t="s">
        <v>446</v>
      </c>
      <c r="F874" s="830" t="s">
        <v>474</v>
      </c>
      <c r="G874" s="830" t="s">
        <v>512</v>
      </c>
      <c r="H874" s="830" t="s">
        <v>447</v>
      </c>
      <c r="I874" s="830" t="s">
        <v>448</v>
      </c>
      <c r="J874" s="830" t="s">
        <v>449</v>
      </c>
      <c r="K874" s="830" t="s">
        <v>256</v>
      </c>
      <c r="Q874" s="837">
        <v>39025680.747569799</v>
      </c>
      <c r="T874" s="831">
        <v>41736.707534722198</v>
      </c>
    </row>
    <row r="875" spans="1:20" ht="12.75" customHeight="1" x14ac:dyDescent="0.25">
      <c r="A875" s="830" t="s">
        <v>308</v>
      </c>
      <c r="B875" s="830">
        <v>11</v>
      </c>
      <c r="C875" s="830" t="s">
        <v>445</v>
      </c>
      <c r="D875" s="830" t="s">
        <v>446</v>
      </c>
      <c r="F875" s="830" t="s">
        <v>474</v>
      </c>
      <c r="G875" s="830" t="s">
        <v>512</v>
      </c>
      <c r="H875" s="830" t="s">
        <v>447</v>
      </c>
      <c r="I875" s="830" t="s">
        <v>448</v>
      </c>
      <c r="J875" s="830" t="s">
        <v>449</v>
      </c>
      <c r="K875" s="830" t="s">
        <v>258</v>
      </c>
      <c r="Q875" s="837">
        <v>86014087.012971774</v>
      </c>
      <c r="T875" s="831">
        <v>41736.707534722198</v>
      </c>
    </row>
    <row r="876" spans="1:20" ht="12.75" customHeight="1" x14ac:dyDescent="0.25">
      <c r="A876" s="830" t="s">
        <v>308</v>
      </c>
      <c r="B876" s="830">
        <v>11</v>
      </c>
      <c r="C876" s="830" t="s">
        <v>445</v>
      </c>
      <c r="D876" s="830" t="s">
        <v>446</v>
      </c>
      <c r="F876" s="830" t="s">
        <v>474</v>
      </c>
      <c r="G876" s="830" t="s">
        <v>512</v>
      </c>
      <c r="H876" s="830" t="s">
        <v>447</v>
      </c>
      <c r="I876" s="830" t="s">
        <v>448</v>
      </c>
      <c r="J876" s="830" t="s">
        <v>449</v>
      </c>
      <c r="K876" s="830" t="s">
        <v>255</v>
      </c>
      <c r="Q876" s="837">
        <v>11018456.288415238</v>
      </c>
      <c r="T876" s="831">
        <v>41736.707534722198</v>
      </c>
    </row>
    <row r="877" spans="1:20" ht="12.75" customHeight="1" x14ac:dyDescent="0.25">
      <c r="A877" s="830" t="s">
        <v>308</v>
      </c>
      <c r="B877" s="830">
        <v>11</v>
      </c>
      <c r="C877" s="830" t="s">
        <v>445</v>
      </c>
      <c r="D877" s="830" t="s">
        <v>446</v>
      </c>
      <c r="F877" s="830" t="s">
        <v>474</v>
      </c>
      <c r="G877" s="830" t="s">
        <v>512</v>
      </c>
      <c r="H877" s="830" t="s">
        <v>450</v>
      </c>
      <c r="I877" s="830" t="s">
        <v>448</v>
      </c>
      <c r="J877" s="830" t="s">
        <v>449</v>
      </c>
      <c r="K877" s="830" t="s">
        <v>256</v>
      </c>
      <c r="Q877" s="837">
        <v>3081620.2763604233</v>
      </c>
      <c r="T877" s="831">
        <v>41736.707534722198</v>
      </c>
    </row>
    <row r="878" spans="1:20" ht="12.75" customHeight="1" x14ac:dyDescent="0.25">
      <c r="A878" s="830" t="s">
        <v>308</v>
      </c>
      <c r="B878" s="830">
        <v>11</v>
      </c>
      <c r="C878" s="830" t="s">
        <v>445</v>
      </c>
      <c r="D878" s="830" t="s">
        <v>446</v>
      </c>
      <c r="F878" s="830" t="s">
        <v>474</v>
      </c>
      <c r="G878" s="830" t="s">
        <v>512</v>
      </c>
      <c r="H878" s="830" t="s">
        <v>450</v>
      </c>
      <c r="I878" s="830" t="s">
        <v>448</v>
      </c>
      <c r="J878" s="830" t="s">
        <v>449</v>
      </c>
      <c r="K878" s="830" t="s">
        <v>258</v>
      </c>
      <c r="Q878" s="837">
        <v>8988160.8095993064</v>
      </c>
      <c r="T878" s="831">
        <v>41736.707534722198</v>
      </c>
    </row>
    <row r="879" spans="1:20" ht="12.75" customHeight="1" x14ac:dyDescent="0.25">
      <c r="A879" s="830" t="s">
        <v>308</v>
      </c>
      <c r="B879" s="830">
        <v>11</v>
      </c>
      <c r="C879" s="830" t="s">
        <v>445</v>
      </c>
      <c r="D879" s="830" t="s">
        <v>446</v>
      </c>
      <c r="F879" s="830" t="s">
        <v>474</v>
      </c>
      <c r="G879" s="830" t="s">
        <v>512</v>
      </c>
      <c r="H879" s="830" t="s">
        <v>450</v>
      </c>
      <c r="I879" s="830" t="s">
        <v>448</v>
      </c>
      <c r="J879" s="830" t="s">
        <v>449</v>
      </c>
      <c r="K879" s="830" t="s">
        <v>255</v>
      </c>
      <c r="Q879" s="837">
        <v>921723.85282142926</v>
      </c>
      <c r="T879" s="831">
        <v>41736.707534722198</v>
      </c>
    </row>
    <row r="880" spans="1:20" ht="12.75" customHeight="1" x14ac:dyDescent="0.25">
      <c r="A880" s="830" t="s">
        <v>308</v>
      </c>
      <c r="B880" s="830">
        <v>11</v>
      </c>
      <c r="C880" s="830" t="s">
        <v>445</v>
      </c>
      <c r="D880" s="830" t="s">
        <v>446</v>
      </c>
      <c r="F880" s="830" t="s">
        <v>474</v>
      </c>
      <c r="G880" s="830" t="s">
        <v>512</v>
      </c>
      <c r="H880" s="830" t="s">
        <v>451</v>
      </c>
      <c r="I880" s="830" t="s">
        <v>307</v>
      </c>
      <c r="J880" s="830" t="s">
        <v>449</v>
      </c>
      <c r="K880" s="830" t="s">
        <v>256</v>
      </c>
      <c r="Q880" s="838">
        <f>$Q$891*Q892</f>
        <v>362023.71441003354</v>
      </c>
      <c r="T880" s="831">
        <v>41736.707534722198</v>
      </c>
    </row>
    <row r="881" spans="1:20" ht="12.75" customHeight="1" x14ac:dyDescent="0.25">
      <c r="A881" s="830" t="s">
        <v>308</v>
      </c>
      <c r="B881" s="830">
        <v>11</v>
      </c>
      <c r="C881" s="830" t="s">
        <v>445</v>
      </c>
      <c r="D881" s="830" t="s">
        <v>446</v>
      </c>
      <c r="F881" s="830" t="s">
        <v>474</v>
      </c>
      <c r="G881" s="830" t="s">
        <v>512</v>
      </c>
      <c r="H881" s="830" t="s">
        <v>451</v>
      </c>
      <c r="I881" s="830" t="s">
        <v>307</v>
      </c>
      <c r="J881" s="830" t="s">
        <v>449</v>
      </c>
      <c r="K881" s="830" t="s">
        <v>258</v>
      </c>
      <c r="Q881" s="838">
        <f>$Q$891*Q893</f>
        <v>32174.778946615595</v>
      </c>
      <c r="T881" s="831">
        <v>41736.707534722198</v>
      </c>
    </row>
    <row r="882" spans="1:20" ht="12.75" customHeight="1" x14ac:dyDescent="0.25">
      <c r="A882" s="830" t="s">
        <v>308</v>
      </c>
      <c r="B882" s="830">
        <v>11</v>
      </c>
      <c r="C882" s="830" t="s">
        <v>445</v>
      </c>
      <c r="D882" s="830" t="s">
        <v>446</v>
      </c>
      <c r="F882" s="830" t="s">
        <v>474</v>
      </c>
      <c r="G882" s="830" t="s">
        <v>512</v>
      </c>
      <c r="H882" s="830" t="s">
        <v>451</v>
      </c>
      <c r="I882" s="830" t="s">
        <v>307</v>
      </c>
      <c r="J882" s="830" t="s">
        <v>449</v>
      </c>
      <c r="K882" s="830" t="s">
        <v>255</v>
      </c>
      <c r="Q882" s="838">
        <f>$Q$891*Q894</f>
        <v>32456.9885386389</v>
      </c>
      <c r="T882" s="831">
        <v>41736.707534722198</v>
      </c>
    </row>
    <row r="883" spans="1:20" ht="12.75" customHeight="1" x14ac:dyDescent="0.25">
      <c r="A883" s="830" t="s">
        <v>308</v>
      </c>
      <c r="B883" s="830">
        <v>11</v>
      </c>
      <c r="C883" s="830" t="s">
        <v>445</v>
      </c>
      <c r="D883" s="830" t="s">
        <v>446</v>
      </c>
      <c r="F883" s="830" t="s">
        <v>474</v>
      </c>
      <c r="G883" s="830" t="s">
        <v>512</v>
      </c>
      <c r="H883" s="830" t="s">
        <v>452</v>
      </c>
      <c r="I883" s="830" t="s">
        <v>307</v>
      </c>
      <c r="J883" s="830" t="s">
        <v>449</v>
      </c>
      <c r="K883" s="830" t="s">
        <v>453</v>
      </c>
      <c r="Q883" s="837">
        <v>12991504.938781157</v>
      </c>
      <c r="T883" s="831">
        <v>41736.707534722198</v>
      </c>
    </row>
    <row r="884" spans="1:20" ht="12.75" customHeight="1" x14ac:dyDescent="0.25">
      <c r="B884" s="830" t="s">
        <v>480</v>
      </c>
      <c r="C884" s="830" t="s">
        <v>476</v>
      </c>
      <c r="D884" s="830" t="s">
        <v>477</v>
      </c>
      <c r="P884" s="839" t="s">
        <v>497</v>
      </c>
      <c r="Q884" s="840">
        <f>Q276/(Q235/60)</f>
        <v>28.676668376906925</v>
      </c>
      <c r="T884" s="841">
        <f ca="1">TODAY()</f>
        <v>43587</v>
      </c>
    </row>
    <row r="885" spans="1:20" ht="12.75" customHeight="1" x14ac:dyDescent="0.25">
      <c r="B885" s="830" t="s">
        <v>480</v>
      </c>
      <c r="C885" s="830" t="s">
        <v>478</v>
      </c>
      <c r="D885" s="830" t="s">
        <v>479</v>
      </c>
      <c r="Q885" s="842"/>
      <c r="T885" s="841">
        <f ca="1">TODAY()</f>
        <v>43587</v>
      </c>
    </row>
    <row r="886" spans="1:20" ht="12.75" customHeight="1" x14ac:dyDescent="0.25">
      <c r="B886" s="830" t="s">
        <v>480</v>
      </c>
      <c r="C886" s="830" t="s">
        <v>481</v>
      </c>
      <c r="D886" s="830" t="s">
        <v>477</v>
      </c>
      <c r="P886" s="839" t="s">
        <v>496</v>
      </c>
      <c r="Q886" s="840">
        <f>Q277/Q236*60</f>
        <v>4.6760004701252083</v>
      </c>
      <c r="T886" s="841">
        <f ca="1">TODAY()</f>
        <v>43587</v>
      </c>
    </row>
    <row r="887" spans="1:20" ht="12.75" customHeight="1" x14ac:dyDescent="0.25">
      <c r="P887" s="839" t="s">
        <v>498</v>
      </c>
      <c r="Q887" s="843">
        <f>SUM(Q880:Q882)/SUM(Q874:Q882)</f>
        <v>2.8543337023378755E-3</v>
      </c>
    </row>
    <row r="888" spans="1:20" ht="12.75" customHeight="1" x14ac:dyDescent="0.25">
      <c r="O888" s="844" t="s">
        <v>494</v>
      </c>
      <c r="P888" s="830" t="s">
        <v>492</v>
      </c>
      <c r="Q888" s="837">
        <f>Q277*P277</f>
        <v>2861616.0792347062</v>
      </c>
    </row>
    <row r="889" spans="1:20" ht="12.75" customHeight="1" x14ac:dyDescent="0.25">
      <c r="O889" s="844" t="s">
        <v>495</v>
      </c>
      <c r="P889" s="830" t="s">
        <v>493</v>
      </c>
      <c r="Q889" s="837">
        <f>SUM(Q880:Q882)</f>
        <v>426655.48189528805</v>
      </c>
    </row>
    <row r="890" spans="1:20" ht="12.75" customHeight="1" x14ac:dyDescent="0.25">
      <c r="O890" s="844"/>
      <c r="P890" s="839" t="s">
        <v>499</v>
      </c>
      <c r="Q890" s="845">
        <f>Q888/Q889</f>
        <v>6.7070885073897131</v>
      </c>
    </row>
    <row r="891" spans="1:20" ht="12.75" customHeight="1" x14ac:dyDescent="0.25">
      <c r="O891" s="844"/>
      <c r="P891" s="839" t="s">
        <v>500</v>
      </c>
      <c r="Q891" s="836">
        <v>426655.48189528799</v>
      </c>
    </row>
    <row r="892" spans="1:20" ht="12.75" customHeight="1" x14ac:dyDescent="0.25">
      <c r="O892" s="844"/>
      <c r="P892" s="839" t="s">
        <v>501</v>
      </c>
      <c r="Q892" s="846">
        <v>0.84851532389049034</v>
      </c>
    </row>
    <row r="893" spans="1:20" ht="12.75" customHeight="1" x14ac:dyDescent="0.25">
      <c r="O893" s="844"/>
      <c r="P893" s="839" t="s">
        <v>502</v>
      </c>
      <c r="Q893" s="846">
        <v>7.5411615019427072E-2</v>
      </c>
    </row>
    <row r="894" spans="1:20" ht="12.75" customHeight="1" x14ac:dyDescent="0.25">
      <c r="O894" s="844"/>
      <c r="P894" s="839" t="s">
        <v>503</v>
      </c>
      <c r="Q894" s="846">
        <v>7.6073061090082661E-2</v>
      </c>
    </row>
    <row r="895" spans="1:20" ht="12.75" customHeight="1" x14ac:dyDescent="0.25">
      <c r="O895" s="844"/>
      <c r="Q895" s="846"/>
    </row>
    <row r="896" spans="1:20" ht="12.75" customHeight="1" x14ac:dyDescent="0.25">
      <c r="O896" s="844"/>
      <c r="Q896" s="836"/>
      <c r="R896" s="847"/>
    </row>
    <row r="897" spans="15:18" ht="12.75" customHeight="1" x14ac:dyDescent="0.25">
      <c r="O897" s="844"/>
      <c r="Q897" s="846"/>
      <c r="R897" s="847"/>
    </row>
    <row r="898" spans="15:18" ht="12.75" customHeight="1" x14ac:dyDescent="0.25">
      <c r="O898" s="844"/>
      <c r="Q898" s="846"/>
    </row>
    <row r="899" spans="15:18" ht="12.75" customHeight="1" x14ac:dyDescent="0.25">
      <c r="O899" s="844"/>
      <c r="Q899" s="846"/>
    </row>
    <row r="900" spans="15:18" ht="12.75" customHeight="1" x14ac:dyDescent="0.25">
      <c r="O900" s="844"/>
      <c r="Q900" s="846"/>
    </row>
    <row r="901" spans="15:18" ht="12.75" customHeight="1" x14ac:dyDescent="0.25">
      <c r="O901" s="844"/>
      <c r="Q901" s="846"/>
    </row>
  </sheetData>
  <pageMargins left="0.7" right="0.7" top="0.75" bottom="0.75" header="0.3" footer="0.3"/>
  <pageSetup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901"/>
  <sheetViews>
    <sheetView topLeftCell="K1" zoomScale="80" zoomScaleNormal="80" workbookViewId="0">
      <selection activeCell="T3" sqref="T3"/>
    </sheetView>
  </sheetViews>
  <sheetFormatPr defaultRowHeight="15" x14ac:dyDescent="0.25"/>
  <cols>
    <col min="1" max="1" width="10.85546875" style="633" customWidth="1"/>
    <col min="2" max="2" width="7.5703125" style="633" customWidth="1"/>
    <col min="3" max="3" width="36.140625" style="633" customWidth="1"/>
    <col min="4" max="4" width="16.28515625" style="633" customWidth="1"/>
    <col min="5" max="5" width="6.28515625" style="633" customWidth="1"/>
    <col min="6" max="6" width="11" style="633" customWidth="1"/>
    <col min="7" max="7" width="13.28515625" style="633" customWidth="1"/>
    <col min="8" max="8" width="14.140625" style="633" customWidth="1"/>
    <col min="9" max="9" width="12.85546875" style="633" customWidth="1"/>
    <col min="10" max="10" width="11.5703125" style="633" customWidth="1"/>
    <col min="11" max="11" width="14.5703125" style="633" customWidth="1"/>
    <col min="12" max="12" width="20.140625" style="633" customWidth="1"/>
    <col min="13" max="13" width="11.42578125" style="633" customWidth="1"/>
    <col min="14" max="14" width="10.5703125" style="633" customWidth="1"/>
    <col min="15" max="15" width="15.7109375" style="633" customWidth="1"/>
    <col min="16" max="16" width="16.7109375" style="633" customWidth="1"/>
    <col min="17" max="17" width="20" style="633" customWidth="1"/>
    <col min="18" max="18" width="23.42578125" style="633" customWidth="1"/>
    <col min="19" max="19" width="23" style="633" customWidth="1"/>
    <col min="20" max="20" width="18.85546875" style="633" customWidth="1"/>
    <col min="21" max="21" width="20.5703125" style="633" customWidth="1"/>
    <col min="22" max="16384" width="9.140625" style="633"/>
  </cols>
  <sheetData>
    <row r="1" spans="1:21" s="583" customFormat="1" ht="12.75" customHeight="1" x14ac:dyDescent="0.25">
      <c r="A1" s="798"/>
      <c r="B1" s="798"/>
      <c r="C1" s="798"/>
      <c r="D1" s="798"/>
      <c r="E1" s="798"/>
      <c r="F1" s="798"/>
      <c r="G1" s="799" t="s">
        <v>511</v>
      </c>
      <c r="H1" s="798" t="s">
        <v>516</v>
      </c>
      <c r="I1" s="798"/>
      <c r="J1" s="798"/>
      <c r="K1" s="798"/>
      <c r="L1" s="798"/>
      <c r="M1" s="798"/>
      <c r="N1" s="800" t="s">
        <v>505</v>
      </c>
      <c r="O1" s="800" t="s">
        <v>69</v>
      </c>
      <c r="P1" s="801" t="s">
        <v>621</v>
      </c>
      <c r="Q1" s="801" t="s">
        <v>622</v>
      </c>
      <c r="R1" s="802" t="s">
        <v>617</v>
      </c>
      <c r="S1" s="801" t="s">
        <v>618</v>
      </c>
      <c r="T1" s="798" t="s">
        <v>619</v>
      </c>
      <c r="U1" s="798" t="s">
        <v>620</v>
      </c>
    </row>
    <row r="2" spans="1:21" s="583" customFormat="1" ht="12.75" customHeight="1" x14ac:dyDescent="0.25">
      <c r="A2" s="804"/>
      <c r="B2" s="804"/>
      <c r="C2" s="804"/>
      <c r="D2" s="804"/>
      <c r="E2" s="804"/>
      <c r="F2" s="804"/>
      <c r="G2" s="804" t="s">
        <v>584</v>
      </c>
      <c r="H2" s="804" t="s">
        <v>518</v>
      </c>
      <c r="I2" s="804"/>
      <c r="J2" s="804"/>
      <c r="K2" s="804"/>
      <c r="L2" s="804"/>
      <c r="M2" s="804"/>
      <c r="N2" s="804" t="s">
        <v>215</v>
      </c>
      <c r="O2" s="804" t="s">
        <v>215</v>
      </c>
      <c r="P2" s="805">
        <f>SUM(P3:P18)</f>
        <v>651949.20000000007</v>
      </c>
      <c r="Q2" s="804"/>
      <c r="R2" s="805">
        <f>SUM(R3:R18)</f>
        <v>62557</v>
      </c>
      <c r="S2" s="803"/>
      <c r="T2" s="805" t="e">
        <f>#REF!</f>
        <v>#REF!</v>
      </c>
      <c r="U2" s="806"/>
    </row>
    <row r="3" spans="1:21" s="583" customFormat="1" ht="12.75" customHeight="1" x14ac:dyDescent="0.25">
      <c r="A3" s="804"/>
      <c r="B3" s="804"/>
      <c r="C3" s="804"/>
      <c r="D3" s="804"/>
      <c r="E3" s="804"/>
      <c r="F3" s="804"/>
      <c r="G3" s="804" t="s">
        <v>584</v>
      </c>
      <c r="H3" s="804" t="s">
        <v>518</v>
      </c>
      <c r="I3" s="804"/>
      <c r="J3" s="804"/>
      <c r="K3" s="804"/>
      <c r="L3" s="804"/>
      <c r="M3" s="804"/>
      <c r="N3" s="804" t="s">
        <v>249</v>
      </c>
      <c r="O3" s="804" t="s">
        <v>27</v>
      </c>
      <c r="P3" s="848">
        <v>18432</v>
      </c>
      <c r="Q3" s="849">
        <f t="shared" ref="Q3:Q18" si="0">P3/P$2</f>
        <v>2.8272141449057684E-2</v>
      </c>
      <c r="R3" s="807">
        <f t="array" ref="R3">INDEX('County Pops'!$D$2:$D$642,MATCH(1,IF('County Pops'!$A$2:$A$642='Inputs TO'!$D$5,IF('County Pops'!$B$2:$B$642='Calibration Data'!N3,IF('County Pops'!$C$2:$C$642='Calibration Data'!O3,1))),0))</f>
        <v>1522</v>
      </c>
      <c r="S3" s="808">
        <f>R3/R$2</f>
        <v>2.4329811212174497E-2</v>
      </c>
      <c r="T3" s="807" t="e">
        <f>S3*$T$2</f>
        <v>#REF!</v>
      </c>
      <c r="U3" s="808" t="e">
        <f>T3/T$2</f>
        <v>#REF!</v>
      </c>
    </row>
    <row r="4" spans="1:21" s="583" customFormat="1" ht="12.75" customHeight="1" x14ac:dyDescent="0.25">
      <c r="A4" s="804"/>
      <c r="B4" s="804"/>
      <c r="C4" s="804"/>
      <c r="D4" s="804"/>
      <c r="E4" s="804"/>
      <c r="F4" s="804"/>
      <c r="G4" s="804" t="s">
        <v>584</v>
      </c>
      <c r="H4" s="804" t="s">
        <v>518</v>
      </c>
      <c r="I4" s="804"/>
      <c r="J4" s="804"/>
      <c r="K4" s="804"/>
      <c r="L4" s="804"/>
      <c r="M4" s="804"/>
      <c r="N4" s="804" t="s">
        <v>244</v>
      </c>
      <c r="O4" s="804" t="s">
        <v>27</v>
      </c>
      <c r="P4" s="848">
        <v>37956.6</v>
      </c>
      <c r="Q4" s="849">
        <f t="shared" si="0"/>
        <v>5.8220180345339781E-2</v>
      </c>
      <c r="R4" s="807">
        <f t="array" ref="R4">INDEX('County Pops'!$D$2:$D$642,MATCH(1,IF('County Pops'!$A$2:$A$642='Inputs TO'!$D$5,IF('County Pops'!$B$2:$B$642='Calibration Data'!N4,IF('County Pops'!$C$2:$C$642='Calibration Data'!O4,1))),0))</f>
        <v>3222</v>
      </c>
      <c r="S4" s="808">
        <f t="shared" ref="S4:U18" si="1">R4/R$2</f>
        <v>5.1505027414997524E-2</v>
      </c>
      <c r="T4" s="807" t="e">
        <f t="shared" ref="T4:T18" si="2">S4*$T$2</f>
        <v>#REF!</v>
      </c>
      <c r="U4" s="808" t="e">
        <f t="shared" si="1"/>
        <v>#REF!</v>
      </c>
    </row>
    <row r="5" spans="1:21" s="583" customFormat="1" ht="12.75" customHeight="1" x14ac:dyDescent="0.25">
      <c r="A5" s="804"/>
      <c r="B5" s="804"/>
      <c r="C5" s="804"/>
      <c r="D5" s="804"/>
      <c r="E5" s="804"/>
      <c r="F5" s="804"/>
      <c r="G5" s="804" t="s">
        <v>584</v>
      </c>
      <c r="H5" s="804" t="s">
        <v>518</v>
      </c>
      <c r="I5" s="804"/>
      <c r="J5" s="804"/>
      <c r="K5" s="804"/>
      <c r="L5" s="804"/>
      <c r="M5" s="804"/>
      <c r="N5" s="804" t="s">
        <v>4</v>
      </c>
      <c r="O5" s="804" t="s">
        <v>27</v>
      </c>
      <c r="P5" s="848">
        <v>53626</v>
      </c>
      <c r="Q5" s="849">
        <f t="shared" si="0"/>
        <v>8.2254875073088513E-2</v>
      </c>
      <c r="R5" s="807">
        <f t="array" ref="R5">INDEX('County Pops'!$D$2:$D$642,MATCH(1,IF('County Pops'!$A$2:$A$642='Inputs TO'!$D$5,IF('County Pops'!$B$2:$B$642='Calibration Data'!N5,IF('County Pops'!$C$2:$C$642='Calibration Data'!O5,1))),0))</f>
        <v>4917</v>
      </c>
      <c r="S5" s="808">
        <f t="shared" si="1"/>
        <v>7.8600316511341653E-2</v>
      </c>
      <c r="T5" s="807" t="e">
        <f t="shared" si="2"/>
        <v>#REF!</v>
      </c>
      <c r="U5" s="808" t="e">
        <f t="shared" si="1"/>
        <v>#REF!</v>
      </c>
    </row>
    <row r="6" spans="1:21" s="583" customFormat="1" ht="12.75" customHeight="1" x14ac:dyDescent="0.25">
      <c r="A6" s="804"/>
      <c r="B6" s="804"/>
      <c r="C6" s="804"/>
      <c r="D6" s="804"/>
      <c r="E6" s="804"/>
      <c r="F6" s="804"/>
      <c r="G6" s="804" t="s">
        <v>584</v>
      </c>
      <c r="H6" s="804" t="s">
        <v>518</v>
      </c>
      <c r="I6" s="804"/>
      <c r="J6" s="804"/>
      <c r="K6" s="804"/>
      <c r="L6" s="804"/>
      <c r="M6" s="804"/>
      <c r="N6" s="804" t="s">
        <v>5</v>
      </c>
      <c r="O6" s="804" t="s">
        <v>27</v>
      </c>
      <c r="P6" s="848">
        <v>51801</v>
      </c>
      <c r="Q6" s="849">
        <f t="shared" si="0"/>
        <v>7.9455577213684736E-2</v>
      </c>
      <c r="R6" s="807">
        <f t="array" ref="R6">INDEX('County Pops'!$D$2:$D$642,MATCH(1,IF('County Pops'!$A$2:$A$642='Inputs TO'!$D$5,IF('County Pops'!$B$2:$B$642='Calibration Data'!N6,IF('County Pops'!$C$2:$C$642='Calibration Data'!O6,1))),0))</f>
        <v>4741</v>
      </c>
      <c r="S6" s="808">
        <f t="shared" si="1"/>
        <v>7.578688236328468E-2</v>
      </c>
      <c r="T6" s="807" t="e">
        <f t="shared" si="2"/>
        <v>#REF!</v>
      </c>
      <c r="U6" s="808" t="e">
        <f t="shared" si="1"/>
        <v>#REF!</v>
      </c>
    </row>
    <row r="7" spans="1:21" s="583" customFormat="1" ht="12.75" customHeight="1" x14ac:dyDescent="0.25">
      <c r="A7" s="804"/>
      <c r="B7" s="804"/>
      <c r="C7" s="804"/>
      <c r="D7" s="804"/>
      <c r="E7" s="804"/>
      <c r="F7" s="804"/>
      <c r="G7" s="804" t="s">
        <v>584</v>
      </c>
      <c r="H7" s="804" t="s">
        <v>518</v>
      </c>
      <c r="I7" s="804"/>
      <c r="J7" s="804"/>
      <c r="K7" s="804"/>
      <c r="L7" s="804"/>
      <c r="M7" s="804"/>
      <c r="N7" s="804" t="s">
        <v>6</v>
      </c>
      <c r="O7" s="804" t="s">
        <v>27</v>
      </c>
      <c r="P7" s="848">
        <v>71962</v>
      </c>
      <c r="Q7" s="849">
        <f t="shared" si="0"/>
        <v>0.11037976578543235</v>
      </c>
      <c r="R7" s="807">
        <f t="array" ref="R7">INDEX('County Pops'!$D$2:$D$642,MATCH(1,IF('County Pops'!$A$2:$A$642='Inputs TO'!$D$5,IF('County Pops'!$B$2:$B$642='Calibration Data'!N7,IF('County Pops'!$C$2:$C$642='Calibration Data'!O7,1))),0))</f>
        <v>7000</v>
      </c>
      <c r="S7" s="808">
        <f t="shared" si="1"/>
        <v>0.11189794907044776</v>
      </c>
      <c r="T7" s="807" t="e">
        <f t="shared" si="2"/>
        <v>#REF!</v>
      </c>
      <c r="U7" s="808" t="e">
        <f t="shared" si="1"/>
        <v>#REF!</v>
      </c>
    </row>
    <row r="8" spans="1:21" s="583" customFormat="1" ht="12.75" customHeight="1" x14ac:dyDescent="0.25">
      <c r="A8" s="804"/>
      <c r="B8" s="804"/>
      <c r="C8" s="804"/>
      <c r="D8" s="804"/>
      <c r="E8" s="804"/>
      <c r="F8" s="804"/>
      <c r="G8" s="804" t="s">
        <v>584</v>
      </c>
      <c r="H8" s="804" t="s">
        <v>518</v>
      </c>
      <c r="I8" s="804"/>
      <c r="J8" s="804"/>
      <c r="K8" s="804"/>
      <c r="L8" s="804"/>
      <c r="M8" s="804"/>
      <c r="N8" s="804" t="s">
        <v>7</v>
      </c>
      <c r="O8" s="804" t="s">
        <v>27</v>
      </c>
      <c r="P8" s="848">
        <v>45270.8</v>
      </c>
      <c r="Q8" s="849">
        <f t="shared" si="0"/>
        <v>6.9439152621093791E-2</v>
      </c>
      <c r="R8" s="807">
        <f t="array" ref="R8">INDEX('County Pops'!$D$2:$D$642,MATCH(1,IF('County Pops'!$A$2:$A$642='Inputs TO'!$D$5,IF('County Pops'!$B$2:$B$642='Calibration Data'!N8,IF('County Pops'!$C$2:$C$642='Calibration Data'!O8,1))),0))</f>
        <v>5090</v>
      </c>
      <c r="S8" s="808">
        <f t="shared" si="1"/>
        <v>8.1365794395511296E-2</v>
      </c>
      <c r="T8" s="807" t="e">
        <f t="shared" si="2"/>
        <v>#REF!</v>
      </c>
      <c r="U8" s="808" t="e">
        <f t="shared" si="1"/>
        <v>#REF!</v>
      </c>
    </row>
    <row r="9" spans="1:21" s="583" customFormat="1" ht="12.75" customHeight="1" x14ac:dyDescent="0.25">
      <c r="A9" s="804"/>
      <c r="B9" s="804"/>
      <c r="C9" s="804"/>
      <c r="D9" s="804"/>
      <c r="E9" s="804"/>
      <c r="F9" s="804"/>
      <c r="G9" s="804" t="s">
        <v>584</v>
      </c>
      <c r="H9" s="804" t="s">
        <v>518</v>
      </c>
      <c r="I9" s="804"/>
      <c r="J9" s="804"/>
      <c r="K9" s="804"/>
      <c r="L9" s="804"/>
      <c r="M9" s="804"/>
      <c r="N9" s="804" t="s">
        <v>8</v>
      </c>
      <c r="O9" s="804" t="s">
        <v>27</v>
      </c>
      <c r="P9" s="848">
        <v>27046</v>
      </c>
      <c r="Q9" s="849">
        <f t="shared" si="0"/>
        <v>4.1484827345443474E-2</v>
      </c>
      <c r="R9" s="807">
        <f t="array" ref="R9">INDEX('County Pops'!$D$2:$D$642,MATCH(1,IF('County Pops'!$A$2:$A$642='Inputs TO'!$D$5,IF('County Pops'!$B$2:$B$642='Calibration Data'!N9,IF('County Pops'!$C$2:$C$642='Calibration Data'!O9,1))),0))</f>
        <v>3280</v>
      </c>
      <c r="S9" s="808">
        <f t="shared" si="1"/>
        <v>5.2432181850152658E-2</v>
      </c>
      <c r="T9" s="807" t="e">
        <f t="shared" si="2"/>
        <v>#REF!</v>
      </c>
      <c r="U9" s="808" t="e">
        <f t="shared" si="1"/>
        <v>#REF!</v>
      </c>
    </row>
    <row r="10" spans="1:21" s="583" customFormat="1" ht="12.75" customHeight="1" x14ac:dyDescent="0.25">
      <c r="A10" s="804"/>
      <c r="B10" s="804"/>
      <c r="C10" s="804"/>
      <c r="D10" s="804"/>
      <c r="E10" s="804"/>
      <c r="F10" s="804"/>
      <c r="G10" s="804" t="s">
        <v>584</v>
      </c>
      <c r="H10" s="804" t="s">
        <v>518</v>
      </c>
      <c r="I10" s="804"/>
      <c r="J10" s="804"/>
      <c r="K10" s="804"/>
      <c r="L10" s="804"/>
      <c r="M10" s="804"/>
      <c r="N10" s="804" t="s">
        <v>9</v>
      </c>
      <c r="O10" s="804" t="s">
        <v>27</v>
      </c>
      <c r="P10" s="848">
        <v>18745.8</v>
      </c>
      <c r="Q10" s="849">
        <f t="shared" si="0"/>
        <v>2.8753467294691054E-2</v>
      </c>
      <c r="R10" s="807">
        <f t="array" ref="R10">INDEX('County Pops'!$D$2:$D$642,MATCH(1,IF('County Pops'!$A$2:$A$642='Inputs TO'!$D$5,IF('County Pops'!$B$2:$B$642='Calibration Data'!N10,IF('County Pops'!$C$2:$C$642='Calibration Data'!O10,1))),0))</f>
        <v>1949</v>
      </c>
      <c r="S10" s="808">
        <f t="shared" si="1"/>
        <v>3.1155586105471811E-2</v>
      </c>
      <c r="T10" s="807" t="e">
        <f t="shared" si="2"/>
        <v>#REF!</v>
      </c>
      <c r="U10" s="808" t="e">
        <f t="shared" si="1"/>
        <v>#REF!</v>
      </c>
    </row>
    <row r="11" spans="1:21" s="583" customFormat="1" ht="12.75" customHeight="1" x14ac:dyDescent="0.25">
      <c r="A11" s="804"/>
      <c r="B11" s="804"/>
      <c r="C11" s="804"/>
      <c r="D11" s="804"/>
      <c r="E11" s="804"/>
      <c r="F11" s="804"/>
      <c r="G11" s="804" t="s">
        <v>584</v>
      </c>
      <c r="H11" s="804" t="s">
        <v>518</v>
      </c>
      <c r="I11" s="804"/>
      <c r="J11" s="804"/>
      <c r="K11" s="804"/>
      <c r="L11" s="804"/>
      <c r="M11" s="804"/>
      <c r="N11" s="804" t="s">
        <v>249</v>
      </c>
      <c r="O11" s="804" t="s">
        <v>26</v>
      </c>
      <c r="P11" s="848">
        <v>19204.2</v>
      </c>
      <c r="Q11" s="849">
        <f t="shared" si="0"/>
        <v>2.9456589562499653E-2</v>
      </c>
      <c r="R11" s="807">
        <f t="array" ref="R11">INDEX('County Pops'!$D$2:$D$642,MATCH(1,IF('County Pops'!$A$2:$A$642='Inputs TO'!$D$5,IF('County Pops'!$B$2:$B$642='Calibration Data'!N11,IF('County Pops'!$C$2:$C$642='Calibration Data'!O11,1))),0))</f>
        <v>1573</v>
      </c>
      <c r="S11" s="808">
        <f t="shared" si="1"/>
        <v>2.5145067698259187E-2</v>
      </c>
      <c r="T11" s="807" t="e">
        <f t="shared" si="2"/>
        <v>#REF!</v>
      </c>
      <c r="U11" s="808" t="e">
        <f t="shared" si="1"/>
        <v>#REF!</v>
      </c>
    </row>
    <row r="12" spans="1:21" s="583" customFormat="1" ht="12.75" customHeight="1" x14ac:dyDescent="0.25">
      <c r="A12" s="804"/>
      <c r="B12" s="804"/>
      <c r="C12" s="804"/>
      <c r="D12" s="804"/>
      <c r="E12" s="804"/>
      <c r="F12" s="804"/>
      <c r="G12" s="804" t="s">
        <v>584</v>
      </c>
      <c r="H12" s="804" t="s">
        <v>518</v>
      </c>
      <c r="I12" s="804"/>
      <c r="J12" s="804"/>
      <c r="K12" s="804"/>
      <c r="L12" s="804"/>
      <c r="M12" s="804"/>
      <c r="N12" s="804" t="s">
        <v>244</v>
      </c>
      <c r="O12" s="804" t="s">
        <v>26</v>
      </c>
      <c r="P12" s="848">
        <v>39373.4</v>
      </c>
      <c r="Q12" s="849">
        <f t="shared" si="0"/>
        <v>6.0393355801341572E-2</v>
      </c>
      <c r="R12" s="807">
        <f t="array" ref="R12">INDEX('County Pops'!$D$2:$D$642,MATCH(1,IF('County Pops'!$A$2:$A$642='Inputs TO'!$D$5,IF('County Pops'!$B$2:$B$642='Calibration Data'!N12,IF('County Pops'!$C$2:$C$642='Calibration Data'!O12,1))),0))</f>
        <v>3310</v>
      </c>
      <c r="S12" s="808">
        <f t="shared" si="1"/>
        <v>5.2911744489026011E-2</v>
      </c>
      <c r="T12" s="807" t="e">
        <f t="shared" si="2"/>
        <v>#REF!</v>
      </c>
      <c r="U12" s="808" t="e">
        <f t="shared" si="1"/>
        <v>#REF!</v>
      </c>
    </row>
    <row r="13" spans="1:21" s="583" customFormat="1" ht="12.75" customHeight="1" x14ac:dyDescent="0.25">
      <c r="A13" s="804"/>
      <c r="B13" s="804"/>
      <c r="C13" s="804"/>
      <c r="D13" s="804"/>
      <c r="E13" s="804"/>
      <c r="F13" s="804"/>
      <c r="G13" s="804" t="s">
        <v>584</v>
      </c>
      <c r="H13" s="804" t="s">
        <v>518</v>
      </c>
      <c r="I13" s="804"/>
      <c r="J13" s="804"/>
      <c r="K13" s="804"/>
      <c r="L13" s="804"/>
      <c r="M13" s="804"/>
      <c r="N13" s="804" t="s">
        <v>4</v>
      </c>
      <c r="O13" s="804" t="s">
        <v>26</v>
      </c>
      <c r="P13" s="848">
        <v>59712.800000000003</v>
      </c>
      <c r="Q13" s="849">
        <f t="shared" si="0"/>
        <v>9.159118532548241E-2</v>
      </c>
      <c r="R13" s="807">
        <f t="array" ref="R13">INDEX('County Pops'!$D$2:$D$642,MATCH(1,IF('County Pops'!$A$2:$A$642='Inputs TO'!$D$5,IF('County Pops'!$B$2:$B$642='Calibration Data'!N13,IF('County Pops'!$C$2:$C$642='Calibration Data'!O13,1))),0))</f>
        <v>5037</v>
      </c>
      <c r="S13" s="808">
        <f t="shared" si="1"/>
        <v>8.0518567066835051E-2</v>
      </c>
      <c r="T13" s="807" t="e">
        <f t="shared" si="2"/>
        <v>#REF!</v>
      </c>
      <c r="U13" s="808" t="e">
        <f t="shared" si="1"/>
        <v>#REF!</v>
      </c>
    </row>
    <row r="14" spans="1:21" s="583" customFormat="1" ht="12.75" customHeight="1" x14ac:dyDescent="0.25">
      <c r="A14" s="804"/>
      <c r="B14" s="804"/>
      <c r="C14" s="804"/>
      <c r="D14" s="804"/>
      <c r="E14" s="804"/>
      <c r="F14" s="804"/>
      <c r="G14" s="804" t="s">
        <v>584</v>
      </c>
      <c r="H14" s="804" t="s">
        <v>518</v>
      </c>
      <c r="I14" s="804"/>
      <c r="J14" s="804"/>
      <c r="K14" s="804"/>
      <c r="L14" s="804"/>
      <c r="M14" s="804"/>
      <c r="N14" s="804" t="s">
        <v>5</v>
      </c>
      <c r="O14" s="804" t="s">
        <v>26</v>
      </c>
      <c r="P14" s="848">
        <v>54951</v>
      </c>
      <c r="Q14" s="849">
        <f t="shared" si="0"/>
        <v>8.4287242012107688E-2</v>
      </c>
      <c r="R14" s="807">
        <f t="array" ref="R14">INDEX('County Pops'!$D$2:$D$642,MATCH(1,IF('County Pops'!$A$2:$A$642='Inputs TO'!$D$5,IF('County Pops'!$B$2:$B$642='Calibration Data'!N14,IF('County Pops'!$C$2:$C$642='Calibration Data'!O14,1))),0))</f>
        <v>4880</v>
      </c>
      <c r="S14" s="808">
        <f t="shared" si="1"/>
        <v>7.800885592339786E-2</v>
      </c>
      <c r="T14" s="807" t="e">
        <f t="shared" si="2"/>
        <v>#REF!</v>
      </c>
      <c r="U14" s="808" t="e">
        <f t="shared" si="1"/>
        <v>#REF!</v>
      </c>
    </row>
    <row r="15" spans="1:21" s="583" customFormat="1" ht="12.75" customHeight="1" x14ac:dyDescent="0.25">
      <c r="A15" s="804"/>
      <c r="B15" s="804"/>
      <c r="C15" s="804"/>
      <c r="D15" s="804"/>
      <c r="E15" s="804"/>
      <c r="F15" s="804"/>
      <c r="G15" s="804" t="s">
        <v>584</v>
      </c>
      <c r="H15" s="804" t="s">
        <v>518</v>
      </c>
      <c r="I15" s="804"/>
      <c r="J15" s="804"/>
      <c r="K15" s="804"/>
      <c r="L15" s="804"/>
      <c r="M15" s="804"/>
      <c r="N15" s="804" t="s">
        <v>6</v>
      </c>
      <c r="O15" s="804" t="s">
        <v>26</v>
      </c>
      <c r="P15" s="848">
        <v>70272</v>
      </c>
      <c r="Q15" s="849">
        <f t="shared" si="0"/>
        <v>0.10778753927453243</v>
      </c>
      <c r="R15" s="807">
        <f t="array" ref="R15">INDEX('County Pops'!$D$2:$D$642,MATCH(1,IF('County Pops'!$A$2:$A$642='Inputs TO'!$D$5,IF('County Pops'!$B$2:$B$642='Calibration Data'!N15,IF('County Pops'!$C$2:$C$642='Calibration Data'!O15,1))),0))</f>
        <v>6544</v>
      </c>
      <c r="S15" s="808">
        <f t="shared" si="1"/>
        <v>0.10460859695957286</v>
      </c>
      <c r="T15" s="807" t="e">
        <f t="shared" si="2"/>
        <v>#REF!</v>
      </c>
      <c r="U15" s="808" t="e">
        <f t="shared" si="1"/>
        <v>#REF!</v>
      </c>
    </row>
    <row r="16" spans="1:21" s="583" customFormat="1" ht="12.75" customHeight="1" x14ac:dyDescent="0.25">
      <c r="A16" s="804"/>
      <c r="B16" s="804"/>
      <c r="C16" s="804"/>
      <c r="D16" s="804"/>
      <c r="E16" s="804"/>
      <c r="F16" s="804"/>
      <c r="G16" s="804" t="s">
        <v>584</v>
      </c>
      <c r="H16" s="804" t="s">
        <v>518</v>
      </c>
      <c r="I16" s="804"/>
      <c r="J16" s="804"/>
      <c r="K16" s="804"/>
      <c r="L16" s="804"/>
      <c r="M16" s="804"/>
      <c r="N16" s="804" t="s">
        <v>7</v>
      </c>
      <c r="O16" s="804" t="s">
        <v>26</v>
      </c>
      <c r="P16" s="848">
        <v>44455</v>
      </c>
      <c r="Q16" s="849">
        <f t="shared" si="0"/>
        <v>6.8187828131394276E-2</v>
      </c>
      <c r="R16" s="807">
        <f t="array" ref="R16">INDEX('County Pops'!$D$2:$D$642,MATCH(1,IF('County Pops'!$A$2:$A$642='Inputs TO'!$D$5,IF('County Pops'!$B$2:$B$642='Calibration Data'!N16,IF('County Pops'!$C$2:$C$642='Calibration Data'!O16,1))),0))</f>
        <v>4809</v>
      </c>
      <c r="S16" s="808">
        <f t="shared" si="1"/>
        <v>7.6873891011397605E-2</v>
      </c>
      <c r="T16" s="807" t="e">
        <f t="shared" si="2"/>
        <v>#REF!</v>
      </c>
      <c r="U16" s="808" t="e">
        <f t="shared" si="1"/>
        <v>#REF!</v>
      </c>
    </row>
    <row r="17" spans="1:21" s="583" customFormat="1" ht="12.75" customHeight="1" x14ac:dyDescent="0.25">
      <c r="A17" s="804"/>
      <c r="B17" s="804"/>
      <c r="C17" s="804"/>
      <c r="D17" s="804"/>
      <c r="E17" s="804"/>
      <c r="F17" s="804"/>
      <c r="G17" s="804" t="s">
        <v>584</v>
      </c>
      <c r="H17" s="804" t="s">
        <v>518</v>
      </c>
      <c r="I17" s="804"/>
      <c r="J17" s="804"/>
      <c r="K17" s="804"/>
      <c r="L17" s="804"/>
      <c r="M17" s="804"/>
      <c r="N17" s="804" t="s">
        <v>8</v>
      </c>
      <c r="O17" s="804" t="s">
        <v>26</v>
      </c>
      <c r="P17" s="848">
        <v>25872.400000000001</v>
      </c>
      <c r="Q17" s="849">
        <f t="shared" si="0"/>
        <v>3.9684687089116759E-2</v>
      </c>
      <c r="R17" s="850">
        <f t="array" ref="R17">INDEX('County Pops'!$D$2:$D$642,MATCH(1,IF('County Pops'!$A$2:$A$642='Inputs TO'!$D$5,IF('County Pops'!$B$2:$B$642='Calibration Data'!N17,IF('County Pops'!$C$2:$C$642='Calibration Data'!O17,1))),0))</f>
        <v>3105</v>
      </c>
      <c r="S17" s="808">
        <f t="shared" si="1"/>
        <v>4.9634733123391464E-2</v>
      </c>
      <c r="T17" s="850" t="e">
        <f t="shared" si="2"/>
        <v>#REF!</v>
      </c>
      <c r="U17" s="808" t="e">
        <f t="shared" si="1"/>
        <v>#REF!</v>
      </c>
    </row>
    <row r="18" spans="1:21" s="582" customFormat="1" ht="12.75" customHeight="1" x14ac:dyDescent="0.25">
      <c r="A18" s="813"/>
      <c r="B18" s="813"/>
      <c r="C18" s="813"/>
      <c r="D18" s="813"/>
      <c r="E18" s="813"/>
      <c r="F18" s="813"/>
      <c r="G18" s="813" t="s">
        <v>584</v>
      </c>
      <c r="H18" s="813" t="s">
        <v>518</v>
      </c>
      <c r="I18" s="813"/>
      <c r="J18" s="813"/>
      <c r="K18" s="813"/>
      <c r="L18" s="813"/>
      <c r="M18" s="813"/>
      <c r="N18" s="813" t="s">
        <v>9</v>
      </c>
      <c r="O18" s="813" t="s">
        <v>26</v>
      </c>
      <c r="P18" s="851">
        <v>13268.2</v>
      </c>
      <c r="Q18" s="852">
        <f t="shared" si="0"/>
        <v>2.0351585675693749E-2</v>
      </c>
      <c r="R18" s="853">
        <f t="array" ref="R18">INDEX('County Pops'!$D$2:$D$642,MATCH(1,IF('County Pops'!$A$2:$A$642='Inputs TO'!$D$5,IF('County Pops'!$B$2:$B$642='Calibration Data'!N18,IF('County Pops'!$C$2:$C$642='Calibration Data'!O18,1))),0))</f>
        <v>1578</v>
      </c>
      <c r="S18" s="852">
        <f t="shared" si="1"/>
        <v>2.5224994804738079E-2</v>
      </c>
      <c r="T18" s="853" t="e">
        <f t="shared" si="2"/>
        <v>#REF!</v>
      </c>
      <c r="U18" s="852" t="e">
        <f t="shared" si="1"/>
        <v>#REF!</v>
      </c>
    </row>
    <row r="19" spans="1:21" s="769" customFormat="1" ht="12.75" customHeight="1" x14ac:dyDescent="0.25">
      <c r="A19" s="854" t="s">
        <v>265</v>
      </c>
      <c r="B19" s="854" t="s">
        <v>266</v>
      </c>
      <c r="C19" s="854" t="s">
        <v>267</v>
      </c>
      <c r="D19" s="854" t="s">
        <v>268</v>
      </c>
      <c r="E19" s="854" t="s">
        <v>269</v>
      </c>
      <c r="F19" s="854" t="s">
        <v>270</v>
      </c>
      <c r="G19" s="854" t="s">
        <v>511</v>
      </c>
      <c r="H19" s="854" t="s">
        <v>516</v>
      </c>
      <c r="I19" s="854"/>
      <c r="J19" s="854"/>
      <c r="K19" s="854"/>
      <c r="L19" s="854" t="s">
        <v>318</v>
      </c>
      <c r="M19" s="854" t="s">
        <v>504</v>
      </c>
      <c r="N19" s="854" t="s">
        <v>505</v>
      </c>
      <c r="O19" s="855" t="s">
        <v>69</v>
      </c>
      <c r="P19" s="856" t="s">
        <v>506</v>
      </c>
      <c r="Q19" s="857" t="s">
        <v>605</v>
      </c>
      <c r="R19" s="858" t="s">
        <v>507</v>
      </c>
      <c r="S19" s="854" t="s">
        <v>508</v>
      </c>
      <c r="T19" s="854"/>
      <c r="U19" s="859" t="s">
        <v>517</v>
      </c>
    </row>
    <row r="20" spans="1:21" s="583" customFormat="1" ht="12.75" customHeight="1" x14ac:dyDescent="0.25">
      <c r="A20" s="804" t="s">
        <v>308</v>
      </c>
      <c r="B20" s="804">
        <v>6</v>
      </c>
      <c r="C20" s="804" t="s">
        <v>607</v>
      </c>
      <c r="D20" s="804" t="s">
        <v>297</v>
      </c>
      <c r="E20" s="804">
        <v>1</v>
      </c>
      <c r="F20" s="804" t="s">
        <v>317</v>
      </c>
      <c r="G20" s="804" t="s">
        <v>584</v>
      </c>
      <c r="H20" s="804" t="s">
        <v>518</v>
      </c>
      <c r="I20" s="804"/>
      <c r="J20" s="804"/>
      <c r="K20" s="804"/>
      <c r="L20" s="804" t="s">
        <v>155</v>
      </c>
      <c r="M20" s="804" t="s">
        <v>455</v>
      </c>
      <c r="N20" s="804" t="s">
        <v>249</v>
      </c>
      <c r="O20" s="804" t="s">
        <v>27</v>
      </c>
      <c r="P20" s="804">
        <f>S20/P3*100000</f>
        <v>3.2552083333333335</v>
      </c>
      <c r="Q20" s="804">
        <v>2.4678764745561939</v>
      </c>
      <c r="R20" s="804">
        <f>IF(S20&lt;10, 1, P20/Q20)</f>
        <v>1</v>
      </c>
      <c r="S20" s="860">
        <v>0.6</v>
      </c>
      <c r="T20" s="804"/>
      <c r="U20" s="861" t="s">
        <v>623</v>
      </c>
    </row>
    <row r="21" spans="1:21" s="583" customFormat="1" ht="12.75" customHeight="1" x14ac:dyDescent="0.25">
      <c r="A21" s="804" t="s">
        <v>308</v>
      </c>
      <c r="B21" s="804">
        <v>6</v>
      </c>
      <c r="C21" s="804" t="s">
        <v>607</v>
      </c>
      <c r="D21" s="804" t="s">
        <v>297</v>
      </c>
      <c r="E21" s="804">
        <v>1</v>
      </c>
      <c r="F21" s="804" t="s">
        <v>317</v>
      </c>
      <c r="G21" s="804" t="s">
        <v>584</v>
      </c>
      <c r="H21" s="804" t="s">
        <v>518</v>
      </c>
      <c r="I21" s="804"/>
      <c r="J21" s="804"/>
      <c r="K21" s="804"/>
      <c r="L21" s="804" t="s">
        <v>155</v>
      </c>
      <c r="M21" s="804" t="s">
        <v>455</v>
      </c>
      <c r="N21" s="804" t="s">
        <v>249</v>
      </c>
      <c r="O21" s="804" t="s">
        <v>26</v>
      </c>
      <c r="P21" s="804">
        <f>S21/P11*100000</f>
        <v>2.0828777038356194</v>
      </c>
      <c r="Q21" s="804">
        <v>1.56963694297509</v>
      </c>
      <c r="R21" s="804">
        <f t="shared" ref="R21:R84" si="3">IF(S21&lt;10, 1, P21/Q21)</f>
        <v>1</v>
      </c>
      <c r="S21" s="860">
        <v>0.4</v>
      </c>
      <c r="T21" s="804"/>
      <c r="U21" s="861" t="s">
        <v>623</v>
      </c>
    </row>
    <row r="22" spans="1:21" s="583" customFormat="1" ht="12.75" customHeight="1" x14ac:dyDescent="0.25">
      <c r="A22" s="804" t="s">
        <v>308</v>
      </c>
      <c r="B22" s="804">
        <v>6</v>
      </c>
      <c r="C22" s="804" t="s">
        <v>607</v>
      </c>
      <c r="D22" s="804" t="s">
        <v>297</v>
      </c>
      <c r="E22" s="804">
        <v>1</v>
      </c>
      <c r="F22" s="804" t="s">
        <v>317</v>
      </c>
      <c r="G22" s="804" t="s">
        <v>584</v>
      </c>
      <c r="H22" s="804" t="s">
        <v>518</v>
      </c>
      <c r="I22" s="804"/>
      <c r="J22" s="804"/>
      <c r="K22" s="804"/>
      <c r="L22" s="804" t="s">
        <v>319</v>
      </c>
      <c r="M22" s="804" t="s">
        <v>456</v>
      </c>
      <c r="N22" s="804" t="s">
        <v>249</v>
      </c>
      <c r="O22" s="804" t="s">
        <v>27</v>
      </c>
      <c r="P22" s="804">
        <f>S22/P$3*100000</f>
        <v>134.54861111111111</v>
      </c>
      <c r="Q22" s="804">
        <v>129.97482765995954</v>
      </c>
      <c r="R22" s="804">
        <f t="shared" si="3"/>
        <v>1.0351897635372713</v>
      </c>
      <c r="S22" s="862">
        <v>24.8</v>
      </c>
      <c r="T22" s="804"/>
      <c r="U22" s="861" t="s">
        <v>623</v>
      </c>
    </row>
    <row r="23" spans="1:21" s="583" customFormat="1" ht="12.75" customHeight="1" x14ac:dyDescent="0.25">
      <c r="A23" s="804" t="s">
        <v>308</v>
      </c>
      <c r="B23" s="804">
        <v>6</v>
      </c>
      <c r="C23" s="804" t="s">
        <v>607</v>
      </c>
      <c r="D23" s="804" t="s">
        <v>297</v>
      </c>
      <c r="E23" s="804">
        <v>1</v>
      </c>
      <c r="F23" s="804" t="s">
        <v>317</v>
      </c>
      <c r="G23" s="804" t="s">
        <v>584</v>
      </c>
      <c r="H23" s="804" t="s">
        <v>518</v>
      </c>
      <c r="I23" s="804"/>
      <c r="J23" s="804"/>
      <c r="K23" s="804"/>
      <c r="L23" s="804" t="s">
        <v>319</v>
      </c>
      <c r="M23" s="804" t="s">
        <v>456</v>
      </c>
      <c r="N23" s="804" t="s">
        <v>244</v>
      </c>
      <c r="O23" s="804" t="s">
        <v>27</v>
      </c>
      <c r="P23" s="804">
        <f>S23/P$4*100000</f>
        <v>16.861362714257865</v>
      </c>
      <c r="Q23" s="804">
        <v>12.281751298498062</v>
      </c>
      <c r="R23" s="804">
        <f t="shared" si="3"/>
        <v>1</v>
      </c>
      <c r="S23" s="862">
        <v>6.4</v>
      </c>
      <c r="T23" s="804"/>
      <c r="U23" s="861" t="s">
        <v>623</v>
      </c>
    </row>
    <row r="24" spans="1:21" s="583" customFormat="1" ht="12.75" customHeight="1" x14ac:dyDescent="0.25">
      <c r="A24" s="804" t="s">
        <v>308</v>
      </c>
      <c r="B24" s="804">
        <v>6</v>
      </c>
      <c r="C24" s="804" t="s">
        <v>607</v>
      </c>
      <c r="D24" s="804" t="s">
        <v>297</v>
      </c>
      <c r="E24" s="804">
        <v>1</v>
      </c>
      <c r="F24" s="804" t="s">
        <v>317</v>
      </c>
      <c r="G24" s="804" t="s">
        <v>584</v>
      </c>
      <c r="H24" s="804" t="s">
        <v>518</v>
      </c>
      <c r="I24" s="804"/>
      <c r="J24" s="804"/>
      <c r="K24" s="804"/>
      <c r="L24" s="804" t="s">
        <v>319</v>
      </c>
      <c r="M24" s="804" t="s">
        <v>456</v>
      </c>
      <c r="N24" s="804" t="s">
        <v>4</v>
      </c>
      <c r="O24" s="804" t="s">
        <v>27</v>
      </c>
      <c r="P24" s="804">
        <f>S24/P$5*100000</f>
        <v>52.959385372766938</v>
      </c>
      <c r="Q24" s="804">
        <v>52.583775515081975</v>
      </c>
      <c r="R24" s="804">
        <f t="shared" si="3"/>
        <v>1.0071430751026471</v>
      </c>
      <c r="S24" s="862">
        <v>28.4</v>
      </c>
      <c r="T24" s="804"/>
      <c r="U24" s="861" t="s">
        <v>623</v>
      </c>
    </row>
    <row r="25" spans="1:21" s="583" customFormat="1" ht="12.75" customHeight="1" x14ac:dyDescent="0.25">
      <c r="A25" s="804" t="s">
        <v>308</v>
      </c>
      <c r="B25" s="804">
        <v>6</v>
      </c>
      <c r="C25" s="804" t="s">
        <v>607</v>
      </c>
      <c r="D25" s="804" t="s">
        <v>297</v>
      </c>
      <c r="E25" s="804">
        <v>1</v>
      </c>
      <c r="F25" s="804" t="s">
        <v>317</v>
      </c>
      <c r="G25" s="804" t="s">
        <v>584</v>
      </c>
      <c r="H25" s="804" t="s">
        <v>518</v>
      </c>
      <c r="I25" s="804"/>
      <c r="J25" s="804"/>
      <c r="K25" s="804"/>
      <c r="L25" s="804" t="s">
        <v>319</v>
      </c>
      <c r="M25" s="804" t="s">
        <v>456</v>
      </c>
      <c r="N25" s="804" t="s">
        <v>5</v>
      </c>
      <c r="O25" s="804" t="s">
        <v>27</v>
      </c>
      <c r="P25" s="804">
        <f>S25/P$6*100000</f>
        <v>135.90471226424199</v>
      </c>
      <c r="Q25" s="804">
        <v>139.43436127443005</v>
      </c>
      <c r="R25" s="804">
        <f t="shared" si="3"/>
        <v>0.97468594557376631</v>
      </c>
      <c r="S25" s="862">
        <v>70.400000000000006</v>
      </c>
      <c r="T25" s="804"/>
      <c r="U25" s="861" t="s">
        <v>623</v>
      </c>
    </row>
    <row r="26" spans="1:21" s="583" customFormat="1" ht="12.75" customHeight="1" x14ac:dyDescent="0.25">
      <c r="A26" s="804" t="s">
        <v>308</v>
      </c>
      <c r="B26" s="804">
        <v>6</v>
      </c>
      <c r="C26" s="804" t="s">
        <v>607</v>
      </c>
      <c r="D26" s="804" t="s">
        <v>297</v>
      </c>
      <c r="E26" s="804">
        <v>1</v>
      </c>
      <c r="F26" s="804" t="s">
        <v>317</v>
      </c>
      <c r="G26" s="804" t="s">
        <v>584</v>
      </c>
      <c r="H26" s="804" t="s">
        <v>518</v>
      </c>
      <c r="I26" s="804"/>
      <c r="J26" s="804"/>
      <c r="K26" s="804"/>
      <c r="L26" s="804" t="s">
        <v>319</v>
      </c>
      <c r="M26" s="804" t="s">
        <v>456</v>
      </c>
      <c r="N26" s="804" t="s">
        <v>6</v>
      </c>
      <c r="O26" s="804" t="s">
        <v>27</v>
      </c>
      <c r="P26" s="804">
        <f>S26/P$7*100000</f>
        <v>448.2921541924905</v>
      </c>
      <c r="Q26" s="804">
        <v>451.14355995185014</v>
      </c>
      <c r="R26" s="804">
        <f t="shared" si="3"/>
        <v>0.99367960442644032</v>
      </c>
      <c r="S26" s="862">
        <v>322.60000000000002</v>
      </c>
      <c r="T26" s="804"/>
      <c r="U26" s="861" t="s">
        <v>623</v>
      </c>
    </row>
    <row r="27" spans="1:21" s="583" customFormat="1" ht="12.75" customHeight="1" x14ac:dyDescent="0.25">
      <c r="A27" s="804" t="s">
        <v>308</v>
      </c>
      <c r="B27" s="804">
        <v>6</v>
      </c>
      <c r="C27" s="804" t="s">
        <v>607</v>
      </c>
      <c r="D27" s="804" t="s">
        <v>297</v>
      </c>
      <c r="E27" s="804">
        <v>1</v>
      </c>
      <c r="F27" s="804" t="s">
        <v>317</v>
      </c>
      <c r="G27" s="804" t="s">
        <v>584</v>
      </c>
      <c r="H27" s="804" t="s">
        <v>518</v>
      </c>
      <c r="I27" s="804"/>
      <c r="J27" s="804"/>
      <c r="K27" s="804"/>
      <c r="L27" s="804" t="s">
        <v>319</v>
      </c>
      <c r="M27" s="804" t="s">
        <v>456</v>
      </c>
      <c r="N27" s="804" t="s">
        <v>7</v>
      </c>
      <c r="O27" s="804" t="s">
        <v>27</v>
      </c>
      <c r="P27" s="804">
        <f>S27/P$8*100000</f>
        <v>1018.7582282619259</v>
      </c>
      <c r="Q27" s="804">
        <v>1025.8805679746849</v>
      </c>
      <c r="R27" s="804">
        <f t="shared" si="3"/>
        <v>0.99305734026445192</v>
      </c>
      <c r="S27" s="862">
        <v>461.2</v>
      </c>
      <c r="T27" s="804"/>
      <c r="U27" s="861" t="s">
        <v>623</v>
      </c>
    </row>
    <row r="28" spans="1:21" s="583" customFormat="1" ht="12.75" customHeight="1" x14ac:dyDescent="0.25">
      <c r="A28" s="804" t="s">
        <v>308</v>
      </c>
      <c r="B28" s="804">
        <v>6</v>
      </c>
      <c r="C28" s="804" t="s">
        <v>607</v>
      </c>
      <c r="D28" s="804" t="s">
        <v>297</v>
      </c>
      <c r="E28" s="804">
        <v>1</v>
      </c>
      <c r="F28" s="804" t="s">
        <v>317</v>
      </c>
      <c r="G28" s="804" t="s">
        <v>584</v>
      </c>
      <c r="H28" s="804" t="s">
        <v>518</v>
      </c>
      <c r="I28" s="804"/>
      <c r="J28" s="804"/>
      <c r="K28" s="804"/>
      <c r="L28" s="804" t="s">
        <v>319</v>
      </c>
      <c r="M28" s="804" t="s">
        <v>456</v>
      </c>
      <c r="N28" s="804" t="s">
        <v>8</v>
      </c>
      <c r="O28" s="804" t="s">
        <v>27</v>
      </c>
      <c r="P28" s="804">
        <f>S28/P$9*100000</f>
        <v>2588.9225763514014</v>
      </c>
      <c r="Q28" s="804">
        <v>2577.5323354163638</v>
      </c>
      <c r="R28" s="804">
        <f t="shared" si="3"/>
        <v>1.0044190487073745</v>
      </c>
      <c r="S28" s="862">
        <v>700.2</v>
      </c>
      <c r="T28" s="804"/>
      <c r="U28" s="861" t="s">
        <v>623</v>
      </c>
    </row>
    <row r="29" spans="1:21" s="583" customFormat="1" ht="12.75" customHeight="1" x14ac:dyDescent="0.25">
      <c r="A29" s="804" t="s">
        <v>308</v>
      </c>
      <c r="B29" s="804">
        <v>6</v>
      </c>
      <c r="C29" s="804" t="s">
        <v>607</v>
      </c>
      <c r="D29" s="804" t="s">
        <v>297</v>
      </c>
      <c r="E29" s="804">
        <v>1</v>
      </c>
      <c r="F29" s="804" t="s">
        <v>317</v>
      </c>
      <c r="G29" s="804" t="s">
        <v>584</v>
      </c>
      <c r="H29" s="804" t="s">
        <v>518</v>
      </c>
      <c r="I29" s="804"/>
      <c r="J29" s="804"/>
      <c r="K29" s="804"/>
      <c r="L29" s="804" t="s">
        <v>319</v>
      </c>
      <c r="M29" s="804" t="s">
        <v>456</v>
      </c>
      <c r="N29" s="804" t="s">
        <v>9</v>
      </c>
      <c r="O29" s="804" t="s">
        <v>27</v>
      </c>
      <c r="P29" s="804">
        <f>S29/P$10*100000</f>
        <v>9729.1126545679563</v>
      </c>
      <c r="Q29" s="804">
        <v>10032.422944718472</v>
      </c>
      <c r="R29" s="804">
        <f t="shared" si="3"/>
        <v>0.96976699528899035</v>
      </c>
      <c r="S29" s="862">
        <v>1823.8</v>
      </c>
      <c r="T29" s="804"/>
      <c r="U29" s="861" t="s">
        <v>623</v>
      </c>
    </row>
    <row r="30" spans="1:21" s="583" customFormat="1" ht="12.75" customHeight="1" x14ac:dyDescent="0.25">
      <c r="A30" s="804" t="s">
        <v>308</v>
      </c>
      <c r="B30" s="804">
        <v>6</v>
      </c>
      <c r="C30" s="804" t="s">
        <v>607</v>
      </c>
      <c r="D30" s="804" t="s">
        <v>297</v>
      </c>
      <c r="E30" s="804">
        <v>1</v>
      </c>
      <c r="F30" s="804" t="s">
        <v>317</v>
      </c>
      <c r="G30" s="804" t="s">
        <v>584</v>
      </c>
      <c r="H30" s="804" t="s">
        <v>518</v>
      </c>
      <c r="I30" s="804"/>
      <c r="J30" s="804"/>
      <c r="K30" s="804"/>
      <c r="L30" s="804" t="s">
        <v>319</v>
      </c>
      <c r="M30" s="804" t="s">
        <v>456</v>
      </c>
      <c r="N30" s="804" t="s">
        <v>249</v>
      </c>
      <c r="O30" s="804" t="s">
        <v>26</v>
      </c>
      <c r="P30" s="804">
        <f>S30/P$11*100000</f>
        <v>141.6356838608221</v>
      </c>
      <c r="Q30" s="804">
        <v>142.83696181073319</v>
      </c>
      <c r="R30" s="804">
        <f t="shared" si="3"/>
        <v>0.99158986627352907</v>
      </c>
      <c r="S30" s="862">
        <v>27.2</v>
      </c>
      <c r="T30" s="804"/>
      <c r="U30" s="861" t="s">
        <v>623</v>
      </c>
    </row>
    <row r="31" spans="1:21" s="583" customFormat="1" ht="12.75" customHeight="1" x14ac:dyDescent="0.25">
      <c r="A31" s="804" t="s">
        <v>308</v>
      </c>
      <c r="B31" s="804">
        <v>6</v>
      </c>
      <c r="C31" s="804" t="s">
        <v>607</v>
      </c>
      <c r="D31" s="804" t="s">
        <v>297</v>
      </c>
      <c r="E31" s="804">
        <v>1</v>
      </c>
      <c r="F31" s="804" t="s">
        <v>317</v>
      </c>
      <c r="G31" s="804" t="s">
        <v>584</v>
      </c>
      <c r="H31" s="804" t="s">
        <v>518</v>
      </c>
      <c r="I31" s="804"/>
      <c r="J31" s="804"/>
      <c r="K31" s="804"/>
      <c r="L31" s="804" t="s">
        <v>319</v>
      </c>
      <c r="M31" s="804" t="s">
        <v>456</v>
      </c>
      <c r="N31" s="804" t="s">
        <v>244</v>
      </c>
      <c r="O31" s="804" t="s">
        <v>26</v>
      </c>
      <c r="P31" s="804">
        <f>S31/P$12*100000</f>
        <v>15.238714462047982</v>
      </c>
      <c r="Q31" s="804">
        <v>12.971950065622805</v>
      </c>
      <c r="R31" s="804">
        <f t="shared" si="3"/>
        <v>1</v>
      </c>
      <c r="S31" s="862">
        <v>6</v>
      </c>
      <c r="T31" s="804"/>
      <c r="U31" s="861" t="s">
        <v>623</v>
      </c>
    </row>
    <row r="32" spans="1:21" s="583" customFormat="1" ht="12.75" customHeight="1" x14ac:dyDescent="0.25">
      <c r="A32" s="804" t="s">
        <v>308</v>
      </c>
      <c r="B32" s="804">
        <v>6</v>
      </c>
      <c r="C32" s="804" t="s">
        <v>607</v>
      </c>
      <c r="D32" s="804" t="s">
        <v>297</v>
      </c>
      <c r="E32" s="804">
        <v>1</v>
      </c>
      <c r="F32" s="804" t="s">
        <v>317</v>
      </c>
      <c r="G32" s="804" t="s">
        <v>584</v>
      </c>
      <c r="H32" s="804" t="s">
        <v>518</v>
      </c>
      <c r="I32" s="804"/>
      <c r="J32" s="804"/>
      <c r="K32" s="804"/>
      <c r="L32" s="804" t="s">
        <v>319</v>
      </c>
      <c r="M32" s="804" t="s">
        <v>456</v>
      </c>
      <c r="N32" s="804" t="s">
        <v>4</v>
      </c>
      <c r="O32" s="804" t="s">
        <v>26</v>
      </c>
      <c r="P32" s="804">
        <f>S32/P$13*100000</f>
        <v>124.261464878552</v>
      </c>
      <c r="Q32" s="804">
        <v>123.87329384496523</v>
      </c>
      <c r="R32" s="804">
        <f t="shared" si="3"/>
        <v>1.0031336135621984</v>
      </c>
      <c r="S32" s="862">
        <v>74.2</v>
      </c>
      <c r="T32" s="804"/>
      <c r="U32" s="861" t="s">
        <v>623</v>
      </c>
    </row>
    <row r="33" spans="1:21" s="583" customFormat="1" ht="12.75" customHeight="1" x14ac:dyDescent="0.25">
      <c r="A33" s="804" t="s">
        <v>308</v>
      </c>
      <c r="B33" s="804">
        <v>6</v>
      </c>
      <c r="C33" s="804" t="s">
        <v>607</v>
      </c>
      <c r="D33" s="804" t="s">
        <v>297</v>
      </c>
      <c r="E33" s="804">
        <v>1</v>
      </c>
      <c r="F33" s="804" t="s">
        <v>317</v>
      </c>
      <c r="G33" s="804" t="s">
        <v>584</v>
      </c>
      <c r="H33" s="804" t="s">
        <v>518</v>
      </c>
      <c r="I33" s="804"/>
      <c r="J33" s="804"/>
      <c r="K33" s="804"/>
      <c r="L33" s="804" t="s">
        <v>319</v>
      </c>
      <c r="M33" s="804" t="s">
        <v>456</v>
      </c>
      <c r="N33" s="804" t="s">
        <v>5</v>
      </c>
      <c r="O33" s="804" t="s">
        <v>26</v>
      </c>
      <c r="P33" s="804">
        <f>S33/P$14*100000</f>
        <v>227.47538716310893</v>
      </c>
      <c r="Q33" s="804">
        <v>223.26641828393488</v>
      </c>
      <c r="R33" s="804">
        <f t="shared" si="3"/>
        <v>1.0188517776722756</v>
      </c>
      <c r="S33" s="862">
        <v>125</v>
      </c>
      <c r="T33" s="804"/>
      <c r="U33" s="861" t="s">
        <v>623</v>
      </c>
    </row>
    <row r="34" spans="1:21" s="583" customFormat="1" ht="12.75" customHeight="1" x14ac:dyDescent="0.25">
      <c r="A34" s="804" t="s">
        <v>308</v>
      </c>
      <c r="B34" s="804">
        <v>6</v>
      </c>
      <c r="C34" s="804" t="s">
        <v>607</v>
      </c>
      <c r="D34" s="804" t="s">
        <v>297</v>
      </c>
      <c r="E34" s="804">
        <v>1</v>
      </c>
      <c r="F34" s="804" t="s">
        <v>317</v>
      </c>
      <c r="G34" s="804" t="s">
        <v>584</v>
      </c>
      <c r="H34" s="804" t="s">
        <v>518</v>
      </c>
      <c r="I34" s="804"/>
      <c r="J34" s="804"/>
      <c r="K34" s="804"/>
      <c r="L34" s="804" t="s">
        <v>319</v>
      </c>
      <c r="M34" s="804" t="s">
        <v>456</v>
      </c>
      <c r="N34" s="804" t="s">
        <v>6</v>
      </c>
      <c r="O34" s="804" t="s">
        <v>26</v>
      </c>
      <c r="P34" s="804">
        <f>S34/P$15*100000</f>
        <v>752.21994535519138</v>
      </c>
      <c r="Q34" s="804">
        <v>731.42857142857144</v>
      </c>
      <c r="R34" s="804">
        <f t="shared" si="3"/>
        <v>1.0284257065403006</v>
      </c>
      <c r="S34" s="862">
        <v>528.6</v>
      </c>
      <c r="T34" s="804"/>
      <c r="U34" s="861" t="s">
        <v>623</v>
      </c>
    </row>
    <row r="35" spans="1:21" s="583" customFormat="1" ht="12.75" customHeight="1" x14ac:dyDescent="0.25">
      <c r="A35" s="804" t="s">
        <v>308</v>
      </c>
      <c r="B35" s="804">
        <v>6</v>
      </c>
      <c r="C35" s="804" t="s">
        <v>607</v>
      </c>
      <c r="D35" s="804" t="s">
        <v>297</v>
      </c>
      <c r="E35" s="804">
        <v>1</v>
      </c>
      <c r="F35" s="804" t="s">
        <v>317</v>
      </c>
      <c r="G35" s="804" t="s">
        <v>584</v>
      </c>
      <c r="H35" s="804" t="s">
        <v>518</v>
      </c>
      <c r="I35" s="804"/>
      <c r="J35" s="804"/>
      <c r="K35" s="804"/>
      <c r="L35" s="804" t="s">
        <v>319</v>
      </c>
      <c r="M35" s="804" t="s">
        <v>456</v>
      </c>
      <c r="N35" s="804" t="s">
        <v>7</v>
      </c>
      <c r="O35" s="804" t="s">
        <v>26</v>
      </c>
      <c r="P35" s="804">
        <f>S35/P$16*100000</f>
        <v>1550.331796198403</v>
      </c>
      <c r="Q35" s="804">
        <v>1563.0732047676249</v>
      </c>
      <c r="R35" s="804">
        <f t="shared" si="3"/>
        <v>0.99184848890611232</v>
      </c>
      <c r="S35" s="862">
        <v>689.2</v>
      </c>
      <c r="T35" s="804"/>
      <c r="U35" s="861" t="s">
        <v>623</v>
      </c>
    </row>
    <row r="36" spans="1:21" s="583" customFormat="1" ht="12.75" customHeight="1" x14ac:dyDescent="0.25">
      <c r="A36" s="804" t="s">
        <v>308</v>
      </c>
      <c r="B36" s="804">
        <v>6</v>
      </c>
      <c r="C36" s="804" t="s">
        <v>607</v>
      </c>
      <c r="D36" s="804" t="s">
        <v>297</v>
      </c>
      <c r="E36" s="804">
        <v>1</v>
      </c>
      <c r="F36" s="804" t="s">
        <v>317</v>
      </c>
      <c r="G36" s="804" t="s">
        <v>584</v>
      </c>
      <c r="H36" s="804" t="s">
        <v>518</v>
      </c>
      <c r="I36" s="804"/>
      <c r="J36" s="804"/>
      <c r="K36" s="804"/>
      <c r="L36" s="804" t="s">
        <v>319</v>
      </c>
      <c r="M36" s="804" t="s">
        <v>456</v>
      </c>
      <c r="N36" s="804" t="s">
        <v>8</v>
      </c>
      <c r="O36" s="804" t="s">
        <v>26</v>
      </c>
      <c r="P36" s="804">
        <f>S36/P$17*100000</f>
        <v>3410.5842519441562</v>
      </c>
      <c r="Q36" s="804">
        <v>3524.6839852692342</v>
      </c>
      <c r="R36" s="804">
        <f t="shared" si="3"/>
        <v>0.96762837922436828</v>
      </c>
      <c r="S36" s="862">
        <v>882.4</v>
      </c>
      <c r="T36" s="804"/>
      <c r="U36" s="861" t="s">
        <v>623</v>
      </c>
    </row>
    <row r="37" spans="1:21" s="583" customFormat="1" ht="12.75" customHeight="1" x14ac:dyDescent="0.25">
      <c r="A37" s="804" t="s">
        <v>308</v>
      </c>
      <c r="B37" s="804">
        <v>6</v>
      </c>
      <c r="C37" s="804" t="s">
        <v>607</v>
      </c>
      <c r="D37" s="804" t="s">
        <v>297</v>
      </c>
      <c r="E37" s="804">
        <v>1</v>
      </c>
      <c r="F37" s="804" t="s">
        <v>317</v>
      </c>
      <c r="G37" s="804" t="s">
        <v>584</v>
      </c>
      <c r="H37" s="804" t="s">
        <v>518</v>
      </c>
      <c r="I37" s="804"/>
      <c r="J37" s="804"/>
      <c r="K37" s="804"/>
      <c r="L37" s="804" t="s">
        <v>319</v>
      </c>
      <c r="M37" s="804" t="s">
        <v>456</v>
      </c>
      <c r="N37" s="804" t="s">
        <v>9</v>
      </c>
      <c r="O37" s="804" t="s">
        <v>26</v>
      </c>
      <c r="P37" s="804">
        <f>S37/P$18*100000</f>
        <v>11045.95951221718</v>
      </c>
      <c r="Q37" s="804">
        <v>11248.936195017312</v>
      </c>
      <c r="R37" s="804">
        <f t="shared" si="3"/>
        <v>0.98195592193953063</v>
      </c>
      <c r="S37" s="862">
        <v>1465.6</v>
      </c>
      <c r="T37" s="804"/>
      <c r="U37" s="861" t="s">
        <v>623</v>
      </c>
    </row>
    <row r="38" spans="1:21" s="583" customFormat="1" ht="12.75" customHeight="1" x14ac:dyDescent="0.25">
      <c r="A38" s="804" t="s">
        <v>308</v>
      </c>
      <c r="B38" s="804">
        <v>6</v>
      </c>
      <c r="C38" s="804" t="s">
        <v>607</v>
      </c>
      <c r="D38" s="804" t="s">
        <v>297</v>
      </c>
      <c r="E38" s="804">
        <v>1</v>
      </c>
      <c r="F38" s="804" t="s">
        <v>317</v>
      </c>
      <c r="G38" s="804" t="s">
        <v>584</v>
      </c>
      <c r="H38" s="804" t="s">
        <v>518</v>
      </c>
      <c r="I38" s="804"/>
      <c r="J38" s="804"/>
      <c r="K38" s="804"/>
      <c r="L38" s="804" t="s">
        <v>73</v>
      </c>
      <c r="M38" s="804" t="s">
        <v>457</v>
      </c>
      <c r="N38" s="804" t="s">
        <v>249</v>
      </c>
      <c r="O38" s="804" t="s">
        <v>27</v>
      </c>
      <c r="P38" s="804">
        <f>S38/P$3*100000</f>
        <v>0</v>
      </c>
      <c r="Q38" s="804">
        <v>0</v>
      </c>
      <c r="R38" s="804">
        <f t="shared" si="3"/>
        <v>1</v>
      </c>
      <c r="S38" s="863">
        <v>0</v>
      </c>
      <c r="T38" s="804"/>
      <c r="U38" s="861" t="s">
        <v>623</v>
      </c>
    </row>
    <row r="39" spans="1:21" s="583" customFormat="1" ht="12.75" customHeight="1" x14ac:dyDescent="0.25">
      <c r="A39" s="804" t="s">
        <v>308</v>
      </c>
      <c r="B39" s="804">
        <v>6</v>
      </c>
      <c r="C39" s="804" t="s">
        <v>607</v>
      </c>
      <c r="D39" s="804" t="s">
        <v>297</v>
      </c>
      <c r="E39" s="804">
        <v>1</v>
      </c>
      <c r="F39" s="804" t="s">
        <v>317</v>
      </c>
      <c r="G39" s="804" t="s">
        <v>584</v>
      </c>
      <c r="H39" s="804" t="s">
        <v>518</v>
      </c>
      <c r="I39" s="804"/>
      <c r="J39" s="804"/>
      <c r="K39" s="804"/>
      <c r="L39" s="804" t="s">
        <v>73</v>
      </c>
      <c r="M39" s="804" t="s">
        <v>457</v>
      </c>
      <c r="N39" s="804" t="s">
        <v>244</v>
      </c>
      <c r="O39" s="804" t="s">
        <v>27</v>
      </c>
      <c r="P39" s="804">
        <f>S39/P$4*100000</f>
        <v>0</v>
      </c>
      <c r="Q39" s="804">
        <v>0</v>
      </c>
      <c r="R39" s="804">
        <f t="shared" si="3"/>
        <v>1</v>
      </c>
      <c r="S39" s="863">
        <v>0</v>
      </c>
      <c r="T39" s="804"/>
      <c r="U39" s="861" t="s">
        <v>623</v>
      </c>
    </row>
    <row r="40" spans="1:21" s="583" customFormat="1" ht="12.75" customHeight="1" x14ac:dyDescent="0.25">
      <c r="A40" s="804" t="s">
        <v>308</v>
      </c>
      <c r="B40" s="804">
        <v>6</v>
      </c>
      <c r="C40" s="804" t="s">
        <v>607</v>
      </c>
      <c r="D40" s="804" t="s">
        <v>297</v>
      </c>
      <c r="E40" s="804">
        <v>1</v>
      </c>
      <c r="F40" s="804" t="s">
        <v>317</v>
      </c>
      <c r="G40" s="804" t="s">
        <v>584</v>
      </c>
      <c r="H40" s="804" t="s">
        <v>518</v>
      </c>
      <c r="I40" s="804"/>
      <c r="J40" s="804"/>
      <c r="K40" s="804"/>
      <c r="L40" s="804" t="s">
        <v>73</v>
      </c>
      <c r="M40" s="804" t="s">
        <v>457</v>
      </c>
      <c r="N40" s="804" t="s">
        <v>4</v>
      </c>
      <c r="O40" s="804" t="s">
        <v>27</v>
      </c>
      <c r="P40" s="804">
        <f>S40/P$5*100000</f>
        <v>6.3402081080073103</v>
      </c>
      <c r="Q40" s="804">
        <v>0.28119666050845982</v>
      </c>
      <c r="R40" s="804">
        <f t="shared" si="3"/>
        <v>1</v>
      </c>
      <c r="S40" s="863">
        <v>3.4</v>
      </c>
      <c r="T40" s="804"/>
      <c r="U40" s="861" t="s">
        <v>623</v>
      </c>
    </row>
    <row r="41" spans="1:21" s="583" customFormat="1" ht="12.75" customHeight="1" x14ac:dyDescent="0.25">
      <c r="A41" s="804" t="s">
        <v>308</v>
      </c>
      <c r="B41" s="804">
        <v>6</v>
      </c>
      <c r="C41" s="804" t="s">
        <v>607</v>
      </c>
      <c r="D41" s="804" t="s">
        <v>297</v>
      </c>
      <c r="E41" s="804">
        <v>1</v>
      </c>
      <c r="F41" s="804" t="s">
        <v>317</v>
      </c>
      <c r="G41" s="804" t="s">
        <v>584</v>
      </c>
      <c r="H41" s="804" t="s">
        <v>518</v>
      </c>
      <c r="I41" s="804"/>
      <c r="J41" s="804"/>
      <c r="K41" s="804"/>
      <c r="L41" s="804" t="s">
        <v>73</v>
      </c>
      <c r="M41" s="804" t="s">
        <v>457</v>
      </c>
      <c r="N41" s="804" t="s">
        <v>5</v>
      </c>
      <c r="O41" s="804" t="s">
        <v>27</v>
      </c>
      <c r="P41" s="804">
        <f>S41/P$6*100000</f>
        <v>36.292735661473721</v>
      </c>
      <c r="Q41" s="804">
        <v>8.133671074341752</v>
      </c>
      <c r="R41" s="804">
        <f t="shared" si="3"/>
        <v>4.4620363092825031</v>
      </c>
      <c r="S41" s="863">
        <v>18.8</v>
      </c>
      <c r="T41" s="804"/>
      <c r="U41" s="861" t="s">
        <v>623</v>
      </c>
    </row>
    <row r="42" spans="1:21" s="583" customFormat="1" ht="12.75" customHeight="1" x14ac:dyDescent="0.25">
      <c r="A42" s="804" t="s">
        <v>308</v>
      </c>
      <c r="B42" s="804">
        <v>6</v>
      </c>
      <c r="C42" s="804" t="s">
        <v>607</v>
      </c>
      <c r="D42" s="804" t="s">
        <v>297</v>
      </c>
      <c r="E42" s="804">
        <v>1</v>
      </c>
      <c r="F42" s="804" t="s">
        <v>317</v>
      </c>
      <c r="G42" s="804" t="s">
        <v>584</v>
      </c>
      <c r="H42" s="804" t="s">
        <v>518</v>
      </c>
      <c r="I42" s="804"/>
      <c r="J42" s="804"/>
      <c r="K42" s="804"/>
      <c r="L42" s="804" t="s">
        <v>73</v>
      </c>
      <c r="M42" s="804" t="s">
        <v>457</v>
      </c>
      <c r="N42" s="804" t="s">
        <v>6</v>
      </c>
      <c r="O42" s="804" t="s">
        <v>27</v>
      </c>
      <c r="P42" s="804">
        <f>S42/P$7*100000</f>
        <v>0</v>
      </c>
      <c r="Q42" s="804">
        <v>30.146019783325482</v>
      </c>
      <c r="R42" s="804">
        <f t="shared" si="3"/>
        <v>1</v>
      </c>
      <c r="S42" s="863">
        <v>0</v>
      </c>
      <c r="T42" s="804"/>
      <c r="U42" s="861" t="s">
        <v>623</v>
      </c>
    </row>
    <row r="43" spans="1:21" s="583" customFormat="1" ht="12.75" customHeight="1" x14ac:dyDescent="0.25">
      <c r="A43" s="804" t="s">
        <v>308</v>
      </c>
      <c r="B43" s="804">
        <v>6</v>
      </c>
      <c r="C43" s="804" t="s">
        <v>607</v>
      </c>
      <c r="D43" s="804" t="s">
        <v>297</v>
      </c>
      <c r="E43" s="804">
        <v>1</v>
      </c>
      <c r="F43" s="804" t="s">
        <v>317</v>
      </c>
      <c r="G43" s="804" t="s">
        <v>584</v>
      </c>
      <c r="H43" s="804" t="s">
        <v>518</v>
      </c>
      <c r="I43" s="804"/>
      <c r="J43" s="804"/>
      <c r="K43" s="804"/>
      <c r="L43" s="804" t="s">
        <v>73</v>
      </c>
      <c r="M43" s="804" t="s">
        <v>457</v>
      </c>
      <c r="N43" s="804" t="s">
        <v>7</v>
      </c>
      <c r="O43" s="804" t="s">
        <v>27</v>
      </c>
      <c r="P43" s="804">
        <f>S43/P$8*100000</f>
        <v>64.500737782411619</v>
      </c>
      <c r="Q43" s="804">
        <v>64.973606667345678</v>
      </c>
      <c r="R43" s="804">
        <f t="shared" si="3"/>
        <v>0.99272213889318062</v>
      </c>
      <c r="S43" s="863">
        <v>29.2</v>
      </c>
      <c r="T43" s="804"/>
      <c r="U43" s="861" t="s">
        <v>623</v>
      </c>
    </row>
    <row r="44" spans="1:21" s="583" customFormat="1" ht="12.75" customHeight="1" x14ac:dyDescent="0.25">
      <c r="A44" s="804" t="s">
        <v>308</v>
      </c>
      <c r="B44" s="804">
        <v>6</v>
      </c>
      <c r="C44" s="804" t="s">
        <v>607</v>
      </c>
      <c r="D44" s="804" t="s">
        <v>297</v>
      </c>
      <c r="E44" s="804">
        <v>1</v>
      </c>
      <c r="F44" s="804" t="s">
        <v>317</v>
      </c>
      <c r="G44" s="804" t="s">
        <v>584</v>
      </c>
      <c r="H44" s="804" t="s">
        <v>518</v>
      </c>
      <c r="I44" s="804"/>
      <c r="J44" s="804"/>
      <c r="K44" s="804"/>
      <c r="L44" s="804" t="s">
        <v>73</v>
      </c>
      <c r="M44" s="804" t="s">
        <v>457</v>
      </c>
      <c r="N44" s="804" t="s">
        <v>8</v>
      </c>
      <c r="O44" s="804" t="s">
        <v>27</v>
      </c>
      <c r="P44" s="804">
        <f>S44/P$9*100000</f>
        <v>87.998225245877407</v>
      </c>
      <c r="Q44" s="804">
        <v>80.802208981252718</v>
      </c>
      <c r="R44" s="804">
        <f t="shared" si="3"/>
        <v>1.0890571725123785</v>
      </c>
      <c r="S44" s="863">
        <v>23.8</v>
      </c>
      <c r="T44" s="804"/>
      <c r="U44" s="861" t="s">
        <v>623</v>
      </c>
    </row>
    <row r="45" spans="1:21" s="583" customFormat="1" ht="12.75" customHeight="1" x14ac:dyDescent="0.25">
      <c r="A45" s="804" t="s">
        <v>308</v>
      </c>
      <c r="B45" s="804">
        <v>6</v>
      </c>
      <c r="C45" s="804" t="s">
        <v>607</v>
      </c>
      <c r="D45" s="804" t="s">
        <v>297</v>
      </c>
      <c r="E45" s="804">
        <v>1</v>
      </c>
      <c r="F45" s="804" t="s">
        <v>317</v>
      </c>
      <c r="G45" s="804" t="s">
        <v>584</v>
      </c>
      <c r="H45" s="804" t="s">
        <v>518</v>
      </c>
      <c r="I45" s="804"/>
      <c r="J45" s="804"/>
      <c r="K45" s="804"/>
      <c r="L45" s="804" t="s">
        <v>73</v>
      </c>
      <c r="M45" s="804" t="s">
        <v>457</v>
      </c>
      <c r="N45" s="804" t="s">
        <v>9</v>
      </c>
      <c r="O45" s="804" t="s">
        <v>27</v>
      </c>
      <c r="P45" s="804">
        <f>S45/P$10*100000</f>
        <v>146.16607453402895</v>
      </c>
      <c r="Q45" s="804">
        <v>166.58405181170312</v>
      </c>
      <c r="R45" s="804">
        <f t="shared" si="3"/>
        <v>0.87743138040156776</v>
      </c>
      <c r="S45" s="863">
        <v>27.4</v>
      </c>
      <c r="T45" s="804"/>
      <c r="U45" s="861" t="s">
        <v>623</v>
      </c>
    </row>
    <row r="46" spans="1:21" s="583" customFormat="1" ht="12.75" customHeight="1" x14ac:dyDescent="0.25">
      <c r="A46" s="804" t="s">
        <v>308</v>
      </c>
      <c r="B46" s="804">
        <v>6</v>
      </c>
      <c r="C46" s="804" t="s">
        <v>607</v>
      </c>
      <c r="D46" s="804" t="s">
        <v>297</v>
      </c>
      <c r="E46" s="804">
        <v>1</v>
      </c>
      <c r="F46" s="804" t="s">
        <v>317</v>
      </c>
      <c r="G46" s="804" t="s">
        <v>584</v>
      </c>
      <c r="H46" s="804" t="s">
        <v>518</v>
      </c>
      <c r="I46" s="804"/>
      <c r="J46" s="804"/>
      <c r="K46" s="804"/>
      <c r="L46" s="804" t="s">
        <v>73</v>
      </c>
      <c r="M46" s="804" t="s">
        <v>457</v>
      </c>
      <c r="N46" s="804" t="s">
        <v>249</v>
      </c>
      <c r="O46" s="804" t="s">
        <v>26</v>
      </c>
      <c r="P46" s="804">
        <f>S46/P$11*100000</f>
        <v>0</v>
      </c>
      <c r="Q46" s="804">
        <v>0</v>
      </c>
      <c r="R46" s="804">
        <f t="shared" si="3"/>
        <v>1</v>
      </c>
      <c r="S46" s="863">
        <v>0</v>
      </c>
      <c r="T46" s="804"/>
      <c r="U46" s="861" t="s">
        <v>623</v>
      </c>
    </row>
    <row r="47" spans="1:21" s="583" customFormat="1" ht="12.75" customHeight="1" x14ac:dyDescent="0.25">
      <c r="A47" s="804" t="s">
        <v>308</v>
      </c>
      <c r="B47" s="804">
        <v>6</v>
      </c>
      <c r="C47" s="804" t="s">
        <v>607</v>
      </c>
      <c r="D47" s="804" t="s">
        <v>297</v>
      </c>
      <c r="E47" s="804">
        <v>1</v>
      </c>
      <c r="F47" s="804" t="s">
        <v>317</v>
      </c>
      <c r="G47" s="804" t="s">
        <v>584</v>
      </c>
      <c r="H47" s="804" t="s">
        <v>518</v>
      </c>
      <c r="I47" s="804"/>
      <c r="J47" s="804"/>
      <c r="K47" s="804"/>
      <c r="L47" s="804" t="s">
        <v>73</v>
      </c>
      <c r="M47" s="804" t="s">
        <v>457</v>
      </c>
      <c r="N47" s="804" t="s">
        <v>244</v>
      </c>
      <c r="O47" s="804" t="s">
        <v>26</v>
      </c>
      <c r="P47" s="804">
        <f>S47/P$12*100000</f>
        <v>0</v>
      </c>
      <c r="Q47" s="804">
        <v>0</v>
      </c>
      <c r="R47" s="804">
        <f t="shared" si="3"/>
        <v>1</v>
      </c>
      <c r="S47" s="863">
        <v>0</v>
      </c>
      <c r="T47" s="804"/>
      <c r="U47" s="861" t="s">
        <v>623</v>
      </c>
    </row>
    <row r="48" spans="1:21" s="583" customFormat="1" ht="12.75" customHeight="1" x14ac:dyDescent="0.25">
      <c r="A48" s="804" t="s">
        <v>308</v>
      </c>
      <c r="B48" s="804">
        <v>6</v>
      </c>
      <c r="C48" s="804" t="s">
        <v>607</v>
      </c>
      <c r="D48" s="804" t="s">
        <v>297</v>
      </c>
      <c r="E48" s="804">
        <v>1</v>
      </c>
      <c r="F48" s="804" t="s">
        <v>317</v>
      </c>
      <c r="G48" s="804" t="s">
        <v>584</v>
      </c>
      <c r="H48" s="804" t="s">
        <v>518</v>
      </c>
      <c r="I48" s="804"/>
      <c r="J48" s="804"/>
      <c r="K48" s="804"/>
      <c r="L48" s="804" t="s">
        <v>73</v>
      </c>
      <c r="M48" s="804" t="s">
        <v>457</v>
      </c>
      <c r="N48" s="804" t="s">
        <v>4</v>
      </c>
      <c r="O48" s="804" t="s">
        <v>26</v>
      </c>
      <c r="P48" s="804">
        <f>S48/P$13*100000</f>
        <v>0</v>
      </c>
      <c r="Q48" s="804">
        <v>0</v>
      </c>
      <c r="R48" s="804">
        <f t="shared" si="3"/>
        <v>1</v>
      </c>
      <c r="S48" s="863">
        <v>0</v>
      </c>
      <c r="T48" s="804"/>
      <c r="U48" s="861" t="s">
        <v>623</v>
      </c>
    </row>
    <row r="49" spans="1:21" s="583" customFormat="1" ht="12.75" customHeight="1" x14ac:dyDescent="0.25">
      <c r="A49" s="804" t="s">
        <v>308</v>
      </c>
      <c r="B49" s="804">
        <v>6</v>
      </c>
      <c r="C49" s="804" t="s">
        <v>607</v>
      </c>
      <c r="D49" s="804" t="s">
        <v>297</v>
      </c>
      <c r="E49" s="804">
        <v>1</v>
      </c>
      <c r="F49" s="804" t="s">
        <v>317</v>
      </c>
      <c r="G49" s="804" t="s">
        <v>584</v>
      </c>
      <c r="H49" s="804" t="s">
        <v>518</v>
      </c>
      <c r="I49" s="804"/>
      <c r="J49" s="804"/>
      <c r="K49" s="804"/>
      <c r="L49" s="804" t="s">
        <v>73</v>
      </c>
      <c r="M49" s="804" t="s">
        <v>457</v>
      </c>
      <c r="N49" s="804" t="s">
        <v>5</v>
      </c>
      <c r="O49" s="804" t="s">
        <v>26</v>
      </c>
      <c r="P49" s="804">
        <f>S49/P$14*100000</f>
        <v>0.36396061946097436</v>
      </c>
      <c r="Q49" s="804">
        <v>0</v>
      </c>
      <c r="R49" s="804">
        <f t="shared" si="3"/>
        <v>1</v>
      </c>
      <c r="S49" s="863">
        <v>0.2</v>
      </c>
      <c r="T49" s="804"/>
      <c r="U49" s="861" t="s">
        <v>623</v>
      </c>
    </row>
    <row r="50" spans="1:21" s="583" customFormat="1" ht="12.75" customHeight="1" x14ac:dyDescent="0.25">
      <c r="A50" s="804" t="s">
        <v>308</v>
      </c>
      <c r="B50" s="804">
        <v>6</v>
      </c>
      <c r="C50" s="804" t="s">
        <v>607</v>
      </c>
      <c r="D50" s="804" t="s">
        <v>297</v>
      </c>
      <c r="E50" s="804">
        <v>1</v>
      </c>
      <c r="F50" s="804" t="s">
        <v>317</v>
      </c>
      <c r="G50" s="804" t="s">
        <v>584</v>
      </c>
      <c r="H50" s="804" t="s">
        <v>518</v>
      </c>
      <c r="I50" s="804"/>
      <c r="J50" s="804"/>
      <c r="K50" s="804"/>
      <c r="L50" s="804" t="s">
        <v>73</v>
      </c>
      <c r="M50" s="804" t="s">
        <v>457</v>
      </c>
      <c r="N50" s="804" t="s">
        <v>6</v>
      </c>
      <c r="O50" s="804" t="s">
        <v>26</v>
      </c>
      <c r="P50" s="804">
        <f>S50/P$15*100000</f>
        <v>0</v>
      </c>
      <c r="Q50" s="804">
        <v>0.215633423180593</v>
      </c>
      <c r="R50" s="804">
        <f t="shared" si="3"/>
        <v>1</v>
      </c>
      <c r="S50" s="863">
        <v>0</v>
      </c>
      <c r="T50" s="804"/>
      <c r="U50" s="861" t="s">
        <v>623</v>
      </c>
    </row>
    <row r="51" spans="1:21" s="583" customFormat="1" ht="12.75" customHeight="1" x14ac:dyDescent="0.25">
      <c r="A51" s="804" t="s">
        <v>308</v>
      </c>
      <c r="B51" s="804">
        <v>6</v>
      </c>
      <c r="C51" s="804" t="s">
        <v>607</v>
      </c>
      <c r="D51" s="804" t="s">
        <v>297</v>
      </c>
      <c r="E51" s="804">
        <v>1</v>
      </c>
      <c r="F51" s="804" t="s">
        <v>317</v>
      </c>
      <c r="G51" s="804" t="s">
        <v>584</v>
      </c>
      <c r="H51" s="804" t="s">
        <v>518</v>
      </c>
      <c r="I51" s="804"/>
      <c r="J51" s="804"/>
      <c r="K51" s="804"/>
      <c r="L51" s="804" t="s">
        <v>73</v>
      </c>
      <c r="M51" s="804" t="s">
        <v>457</v>
      </c>
      <c r="N51" s="804" t="s">
        <v>7</v>
      </c>
      <c r="O51" s="804" t="s">
        <v>26</v>
      </c>
      <c r="P51" s="804">
        <f>S51/P$16*100000</f>
        <v>0</v>
      </c>
      <c r="Q51" s="804">
        <v>0</v>
      </c>
      <c r="R51" s="804">
        <f t="shared" si="3"/>
        <v>1</v>
      </c>
      <c r="S51" s="863">
        <v>0</v>
      </c>
      <c r="T51" s="804"/>
      <c r="U51" s="861" t="s">
        <v>623</v>
      </c>
    </row>
    <row r="52" spans="1:21" s="583" customFormat="1" ht="12.75" customHeight="1" x14ac:dyDescent="0.25">
      <c r="A52" s="804" t="s">
        <v>308</v>
      </c>
      <c r="B52" s="804">
        <v>6</v>
      </c>
      <c r="C52" s="804" t="s">
        <v>607</v>
      </c>
      <c r="D52" s="804" t="s">
        <v>297</v>
      </c>
      <c r="E52" s="804">
        <v>1</v>
      </c>
      <c r="F52" s="804" t="s">
        <v>317</v>
      </c>
      <c r="G52" s="804" t="s">
        <v>584</v>
      </c>
      <c r="H52" s="804" t="s">
        <v>518</v>
      </c>
      <c r="I52" s="804"/>
      <c r="J52" s="804"/>
      <c r="K52" s="804"/>
      <c r="L52" s="804" t="s">
        <v>73</v>
      </c>
      <c r="M52" s="804" t="s">
        <v>457</v>
      </c>
      <c r="N52" s="804" t="s">
        <v>8</v>
      </c>
      <c r="O52" s="804" t="s">
        <v>26</v>
      </c>
      <c r="P52" s="804">
        <f>S52/P$17*100000</f>
        <v>0.77302453579876629</v>
      </c>
      <c r="Q52" s="804">
        <v>0.62207624166417841</v>
      </c>
      <c r="R52" s="804">
        <f t="shared" si="3"/>
        <v>1</v>
      </c>
      <c r="S52" s="863">
        <v>0.2</v>
      </c>
      <c r="T52" s="804"/>
      <c r="U52" s="861" t="s">
        <v>623</v>
      </c>
    </row>
    <row r="53" spans="1:21" s="583" customFormat="1" ht="12.75" customHeight="1" x14ac:dyDescent="0.25">
      <c r="A53" s="804" t="s">
        <v>308</v>
      </c>
      <c r="B53" s="804">
        <v>6</v>
      </c>
      <c r="C53" s="804" t="s">
        <v>607</v>
      </c>
      <c r="D53" s="804" t="s">
        <v>297</v>
      </c>
      <c r="E53" s="804">
        <v>1</v>
      </c>
      <c r="F53" s="804" t="s">
        <v>317</v>
      </c>
      <c r="G53" s="804" t="s">
        <v>584</v>
      </c>
      <c r="H53" s="804" t="s">
        <v>518</v>
      </c>
      <c r="I53" s="804"/>
      <c r="J53" s="804"/>
      <c r="K53" s="804"/>
      <c r="L53" s="804" t="s">
        <v>73</v>
      </c>
      <c r="M53" s="804" t="s">
        <v>457</v>
      </c>
      <c r="N53" s="804" t="s">
        <v>9</v>
      </c>
      <c r="O53" s="804" t="s">
        <v>26</v>
      </c>
      <c r="P53" s="804">
        <f>S53/P$18*100000</f>
        <v>1.5073634705536547</v>
      </c>
      <c r="Q53" s="804">
        <v>3.4974410389731516</v>
      </c>
      <c r="R53" s="804">
        <f t="shared" si="3"/>
        <v>1</v>
      </c>
      <c r="S53" s="863">
        <v>0.2</v>
      </c>
      <c r="T53" s="804"/>
      <c r="U53" s="861" t="s">
        <v>623</v>
      </c>
    </row>
    <row r="54" spans="1:21" s="583" customFormat="1" ht="12.75" customHeight="1" x14ac:dyDescent="0.25">
      <c r="A54" s="804" t="s">
        <v>308</v>
      </c>
      <c r="B54" s="804">
        <v>6</v>
      </c>
      <c r="C54" s="804" t="s">
        <v>607</v>
      </c>
      <c r="D54" s="804" t="s">
        <v>297</v>
      </c>
      <c r="E54" s="804">
        <v>1</v>
      </c>
      <c r="F54" s="804" t="s">
        <v>317</v>
      </c>
      <c r="G54" s="804" t="s">
        <v>584</v>
      </c>
      <c r="H54" s="804" t="s">
        <v>518</v>
      </c>
      <c r="I54" s="804"/>
      <c r="J54" s="804"/>
      <c r="K54" s="804"/>
      <c r="L54" s="804" t="s">
        <v>71</v>
      </c>
      <c r="M54" s="804" t="s">
        <v>458</v>
      </c>
      <c r="N54" s="804" t="s">
        <v>249</v>
      </c>
      <c r="O54" s="804" t="s">
        <v>27</v>
      </c>
      <c r="P54" s="804">
        <f>S54/P$3*100000</f>
        <v>0</v>
      </c>
      <c r="Q54" s="804">
        <v>0</v>
      </c>
      <c r="R54" s="804">
        <f t="shared" si="3"/>
        <v>1</v>
      </c>
      <c r="S54" s="860">
        <v>0</v>
      </c>
      <c r="T54" s="804"/>
      <c r="U54" s="861" t="s">
        <v>623</v>
      </c>
    </row>
    <row r="55" spans="1:21" s="583" customFormat="1" ht="12.75" customHeight="1" x14ac:dyDescent="0.25">
      <c r="A55" s="804" t="s">
        <v>308</v>
      </c>
      <c r="B55" s="804">
        <v>6</v>
      </c>
      <c r="C55" s="804" t="s">
        <v>607</v>
      </c>
      <c r="D55" s="804" t="s">
        <v>297</v>
      </c>
      <c r="E55" s="804">
        <v>1</v>
      </c>
      <c r="F55" s="804" t="s">
        <v>317</v>
      </c>
      <c r="G55" s="804" t="s">
        <v>584</v>
      </c>
      <c r="H55" s="804" t="s">
        <v>518</v>
      </c>
      <c r="I55" s="804"/>
      <c r="J55" s="804"/>
      <c r="K55" s="804"/>
      <c r="L55" s="804" t="s">
        <v>71</v>
      </c>
      <c r="M55" s="804" t="s">
        <v>458</v>
      </c>
      <c r="N55" s="804" t="s">
        <v>244</v>
      </c>
      <c r="O55" s="804" t="s">
        <v>27</v>
      </c>
      <c r="P55" s="804">
        <f>S55/P$4*100000</f>
        <v>0</v>
      </c>
      <c r="Q55" s="804">
        <v>0</v>
      </c>
      <c r="R55" s="804">
        <f t="shared" si="3"/>
        <v>1</v>
      </c>
      <c r="S55" s="860">
        <v>0</v>
      </c>
      <c r="T55" s="804"/>
      <c r="U55" s="861" t="s">
        <v>623</v>
      </c>
    </row>
    <row r="56" spans="1:21" s="583" customFormat="1" ht="12.75" customHeight="1" x14ac:dyDescent="0.25">
      <c r="A56" s="804" t="s">
        <v>308</v>
      </c>
      <c r="B56" s="804">
        <v>6</v>
      </c>
      <c r="C56" s="804" t="s">
        <v>607</v>
      </c>
      <c r="D56" s="804" t="s">
        <v>297</v>
      </c>
      <c r="E56" s="804">
        <v>1</v>
      </c>
      <c r="F56" s="804" t="s">
        <v>317</v>
      </c>
      <c r="G56" s="804" t="s">
        <v>584</v>
      </c>
      <c r="H56" s="804" t="s">
        <v>518</v>
      </c>
      <c r="I56" s="804"/>
      <c r="J56" s="804"/>
      <c r="K56" s="804"/>
      <c r="L56" s="804" t="s">
        <v>71</v>
      </c>
      <c r="M56" s="804" t="s">
        <v>458</v>
      </c>
      <c r="N56" s="804" t="s">
        <v>4</v>
      </c>
      <c r="O56" s="804" t="s">
        <v>27</v>
      </c>
      <c r="P56" s="804">
        <f>S56/P$5*100000</f>
        <v>2.6106739268265393</v>
      </c>
      <c r="Q56" s="804">
        <v>0</v>
      </c>
      <c r="R56" s="804">
        <f t="shared" si="3"/>
        <v>1</v>
      </c>
      <c r="S56" s="860">
        <v>1.4</v>
      </c>
      <c r="T56" s="804"/>
      <c r="U56" s="861" t="s">
        <v>623</v>
      </c>
    </row>
    <row r="57" spans="1:21" s="583" customFormat="1" ht="12.75" customHeight="1" x14ac:dyDescent="0.25">
      <c r="A57" s="804" t="s">
        <v>308</v>
      </c>
      <c r="B57" s="804">
        <v>6</v>
      </c>
      <c r="C57" s="804" t="s">
        <v>607</v>
      </c>
      <c r="D57" s="804" t="s">
        <v>297</v>
      </c>
      <c r="E57" s="804">
        <v>1</v>
      </c>
      <c r="F57" s="804" t="s">
        <v>317</v>
      </c>
      <c r="G57" s="804" t="s">
        <v>584</v>
      </c>
      <c r="H57" s="804" t="s">
        <v>518</v>
      </c>
      <c r="I57" s="804"/>
      <c r="J57" s="804"/>
      <c r="K57" s="804"/>
      <c r="L57" s="804" t="s">
        <v>71</v>
      </c>
      <c r="M57" s="804" t="s">
        <v>458</v>
      </c>
      <c r="N57" s="804" t="s">
        <v>5</v>
      </c>
      <c r="O57" s="804" t="s">
        <v>27</v>
      </c>
      <c r="P57" s="804">
        <f>S57/P$6*100000</f>
        <v>16.988089033030249</v>
      </c>
      <c r="Q57" s="804">
        <v>3.0375993469824074</v>
      </c>
      <c r="R57" s="804">
        <f t="shared" si="3"/>
        <v>1</v>
      </c>
      <c r="S57" s="860">
        <v>8.8000000000000007</v>
      </c>
      <c r="T57" s="804"/>
      <c r="U57" s="861" t="s">
        <v>623</v>
      </c>
    </row>
    <row r="58" spans="1:21" s="583" customFormat="1" ht="12.75" customHeight="1" x14ac:dyDescent="0.25">
      <c r="A58" s="804" t="s">
        <v>308</v>
      </c>
      <c r="B58" s="804">
        <v>6</v>
      </c>
      <c r="C58" s="804" t="s">
        <v>607</v>
      </c>
      <c r="D58" s="804" t="s">
        <v>297</v>
      </c>
      <c r="E58" s="804">
        <v>1</v>
      </c>
      <c r="F58" s="804" t="s">
        <v>317</v>
      </c>
      <c r="G58" s="804" t="s">
        <v>584</v>
      </c>
      <c r="H58" s="804" t="s">
        <v>518</v>
      </c>
      <c r="I58" s="804"/>
      <c r="J58" s="804"/>
      <c r="K58" s="804"/>
      <c r="L58" s="804" t="s">
        <v>71</v>
      </c>
      <c r="M58" s="804" t="s">
        <v>458</v>
      </c>
      <c r="N58" s="804" t="s">
        <v>6</v>
      </c>
      <c r="O58" s="804" t="s">
        <v>27</v>
      </c>
      <c r="P58" s="804">
        <f>S58/P$7*100000</f>
        <v>0</v>
      </c>
      <c r="Q58" s="804">
        <v>8.756476683937823</v>
      </c>
      <c r="R58" s="804">
        <f t="shared" si="3"/>
        <v>1</v>
      </c>
      <c r="S58" s="860">
        <v>0</v>
      </c>
      <c r="T58" s="804"/>
      <c r="U58" s="861" t="s">
        <v>623</v>
      </c>
    </row>
    <row r="59" spans="1:21" s="583" customFormat="1" ht="12.75" customHeight="1" x14ac:dyDescent="0.25">
      <c r="A59" s="804" t="s">
        <v>308</v>
      </c>
      <c r="B59" s="804">
        <v>6</v>
      </c>
      <c r="C59" s="804" t="s">
        <v>607</v>
      </c>
      <c r="D59" s="804" t="s">
        <v>297</v>
      </c>
      <c r="E59" s="804">
        <v>1</v>
      </c>
      <c r="F59" s="804" t="s">
        <v>317</v>
      </c>
      <c r="G59" s="804" t="s">
        <v>584</v>
      </c>
      <c r="H59" s="804" t="s">
        <v>518</v>
      </c>
      <c r="I59" s="804"/>
      <c r="J59" s="804"/>
      <c r="K59" s="804"/>
      <c r="L59" s="804" t="s">
        <v>71</v>
      </c>
      <c r="M59" s="804" t="s">
        <v>458</v>
      </c>
      <c r="N59" s="804" t="s">
        <v>7</v>
      </c>
      <c r="O59" s="804" t="s">
        <v>27</v>
      </c>
      <c r="P59" s="804">
        <f>S59/P$8*100000</f>
        <v>34.901084142537798</v>
      </c>
      <c r="Q59" s="804">
        <v>27.967845088873357</v>
      </c>
      <c r="R59" s="804">
        <f t="shared" si="3"/>
        <v>1.2479003667115827</v>
      </c>
      <c r="S59" s="860">
        <v>15.8</v>
      </c>
      <c r="T59" s="804"/>
      <c r="U59" s="861" t="s">
        <v>623</v>
      </c>
    </row>
    <row r="60" spans="1:21" s="583" customFormat="1" ht="12.75" customHeight="1" x14ac:dyDescent="0.25">
      <c r="A60" s="804" t="s">
        <v>308</v>
      </c>
      <c r="B60" s="804">
        <v>6</v>
      </c>
      <c r="C60" s="804" t="s">
        <v>607</v>
      </c>
      <c r="D60" s="804" t="s">
        <v>297</v>
      </c>
      <c r="E60" s="804">
        <v>1</v>
      </c>
      <c r="F60" s="804" t="s">
        <v>317</v>
      </c>
      <c r="G60" s="804" t="s">
        <v>584</v>
      </c>
      <c r="H60" s="804" t="s">
        <v>518</v>
      </c>
      <c r="I60" s="804"/>
      <c r="J60" s="804"/>
      <c r="K60" s="804"/>
      <c r="L60" s="804" t="s">
        <v>71</v>
      </c>
      <c r="M60" s="804" t="s">
        <v>458</v>
      </c>
      <c r="N60" s="804" t="s">
        <v>8</v>
      </c>
      <c r="O60" s="804" t="s">
        <v>27</v>
      </c>
      <c r="P60" s="804">
        <f>S60/P$9*100000</f>
        <v>73.948088441913782</v>
      </c>
      <c r="Q60" s="804">
        <v>64.060093009736946</v>
      </c>
      <c r="R60" s="804">
        <f t="shared" si="3"/>
        <v>1.1543549964979585</v>
      </c>
      <c r="S60" s="860">
        <v>20</v>
      </c>
      <c r="T60" s="804"/>
      <c r="U60" s="861" t="s">
        <v>623</v>
      </c>
    </row>
    <row r="61" spans="1:21" s="583" customFormat="1" ht="12.75" customHeight="1" x14ac:dyDescent="0.25">
      <c r="A61" s="804" t="s">
        <v>308</v>
      </c>
      <c r="B61" s="804">
        <v>6</v>
      </c>
      <c r="C61" s="804" t="s">
        <v>607</v>
      </c>
      <c r="D61" s="804" t="s">
        <v>297</v>
      </c>
      <c r="E61" s="804">
        <v>1</v>
      </c>
      <c r="F61" s="804" t="s">
        <v>317</v>
      </c>
      <c r="G61" s="804" t="s">
        <v>584</v>
      </c>
      <c r="H61" s="804" t="s">
        <v>518</v>
      </c>
      <c r="I61" s="804"/>
      <c r="J61" s="804"/>
      <c r="K61" s="804"/>
      <c r="L61" s="804" t="s">
        <v>71</v>
      </c>
      <c r="M61" s="804" t="s">
        <v>458</v>
      </c>
      <c r="N61" s="804" t="s">
        <v>9</v>
      </c>
      <c r="O61" s="804" t="s">
        <v>27</v>
      </c>
      <c r="P61" s="804">
        <f>S61/P$10*100000</f>
        <v>149.36679149462813</v>
      </c>
      <c r="Q61" s="804">
        <v>115.69414761784805</v>
      </c>
      <c r="R61" s="804">
        <f t="shared" si="3"/>
        <v>1.2910488090374714</v>
      </c>
      <c r="S61" s="860">
        <v>28</v>
      </c>
      <c r="T61" s="804"/>
      <c r="U61" s="861" t="s">
        <v>623</v>
      </c>
    </row>
    <row r="62" spans="1:21" s="583" customFormat="1" ht="12.75" customHeight="1" x14ac:dyDescent="0.25">
      <c r="A62" s="804" t="s">
        <v>308</v>
      </c>
      <c r="B62" s="804">
        <v>6</v>
      </c>
      <c r="C62" s="804" t="s">
        <v>607</v>
      </c>
      <c r="D62" s="804" t="s">
        <v>297</v>
      </c>
      <c r="E62" s="804">
        <v>1</v>
      </c>
      <c r="F62" s="804" t="s">
        <v>317</v>
      </c>
      <c r="G62" s="804" t="s">
        <v>584</v>
      </c>
      <c r="H62" s="804" t="s">
        <v>518</v>
      </c>
      <c r="I62" s="804"/>
      <c r="J62" s="804"/>
      <c r="K62" s="804"/>
      <c r="L62" s="804" t="s">
        <v>71</v>
      </c>
      <c r="M62" s="804" t="s">
        <v>458</v>
      </c>
      <c r="N62" s="804" t="s">
        <v>249</v>
      </c>
      <c r="O62" s="804" t="s">
        <v>26</v>
      </c>
      <c r="P62" s="804">
        <f>S62/P$11*100000</f>
        <v>0</v>
      </c>
      <c r="Q62" s="804">
        <v>0</v>
      </c>
      <c r="R62" s="804">
        <f t="shared" si="3"/>
        <v>1</v>
      </c>
      <c r="S62" s="860">
        <v>0</v>
      </c>
      <c r="T62" s="804"/>
      <c r="U62" s="861" t="s">
        <v>623</v>
      </c>
    </row>
    <row r="63" spans="1:21" s="583" customFormat="1" ht="12.75" customHeight="1" x14ac:dyDescent="0.25">
      <c r="A63" s="804" t="s">
        <v>308</v>
      </c>
      <c r="B63" s="804">
        <v>6</v>
      </c>
      <c r="C63" s="804" t="s">
        <v>607</v>
      </c>
      <c r="D63" s="804" t="s">
        <v>297</v>
      </c>
      <c r="E63" s="804">
        <v>1</v>
      </c>
      <c r="F63" s="804" t="s">
        <v>317</v>
      </c>
      <c r="G63" s="804" t="s">
        <v>584</v>
      </c>
      <c r="H63" s="804" t="s">
        <v>518</v>
      </c>
      <c r="I63" s="804"/>
      <c r="J63" s="804"/>
      <c r="K63" s="804"/>
      <c r="L63" s="804" t="s">
        <v>71</v>
      </c>
      <c r="M63" s="804" t="s">
        <v>458</v>
      </c>
      <c r="N63" s="804" t="s">
        <v>244</v>
      </c>
      <c r="O63" s="804" t="s">
        <v>26</v>
      </c>
      <c r="P63" s="804">
        <f>S63/P$12*100000</f>
        <v>1.0159142974698654</v>
      </c>
      <c r="Q63" s="804">
        <v>0</v>
      </c>
      <c r="R63" s="804">
        <f t="shared" si="3"/>
        <v>1</v>
      </c>
      <c r="S63" s="860">
        <v>0.4</v>
      </c>
      <c r="T63" s="804"/>
      <c r="U63" s="861" t="s">
        <v>623</v>
      </c>
    </row>
    <row r="64" spans="1:21" s="583" customFormat="1" ht="12.75" customHeight="1" x14ac:dyDescent="0.25">
      <c r="A64" s="804" t="s">
        <v>308</v>
      </c>
      <c r="B64" s="804">
        <v>6</v>
      </c>
      <c r="C64" s="804" t="s">
        <v>607</v>
      </c>
      <c r="D64" s="804" t="s">
        <v>297</v>
      </c>
      <c r="E64" s="804">
        <v>1</v>
      </c>
      <c r="F64" s="804" t="s">
        <v>317</v>
      </c>
      <c r="G64" s="804" t="s">
        <v>584</v>
      </c>
      <c r="H64" s="804" t="s">
        <v>518</v>
      </c>
      <c r="I64" s="804"/>
      <c r="J64" s="804"/>
      <c r="K64" s="804"/>
      <c r="L64" s="804" t="s">
        <v>71</v>
      </c>
      <c r="M64" s="804" t="s">
        <v>458</v>
      </c>
      <c r="N64" s="804" t="s">
        <v>4</v>
      </c>
      <c r="O64" s="804" t="s">
        <v>26</v>
      </c>
      <c r="P64" s="804">
        <f>S64/P$13*100000</f>
        <v>1.3397462520598598</v>
      </c>
      <c r="Q64" s="804">
        <v>0.19691839977889852</v>
      </c>
      <c r="R64" s="804">
        <f t="shared" si="3"/>
        <v>1</v>
      </c>
      <c r="S64" s="860">
        <v>0.8</v>
      </c>
      <c r="T64" s="804"/>
      <c r="U64" s="861" t="s">
        <v>623</v>
      </c>
    </row>
    <row r="65" spans="1:21" s="583" customFormat="1" ht="12.75" customHeight="1" x14ac:dyDescent="0.25">
      <c r="A65" s="804" t="s">
        <v>308</v>
      </c>
      <c r="B65" s="804">
        <v>6</v>
      </c>
      <c r="C65" s="804" t="s">
        <v>607</v>
      </c>
      <c r="D65" s="804" t="s">
        <v>297</v>
      </c>
      <c r="E65" s="804">
        <v>1</v>
      </c>
      <c r="F65" s="804" t="s">
        <v>317</v>
      </c>
      <c r="G65" s="804" t="s">
        <v>584</v>
      </c>
      <c r="H65" s="804" t="s">
        <v>518</v>
      </c>
      <c r="I65" s="804"/>
      <c r="J65" s="804"/>
      <c r="K65" s="804"/>
      <c r="L65" s="804" t="s">
        <v>71</v>
      </c>
      <c r="M65" s="804" t="s">
        <v>458</v>
      </c>
      <c r="N65" s="804" t="s">
        <v>5</v>
      </c>
      <c r="O65" s="804" t="s">
        <v>26</v>
      </c>
      <c r="P65" s="804">
        <f>S65/P$14*100000</f>
        <v>26.205164601190155</v>
      </c>
      <c r="Q65" s="804">
        <v>1.7007932966500874</v>
      </c>
      <c r="R65" s="804">
        <f t="shared" si="3"/>
        <v>15.40761281973789</v>
      </c>
      <c r="S65" s="860">
        <v>14.4</v>
      </c>
      <c r="T65" s="804"/>
      <c r="U65" s="861" t="s">
        <v>623</v>
      </c>
    </row>
    <row r="66" spans="1:21" s="583" customFormat="1" ht="12.75" customHeight="1" x14ac:dyDescent="0.25">
      <c r="A66" s="804" t="s">
        <v>308</v>
      </c>
      <c r="B66" s="804">
        <v>6</v>
      </c>
      <c r="C66" s="804" t="s">
        <v>607</v>
      </c>
      <c r="D66" s="804" t="s">
        <v>297</v>
      </c>
      <c r="E66" s="804">
        <v>1</v>
      </c>
      <c r="F66" s="804" t="s">
        <v>317</v>
      </c>
      <c r="G66" s="804" t="s">
        <v>584</v>
      </c>
      <c r="H66" s="804" t="s">
        <v>518</v>
      </c>
      <c r="I66" s="804"/>
      <c r="J66" s="804"/>
      <c r="K66" s="804"/>
      <c r="L66" s="804" t="s">
        <v>71</v>
      </c>
      <c r="M66" s="804" t="s">
        <v>458</v>
      </c>
      <c r="N66" s="804" t="s">
        <v>6</v>
      </c>
      <c r="O66" s="804" t="s">
        <v>26</v>
      </c>
      <c r="P66" s="804">
        <f>S66/P$15*100000</f>
        <v>0</v>
      </c>
      <c r="Q66" s="804">
        <v>14.179738347248696</v>
      </c>
      <c r="R66" s="804">
        <f t="shared" si="3"/>
        <v>1</v>
      </c>
      <c r="S66" s="860">
        <v>0</v>
      </c>
      <c r="T66" s="804"/>
      <c r="U66" s="861" t="s">
        <v>623</v>
      </c>
    </row>
    <row r="67" spans="1:21" s="583" customFormat="1" ht="12.75" customHeight="1" x14ac:dyDescent="0.25">
      <c r="A67" s="804" t="s">
        <v>308</v>
      </c>
      <c r="B67" s="804">
        <v>6</v>
      </c>
      <c r="C67" s="804" t="s">
        <v>607</v>
      </c>
      <c r="D67" s="804" t="s">
        <v>297</v>
      </c>
      <c r="E67" s="804">
        <v>1</v>
      </c>
      <c r="F67" s="804" t="s">
        <v>317</v>
      </c>
      <c r="G67" s="804" t="s">
        <v>584</v>
      </c>
      <c r="H67" s="804" t="s">
        <v>518</v>
      </c>
      <c r="I67" s="804"/>
      <c r="J67" s="804"/>
      <c r="K67" s="804"/>
      <c r="L67" s="804" t="s">
        <v>71</v>
      </c>
      <c r="M67" s="804" t="s">
        <v>458</v>
      </c>
      <c r="N67" s="804" t="s">
        <v>7</v>
      </c>
      <c r="O67" s="804" t="s">
        <v>26</v>
      </c>
      <c r="P67" s="804">
        <f>S67/P$16*100000</f>
        <v>38.24091778202677</v>
      </c>
      <c r="Q67" s="804">
        <v>31.900777931251291</v>
      </c>
      <c r="R67" s="804">
        <f t="shared" si="3"/>
        <v>1.1987456188196721</v>
      </c>
      <c r="S67" s="860">
        <v>17</v>
      </c>
      <c r="T67" s="804"/>
      <c r="U67" s="861" t="s">
        <v>623</v>
      </c>
    </row>
    <row r="68" spans="1:21" s="583" customFormat="1" ht="12.75" customHeight="1" x14ac:dyDescent="0.25">
      <c r="A68" s="804" t="s">
        <v>308</v>
      </c>
      <c r="B68" s="804">
        <v>6</v>
      </c>
      <c r="C68" s="804" t="s">
        <v>607</v>
      </c>
      <c r="D68" s="804" t="s">
        <v>297</v>
      </c>
      <c r="E68" s="804">
        <v>1</v>
      </c>
      <c r="F68" s="804" t="s">
        <v>317</v>
      </c>
      <c r="G68" s="804" t="s">
        <v>584</v>
      </c>
      <c r="H68" s="804" t="s">
        <v>518</v>
      </c>
      <c r="I68" s="804"/>
      <c r="J68" s="804"/>
      <c r="K68" s="804"/>
      <c r="L68" s="804" t="s">
        <v>71</v>
      </c>
      <c r="M68" s="804" t="s">
        <v>458</v>
      </c>
      <c r="N68" s="804" t="s">
        <v>8</v>
      </c>
      <c r="O68" s="804" t="s">
        <v>26</v>
      </c>
      <c r="P68" s="804">
        <f>S68/P$17*100000</f>
        <v>102.81226326123593</v>
      </c>
      <c r="Q68" s="804">
        <v>76.105717760671141</v>
      </c>
      <c r="R68" s="804">
        <f t="shared" si="3"/>
        <v>1.3509137852762729</v>
      </c>
      <c r="S68" s="860">
        <v>26.6</v>
      </c>
      <c r="T68" s="804"/>
      <c r="U68" s="861" t="s">
        <v>623</v>
      </c>
    </row>
    <row r="69" spans="1:21" s="583" customFormat="1" ht="12.75" customHeight="1" x14ac:dyDescent="0.25">
      <c r="A69" s="804" t="s">
        <v>308</v>
      </c>
      <c r="B69" s="804">
        <v>6</v>
      </c>
      <c r="C69" s="804" t="s">
        <v>607</v>
      </c>
      <c r="D69" s="804" t="s">
        <v>297</v>
      </c>
      <c r="E69" s="804">
        <v>1</v>
      </c>
      <c r="F69" s="804" t="s">
        <v>317</v>
      </c>
      <c r="G69" s="804" t="s">
        <v>584</v>
      </c>
      <c r="H69" s="804" t="s">
        <v>518</v>
      </c>
      <c r="I69" s="804"/>
      <c r="J69" s="804"/>
      <c r="K69" s="804"/>
      <c r="L69" s="804" t="s">
        <v>71</v>
      </c>
      <c r="M69" s="804" t="s">
        <v>458</v>
      </c>
      <c r="N69" s="804" t="s">
        <v>9</v>
      </c>
      <c r="O69" s="804" t="s">
        <v>26</v>
      </c>
      <c r="P69" s="804">
        <f>S69/P$18*100000</f>
        <v>206.50879546585065</v>
      </c>
      <c r="Q69" s="804">
        <v>140.84450974264794</v>
      </c>
      <c r="R69" s="804">
        <f t="shared" si="3"/>
        <v>1.4662182845691674</v>
      </c>
      <c r="S69" s="860">
        <v>27.4</v>
      </c>
      <c r="T69" s="804"/>
      <c r="U69" s="861" t="s">
        <v>623</v>
      </c>
    </row>
    <row r="70" spans="1:21" s="583" customFormat="1" ht="12.75" customHeight="1" x14ac:dyDescent="0.25">
      <c r="A70" s="804" t="s">
        <v>308</v>
      </c>
      <c r="B70" s="804">
        <v>6</v>
      </c>
      <c r="C70" s="804" t="s">
        <v>607</v>
      </c>
      <c r="D70" s="804" t="s">
        <v>297</v>
      </c>
      <c r="E70" s="804">
        <v>1</v>
      </c>
      <c r="F70" s="804" t="s">
        <v>317</v>
      </c>
      <c r="G70" s="804" t="s">
        <v>584</v>
      </c>
      <c r="H70" s="804" t="s">
        <v>518</v>
      </c>
      <c r="I70" s="804"/>
      <c r="J70" s="804"/>
      <c r="K70" s="804"/>
      <c r="L70" s="804" t="s">
        <v>32</v>
      </c>
      <c r="M70" s="804" t="s">
        <v>459</v>
      </c>
      <c r="N70" s="804" t="s">
        <v>249</v>
      </c>
      <c r="O70" s="804" t="s">
        <v>27</v>
      </c>
      <c r="P70" s="804">
        <f>S70/P$3*100000</f>
        <v>0</v>
      </c>
      <c r="Q70" s="804">
        <v>0</v>
      </c>
      <c r="R70" s="804">
        <f t="shared" si="3"/>
        <v>1</v>
      </c>
      <c r="S70" s="863">
        <v>0</v>
      </c>
      <c r="T70" s="804"/>
      <c r="U70" s="861" t="s">
        <v>623</v>
      </c>
    </row>
    <row r="71" spans="1:21" s="583" customFormat="1" ht="12.75" customHeight="1" x14ac:dyDescent="0.25">
      <c r="A71" s="804" t="s">
        <v>308</v>
      </c>
      <c r="B71" s="804">
        <v>6</v>
      </c>
      <c r="C71" s="804" t="s">
        <v>607</v>
      </c>
      <c r="D71" s="804" t="s">
        <v>297</v>
      </c>
      <c r="E71" s="804">
        <v>1</v>
      </c>
      <c r="F71" s="804" t="s">
        <v>317</v>
      </c>
      <c r="G71" s="804" t="s">
        <v>584</v>
      </c>
      <c r="H71" s="804" t="s">
        <v>518</v>
      </c>
      <c r="I71" s="804"/>
      <c r="J71" s="804"/>
      <c r="K71" s="804"/>
      <c r="L71" s="804" t="s">
        <v>32</v>
      </c>
      <c r="M71" s="804" t="s">
        <v>459</v>
      </c>
      <c r="N71" s="804" t="s">
        <v>244</v>
      </c>
      <c r="O71" s="804" t="s">
        <v>27</v>
      </c>
      <c r="P71" s="804">
        <f>S71/P$4*100000</f>
        <v>0</v>
      </c>
      <c r="Q71" s="804">
        <v>0</v>
      </c>
      <c r="R71" s="804">
        <f t="shared" si="3"/>
        <v>1</v>
      </c>
      <c r="S71" s="863">
        <v>0</v>
      </c>
      <c r="T71" s="804"/>
      <c r="U71" s="861" t="s">
        <v>623</v>
      </c>
    </row>
    <row r="72" spans="1:21" s="583" customFormat="1" ht="12.75" customHeight="1" x14ac:dyDescent="0.25">
      <c r="A72" s="804" t="s">
        <v>308</v>
      </c>
      <c r="B72" s="804">
        <v>6</v>
      </c>
      <c r="C72" s="804" t="s">
        <v>607</v>
      </c>
      <c r="D72" s="804" t="s">
        <v>297</v>
      </c>
      <c r="E72" s="804">
        <v>1</v>
      </c>
      <c r="F72" s="804" t="s">
        <v>317</v>
      </c>
      <c r="G72" s="804" t="s">
        <v>584</v>
      </c>
      <c r="H72" s="804" t="s">
        <v>518</v>
      </c>
      <c r="I72" s="804"/>
      <c r="J72" s="804"/>
      <c r="K72" s="804"/>
      <c r="L72" s="804" t="s">
        <v>32</v>
      </c>
      <c r="M72" s="804" t="s">
        <v>459</v>
      </c>
      <c r="N72" s="804" t="s">
        <v>4</v>
      </c>
      <c r="O72" s="804" t="s">
        <v>27</v>
      </c>
      <c r="P72" s="804">
        <f>S72/P$5*100000</f>
        <v>0</v>
      </c>
      <c r="Q72" s="804">
        <v>0</v>
      </c>
      <c r="R72" s="804">
        <f t="shared" si="3"/>
        <v>1</v>
      </c>
      <c r="S72" s="863">
        <v>0</v>
      </c>
      <c r="T72" s="804"/>
      <c r="U72" s="861" t="s">
        <v>623</v>
      </c>
    </row>
    <row r="73" spans="1:21" s="583" customFormat="1" ht="12.75" customHeight="1" x14ac:dyDescent="0.25">
      <c r="A73" s="804" t="s">
        <v>308</v>
      </c>
      <c r="B73" s="804">
        <v>6</v>
      </c>
      <c r="C73" s="804" t="s">
        <v>607</v>
      </c>
      <c r="D73" s="804" t="s">
        <v>297</v>
      </c>
      <c r="E73" s="804">
        <v>1</v>
      </c>
      <c r="F73" s="804" t="s">
        <v>317</v>
      </c>
      <c r="G73" s="804" t="s">
        <v>584</v>
      </c>
      <c r="H73" s="804" t="s">
        <v>518</v>
      </c>
      <c r="I73" s="804"/>
      <c r="J73" s="804"/>
      <c r="K73" s="804"/>
      <c r="L73" s="804" t="s">
        <v>32</v>
      </c>
      <c r="M73" s="804" t="s">
        <v>459</v>
      </c>
      <c r="N73" s="804" t="s">
        <v>5</v>
      </c>
      <c r="O73" s="804" t="s">
        <v>27</v>
      </c>
      <c r="P73" s="804">
        <f>S73/P$6*100000</f>
        <v>1.5443717302754776</v>
      </c>
      <c r="Q73" s="804">
        <v>0</v>
      </c>
      <c r="R73" s="804">
        <f t="shared" si="3"/>
        <v>1</v>
      </c>
      <c r="S73" s="863">
        <v>0.8</v>
      </c>
      <c r="T73" s="804"/>
      <c r="U73" s="861" t="s">
        <v>623</v>
      </c>
    </row>
    <row r="74" spans="1:21" s="583" customFormat="1" ht="12.75" customHeight="1" x14ac:dyDescent="0.25">
      <c r="A74" s="804" t="s">
        <v>308</v>
      </c>
      <c r="B74" s="804">
        <v>6</v>
      </c>
      <c r="C74" s="804" t="s">
        <v>607</v>
      </c>
      <c r="D74" s="804" t="s">
        <v>297</v>
      </c>
      <c r="E74" s="804">
        <v>1</v>
      </c>
      <c r="F74" s="804" t="s">
        <v>317</v>
      </c>
      <c r="G74" s="804" t="s">
        <v>584</v>
      </c>
      <c r="H74" s="804" t="s">
        <v>518</v>
      </c>
      <c r="I74" s="804"/>
      <c r="J74" s="804"/>
      <c r="K74" s="804"/>
      <c r="L74" s="804" t="s">
        <v>32</v>
      </c>
      <c r="M74" s="804" t="s">
        <v>459</v>
      </c>
      <c r="N74" s="804" t="s">
        <v>6</v>
      </c>
      <c r="O74" s="804" t="s">
        <v>27</v>
      </c>
      <c r="P74" s="804">
        <f>S74/P$7*100000</f>
        <v>0</v>
      </c>
      <c r="Q74" s="804">
        <v>0.8373894384257079</v>
      </c>
      <c r="R74" s="804">
        <f t="shared" si="3"/>
        <v>1</v>
      </c>
      <c r="S74" s="863">
        <v>0</v>
      </c>
      <c r="T74" s="804"/>
      <c r="U74" s="861" t="s">
        <v>623</v>
      </c>
    </row>
    <row r="75" spans="1:21" s="583" customFormat="1" ht="12.75" customHeight="1" x14ac:dyDescent="0.25">
      <c r="A75" s="804" t="s">
        <v>308</v>
      </c>
      <c r="B75" s="804">
        <v>6</v>
      </c>
      <c r="C75" s="804" t="s">
        <v>607</v>
      </c>
      <c r="D75" s="804" t="s">
        <v>297</v>
      </c>
      <c r="E75" s="804">
        <v>1</v>
      </c>
      <c r="F75" s="804" t="s">
        <v>317</v>
      </c>
      <c r="G75" s="804" t="s">
        <v>584</v>
      </c>
      <c r="H75" s="804" t="s">
        <v>518</v>
      </c>
      <c r="I75" s="804"/>
      <c r="J75" s="804"/>
      <c r="K75" s="804"/>
      <c r="L75" s="804" t="s">
        <v>32</v>
      </c>
      <c r="M75" s="804" t="s">
        <v>459</v>
      </c>
      <c r="N75" s="804" t="s">
        <v>7</v>
      </c>
      <c r="O75" s="804" t="s">
        <v>27</v>
      </c>
      <c r="P75" s="804">
        <f>S75/P$8*100000</f>
        <v>18.113220884101892</v>
      </c>
      <c r="Q75" s="804">
        <v>18.262851603794459</v>
      </c>
      <c r="R75" s="804">
        <f t="shared" si="3"/>
        <v>1</v>
      </c>
      <c r="S75" s="863">
        <v>8.1999999999999993</v>
      </c>
      <c r="T75" s="804"/>
      <c r="U75" s="861" t="s">
        <v>623</v>
      </c>
    </row>
    <row r="76" spans="1:21" s="583" customFormat="1" ht="12.75" customHeight="1" x14ac:dyDescent="0.25">
      <c r="A76" s="804" t="s">
        <v>308</v>
      </c>
      <c r="B76" s="804">
        <v>6</v>
      </c>
      <c r="C76" s="804" t="s">
        <v>607</v>
      </c>
      <c r="D76" s="804" t="s">
        <v>297</v>
      </c>
      <c r="E76" s="804">
        <v>1</v>
      </c>
      <c r="F76" s="804" t="s">
        <v>317</v>
      </c>
      <c r="G76" s="804" t="s">
        <v>584</v>
      </c>
      <c r="H76" s="804" t="s">
        <v>518</v>
      </c>
      <c r="I76" s="804"/>
      <c r="J76" s="804"/>
      <c r="K76" s="804"/>
      <c r="L76" s="804" t="s">
        <v>32</v>
      </c>
      <c r="M76" s="804" t="s">
        <v>459</v>
      </c>
      <c r="N76" s="804" t="s">
        <v>8</v>
      </c>
      <c r="O76" s="804" t="s">
        <v>27</v>
      </c>
      <c r="P76" s="804">
        <f>S76/P$9*100000</f>
        <v>169.34112253198253</v>
      </c>
      <c r="Q76" s="804">
        <v>174.39325679407062</v>
      </c>
      <c r="R76" s="804">
        <f t="shared" si="3"/>
        <v>0.97103022011880991</v>
      </c>
      <c r="S76" s="863">
        <v>45.8</v>
      </c>
      <c r="T76" s="804"/>
      <c r="U76" s="861" t="s">
        <v>623</v>
      </c>
    </row>
    <row r="77" spans="1:21" s="583" customFormat="1" ht="12.75" customHeight="1" x14ac:dyDescent="0.25">
      <c r="A77" s="804" t="s">
        <v>308</v>
      </c>
      <c r="B77" s="804">
        <v>6</v>
      </c>
      <c r="C77" s="804" t="s">
        <v>607</v>
      </c>
      <c r="D77" s="804" t="s">
        <v>297</v>
      </c>
      <c r="E77" s="804">
        <v>1</v>
      </c>
      <c r="F77" s="804" t="s">
        <v>317</v>
      </c>
      <c r="G77" s="804" t="s">
        <v>584</v>
      </c>
      <c r="H77" s="804" t="s">
        <v>518</v>
      </c>
      <c r="I77" s="804"/>
      <c r="J77" s="804"/>
      <c r="K77" s="804"/>
      <c r="L77" s="804" t="s">
        <v>32</v>
      </c>
      <c r="M77" s="804" t="s">
        <v>459</v>
      </c>
      <c r="N77" s="804" t="s">
        <v>9</v>
      </c>
      <c r="O77" s="804" t="s">
        <v>27</v>
      </c>
      <c r="P77" s="804">
        <f>S77/P$10*100000</f>
        <v>1922.5639876665705</v>
      </c>
      <c r="Q77" s="804">
        <v>1917.7481086615578</v>
      </c>
      <c r="R77" s="804">
        <f t="shared" si="3"/>
        <v>1.0025112156196434</v>
      </c>
      <c r="S77" s="863">
        <v>360.4</v>
      </c>
      <c r="T77" s="804"/>
      <c r="U77" s="861" t="s">
        <v>623</v>
      </c>
    </row>
    <row r="78" spans="1:21" s="583" customFormat="1" ht="12.75" customHeight="1" x14ac:dyDescent="0.25">
      <c r="A78" s="804" t="s">
        <v>308</v>
      </c>
      <c r="B78" s="804">
        <v>6</v>
      </c>
      <c r="C78" s="804" t="s">
        <v>607</v>
      </c>
      <c r="D78" s="804" t="s">
        <v>297</v>
      </c>
      <c r="E78" s="804">
        <v>1</v>
      </c>
      <c r="F78" s="804" t="s">
        <v>317</v>
      </c>
      <c r="G78" s="804" t="s">
        <v>584</v>
      </c>
      <c r="H78" s="804" t="s">
        <v>518</v>
      </c>
      <c r="I78" s="804"/>
      <c r="J78" s="804"/>
      <c r="K78" s="804"/>
      <c r="L78" s="804" t="s">
        <v>32</v>
      </c>
      <c r="M78" s="804" t="s">
        <v>459</v>
      </c>
      <c r="N78" s="804" t="s">
        <v>249</v>
      </c>
      <c r="O78" s="804" t="s">
        <v>26</v>
      </c>
      <c r="P78" s="804">
        <f>S78/P$11*100000</f>
        <v>0</v>
      </c>
      <c r="Q78" s="804">
        <v>0</v>
      </c>
      <c r="R78" s="804">
        <f t="shared" si="3"/>
        <v>1</v>
      </c>
      <c r="S78" s="863">
        <v>0</v>
      </c>
      <c r="T78" s="804"/>
      <c r="U78" s="861" t="s">
        <v>623</v>
      </c>
    </row>
    <row r="79" spans="1:21" s="583" customFormat="1" ht="12.75" customHeight="1" x14ac:dyDescent="0.25">
      <c r="A79" s="804" t="s">
        <v>308</v>
      </c>
      <c r="B79" s="804">
        <v>6</v>
      </c>
      <c r="C79" s="804" t="s">
        <v>607</v>
      </c>
      <c r="D79" s="804" t="s">
        <v>297</v>
      </c>
      <c r="E79" s="804">
        <v>1</v>
      </c>
      <c r="F79" s="804" t="s">
        <v>317</v>
      </c>
      <c r="G79" s="804" t="s">
        <v>584</v>
      </c>
      <c r="H79" s="804" t="s">
        <v>518</v>
      </c>
      <c r="I79" s="804"/>
      <c r="J79" s="804"/>
      <c r="K79" s="804"/>
      <c r="L79" s="804" t="s">
        <v>32</v>
      </c>
      <c r="M79" s="804" t="s">
        <v>459</v>
      </c>
      <c r="N79" s="804" t="s">
        <v>244</v>
      </c>
      <c r="O79" s="804" t="s">
        <v>26</v>
      </c>
      <c r="P79" s="804">
        <f>S79/P$12*100000</f>
        <v>0</v>
      </c>
      <c r="Q79" s="804">
        <v>0</v>
      </c>
      <c r="R79" s="804">
        <f t="shared" si="3"/>
        <v>1</v>
      </c>
      <c r="S79" s="863">
        <v>0</v>
      </c>
      <c r="T79" s="804"/>
      <c r="U79" s="861" t="s">
        <v>623</v>
      </c>
    </row>
    <row r="80" spans="1:21" s="583" customFormat="1" ht="12.75" customHeight="1" x14ac:dyDescent="0.25">
      <c r="A80" s="804" t="s">
        <v>308</v>
      </c>
      <c r="B80" s="804">
        <v>6</v>
      </c>
      <c r="C80" s="804" t="s">
        <v>607</v>
      </c>
      <c r="D80" s="804" t="s">
        <v>297</v>
      </c>
      <c r="E80" s="804">
        <v>1</v>
      </c>
      <c r="F80" s="804" t="s">
        <v>317</v>
      </c>
      <c r="G80" s="804" t="s">
        <v>584</v>
      </c>
      <c r="H80" s="804" t="s">
        <v>518</v>
      </c>
      <c r="I80" s="804"/>
      <c r="J80" s="804"/>
      <c r="K80" s="804"/>
      <c r="L80" s="804" t="s">
        <v>32</v>
      </c>
      <c r="M80" s="804" t="s">
        <v>459</v>
      </c>
      <c r="N80" s="804" t="s">
        <v>4</v>
      </c>
      <c r="O80" s="804" t="s">
        <v>26</v>
      </c>
      <c r="P80" s="804">
        <f>S80/P$13*100000</f>
        <v>0.33493656301496494</v>
      </c>
      <c r="Q80" s="804">
        <v>0.25753283543651817</v>
      </c>
      <c r="R80" s="804">
        <f t="shared" si="3"/>
        <v>1</v>
      </c>
      <c r="S80" s="863">
        <v>0.2</v>
      </c>
      <c r="T80" s="804"/>
      <c r="U80" s="861" t="s">
        <v>623</v>
      </c>
    </row>
    <row r="81" spans="1:21" s="583" customFormat="1" ht="12.75" customHeight="1" x14ac:dyDescent="0.25">
      <c r="A81" s="804" t="s">
        <v>308</v>
      </c>
      <c r="B81" s="804">
        <v>6</v>
      </c>
      <c r="C81" s="804" t="s">
        <v>607</v>
      </c>
      <c r="D81" s="804" t="s">
        <v>297</v>
      </c>
      <c r="E81" s="804">
        <v>1</v>
      </c>
      <c r="F81" s="804" t="s">
        <v>317</v>
      </c>
      <c r="G81" s="804" t="s">
        <v>584</v>
      </c>
      <c r="H81" s="804" t="s">
        <v>518</v>
      </c>
      <c r="I81" s="804"/>
      <c r="J81" s="804"/>
      <c r="K81" s="804"/>
      <c r="L81" s="804" t="s">
        <v>32</v>
      </c>
      <c r="M81" s="804" t="s">
        <v>459</v>
      </c>
      <c r="N81" s="804" t="s">
        <v>5</v>
      </c>
      <c r="O81" s="804" t="s">
        <v>26</v>
      </c>
      <c r="P81" s="804">
        <f>S81/P$14*100000</f>
        <v>5.0954486724536405</v>
      </c>
      <c r="Q81" s="804">
        <v>0</v>
      </c>
      <c r="R81" s="804">
        <f t="shared" si="3"/>
        <v>1</v>
      </c>
      <c r="S81" s="863">
        <v>2.8</v>
      </c>
      <c r="T81" s="804"/>
      <c r="U81" s="861" t="s">
        <v>623</v>
      </c>
    </row>
    <row r="82" spans="1:21" s="583" customFormat="1" ht="12.75" customHeight="1" x14ac:dyDescent="0.25">
      <c r="A82" s="804" t="s">
        <v>308</v>
      </c>
      <c r="B82" s="804">
        <v>6</v>
      </c>
      <c r="C82" s="804" t="s">
        <v>607</v>
      </c>
      <c r="D82" s="804" t="s">
        <v>297</v>
      </c>
      <c r="E82" s="804">
        <v>1</v>
      </c>
      <c r="F82" s="804" t="s">
        <v>317</v>
      </c>
      <c r="G82" s="804" t="s">
        <v>584</v>
      </c>
      <c r="H82" s="804" t="s">
        <v>518</v>
      </c>
      <c r="I82" s="804"/>
      <c r="J82" s="804"/>
      <c r="K82" s="804"/>
      <c r="L82" s="804" t="s">
        <v>32</v>
      </c>
      <c r="M82" s="804" t="s">
        <v>459</v>
      </c>
      <c r="N82" s="804" t="s">
        <v>6</v>
      </c>
      <c r="O82" s="804" t="s">
        <v>26</v>
      </c>
      <c r="P82" s="804">
        <f>S82/P$15*100000</f>
        <v>0</v>
      </c>
      <c r="Q82" s="804">
        <v>3.4501347708894881</v>
      </c>
      <c r="R82" s="804">
        <f t="shared" si="3"/>
        <v>1</v>
      </c>
      <c r="S82" s="863">
        <v>0</v>
      </c>
      <c r="T82" s="804"/>
      <c r="U82" s="861" t="s">
        <v>623</v>
      </c>
    </row>
    <row r="83" spans="1:21" s="583" customFormat="1" ht="12.75" customHeight="1" x14ac:dyDescent="0.25">
      <c r="A83" s="804" t="s">
        <v>308</v>
      </c>
      <c r="B83" s="804">
        <v>6</v>
      </c>
      <c r="C83" s="804" t="s">
        <v>607</v>
      </c>
      <c r="D83" s="804" t="s">
        <v>297</v>
      </c>
      <c r="E83" s="804">
        <v>1</v>
      </c>
      <c r="F83" s="804" t="s">
        <v>317</v>
      </c>
      <c r="G83" s="804" t="s">
        <v>584</v>
      </c>
      <c r="H83" s="804" t="s">
        <v>518</v>
      </c>
      <c r="I83" s="804"/>
      <c r="J83" s="804"/>
      <c r="K83" s="804"/>
      <c r="L83" s="804" t="s">
        <v>32</v>
      </c>
      <c r="M83" s="804" t="s">
        <v>459</v>
      </c>
      <c r="N83" s="804" t="s">
        <v>7</v>
      </c>
      <c r="O83" s="804" t="s">
        <v>26</v>
      </c>
      <c r="P83" s="804">
        <f>S83/P$16*100000</f>
        <v>19.345405466201779</v>
      </c>
      <c r="Q83" s="804">
        <v>19.781184137648271</v>
      </c>
      <c r="R83" s="804">
        <f t="shared" si="3"/>
        <v>1</v>
      </c>
      <c r="S83" s="863">
        <v>8.6</v>
      </c>
      <c r="T83" s="804"/>
      <c r="U83" s="861" t="s">
        <v>623</v>
      </c>
    </row>
    <row r="84" spans="1:21" s="583" customFormat="1" ht="12.75" customHeight="1" x14ac:dyDescent="0.25">
      <c r="A84" s="804" t="s">
        <v>308</v>
      </c>
      <c r="B84" s="804">
        <v>6</v>
      </c>
      <c r="C84" s="804" t="s">
        <v>607</v>
      </c>
      <c r="D84" s="804" t="s">
        <v>297</v>
      </c>
      <c r="E84" s="804">
        <v>1</v>
      </c>
      <c r="F84" s="804" t="s">
        <v>317</v>
      </c>
      <c r="G84" s="804" t="s">
        <v>584</v>
      </c>
      <c r="H84" s="804" t="s">
        <v>518</v>
      </c>
      <c r="I84" s="804"/>
      <c r="J84" s="804"/>
      <c r="K84" s="804"/>
      <c r="L84" s="804" t="s">
        <v>32</v>
      </c>
      <c r="M84" s="804" t="s">
        <v>459</v>
      </c>
      <c r="N84" s="804" t="s">
        <v>8</v>
      </c>
      <c r="O84" s="804" t="s">
        <v>26</v>
      </c>
      <c r="P84" s="804">
        <f>S84/P$17*100000</f>
        <v>128.32207294259521</v>
      </c>
      <c r="Q84" s="804">
        <v>139.96715437444013</v>
      </c>
      <c r="R84" s="804">
        <f t="shared" si="3"/>
        <v>0.9168013275408029</v>
      </c>
      <c r="S84" s="863">
        <v>33.200000000000003</v>
      </c>
      <c r="T84" s="804"/>
      <c r="U84" s="861" t="s">
        <v>623</v>
      </c>
    </row>
    <row r="85" spans="1:21" s="583" customFormat="1" ht="12.75" customHeight="1" x14ac:dyDescent="0.25">
      <c r="A85" s="804" t="s">
        <v>308</v>
      </c>
      <c r="B85" s="804">
        <v>6</v>
      </c>
      <c r="C85" s="804" t="s">
        <v>607</v>
      </c>
      <c r="D85" s="804" t="s">
        <v>297</v>
      </c>
      <c r="E85" s="804">
        <v>1</v>
      </c>
      <c r="F85" s="804" t="s">
        <v>317</v>
      </c>
      <c r="G85" s="804" t="s">
        <v>584</v>
      </c>
      <c r="H85" s="804" t="s">
        <v>518</v>
      </c>
      <c r="I85" s="804"/>
      <c r="J85" s="804"/>
      <c r="K85" s="804"/>
      <c r="L85" s="804" t="s">
        <v>32</v>
      </c>
      <c r="M85" s="804" t="s">
        <v>459</v>
      </c>
      <c r="N85" s="804" t="s">
        <v>9</v>
      </c>
      <c r="O85" s="804" t="s">
        <v>26</v>
      </c>
      <c r="P85" s="804">
        <f>S85/P$18*100000</f>
        <v>1303.8694020289113</v>
      </c>
      <c r="Q85" s="804">
        <v>1288.2241160217773</v>
      </c>
      <c r="R85" s="804">
        <f t="shared" ref="R85:R148" si="4">IF(S85&lt;10, 1, P85/Q85)</f>
        <v>1.0121448479441986</v>
      </c>
      <c r="S85" s="863">
        <v>173</v>
      </c>
      <c r="T85" s="804"/>
      <c r="U85" s="861" t="s">
        <v>623</v>
      </c>
    </row>
    <row r="86" spans="1:21" s="583" customFormat="1" ht="12.75" customHeight="1" x14ac:dyDescent="0.25">
      <c r="A86" s="804" t="s">
        <v>308</v>
      </c>
      <c r="B86" s="804">
        <v>6</v>
      </c>
      <c r="C86" s="804" t="s">
        <v>607</v>
      </c>
      <c r="D86" s="804" t="s">
        <v>297</v>
      </c>
      <c r="E86" s="804">
        <v>1</v>
      </c>
      <c r="F86" s="804" t="s">
        <v>317</v>
      </c>
      <c r="G86" s="804" t="s">
        <v>584</v>
      </c>
      <c r="H86" s="804" t="s">
        <v>518</v>
      </c>
      <c r="I86" s="804"/>
      <c r="J86" s="804"/>
      <c r="K86" s="804"/>
      <c r="L86" s="804" t="s">
        <v>30</v>
      </c>
      <c r="M86" s="804" t="s">
        <v>460</v>
      </c>
      <c r="N86" s="804" t="s">
        <v>249</v>
      </c>
      <c r="O86" s="804" t="s">
        <v>27</v>
      </c>
      <c r="P86" s="804">
        <f>S86/P$3*100000</f>
        <v>0</v>
      </c>
      <c r="Q86" s="804">
        <v>0</v>
      </c>
      <c r="R86" s="804">
        <f t="shared" si="4"/>
        <v>1</v>
      </c>
      <c r="S86" s="863">
        <v>0</v>
      </c>
      <c r="T86" s="804"/>
      <c r="U86" s="861" t="s">
        <v>623</v>
      </c>
    </row>
    <row r="87" spans="1:21" s="583" customFormat="1" ht="12.75" customHeight="1" x14ac:dyDescent="0.25">
      <c r="A87" s="804" t="s">
        <v>308</v>
      </c>
      <c r="B87" s="804">
        <v>6</v>
      </c>
      <c r="C87" s="804" t="s">
        <v>607</v>
      </c>
      <c r="D87" s="804" t="s">
        <v>297</v>
      </c>
      <c r="E87" s="804">
        <v>1</v>
      </c>
      <c r="F87" s="804" t="s">
        <v>317</v>
      </c>
      <c r="G87" s="804" t="s">
        <v>584</v>
      </c>
      <c r="H87" s="804" t="s">
        <v>518</v>
      </c>
      <c r="I87" s="804"/>
      <c r="J87" s="804"/>
      <c r="K87" s="804"/>
      <c r="L87" s="804" t="s">
        <v>30</v>
      </c>
      <c r="M87" s="804" t="s">
        <v>460</v>
      </c>
      <c r="N87" s="804" t="s">
        <v>244</v>
      </c>
      <c r="O87" s="804" t="s">
        <v>27</v>
      </c>
      <c r="P87" s="804">
        <f>S87/P$4*100000</f>
        <v>0</v>
      </c>
      <c r="Q87" s="804">
        <v>0</v>
      </c>
      <c r="R87" s="804">
        <f t="shared" si="4"/>
        <v>1</v>
      </c>
      <c r="S87" s="863">
        <v>0</v>
      </c>
      <c r="T87" s="804"/>
      <c r="U87" s="861" t="s">
        <v>623</v>
      </c>
    </row>
    <row r="88" spans="1:21" s="583" customFormat="1" ht="12.75" customHeight="1" x14ac:dyDescent="0.25">
      <c r="A88" s="804" t="s">
        <v>308</v>
      </c>
      <c r="B88" s="804">
        <v>6</v>
      </c>
      <c r="C88" s="804" t="s">
        <v>607</v>
      </c>
      <c r="D88" s="804" t="s">
        <v>297</v>
      </c>
      <c r="E88" s="804">
        <v>1</v>
      </c>
      <c r="F88" s="804" t="s">
        <v>317</v>
      </c>
      <c r="G88" s="804" t="s">
        <v>584</v>
      </c>
      <c r="H88" s="804" t="s">
        <v>518</v>
      </c>
      <c r="I88" s="804"/>
      <c r="J88" s="804"/>
      <c r="K88" s="804"/>
      <c r="L88" s="804" t="s">
        <v>30</v>
      </c>
      <c r="M88" s="804" t="s">
        <v>460</v>
      </c>
      <c r="N88" s="804" t="s">
        <v>4</v>
      </c>
      <c r="O88" s="804" t="s">
        <v>27</v>
      </c>
      <c r="P88" s="804">
        <f>S88/P$5*100000</f>
        <v>0</v>
      </c>
      <c r="Q88" s="804">
        <v>0</v>
      </c>
      <c r="R88" s="804">
        <f t="shared" si="4"/>
        <v>1</v>
      </c>
      <c r="S88" s="863">
        <v>0</v>
      </c>
      <c r="T88" s="804"/>
      <c r="U88" s="861" t="s">
        <v>623</v>
      </c>
    </row>
    <row r="89" spans="1:21" s="583" customFormat="1" ht="12.75" customHeight="1" x14ac:dyDescent="0.25">
      <c r="A89" s="804" t="s">
        <v>308</v>
      </c>
      <c r="B89" s="804">
        <v>6</v>
      </c>
      <c r="C89" s="804" t="s">
        <v>607</v>
      </c>
      <c r="D89" s="804" t="s">
        <v>297</v>
      </c>
      <c r="E89" s="804">
        <v>1</v>
      </c>
      <c r="F89" s="804" t="s">
        <v>317</v>
      </c>
      <c r="G89" s="804" t="s">
        <v>584</v>
      </c>
      <c r="H89" s="804" t="s">
        <v>518</v>
      </c>
      <c r="I89" s="804"/>
      <c r="J89" s="804"/>
      <c r="K89" s="804"/>
      <c r="L89" s="804" t="s">
        <v>30</v>
      </c>
      <c r="M89" s="804" t="s">
        <v>460</v>
      </c>
      <c r="N89" s="804" t="s">
        <v>5</v>
      </c>
      <c r="O89" s="804" t="s">
        <v>27</v>
      </c>
      <c r="P89" s="804">
        <f>S89/P$6*100000</f>
        <v>0.77218586513773879</v>
      </c>
      <c r="Q89" s="804">
        <v>0</v>
      </c>
      <c r="R89" s="804">
        <f t="shared" si="4"/>
        <v>1</v>
      </c>
      <c r="S89" s="863">
        <v>0.4</v>
      </c>
      <c r="T89" s="804"/>
      <c r="U89" s="861" t="s">
        <v>623</v>
      </c>
    </row>
    <row r="90" spans="1:21" s="583" customFormat="1" ht="12.75" customHeight="1" x14ac:dyDescent="0.25">
      <c r="A90" s="804" t="s">
        <v>308</v>
      </c>
      <c r="B90" s="804">
        <v>6</v>
      </c>
      <c r="C90" s="804" t="s">
        <v>607</v>
      </c>
      <c r="D90" s="804" t="s">
        <v>297</v>
      </c>
      <c r="E90" s="804">
        <v>1</v>
      </c>
      <c r="F90" s="804" t="s">
        <v>317</v>
      </c>
      <c r="G90" s="804" t="s">
        <v>584</v>
      </c>
      <c r="H90" s="804" t="s">
        <v>518</v>
      </c>
      <c r="I90" s="804"/>
      <c r="J90" s="804"/>
      <c r="K90" s="804"/>
      <c r="L90" s="804" t="s">
        <v>30</v>
      </c>
      <c r="M90" s="804" t="s">
        <v>460</v>
      </c>
      <c r="N90" s="804" t="s">
        <v>6</v>
      </c>
      <c r="O90" s="804" t="s">
        <v>27</v>
      </c>
      <c r="P90" s="804">
        <f>S90/P$7*100000</f>
        <v>0</v>
      </c>
      <c r="Q90" s="804">
        <v>0.62804207881928098</v>
      </c>
      <c r="R90" s="804">
        <f t="shared" si="4"/>
        <v>1</v>
      </c>
      <c r="S90" s="863">
        <v>0</v>
      </c>
      <c r="T90" s="804"/>
      <c r="U90" s="861" t="s">
        <v>623</v>
      </c>
    </row>
    <row r="91" spans="1:21" s="583" customFormat="1" ht="12.75" customHeight="1" x14ac:dyDescent="0.25">
      <c r="A91" s="804" t="s">
        <v>308</v>
      </c>
      <c r="B91" s="804">
        <v>6</v>
      </c>
      <c r="C91" s="804" t="s">
        <v>607</v>
      </c>
      <c r="D91" s="804" t="s">
        <v>297</v>
      </c>
      <c r="E91" s="804">
        <v>1</v>
      </c>
      <c r="F91" s="804" t="s">
        <v>317</v>
      </c>
      <c r="G91" s="804" t="s">
        <v>584</v>
      </c>
      <c r="H91" s="804" t="s">
        <v>518</v>
      </c>
      <c r="I91" s="804"/>
      <c r="J91" s="804"/>
      <c r="K91" s="804"/>
      <c r="L91" s="804" t="s">
        <v>30</v>
      </c>
      <c r="M91" s="804" t="s">
        <v>460</v>
      </c>
      <c r="N91" s="804" t="s">
        <v>7</v>
      </c>
      <c r="O91" s="804" t="s">
        <v>27</v>
      </c>
      <c r="P91" s="804">
        <f>S91/P$8*100000</f>
        <v>1.7671435008879894</v>
      </c>
      <c r="Q91" s="804">
        <v>1.053626054065065</v>
      </c>
      <c r="R91" s="804">
        <f t="shared" si="4"/>
        <v>1</v>
      </c>
      <c r="S91" s="863">
        <v>0.8</v>
      </c>
      <c r="T91" s="804"/>
      <c r="U91" s="861" t="s">
        <v>623</v>
      </c>
    </row>
    <row r="92" spans="1:21" s="583" customFormat="1" ht="12.75" customHeight="1" x14ac:dyDescent="0.25">
      <c r="A92" s="804" t="s">
        <v>308</v>
      </c>
      <c r="B92" s="804">
        <v>6</v>
      </c>
      <c r="C92" s="804" t="s">
        <v>607</v>
      </c>
      <c r="D92" s="804" t="s">
        <v>297</v>
      </c>
      <c r="E92" s="804">
        <v>1</v>
      </c>
      <c r="F92" s="804" t="s">
        <v>317</v>
      </c>
      <c r="G92" s="804" t="s">
        <v>584</v>
      </c>
      <c r="H92" s="804" t="s">
        <v>518</v>
      </c>
      <c r="I92" s="804"/>
      <c r="J92" s="804"/>
      <c r="K92" s="804"/>
      <c r="L92" s="804" t="s">
        <v>30</v>
      </c>
      <c r="M92" s="804" t="s">
        <v>460</v>
      </c>
      <c r="N92" s="804" t="s">
        <v>8</v>
      </c>
      <c r="O92" s="804" t="s">
        <v>27</v>
      </c>
      <c r="P92" s="804">
        <f>S92/P$9*100000</f>
        <v>2.2184426532574131</v>
      </c>
      <c r="Q92" s="804">
        <v>2.3252434239209419</v>
      </c>
      <c r="R92" s="804">
        <f t="shared" si="4"/>
        <v>1</v>
      </c>
      <c r="S92" s="863">
        <v>0.6</v>
      </c>
      <c r="T92" s="804"/>
      <c r="U92" s="861" t="s">
        <v>623</v>
      </c>
    </row>
    <row r="93" spans="1:21" s="583" customFormat="1" ht="12.75" customHeight="1" x14ac:dyDescent="0.25">
      <c r="A93" s="804" t="s">
        <v>308</v>
      </c>
      <c r="B93" s="804">
        <v>6</v>
      </c>
      <c r="C93" s="804" t="s">
        <v>607</v>
      </c>
      <c r="D93" s="804" t="s">
        <v>297</v>
      </c>
      <c r="E93" s="804">
        <v>1</v>
      </c>
      <c r="F93" s="804" t="s">
        <v>317</v>
      </c>
      <c r="G93" s="804" t="s">
        <v>584</v>
      </c>
      <c r="H93" s="804" t="s">
        <v>518</v>
      </c>
      <c r="I93" s="804"/>
      <c r="J93" s="804"/>
      <c r="K93" s="804"/>
      <c r="L93" s="804" t="s">
        <v>30</v>
      </c>
      <c r="M93" s="804" t="s">
        <v>460</v>
      </c>
      <c r="N93" s="804" t="s">
        <v>9</v>
      </c>
      <c r="O93" s="804" t="s">
        <v>27</v>
      </c>
      <c r="P93" s="804">
        <f>S93/P$10*100000</f>
        <v>4.2676226141322324</v>
      </c>
      <c r="Q93" s="804">
        <v>9.7512615694655498</v>
      </c>
      <c r="R93" s="804">
        <f t="shared" si="4"/>
        <v>1</v>
      </c>
      <c r="S93" s="863">
        <v>0.8</v>
      </c>
      <c r="T93" s="804"/>
      <c r="U93" s="861" t="s">
        <v>623</v>
      </c>
    </row>
    <row r="94" spans="1:21" s="583" customFormat="1" ht="12.75" customHeight="1" x14ac:dyDescent="0.25">
      <c r="A94" s="804" t="s">
        <v>308</v>
      </c>
      <c r="B94" s="804">
        <v>6</v>
      </c>
      <c r="C94" s="804" t="s">
        <v>607</v>
      </c>
      <c r="D94" s="804" t="s">
        <v>297</v>
      </c>
      <c r="E94" s="804">
        <v>1</v>
      </c>
      <c r="F94" s="804" t="s">
        <v>317</v>
      </c>
      <c r="G94" s="804" t="s">
        <v>584</v>
      </c>
      <c r="H94" s="804" t="s">
        <v>518</v>
      </c>
      <c r="I94" s="804"/>
      <c r="J94" s="804"/>
      <c r="K94" s="804"/>
      <c r="L94" s="804" t="s">
        <v>30</v>
      </c>
      <c r="M94" s="804" t="s">
        <v>460</v>
      </c>
      <c r="N94" s="804" t="s">
        <v>249</v>
      </c>
      <c r="O94" s="804" t="s">
        <v>26</v>
      </c>
      <c r="P94" s="804">
        <f>S94/P$11*100000</f>
        <v>0</v>
      </c>
      <c r="Q94" s="804">
        <v>0</v>
      </c>
      <c r="R94" s="804">
        <f t="shared" si="4"/>
        <v>1</v>
      </c>
      <c r="S94" s="863">
        <v>0</v>
      </c>
      <c r="T94" s="804"/>
      <c r="U94" s="861" t="s">
        <v>623</v>
      </c>
    </row>
    <row r="95" spans="1:21" s="583" customFormat="1" ht="12.75" customHeight="1" x14ac:dyDescent="0.25">
      <c r="A95" s="804" t="s">
        <v>308</v>
      </c>
      <c r="B95" s="804">
        <v>6</v>
      </c>
      <c r="C95" s="804" t="s">
        <v>607</v>
      </c>
      <c r="D95" s="804" t="s">
        <v>297</v>
      </c>
      <c r="E95" s="804">
        <v>1</v>
      </c>
      <c r="F95" s="804" t="s">
        <v>317</v>
      </c>
      <c r="G95" s="804" t="s">
        <v>584</v>
      </c>
      <c r="H95" s="804" t="s">
        <v>518</v>
      </c>
      <c r="I95" s="804"/>
      <c r="J95" s="804"/>
      <c r="K95" s="804"/>
      <c r="L95" s="804" t="s">
        <v>30</v>
      </c>
      <c r="M95" s="804" t="s">
        <v>460</v>
      </c>
      <c r="N95" s="804" t="s">
        <v>244</v>
      </c>
      <c r="O95" s="804" t="s">
        <v>26</v>
      </c>
      <c r="P95" s="804">
        <f>S95/P$12*100000</f>
        <v>0</v>
      </c>
      <c r="Q95" s="804">
        <v>0</v>
      </c>
      <c r="R95" s="804">
        <f t="shared" si="4"/>
        <v>1</v>
      </c>
      <c r="S95" s="863">
        <v>0</v>
      </c>
      <c r="T95" s="804"/>
      <c r="U95" s="861" t="s">
        <v>623</v>
      </c>
    </row>
    <row r="96" spans="1:21" s="583" customFormat="1" ht="12.75" customHeight="1" x14ac:dyDescent="0.25">
      <c r="A96" s="804" t="s">
        <v>308</v>
      </c>
      <c r="B96" s="804">
        <v>6</v>
      </c>
      <c r="C96" s="804" t="s">
        <v>607</v>
      </c>
      <c r="D96" s="804" t="s">
        <v>297</v>
      </c>
      <c r="E96" s="804">
        <v>1</v>
      </c>
      <c r="F96" s="804" t="s">
        <v>317</v>
      </c>
      <c r="G96" s="804" t="s">
        <v>584</v>
      </c>
      <c r="H96" s="804" t="s">
        <v>518</v>
      </c>
      <c r="I96" s="804"/>
      <c r="J96" s="804"/>
      <c r="K96" s="804"/>
      <c r="L96" s="804" t="s">
        <v>30</v>
      </c>
      <c r="M96" s="804" t="s">
        <v>460</v>
      </c>
      <c r="N96" s="804" t="s">
        <v>4</v>
      </c>
      <c r="O96" s="804" t="s">
        <v>26</v>
      </c>
      <c r="P96" s="804">
        <f>S96/P$13*100000</f>
        <v>0.33493656301496494</v>
      </c>
      <c r="Q96" s="804">
        <v>0</v>
      </c>
      <c r="R96" s="804">
        <f t="shared" si="4"/>
        <v>1</v>
      </c>
      <c r="S96" s="863">
        <v>0.2</v>
      </c>
      <c r="T96" s="804"/>
      <c r="U96" s="861" t="s">
        <v>623</v>
      </c>
    </row>
    <row r="97" spans="1:21" s="583" customFormat="1" ht="12.75" customHeight="1" x14ac:dyDescent="0.25">
      <c r="A97" s="804" t="s">
        <v>308</v>
      </c>
      <c r="B97" s="804">
        <v>6</v>
      </c>
      <c r="C97" s="804" t="s">
        <v>607</v>
      </c>
      <c r="D97" s="804" t="s">
        <v>297</v>
      </c>
      <c r="E97" s="804">
        <v>1</v>
      </c>
      <c r="F97" s="804" t="s">
        <v>317</v>
      </c>
      <c r="G97" s="804" t="s">
        <v>584</v>
      </c>
      <c r="H97" s="804" t="s">
        <v>518</v>
      </c>
      <c r="I97" s="804"/>
      <c r="J97" s="804"/>
      <c r="K97" s="804"/>
      <c r="L97" s="804" t="s">
        <v>30</v>
      </c>
      <c r="M97" s="804" t="s">
        <v>460</v>
      </c>
      <c r="N97" s="804" t="s">
        <v>5</v>
      </c>
      <c r="O97" s="804" t="s">
        <v>26</v>
      </c>
      <c r="P97" s="804">
        <f>S97/P$14*100000</f>
        <v>1.0918818583829231</v>
      </c>
      <c r="Q97" s="804">
        <v>0.27804037146193628</v>
      </c>
      <c r="R97" s="804">
        <f t="shared" si="4"/>
        <v>1</v>
      </c>
      <c r="S97" s="863">
        <v>0.6</v>
      </c>
      <c r="T97" s="804"/>
      <c r="U97" s="861" t="s">
        <v>623</v>
      </c>
    </row>
    <row r="98" spans="1:21" s="583" customFormat="1" ht="12.75" customHeight="1" x14ac:dyDescent="0.25">
      <c r="A98" s="804" t="s">
        <v>308</v>
      </c>
      <c r="B98" s="804">
        <v>6</v>
      </c>
      <c r="C98" s="804" t="s">
        <v>607</v>
      </c>
      <c r="D98" s="804" t="s">
        <v>297</v>
      </c>
      <c r="E98" s="804">
        <v>1</v>
      </c>
      <c r="F98" s="804" t="s">
        <v>317</v>
      </c>
      <c r="G98" s="804" t="s">
        <v>584</v>
      </c>
      <c r="H98" s="804" t="s">
        <v>518</v>
      </c>
      <c r="I98" s="804"/>
      <c r="J98" s="804"/>
      <c r="K98" s="804"/>
      <c r="L98" s="804" t="s">
        <v>30</v>
      </c>
      <c r="M98" s="804" t="s">
        <v>460</v>
      </c>
      <c r="N98" s="804" t="s">
        <v>6</v>
      </c>
      <c r="O98" s="804" t="s">
        <v>26</v>
      </c>
      <c r="P98" s="804">
        <f>S98/P$15*100000</f>
        <v>0</v>
      </c>
      <c r="Q98" s="804">
        <v>0.64690026954177904</v>
      </c>
      <c r="R98" s="804">
        <f t="shared" si="4"/>
        <v>1</v>
      </c>
      <c r="S98" s="863">
        <v>0</v>
      </c>
      <c r="T98" s="804"/>
      <c r="U98" s="861" t="s">
        <v>623</v>
      </c>
    </row>
    <row r="99" spans="1:21" s="583" customFormat="1" ht="12.75" customHeight="1" x14ac:dyDescent="0.25">
      <c r="A99" s="804" t="s">
        <v>308</v>
      </c>
      <c r="B99" s="804">
        <v>6</v>
      </c>
      <c r="C99" s="804" t="s">
        <v>607</v>
      </c>
      <c r="D99" s="804" t="s">
        <v>297</v>
      </c>
      <c r="E99" s="804">
        <v>1</v>
      </c>
      <c r="F99" s="804" t="s">
        <v>317</v>
      </c>
      <c r="G99" s="804" t="s">
        <v>584</v>
      </c>
      <c r="H99" s="804" t="s">
        <v>518</v>
      </c>
      <c r="I99" s="804"/>
      <c r="J99" s="804"/>
      <c r="K99" s="804"/>
      <c r="L99" s="804" t="s">
        <v>30</v>
      </c>
      <c r="M99" s="804" t="s">
        <v>460</v>
      </c>
      <c r="N99" s="804" t="s">
        <v>7</v>
      </c>
      <c r="O99" s="804" t="s">
        <v>26</v>
      </c>
      <c r="P99" s="804">
        <f>S99/P$16*100000</f>
        <v>0.89978630075357113</v>
      </c>
      <c r="Q99" s="804">
        <v>0.71931578682357344</v>
      </c>
      <c r="R99" s="804">
        <f t="shared" si="4"/>
        <v>1</v>
      </c>
      <c r="S99" s="863">
        <v>0.4</v>
      </c>
      <c r="T99" s="804"/>
      <c r="U99" s="861" t="s">
        <v>623</v>
      </c>
    </row>
    <row r="100" spans="1:21" s="583" customFormat="1" ht="12.75" customHeight="1" x14ac:dyDescent="0.25">
      <c r="A100" s="804" t="s">
        <v>308</v>
      </c>
      <c r="B100" s="804">
        <v>6</v>
      </c>
      <c r="C100" s="804" t="s">
        <v>607</v>
      </c>
      <c r="D100" s="804" t="s">
        <v>297</v>
      </c>
      <c r="E100" s="804">
        <v>1</v>
      </c>
      <c r="F100" s="804" t="s">
        <v>317</v>
      </c>
      <c r="G100" s="804" t="s">
        <v>584</v>
      </c>
      <c r="H100" s="804" t="s">
        <v>518</v>
      </c>
      <c r="I100" s="804"/>
      <c r="J100" s="804"/>
      <c r="K100" s="804"/>
      <c r="L100" s="804" t="s">
        <v>30</v>
      </c>
      <c r="M100" s="804" t="s">
        <v>460</v>
      </c>
      <c r="N100" s="804" t="s">
        <v>8</v>
      </c>
      <c r="O100" s="804" t="s">
        <v>26</v>
      </c>
      <c r="P100" s="804">
        <f>S100/P$17*100000</f>
        <v>3.8651226789938309</v>
      </c>
      <c r="Q100" s="804">
        <v>3.1103812083208915</v>
      </c>
      <c r="R100" s="804">
        <f t="shared" si="4"/>
        <v>1</v>
      </c>
      <c r="S100" s="863">
        <v>1</v>
      </c>
      <c r="T100" s="804"/>
      <c r="U100" s="861" t="s">
        <v>623</v>
      </c>
    </row>
    <row r="101" spans="1:21" s="583" customFormat="1" ht="12.75" customHeight="1" x14ac:dyDescent="0.25">
      <c r="A101" s="804" t="s">
        <v>308</v>
      </c>
      <c r="B101" s="804">
        <v>6</v>
      </c>
      <c r="C101" s="804" t="s">
        <v>607</v>
      </c>
      <c r="D101" s="804" t="s">
        <v>297</v>
      </c>
      <c r="E101" s="804">
        <v>1</v>
      </c>
      <c r="F101" s="804" t="s">
        <v>317</v>
      </c>
      <c r="G101" s="804" t="s">
        <v>584</v>
      </c>
      <c r="H101" s="804" t="s">
        <v>518</v>
      </c>
      <c r="I101" s="804"/>
      <c r="J101" s="804"/>
      <c r="K101" s="804"/>
      <c r="L101" s="804" t="s">
        <v>30</v>
      </c>
      <c r="M101" s="804" t="s">
        <v>460</v>
      </c>
      <c r="N101" s="804" t="s">
        <v>9</v>
      </c>
      <c r="O101" s="804" t="s">
        <v>26</v>
      </c>
      <c r="P101" s="804">
        <f>S101/P$18*100000</f>
        <v>4.5220904116609635</v>
      </c>
      <c r="Q101" s="804">
        <v>4.6632547186308688</v>
      </c>
      <c r="R101" s="804">
        <f t="shared" si="4"/>
        <v>1</v>
      </c>
      <c r="S101" s="863">
        <v>0.6</v>
      </c>
      <c r="T101" s="804"/>
      <c r="U101" s="861" t="s">
        <v>623</v>
      </c>
    </row>
    <row r="102" spans="1:21" s="583" customFormat="1" ht="12.75" customHeight="1" x14ac:dyDescent="0.25">
      <c r="A102" s="804" t="s">
        <v>308</v>
      </c>
      <c r="B102" s="804">
        <v>6</v>
      </c>
      <c r="C102" s="804" t="s">
        <v>607</v>
      </c>
      <c r="D102" s="804" t="s">
        <v>297</v>
      </c>
      <c r="E102" s="804">
        <v>1</v>
      </c>
      <c r="F102" s="804" t="s">
        <v>317</v>
      </c>
      <c r="G102" s="804" t="s">
        <v>584</v>
      </c>
      <c r="H102" s="804" t="s">
        <v>518</v>
      </c>
      <c r="I102" s="804"/>
      <c r="J102" s="804"/>
      <c r="K102" s="804"/>
      <c r="L102" s="804" t="s">
        <v>33</v>
      </c>
      <c r="M102" s="804" t="s">
        <v>461</v>
      </c>
      <c r="N102" s="804" t="s">
        <v>249</v>
      </c>
      <c r="O102" s="804" t="s">
        <v>27</v>
      </c>
      <c r="P102" s="804">
        <f>S102/P$3*100000</f>
        <v>0</v>
      </c>
      <c r="Q102" s="804">
        <v>0</v>
      </c>
      <c r="R102" s="804">
        <f t="shared" si="4"/>
        <v>1</v>
      </c>
      <c r="S102" s="863">
        <v>0</v>
      </c>
      <c r="T102" s="804"/>
      <c r="U102" s="861" t="s">
        <v>623</v>
      </c>
    </row>
    <row r="103" spans="1:21" s="583" customFormat="1" ht="12.75" customHeight="1" x14ac:dyDescent="0.25">
      <c r="A103" s="804" t="s">
        <v>308</v>
      </c>
      <c r="B103" s="804">
        <v>6</v>
      </c>
      <c r="C103" s="804" t="s">
        <v>607</v>
      </c>
      <c r="D103" s="804" t="s">
        <v>297</v>
      </c>
      <c r="E103" s="804">
        <v>1</v>
      </c>
      <c r="F103" s="804" t="s">
        <v>317</v>
      </c>
      <c r="G103" s="804" t="s">
        <v>584</v>
      </c>
      <c r="H103" s="804" t="s">
        <v>518</v>
      </c>
      <c r="I103" s="804"/>
      <c r="J103" s="804"/>
      <c r="K103" s="804"/>
      <c r="L103" s="804" t="s">
        <v>33</v>
      </c>
      <c r="M103" s="804" t="s">
        <v>461</v>
      </c>
      <c r="N103" s="804" t="s">
        <v>244</v>
      </c>
      <c r="O103" s="804" t="s">
        <v>27</v>
      </c>
      <c r="P103" s="804">
        <f>S103/P$4*100000</f>
        <v>2.1076703392822331</v>
      </c>
      <c r="Q103" s="804">
        <v>0</v>
      </c>
      <c r="R103" s="804">
        <f t="shared" si="4"/>
        <v>1</v>
      </c>
      <c r="S103" s="863">
        <v>0.8</v>
      </c>
      <c r="T103" s="804"/>
      <c r="U103" s="861" t="s">
        <v>623</v>
      </c>
    </row>
    <row r="104" spans="1:21" s="583" customFormat="1" ht="12.75" customHeight="1" x14ac:dyDescent="0.25">
      <c r="A104" s="804" t="s">
        <v>308</v>
      </c>
      <c r="B104" s="804">
        <v>6</v>
      </c>
      <c r="C104" s="804" t="s">
        <v>607</v>
      </c>
      <c r="D104" s="804" t="s">
        <v>297</v>
      </c>
      <c r="E104" s="804">
        <v>1</v>
      </c>
      <c r="F104" s="804" t="s">
        <v>317</v>
      </c>
      <c r="G104" s="804" t="s">
        <v>584</v>
      </c>
      <c r="H104" s="804" t="s">
        <v>518</v>
      </c>
      <c r="I104" s="804"/>
      <c r="J104" s="804"/>
      <c r="K104" s="804"/>
      <c r="L104" s="804" t="s">
        <v>33</v>
      </c>
      <c r="M104" s="804" t="s">
        <v>461</v>
      </c>
      <c r="N104" s="804" t="s">
        <v>4</v>
      </c>
      <c r="O104" s="804" t="s">
        <v>27</v>
      </c>
      <c r="P104" s="804">
        <f>S104/P$5*100000</f>
        <v>4.1024875992988479</v>
      </c>
      <c r="Q104" s="804">
        <v>1.4059833025422988</v>
      </c>
      <c r="R104" s="804">
        <f t="shared" si="4"/>
        <v>1</v>
      </c>
      <c r="S104" s="863">
        <v>2.2000000000000002</v>
      </c>
      <c r="T104" s="804"/>
      <c r="U104" s="861" t="s">
        <v>623</v>
      </c>
    </row>
    <row r="105" spans="1:21" s="583" customFormat="1" ht="12.75" customHeight="1" x14ac:dyDescent="0.25">
      <c r="A105" s="804" t="s">
        <v>308</v>
      </c>
      <c r="B105" s="804">
        <v>6</v>
      </c>
      <c r="C105" s="804" t="s">
        <v>607</v>
      </c>
      <c r="D105" s="804" t="s">
        <v>297</v>
      </c>
      <c r="E105" s="804">
        <v>1</v>
      </c>
      <c r="F105" s="804" t="s">
        <v>317</v>
      </c>
      <c r="G105" s="804" t="s">
        <v>584</v>
      </c>
      <c r="H105" s="804" t="s">
        <v>518</v>
      </c>
      <c r="I105" s="804"/>
      <c r="J105" s="804"/>
      <c r="K105" s="804"/>
      <c r="L105" s="804" t="s">
        <v>33</v>
      </c>
      <c r="M105" s="804" t="s">
        <v>461</v>
      </c>
      <c r="N105" s="804" t="s">
        <v>5</v>
      </c>
      <c r="O105" s="804" t="s">
        <v>27</v>
      </c>
      <c r="P105" s="804">
        <f>S105/P$6*100000</f>
        <v>20.849018358718947</v>
      </c>
      <c r="Q105" s="804">
        <v>4.066835537170876</v>
      </c>
      <c r="R105" s="804">
        <f t="shared" si="4"/>
        <v>5.1265949085373439</v>
      </c>
      <c r="S105" s="863">
        <v>10.8</v>
      </c>
      <c r="T105" s="804"/>
      <c r="U105" s="861" t="s">
        <v>623</v>
      </c>
    </row>
    <row r="106" spans="1:21" s="583" customFormat="1" ht="12.75" customHeight="1" x14ac:dyDescent="0.25">
      <c r="A106" s="804" t="s">
        <v>308</v>
      </c>
      <c r="B106" s="804">
        <v>6</v>
      </c>
      <c r="C106" s="804" t="s">
        <v>607</v>
      </c>
      <c r="D106" s="804" t="s">
        <v>297</v>
      </c>
      <c r="E106" s="804">
        <v>1</v>
      </c>
      <c r="F106" s="804" t="s">
        <v>317</v>
      </c>
      <c r="G106" s="804" t="s">
        <v>584</v>
      </c>
      <c r="H106" s="804" t="s">
        <v>518</v>
      </c>
      <c r="I106" s="804"/>
      <c r="J106" s="804"/>
      <c r="K106" s="804"/>
      <c r="L106" s="804" t="s">
        <v>33</v>
      </c>
      <c r="M106" s="804" t="s">
        <v>461</v>
      </c>
      <c r="N106" s="804" t="s">
        <v>6</v>
      </c>
      <c r="O106" s="804" t="s">
        <v>27</v>
      </c>
      <c r="P106" s="804">
        <f>S106/P$7*100000</f>
        <v>0</v>
      </c>
      <c r="Q106" s="804">
        <v>16.538441408907733</v>
      </c>
      <c r="R106" s="804">
        <f t="shared" si="4"/>
        <v>1</v>
      </c>
      <c r="S106" s="863">
        <v>0</v>
      </c>
      <c r="T106" s="804"/>
      <c r="U106" s="861" t="s">
        <v>623</v>
      </c>
    </row>
    <row r="107" spans="1:21" s="583" customFormat="1" ht="12.75" customHeight="1" x14ac:dyDescent="0.25">
      <c r="A107" s="804" t="s">
        <v>308</v>
      </c>
      <c r="B107" s="804">
        <v>6</v>
      </c>
      <c r="C107" s="804" t="s">
        <v>607</v>
      </c>
      <c r="D107" s="804" t="s">
        <v>297</v>
      </c>
      <c r="E107" s="804">
        <v>1</v>
      </c>
      <c r="F107" s="804" t="s">
        <v>317</v>
      </c>
      <c r="G107" s="804" t="s">
        <v>584</v>
      </c>
      <c r="H107" s="804" t="s">
        <v>518</v>
      </c>
      <c r="I107" s="804"/>
      <c r="J107" s="804"/>
      <c r="K107" s="804"/>
      <c r="L107" s="804" t="s">
        <v>33</v>
      </c>
      <c r="M107" s="804" t="s">
        <v>461</v>
      </c>
      <c r="N107" s="804" t="s">
        <v>7</v>
      </c>
      <c r="O107" s="804" t="s">
        <v>27</v>
      </c>
      <c r="P107" s="804">
        <f>S107/P$8*100000</f>
        <v>45.062159272643726</v>
      </c>
      <c r="Q107" s="804">
        <v>41.442624793225889</v>
      </c>
      <c r="R107" s="804">
        <f t="shared" si="4"/>
        <v>1.0873384467677221</v>
      </c>
      <c r="S107" s="863">
        <v>20.399999999999999</v>
      </c>
      <c r="T107" s="804"/>
      <c r="U107" s="861" t="s">
        <v>623</v>
      </c>
    </row>
    <row r="108" spans="1:21" s="583" customFormat="1" ht="12.75" customHeight="1" x14ac:dyDescent="0.25">
      <c r="A108" s="804" t="s">
        <v>308</v>
      </c>
      <c r="B108" s="804">
        <v>6</v>
      </c>
      <c r="C108" s="804" t="s">
        <v>607</v>
      </c>
      <c r="D108" s="804" t="s">
        <v>297</v>
      </c>
      <c r="E108" s="804">
        <v>1</v>
      </c>
      <c r="F108" s="804" t="s">
        <v>317</v>
      </c>
      <c r="G108" s="804" t="s">
        <v>584</v>
      </c>
      <c r="H108" s="804" t="s">
        <v>518</v>
      </c>
      <c r="I108" s="804"/>
      <c r="J108" s="804"/>
      <c r="K108" s="804"/>
      <c r="L108" s="804" t="s">
        <v>33</v>
      </c>
      <c r="M108" s="804" t="s">
        <v>461</v>
      </c>
      <c r="N108" s="804" t="s">
        <v>8</v>
      </c>
      <c r="O108" s="804" t="s">
        <v>27</v>
      </c>
      <c r="P108" s="804">
        <f>S108/P$9*100000</f>
        <v>90.956148783553942</v>
      </c>
      <c r="Q108" s="804">
        <v>98.822845516640029</v>
      </c>
      <c r="R108" s="804">
        <f t="shared" si="4"/>
        <v>0.92039597026416864</v>
      </c>
      <c r="S108" s="863">
        <v>24.6</v>
      </c>
      <c r="T108" s="804"/>
      <c r="U108" s="861" t="s">
        <v>623</v>
      </c>
    </row>
    <row r="109" spans="1:21" s="583" customFormat="1" ht="12.75" customHeight="1" x14ac:dyDescent="0.25">
      <c r="A109" s="804" t="s">
        <v>308</v>
      </c>
      <c r="B109" s="804">
        <v>6</v>
      </c>
      <c r="C109" s="804" t="s">
        <v>607</v>
      </c>
      <c r="D109" s="804" t="s">
        <v>297</v>
      </c>
      <c r="E109" s="804">
        <v>1</v>
      </c>
      <c r="F109" s="804" t="s">
        <v>317</v>
      </c>
      <c r="G109" s="804" t="s">
        <v>584</v>
      </c>
      <c r="H109" s="804" t="s">
        <v>518</v>
      </c>
      <c r="I109" s="804"/>
      <c r="J109" s="804"/>
      <c r="K109" s="804"/>
      <c r="L109" s="804" t="s">
        <v>33</v>
      </c>
      <c r="M109" s="804" t="s">
        <v>461</v>
      </c>
      <c r="N109" s="804" t="s">
        <v>9</v>
      </c>
      <c r="O109" s="804" t="s">
        <v>27</v>
      </c>
      <c r="P109" s="804">
        <f>S109/P$10*100000</f>
        <v>259.25807380853314</v>
      </c>
      <c r="Q109" s="804">
        <v>247.84456489058272</v>
      </c>
      <c r="R109" s="804">
        <f t="shared" si="4"/>
        <v>1.0460510760967836</v>
      </c>
      <c r="S109" s="863">
        <v>48.6</v>
      </c>
      <c r="T109" s="804"/>
      <c r="U109" s="861" t="s">
        <v>623</v>
      </c>
    </row>
    <row r="110" spans="1:21" s="583" customFormat="1" ht="12.75" customHeight="1" x14ac:dyDescent="0.25">
      <c r="A110" s="804" t="s">
        <v>308</v>
      </c>
      <c r="B110" s="804">
        <v>6</v>
      </c>
      <c r="C110" s="804" t="s">
        <v>607</v>
      </c>
      <c r="D110" s="804" t="s">
        <v>297</v>
      </c>
      <c r="E110" s="804">
        <v>1</v>
      </c>
      <c r="F110" s="804" t="s">
        <v>317</v>
      </c>
      <c r="G110" s="804" t="s">
        <v>584</v>
      </c>
      <c r="H110" s="804" t="s">
        <v>518</v>
      </c>
      <c r="I110" s="804"/>
      <c r="J110" s="804"/>
      <c r="K110" s="804"/>
      <c r="L110" s="804" t="s">
        <v>33</v>
      </c>
      <c r="M110" s="804" t="s">
        <v>461</v>
      </c>
      <c r="N110" s="804" t="s">
        <v>249</v>
      </c>
      <c r="O110" s="804" t="s">
        <v>26</v>
      </c>
      <c r="P110" s="804">
        <f>S110/P$11*100000</f>
        <v>0</v>
      </c>
      <c r="Q110" s="804">
        <v>0</v>
      </c>
      <c r="R110" s="804">
        <f t="shared" si="4"/>
        <v>1</v>
      </c>
      <c r="S110" s="863">
        <v>0</v>
      </c>
      <c r="T110" s="804"/>
      <c r="U110" s="861" t="s">
        <v>623</v>
      </c>
    </row>
    <row r="111" spans="1:21" s="583" customFormat="1" ht="12.75" customHeight="1" x14ac:dyDescent="0.25">
      <c r="A111" s="804" t="s">
        <v>308</v>
      </c>
      <c r="B111" s="804">
        <v>6</v>
      </c>
      <c r="C111" s="804" t="s">
        <v>607</v>
      </c>
      <c r="D111" s="804" t="s">
        <v>297</v>
      </c>
      <c r="E111" s="804">
        <v>1</v>
      </c>
      <c r="F111" s="804" t="s">
        <v>317</v>
      </c>
      <c r="G111" s="804" t="s">
        <v>584</v>
      </c>
      <c r="H111" s="804" t="s">
        <v>518</v>
      </c>
      <c r="I111" s="804"/>
      <c r="J111" s="804"/>
      <c r="K111" s="804"/>
      <c r="L111" s="804" t="s">
        <v>33</v>
      </c>
      <c r="M111" s="804" t="s">
        <v>461</v>
      </c>
      <c r="N111" s="804" t="s">
        <v>244</v>
      </c>
      <c r="O111" s="804" t="s">
        <v>26</v>
      </c>
      <c r="P111" s="804">
        <f>S111/P$12*100000</f>
        <v>2.0318285949397308</v>
      </c>
      <c r="Q111" s="804">
        <v>0</v>
      </c>
      <c r="R111" s="804">
        <f t="shared" si="4"/>
        <v>1</v>
      </c>
      <c r="S111" s="863">
        <v>0.8</v>
      </c>
      <c r="T111" s="804"/>
      <c r="U111" s="861" t="s">
        <v>623</v>
      </c>
    </row>
    <row r="112" spans="1:21" s="583" customFormat="1" ht="12.75" customHeight="1" x14ac:dyDescent="0.25">
      <c r="A112" s="804" t="s">
        <v>308</v>
      </c>
      <c r="B112" s="804">
        <v>6</v>
      </c>
      <c r="C112" s="804" t="s">
        <v>607</v>
      </c>
      <c r="D112" s="804" t="s">
        <v>297</v>
      </c>
      <c r="E112" s="804">
        <v>1</v>
      </c>
      <c r="F112" s="804" t="s">
        <v>317</v>
      </c>
      <c r="G112" s="804" t="s">
        <v>584</v>
      </c>
      <c r="H112" s="804" t="s">
        <v>518</v>
      </c>
      <c r="I112" s="804"/>
      <c r="J112" s="804"/>
      <c r="K112" s="804"/>
      <c r="L112" s="804" t="s">
        <v>33</v>
      </c>
      <c r="M112" s="804" t="s">
        <v>461</v>
      </c>
      <c r="N112" s="804" t="s">
        <v>4</v>
      </c>
      <c r="O112" s="804" t="s">
        <v>26</v>
      </c>
      <c r="P112" s="804">
        <f>S112/P$13*100000</f>
        <v>6.3637946972843338</v>
      </c>
      <c r="Q112" s="804">
        <v>0.77259850630955462</v>
      </c>
      <c r="R112" s="804">
        <f t="shared" si="4"/>
        <v>1</v>
      </c>
      <c r="S112" s="863">
        <v>3.8</v>
      </c>
      <c r="T112" s="804"/>
      <c r="U112" s="861" t="s">
        <v>623</v>
      </c>
    </row>
    <row r="113" spans="1:21" s="583" customFormat="1" ht="12.75" customHeight="1" x14ac:dyDescent="0.25">
      <c r="A113" s="804" t="s">
        <v>308</v>
      </c>
      <c r="B113" s="804">
        <v>6</v>
      </c>
      <c r="C113" s="804" t="s">
        <v>607</v>
      </c>
      <c r="D113" s="804" t="s">
        <v>297</v>
      </c>
      <c r="E113" s="804">
        <v>1</v>
      </c>
      <c r="F113" s="804" t="s">
        <v>317</v>
      </c>
      <c r="G113" s="804" t="s">
        <v>584</v>
      </c>
      <c r="H113" s="804" t="s">
        <v>518</v>
      </c>
      <c r="I113" s="804"/>
      <c r="J113" s="804"/>
      <c r="K113" s="804"/>
      <c r="L113" s="804" t="s">
        <v>33</v>
      </c>
      <c r="M113" s="804" t="s">
        <v>461</v>
      </c>
      <c r="N113" s="804" t="s">
        <v>5</v>
      </c>
      <c r="O113" s="804" t="s">
        <v>26</v>
      </c>
      <c r="P113" s="804">
        <f>S113/P$14*100000</f>
        <v>40.399628760168149</v>
      </c>
      <c r="Q113" s="804">
        <v>6.6729689150864706</v>
      </c>
      <c r="R113" s="804">
        <f t="shared" si="4"/>
        <v>6.0542210332841986</v>
      </c>
      <c r="S113" s="863">
        <v>22.2</v>
      </c>
      <c r="T113" s="804"/>
      <c r="U113" s="861" t="s">
        <v>623</v>
      </c>
    </row>
    <row r="114" spans="1:21" s="583" customFormat="1" ht="12.75" customHeight="1" x14ac:dyDescent="0.25">
      <c r="A114" s="804" t="s">
        <v>308</v>
      </c>
      <c r="B114" s="804">
        <v>6</v>
      </c>
      <c r="C114" s="804" t="s">
        <v>607</v>
      </c>
      <c r="D114" s="804" t="s">
        <v>297</v>
      </c>
      <c r="E114" s="804">
        <v>1</v>
      </c>
      <c r="F114" s="804" t="s">
        <v>317</v>
      </c>
      <c r="G114" s="804" t="s">
        <v>584</v>
      </c>
      <c r="H114" s="804" t="s">
        <v>518</v>
      </c>
      <c r="I114" s="804"/>
      <c r="J114" s="804"/>
      <c r="K114" s="804"/>
      <c r="L114" s="804" t="s">
        <v>33</v>
      </c>
      <c r="M114" s="804" t="s">
        <v>461</v>
      </c>
      <c r="N114" s="804" t="s">
        <v>6</v>
      </c>
      <c r="O114" s="804" t="s">
        <v>26</v>
      </c>
      <c r="P114" s="804">
        <f>S114/P$15*100000</f>
        <v>0</v>
      </c>
      <c r="Q114" s="804">
        <v>29.541778975741238</v>
      </c>
      <c r="R114" s="804">
        <f t="shared" si="4"/>
        <v>1</v>
      </c>
      <c r="S114" s="863">
        <v>0</v>
      </c>
      <c r="T114" s="804"/>
      <c r="U114" s="861" t="s">
        <v>623</v>
      </c>
    </row>
    <row r="115" spans="1:21" s="583" customFormat="1" ht="12.75" customHeight="1" x14ac:dyDescent="0.25">
      <c r="A115" s="804" t="s">
        <v>308</v>
      </c>
      <c r="B115" s="804">
        <v>6</v>
      </c>
      <c r="C115" s="804" t="s">
        <v>607</v>
      </c>
      <c r="D115" s="804" t="s">
        <v>297</v>
      </c>
      <c r="E115" s="804">
        <v>1</v>
      </c>
      <c r="F115" s="804" t="s">
        <v>317</v>
      </c>
      <c r="G115" s="804" t="s">
        <v>584</v>
      </c>
      <c r="H115" s="804" t="s">
        <v>518</v>
      </c>
      <c r="I115" s="804"/>
      <c r="J115" s="804"/>
      <c r="K115" s="804"/>
      <c r="L115" s="804" t="s">
        <v>33</v>
      </c>
      <c r="M115" s="804" t="s">
        <v>461</v>
      </c>
      <c r="N115" s="804" t="s">
        <v>7</v>
      </c>
      <c r="O115" s="804" t="s">
        <v>26</v>
      </c>
      <c r="P115" s="804">
        <f>S115/P$16*100000</f>
        <v>73.782476661792813</v>
      </c>
      <c r="Q115" s="804">
        <v>70.852605002121976</v>
      </c>
      <c r="R115" s="804">
        <f t="shared" si="4"/>
        <v>1.0413516434516852</v>
      </c>
      <c r="S115" s="863">
        <v>32.799999999999997</v>
      </c>
      <c r="T115" s="804"/>
      <c r="U115" s="861" t="s">
        <v>623</v>
      </c>
    </row>
    <row r="116" spans="1:21" s="583" customFormat="1" ht="12.75" customHeight="1" x14ac:dyDescent="0.25">
      <c r="A116" s="804" t="s">
        <v>308</v>
      </c>
      <c r="B116" s="804">
        <v>6</v>
      </c>
      <c r="C116" s="804" t="s">
        <v>607</v>
      </c>
      <c r="D116" s="804" t="s">
        <v>297</v>
      </c>
      <c r="E116" s="804">
        <v>1</v>
      </c>
      <c r="F116" s="804" t="s">
        <v>317</v>
      </c>
      <c r="G116" s="804" t="s">
        <v>584</v>
      </c>
      <c r="H116" s="804" t="s">
        <v>518</v>
      </c>
      <c r="I116" s="804"/>
      <c r="J116" s="804"/>
      <c r="K116" s="804"/>
      <c r="L116" s="804" t="s">
        <v>33</v>
      </c>
      <c r="M116" s="804" t="s">
        <v>461</v>
      </c>
      <c r="N116" s="804" t="s">
        <v>8</v>
      </c>
      <c r="O116" s="804" t="s">
        <v>26</v>
      </c>
      <c r="P116" s="804">
        <f>S116/P$17*100000</f>
        <v>157.6970053029483</v>
      </c>
      <c r="Q116" s="804">
        <v>158.00736538270129</v>
      </c>
      <c r="R116" s="804">
        <f t="shared" si="4"/>
        <v>0.99803578726218689</v>
      </c>
      <c r="S116" s="863">
        <v>40.799999999999997</v>
      </c>
      <c r="T116" s="804"/>
      <c r="U116" s="861" t="s">
        <v>623</v>
      </c>
    </row>
    <row r="117" spans="1:21" s="583" customFormat="1" ht="12.75" customHeight="1" x14ac:dyDescent="0.25">
      <c r="A117" s="804" t="s">
        <v>308</v>
      </c>
      <c r="B117" s="804">
        <v>6</v>
      </c>
      <c r="C117" s="804" t="s">
        <v>607</v>
      </c>
      <c r="D117" s="804" t="s">
        <v>297</v>
      </c>
      <c r="E117" s="804">
        <v>1</v>
      </c>
      <c r="F117" s="804" t="s">
        <v>317</v>
      </c>
      <c r="G117" s="804" t="s">
        <v>584</v>
      </c>
      <c r="H117" s="804" t="s">
        <v>518</v>
      </c>
      <c r="I117" s="804"/>
      <c r="J117" s="804"/>
      <c r="K117" s="804"/>
      <c r="L117" s="804" t="s">
        <v>33</v>
      </c>
      <c r="M117" s="804" t="s">
        <v>461</v>
      </c>
      <c r="N117" s="804" t="s">
        <v>9</v>
      </c>
      <c r="O117" s="804" t="s">
        <v>26</v>
      </c>
      <c r="P117" s="804">
        <f>S117/P$18*100000</f>
        <v>325.59050963958936</v>
      </c>
      <c r="Q117" s="804">
        <v>319.43294822621442</v>
      </c>
      <c r="R117" s="804">
        <f t="shared" si="4"/>
        <v>1.0192765381516447</v>
      </c>
      <c r="S117" s="863">
        <v>43.2</v>
      </c>
      <c r="T117" s="804"/>
      <c r="U117" s="861" t="s">
        <v>623</v>
      </c>
    </row>
    <row r="118" spans="1:21" s="583" customFormat="1" ht="12.75" customHeight="1" x14ac:dyDescent="0.25">
      <c r="A118" s="804" t="s">
        <v>308</v>
      </c>
      <c r="B118" s="804">
        <v>6</v>
      </c>
      <c r="C118" s="804" t="s">
        <v>607</v>
      </c>
      <c r="D118" s="804" t="s">
        <v>297</v>
      </c>
      <c r="E118" s="804">
        <v>1</v>
      </c>
      <c r="F118" s="804" t="s">
        <v>317</v>
      </c>
      <c r="G118" s="804" t="s">
        <v>584</v>
      </c>
      <c r="H118" s="804" t="s">
        <v>518</v>
      </c>
      <c r="I118" s="804"/>
      <c r="J118" s="804"/>
      <c r="K118" s="804"/>
      <c r="L118" s="804" t="s">
        <v>189</v>
      </c>
      <c r="M118" s="804" t="s">
        <v>462</v>
      </c>
      <c r="N118" s="804" t="s">
        <v>249</v>
      </c>
      <c r="O118" s="804" t="s">
        <v>27</v>
      </c>
      <c r="P118" s="804">
        <f>S118/P$3*100000</f>
        <v>0</v>
      </c>
      <c r="Q118" s="804">
        <v>0</v>
      </c>
      <c r="R118" s="804">
        <f t="shared" si="4"/>
        <v>1</v>
      </c>
      <c r="S118" s="863">
        <v>0</v>
      </c>
      <c r="T118" s="804"/>
      <c r="U118" s="861" t="s">
        <v>623</v>
      </c>
    </row>
    <row r="119" spans="1:21" s="583" customFormat="1" ht="12.75" customHeight="1" x14ac:dyDescent="0.25">
      <c r="A119" s="804" t="s">
        <v>308</v>
      </c>
      <c r="B119" s="804">
        <v>6</v>
      </c>
      <c r="C119" s="804" t="s">
        <v>607</v>
      </c>
      <c r="D119" s="804" t="s">
        <v>297</v>
      </c>
      <c r="E119" s="804">
        <v>1</v>
      </c>
      <c r="F119" s="804" t="s">
        <v>317</v>
      </c>
      <c r="G119" s="804" t="s">
        <v>584</v>
      </c>
      <c r="H119" s="804" t="s">
        <v>518</v>
      </c>
      <c r="I119" s="804"/>
      <c r="J119" s="804"/>
      <c r="K119" s="804"/>
      <c r="L119" s="804" t="s">
        <v>189</v>
      </c>
      <c r="M119" s="804" t="s">
        <v>462</v>
      </c>
      <c r="N119" s="804" t="s">
        <v>244</v>
      </c>
      <c r="O119" s="804" t="s">
        <v>27</v>
      </c>
      <c r="P119" s="804">
        <f>S119/P$4*100000</f>
        <v>0</v>
      </c>
      <c r="Q119" s="804">
        <v>0</v>
      </c>
      <c r="R119" s="804">
        <f t="shared" si="4"/>
        <v>1</v>
      </c>
      <c r="S119" s="863">
        <v>0</v>
      </c>
      <c r="T119" s="804"/>
      <c r="U119" s="861" t="s">
        <v>623</v>
      </c>
    </row>
    <row r="120" spans="1:21" s="583" customFormat="1" ht="12.75" customHeight="1" x14ac:dyDescent="0.25">
      <c r="A120" s="804" t="s">
        <v>308</v>
      </c>
      <c r="B120" s="804">
        <v>6</v>
      </c>
      <c r="C120" s="804" t="s">
        <v>607</v>
      </c>
      <c r="D120" s="804" t="s">
        <v>297</v>
      </c>
      <c r="E120" s="804">
        <v>1</v>
      </c>
      <c r="F120" s="804" t="s">
        <v>317</v>
      </c>
      <c r="G120" s="804" t="s">
        <v>584</v>
      </c>
      <c r="H120" s="804" t="s">
        <v>518</v>
      </c>
      <c r="I120" s="804"/>
      <c r="J120" s="804"/>
      <c r="K120" s="804"/>
      <c r="L120" s="804" t="s">
        <v>189</v>
      </c>
      <c r="M120" s="804" t="s">
        <v>462</v>
      </c>
      <c r="N120" s="804" t="s">
        <v>4</v>
      </c>
      <c r="O120" s="804" t="s">
        <v>27</v>
      </c>
      <c r="P120" s="804">
        <f>S120/P$5*100000</f>
        <v>0</v>
      </c>
      <c r="Q120" s="804">
        <v>0</v>
      </c>
      <c r="R120" s="804">
        <f t="shared" si="4"/>
        <v>1</v>
      </c>
      <c r="S120" s="863">
        <v>0</v>
      </c>
      <c r="T120" s="804"/>
      <c r="U120" s="861" t="s">
        <v>623</v>
      </c>
    </row>
    <row r="121" spans="1:21" s="583" customFormat="1" ht="12.75" customHeight="1" x14ac:dyDescent="0.25">
      <c r="A121" s="804" t="s">
        <v>308</v>
      </c>
      <c r="B121" s="804">
        <v>6</v>
      </c>
      <c r="C121" s="804" t="s">
        <v>607</v>
      </c>
      <c r="D121" s="804" t="s">
        <v>297</v>
      </c>
      <c r="E121" s="804">
        <v>1</v>
      </c>
      <c r="F121" s="804" t="s">
        <v>317</v>
      </c>
      <c r="G121" s="804" t="s">
        <v>584</v>
      </c>
      <c r="H121" s="804" t="s">
        <v>518</v>
      </c>
      <c r="I121" s="804"/>
      <c r="J121" s="804"/>
      <c r="K121" s="804"/>
      <c r="L121" s="804" t="s">
        <v>189</v>
      </c>
      <c r="M121" s="804" t="s">
        <v>462</v>
      </c>
      <c r="N121" s="804" t="s">
        <v>5</v>
      </c>
      <c r="O121" s="804" t="s">
        <v>27</v>
      </c>
      <c r="P121" s="804">
        <f>S121/P$6*100000</f>
        <v>1.5443717302754776</v>
      </c>
      <c r="Q121" s="804">
        <v>0.58097650531012524</v>
      </c>
      <c r="R121" s="804">
        <f t="shared" si="4"/>
        <v>1</v>
      </c>
      <c r="S121" s="863">
        <v>0.8</v>
      </c>
      <c r="T121" s="804"/>
      <c r="U121" s="861" t="s">
        <v>623</v>
      </c>
    </row>
    <row r="122" spans="1:21" s="583" customFormat="1" ht="12.75" customHeight="1" x14ac:dyDescent="0.25">
      <c r="A122" s="804" t="s">
        <v>308</v>
      </c>
      <c r="B122" s="804">
        <v>6</v>
      </c>
      <c r="C122" s="804" t="s">
        <v>607</v>
      </c>
      <c r="D122" s="804" t="s">
        <v>297</v>
      </c>
      <c r="E122" s="804">
        <v>1</v>
      </c>
      <c r="F122" s="804" t="s">
        <v>317</v>
      </c>
      <c r="G122" s="804" t="s">
        <v>584</v>
      </c>
      <c r="H122" s="804" t="s">
        <v>518</v>
      </c>
      <c r="I122" s="804"/>
      <c r="J122" s="804"/>
      <c r="K122" s="804"/>
      <c r="L122" s="804" t="s">
        <v>189</v>
      </c>
      <c r="M122" s="804" t="s">
        <v>462</v>
      </c>
      <c r="N122" s="804" t="s">
        <v>6</v>
      </c>
      <c r="O122" s="804" t="s">
        <v>27</v>
      </c>
      <c r="P122" s="804">
        <f>S122/P$7*100000</f>
        <v>0</v>
      </c>
      <c r="Q122" s="804">
        <v>5.6523787093735285</v>
      </c>
      <c r="R122" s="804">
        <f t="shared" si="4"/>
        <v>1</v>
      </c>
      <c r="S122" s="863">
        <v>0</v>
      </c>
      <c r="T122" s="804"/>
      <c r="U122" s="861" t="s">
        <v>623</v>
      </c>
    </row>
    <row r="123" spans="1:21" s="583" customFormat="1" ht="12.75" customHeight="1" x14ac:dyDescent="0.25">
      <c r="A123" s="804" t="s">
        <v>308</v>
      </c>
      <c r="B123" s="804">
        <v>6</v>
      </c>
      <c r="C123" s="804" t="s">
        <v>607</v>
      </c>
      <c r="D123" s="804" t="s">
        <v>297</v>
      </c>
      <c r="E123" s="804">
        <v>1</v>
      </c>
      <c r="F123" s="804" t="s">
        <v>317</v>
      </c>
      <c r="G123" s="804" t="s">
        <v>584</v>
      </c>
      <c r="H123" s="804" t="s">
        <v>518</v>
      </c>
      <c r="I123" s="804"/>
      <c r="J123" s="804"/>
      <c r="K123" s="804"/>
      <c r="L123" s="804" t="s">
        <v>189</v>
      </c>
      <c r="M123" s="804" t="s">
        <v>462</v>
      </c>
      <c r="N123" s="804" t="s">
        <v>7</v>
      </c>
      <c r="O123" s="804" t="s">
        <v>27</v>
      </c>
      <c r="P123" s="804">
        <f>S123/P$8*100000</f>
        <v>2.2089293761099871</v>
      </c>
      <c r="Q123" s="804">
        <v>12.292303964092424</v>
      </c>
      <c r="R123" s="804">
        <f t="shared" si="4"/>
        <v>1</v>
      </c>
      <c r="S123" s="863">
        <v>1</v>
      </c>
      <c r="T123" s="804"/>
      <c r="U123" s="861" t="s">
        <v>623</v>
      </c>
    </row>
    <row r="124" spans="1:21" s="583" customFormat="1" ht="12.75" customHeight="1" x14ac:dyDescent="0.25">
      <c r="A124" s="804" t="s">
        <v>308</v>
      </c>
      <c r="B124" s="804">
        <v>6</v>
      </c>
      <c r="C124" s="804" t="s">
        <v>607</v>
      </c>
      <c r="D124" s="804" t="s">
        <v>297</v>
      </c>
      <c r="E124" s="804">
        <v>1</v>
      </c>
      <c r="F124" s="804" t="s">
        <v>317</v>
      </c>
      <c r="G124" s="804" t="s">
        <v>584</v>
      </c>
      <c r="H124" s="804" t="s">
        <v>518</v>
      </c>
      <c r="I124" s="804"/>
      <c r="J124" s="804"/>
      <c r="K124" s="804"/>
      <c r="L124" s="804" t="s">
        <v>189</v>
      </c>
      <c r="M124" s="804" t="s">
        <v>462</v>
      </c>
      <c r="N124" s="804" t="s">
        <v>8</v>
      </c>
      <c r="O124" s="804" t="s">
        <v>27</v>
      </c>
      <c r="P124" s="804">
        <f>S124/P$9*100000</f>
        <v>8.8737706130296523</v>
      </c>
      <c r="Q124" s="804">
        <v>37.20389478273507</v>
      </c>
      <c r="R124" s="804">
        <f t="shared" si="4"/>
        <v>1</v>
      </c>
      <c r="S124" s="863">
        <v>2.4</v>
      </c>
      <c r="T124" s="804"/>
      <c r="U124" s="861" t="s">
        <v>623</v>
      </c>
    </row>
    <row r="125" spans="1:21" s="583" customFormat="1" ht="12.75" customHeight="1" x14ac:dyDescent="0.25">
      <c r="A125" s="804" t="s">
        <v>308</v>
      </c>
      <c r="B125" s="804">
        <v>6</v>
      </c>
      <c r="C125" s="804" t="s">
        <v>607</v>
      </c>
      <c r="D125" s="804" t="s">
        <v>297</v>
      </c>
      <c r="E125" s="804">
        <v>1</v>
      </c>
      <c r="F125" s="804" t="s">
        <v>317</v>
      </c>
      <c r="G125" s="804" t="s">
        <v>584</v>
      </c>
      <c r="H125" s="804" t="s">
        <v>518</v>
      </c>
      <c r="I125" s="804"/>
      <c r="J125" s="804"/>
      <c r="K125" s="804"/>
      <c r="L125" s="804" t="s">
        <v>189</v>
      </c>
      <c r="M125" s="804" t="s">
        <v>462</v>
      </c>
      <c r="N125" s="804" t="s">
        <v>9</v>
      </c>
      <c r="O125" s="804" t="s">
        <v>27</v>
      </c>
      <c r="P125" s="804">
        <f>S125/P$10*100000</f>
        <v>107.75747100683886</v>
      </c>
      <c r="Q125" s="804">
        <v>362.4218883318029</v>
      </c>
      <c r="R125" s="804">
        <f t="shared" si="4"/>
        <v>0.2973260569410896</v>
      </c>
      <c r="S125" s="863">
        <v>20.2</v>
      </c>
      <c r="T125" s="804"/>
      <c r="U125" s="861" t="s">
        <v>623</v>
      </c>
    </row>
    <row r="126" spans="1:21" s="583" customFormat="1" ht="12.75" customHeight="1" x14ac:dyDescent="0.25">
      <c r="A126" s="804" t="s">
        <v>308</v>
      </c>
      <c r="B126" s="804">
        <v>6</v>
      </c>
      <c r="C126" s="804" t="s">
        <v>607</v>
      </c>
      <c r="D126" s="804" t="s">
        <v>297</v>
      </c>
      <c r="E126" s="804">
        <v>1</v>
      </c>
      <c r="F126" s="804" t="s">
        <v>317</v>
      </c>
      <c r="G126" s="804" t="s">
        <v>584</v>
      </c>
      <c r="H126" s="804" t="s">
        <v>518</v>
      </c>
      <c r="I126" s="804"/>
      <c r="J126" s="804"/>
      <c r="K126" s="804"/>
      <c r="L126" s="804" t="s">
        <v>189</v>
      </c>
      <c r="M126" s="804" t="s">
        <v>462</v>
      </c>
      <c r="N126" s="804" t="s">
        <v>249</v>
      </c>
      <c r="O126" s="804" t="s">
        <v>26</v>
      </c>
      <c r="P126" s="804">
        <f>S126/P$11*100000</f>
        <v>0</v>
      </c>
      <c r="Q126" s="804">
        <v>0</v>
      </c>
      <c r="R126" s="804">
        <f t="shared" si="4"/>
        <v>1</v>
      </c>
      <c r="S126" s="863">
        <v>0</v>
      </c>
      <c r="T126" s="804"/>
      <c r="U126" s="861" t="s">
        <v>623</v>
      </c>
    </row>
    <row r="127" spans="1:21" s="583" customFormat="1" ht="12.75" customHeight="1" x14ac:dyDescent="0.25">
      <c r="A127" s="804" t="s">
        <v>308</v>
      </c>
      <c r="B127" s="804">
        <v>6</v>
      </c>
      <c r="C127" s="804" t="s">
        <v>607</v>
      </c>
      <c r="D127" s="804" t="s">
        <v>297</v>
      </c>
      <c r="E127" s="804">
        <v>1</v>
      </c>
      <c r="F127" s="804" t="s">
        <v>317</v>
      </c>
      <c r="G127" s="804" t="s">
        <v>584</v>
      </c>
      <c r="H127" s="804" t="s">
        <v>518</v>
      </c>
      <c r="I127" s="804"/>
      <c r="J127" s="804"/>
      <c r="K127" s="804"/>
      <c r="L127" s="804" t="s">
        <v>189</v>
      </c>
      <c r="M127" s="804" t="s">
        <v>462</v>
      </c>
      <c r="N127" s="804" t="s">
        <v>244</v>
      </c>
      <c r="O127" s="804" t="s">
        <v>26</v>
      </c>
      <c r="P127" s="804">
        <f>S127/P$12*100000</f>
        <v>0</v>
      </c>
      <c r="Q127" s="804">
        <v>0</v>
      </c>
      <c r="R127" s="804">
        <f t="shared" si="4"/>
        <v>1</v>
      </c>
      <c r="S127" s="863">
        <v>0</v>
      </c>
      <c r="T127" s="804"/>
      <c r="U127" s="861" t="s">
        <v>623</v>
      </c>
    </row>
    <row r="128" spans="1:21" s="583" customFormat="1" ht="12.75" customHeight="1" x14ac:dyDescent="0.25">
      <c r="A128" s="804" t="s">
        <v>308</v>
      </c>
      <c r="B128" s="804">
        <v>6</v>
      </c>
      <c r="C128" s="804" t="s">
        <v>607</v>
      </c>
      <c r="D128" s="804" t="s">
        <v>297</v>
      </c>
      <c r="E128" s="804">
        <v>1</v>
      </c>
      <c r="F128" s="804" t="s">
        <v>317</v>
      </c>
      <c r="G128" s="804" t="s">
        <v>584</v>
      </c>
      <c r="H128" s="804" t="s">
        <v>518</v>
      </c>
      <c r="I128" s="804"/>
      <c r="J128" s="804"/>
      <c r="K128" s="804"/>
      <c r="L128" s="804" t="s">
        <v>189</v>
      </c>
      <c r="M128" s="804" t="s">
        <v>462</v>
      </c>
      <c r="N128" s="804" t="s">
        <v>4</v>
      </c>
      <c r="O128" s="804" t="s">
        <v>26</v>
      </c>
      <c r="P128" s="804">
        <f>S128/P$13*100000</f>
        <v>0.33493656301496494</v>
      </c>
      <c r="Q128" s="804">
        <v>0</v>
      </c>
      <c r="R128" s="804">
        <f t="shared" si="4"/>
        <v>1</v>
      </c>
      <c r="S128" s="863">
        <v>0.2</v>
      </c>
      <c r="T128" s="804"/>
      <c r="U128" s="861" t="s">
        <v>623</v>
      </c>
    </row>
    <row r="129" spans="1:21" s="583" customFormat="1" ht="12.75" customHeight="1" x14ac:dyDescent="0.25">
      <c r="A129" s="804" t="s">
        <v>308</v>
      </c>
      <c r="B129" s="804">
        <v>6</v>
      </c>
      <c r="C129" s="804" t="s">
        <v>607</v>
      </c>
      <c r="D129" s="804" t="s">
        <v>297</v>
      </c>
      <c r="E129" s="804">
        <v>1</v>
      </c>
      <c r="F129" s="804" t="s">
        <v>317</v>
      </c>
      <c r="G129" s="804" t="s">
        <v>584</v>
      </c>
      <c r="H129" s="804" t="s">
        <v>518</v>
      </c>
      <c r="I129" s="804"/>
      <c r="J129" s="804"/>
      <c r="K129" s="804"/>
      <c r="L129" s="804" t="s">
        <v>189</v>
      </c>
      <c r="M129" s="804" t="s">
        <v>462</v>
      </c>
      <c r="N129" s="804" t="s">
        <v>5</v>
      </c>
      <c r="O129" s="804" t="s">
        <v>26</v>
      </c>
      <c r="P129" s="804">
        <f>S129/P$14*100000</f>
        <v>7.2792123892194862</v>
      </c>
      <c r="Q129" s="804">
        <v>1.9462826002335538</v>
      </c>
      <c r="R129" s="804">
        <f t="shared" si="4"/>
        <v>1</v>
      </c>
      <c r="S129" s="863">
        <v>4</v>
      </c>
      <c r="T129" s="804"/>
      <c r="U129" s="861" t="s">
        <v>623</v>
      </c>
    </row>
    <row r="130" spans="1:21" s="583" customFormat="1" ht="12.75" customHeight="1" x14ac:dyDescent="0.25">
      <c r="A130" s="804" t="s">
        <v>308</v>
      </c>
      <c r="B130" s="804">
        <v>6</v>
      </c>
      <c r="C130" s="804" t="s">
        <v>607</v>
      </c>
      <c r="D130" s="804" t="s">
        <v>297</v>
      </c>
      <c r="E130" s="804">
        <v>1</v>
      </c>
      <c r="F130" s="804" t="s">
        <v>317</v>
      </c>
      <c r="G130" s="804" t="s">
        <v>584</v>
      </c>
      <c r="H130" s="804" t="s">
        <v>518</v>
      </c>
      <c r="I130" s="804"/>
      <c r="J130" s="804"/>
      <c r="K130" s="804"/>
      <c r="L130" s="804" t="s">
        <v>189</v>
      </c>
      <c r="M130" s="804" t="s">
        <v>462</v>
      </c>
      <c r="N130" s="804" t="s">
        <v>6</v>
      </c>
      <c r="O130" s="804" t="s">
        <v>26</v>
      </c>
      <c r="P130" s="804">
        <f>S130/P$15*100000</f>
        <v>0</v>
      </c>
      <c r="Q130" s="804">
        <v>14.016172506738545</v>
      </c>
      <c r="R130" s="804">
        <f t="shared" si="4"/>
        <v>1</v>
      </c>
      <c r="S130" s="863">
        <v>0</v>
      </c>
      <c r="T130" s="804"/>
      <c r="U130" s="861" t="s">
        <v>623</v>
      </c>
    </row>
    <row r="131" spans="1:21" s="583" customFormat="1" ht="12.75" customHeight="1" x14ac:dyDescent="0.25">
      <c r="A131" s="804" t="s">
        <v>308</v>
      </c>
      <c r="B131" s="804">
        <v>6</v>
      </c>
      <c r="C131" s="804" t="s">
        <v>607</v>
      </c>
      <c r="D131" s="804" t="s">
        <v>297</v>
      </c>
      <c r="E131" s="804">
        <v>1</v>
      </c>
      <c r="F131" s="804" t="s">
        <v>317</v>
      </c>
      <c r="G131" s="804" t="s">
        <v>584</v>
      </c>
      <c r="H131" s="804" t="s">
        <v>518</v>
      </c>
      <c r="I131" s="804"/>
      <c r="J131" s="804"/>
      <c r="K131" s="804"/>
      <c r="L131" s="804" t="s">
        <v>189</v>
      </c>
      <c r="M131" s="804" t="s">
        <v>462</v>
      </c>
      <c r="N131" s="804" t="s">
        <v>7</v>
      </c>
      <c r="O131" s="804" t="s">
        <v>26</v>
      </c>
      <c r="P131" s="804">
        <f>S131/P$16*100000</f>
        <v>2.699358902260713</v>
      </c>
      <c r="Q131" s="804">
        <v>25.176052538825072</v>
      </c>
      <c r="R131" s="804">
        <f t="shared" si="4"/>
        <v>1</v>
      </c>
      <c r="S131" s="863">
        <v>1.2</v>
      </c>
      <c r="T131" s="804"/>
      <c r="U131" s="861" t="s">
        <v>623</v>
      </c>
    </row>
    <row r="132" spans="1:21" s="583" customFormat="1" ht="12.75" customHeight="1" x14ac:dyDescent="0.25">
      <c r="A132" s="804" t="s">
        <v>308</v>
      </c>
      <c r="B132" s="804">
        <v>6</v>
      </c>
      <c r="C132" s="804" t="s">
        <v>607</v>
      </c>
      <c r="D132" s="804" t="s">
        <v>297</v>
      </c>
      <c r="E132" s="804">
        <v>1</v>
      </c>
      <c r="F132" s="804" t="s">
        <v>317</v>
      </c>
      <c r="G132" s="804" t="s">
        <v>584</v>
      </c>
      <c r="H132" s="804" t="s">
        <v>518</v>
      </c>
      <c r="I132" s="804"/>
      <c r="J132" s="804"/>
      <c r="K132" s="804"/>
      <c r="L132" s="804" t="s">
        <v>189</v>
      </c>
      <c r="M132" s="804" t="s">
        <v>462</v>
      </c>
      <c r="N132" s="804" t="s">
        <v>8</v>
      </c>
      <c r="O132" s="804" t="s">
        <v>26</v>
      </c>
      <c r="P132" s="804">
        <f>S132/P$17*100000</f>
        <v>12.368392572780261</v>
      </c>
      <c r="Q132" s="804">
        <v>51.632328058126802</v>
      </c>
      <c r="R132" s="804">
        <f t="shared" si="4"/>
        <v>1</v>
      </c>
      <c r="S132" s="863">
        <v>3.2</v>
      </c>
      <c r="T132" s="804"/>
      <c r="U132" s="861" t="s">
        <v>623</v>
      </c>
    </row>
    <row r="133" spans="1:21" s="583" customFormat="1" ht="12.75" customHeight="1" x14ac:dyDescent="0.25">
      <c r="A133" s="804" t="s">
        <v>308</v>
      </c>
      <c r="B133" s="804">
        <v>6</v>
      </c>
      <c r="C133" s="804" t="s">
        <v>607</v>
      </c>
      <c r="D133" s="804" t="s">
        <v>297</v>
      </c>
      <c r="E133" s="804">
        <v>1</v>
      </c>
      <c r="F133" s="804" t="s">
        <v>317</v>
      </c>
      <c r="G133" s="804" t="s">
        <v>584</v>
      </c>
      <c r="H133" s="804" t="s">
        <v>518</v>
      </c>
      <c r="I133" s="804"/>
      <c r="J133" s="804"/>
      <c r="K133" s="804"/>
      <c r="L133" s="804" t="s">
        <v>189</v>
      </c>
      <c r="M133" s="804" t="s">
        <v>462</v>
      </c>
      <c r="N133" s="804" t="s">
        <v>9</v>
      </c>
      <c r="O133" s="804" t="s">
        <v>26</v>
      </c>
      <c r="P133" s="804">
        <f>S133/P$18*100000</f>
        <v>91.949171703772919</v>
      </c>
      <c r="Q133" s="804">
        <v>255.31319584503998</v>
      </c>
      <c r="R133" s="804">
        <f t="shared" si="4"/>
        <v>0.36014265302440784</v>
      </c>
      <c r="S133" s="863">
        <v>12.2</v>
      </c>
      <c r="T133" s="804"/>
      <c r="U133" s="861" t="s">
        <v>623</v>
      </c>
    </row>
    <row r="134" spans="1:21" s="583" customFormat="1" ht="12.75" customHeight="1" x14ac:dyDescent="0.25">
      <c r="A134" s="804" t="s">
        <v>308</v>
      </c>
      <c r="B134" s="804">
        <v>6</v>
      </c>
      <c r="C134" s="804" t="s">
        <v>607</v>
      </c>
      <c r="D134" s="804" t="s">
        <v>297</v>
      </c>
      <c r="E134" s="804">
        <v>1</v>
      </c>
      <c r="F134" s="804" t="s">
        <v>317</v>
      </c>
      <c r="G134" s="804" t="s">
        <v>584</v>
      </c>
      <c r="H134" s="804" t="s">
        <v>518</v>
      </c>
      <c r="I134" s="804"/>
      <c r="J134" s="804"/>
      <c r="K134" s="804"/>
      <c r="L134" s="804" t="s">
        <v>188</v>
      </c>
      <c r="M134" s="804" t="s">
        <v>463</v>
      </c>
      <c r="N134" s="804" t="s">
        <v>249</v>
      </c>
      <c r="O134" s="804" t="s">
        <v>27</v>
      </c>
      <c r="P134" s="804">
        <f>S134/P$3*100000</f>
        <v>0</v>
      </c>
      <c r="Q134" s="804">
        <v>0</v>
      </c>
      <c r="R134" s="804">
        <f t="shared" si="4"/>
        <v>1</v>
      </c>
      <c r="S134" s="863">
        <v>0</v>
      </c>
      <c r="T134" s="804"/>
      <c r="U134" s="861" t="s">
        <v>623</v>
      </c>
    </row>
    <row r="135" spans="1:21" s="583" customFormat="1" ht="12.75" customHeight="1" x14ac:dyDescent="0.25">
      <c r="A135" s="804" t="s">
        <v>308</v>
      </c>
      <c r="B135" s="804">
        <v>6</v>
      </c>
      <c r="C135" s="804" t="s">
        <v>607</v>
      </c>
      <c r="D135" s="804" t="s">
        <v>297</v>
      </c>
      <c r="E135" s="804">
        <v>1</v>
      </c>
      <c r="F135" s="804" t="s">
        <v>317</v>
      </c>
      <c r="G135" s="804" t="s">
        <v>584</v>
      </c>
      <c r="H135" s="804" t="s">
        <v>518</v>
      </c>
      <c r="I135" s="804"/>
      <c r="J135" s="804"/>
      <c r="K135" s="804"/>
      <c r="L135" s="804" t="s">
        <v>188</v>
      </c>
      <c r="M135" s="804" t="s">
        <v>463</v>
      </c>
      <c r="N135" s="804" t="s">
        <v>244</v>
      </c>
      <c r="O135" s="804" t="s">
        <v>27</v>
      </c>
      <c r="P135" s="804">
        <f>S135/P$4*100000</f>
        <v>0</v>
      </c>
      <c r="Q135" s="804">
        <v>0</v>
      </c>
      <c r="R135" s="804">
        <f t="shared" si="4"/>
        <v>1</v>
      </c>
      <c r="S135" s="863">
        <v>0</v>
      </c>
      <c r="T135" s="804"/>
      <c r="U135" s="861" t="s">
        <v>623</v>
      </c>
    </row>
    <row r="136" spans="1:21" s="583" customFormat="1" ht="12.75" customHeight="1" x14ac:dyDescent="0.25">
      <c r="A136" s="804" t="s">
        <v>308</v>
      </c>
      <c r="B136" s="804">
        <v>6</v>
      </c>
      <c r="C136" s="804" t="s">
        <v>607</v>
      </c>
      <c r="D136" s="804" t="s">
        <v>297</v>
      </c>
      <c r="E136" s="804">
        <v>1</v>
      </c>
      <c r="F136" s="804" t="s">
        <v>317</v>
      </c>
      <c r="G136" s="804" t="s">
        <v>584</v>
      </c>
      <c r="H136" s="804" t="s">
        <v>518</v>
      </c>
      <c r="I136" s="804"/>
      <c r="J136" s="804"/>
      <c r="K136" s="804"/>
      <c r="L136" s="804" t="s">
        <v>188</v>
      </c>
      <c r="M136" s="804" t="s">
        <v>463</v>
      </c>
      <c r="N136" s="804" t="s">
        <v>4</v>
      </c>
      <c r="O136" s="804" t="s">
        <v>27</v>
      </c>
      <c r="P136" s="804">
        <f>S136/P$5*100000</f>
        <v>4.4754410174169248</v>
      </c>
      <c r="Q136" s="804">
        <v>0</v>
      </c>
      <c r="R136" s="804">
        <f t="shared" si="4"/>
        <v>1</v>
      </c>
      <c r="S136" s="863">
        <v>2.4</v>
      </c>
      <c r="T136" s="804"/>
      <c r="U136" s="861" t="s">
        <v>623</v>
      </c>
    </row>
    <row r="137" spans="1:21" s="583" customFormat="1" ht="12.75" customHeight="1" x14ac:dyDescent="0.25">
      <c r="A137" s="804" t="s">
        <v>308</v>
      </c>
      <c r="B137" s="804">
        <v>6</v>
      </c>
      <c r="C137" s="804" t="s">
        <v>607</v>
      </c>
      <c r="D137" s="804" t="s">
        <v>297</v>
      </c>
      <c r="E137" s="804">
        <v>1</v>
      </c>
      <c r="F137" s="804" t="s">
        <v>317</v>
      </c>
      <c r="G137" s="804" t="s">
        <v>584</v>
      </c>
      <c r="H137" s="804" t="s">
        <v>518</v>
      </c>
      <c r="I137" s="804"/>
      <c r="J137" s="804"/>
      <c r="K137" s="804"/>
      <c r="L137" s="804" t="s">
        <v>188</v>
      </c>
      <c r="M137" s="804" t="s">
        <v>463</v>
      </c>
      <c r="N137" s="804" t="s">
        <v>5</v>
      </c>
      <c r="O137" s="804" t="s">
        <v>27</v>
      </c>
      <c r="P137" s="804">
        <f>S137/P$6*100000</f>
        <v>43.628501380282238</v>
      </c>
      <c r="Q137" s="804">
        <v>6.1002533057563149</v>
      </c>
      <c r="R137" s="804">
        <f t="shared" si="4"/>
        <v>7.1519163538854285</v>
      </c>
      <c r="S137" s="863">
        <v>22.6</v>
      </c>
      <c r="T137" s="804"/>
      <c r="U137" s="861" t="s">
        <v>623</v>
      </c>
    </row>
    <row r="138" spans="1:21" s="583" customFormat="1" ht="12.75" customHeight="1" x14ac:dyDescent="0.25">
      <c r="A138" s="804" t="s">
        <v>308</v>
      </c>
      <c r="B138" s="804">
        <v>6</v>
      </c>
      <c r="C138" s="804" t="s">
        <v>607</v>
      </c>
      <c r="D138" s="804" t="s">
        <v>297</v>
      </c>
      <c r="E138" s="804">
        <v>1</v>
      </c>
      <c r="F138" s="804" t="s">
        <v>317</v>
      </c>
      <c r="G138" s="804" t="s">
        <v>584</v>
      </c>
      <c r="H138" s="804" t="s">
        <v>518</v>
      </c>
      <c r="I138" s="804"/>
      <c r="J138" s="804"/>
      <c r="K138" s="804"/>
      <c r="L138" s="804" t="s">
        <v>188</v>
      </c>
      <c r="M138" s="804" t="s">
        <v>463</v>
      </c>
      <c r="N138" s="804" t="s">
        <v>6</v>
      </c>
      <c r="O138" s="804" t="s">
        <v>27</v>
      </c>
      <c r="P138" s="804">
        <f>S138/P$7*100000</f>
        <v>0</v>
      </c>
      <c r="Q138" s="804">
        <v>28.471240906474065</v>
      </c>
      <c r="R138" s="804">
        <f t="shared" si="4"/>
        <v>1</v>
      </c>
      <c r="S138" s="863">
        <v>0</v>
      </c>
      <c r="T138" s="804"/>
      <c r="U138" s="861" t="s">
        <v>623</v>
      </c>
    </row>
    <row r="139" spans="1:21" s="583" customFormat="1" ht="12.75" customHeight="1" x14ac:dyDescent="0.25">
      <c r="A139" s="804" t="s">
        <v>308</v>
      </c>
      <c r="B139" s="804">
        <v>6</v>
      </c>
      <c r="C139" s="804" t="s">
        <v>607</v>
      </c>
      <c r="D139" s="804" t="s">
        <v>297</v>
      </c>
      <c r="E139" s="804">
        <v>1</v>
      </c>
      <c r="F139" s="804" t="s">
        <v>317</v>
      </c>
      <c r="G139" s="804" t="s">
        <v>584</v>
      </c>
      <c r="H139" s="804" t="s">
        <v>518</v>
      </c>
      <c r="I139" s="804"/>
      <c r="J139" s="804"/>
      <c r="K139" s="804"/>
      <c r="L139" s="804" t="s">
        <v>188</v>
      </c>
      <c r="M139" s="804" t="s">
        <v>463</v>
      </c>
      <c r="N139" s="804" t="s">
        <v>7</v>
      </c>
      <c r="O139" s="804" t="s">
        <v>27</v>
      </c>
      <c r="P139" s="804">
        <f>S139/P$8*100000</f>
        <v>83.055744541735507</v>
      </c>
      <c r="Q139" s="804">
        <v>85.343710379270249</v>
      </c>
      <c r="R139" s="804">
        <f t="shared" si="4"/>
        <v>0.97319116045732079</v>
      </c>
      <c r="S139" s="863">
        <v>37.6</v>
      </c>
      <c r="T139" s="804"/>
      <c r="U139" s="861" t="s">
        <v>623</v>
      </c>
    </row>
    <row r="140" spans="1:21" s="583" customFormat="1" ht="12.75" customHeight="1" x14ac:dyDescent="0.25">
      <c r="A140" s="804" t="s">
        <v>308</v>
      </c>
      <c r="B140" s="804">
        <v>6</v>
      </c>
      <c r="C140" s="804" t="s">
        <v>607</v>
      </c>
      <c r="D140" s="804" t="s">
        <v>297</v>
      </c>
      <c r="E140" s="804">
        <v>1</v>
      </c>
      <c r="F140" s="804" t="s">
        <v>317</v>
      </c>
      <c r="G140" s="804" t="s">
        <v>584</v>
      </c>
      <c r="H140" s="804" t="s">
        <v>518</v>
      </c>
      <c r="I140" s="804"/>
      <c r="J140" s="804"/>
      <c r="K140" s="804"/>
      <c r="L140" s="804" t="s">
        <v>188</v>
      </c>
      <c r="M140" s="804" t="s">
        <v>463</v>
      </c>
      <c r="N140" s="804" t="s">
        <v>8</v>
      </c>
      <c r="O140" s="804" t="s">
        <v>27</v>
      </c>
      <c r="P140" s="804">
        <f>S140/P$9*100000</f>
        <v>230.71803593877098</v>
      </c>
      <c r="Q140" s="804">
        <v>249.38235721552104</v>
      </c>
      <c r="R140" s="804">
        <f t="shared" si="4"/>
        <v>0.92515781194328839</v>
      </c>
      <c r="S140" s="863">
        <v>62.4</v>
      </c>
      <c r="T140" s="804"/>
      <c r="U140" s="861" t="s">
        <v>623</v>
      </c>
    </row>
    <row r="141" spans="1:21" s="583" customFormat="1" ht="12.75" customHeight="1" x14ac:dyDescent="0.25">
      <c r="A141" s="804" t="s">
        <v>308</v>
      </c>
      <c r="B141" s="804">
        <v>6</v>
      </c>
      <c r="C141" s="804" t="s">
        <v>607</v>
      </c>
      <c r="D141" s="804" t="s">
        <v>297</v>
      </c>
      <c r="E141" s="804">
        <v>1</v>
      </c>
      <c r="F141" s="804" t="s">
        <v>317</v>
      </c>
      <c r="G141" s="804" t="s">
        <v>584</v>
      </c>
      <c r="H141" s="804" t="s">
        <v>518</v>
      </c>
      <c r="I141" s="804"/>
      <c r="J141" s="804"/>
      <c r="K141" s="804"/>
      <c r="L141" s="804" t="s">
        <v>188</v>
      </c>
      <c r="M141" s="804" t="s">
        <v>463</v>
      </c>
      <c r="N141" s="804" t="s">
        <v>9</v>
      </c>
      <c r="O141" s="804" t="s">
        <v>27</v>
      </c>
      <c r="P141" s="804">
        <f>S141/P$10*100000</f>
        <v>1071.1732761471903</v>
      </c>
      <c r="Q141" s="804">
        <v>1151.4614703277234</v>
      </c>
      <c r="R141" s="804">
        <f t="shared" si="4"/>
        <v>0.93027279136167551</v>
      </c>
      <c r="S141" s="863">
        <v>200.8</v>
      </c>
      <c r="T141" s="804"/>
      <c r="U141" s="861" t="s">
        <v>623</v>
      </c>
    </row>
    <row r="142" spans="1:21" s="583" customFormat="1" ht="12.75" customHeight="1" x14ac:dyDescent="0.25">
      <c r="A142" s="804" t="s">
        <v>308</v>
      </c>
      <c r="B142" s="804">
        <v>6</v>
      </c>
      <c r="C142" s="804" t="s">
        <v>607</v>
      </c>
      <c r="D142" s="804" t="s">
        <v>297</v>
      </c>
      <c r="E142" s="804">
        <v>1</v>
      </c>
      <c r="F142" s="804" t="s">
        <v>317</v>
      </c>
      <c r="G142" s="804" t="s">
        <v>584</v>
      </c>
      <c r="H142" s="804" t="s">
        <v>518</v>
      </c>
      <c r="I142" s="804"/>
      <c r="J142" s="804"/>
      <c r="K142" s="804"/>
      <c r="L142" s="804" t="s">
        <v>188</v>
      </c>
      <c r="M142" s="804" t="s">
        <v>463</v>
      </c>
      <c r="N142" s="804" t="s">
        <v>249</v>
      </c>
      <c r="O142" s="804" t="s">
        <v>26</v>
      </c>
      <c r="P142" s="804">
        <f>S142/P$11*100000</f>
        <v>1.0414388519178097</v>
      </c>
      <c r="Q142" s="804">
        <v>0.78481847148754502</v>
      </c>
      <c r="R142" s="804">
        <f t="shared" si="4"/>
        <v>1</v>
      </c>
      <c r="S142" s="863">
        <v>0.2</v>
      </c>
      <c r="T142" s="804"/>
      <c r="U142" s="861" t="s">
        <v>623</v>
      </c>
    </row>
    <row r="143" spans="1:21" s="583" customFormat="1" ht="12.75" customHeight="1" x14ac:dyDescent="0.25">
      <c r="A143" s="804" t="s">
        <v>308</v>
      </c>
      <c r="B143" s="804">
        <v>6</v>
      </c>
      <c r="C143" s="804" t="s">
        <v>607</v>
      </c>
      <c r="D143" s="804" t="s">
        <v>297</v>
      </c>
      <c r="E143" s="804">
        <v>1</v>
      </c>
      <c r="F143" s="804" t="s">
        <v>317</v>
      </c>
      <c r="G143" s="804" t="s">
        <v>584</v>
      </c>
      <c r="H143" s="804" t="s">
        <v>518</v>
      </c>
      <c r="I143" s="804"/>
      <c r="J143" s="804"/>
      <c r="K143" s="804"/>
      <c r="L143" s="804" t="s">
        <v>188</v>
      </c>
      <c r="M143" s="804" t="s">
        <v>463</v>
      </c>
      <c r="N143" s="804" t="s">
        <v>244</v>
      </c>
      <c r="O143" s="804" t="s">
        <v>26</v>
      </c>
      <c r="P143" s="804">
        <f>S143/P$12*100000</f>
        <v>0</v>
      </c>
      <c r="Q143" s="804">
        <v>0</v>
      </c>
      <c r="R143" s="804">
        <f t="shared" si="4"/>
        <v>1</v>
      </c>
      <c r="S143" s="863">
        <v>0</v>
      </c>
      <c r="T143" s="804"/>
      <c r="U143" s="861" t="s">
        <v>623</v>
      </c>
    </row>
    <row r="144" spans="1:21" s="583" customFormat="1" ht="12.75" customHeight="1" x14ac:dyDescent="0.25">
      <c r="A144" s="804" t="s">
        <v>308</v>
      </c>
      <c r="B144" s="804">
        <v>6</v>
      </c>
      <c r="C144" s="804" t="s">
        <v>607</v>
      </c>
      <c r="D144" s="804" t="s">
        <v>297</v>
      </c>
      <c r="E144" s="804">
        <v>1</v>
      </c>
      <c r="F144" s="804" t="s">
        <v>317</v>
      </c>
      <c r="G144" s="804" t="s">
        <v>584</v>
      </c>
      <c r="H144" s="804" t="s">
        <v>518</v>
      </c>
      <c r="I144" s="804"/>
      <c r="J144" s="804"/>
      <c r="K144" s="804"/>
      <c r="L144" s="804" t="s">
        <v>188</v>
      </c>
      <c r="M144" s="804" t="s">
        <v>463</v>
      </c>
      <c r="N144" s="804" t="s">
        <v>4</v>
      </c>
      <c r="O144" s="804" t="s">
        <v>26</v>
      </c>
      <c r="P144" s="804">
        <f>S144/P$13*100000</f>
        <v>15.072145335673422</v>
      </c>
      <c r="Q144" s="804">
        <v>0.25753283543651817</v>
      </c>
      <c r="R144" s="804">
        <f t="shared" si="4"/>
        <v>1</v>
      </c>
      <c r="S144" s="863">
        <v>9</v>
      </c>
      <c r="T144" s="804"/>
      <c r="U144" s="861" t="s">
        <v>623</v>
      </c>
    </row>
    <row r="145" spans="1:21" s="583" customFormat="1" ht="12.75" customHeight="1" x14ac:dyDescent="0.25">
      <c r="A145" s="804" t="s">
        <v>308</v>
      </c>
      <c r="B145" s="804">
        <v>6</v>
      </c>
      <c r="C145" s="804" t="s">
        <v>607</v>
      </c>
      <c r="D145" s="804" t="s">
        <v>297</v>
      </c>
      <c r="E145" s="804">
        <v>1</v>
      </c>
      <c r="F145" s="804" t="s">
        <v>317</v>
      </c>
      <c r="G145" s="804" t="s">
        <v>584</v>
      </c>
      <c r="H145" s="804" t="s">
        <v>518</v>
      </c>
      <c r="I145" s="804"/>
      <c r="J145" s="804"/>
      <c r="K145" s="804"/>
      <c r="L145" s="804" t="s">
        <v>188</v>
      </c>
      <c r="M145" s="804" t="s">
        <v>463</v>
      </c>
      <c r="N145" s="804" t="s">
        <v>5</v>
      </c>
      <c r="O145" s="804" t="s">
        <v>26</v>
      </c>
      <c r="P145" s="804">
        <f>S145/P$14*100000</f>
        <v>117.19531946643374</v>
      </c>
      <c r="Q145" s="804">
        <v>18.628704887949727</v>
      </c>
      <c r="R145" s="804">
        <f t="shared" si="4"/>
        <v>6.2911147163130696</v>
      </c>
      <c r="S145" s="863">
        <v>64.400000000000006</v>
      </c>
      <c r="T145" s="804"/>
      <c r="U145" s="861" t="s">
        <v>623</v>
      </c>
    </row>
    <row r="146" spans="1:21" s="583" customFormat="1" ht="12.75" customHeight="1" x14ac:dyDescent="0.25">
      <c r="A146" s="804" t="s">
        <v>308</v>
      </c>
      <c r="B146" s="804">
        <v>6</v>
      </c>
      <c r="C146" s="804" t="s">
        <v>607</v>
      </c>
      <c r="D146" s="804" t="s">
        <v>297</v>
      </c>
      <c r="E146" s="804">
        <v>1</v>
      </c>
      <c r="F146" s="804" t="s">
        <v>317</v>
      </c>
      <c r="G146" s="804" t="s">
        <v>584</v>
      </c>
      <c r="H146" s="804" t="s">
        <v>518</v>
      </c>
      <c r="I146" s="804"/>
      <c r="J146" s="804"/>
      <c r="K146" s="804"/>
      <c r="L146" s="804" t="s">
        <v>188</v>
      </c>
      <c r="M146" s="804" t="s">
        <v>463</v>
      </c>
      <c r="N146" s="804" t="s">
        <v>6</v>
      </c>
      <c r="O146" s="804" t="s">
        <v>26</v>
      </c>
      <c r="P146" s="804">
        <f>S146/P$15*100000</f>
        <v>0</v>
      </c>
      <c r="Q146" s="804">
        <v>88.625336927223714</v>
      </c>
      <c r="R146" s="804">
        <f t="shared" si="4"/>
        <v>1</v>
      </c>
      <c r="S146" s="863">
        <v>0</v>
      </c>
      <c r="T146" s="804"/>
      <c r="U146" s="861" t="s">
        <v>623</v>
      </c>
    </row>
    <row r="147" spans="1:21" s="583" customFormat="1" ht="12.75" customHeight="1" x14ac:dyDescent="0.25">
      <c r="A147" s="804" t="s">
        <v>308</v>
      </c>
      <c r="B147" s="804">
        <v>6</v>
      </c>
      <c r="C147" s="804" t="s">
        <v>607</v>
      </c>
      <c r="D147" s="804" t="s">
        <v>297</v>
      </c>
      <c r="E147" s="804">
        <v>1</v>
      </c>
      <c r="F147" s="804" t="s">
        <v>317</v>
      </c>
      <c r="G147" s="804" t="s">
        <v>584</v>
      </c>
      <c r="H147" s="804" t="s">
        <v>518</v>
      </c>
      <c r="I147" s="804"/>
      <c r="J147" s="804"/>
      <c r="K147" s="804"/>
      <c r="L147" s="804" t="s">
        <v>188</v>
      </c>
      <c r="M147" s="804" t="s">
        <v>463</v>
      </c>
      <c r="N147" s="804" t="s">
        <v>7</v>
      </c>
      <c r="O147" s="804" t="s">
        <v>26</v>
      </c>
      <c r="P147" s="804">
        <f>S147/P$16*100000</f>
        <v>253.739736812507</v>
      </c>
      <c r="Q147" s="804">
        <v>255.71676221578031</v>
      </c>
      <c r="R147" s="804">
        <f t="shared" si="4"/>
        <v>0.99226869061635847</v>
      </c>
      <c r="S147" s="863">
        <v>112.8</v>
      </c>
      <c r="T147" s="804"/>
      <c r="U147" s="861" t="s">
        <v>623</v>
      </c>
    </row>
    <row r="148" spans="1:21" s="583" customFormat="1" ht="12.75" customHeight="1" x14ac:dyDescent="0.25">
      <c r="A148" s="804" t="s">
        <v>308</v>
      </c>
      <c r="B148" s="804">
        <v>6</v>
      </c>
      <c r="C148" s="804" t="s">
        <v>607</v>
      </c>
      <c r="D148" s="804" t="s">
        <v>297</v>
      </c>
      <c r="E148" s="804">
        <v>1</v>
      </c>
      <c r="F148" s="804" t="s">
        <v>317</v>
      </c>
      <c r="G148" s="804" t="s">
        <v>584</v>
      </c>
      <c r="H148" s="804" t="s">
        <v>518</v>
      </c>
      <c r="I148" s="804"/>
      <c r="J148" s="804"/>
      <c r="K148" s="804"/>
      <c r="L148" s="804" t="s">
        <v>188</v>
      </c>
      <c r="M148" s="804" t="s">
        <v>463</v>
      </c>
      <c r="N148" s="804" t="s">
        <v>8</v>
      </c>
      <c r="O148" s="804" t="s">
        <v>26</v>
      </c>
      <c r="P148" s="804">
        <f>S148/P$17*100000</f>
        <v>497.82780105440554</v>
      </c>
      <c r="Q148" s="804">
        <v>531.87518662287255</v>
      </c>
      <c r="R148" s="804">
        <f t="shared" si="4"/>
        <v>0.93598613655085139</v>
      </c>
      <c r="S148" s="863">
        <v>128.80000000000001</v>
      </c>
      <c r="T148" s="804"/>
      <c r="U148" s="861" t="s">
        <v>623</v>
      </c>
    </row>
    <row r="149" spans="1:21" s="583" customFormat="1" ht="12.75" customHeight="1" x14ac:dyDescent="0.25">
      <c r="A149" s="804" t="s">
        <v>308</v>
      </c>
      <c r="B149" s="804">
        <v>6</v>
      </c>
      <c r="C149" s="804" t="s">
        <v>607</v>
      </c>
      <c r="D149" s="804" t="s">
        <v>297</v>
      </c>
      <c r="E149" s="804">
        <v>1</v>
      </c>
      <c r="F149" s="804" t="s">
        <v>317</v>
      </c>
      <c r="G149" s="804" t="s">
        <v>584</v>
      </c>
      <c r="H149" s="804" t="s">
        <v>518</v>
      </c>
      <c r="I149" s="804"/>
      <c r="J149" s="804"/>
      <c r="K149" s="804"/>
      <c r="L149" s="804" t="s">
        <v>188</v>
      </c>
      <c r="M149" s="804" t="s">
        <v>463</v>
      </c>
      <c r="N149" s="804" t="s">
        <v>9</v>
      </c>
      <c r="O149" s="804" t="s">
        <v>26</v>
      </c>
      <c r="P149" s="804">
        <f>S149/P$18*100000</f>
        <v>1748.5416258422392</v>
      </c>
      <c r="Q149" s="804">
        <v>1825.6642223439846</v>
      </c>
      <c r="R149" s="804">
        <f t="shared" ref="R149:R212" si="5">IF(S149&lt;10, 1, P149/Q149)</f>
        <v>0.95775641787911736</v>
      </c>
      <c r="S149" s="863">
        <v>232</v>
      </c>
      <c r="T149" s="804"/>
      <c r="U149" s="861" t="s">
        <v>623</v>
      </c>
    </row>
    <row r="150" spans="1:21" s="583" customFormat="1" ht="12.75" customHeight="1" x14ac:dyDescent="0.25">
      <c r="A150" s="804" t="s">
        <v>308</v>
      </c>
      <c r="B150" s="804">
        <v>6</v>
      </c>
      <c r="C150" s="804" t="s">
        <v>607</v>
      </c>
      <c r="D150" s="804" t="s">
        <v>297</v>
      </c>
      <c r="E150" s="804">
        <v>1</v>
      </c>
      <c r="F150" s="804" t="s">
        <v>317</v>
      </c>
      <c r="G150" s="804" t="s">
        <v>584</v>
      </c>
      <c r="H150" s="804" t="s">
        <v>518</v>
      </c>
      <c r="I150" s="804"/>
      <c r="J150" s="804"/>
      <c r="K150" s="804"/>
      <c r="L150" s="804" t="s">
        <v>156</v>
      </c>
      <c r="M150" s="804" t="s">
        <v>464</v>
      </c>
      <c r="N150" s="804" t="s">
        <v>249</v>
      </c>
      <c r="O150" s="804" t="s">
        <v>27</v>
      </c>
      <c r="P150" s="804">
        <f>S150/P$3*100000</f>
        <v>0</v>
      </c>
      <c r="Q150" s="804">
        <v>0</v>
      </c>
      <c r="R150" s="804">
        <f t="shared" si="5"/>
        <v>1</v>
      </c>
      <c r="S150" s="863">
        <v>0</v>
      </c>
      <c r="T150" s="804"/>
      <c r="U150" s="861" t="s">
        <v>623</v>
      </c>
    </row>
    <row r="151" spans="1:21" s="583" customFormat="1" ht="12.75" customHeight="1" x14ac:dyDescent="0.25">
      <c r="A151" s="804" t="s">
        <v>308</v>
      </c>
      <c r="B151" s="804">
        <v>6</v>
      </c>
      <c r="C151" s="804" t="s">
        <v>607</v>
      </c>
      <c r="D151" s="804" t="s">
        <v>297</v>
      </c>
      <c r="E151" s="804">
        <v>1</v>
      </c>
      <c r="F151" s="804" t="s">
        <v>317</v>
      </c>
      <c r="G151" s="804" t="s">
        <v>584</v>
      </c>
      <c r="H151" s="804" t="s">
        <v>518</v>
      </c>
      <c r="I151" s="804"/>
      <c r="J151" s="804"/>
      <c r="K151" s="804"/>
      <c r="L151" s="804" t="s">
        <v>156</v>
      </c>
      <c r="M151" s="804" t="s">
        <v>464</v>
      </c>
      <c r="N151" s="804" t="s">
        <v>244</v>
      </c>
      <c r="O151" s="804" t="s">
        <v>27</v>
      </c>
      <c r="P151" s="804">
        <f>S151/P$4*100000</f>
        <v>0.52691758482055828</v>
      </c>
      <c r="Q151" s="804">
        <v>0</v>
      </c>
      <c r="R151" s="804">
        <f t="shared" si="5"/>
        <v>1</v>
      </c>
      <c r="S151" s="863">
        <v>0.2</v>
      </c>
      <c r="T151" s="804"/>
      <c r="U151" s="861" t="s">
        <v>623</v>
      </c>
    </row>
    <row r="152" spans="1:21" s="583" customFormat="1" ht="12.75" customHeight="1" x14ac:dyDescent="0.25">
      <c r="A152" s="804" t="s">
        <v>308</v>
      </c>
      <c r="B152" s="804">
        <v>6</v>
      </c>
      <c r="C152" s="804" t="s">
        <v>607</v>
      </c>
      <c r="D152" s="804" t="s">
        <v>297</v>
      </c>
      <c r="E152" s="804">
        <v>1</v>
      </c>
      <c r="F152" s="804" t="s">
        <v>317</v>
      </c>
      <c r="G152" s="804" t="s">
        <v>584</v>
      </c>
      <c r="H152" s="804" t="s">
        <v>518</v>
      </c>
      <c r="I152" s="804"/>
      <c r="J152" s="804"/>
      <c r="K152" s="804"/>
      <c r="L152" s="804" t="s">
        <v>156</v>
      </c>
      <c r="M152" s="804" t="s">
        <v>464</v>
      </c>
      <c r="N152" s="804" t="s">
        <v>4</v>
      </c>
      <c r="O152" s="804" t="s">
        <v>27</v>
      </c>
      <c r="P152" s="804">
        <f>S152/P$5*100000</f>
        <v>1.1188602543542312</v>
      </c>
      <c r="Q152" s="804">
        <v>0.56239332101691963</v>
      </c>
      <c r="R152" s="804">
        <f t="shared" si="5"/>
        <v>1</v>
      </c>
      <c r="S152" s="863">
        <v>0.6</v>
      </c>
      <c r="T152" s="804"/>
      <c r="U152" s="861" t="s">
        <v>623</v>
      </c>
    </row>
    <row r="153" spans="1:21" s="583" customFormat="1" ht="12.75" customHeight="1" x14ac:dyDescent="0.25">
      <c r="A153" s="804" t="s">
        <v>308</v>
      </c>
      <c r="B153" s="804">
        <v>6</v>
      </c>
      <c r="C153" s="804" t="s">
        <v>607</v>
      </c>
      <c r="D153" s="804" t="s">
        <v>297</v>
      </c>
      <c r="E153" s="804">
        <v>1</v>
      </c>
      <c r="F153" s="804" t="s">
        <v>317</v>
      </c>
      <c r="G153" s="804" t="s">
        <v>584</v>
      </c>
      <c r="H153" s="804" t="s">
        <v>518</v>
      </c>
      <c r="I153" s="804"/>
      <c r="J153" s="804"/>
      <c r="K153" s="804"/>
      <c r="L153" s="804" t="s">
        <v>156</v>
      </c>
      <c r="M153" s="804" t="s">
        <v>464</v>
      </c>
      <c r="N153" s="804" t="s">
        <v>5</v>
      </c>
      <c r="O153" s="804" t="s">
        <v>27</v>
      </c>
      <c r="P153" s="804">
        <f>S153/P$6*100000</f>
        <v>4.2470222582575623</v>
      </c>
      <c r="Q153" s="804">
        <v>0.87146475796518796</v>
      </c>
      <c r="R153" s="804">
        <f t="shared" si="5"/>
        <v>1</v>
      </c>
      <c r="S153" s="863">
        <v>2.2000000000000002</v>
      </c>
      <c r="T153" s="804"/>
      <c r="U153" s="861" t="s">
        <v>623</v>
      </c>
    </row>
    <row r="154" spans="1:21" s="583" customFormat="1" ht="12.75" customHeight="1" x14ac:dyDescent="0.25">
      <c r="A154" s="804" t="s">
        <v>308</v>
      </c>
      <c r="B154" s="804">
        <v>6</v>
      </c>
      <c r="C154" s="804" t="s">
        <v>607</v>
      </c>
      <c r="D154" s="804" t="s">
        <v>297</v>
      </c>
      <c r="E154" s="804">
        <v>1</v>
      </c>
      <c r="F154" s="804" t="s">
        <v>317</v>
      </c>
      <c r="G154" s="804" t="s">
        <v>584</v>
      </c>
      <c r="H154" s="804" t="s">
        <v>518</v>
      </c>
      <c r="I154" s="804"/>
      <c r="J154" s="804"/>
      <c r="K154" s="804"/>
      <c r="L154" s="804" t="s">
        <v>156</v>
      </c>
      <c r="M154" s="804" t="s">
        <v>464</v>
      </c>
      <c r="N154" s="804" t="s">
        <v>6</v>
      </c>
      <c r="O154" s="804" t="s">
        <v>27</v>
      </c>
      <c r="P154" s="804">
        <f>S154/P$7*100000</f>
        <v>0</v>
      </c>
      <c r="Q154" s="804">
        <v>3.5589051133092582</v>
      </c>
      <c r="R154" s="804">
        <f t="shared" si="5"/>
        <v>1</v>
      </c>
      <c r="S154" s="863">
        <v>0</v>
      </c>
      <c r="T154" s="804"/>
      <c r="U154" s="861" t="s">
        <v>623</v>
      </c>
    </row>
    <row r="155" spans="1:21" s="583" customFormat="1" ht="12.75" customHeight="1" x14ac:dyDescent="0.25">
      <c r="A155" s="804" t="s">
        <v>308</v>
      </c>
      <c r="B155" s="804">
        <v>6</v>
      </c>
      <c r="C155" s="804" t="s">
        <v>607</v>
      </c>
      <c r="D155" s="804" t="s">
        <v>297</v>
      </c>
      <c r="E155" s="804">
        <v>1</v>
      </c>
      <c r="F155" s="804" t="s">
        <v>317</v>
      </c>
      <c r="G155" s="804" t="s">
        <v>584</v>
      </c>
      <c r="H155" s="804" t="s">
        <v>518</v>
      </c>
      <c r="I155" s="804"/>
      <c r="J155" s="804"/>
      <c r="K155" s="804"/>
      <c r="L155" s="804" t="s">
        <v>156</v>
      </c>
      <c r="M155" s="804" t="s">
        <v>464</v>
      </c>
      <c r="N155" s="804" t="s">
        <v>7</v>
      </c>
      <c r="O155" s="804" t="s">
        <v>27</v>
      </c>
      <c r="P155" s="804">
        <f>S155/P$8*100000</f>
        <v>8.3939316292179491</v>
      </c>
      <c r="Q155" s="804">
        <v>9.8338431712739389</v>
      </c>
      <c r="R155" s="804">
        <f t="shared" si="5"/>
        <v>1</v>
      </c>
      <c r="S155" s="863">
        <v>3.8</v>
      </c>
      <c r="T155" s="804"/>
      <c r="U155" s="861" t="s">
        <v>623</v>
      </c>
    </row>
    <row r="156" spans="1:21" s="583" customFormat="1" ht="12.75" customHeight="1" x14ac:dyDescent="0.25">
      <c r="A156" s="804" t="s">
        <v>308</v>
      </c>
      <c r="B156" s="804">
        <v>6</v>
      </c>
      <c r="C156" s="804" t="s">
        <v>607</v>
      </c>
      <c r="D156" s="804" t="s">
        <v>297</v>
      </c>
      <c r="E156" s="804">
        <v>1</v>
      </c>
      <c r="F156" s="804" t="s">
        <v>317</v>
      </c>
      <c r="G156" s="804" t="s">
        <v>584</v>
      </c>
      <c r="H156" s="804" t="s">
        <v>518</v>
      </c>
      <c r="I156" s="804"/>
      <c r="J156" s="804"/>
      <c r="K156" s="804"/>
      <c r="L156" s="804" t="s">
        <v>156</v>
      </c>
      <c r="M156" s="804" t="s">
        <v>464</v>
      </c>
      <c r="N156" s="804" t="s">
        <v>8</v>
      </c>
      <c r="O156" s="804" t="s">
        <v>27</v>
      </c>
      <c r="P156" s="804">
        <f>S156/P$9*100000</f>
        <v>19.96598387931672</v>
      </c>
      <c r="Q156" s="804">
        <v>20.927190815288476</v>
      </c>
      <c r="R156" s="804">
        <f t="shared" si="5"/>
        <v>1</v>
      </c>
      <c r="S156" s="863">
        <v>5.4</v>
      </c>
      <c r="T156" s="804"/>
      <c r="U156" s="861" t="s">
        <v>623</v>
      </c>
    </row>
    <row r="157" spans="1:21" s="583" customFormat="1" ht="12.75" customHeight="1" x14ac:dyDescent="0.25">
      <c r="A157" s="804" t="s">
        <v>308</v>
      </c>
      <c r="B157" s="804">
        <v>6</v>
      </c>
      <c r="C157" s="804" t="s">
        <v>607</v>
      </c>
      <c r="D157" s="804" t="s">
        <v>297</v>
      </c>
      <c r="E157" s="804">
        <v>1</v>
      </c>
      <c r="F157" s="804" t="s">
        <v>317</v>
      </c>
      <c r="G157" s="804" t="s">
        <v>584</v>
      </c>
      <c r="H157" s="804" t="s">
        <v>518</v>
      </c>
      <c r="I157" s="804"/>
      <c r="J157" s="804"/>
      <c r="K157" s="804"/>
      <c r="L157" s="804" t="s">
        <v>156</v>
      </c>
      <c r="M157" s="804" t="s">
        <v>464</v>
      </c>
      <c r="N157" s="804" t="s">
        <v>9</v>
      </c>
      <c r="O157" s="804" t="s">
        <v>27</v>
      </c>
      <c r="P157" s="804">
        <f>S157/P$10*100000</f>
        <v>80.017924014979357</v>
      </c>
      <c r="Q157" s="804">
        <v>90.199169517556342</v>
      </c>
      <c r="R157" s="804">
        <f t="shared" si="5"/>
        <v>0.88712484209075437</v>
      </c>
      <c r="S157" s="863">
        <v>15</v>
      </c>
      <c r="T157" s="804"/>
      <c r="U157" s="861" t="s">
        <v>623</v>
      </c>
    </row>
    <row r="158" spans="1:21" s="583" customFormat="1" ht="12.75" customHeight="1" x14ac:dyDescent="0.25">
      <c r="A158" s="804" t="s">
        <v>308</v>
      </c>
      <c r="B158" s="804">
        <v>6</v>
      </c>
      <c r="C158" s="804" t="s">
        <v>607</v>
      </c>
      <c r="D158" s="804" t="s">
        <v>297</v>
      </c>
      <c r="E158" s="804">
        <v>1</v>
      </c>
      <c r="F158" s="804" t="s">
        <v>317</v>
      </c>
      <c r="G158" s="804" t="s">
        <v>584</v>
      </c>
      <c r="H158" s="804" t="s">
        <v>518</v>
      </c>
      <c r="I158" s="804"/>
      <c r="J158" s="804"/>
      <c r="K158" s="804"/>
      <c r="L158" s="804" t="s">
        <v>156</v>
      </c>
      <c r="M158" s="804" t="s">
        <v>464</v>
      </c>
      <c r="N158" s="804" t="s">
        <v>249</v>
      </c>
      <c r="O158" s="804" t="s">
        <v>26</v>
      </c>
      <c r="P158" s="804">
        <f>S158/P$11*100000</f>
        <v>0</v>
      </c>
      <c r="Q158" s="804">
        <v>0.78481847148754502</v>
      </c>
      <c r="R158" s="804">
        <f t="shared" si="5"/>
        <v>1</v>
      </c>
      <c r="S158" s="863">
        <v>0</v>
      </c>
      <c r="T158" s="804"/>
      <c r="U158" s="861" t="s">
        <v>623</v>
      </c>
    </row>
    <row r="159" spans="1:21" s="583" customFormat="1" ht="12.75" customHeight="1" x14ac:dyDescent="0.25">
      <c r="A159" s="804" t="s">
        <v>308</v>
      </c>
      <c r="B159" s="804">
        <v>6</v>
      </c>
      <c r="C159" s="804" t="s">
        <v>607</v>
      </c>
      <c r="D159" s="804" t="s">
        <v>297</v>
      </c>
      <c r="E159" s="804">
        <v>1</v>
      </c>
      <c r="F159" s="804" t="s">
        <v>317</v>
      </c>
      <c r="G159" s="804" t="s">
        <v>584</v>
      </c>
      <c r="H159" s="804" t="s">
        <v>518</v>
      </c>
      <c r="I159" s="804"/>
      <c r="J159" s="804"/>
      <c r="K159" s="804"/>
      <c r="L159" s="804" t="s">
        <v>156</v>
      </c>
      <c r="M159" s="804" t="s">
        <v>464</v>
      </c>
      <c r="N159" s="804" t="s">
        <v>244</v>
      </c>
      <c r="O159" s="804" t="s">
        <v>26</v>
      </c>
      <c r="P159" s="804">
        <f>S159/P$12*100000</f>
        <v>3.0477428924095959</v>
      </c>
      <c r="Q159" s="804">
        <v>0.38152794310655308</v>
      </c>
      <c r="R159" s="804">
        <f t="shared" si="5"/>
        <v>1</v>
      </c>
      <c r="S159" s="863">
        <v>1.2</v>
      </c>
      <c r="T159" s="804"/>
      <c r="U159" s="861" t="s">
        <v>623</v>
      </c>
    </row>
    <row r="160" spans="1:21" s="583" customFormat="1" ht="12.75" customHeight="1" x14ac:dyDescent="0.25">
      <c r="A160" s="804" t="s">
        <v>308</v>
      </c>
      <c r="B160" s="804">
        <v>6</v>
      </c>
      <c r="C160" s="804" t="s">
        <v>607</v>
      </c>
      <c r="D160" s="804" t="s">
        <v>297</v>
      </c>
      <c r="E160" s="804">
        <v>1</v>
      </c>
      <c r="F160" s="804" t="s">
        <v>317</v>
      </c>
      <c r="G160" s="804" t="s">
        <v>584</v>
      </c>
      <c r="H160" s="804" t="s">
        <v>518</v>
      </c>
      <c r="I160" s="804"/>
      <c r="J160" s="804"/>
      <c r="K160" s="804"/>
      <c r="L160" s="804" t="s">
        <v>156</v>
      </c>
      <c r="M160" s="804" t="s">
        <v>464</v>
      </c>
      <c r="N160" s="804" t="s">
        <v>4</v>
      </c>
      <c r="O160" s="804" t="s">
        <v>26</v>
      </c>
      <c r="P160" s="804">
        <f>S160/P$13*100000</f>
        <v>1.6746828150748245</v>
      </c>
      <c r="Q160" s="804">
        <v>2.0602626834921454</v>
      </c>
      <c r="R160" s="804">
        <f t="shared" si="5"/>
        <v>1</v>
      </c>
      <c r="S160" s="863">
        <v>1</v>
      </c>
      <c r="T160" s="804"/>
      <c r="U160" s="861" t="s">
        <v>623</v>
      </c>
    </row>
    <row r="161" spans="1:21" s="583" customFormat="1" ht="12.75" customHeight="1" x14ac:dyDescent="0.25">
      <c r="A161" s="804" t="s">
        <v>308</v>
      </c>
      <c r="B161" s="804">
        <v>6</v>
      </c>
      <c r="C161" s="804" t="s">
        <v>607</v>
      </c>
      <c r="D161" s="804" t="s">
        <v>297</v>
      </c>
      <c r="E161" s="804">
        <v>1</v>
      </c>
      <c r="F161" s="804" t="s">
        <v>317</v>
      </c>
      <c r="G161" s="804" t="s">
        <v>584</v>
      </c>
      <c r="H161" s="804" t="s">
        <v>518</v>
      </c>
      <c r="I161" s="804"/>
      <c r="J161" s="804"/>
      <c r="K161" s="804"/>
      <c r="L161" s="804" t="s">
        <v>156</v>
      </c>
      <c r="M161" s="804" t="s">
        <v>464</v>
      </c>
      <c r="N161" s="804" t="s">
        <v>5</v>
      </c>
      <c r="O161" s="804" t="s">
        <v>26</v>
      </c>
      <c r="P161" s="804">
        <f>S161/P$14*100000</f>
        <v>10.554857964368255</v>
      </c>
      <c r="Q161" s="804">
        <v>2.7804037146193625</v>
      </c>
      <c r="R161" s="804">
        <f t="shared" si="5"/>
        <v>1</v>
      </c>
      <c r="S161" s="863">
        <v>5.8</v>
      </c>
      <c r="T161" s="804"/>
      <c r="U161" s="861" t="s">
        <v>623</v>
      </c>
    </row>
    <row r="162" spans="1:21" s="583" customFormat="1" ht="12.75" customHeight="1" x14ac:dyDescent="0.25">
      <c r="A162" s="804" t="s">
        <v>308</v>
      </c>
      <c r="B162" s="804">
        <v>6</v>
      </c>
      <c r="C162" s="804" t="s">
        <v>607</v>
      </c>
      <c r="D162" s="804" t="s">
        <v>297</v>
      </c>
      <c r="E162" s="804">
        <v>1</v>
      </c>
      <c r="F162" s="804" t="s">
        <v>317</v>
      </c>
      <c r="G162" s="804" t="s">
        <v>584</v>
      </c>
      <c r="H162" s="804" t="s">
        <v>518</v>
      </c>
      <c r="I162" s="804"/>
      <c r="J162" s="804"/>
      <c r="K162" s="804"/>
      <c r="L162" s="804" t="s">
        <v>156</v>
      </c>
      <c r="M162" s="804" t="s">
        <v>464</v>
      </c>
      <c r="N162" s="804" t="s">
        <v>6</v>
      </c>
      <c r="O162" s="804" t="s">
        <v>26</v>
      </c>
      <c r="P162" s="804">
        <f>S162/P$15*100000</f>
        <v>0</v>
      </c>
      <c r="Q162" s="804">
        <v>8.1940700808625326</v>
      </c>
      <c r="R162" s="804">
        <f t="shared" si="5"/>
        <v>1</v>
      </c>
      <c r="S162" s="863">
        <v>0</v>
      </c>
      <c r="T162" s="804"/>
      <c r="U162" s="861" t="s">
        <v>623</v>
      </c>
    </row>
    <row r="163" spans="1:21" s="583" customFormat="1" ht="12.75" customHeight="1" x14ac:dyDescent="0.25">
      <c r="A163" s="804" t="s">
        <v>308</v>
      </c>
      <c r="B163" s="804">
        <v>6</v>
      </c>
      <c r="C163" s="804" t="s">
        <v>607</v>
      </c>
      <c r="D163" s="804" t="s">
        <v>297</v>
      </c>
      <c r="E163" s="804">
        <v>1</v>
      </c>
      <c r="F163" s="804" t="s">
        <v>317</v>
      </c>
      <c r="G163" s="804" t="s">
        <v>584</v>
      </c>
      <c r="H163" s="804" t="s">
        <v>518</v>
      </c>
      <c r="I163" s="804"/>
      <c r="J163" s="804"/>
      <c r="K163" s="804"/>
      <c r="L163" s="804" t="s">
        <v>156</v>
      </c>
      <c r="M163" s="804" t="s">
        <v>464</v>
      </c>
      <c r="N163" s="804" t="s">
        <v>7</v>
      </c>
      <c r="O163" s="804" t="s">
        <v>26</v>
      </c>
      <c r="P163" s="804">
        <f>S163/P$16*100000</f>
        <v>20.695084917332132</v>
      </c>
      <c r="Q163" s="804">
        <v>16.544263096942185</v>
      </c>
      <c r="R163" s="804">
        <f t="shared" si="5"/>
        <v>1</v>
      </c>
      <c r="S163" s="863">
        <v>9.1999999999999993</v>
      </c>
      <c r="T163" s="804"/>
      <c r="U163" s="861" t="s">
        <v>623</v>
      </c>
    </row>
    <row r="164" spans="1:21" s="583" customFormat="1" ht="12.75" customHeight="1" x14ac:dyDescent="0.25">
      <c r="A164" s="804" t="s">
        <v>308</v>
      </c>
      <c r="B164" s="804">
        <v>6</v>
      </c>
      <c r="C164" s="804" t="s">
        <v>607</v>
      </c>
      <c r="D164" s="804" t="s">
        <v>297</v>
      </c>
      <c r="E164" s="804">
        <v>1</v>
      </c>
      <c r="F164" s="804" t="s">
        <v>317</v>
      </c>
      <c r="G164" s="804" t="s">
        <v>584</v>
      </c>
      <c r="H164" s="804" t="s">
        <v>518</v>
      </c>
      <c r="I164" s="804"/>
      <c r="J164" s="804"/>
      <c r="K164" s="804"/>
      <c r="L164" s="804" t="s">
        <v>156</v>
      </c>
      <c r="M164" s="804" t="s">
        <v>464</v>
      </c>
      <c r="N164" s="804" t="s">
        <v>8</v>
      </c>
      <c r="O164" s="804" t="s">
        <v>26</v>
      </c>
      <c r="P164" s="804">
        <f>S164/P$17*100000</f>
        <v>37.878202254139552</v>
      </c>
      <c r="Q164" s="804">
        <v>41.057031949835768</v>
      </c>
      <c r="R164" s="804">
        <f t="shared" si="5"/>
        <v>1</v>
      </c>
      <c r="S164" s="863">
        <v>9.8000000000000007</v>
      </c>
      <c r="T164" s="804"/>
      <c r="U164" s="861" t="s">
        <v>623</v>
      </c>
    </row>
    <row r="165" spans="1:21" s="583" customFormat="1" ht="12.75" customHeight="1" x14ac:dyDescent="0.25">
      <c r="A165" s="804" t="s">
        <v>308</v>
      </c>
      <c r="B165" s="804">
        <v>6</v>
      </c>
      <c r="C165" s="804" t="s">
        <v>607</v>
      </c>
      <c r="D165" s="804" t="s">
        <v>297</v>
      </c>
      <c r="E165" s="804">
        <v>1</v>
      </c>
      <c r="F165" s="804" t="s">
        <v>317</v>
      </c>
      <c r="G165" s="804" t="s">
        <v>584</v>
      </c>
      <c r="H165" s="804" t="s">
        <v>518</v>
      </c>
      <c r="I165" s="804"/>
      <c r="J165" s="804"/>
      <c r="K165" s="804"/>
      <c r="L165" s="804" t="s">
        <v>156</v>
      </c>
      <c r="M165" s="804" t="s">
        <v>464</v>
      </c>
      <c r="N165" s="804" t="s">
        <v>9</v>
      </c>
      <c r="O165" s="804" t="s">
        <v>26</v>
      </c>
      <c r="P165" s="804">
        <f>S165/P$18*100000</f>
        <v>120.58907764429237</v>
      </c>
      <c r="Q165" s="804">
        <v>124.74206372337571</v>
      </c>
      <c r="R165" s="804">
        <f t="shared" si="5"/>
        <v>0.96670741243873537</v>
      </c>
      <c r="S165" s="863">
        <v>16</v>
      </c>
      <c r="T165" s="804"/>
      <c r="U165" s="861" t="s">
        <v>623</v>
      </c>
    </row>
    <row r="166" spans="1:21" s="583" customFormat="1" ht="12.75" customHeight="1" x14ac:dyDescent="0.25">
      <c r="A166" s="804" t="s">
        <v>308</v>
      </c>
      <c r="B166" s="804">
        <v>6</v>
      </c>
      <c r="C166" s="804" t="s">
        <v>607</v>
      </c>
      <c r="D166" s="804" t="s">
        <v>297</v>
      </c>
      <c r="E166" s="804">
        <v>1</v>
      </c>
      <c r="F166" s="804" t="s">
        <v>317</v>
      </c>
      <c r="G166" s="804" t="s">
        <v>584</v>
      </c>
      <c r="H166" s="804" t="s">
        <v>518</v>
      </c>
      <c r="I166" s="804"/>
      <c r="J166" s="804"/>
      <c r="K166" s="804"/>
      <c r="L166" s="804" t="s">
        <v>154</v>
      </c>
      <c r="M166" s="804" t="s">
        <v>465</v>
      </c>
      <c r="N166" s="804" t="s">
        <v>249</v>
      </c>
      <c r="O166" s="804" t="s">
        <v>27</v>
      </c>
      <c r="P166" s="804">
        <f>S166/P$3*100000</f>
        <v>0</v>
      </c>
      <c r="Q166" s="804">
        <v>0</v>
      </c>
      <c r="R166" s="804">
        <f t="shared" si="5"/>
        <v>1</v>
      </c>
      <c r="S166" s="863">
        <v>0</v>
      </c>
      <c r="T166" s="804"/>
      <c r="U166" s="861" t="s">
        <v>623</v>
      </c>
    </row>
    <row r="167" spans="1:21" s="583" customFormat="1" ht="12.75" customHeight="1" x14ac:dyDescent="0.25">
      <c r="A167" s="804" t="s">
        <v>308</v>
      </c>
      <c r="B167" s="804">
        <v>6</v>
      </c>
      <c r="C167" s="804" t="s">
        <v>607</v>
      </c>
      <c r="D167" s="804" t="s">
        <v>297</v>
      </c>
      <c r="E167" s="804">
        <v>1</v>
      </c>
      <c r="F167" s="804" t="s">
        <v>317</v>
      </c>
      <c r="G167" s="804" t="s">
        <v>584</v>
      </c>
      <c r="H167" s="804" t="s">
        <v>518</v>
      </c>
      <c r="I167" s="804"/>
      <c r="J167" s="804"/>
      <c r="K167" s="804"/>
      <c r="L167" s="804" t="s">
        <v>154</v>
      </c>
      <c r="M167" s="804" t="s">
        <v>465</v>
      </c>
      <c r="N167" s="804" t="s">
        <v>244</v>
      </c>
      <c r="O167" s="804" t="s">
        <v>27</v>
      </c>
      <c r="P167" s="804">
        <f>S167/P$4*100000</f>
        <v>0</v>
      </c>
      <c r="Q167" s="804">
        <v>0.39618552575800192</v>
      </c>
      <c r="R167" s="804">
        <f t="shared" si="5"/>
        <v>1</v>
      </c>
      <c r="S167" s="863">
        <v>0</v>
      </c>
      <c r="T167" s="804"/>
      <c r="U167" s="861" t="s">
        <v>623</v>
      </c>
    </row>
    <row r="168" spans="1:21" s="583" customFormat="1" ht="12.75" customHeight="1" x14ac:dyDescent="0.25">
      <c r="A168" s="804" t="s">
        <v>308</v>
      </c>
      <c r="B168" s="804">
        <v>6</v>
      </c>
      <c r="C168" s="804" t="s">
        <v>607</v>
      </c>
      <c r="D168" s="804" t="s">
        <v>297</v>
      </c>
      <c r="E168" s="804">
        <v>1</v>
      </c>
      <c r="F168" s="804" t="s">
        <v>317</v>
      </c>
      <c r="G168" s="804" t="s">
        <v>584</v>
      </c>
      <c r="H168" s="804" t="s">
        <v>518</v>
      </c>
      <c r="I168" s="804"/>
      <c r="J168" s="804"/>
      <c r="K168" s="804"/>
      <c r="L168" s="804" t="s">
        <v>154</v>
      </c>
      <c r="M168" s="804" t="s">
        <v>465</v>
      </c>
      <c r="N168" s="804" t="s">
        <v>4</v>
      </c>
      <c r="O168" s="804" t="s">
        <v>27</v>
      </c>
      <c r="P168" s="804">
        <f>S168/P$5*100000</f>
        <v>0.74590683623615417</v>
      </c>
      <c r="Q168" s="804">
        <v>0</v>
      </c>
      <c r="R168" s="804">
        <f t="shared" si="5"/>
        <v>1</v>
      </c>
      <c r="S168" s="863">
        <v>0.4</v>
      </c>
      <c r="T168" s="804"/>
      <c r="U168" s="861" t="s">
        <v>623</v>
      </c>
    </row>
    <row r="169" spans="1:21" s="583" customFormat="1" ht="12.75" customHeight="1" x14ac:dyDescent="0.25">
      <c r="A169" s="804" t="s">
        <v>308</v>
      </c>
      <c r="B169" s="804">
        <v>6</v>
      </c>
      <c r="C169" s="804" t="s">
        <v>607</v>
      </c>
      <c r="D169" s="804" t="s">
        <v>297</v>
      </c>
      <c r="E169" s="804">
        <v>1</v>
      </c>
      <c r="F169" s="804" t="s">
        <v>317</v>
      </c>
      <c r="G169" s="804" t="s">
        <v>584</v>
      </c>
      <c r="H169" s="804" t="s">
        <v>518</v>
      </c>
      <c r="I169" s="804"/>
      <c r="J169" s="804"/>
      <c r="K169" s="804"/>
      <c r="L169" s="804" t="s">
        <v>154</v>
      </c>
      <c r="M169" s="804" t="s">
        <v>465</v>
      </c>
      <c r="N169" s="804" t="s">
        <v>5</v>
      </c>
      <c r="O169" s="804" t="s">
        <v>27</v>
      </c>
      <c r="P169" s="804">
        <f>S169/P$6*100000</f>
        <v>46.717244840833189</v>
      </c>
      <c r="Q169" s="804">
        <v>1.7429295159303755</v>
      </c>
      <c r="R169" s="804">
        <f t="shared" si="5"/>
        <v>26.803863503278578</v>
      </c>
      <c r="S169" s="863">
        <v>24.2</v>
      </c>
      <c r="T169" s="804"/>
      <c r="U169" s="861" t="s">
        <v>623</v>
      </c>
    </row>
    <row r="170" spans="1:21" s="583" customFormat="1" ht="12.75" customHeight="1" x14ac:dyDescent="0.25">
      <c r="A170" s="804" t="s">
        <v>308</v>
      </c>
      <c r="B170" s="804">
        <v>6</v>
      </c>
      <c r="C170" s="804" t="s">
        <v>607</v>
      </c>
      <c r="D170" s="804" t="s">
        <v>297</v>
      </c>
      <c r="E170" s="804">
        <v>1</v>
      </c>
      <c r="F170" s="804" t="s">
        <v>317</v>
      </c>
      <c r="G170" s="804" t="s">
        <v>584</v>
      </c>
      <c r="H170" s="804" t="s">
        <v>518</v>
      </c>
      <c r="I170" s="804"/>
      <c r="J170" s="804"/>
      <c r="K170" s="804"/>
      <c r="L170" s="804" t="s">
        <v>154</v>
      </c>
      <c r="M170" s="804" t="s">
        <v>465</v>
      </c>
      <c r="N170" s="804" t="s">
        <v>6</v>
      </c>
      <c r="O170" s="804" t="s">
        <v>27</v>
      </c>
      <c r="P170" s="804">
        <f>S170/P$7*100000</f>
        <v>0.27792446013173622</v>
      </c>
      <c r="Q170" s="804">
        <v>34.961009054273305</v>
      </c>
      <c r="R170" s="804">
        <f t="shared" si="5"/>
        <v>1</v>
      </c>
      <c r="S170" s="863">
        <v>0.2</v>
      </c>
      <c r="T170" s="804"/>
      <c r="U170" s="861" t="s">
        <v>623</v>
      </c>
    </row>
    <row r="171" spans="1:21" s="583" customFormat="1" ht="12.75" customHeight="1" x14ac:dyDescent="0.25">
      <c r="A171" s="804" t="s">
        <v>308</v>
      </c>
      <c r="B171" s="804">
        <v>6</v>
      </c>
      <c r="C171" s="804" t="s">
        <v>607</v>
      </c>
      <c r="D171" s="804" t="s">
        <v>297</v>
      </c>
      <c r="E171" s="804">
        <v>1</v>
      </c>
      <c r="F171" s="804" t="s">
        <v>317</v>
      </c>
      <c r="G171" s="804" t="s">
        <v>584</v>
      </c>
      <c r="H171" s="804" t="s">
        <v>518</v>
      </c>
      <c r="I171" s="804"/>
      <c r="J171" s="804"/>
      <c r="K171" s="804"/>
      <c r="L171" s="804" t="s">
        <v>154</v>
      </c>
      <c r="M171" s="804" t="s">
        <v>465</v>
      </c>
      <c r="N171" s="804" t="s">
        <v>7</v>
      </c>
      <c r="O171" s="804" t="s">
        <v>27</v>
      </c>
      <c r="P171" s="804">
        <f>S171/P$8*100000</f>
        <v>131.65219081615521</v>
      </c>
      <c r="Q171" s="804">
        <v>138.72743045190023</v>
      </c>
      <c r="R171" s="804">
        <f t="shared" si="5"/>
        <v>0.94899898590568821</v>
      </c>
      <c r="S171" s="863">
        <v>59.6</v>
      </c>
      <c r="T171" s="804"/>
      <c r="U171" s="861" t="s">
        <v>623</v>
      </c>
    </row>
    <row r="172" spans="1:21" s="583" customFormat="1" ht="12.75" customHeight="1" x14ac:dyDescent="0.25">
      <c r="A172" s="804" t="s">
        <v>308</v>
      </c>
      <c r="B172" s="804">
        <v>6</v>
      </c>
      <c r="C172" s="804" t="s">
        <v>607</v>
      </c>
      <c r="D172" s="804" t="s">
        <v>297</v>
      </c>
      <c r="E172" s="804">
        <v>1</v>
      </c>
      <c r="F172" s="804" t="s">
        <v>317</v>
      </c>
      <c r="G172" s="804" t="s">
        <v>584</v>
      </c>
      <c r="H172" s="804" t="s">
        <v>518</v>
      </c>
      <c r="I172" s="804"/>
      <c r="J172" s="804"/>
      <c r="K172" s="804"/>
      <c r="L172" s="804" t="s">
        <v>154</v>
      </c>
      <c r="M172" s="804" t="s">
        <v>465</v>
      </c>
      <c r="N172" s="804" t="s">
        <v>8</v>
      </c>
      <c r="O172" s="804" t="s">
        <v>27</v>
      </c>
      <c r="P172" s="804">
        <f>S172/P$9*100000</f>
        <v>291.35546846114028</v>
      </c>
      <c r="Q172" s="804">
        <v>299.37509082982126</v>
      </c>
      <c r="R172" s="804">
        <f t="shared" si="5"/>
        <v>0.97321212547626512</v>
      </c>
      <c r="S172" s="863">
        <v>78.8</v>
      </c>
      <c r="T172" s="804"/>
      <c r="U172" s="861" t="s">
        <v>623</v>
      </c>
    </row>
    <row r="173" spans="1:21" s="583" customFormat="1" ht="12.75" customHeight="1" x14ac:dyDescent="0.25">
      <c r="A173" s="804" t="s">
        <v>308</v>
      </c>
      <c r="B173" s="804">
        <v>6</v>
      </c>
      <c r="C173" s="804" t="s">
        <v>607</v>
      </c>
      <c r="D173" s="804" t="s">
        <v>297</v>
      </c>
      <c r="E173" s="804">
        <v>1</v>
      </c>
      <c r="F173" s="804" t="s">
        <v>317</v>
      </c>
      <c r="G173" s="804" t="s">
        <v>584</v>
      </c>
      <c r="H173" s="804" t="s">
        <v>518</v>
      </c>
      <c r="I173" s="804"/>
      <c r="J173" s="804"/>
      <c r="K173" s="804"/>
      <c r="L173" s="804" t="s">
        <v>154</v>
      </c>
      <c r="M173" s="804" t="s">
        <v>465</v>
      </c>
      <c r="N173" s="804" t="s">
        <v>9</v>
      </c>
      <c r="O173" s="804" t="s">
        <v>27</v>
      </c>
      <c r="P173" s="804">
        <f>S173/P$10*100000</f>
        <v>326.47312998111579</v>
      </c>
      <c r="Q173" s="804">
        <v>341.29415493129426</v>
      </c>
      <c r="R173" s="804">
        <f t="shared" si="5"/>
        <v>0.95657404401443069</v>
      </c>
      <c r="S173" s="863">
        <v>61.2</v>
      </c>
      <c r="T173" s="804"/>
      <c r="U173" s="861" t="s">
        <v>623</v>
      </c>
    </row>
    <row r="174" spans="1:21" s="583" customFormat="1" ht="12.75" customHeight="1" x14ac:dyDescent="0.25">
      <c r="A174" s="804" t="s">
        <v>308</v>
      </c>
      <c r="B174" s="804">
        <v>6</v>
      </c>
      <c r="C174" s="804" t="s">
        <v>607</v>
      </c>
      <c r="D174" s="804" t="s">
        <v>297</v>
      </c>
      <c r="E174" s="804">
        <v>1</v>
      </c>
      <c r="F174" s="804" t="s">
        <v>317</v>
      </c>
      <c r="G174" s="804" t="s">
        <v>584</v>
      </c>
      <c r="H174" s="804" t="s">
        <v>518</v>
      </c>
      <c r="I174" s="804"/>
      <c r="J174" s="804"/>
      <c r="K174" s="804"/>
      <c r="L174" s="804" t="s">
        <v>154</v>
      </c>
      <c r="M174" s="804" t="s">
        <v>465</v>
      </c>
      <c r="N174" s="804" t="s">
        <v>249</v>
      </c>
      <c r="O174" s="804" t="s">
        <v>26</v>
      </c>
      <c r="P174" s="804">
        <f>S174/P$11*100000</f>
        <v>0</v>
      </c>
      <c r="Q174" s="804">
        <v>0</v>
      </c>
      <c r="R174" s="804">
        <f t="shared" si="5"/>
        <v>1</v>
      </c>
      <c r="S174" s="863">
        <v>0</v>
      </c>
      <c r="T174" s="804"/>
      <c r="U174" s="861" t="s">
        <v>623</v>
      </c>
    </row>
    <row r="175" spans="1:21" s="583" customFormat="1" ht="12.75" customHeight="1" x14ac:dyDescent="0.25">
      <c r="A175" s="804" t="s">
        <v>308</v>
      </c>
      <c r="B175" s="804">
        <v>6</v>
      </c>
      <c r="C175" s="804" t="s">
        <v>607</v>
      </c>
      <c r="D175" s="804" t="s">
        <v>297</v>
      </c>
      <c r="E175" s="804">
        <v>1</v>
      </c>
      <c r="F175" s="804" t="s">
        <v>317</v>
      </c>
      <c r="G175" s="804" t="s">
        <v>584</v>
      </c>
      <c r="H175" s="804" t="s">
        <v>518</v>
      </c>
      <c r="I175" s="804"/>
      <c r="J175" s="804"/>
      <c r="K175" s="804"/>
      <c r="L175" s="804" t="s">
        <v>154</v>
      </c>
      <c r="M175" s="804" t="s">
        <v>465</v>
      </c>
      <c r="N175" s="804" t="s">
        <v>244</v>
      </c>
      <c r="O175" s="804" t="s">
        <v>26</v>
      </c>
      <c r="P175" s="804">
        <f>S175/P$12*100000</f>
        <v>0</v>
      </c>
      <c r="Q175" s="804">
        <v>0</v>
      </c>
      <c r="R175" s="804">
        <f t="shared" si="5"/>
        <v>1</v>
      </c>
      <c r="S175" s="863">
        <v>0</v>
      </c>
      <c r="T175" s="804"/>
      <c r="U175" s="861" t="s">
        <v>623</v>
      </c>
    </row>
    <row r="176" spans="1:21" s="583" customFormat="1" ht="12.75" customHeight="1" x14ac:dyDescent="0.25">
      <c r="A176" s="804" t="s">
        <v>308</v>
      </c>
      <c r="B176" s="804">
        <v>6</v>
      </c>
      <c r="C176" s="804" t="s">
        <v>607</v>
      </c>
      <c r="D176" s="804" t="s">
        <v>297</v>
      </c>
      <c r="E176" s="804">
        <v>1</v>
      </c>
      <c r="F176" s="804" t="s">
        <v>317</v>
      </c>
      <c r="G176" s="804" t="s">
        <v>584</v>
      </c>
      <c r="H176" s="804" t="s">
        <v>518</v>
      </c>
      <c r="I176" s="804"/>
      <c r="J176" s="804"/>
      <c r="K176" s="804"/>
      <c r="L176" s="804" t="s">
        <v>154</v>
      </c>
      <c r="M176" s="804" t="s">
        <v>465</v>
      </c>
      <c r="N176" s="804" t="s">
        <v>4</v>
      </c>
      <c r="O176" s="804" t="s">
        <v>26</v>
      </c>
      <c r="P176" s="804">
        <f>S176/P$13*100000</f>
        <v>0.33493656301496494</v>
      </c>
      <c r="Q176" s="804">
        <v>0</v>
      </c>
      <c r="R176" s="804">
        <f t="shared" si="5"/>
        <v>1</v>
      </c>
      <c r="S176" s="863">
        <v>0.2</v>
      </c>
      <c r="T176" s="804"/>
      <c r="U176" s="861" t="s">
        <v>623</v>
      </c>
    </row>
    <row r="177" spans="1:21" s="583" customFormat="1" ht="12.75" customHeight="1" x14ac:dyDescent="0.25">
      <c r="A177" s="804" t="s">
        <v>308</v>
      </c>
      <c r="B177" s="804">
        <v>6</v>
      </c>
      <c r="C177" s="804" t="s">
        <v>607</v>
      </c>
      <c r="D177" s="804" t="s">
        <v>297</v>
      </c>
      <c r="E177" s="804">
        <v>1</v>
      </c>
      <c r="F177" s="804" t="s">
        <v>317</v>
      </c>
      <c r="G177" s="804" t="s">
        <v>584</v>
      </c>
      <c r="H177" s="804" t="s">
        <v>518</v>
      </c>
      <c r="I177" s="804"/>
      <c r="J177" s="804"/>
      <c r="K177" s="804"/>
      <c r="L177" s="804" t="s">
        <v>154</v>
      </c>
      <c r="M177" s="804" t="s">
        <v>465</v>
      </c>
      <c r="N177" s="804" t="s">
        <v>5</v>
      </c>
      <c r="O177" s="804" t="s">
        <v>26</v>
      </c>
      <c r="P177" s="804">
        <f>S177/P$14*100000</f>
        <v>54.230132299685174</v>
      </c>
      <c r="Q177" s="804">
        <v>1.3902018573096813</v>
      </c>
      <c r="R177" s="804">
        <f t="shared" si="5"/>
        <v>39.008818765809544</v>
      </c>
      <c r="S177" s="863">
        <v>29.8</v>
      </c>
      <c r="T177" s="804"/>
      <c r="U177" s="861" t="s">
        <v>623</v>
      </c>
    </row>
    <row r="178" spans="1:21" s="583" customFormat="1" ht="12.75" customHeight="1" x14ac:dyDescent="0.25">
      <c r="A178" s="804" t="s">
        <v>308</v>
      </c>
      <c r="B178" s="804">
        <v>6</v>
      </c>
      <c r="C178" s="804" t="s">
        <v>607</v>
      </c>
      <c r="D178" s="804" t="s">
        <v>297</v>
      </c>
      <c r="E178" s="804">
        <v>1</v>
      </c>
      <c r="F178" s="804" t="s">
        <v>317</v>
      </c>
      <c r="G178" s="804" t="s">
        <v>584</v>
      </c>
      <c r="H178" s="804" t="s">
        <v>518</v>
      </c>
      <c r="I178" s="804"/>
      <c r="J178" s="804"/>
      <c r="K178" s="804"/>
      <c r="L178" s="804" t="s">
        <v>154</v>
      </c>
      <c r="M178" s="804" t="s">
        <v>465</v>
      </c>
      <c r="N178" s="804" t="s">
        <v>6</v>
      </c>
      <c r="O178" s="804" t="s">
        <v>26</v>
      </c>
      <c r="P178" s="804">
        <f>S178/P$15*100000</f>
        <v>0</v>
      </c>
      <c r="Q178" s="804">
        <v>45.929919137466314</v>
      </c>
      <c r="R178" s="804">
        <f t="shared" si="5"/>
        <v>1</v>
      </c>
      <c r="S178" s="863">
        <v>0</v>
      </c>
      <c r="T178" s="804"/>
      <c r="U178" s="861" t="s">
        <v>623</v>
      </c>
    </row>
    <row r="179" spans="1:21" s="583" customFormat="1" ht="12.75" customHeight="1" x14ac:dyDescent="0.25">
      <c r="A179" s="804" t="s">
        <v>308</v>
      </c>
      <c r="B179" s="804">
        <v>6</v>
      </c>
      <c r="C179" s="804" t="s">
        <v>607</v>
      </c>
      <c r="D179" s="804" t="s">
        <v>297</v>
      </c>
      <c r="E179" s="804">
        <v>1</v>
      </c>
      <c r="F179" s="804" t="s">
        <v>317</v>
      </c>
      <c r="G179" s="804" t="s">
        <v>584</v>
      </c>
      <c r="H179" s="804" t="s">
        <v>518</v>
      </c>
      <c r="I179" s="804"/>
      <c r="J179" s="804"/>
      <c r="K179" s="804"/>
      <c r="L179" s="804" t="s">
        <v>154</v>
      </c>
      <c r="M179" s="804" t="s">
        <v>465</v>
      </c>
      <c r="N179" s="804" t="s">
        <v>7</v>
      </c>
      <c r="O179" s="804" t="s">
        <v>26</v>
      </c>
      <c r="P179" s="804">
        <f>S179/P$16*100000</f>
        <v>170.95939714317851</v>
      </c>
      <c r="Q179" s="804">
        <v>178.03065723883441</v>
      </c>
      <c r="R179" s="804">
        <f t="shared" si="5"/>
        <v>0.96028066061583117</v>
      </c>
      <c r="S179" s="863">
        <v>76</v>
      </c>
      <c r="T179" s="804"/>
      <c r="U179" s="861" t="s">
        <v>623</v>
      </c>
    </row>
    <row r="180" spans="1:21" s="583" customFormat="1" ht="12.75" customHeight="1" x14ac:dyDescent="0.25">
      <c r="A180" s="804" t="s">
        <v>308</v>
      </c>
      <c r="B180" s="804">
        <v>6</v>
      </c>
      <c r="C180" s="804" t="s">
        <v>607</v>
      </c>
      <c r="D180" s="804" t="s">
        <v>297</v>
      </c>
      <c r="E180" s="804">
        <v>1</v>
      </c>
      <c r="F180" s="804" t="s">
        <v>317</v>
      </c>
      <c r="G180" s="804" t="s">
        <v>584</v>
      </c>
      <c r="H180" s="804" t="s">
        <v>518</v>
      </c>
      <c r="I180" s="804"/>
      <c r="J180" s="804"/>
      <c r="K180" s="804"/>
      <c r="L180" s="804" t="s">
        <v>154</v>
      </c>
      <c r="M180" s="804" t="s">
        <v>465</v>
      </c>
      <c r="N180" s="804" t="s">
        <v>8</v>
      </c>
      <c r="O180" s="804" t="s">
        <v>26</v>
      </c>
      <c r="P180" s="804">
        <f>S180/P$17*100000</f>
        <v>373.37085079080401</v>
      </c>
      <c r="Q180" s="804">
        <v>388.79765104011148</v>
      </c>
      <c r="R180" s="804">
        <f t="shared" si="5"/>
        <v>0.9603217761011732</v>
      </c>
      <c r="S180" s="863">
        <v>96.6</v>
      </c>
      <c r="T180" s="804"/>
      <c r="U180" s="861" t="s">
        <v>623</v>
      </c>
    </row>
    <row r="181" spans="1:21" s="583" customFormat="1" ht="12.75" customHeight="1" x14ac:dyDescent="0.25">
      <c r="A181" s="804" t="s">
        <v>308</v>
      </c>
      <c r="B181" s="804">
        <v>6</v>
      </c>
      <c r="C181" s="804" t="s">
        <v>607</v>
      </c>
      <c r="D181" s="804" t="s">
        <v>297</v>
      </c>
      <c r="E181" s="804">
        <v>1</v>
      </c>
      <c r="F181" s="804" t="s">
        <v>317</v>
      </c>
      <c r="G181" s="804" t="s">
        <v>584</v>
      </c>
      <c r="H181" s="804" t="s">
        <v>518</v>
      </c>
      <c r="I181" s="804"/>
      <c r="J181" s="804"/>
      <c r="K181" s="804"/>
      <c r="L181" s="804" t="s">
        <v>154</v>
      </c>
      <c r="M181" s="804" t="s">
        <v>465</v>
      </c>
      <c r="N181" s="804" t="s">
        <v>9</v>
      </c>
      <c r="O181" s="804" t="s">
        <v>26</v>
      </c>
      <c r="P181" s="804">
        <f>S181/P$18*100000</f>
        <v>532.09930510543995</v>
      </c>
      <c r="Q181" s="804">
        <v>556.09312519673108</v>
      </c>
      <c r="R181" s="804">
        <f t="shared" si="5"/>
        <v>0.95685287408866504</v>
      </c>
      <c r="S181" s="863">
        <v>70.599999999999994</v>
      </c>
      <c r="T181" s="804"/>
      <c r="U181" s="861" t="s">
        <v>623</v>
      </c>
    </row>
    <row r="182" spans="1:21" s="583" customFormat="1" ht="12.75" customHeight="1" x14ac:dyDescent="0.25">
      <c r="A182" s="804" t="s">
        <v>308</v>
      </c>
      <c r="B182" s="804">
        <v>6</v>
      </c>
      <c r="C182" s="804" t="s">
        <v>607</v>
      </c>
      <c r="D182" s="804" t="s">
        <v>297</v>
      </c>
      <c r="E182" s="804">
        <v>1</v>
      </c>
      <c r="F182" s="804" t="s">
        <v>317</v>
      </c>
      <c r="G182" s="804" t="s">
        <v>584</v>
      </c>
      <c r="H182" s="804" t="s">
        <v>518</v>
      </c>
      <c r="I182" s="804"/>
      <c r="J182" s="804"/>
      <c r="K182" s="804"/>
      <c r="L182" s="804" t="s">
        <v>320</v>
      </c>
      <c r="M182" s="804" t="s">
        <v>466</v>
      </c>
      <c r="N182" s="804" t="s">
        <v>249</v>
      </c>
      <c r="O182" s="804" t="s">
        <v>27</v>
      </c>
      <c r="P182" s="804">
        <f>S182/P$3*100000</f>
        <v>0</v>
      </c>
      <c r="Q182" s="804">
        <v>0</v>
      </c>
      <c r="R182" s="804">
        <f t="shared" si="5"/>
        <v>1</v>
      </c>
      <c r="S182" s="863">
        <v>0</v>
      </c>
      <c r="T182" s="804"/>
      <c r="U182" s="861" t="s">
        <v>623</v>
      </c>
    </row>
    <row r="183" spans="1:21" s="583" customFormat="1" ht="12.75" customHeight="1" x14ac:dyDescent="0.25">
      <c r="A183" s="804" t="s">
        <v>308</v>
      </c>
      <c r="B183" s="804">
        <v>6</v>
      </c>
      <c r="C183" s="804" t="s">
        <v>607</v>
      </c>
      <c r="D183" s="804" t="s">
        <v>297</v>
      </c>
      <c r="E183" s="804">
        <v>1</v>
      </c>
      <c r="F183" s="804" t="s">
        <v>317</v>
      </c>
      <c r="G183" s="804" t="s">
        <v>584</v>
      </c>
      <c r="H183" s="804" t="s">
        <v>518</v>
      </c>
      <c r="I183" s="804"/>
      <c r="J183" s="804"/>
      <c r="K183" s="804"/>
      <c r="L183" s="804" t="s">
        <v>320</v>
      </c>
      <c r="M183" s="804" t="s">
        <v>466</v>
      </c>
      <c r="N183" s="804" t="s">
        <v>244</v>
      </c>
      <c r="O183" s="804" t="s">
        <v>27</v>
      </c>
      <c r="P183" s="804">
        <f>S183/P$4*100000</f>
        <v>0.52691758482055828</v>
      </c>
      <c r="Q183" s="804">
        <v>0</v>
      </c>
      <c r="R183" s="804">
        <f t="shared" si="5"/>
        <v>1</v>
      </c>
      <c r="S183" s="863">
        <v>0.2</v>
      </c>
      <c r="T183" s="804"/>
      <c r="U183" s="861" t="s">
        <v>623</v>
      </c>
    </row>
    <row r="184" spans="1:21" s="583" customFormat="1" ht="12.75" customHeight="1" x14ac:dyDescent="0.25">
      <c r="A184" s="804" t="s">
        <v>308</v>
      </c>
      <c r="B184" s="804">
        <v>6</v>
      </c>
      <c r="C184" s="804" t="s">
        <v>607</v>
      </c>
      <c r="D184" s="804" t="s">
        <v>297</v>
      </c>
      <c r="E184" s="804">
        <v>1</v>
      </c>
      <c r="F184" s="804" t="s">
        <v>317</v>
      </c>
      <c r="G184" s="804" t="s">
        <v>584</v>
      </c>
      <c r="H184" s="804" t="s">
        <v>518</v>
      </c>
      <c r="I184" s="804"/>
      <c r="J184" s="804"/>
      <c r="K184" s="804"/>
      <c r="L184" s="804" t="s">
        <v>320</v>
      </c>
      <c r="M184" s="804" t="s">
        <v>466</v>
      </c>
      <c r="N184" s="804" t="s">
        <v>4</v>
      </c>
      <c r="O184" s="804" t="s">
        <v>27</v>
      </c>
      <c r="P184" s="804">
        <f>S184/P$5*100000</f>
        <v>2.6106739268265393</v>
      </c>
      <c r="Q184" s="804">
        <v>0.28119666050845982</v>
      </c>
      <c r="R184" s="804">
        <f t="shared" si="5"/>
        <v>1</v>
      </c>
      <c r="S184" s="863">
        <v>1.4</v>
      </c>
      <c r="T184" s="804"/>
      <c r="U184" s="861" t="s">
        <v>623</v>
      </c>
    </row>
    <row r="185" spans="1:21" s="583" customFormat="1" ht="12.75" customHeight="1" x14ac:dyDescent="0.25">
      <c r="A185" s="804" t="s">
        <v>308</v>
      </c>
      <c r="B185" s="804">
        <v>6</v>
      </c>
      <c r="C185" s="804" t="s">
        <v>607</v>
      </c>
      <c r="D185" s="804" t="s">
        <v>297</v>
      </c>
      <c r="E185" s="804">
        <v>1</v>
      </c>
      <c r="F185" s="804" t="s">
        <v>317</v>
      </c>
      <c r="G185" s="804" t="s">
        <v>584</v>
      </c>
      <c r="H185" s="804" t="s">
        <v>518</v>
      </c>
      <c r="I185" s="804"/>
      <c r="J185" s="804"/>
      <c r="K185" s="804"/>
      <c r="L185" s="804" t="s">
        <v>320</v>
      </c>
      <c r="M185" s="804" t="s">
        <v>466</v>
      </c>
      <c r="N185" s="804" t="s">
        <v>5</v>
      </c>
      <c r="O185" s="804" t="s">
        <v>27</v>
      </c>
      <c r="P185" s="804">
        <f>S185/P$6*100000</f>
        <v>33.976178066060498</v>
      </c>
      <c r="Q185" s="804">
        <v>2.6143942738955634</v>
      </c>
      <c r="R185" s="804">
        <f t="shared" si="5"/>
        <v>12.995812607650217</v>
      </c>
      <c r="S185" s="863">
        <v>17.600000000000001</v>
      </c>
      <c r="T185" s="804"/>
      <c r="U185" s="861" t="s">
        <v>623</v>
      </c>
    </row>
    <row r="186" spans="1:21" s="583" customFormat="1" ht="12.75" customHeight="1" x14ac:dyDescent="0.25">
      <c r="A186" s="804" t="s">
        <v>308</v>
      </c>
      <c r="B186" s="804">
        <v>6</v>
      </c>
      <c r="C186" s="804" t="s">
        <v>607</v>
      </c>
      <c r="D186" s="804" t="s">
        <v>297</v>
      </c>
      <c r="E186" s="804">
        <v>1</v>
      </c>
      <c r="F186" s="804" t="s">
        <v>317</v>
      </c>
      <c r="G186" s="804" t="s">
        <v>584</v>
      </c>
      <c r="H186" s="804" t="s">
        <v>518</v>
      </c>
      <c r="I186" s="804"/>
      <c r="J186" s="804"/>
      <c r="K186" s="804"/>
      <c r="L186" s="804" t="s">
        <v>320</v>
      </c>
      <c r="M186" s="804" t="s">
        <v>466</v>
      </c>
      <c r="N186" s="804" t="s">
        <v>6</v>
      </c>
      <c r="O186" s="804" t="s">
        <v>27</v>
      </c>
      <c r="P186" s="804">
        <f>S186/P$7*100000</f>
        <v>0</v>
      </c>
      <c r="Q186" s="804">
        <v>24.912335793164811</v>
      </c>
      <c r="R186" s="804">
        <f t="shared" si="5"/>
        <v>1</v>
      </c>
      <c r="S186" s="863">
        <v>0</v>
      </c>
      <c r="T186" s="804"/>
      <c r="U186" s="861" t="s">
        <v>623</v>
      </c>
    </row>
    <row r="187" spans="1:21" s="583" customFormat="1" ht="12.75" customHeight="1" x14ac:dyDescent="0.25">
      <c r="A187" s="804" t="s">
        <v>308</v>
      </c>
      <c r="B187" s="804">
        <v>6</v>
      </c>
      <c r="C187" s="804" t="s">
        <v>607</v>
      </c>
      <c r="D187" s="804" t="s">
        <v>297</v>
      </c>
      <c r="E187" s="804">
        <v>1</v>
      </c>
      <c r="F187" s="804" t="s">
        <v>317</v>
      </c>
      <c r="G187" s="804" t="s">
        <v>584</v>
      </c>
      <c r="H187" s="804" t="s">
        <v>518</v>
      </c>
      <c r="I187" s="804"/>
      <c r="J187" s="804"/>
      <c r="K187" s="804"/>
      <c r="L187" s="804" t="s">
        <v>320</v>
      </c>
      <c r="M187" s="804" t="s">
        <v>466</v>
      </c>
      <c r="N187" s="804" t="s">
        <v>7</v>
      </c>
      <c r="O187" s="804" t="s">
        <v>27</v>
      </c>
      <c r="P187" s="804">
        <f>S187/P$8*100000</f>
        <v>106.91218180372336</v>
      </c>
      <c r="Q187" s="804">
        <v>101.14810119024624</v>
      </c>
      <c r="R187" s="804">
        <f t="shared" si="5"/>
        <v>1.0569865429568039</v>
      </c>
      <c r="S187" s="863">
        <v>48.4</v>
      </c>
      <c r="T187" s="804"/>
      <c r="U187" s="861" t="s">
        <v>623</v>
      </c>
    </row>
    <row r="188" spans="1:21" s="583" customFormat="1" ht="12.75" customHeight="1" x14ac:dyDescent="0.25">
      <c r="A188" s="804" t="s">
        <v>308</v>
      </c>
      <c r="B188" s="804">
        <v>6</v>
      </c>
      <c r="C188" s="804" t="s">
        <v>607</v>
      </c>
      <c r="D188" s="804" t="s">
        <v>297</v>
      </c>
      <c r="E188" s="804">
        <v>1</v>
      </c>
      <c r="F188" s="804" t="s">
        <v>317</v>
      </c>
      <c r="G188" s="804" t="s">
        <v>584</v>
      </c>
      <c r="H188" s="804" t="s">
        <v>518</v>
      </c>
      <c r="I188" s="804"/>
      <c r="J188" s="804"/>
      <c r="K188" s="804"/>
      <c r="L188" s="804" t="s">
        <v>320</v>
      </c>
      <c r="M188" s="804" t="s">
        <v>466</v>
      </c>
      <c r="N188" s="804" t="s">
        <v>8</v>
      </c>
      <c r="O188" s="804" t="s">
        <v>27</v>
      </c>
      <c r="P188" s="804">
        <f>S188/P$9*100000</f>
        <v>334.24535975745027</v>
      </c>
      <c r="Q188" s="804">
        <v>320.30228164510976</v>
      </c>
      <c r="R188" s="804">
        <f t="shared" si="5"/>
        <v>1.0435309984079015</v>
      </c>
      <c r="S188" s="863">
        <v>90.4</v>
      </c>
      <c r="T188" s="804"/>
      <c r="U188" s="861" t="s">
        <v>623</v>
      </c>
    </row>
    <row r="189" spans="1:21" s="583" customFormat="1" ht="12.75" customHeight="1" x14ac:dyDescent="0.25">
      <c r="A189" s="804" t="s">
        <v>308</v>
      </c>
      <c r="B189" s="804">
        <v>6</v>
      </c>
      <c r="C189" s="804" t="s">
        <v>607</v>
      </c>
      <c r="D189" s="804" t="s">
        <v>297</v>
      </c>
      <c r="E189" s="804">
        <v>1</v>
      </c>
      <c r="F189" s="804" t="s">
        <v>317</v>
      </c>
      <c r="G189" s="804" t="s">
        <v>584</v>
      </c>
      <c r="H189" s="804" t="s">
        <v>518</v>
      </c>
      <c r="I189" s="804"/>
      <c r="J189" s="804"/>
      <c r="K189" s="804"/>
      <c r="L189" s="804" t="s">
        <v>320</v>
      </c>
      <c r="M189" s="804" t="s">
        <v>466</v>
      </c>
      <c r="N189" s="804" t="s">
        <v>9</v>
      </c>
      <c r="O189" s="804" t="s">
        <v>27</v>
      </c>
      <c r="P189" s="804">
        <f>S189/P$10*100000</f>
        <v>565.45999637252078</v>
      </c>
      <c r="Q189" s="804">
        <v>563.1353556366355</v>
      </c>
      <c r="R189" s="804">
        <f t="shared" si="5"/>
        <v>1.0041280319422623</v>
      </c>
      <c r="S189" s="863">
        <v>106</v>
      </c>
      <c r="T189" s="804"/>
      <c r="U189" s="861" t="s">
        <v>623</v>
      </c>
    </row>
    <row r="190" spans="1:21" s="583" customFormat="1" ht="12.75" customHeight="1" x14ac:dyDescent="0.25">
      <c r="A190" s="804" t="s">
        <v>308</v>
      </c>
      <c r="B190" s="804">
        <v>6</v>
      </c>
      <c r="C190" s="804" t="s">
        <v>607</v>
      </c>
      <c r="D190" s="804" t="s">
        <v>297</v>
      </c>
      <c r="E190" s="804">
        <v>1</v>
      </c>
      <c r="F190" s="804" t="s">
        <v>317</v>
      </c>
      <c r="G190" s="804" t="s">
        <v>584</v>
      </c>
      <c r="H190" s="804" t="s">
        <v>518</v>
      </c>
      <c r="I190" s="804"/>
      <c r="J190" s="804"/>
      <c r="K190" s="804"/>
      <c r="L190" s="804" t="s">
        <v>320</v>
      </c>
      <c r="M190" s="804" t="s">
        <v>466</v>
      </c>
      <c r="N190" s="804" t="s">
        <v>249</v>
      </c>
      <c r="O190" s="804" t="s">
        <v>26</v>
      </c>
      <c r="P190" s="804">
        <f>S190/P$11*100000</f>
        <v>0</v>
      </c>
      <c r="Q190" s="804">
        <v>0</v>
      </c>
      <c r="R190" s="804">
        <f t="shared" si="5"/>
        <v>1</v>
      </c>
      <c r="S190" s="863">
        <v>0</v>
      </c>
      <c r="T190" s="804"/>
      <c r="U190" s="861" t="s">
        <v>623</v>
      </c>
    </row>
    <row r="191" spans="1:21" s="583" customFormat="1" ht="12.75" customHeight="1" x14ac:dyDescent="0.25">
      <c r="A191" s="804" t="s">
        <v>308</v>
      </c>
      <c r="B191" s="804">
        <v>6</v>
      </c>
      <c r="C191" s="804" t="s">
        <v>607</v>
      </c>
      <c r="D191" s="804" t="s">
        <v>297</v>
      </c>
      <c r="E191" s="804">
        <v>1</v>
      </c>
      <c r="F191" s="804" t="s">
        <v>317</v>
      </c>
      <c r="G191" s="804" t="s">
        <v>584</v>
      </c>
      <c r="H191" s="804" t="s">
        <v>518</v>
      </c>
      <c r="I191" s="804"/>
      <c r="J191" s="804"/>
      <c r="K191" s="804"/>
      <c r="L191" s="804" t="s">
        <v>320</v>
      </c>
      <c r="M191" s="804" t="s">
        <v>466</v>
      </c>
      <c r="N191" s="804" t="s">
        <v>244</v>
      </c>
      <c r="O191" s="804" t="s">
        <v>26</v>
      </c>
      <c r="P191" s="804">
        <f>S191/P$12*100000</f>
        <v>1.0159142974698654</v>
      </c>
      <c r="Q191" s="804">
        <v>0</v>
      </c>
      <c r="R191" s="804">
        <f t="shared" si="5"/>
        <v>1</v>
      </c>
      <c r="S191" s="863">
        <v>0.4</v>
      </c>
      <c r="T191" s="804"/>
      <c r="U191" s="861" t="s">
        <v>623</v>
      </c>
    </row>
    <row r="192" spans="1:21" s="583" customFormat="1" ht="12.75" customHeight="1" x14ac:dyDescent="0.25">
      <c r="A192" s="804" t="s">
        <v>308</v>
      </c>
      <c r="B192" s="804">
        <v>6</v>
      </c>
      <c r="C192" s="804" t="s">
        <v>607</v>
      </c>
      <c r="D192" s="804" t="s">
        <v>297</v>
      </c>
      <c r="E192" s="804">
        <v>1</v>
      </c>
      <c r="F192" s="804" t="s">
        <v>317</v>
      </c>
      <c r="G192" s="804" t="s">
        <v>584</v>
      </c>
      <c r="H192" s="804" t="s">
        <v>518</v>
      </c>
      <c r="I192" s="804"/>
      <c r="J192" s="804"/>
      <c r="K192" s="804"/>
      <c r="L192" s="804" t="s">
        <v>320</v>
      </c>
      <c r="M192" s="804" t="s">
        <v>466</v>
      </c>
      <c r="N192" s="804" t="s">
        <v>4</v>
      </c>
      <c r="O192" s="804" t="s">
        <v>26</v>
      </c>
      <c r="P192" s="804">
        <f>S192/P$13*100000</f>
        <v>0.33493656301496494</v>
      </c>
      <c r="Q192" s="804">
        <v>0.25753283543651817</v>
      </c>
      <c r="R192" s="804">
        <f t="shared" si="5"/>
        <v>1</v>
      </c>
      <c r="S192" s="863">
        <v>0.2</v>
      </c>
      <c r="T192" s="804"/>
      <c r="U192" s="861" t="s">
        <v>623</v>
      </c>
    </row>
    <row r="193" spans="1:21" s="583" customFormat="1" ht="12.75" customHeight="1" x14ac:dyDescent="0.25">
      <c r="A193" s="804" t="s">
        <v>308</v>
      </c>
      <c r="B193" s="804">
        <v>6</v>
      </c>
      <c r="C193" s="804" t="s">
        <v>607</v>
      </c>
      <c r="D193" s="804" t="s">
        <v>297</v>
      </c>
      <c r="E193" s="804">
        <v>1</v>
      </c>
      <c r="F193" s="804" t="s">
        <v>317</v>
      </c>
      <c r="G193" s="804" t="s">
        <v>584</v>
      </c>
      <c r="H193" s="804" t="s">
        <v>518</v>
      </c>
      <c r="I193" s="804"/>
      <c r="J193" s="804"/>
      <c r="K193" s="804"/>
      <c r="L193" s="804" t="s">
        <v>320</v>
      </c>
      <c r="M193" s="804" t="s">
        <v>466</v>
      </c>
      <c r="N193" s="804" t="s">
        <v>5</v>
      </c>
      <c r="O193" s="804" t="s">
        <v>26</v>
      </c>
      <c r="P193" s="804">
        <f>S193/P$14*100000</f>
        <v>33.848337609870612</v>
      </c>
      <c r="Q193" s="804">
        <v>1.3902018573096813</v>
      </c>
      <c r="R193" s="804">
        <f t="shared" si="5"/>
        <v>24.347786209532131</v>
      </c>
      <c r="S193" s="863">
        <v>18.600000000000001</v>
      </c>
      <c r="T193" s="804"/>
      <c r="U193" s="861" t="s">
        <v>623</v>
      </c>
    </row>
    <row r="194" spans="1:21" s="583" customFormat="1" ht="12.75" customHeight="1" x14ac:dyDescent="0.25">
      <c r="A194" s="804" t="s">
        <v>308</v>
      </c>
      <c r="B194" s="804">
        <v>6</v>
      </c>
      <c r="C194" s="804" t="s">
        <v>607</v>
      </c>
      <c r="D194" s="804" t="s">
        <v>297</v>
      </c>
      <c r="E194" s="804">
        <v>1</v>
      </c>
      <c r="F194" s="804" t="s">
        <v>317</v>
      </c>
      <c r="G194" s="804" t="s">
        <v>584</v>
      </c>
      <c r="H194" s="804" t="s">
        <v>518</v>
      </c>
      <c r="I194" s="804"/>
      <c r="J194" s="804"/>
      <c r="K194" s="804"/>
      <c r="L194" s="804" t="s">
        <v>320</v>
      </c>
      <c r="M194" s="804" t="s">
        <v>466</v>
      </c>
      <c r="N194" s="804" t="s">
        <v>6</v>
      </c>
      <c r="O194" s="804" t="s">
        <v>26</v>
      </c>
      <c r="P194" s="804">
        <f>S194/P$15*100000</f>
        <v>0</v>
      </c>
      <c r="Q194" s="804">
        <v>22.857142857142858</v>
      </c>
      <c r="R194" s="804">
        <f t="shared" si="5"/>
        <v>1</v>
      </c>
      <c r="S194" s="863">
        <v>0</v>
      </c>
      <c r="T194" s="804"/>
      <c r="U194" s="861" t="s">
        <v>623</v>
      </c>
    </row>
    <row r="195" spans="1:21" s="583" customFormat="1" ht="12.75" customHeight="1" x14ac:dyDescent="0.25">
      <c r="A195" s="804" t="s">
        <v>308</v>
      </c>
      <c r="B195" s="804">
        <v>6</v>
      </c>
      <c r="C195" s="804" t="s">
        <v>607</v>
      </c>
      <c r="D195" s="804" t="s">
        <v>297</v>
      </c>
      <c r="E195" s="804">
        <v>1</v>
      </c>
      <c r="F195" s="804" t="s">
        <v>317</v>
      </c>
      <c r="G195" s="804" t="s">
        <v>584</v>
      </c>
      <c r="H195" s="804" t="s">
        <v>518</v>
      </c>
      <c r="I195" s="804"/>
      <c r="J195" s="804"/>
      <c r="K195" s="804"/>
      <c r="L195" s="804" t="s">
        <v>320</v>
      </c>
      <c r="M195" s="804" t="s">
        <v>466</v>
      </c>
      <c r="N195" s="804" t="s">
        <v>7</v>
      </c>
      <c r="O195" s="804" t="s">
        <v>26</v>
      </c>
      <c r="P195" s="804">
        <f>S195/P$16*100000</f>
        <v>98.526599932516035</v>
      </c>
      <c r="Q195" s="804">
        <v>101.42352594212386</v>
      </c>
      <c r="R195" s="804">
        <f t="shared" si="5"/>
        <v>0.97143733682399369</v>
      </c>
      <c r="S195" s="863">
        <v>43.8</v>
      </c>
      <c r="T195" s="804"/>
      <c r="U195" s="861" t="s">
        <v>623</v>
      </c>
    </row>
    <row r="196" spans="1:21" s="583" customFormat="1" ht="12.75" customHeight="1" x14ac:dyDescent="0.25">
      <c r="A196" s="804" t="s">
        <v>308</v>
      </c>
      <c r="B196" s="804">
        <v>6</v>
      </c>
      <c r="C196" s="804" t="s">
        <v>607</v>
      </c>
      <c r="D196" s="804" t="s">
        <v>297</v>
      </c>
      <c r="E196" s="804">
        <v>1</v>
      </c>
      <c r="F196" s="804" t="s">
        <v>317</v>
      </c>
      <c r="G196" s="804" t="s">
        <v>584</v>
      </c>
      <c r="H196" s="804" t="s">
        <v>518</v>
      </c>
      <c r="I196" s="804"/>
      <c r="J196" s="804"/>
      <c r="K196" s="804"/>
      <c r="L196" s="804" t="s">
        <v>320</v>
      </c>
      <c r="M196" s="804" t="s">
        <v>466</v>
      </c>
      <c r="N196" s="804" t="s">
        <v>8</v>
      </c>
      <c r="O196" s="804" t="s">
        <v>26</v>
      </c>
      <c r="P196" s="804">
        <f>S196/P$17*100000</f>
        <v>318.48610874909173</v>
      </c>
      <c r="Q196" s="804">
        <v>329.07833184035036</v>
      </c>
      <c r="R196" s="804">
        <f t="shared" si="5"/>
        <v>0.96781245659043469</v>
      </c>
      <c r="S196" s="863">
        <v>82.4</v>
      </c>
      <c r="T196" s="804"/>
      <c r="U196" s="861" t="s">
        <v>623</v>
      </c>
    </row>
    <row r="197" spans="1:21" s="583" customFormat="1" ht="12.75" customHeight="1" x14ac:dyDescent="0.25">
      <c r="A197" s="804" t="s">
        <v>308</v>
      </c>
      <c r="B197" s="804">
        <v>6</v>
      </c>
      <c r="C197" s="804" t="s">
        <v>607</v>
      </c>
      <c r="D197" s="804" t="s">
        <v>297</v>
      </c>
      <c r="E197" s="804">
        <v>1</v>
      </c>
      <c r="F197" s="804" t="s">
        <v>317</v>
      </c>
      <c r="G197" s="804" t="s">
        <v>584</v>
      </c>
      <c r="H197" s="804" t="s">
        <v>518</v>
      </c>
      <c r="I197" s="804"/>
      <c r="J197" s="804"/>
      <c r="K197" s="804"/>
      <c r="L197" s="804" t="s">
        <v>320</v>
      </c>
      <c r="M197" s="804" t="s">
        <v>466</v>
      </c>
      <c r="N197" s="804" t="s">
        <v>9</v>
      </c>
      <c r="O197" s="804" t="s">
        <v>26</v>
      </c>
      <c r="P197" s="804">
        <f>S197/P$18*100000</f>
        <v>800.4100028639906</v>
      </c>
      <c r="Q197" s="804">
        <v>789.2558611282742</v>
      </c>
      <c r="R197" s="804">
        <f t="shared" si="5"/>
        <v>1.014132478813361</v>
      </c>
      <c r="S197" s="863">
        <v>106.2</v>
      </c>
      <c r="T197" s="804"/>
      <c r="U197" s="861" t="s">
        <v>623</v>
      </c>
    </row>
    <row r="198" spans="1:21" s="583" customFormat="1" ht="12.75" customHeight="1" x14ac:dyDescent="0.25">
      <c r="A198" s="804" t="s">
        <v>308</v>
      </c>
      <c r="B198" s="804">
        <v>6</v>
      </c>
      <c r="C198" s="804" t="s">
        <v>607</v>
      </c>
      <c r="D198" s="804" t="s">
        <v>297</v>
      </c>
      <c r="E198" s="804">
        <v>1</v>
      </c>
      <c r="F198" s="804" t="s">
        <v>317</v>
      </c>
      <c r="G198" s="804" t="s">
        <v>584</v>
      </c>
      <c r="H198" s="804" t="s">
        <v>518</v>
      </c>
      <c r="I198" s="804"/>
      <c r="J198" s="804"/>
      <c r="K198" s="804"/>
      <c r="L198" s="804" t="s">
        <v>191</v>
      </c>
      <c r="M198" s="804" t="s">
        <v>467</v>
      </c>
      <c r="N198" s="804" t="s">
        <v>249</v>
      </c>
      <c r="O198" s="804" t="s">
        <v>27</v>
      </c>
      <c r="P198" s="804">
        <f>S198/P$3*100000</f>
        <v>3.2552083333333335</v>
      </c>
      <c r="Q198" s="804">
        <v>5.7583784406311169</v>
      </c>
      <c r="R198" s="804">
        <f t="shared" si="5"/>
        <v>1</v>
      </c>
      <c r="S198" s="863">
        <v>0.6</v>
      </c>
      <c r="T198" s="804"/>
      <c r="U198" s="861" t="s">
        <v>623</v>
      </c>
    </row>
    <row r="199" spans="1:21" s="583" customFormat="1" ht="12.75" customHeight="1" x14ac:dyDescent="0.25">
      <c r="A199" s="804" t="s">
        <v>308</v>
      </c>
      <c r="B199" s="804">
        <v>6</v>
      </c>
      <c r="C199" s="804" t="s">
        <v>607</v>
      </c>
      <c r="D199" s="804" t="s">
        <v>297</v>
      </c>
      <c r="E199" s="804">
        <v>1</v>
      </c>
      <c r="F199" s="804" t="s">
        <v>317</v>
      </c>
      <c r="G199" s="804" t="s">
        <v>584</v>
      </c>
      <c r="H199" s="804" t="s">
        <v>518</v>
      </c>
      <c r="I199" s="804"/>
      <c r="J199" s="804"/>
      <c r="K199" s="804"/>
      <c r="L199" s="804" t="s">
        <v>191</v>
      </c>
      <c r="M199" s="804" t="s">
        <v>467</v>
      </c>
      <c r="N199" s="804" t="s">
        <v>244</v>
      </c>
      <c r="O199" s="804" t="s">
        <v>27</v>
      </c>
      <c r="P199" s="804">
        <f>S199/P$4*100000</f>
        <v>21.603620977642887</v>
      </c>
      <c r="Q199" s="804">
        <v>2.7732986803060133</v>
      </c>
      <c r="R199" s="804">
        <f t="shared" si="5"/>
        <v>1</v>
      </c>
      <c r="S199" s="863">
        <v>8.1999999999999993</v>
      </c>
      <c r="T199" s="804"/>
      <c r="U199" s="861" t="s">
        <v>623</v>
      </c>
    </row>
    <row r="200" spans="1:21" s="583" customFormat="1" ht="12.75" customHeight="1" x14ac:dyDescent="0.25">
      <c r="A200" s="804" t="s">
        <v>308</v>
      </c>
      <c r="B200" s="804">
        <v>6</v>
      </c>
      <c r="C200" s="804" t="s">
        <v>607</v>
      </c>
      <c r="D200" s="804" t="s">
        <v>297</v>
      </c>
      <c r="E200" s="804">
        <v>1</v>
      </c>
      <c r="F200" s="804" t="s">
        <v>317</v>
      </c>
      <c r="G200" s="804" t="s">
        <v>584</v>
      </c>
      <c r="H200" s="804" t="s">
        <v>518</v>
      </c>
      <c r="I200" s="804"/>
      <c r="J200" s="804"/>
      <c r="K200" s="804"/>
      <c r="L200" s="804" t="s">
        <v>191</v>
      </c>
      <c r="M200" s="804" t="s">
        <v>467</v>
      </c>
      <c r="N200" s="804" t="s">
        <v>4</v>
      </c>
      <c r="O200" s="804" t="s">
        <v>27</v>
      </c>
      <c r="P200" s="804">
        <f>S200/P$5*100000</f>
        <v>7.8320217804796179</v>
      </c>
      <c r="Q200" s="804">
        <v>14.903423006948369</v>
      </c>
      <c r="R200" s="804">
        <f t="shared" si="5"/>
        <v>1</v>
      </c>
      <c r="S200" s="863">
        <v>4.2</v>
      </c>
      <c r="T200" s="804"/>
      <c r="U200" s="861" t="s">
        <v>623</v>
      </c>
    </row>
    <row r="201" spans="1:21" s="583" customFormat="1" ht="12.75" customHeight="1" x14ac:dyDescent="0.25">
      <c r="A201" s="804" t="s">
        <v>308</v>
      </c>
      <c r="B201" s="804">
        <v>6</v>
      </c>
      <c r="C201" s="804" t="s">
        <v>607</v>
      </c>
      <c r="D201" s="804" t="s">
        <v>297</v>
      </c>
      <c r="E201" s="804">
        <v>1</v>
      </c>
      <c r="F201" s="804" t="s">
        <v>317</v>
      </c>
      <c r="G201" s="804" t="s">
        <v>584</v>
      </c>
      <c r="H201" s="804" t="s">
        <v>518</v>
      </c>
      <c r="I201" s="804"/>
      <c r="J201" s="804"/>
      <c r="K201" s="804"/>
      <c r="L201" s="804" t="s">
        <v>191</v>
      </c>
      <c r="M201" s="804" t="s">
        <v>467</v>
      </c>
      <c r="N201" s="804" t="s">
        <v>5</v>
      </c>
      <c r="O201" s="804" t="s">
        <v>27</v>
      </c>
      <c r="P201" s="804">
        <f>S201/P$6*100000</f>
        <v>9.652323314221734</v>
      </c>
      <c r="Q201" s="804">
        <v>10.748065348237317</v>
      </c>
      <c r="R201" s="804">
        <f t="shared" si="5"/>
        <v>1</v>
      </c>
      <c r="S201" s="863">
        <v>5</v>
      </c>
      <c r="T201" s="804"/>
      <c r="U201" s="861" t="s">
        <v>623</v>
      </c>
    </row>
    <row r="202" spans="1:21" s="583" customFormat="1" ht="12.75" customHeight="1" x14ac:dyDescent="0.25">
      <c r="A202" s="804" t="s">
        <v>308</v>
      </c>
      <c r="B202" s="804">
        <v>6</v>
      </c>
      <c r="C202" s="804" t="s">
        <v>607</v>
      </c>
      <c r="D202" s="804" t="s">
        <v>297</v>
      </c>
      <c r="E202" s="804">
        <v>1</v>
      </c>
      <c r="F202" s="804" t="s">
        <v>317</v>
      </c>
      <c r="G202" s="804" t="s">
        <v>584</v>
      </c>
      <c r="H202" s="804" t="s">
        <v>518</v>
      </c>
      <c r="I202" s="804"/>
      <c r="J202" s="804"/>
      <c r="K202" s="804"/>
      <c r="L202" s="804" t="s">
        <v>191</v>
      </c>
      <c r="M202" s="804" t="s">
        <v>467</v>
      </c>
      <c r="N202" s="804" t="s">
        <v>6</v>
      </c>
      <c r="O202" s="804" t="s">
        <v>27</v>
      </c>
      <c r="P202" s="804">
        <f>S202/P$7*100000</f>
        <v>1.6675467607904171</v>
      </c>
      <c r="Q202" s="804">
        <v>8.5832417438635051</v>
      </c>
      <c r="R202" s="804">
        <f t="shared" si="5"/>
        <v>1</v>
      </c>
      <c r="S202" s="863">
        <v>1.2</v>
      </c>
      <c r="T202" s="804"/>
      <c r="U202" s="861" t="s">
        <v>623</v>
      </c>
    </row>
    <row r="203" spans="1:21" s="583" customFormat="1" ht="12.75" customHeight="1" x14ac:dyDescent="0.25">
      <c r="A203" s="804" t="s">
        <v>308</v>
      </c>
      <c r="B203" s="804">
        <v>6</v>
      </c>
      <c r="C203" s="804" t="s">
        <v>607</v>
      </c>
      <c r="D203" s="804" t="s">
        <v>297</v>
      </c>
      <c r="E203" s="804">
        <v>1</v>
      </c>
      <c r="F203" s="804" t="s">
        <v>317</v>
      </c>
      <c r="G203" s="804" t="s">
        <v>584</v>
      </c>
      <c r="H203" s="804" t="s">
        <v>518</v>
      </c>
      <c r="I203" s="804"/>
      <c r="J203" s="804"/>
      <c r="K203" s="804"/>
      <c r="L203" s="804" t="s">
        <v>191</v>
      </c>
      <c r="M203" s="804" t="s">
        <v>467</v>
      </c>
      <c r="N203" s="804" t="s">
        <v>7</v>
      </c>
      <c r="O203" s="804" t="s">
        <v>27</v>
      </c>
      <c r="P203" s="804">
        <f>S203/P$8*100000</f>
        <v>7.5103598787739552</v>
      </c>
      <c r="Q203" s="804">
        <v>10.185051855962294</v>
      </c>
      <c r="R203" s="804">
        <f t="shared" si="5"/>
        <v>1</v>
      </c>
      <c r="S203" s="863">
        <v>3.4</v>
      </c>
      <c r="T203" s="804"/>
      <c r="U203" s="861" t="s">
        <v>623</v>
      </c>
    </row>
    <row r="204" spans="1:21" s="583" customFormat="1" ht="12.75" customHeight="1" x14ac:dyDescent="0.25">
      <c r="A204" s="804" t="s">
        <v>308</v>
      </c>
      <c r="B204" s="804">
        <v>6</v>
      </c>
      <c r="C204" s="804" t="s">
        <v>607</v>
      </c>
      <c r="D204" s="804" t="s">
        <v>297</v>
      </c>
      <c r="E204" s="804">
        <v>1</v>
      </c>
      <c r="F204" s="804" t="s">
        <v>317</v>
      </c>
      <c r="G204" s="804" t="s">
        <v>584</v>
      </c>
      <c r="H204" s="804" t="s">
        <v>518</v>
      </c>
      <c r="I204" s="804"/>
      <c r="J204" s="804"/>
      <c r="K204" s="804"/>
      <c r="L204" s="804" t="s">
        <v>191</v>
      </c>
      <c r="M204" s="804" t="s">
        <v>467</v>
      </c>
      <c r="N204" s="804" t="s">
        <v>8</v>
      </c>
      <c r="O204" s="804" t="s">
        <v>27</v>
      </c>
      <c r="P204" s="804">
        <f>S204/P$9*100000</f>
        <v>11.831694150706205</v>
      </c>
      <c r="Q204" s="804">
        <v>9.3009736956837674</v>
      </c>
      <c r="R204" s="804">
        <f t="shared" si="5"/>
        <v>1</v>
      </c>
      <c r="S204" s="863">
        <v>3.2</v>
      </c>
      <c r="T204" s="804"/>
      <c r="U204" s="861" t="s">
        <v>623</v>
      </c>
    </row>
    <row r="205" spans="1:21" s="583" customFormat="1" ht="12.75" customHeight="1" x14ac:dyDescent="0.25">
      <c r="A205" s="804" t="s">
        <v>308</v>
      </c>
      <c r="B205" s="804">
        <v>6</v>
      </c>
      <c r="C205" s="804" t="s">
        <v>607</v>
      </c>
      <c r="D205" s="804" t="s">
        <v>297</v>
      </c>
      <c r="E205" s="804">
        <v>1</v>
      </c>
      <c r="F205" s="804" t="s">
        <v>317</v>
      </c>
      <c r="G205" s="804" t="s">
        <v>584</v>
      </c>
      <c r="H205" s="804" t="s">
        <v>518</v>
      </c>
      <c r="I205" s="804"/>
      <c r="J205" s="804"/>
      <c r="K205" s="804"/>
      <c r="L205" s="804" t="s">
        <v>191</v>
      </c>
      <c r="M205" s="804" t="s">
        <v>467</v>
      </c>
      <c r="N205" s="804" t="s">
        <v>9</v>
      </c>
      <c r="O205" s="804" t="s">
        <v>27</v>
      </c>
      <c r="P205" s="804">
        <f>S205/P$10*100000</f>
        <v>16.003584802995871</v>
      </c>
      <c r="Q205" s="804">
        <v>15.439497484987118</v>
      </c>
      <c r="R205" s="804">
        <f t="shared" si="5"/>
        <v>1</v>
      </c>
      <c r="S205" s="863">
        <v>3</v>
      </c>
      <c r="T205" s="804"/>
      <c r="U205" s="861" t="s">
        <v>623</v>
      </c>
    </row>
    <row r="206" spans="1:21" s="583" customFormat="1" ht="12.75" customHeight="1" x14ac:dyDescent="0.25">
      <c r="A206" s="804" t="s">
        <v>308</v>
      </c>
      <c r="B206" s="804">
        <v>6</v>
      </c>
      <c r="C206" s="804" t="s">
        <v>607</v>
      </c>
      <c r="D206" s="804" t="s">
        <v>297</v>
      </c>
      <c r="E206" s="804">
        <v>1</v>
      </c>
      <c r="F206" s="804" t="s">
        <v>317</v>
      </c>
      <c r="G206" s="804" t="s">
        <v>584</v>
      </c>
      <c r="H206" s="804" t="s">
        <v>518</v>
      </c>
      <c r="I206" s="804"/>
      <c r="J206" s="804"/>
      <c r="K206" s="804"/>
      <c r="L206" s="804" t="s">
        <v>191</v>
      </c>
      <c r="M206" s="804" t="s">
        <v>467</v>
      </c>
      <c r="N206" s="804" t="s">
        <v>249</v>
      </c>
      <c r="O206" s="804" t="s">
        <v>26</v>
      </c>
      <c r="P206" s="804">
        <f>S206/P$11*100000</f>
        <v>4.1657554076712389</v>
      </c>
      <c r="Q206" s="804">
        <v>7.0633662433879048</v>
      </c>
      <c r="R206" s="804">
        <f t="shared" si="5"/>
        <v>1</v>
      </c>
      <c r="S206" s="863">
        <v>0.8</v>
      </c>
      <c r="T206" s="804"/>
      <c r="U206" s="861" t="s">
        <v>623</v>
      </c>
    </row>
    <row r="207" spans="1:21" s="583" customFormat="1" ht="12.75" customHeight="1" x14ac:dyDescent="0.25">
      <c r="A207" s="804" t="s">
        <v>308</v>
      </c>
      <c r="B207" s="804">
        <v>6</v>
      </c>
      <c r="C207" s="804" t="s">
        <v>607</v>
      </c>
      <c r="D207" s="804" t="s">
        <v>297</v>
      </c>
      <c r="E207" s="804">
        <v>1</v>
      </c>
      <c r="F207" s="804" t="s">
        <v>317</v>
      </c>
      <c r="G207" s="804" t="s">
        <v>584</v>
      </c>
      <c r="H207" s="804" t="s">
        <v>518</v>
      </c>
      <c r="I207" s="804"/>
      <c r="J207" s="804"/>
      <c r="K207" s="804"/>
      <c r="L207" s="804" t="s">
        <v>191</v>
      </c>
      <c r="M207" s="804" t="s">
        <v>467</v>
      </c>
      <c r="N207" s="804" t="s">
        <v>244</v>
      </c>
      <c r="O207" s="804" t="s">
        <v>26</v>
      </c>
      <c r="P207" s="804">
        <f>S207/P$12*100000</f>
        <v>35.557000411445287</v>
      </c>
      <c r="Q207" s="804">
        <v>3.4337514879589777</v>
      </c>
      <c r="R207" s="804">
        <f t="shared" si="5"/>
        <v>10.355146706490508</v>
      </c>
      <c r="S207" s="863">
        <v>14</v>
      </c>
      <c r="T207" s="804"/>
      <c r="U207" s="861" t="s">
        <v>623</v>
      </c>
    </row>
    <row r="208" spans="1:21" s="583" customFormat="1" ht="12.75" customHeight="1" x14ac:dyDescent="0.25">
      <c r="A208" s="804" t="s">
        <v>308</v>
      </c>
      <c r="B208" s="804">
        <v>6</v>
      </c>
      <c r="C208" s="804" t="s">
        <v>607</v>
      </c>
      <c r="D208" s="804" t="s">
        <v>297</v>
      </c>
      <c r="E208" s="804">
        <v>1</v>
      </c>
      <c r="F208" s="804" t="s">
        <v>317</v>
      </c>
      <c r="G208" s="804" t="s">
        <v>584</v>
      </c>
      <c r="H208" s="804" t="s">
        <v>518</v>
      </c>
      <c r="I208" s="804"/>
      <c r="J208" s="804"/>
      <c r="K208" s="804"/>
      <c r="L208" s="804" t="s">
        <v>191</v>
      </c>
      <c r="M208" s="804" t="s">
        <v>467</v>
      </c>
      <c r="N208" s="804" t="s">
        <v>4</v>
      </c>
      <c r="O208" s="804" t="s">
        <v>26</v>
      </c>
      <c r="P208" s="804">
        <f>S208/P$13*100000</f>
        <v>27.129861604212163</v>
      </c>
      <c r="Q208" s="804">
        <v>28.84367756889003</v>
      </c>
      <c r="R208" s="804">
        <f t="shared" si="5"/>
        <v>0.94058261258174858</v>
      </c>
      <c r="S208" s="863">
        <v>16.2</v>
      </c>
      <c r="T208" s="804"/>
      <c r="U208" s="861" t="s">
        <v>623</v>
      </c>
    </row>
    <row r="209" spans="1:21" s="583" customFormat="1" ht="12.75" customHeight="1" x14ac:dyDescent="0.25">
      <c r="A209" s="804" t="s">
        <v>308</v>
      </c>
      <c r="B209" s="804">
        <v>6</v>
      </c>
      <c r="C209" s="804" t="s">
        <v>607</v>
      </c>
      <c r="D209" s="804" t="s">
        <v>297</v>
      </c>
      <c r="E209" s="804">
        <v>1</v>
      </c>
      <c r="F209" s="804" t="s">
        <v>317</v>
      </c>
      <c r="G209" s="804" t="s">
        <v>584</v>
      </c>
      <c r="H209" s="804" t="s">
        <v>518</v>
      </c>
      <c r="I209" s="804"/>
      <c r="J209" s="804"/>
      <c r="K209" s="804"/>
      <c r="L209" s="804" t="s">
        <v>191</v>
      </c>
      <c r="M209" s="804" t="s">
        <v>467</v>
      </c>
      <c r="N209" s="804" t="s">
        <v>5</v>
      </c>
      <c r="O209" s="804" t="s">
        <v>26</v>
      </c>
      <c r="P209" s="804">
        <f>S209/P$14*100000</f>
        <v>36.032101326636457</v>
      </c>
      <c r="Q209" s="804">
        <v>23.355391202802647</v>
      </c>
      <c r="R209" s="804">
        <f t="shared" si="5"/>
        <v>1.542774471802151</v>
      </c>
      <c r="S209" s="863">
        <v>19.8</v>
      </c>
      <c r="T209" s="804"/>
      <c r="U209" s="861" t="s">
        <v>623</v>
      </c>
    </row>
    <row r="210" spans="1:21" s="583" customFormat="1" ht="12.75" customHeight="1" x14ac:dyDescent="0.25">
      <c r="A210" s="804" t="s">
        <v>308</v>
      </c>
      <c r="B210" s="804">
        <v>6</v>
      </c>
      <c r="C210" s="804" t="s">
        <v>607</v>
      </c>
      <c r="D210" s="804" t="s">
        <v>297</v>
      </c>
      <c r="E210" s="804">
        <v>1</v>
      </c>
      <c r="F210" s="804" t="s">
        <v>317</v>
      </c>
      <c r="G210" s="804" t="s">
        <v>584</v>
      </c>
      <c r="H210" s="804" t="s">
        <v>518</v>
      </c>
      <c r="I210" s="804"/>
      <c r="J210" s="804"/>
      <c r="K210" s="804"/>
      <c r="L210" s="804" t="s">
        <v>191</v>
      </c>
      <c r="M210" s="804" t="s">
        <v>467</v>
      </c>
      <c r="N210" s="804" t="s">
        <v>6</v>
      </c>
      <c r="O210" s="804" t="s">
        <v>26</v>
      </c>
      <c r="P210" s="804">
        <f>S210/P$15*100000</f>
        <v>2.5614754098360657</v>
      </c>
      <c r="Q210" s="804">
        <v>28.89487870619946</v>
      </c>
      <c r="R210" s="804">
        <f t="shared" si="5"/>
        <v>1</v>
      </c>
      <c r="S210" s="863">
        <v>1.8</v>
      </c>
      <c r="T210" s="804"/>
      <c r="U210" s="861" t="s">
        <v>623</v>
      </c>
    </row>
    <row r="211" spans="1:21" s="583" customFormat="1" ht="12.75" customHeight="1" x14ac:dyDescent="0.25">
      <c r="A211" s="804" t="s">
        <v>308</v>
      </c>
      <c r="B211" s="804">
        <v>6</v>
      </c>
      <c r="C211" s="804" t="s">
        <v>607</v>
      </c>
      <c r="D211" s="804" t="s">
        <v>297</v>
      </c>
      <c r="E211" s="804">
        <v>1</v>
      </c>
      <c r="F211" s="804" t="s">
        <v>317</v>
      </c>
      <c r="G211" s="804" t="s">
        <v>584</v>
      </c>
      <c r="H211" s="804" t="s">
        <v>518</v>
      </c>
      <c r="I211" s="804"/>
      <c r="J211" s="804"/>
      <c r="K211" s="804"/>
      <c r="L211" s="804" t="s">
        <v>191</v>
      </c>
      <c r="M211" s="804" t="s">
        <v>467</v>
      </c>
      <c r="N211" s="804" t="s">
        <v>7</v>
      </c>
      <c r="O211" s="804" t="s">
        <v>26</v>
      </c>
      <c r="P211" s="804">
        <f>S211/P$16*100000</f>
        <v>19.795298616578563</v>
      </c>
      <c r="Q211" s="804">
        <v>18.342552564001121</v>
      </c>
      <c r="R211" s="804">
        <f t="shared" si="5"/>
        <v>1</v>
      </c>
      <c r="S211" s="863">
        <v>8.8000000000000007</v>
      </c>
      <c r="T211" s="804"/>
      <c r="U211" s="861" t="s">
        <v>623</v>
      </c>
    </row>
    <row r="212" spans="1:21" s="583" customFormat="1" ht="12.75" customHeight="1" x14ac:dyDescent="0.25">
      <c r="A212" s="804" t="s">
        <v>308</v>
      </c>
      <c r="B212" s="804">
        <v>6</v>
      </c>
      <c r="C212" s="804" t="s">
        <v>607</v>
      </c>
      <c r="D212" s="804" t="s">
        <v>297</v>
      </c>
      <c r="E212" s="804">
        <v>1</v>
      </c>
      <c r="F212" s="804" t="s">
        <v>317</v>
      </c>
      <c r="G212" s="804" t="s">
        <v>584</v>
      </c>
      <c r="H212" s="804" t="s">
        <v>518</v>
      </c>
      <c r="I212" s="804"/>
      <c r="J212" s="804"/>
      <c r="K212" s="804"/>
      <c r="L212" s="804" t="s">
        <v>191</v>
      </c>
      <c r="M212" s="804" t="s">
        <v>467</v>
      </c>
      <c r="N212" s="804" t="s">
        <v>8</v>
      </c>
      <c r="O212" s="804" t="s">
        <v>26</v>
      </c>
      <c r="P212" s="804">
        <f>S212/P$17*100000</f>
        <v>26.282834217158051</v>
      </c>
      <c r="Q212" s="804">
        <v>27.993430874888027</v>
      </c>
      <c r="R212" s="804">
        <f t="shared" si="5"/>
        <v>1</v>
      </c>
      <c r="S212" s="863">
        <v>6.8</v>
      </c>
      <c r="T212" s="804"/>
      <c r="U212" s="861" t="s">
        <v>623</v>
      </c>
    </row>
    <row r="213" spans="1:21" s="583" customFormat="1" ht="12.75" customHeight="1" x14ac:dyDescent="0.25">
      <c r="A213" s="804" t="s">
        <v>308</v>
      </c>
      <c r="B213" s="804">
        <v>6</v>
      </c>
      <c r="C213" s="804" t="s">
        <v>607</v>
      </c>
      <c r="D213" s="804" t="s">
        <v>297</v>
      </c>
      <c r="E213" s="804">
        <v>1</v>
      </c>
      <c r="F213" s="804" t="s">
        <v>317</v>
      </c>
      <c r="G213" s="804" t="s">
        <v>584</v>
      </c>
      <c r="H213" s="804" t="s">
        <v>518</v>
      </c>
      <c r="I213" s="804"/>
      <c r="J213" s="804"/>
      <c r="K213" s="804"/>
      <c r="L213" s="804" t="s">
        <v>191</v>
      </c>
      <c r="M213" s="804" t="s">
        <v>467</v>
      </c>
      <c r="N213" s="804" t="s">
        <v>9</v>
      </c>
      <c r="O213" s="804" t="s">
        <v>26</v>
      </c>
      <c r="P213" s="804">
        <f>S213/P$18*100000</f>
        <v>54.265084939931562</v>
      </c>
      <c r="Q213" s="804">
        <v>53.627429264254971</v>
      </c>
      <c r="R213" s="804">
        <f t="shared" ref="R213:R229" si="6">IF(S213&lt;10, 1, P213/Q213)</f>
        <v>1</v>
      </c>
      <c r="S213" s="863">
        <v>7.2</v>
      </c>
      <c r="T213" s="804"/>
      <c r="U213" s="861" t="s">
        <v>623</v>
      </c>
    </row>
    <row r="214" spans="1:21" s="583" customFormat="1" ht="12.75" customHeight="1" x14ac:dyDescent="0.25">
      <c r="A214" s="804" t="s">
        <v>308</v>
      </c>
      <c r="B214" s="804">
        <v>6</v>
      </c>
      <c r="C214" s="804" t="s">
        <v>607</v>
      </c>
      <c r="D214" s="804" t="s">
        <v>297</v>
      </c>
      <c r="E214" s="804">
        <v>1</v>
      </c>
      <c r="F214" s="804" t="s">
        <v>317</v>
      </c>
      <c r="G214" s="804" t="s">
        <v>584</v>
      </c>
      <c r="H214" s="804" t="s">
        <v>518</v>
      </c>
      <c r="I214" s="804"/>
      <c r="J214" s="804"/>
      <c r="K214" s="804"/>
      <c r="L214" s="804" t="s">
        <v>186</v>
      </c>
      <c r="M214" s="804" t="s">
        <v>468</v>
      </c>
      <c r="N214" s="804" t="s">
        <v>249</v>
      </c>
      <c r="O214" s="804" t="s">
        <v>27</v>
      </c>
      <c r="P214" s="804">
        <f>S214/P$3*100000</f>
        <v>0</v>
      </c>
      <c r="Q214" s="804">
        <v>0</v>
      </c>
      <c r="R214" s="804">
        <f t="shared" si="6"/>
        <v>1</v>
      </c>
      <c r="S214" s="863">
        <v>0</v>
      </c>
      <c r="T214" s="804"/>
      <c r="U214" s="861" t="s">
        <v>623</v>
      </c>
    </row>
    <row r="215" spans="1:21" s="583" customFormat="1" ht="12.75" customHeight="1" x14ac:dyDescent="0.25">
      <c r="A215" s="804" t="s">
        <v>308</v>
      </c>
      <c r="B215" s="804">
        <v>6</v>
      </c>
      <c r="C215" s="804" t="s">
        <v>607</v>
      </c>
      <c r="D215" s="804" t="s">
        <v>297</v>
      </c>
      <c r="E215" s="804">
        <v>1</v>
      </c>
      <c r="F215" s="804" t="s">
        <v>317</v>
      </c>
      <c r="G215" s="804" t="s">
        <v>584</v>
      </c>
      <c r="H215" s="804" t="s">
        <v>518</v>
      </c>
      <c r="I215" s="804"/>
      <c r="J215" s="804"/>
      <c r="K215" s="804"/>
      <c r="L215" s="804" t="s">
        <v>186</v>
      </c>
      <c r="M215" s="804" t="s">
        <v>468</v>
      </c>
      <c r="N215" s="804" t="s">
        <v>244</v>
      </c>
      <c r="O215" s="804" t="s">
        <v>27</v>
      </c>
      <c r="P215" s="804">
        <f>S215/P$4*100000</f>
        <v>1.5807527544616744</v>
      </c>
      <c r="Q215" s="804">
        <v>0</v>
      </c>
      <c r="R215" s="804">
        <f t="shared" si="6"/>
        <v>1</v>
      </c>
      <c r="S215" s="863">
        <v>0.6</v>
      </c>
      <c r="T215" s="804"/>
      <c r="U215" s="861" t="s">
        <v>623</v>
      </c>
    </row>
    <row r="216" spans="1:21" s="583" customFormat="1" ht="12.75" customHeight="1" x14ac:dyDescent="0.25">
      <c r="A216" s="804" t="s">
        <v>308</v>
      </c>
      <c r="B216" s="804">
        <v>6</v>
      </c>
      <c r="C216" s="804" t="s">
        <v>607</v>
      </c>
      <c r="D216" s="804" t="s">
        <v>297</v>
      </c>
      <c r="E216" s="804">
        <v>1</v>
      </c>
      <c r="F216" s="804" t="s">
        <v>317</v>
      </c>
      <c r="G216" s="804" t="s">
        <v>584</v>
      </c>
      <c r="H216" s="804" t="s">
        <v>518</v>
      </c>
      <c r="I216" s="804"/>
      <c r="J216" s="804"/>
      <c r="K216" s="804"/>
      <c r="L216" s="804" t="s">
        <v>186</v>
      </c>
      <c r="M216" s="804" t="s">
        <v>468</v>
      </c>
      <c r="N216" s="804" t="s">
        <v>4</v>
      </c>
      <c r="O216" s="804" t="s">
        <v>27</v>
      </c>
      <c r="P216" s="804">
        <f>S216/P$5*100000</f>
        <v>1.8647670905903853</v>
      </c>
      <c r="Q216" s="804">
        <v>0.84358998152537934</v>
      </c>
      <c r="R216" s="804">
        <f t="shared" si="6"/>
        <v>1</v>
      </c>
      <c r="S216" s="863">
        <v>1</v>
      </c>
      <c r="T216" s="804"/>
      <c r="U216" s="861" t="s">
        <v>623</v>
      </c>
    </row>
    <row r="217" spans="1:21" s="583" customFormat="1" ht="12.75" customHeight="1" x14ac:dyDescent="0.25">
      <c r="A217" s="804" t="s">
        <v>308</v>
      </c>
      <c r="B217" s="804">
        <v>6</v>
      </c>
      <c r="C217" s="804" t="s">
        <v>607</v>
      </c>
      <c r="D217" s="804" t="s">
        <v>297</v>
      </c>
      <c r="E217" s="804">
        <v>1</v>
      </c>
      <c r="F217" s="804" t="s">
        <v>317</v>
      </c>
      <c r="G217" s="804" t="s">
        <v>584</v>
      </c>
      <c r="H217" s="804" t="s">
        <v>518</v>
      </c>
      <c r="I217" s="804"/>
      <c r="J217" s="804"/>
      <c r="K217" s="804"/>
      <c r="L217" s="804" t="s">
        <v>186</v>
      </c>
      <c r="M217" s="804" t="s">
        <v>468</v>
      </c>
      <c r="N217" s="804" t="s">
        <v>5</v>
      </c>
      <c r="O217" s="804" t="s">
        <v>27</v>
      </c>
      <c r="P217" s="804">
        <f>S217/P$6*100000</f>
        <v>19.304646628443468</v>
      </c>
      <c r="Q217" s="804">
        <v>1.452441263275313</v>
      </c>
      <c r="R217" s="804">
        <f t="shared" si="6"/>
        <v>13.291171985096815</v>
      </c>
      <c r="S217" s="863">
        <v>10</v>
      </c>
      <c r="T217" s="804"/>
      <c r="U217" s="861" t="s">
        <v>623</v>
      </c>
    </row>
    <row r="218" spans="1:21" s="583" customFormat="1" ht="12.75" customHeight="1" x14ac:dyDescent="0.25">
      <c r="A218" s="804" t="s">
        <v>308</v>
      </c>
      <c r="B218" s="804">
        <v>6</v>
      </c>
      <c r="C218" s="804" t="s">
        <v>607</v>
      </c>
      <c r="D218" s="804" t="s">
        <v>297</v>
      </c>
      <c r="E218" s="804">
        <v>1</v>
      </c>
      <c r="F218" s="804" t="s">
        <v>317</v>
      </c>
      <c r="G218" s="804" t="s">
        <v>584</v>
      </c>
      <c r="H218" s="804" t="s">
        <v>518</v>
      </c>
      <c r="I218" s="804"/>
      <c r="J218" s="804"/>
      <c r="K218" s="804"/>
      <c r="L218" s="804" t="s">
        <v>186</v>
      </c>
      <c r="M218" s="804" t="s">
        <v>468</v>
      </c>
      <c r="N218" s="804" t="s">
        <v>6</v>
      </c>
      <c r="O218" s="804" t="s">
        <v>27</v>
      </c>
      <c r="P218" s="804">
        <f>S218/P$7*100000</f>
        <v>0</v>
      </c>
      <c r="Q218" s="804">
        <v>14.235620453237033</v>
      </c>
      <c r="R218" s="804">
        <f t="shared" si="6"/>
        <v>1</v>
      </c>
      <c r="S218" s="863">
        <v>0</v>
      </c>
      <c r="T218" s="804"/>
      <c r="U218" s="861" t="s">
        <v>623</v>
      </c>
    </row>
    <row r="219" spans="1:21" s="583" customFormat="1" ht="12.75" customHeight="1" x14ac:dyDescent="0.25">
      <c r="A219" s="804" t="s">
        <v>308</v>
      </c>
      <c r="B219" s="804">
        <v>6</v>
      </c>
      <c r="C219" s="804" t="s">
        <v>607</v>
      </c>
      <c r="D219" s="804" t="s">
        <v>297</v>
      </c>
      <c r="E219" s="804">
        <v>1</v>
      </c>
      <c r="F219" s="804" t="s">
        <v>317</v>
      </c>
      <c r="G219" s="804" t="s">
        <v>584</v>
      </c>
      <c r="H219" s="804" t="s">
        <v>518</v>
      </c>
      <c r="I219" s="804"/>
      <c r="J219" s="804"/>
      <c r="K219" s="804"/>
      <c r="L219" s="804" t="s">
        <v>186</v>
      </c>
      <c r="M219" s="804" t="s">
        <v>468</v>
      </c>
      <c r="N219" s="804" t="s">
        <v>7</v>
      </c>
      <c r="O219" s="804" t="s">
        <v>27</v>
      </c>
      <c r="P219" s="804">
        <f>S219/P$8*100000</f>
        <v>39.318942894757768</v>
      </c>
      <c r="Q219" s="804">
        <v>43.549876901356022</v>
      </c>
      <c r="R219" s="804">
        <f t="shared" si="6"/>
        <v>0.90284854269090908</v>
      </c>
      <c r="S219" s="863">
        <v>17.8</v>
      </c>
      <c r="T219" s="804"/>
      <c r="U219" s="861" t="s">
        <v>623</v>
      </c>
    </row>
    <row r="220" spans="1:21" s="583" customFormat="1" ht="12.75" customHeight="1" x14ac:dyDescent="0.25">
      <c r="A220" s="804" t="s">
        <v>308</v>
      </c>
      <c r="B220" s="804">
        <v>6</v>
      </c>
      <c r="C220" s="804" t="s">
        <v>607</v>
      </c>
      <c r="D220" s="804" t="s">
        <v>297</v>
      </c>
      <c r="E220" s="804">
        <v>1</v>
      </c>
      <c r="F220" s="804" t="s">
        <v>317</v>
      </c>
      <c r="G220" s="804" t="s">
        <v>584</v>
      </c>
      <c r="H220" s="804" t="s">
        <v>518</v>
      </c>
      <c r="I220" s="804"/>
      <c r="J220" s="804"/>
      <c r="K220" s="804"/>
      <c r="L220" s="804" t="s">
        <v>186</v>
      </c>
      <c r="M220" s="804" t="s">
        <v>468</v>
      </c>
      <c r="N220" s="804" t="s">
        <v>8</v>
      </c>
      <c r="O220" s="804" t="s">
        <v>27</v>
      </c>
      <c r="P220" s="804">
        <f>S220/P$9*100000</f>
        <v>144.19877246173186</v>
      </c>
      <c r="Q220" s="804">
        <v>145.90902485103908</v>
      </c>
      <c r="R220" s="804">
        <f t="shared" si="6"/>
        <v>0.98827863875416044</v>
      </c>
      <c r="S220" s="863">
        <v>39</v>
      </c>
      <c r="T220" s="804"/>
      <c r="U220" s="861" t="s">
        <v>623</v>
      </c>
    </row>
    <row r="221" spans="1:21" s="583" customFormat="1" ht="12.75" customHeight="1" x14ac:dyDescent="0.25">
      <c r="A221" s="804" t="s">
        <v>308</v>
      </c>
      <c r="B221" s="804">
        <v>6</v>
      </c>
      <c r="C221" s="804" t="s">
        <v>607</v>
      </c>
      <c r="D221" s="804" t="s">
        <v>297</v>
      </c>
      <c r="E221" s="804">
        <v>1</v>
      </c>
      <c r="F221" s="804" t="s">
        <v>317</v>
      </c>
      <c r="G221" s="804" t="s">
        <v>584</v>
      </c>
      <c r="H221" s="804" t="s">
        <v>518</v>
      </c>
      <c r="I221" s="804"/>
      <c r="J221" s="804"/>
      <c r="K221" s="804"/>
      <c r="L221" s="804" t="s">
        <v>186</v>
      </c>
      <c r="M221" s="804" t="s">
        <v>468</v>
      </c>
      <c r="N221" s="804" t="s">
        <v>9</v>
      </c>
      <c r="O221" s="804" t="s">
        <v>27</v>
      </c>
      <c r="P221" s="804">
        <f>S221/P$10*100000</f>
        <v>852.4576171729135</v>
      </c>
      <c r="Q221" s="804">
        <v>906.86732596029594</v>
      </c>
      <c r="R221" s="804">
        <f t="shared" si="6"/>
        <v>0.94000257013365529</v>
      </c>
      <c r="S221" s="863">
        <v>159.80000000000001</v>
      </c>
      <c r="T221" s="804"/>
      <c r="U221" s="861" t="s">
        <v>623</v>
      </c>
    </row>
    <row r="222" spans="1:21" s="583" customFormat="1" ht="12.75" customHeight="1" x14ac:dyDescent="0.25">
      <c r="A222" s="804" t="s">
        <v>308</v>
      </c>
      <c r="B222" s="804">
        <v>6</v>
      </c>
      <c r="C222" s="804" t="s">
        <v>607</v>
      </c>
      <c r="D222" s="804" t="s">
        <v>297</v>
      </c>
      <c r="E222" s="804">
        <v>1</v>
      </c>
      <c r="F222" s="804" t="s">
        <v>317</v>
      </c>
      <c r="G222" s="804" t="s">
        <v>584</v>
      </c>
      <c r="H222" s="804" t="s">
        <v>518</v>
      </c>
      <c r="I222" s="804"/>
      <c r="J222" s="804"/>
      <c r="K222" s="804"/>
      <c r="L222" s="804" t="s">
        <v>186</v>
      </c>
      <c r="M222" s="804" t="s">
        <v>468</v>
      </c>
      <c r="N222" s="804" t="s">
        <v>249</v>
      </c>
      <c r="O222" s="804" t="s">
        <v>26</v>
      </c>
      <c r="P222" s="804">
        <f>S222/P$11*100000</f>
        <v>0</v>
      </c>
      <c r="Q222" s="804">
        <v>0</v>
      </c>
      <c r="R222" s="804">
        <f t="shared" si="6"/>
        <v>1</v>
      </c>
      <c r="S222" s="863">
        <v>0</v>
      </c>
      <c r="T222" s="804"/>
      <c r="U222" s="861" t="s">
        <v>623</v>
      </c>
    </row>
    <row r="223" spans="1:21" s="583" customFormat="1" ht="12.75" customHeight="1" x14ac:dyDescent="0.25">
      <c r="A223" s="804" t="s">
        <v>308</v>
      </c>
      <c r="B223" s="804">
        <v>6</v>
      </c>
      <c r="C223" s="804" t="s">
        <v>607</v>
      </c>
      <c r="D223" s="804" t="s">
        <v>297</v>
      </c>
      <c r="E223" s="804">
        <v>1</v>
      </c>
      <c r="F223" s="804" t="s">
        <v>317</v>
      </c>
      <c r="G223" s="804" t="s">
        <v>584</v>
      </c>
      <c r="H223" s="804" t="s">
        <v>518</v>
      </c>
      <c r="I223" s="804"/>
      <c r="J223" s="804"/>
      <c r="K223" s="804"/>
      <c r="L223" s="804" t="s">
        <v>186</v>
      </c>
      <c r="M223" s="804" t="s">
        <v>468</v>
      </c>
      <c r="N223" s="804" t="s">
        <v>244</v>
      </c>
      <c r="O223" s="804" t="s">
        <v>26</v>
      </c>
      <c r="P223" s="804">
        <f>S223/P$12*100000</f>
        <v>0</v>
      </c>
      <c r="Q223" s="804">
        <v>0</v>
      </c>
      <c r="R223" s="804">
        <f t="shared" si="6"/>
        <v>1</v>
      </c>
      <c r="S223" s="863">
        <v>0</v>
      </c>
      <c r="T223" s="804"/>
      <c r="U223" s="861" t="s">
        <v>623</v>
      </c>
    </row>
    <row r="224" spans="1:21" s="583" customFormat="1" ht="12.75" customHeight="1" x14ac:dyDescent="0.25">
      <c r="A224" s="804" t="s">
        <v>308</v>
      </c>
      <c r="B224" s="804">
        <v>6</v>
      </c>
      <c r="C224" s="804" t="s">
        <v>607</v>
      </c>
      <c r="D224" s="804" t="s">
        <v>297</v>
      </c>
      <c r="E224" s="804">
        <v>1</v>
      </c>
      <c r="F224" s="804" t="s">
        <v>317</v>
      </c>
      <c r="G224" s="804" t="s">
        <v>584</v>
      </c>
      <c r="H224" s="804" t="s">
        <v>518</v>
      </c>
      <c r="I224" s="804"/>
      <c r="J224" s="804"/>
      <c r="K224" s="804"/>
      <c r="L224" s="804" t="s">
        <v>186</v>
      </c>
      <c r="M224" s="804" t="s">
        <v>468</v>
      </c>
      <c r="N224" s="804" t="s">
        <v>4</v>
      </c>
      <c r="O224" s="804" t="s">
        <v>26</v>
      </c>
      <c r="P224" s="804">
        <f>S224/P$13*100000</f>
        <v>2.6794925041197195</v>
      </c>
      <c r="Q224" s="804">
        <v>0</v>
      </c>
      <c r="R224" s="804">
        <f t="shared" si="6"/>
        <v>1</v>
      </c>
      <c r="S224" s="863">
        <v>1.6</v>
      </c>
      <c r="T224" s="804"/>
      <c r="U224" s="861" t="s">
        <v>623</v>
      </c>
    </row>
    <row r="225" spans="1:21" s="583" customFormat="1" ht="12.75" customHeight="1" x14ac:dyDescent="0.25">
      <c r="A225" s="804" t="s">
        <v>308</v>
      </c>
      <c r="B225" s="804">
        <v>6</v>
      </c>
      <c r="C225" s="804" t="s">
        <v>607</v>
      </c>
      <c r="D225" s="804" t="s">
        <v>297</v>
      </c>
      <c r="E225" s="804">
        <v>1</v>
      </c>
      <c r="F225" s="804" t="s">
        <v>317</v>
      </c>
      <c r="G225" s="804" t="s">
        <v>584</v>
      </c>
      <c r="H225" s="804" t="s">
        <v>518</v>
      </c>
      <c r="I225" s="804"/>
      <c r="J225" s="804"/>
      <c r="K225" s="804"/>
      <c r="L225" s="804" t="s">
        <v>186</v>
      </c>
      <c r="M225" s="804" t="s">
        <v>468</v>
      </c>
      <c r="N225" s="804" t="s">
        <v>5</v>
      </c>
      <c r="O225" s="804" t="s">
        <v>26</v>
      </c>
      <c r="P225" s="804">
        <f>S225/P$14*100000</f>
        <v>22.92951902604138</v>
      </c>
      <c r="Q225" s="804">
        <v>3.3364844575432357</v>
      </c>
      <c r="R225" s="804">
        <f t="shared" si="6"/>
        <v>6.8723590107550345</v>
      </c>
      <c r="S225" s="863">
        <v>12.6</v>
      </c>
      <c r="T225" s="804"/>
      <c r="U225" s="861" t="s">
        <v>623</v>
      </c>
    </row>
    <row r="226" spans="1:21" s="583" customFormat="1" ht="12.75" customHeight="1" x14ac:dyDescent="0.25">
      <c r="A226" s="804" t="s">
        <v>308</v>
      </c>
      <c r="B226" s="804">
        <v>6</v>
      </c>
      <c r="C226" s="804" t="s">
        <v>607</v>
      </c>
      <c r="D226" s="804" t="s">
        <v>297</v>
      </c>
      <c r="E226" s="804">
        <v>1</v>
      </c>
      <c r="F226" s="804" t="s">
        <v>317</v>
      </c>
      <c r="G226" s="804" t="s">
        <v>584</v>
      </c>
      <c r="H226" s="804" t="s">
        <v>518</v>
      </c>
      <c r="I226" s="804"/>
      <c r="J226" s="804"/>
      <c r="K226" s="804"/>
      <c r="L226" s="804" t="s">
        <v>186</v>
      </c>
      <c r="M226" s="804" t="s">
        <v>468</v>
      </c>
      <c r="N226" s="804" t="s">
        <v>6</v>
      </c>
      <c r="O226" s="804" t="s">
        <v>26</v>
      </c>
      <c r="P226" s="804">
        <f>S226/P$15*100000</f>
        <v>0</v>
      </c>
      <c r="Q226" s="804">
        <v>19.191374663072779</v>
      </c>
      <c r="R226" s="804">
        <f t="shared" si="6"/>
        <v>1</v>
      </c>
      <c r="S226" s="863">
        <v>0</v>
      </c>
      <c r="T226" s="804"/>
      <c r="U226" s="861" t="s">
        <v>623</v>
      </c>
    </row>
    <row r="227" spans="1:21" s="583" customFormat="1" ht="12.75" customHeight="1" x14ac:dyDescent="0.25">
      <c r="A227" s="804" t="s">
        <v>308</v>
      </c>
      <c r="B227" s="804">
        <v>6</v>
      </c>
      <c r="C227" s="804" t="s">
        <v>607</v>
      </c>
      <c r="D227" s="804" t="s">
        <v>297</v>
      </c>
      <c r="E227" s="804">
        <v>1</v>
      </c>
      <c r="F227" s="804" t="s">
        <v>317</v>
      </c>
      <c r="G227" s="804" t="s">
        <v>584</v>
      </c>
      <c r="H227" s="804" t="s">
        <v>518</v>
      </c>
      <c r="I227" s="804"/>
      <c r="J227" s="804"/>
      <c r="K227" s="804"/>
      <c r="L227" s="804" t="s">
        <v>186</v>
      </c>
      <c r="M227" s="804" t="s">
        <v>468</v>
      </c>
      <c r="N227" s="804" t="s">
        <v>7</v>
      </c>
      <c r="O227" s="804" t="s">
        <v>26</v>
      </c>
      <c r="P227" s="804">
        <f>S227/P$16*100000</f>
        <v>49.488246541446408</v>
      </c>
      <c r="Q227" s="804">
        <v>50.711762971061923</v>
      </c>
      <c r="R227" s="804">
        <f t="shared" si="6"/>
        <v>0.97587312375013069</v>
      </c>
      <c r="S227" s="863">
        <v>22</v>
      </c>
      <c r="T227" s="804"/>
      <c r="U227" s="861" t="s">
        <v>623</v>
      </c>
    </row>
    <row r="228" spans="1:21" s="583" customFormat="1" ht="12.75" customHeight="1" x14ac:dyDescent="0.25">
      <c r="A228" s="804" t="s">
        <v>308</v>
      </c>
      <c r="B228" s="804">
        <v>6</v>
      </c>
      <c r="C228" s="804" t="s">
        <v>607</v>
      </c>
      <c r="D228" s="804" t="s">
        <v>297</v>
      </c>
      <c r="E228" s="804">
        <v>1</v>
      </c>
      <c r="F228" s="804" t="s">
        <v>317</v>
      </c>
      <c r="G228" s="804" t="s">
        <v>584</v>
      </c>
      <c r="H228" s="804" t="s">
        <v>518</v>
      </c>
      <c r="I228" s="804"/>
      <c r="J228" s="804"/>
      <c r="K228" s="804"/>
      <c r="L228" s="804" t="s">
        <v>186</v>
      </c>
      <c r="M228" s="804" t="s">
        <v>468</v>
      </c>
      <c r="N228" s="804" t="s">
        <v>8</v>
      </c>
      <c r="O228" s="804" t="s">
        <v>26</v>
      </c>
      <c r="P228" s="804">
        <f>S228/P$17*100000</f>
        <v>165.42725066093595</v>
      </c>
      <c r="Q228" s="804">
        <v>175.4255001492983</v>
      </c>
      <c r="R228" s="804">
        <f t="shared" si="6"/>
        <v>0.94300572334208421</v>
      </c>
      <c r="S228" s="863">
        <v>42.8</v>
      </c>
      <c r="T228" s="804"/>
      <c r="U228" s="861" t="s">
        <v>623</v>
      </c>
    </row>
    <row r="229" spans="1:21" s="581" customFormat="1" ht="12.75" customHeight="1" x14ac:dyDescent="0.25">
      <c r="A229" s="803" t="s">
        <v>308</v>
      </c>
      <c r="B229" s="803">
        <v>6</v>
      </c>
      <c r="C229" s="804" t="s">
        <v>607</v>
      </c>
      <c r="D229" s="803" t="s">
        <v>297</v>
      </c>
      <c r="E229" s="803">
        <v>1</v>
      </c>
      <c r="F229" s="803" t="s">
        <v>317</v>
      </c>
      <c r="G229" s="803" t="s">
        <v>584</v>
      </c>
      <c r="H229" s="804" t="s">
        <v>518</v>
      </c>
      <c r="I229" s="803"/>
      <c r="J229" s="803"/>
      <c r="K229" s="803"/>
      <c r="L229" s="803" t="s">
        <v>186</v>
      </c>
      <c r="M229" s="803" t="s">
        <v>468</v>
      </c>
      <c r="N229" s="803" t="s">
        <v>9</v>
      </c>
      <c r="O229" s="803" t="s">
        <v>26</v>
      </c>
      <c r="P229" s="803">
        <f>S229/P$18*100000</f>
        <v>682.83565216080547</v>
      </c>
      <c r="Q229" s="803">
        <v>726.30192242675764</v>
      </c>
      <c r="R229" s="803">
        <f t="shared" si="6"/>
        <v>0.94015399254249465</v>
      </c>
      <c r="S229" s="811">
        <v>90.6</v>
      </c>
      <c r="T229" s="803"/>
      <c r="U229" s="861" t="s">
        <v>623</v>
      </c>
    </row>
    <row r="230" spans="1:21" s="583" customFormat="1" ht="12.75" customHeight="1" x14ac:dyDescent="0.25">
      <c r="A230" s="804" t="s">
        <v>308</v>
      </c>
      <c r="B230" s="804">
        <v>7</v>
      </c>
      <c r="C230" s="804" t="s">
        <v>321</v>
      </c>
      <c r="D230" s="804" t="s">
        <v>301</v>
      </c>
      <c r="E230" s="804">
        <v>1</v>
      </c>
      <c r="F230" s="804" t="s">
        <v>317</v>
      </c>
      <c r="G230" s="804" t="s">
        <v>584</v>
      </c>
      <c r="H230" s="804" t="s">
        <v>518</v>
      </c>
      <c r="I230" s="804"/>
      <c r="J230" s="804"/>
      <c r="K230" s="804"/>
      <c r="L230" s="804"/>
      <c r="M230" s="804"/>
      <c r="N230" s="804"/>
      <c r="O230" s="804" t="s">
        <v>27</v>
      </c>
      <c r="P230" s="804">
        <v>1287</v>
      </c>
      <c r="Q230" s="804">
        <v>1600</v>
      </c>
      <c r="R230" s="804">
        <v>0.80437499999999995</v>
      </c>
      <c r="S230" s="804">
        <v>9.9170263743409998E-3</v>
      </c>
      <c r="T230" s="804">
        <v>5.0694064533372503E-2</v>
      </c>
      <c r="U230" s="861" t="s">
        <v>623</v>
      </c>
    </row>
    <row r="231" spans="1:21" s="582" customFormat="1" ht="12.75" customHeight="1" x14ac:dyDescent="0.25">
      <c r="A231" s="813" t="s">
        <v>308</v>
      </c>
      <c r="B231" s="813">
        <v>7</v>
      </c>
      <c r="C231" s="813" t="s">
        <v>321</v>
      </c>
      <c r="D231" s="813" t="s">
        <v>301</v>
      </c>
      <c r="E231" s="813">
        <v>1</v>
      </c>
      <c r="F231" s="813" t="s">
        <v>317</v>
      </c>
      <c r="G231" s="813" t="s">
        <v>584</v>
      </c>
      <c r="H231" s="813" t="s">
        <v>518</v>
      </c>
      <c r="I231" s="813"/>
      <c r="J231" s="813"/>
      <c r="K231" s="813"/>
      <c r="L231" s="813"/>
      <c r="M231" s="813"/>
      <c r="N231" s="813"/>
      <c r="O231" s="813" t="s">
        <v>26</v>
      </c>
      <c r="P231" s="813">
        <v>1254</v>
      </c>
      <c r="Q231" s="813">
        <v>1640</v>
      </c>
      <c r="R231" s="813">
        <v>0.76463414634146298</v>
      </c>
      <c r="S231" s="813">
        <v>1.0475545523664601E-2</v>
      </c>
      <c r="T231" s="813">
        <v>4.4507499116087798E-2</v>
      </c>
      <c r="U231" s="861" t="s">
        <v>623</v>
      </c>
    </row>
    <row r="232" spans="1:21" ht="12.75" customHeight="1" x14ac:dyDescent="0.25">
      <c r="A232" s="633" t="s">
        <v>265</v>
      </c>
      <c r="B232" s="633" t="s">
        <v>266</v>
      </c>
      <c r="C232" s="633" t="s">
        <v>267</v>
      </c>
      <c r="D232" s="633" t="s">
        <v>268</v>
      </c>
      <c r="E232" s="633" t="s">
        <v>269</v>
      </c>
      <c r="F232" s="633" t="s">
        <v>270</v>
      </c>
      <c r="G232" s="633" t="s">
        <v>511</v>
      </c>
      <c r="H232" s="633" t="s">
        <v>271</v>
      </c>
      <c r="I232" s="633" t="s">
        <v>272</v>
      </c>
      <c r="J232" s="633" t="s">
        <v>273</v>
      </c>
      <c r="K232" s="633" t="s">
        <v>274</v>
      </c>
      <c r="L232" s="633" t="s">
        <v>275</v>
      </c>
      <c r="M232" s="633" t="s">
        <v>276</v>
      </c>
      <c r="N232" s="633" t="s">
        <v>69</v>
      </c>
      <c r="O232" s="633" t="s">
        <v>277</v>
      </c>
      <c r="P232" s="633" t="s">
        <v>278</v>
      </c>
      <c r="Q232" s="633" t="s">
        <v>279</v>
      </c>
      <c r="R232" s="633" t="s">
        <v>280</v>
      </c>
      <c r="S232" s="633" t="s">
        <v>281</v>
      </c>
      <c r="T232" s="633" t="s">
        <v>411</v>
      </c>
    </row>
    <row r="233" spans="1:21" ht="12.75" customHeight="1" x14ac:dyDescent="0.25">
      <c r="A233" s="633" t="s">
        <v>308</v>
      </c>
      <c r="B233" s="633">
        <v>1</v>
      </c>
      <c r="C233" s="633" t="s">
        <v>282</v>
      </c>
      <c r="D233" s="633" t="s">
        <v>283</v>
      </c>
      <c r="E233" s="633">
        <v>1</v>
      </c>
      <c r="F233" s="633" t="s">
        <v>284</v>
      </c>
      <c r="G233" s="633" t="s">
        <v>584</v>
      </c>
      <c r="H233" s="633" t="s">
        <v>285</v>
      </c>
      <c r="I233" s="633" t="s">
        <v>308</v>
      </c>
      <c r="J233" s="633" t="s">
        <v>286</v>
      </c>
      <c r="K233" s="633" t="s">
        <v>287</v>
      </c>
      <c r="M233" s="633" t="s">
        <v>288</v>
      </c>
      <c r="N233" s="633" t="s">
        <v>289</v>
      </c>
      <c r="O233" s="633">
        <v>7811</v>
      </c>
      <c r="P233" s="633">
        <v>6730594.7562380303</v>
      </c>
      <c r="Q233" s="633">
        <v>1.4022789195086112</v>
      </c>
      <c r="R233" s="633">
        <v>0.26264286300369599</v>
      </c>
      <c r="S233" s="633">
        <v>0.155301973327481</v>
      </c>
      <c r="T233" s="594">
        <v>41711.644224536998</v>
      </c>
    </row>
    <row r="234" spans="1:21" ht="12.75" customHeight="1" x14ac:dyDescent="0.25">
      <c r="A234" s="633" t="s">
        <v>308</v>
      </c>
      <c r="B234" s="633">
        <v>1</v>
      </c>
      <c r="C234" s="633" t="s">
        <v>282</v>
      </c>
      <c r="D234" s="633" t="s">
        <v>283</v>
      </c>
      <c r="E234" s="633">
        <v>1</v>
      </c>
      <c r="F234" s="633" t="s">
        <v>284</v>
      </c>
      <c r="G234" s="633" t="s">
        <v>584</v>
      </c>
      <c r="H234" s="633" t="s">
        <v>290</v>
      </c>
      <c r="I234" s="633" t="s">
        <v>309</v>
      </c>
      <c r="J234" s="633" t="s">
        <v>286</v>
      </c>
      <c r="K234" s="633" t="s">
        <v>287</v>
      </c>
      <c r="M234" s="633" t="s">
        <v>288</v>
      </c>
      <c r="N234" s="633" t="s">
        <v>289</v>
      </c>
      <c r="O234" s="633">
        <v>7811</v>
      </c>
      <c r="P234" s="633">
        <v>6730594.7562380303</v>
      </c>
      <c r="Q234" s="633">
        <v>7.1899167641291646</v>
      </c>
      <c r="R234" s="633">
        <v>0.34929077634019301</v>
      </c>
      <c r="S234" s="633">
        <v>4.0281814973230502E-2</v>
      </c>
      <c r="T234" s="594">
        <v>41711.644224536998</v>
      </c>
    </row>
    <row r="235" spans="1:21" ht="12.75" customHeight="1" x14ac:dyDescent="0.25">
      <c r="A235" s="633" t="s">
        <v>308</v>
      </c>
      <c r="B235" s="633">
        <v>1</v>
      </c>
      <c r="C235" s="633" t="s">
        <v>282</v>
      </c>
      <c r="D235" s="633" t="s">
        <v>283</v>
      </c>
      <c r="E235" s="633">
        <v>1</v>
      </c>
      <c r="F235" s="633" t="s">
        <v>284</v>
      </c>
      <c r="G235" s="633" t="s">
        <v>584</v>
      </c>
      <c r="H235" s="633" t="s">
        <v>291</v>
      </c>
      <c r="I235" s="633" t="s">
        <v>310</v>
      </c>
      <c r="J235" s="633" t="s">
        <v>286</v>
      </c>
      <c r="K235" s="633" t="s">
        <v>287</v>
      </c>
      <c r="M235" s="633" t="s">
        <v>288</v>
      </c>
      <c r="N235" s="633" t="s">
        <v>289</v>
      </c>
      <c r="O235" s="633">
        <v>7811</v>
      </c>
      <c r="P235" s="633">
        <v>6730594.7562380303</v>
      </c>
      <c r="Q235" s="633">
        <v>56.616350947204999</v>
      </c>
      <c r="R235" s="633">
        <v>1.0023182460245099</v>
      </c>
      <c r="S235" s="633">
        <v>1.7703688585637999E-2</v>
      </c>
      <c r="T235" s="594">
        <v>41711.644224536998</v>
      </c>
    </row>
    <row r="236" spans="1:21" ht="12.75" customHeight="1" x14ac:dyDescent="0.25">
      <c r="A236" s="633" t="s">
        <v>308</v>
      </c>
      <c r="B236" s="633">
        <v>1</v>
      </c>
      <c r="C236" s="633" t="s">
        <v>282</v>
      </c>
      <c r="D236" s="633" t="s">
        <v>283</v>
      </c>
      <c r="E236" s="633">
        <v>1</v>
      </c>
      <c r="F236" s="633" t="s">
        <v>284</v>
      </c>
      <c r="G236" s="633" t="s">
        <v>584</v>
      </c>
      <c r="H236" s="633" t="s">
        <v>292</v>
      </c>
      <c r="I236" s="633" t="s">
        <v>311</v>
      </c>
      <c r="J236" s="633" t="s">
        <v>286</v>
      </c>
      <c r="K236" s="633" t="s">
        <v>287</v>
      </c>
      <c r="M236" s="633" t="s">
        <v>288</v>
      </c>
      <c r="N236" s="633" t="s">
        <v>289</v>
      </c>
      <c r="O236" s="633">
        <v>7811</v>
      </c>
      <c r="P236" s="633">
        <v>6730594.7562380303</v>
      </c>
      <c r="Q236" s="633">
        <v>5.4555008632618698</v>
      </c>
      <c r="R236" s="633">
        <v>0.59822480366720798</v>
      </c>
      <c r="S236" s="633">
        <v>0.10965534029986899</v>
      </c>
      <c r="T236" s="594">
        <v>41711.644224536998</v>
      </c>
    </row>
    <row r="237" spans="1:21" ht="12.75" customHeight="1" x14ac:dyDescent="0.25">
      <c r="A237" s="633" t="s">
        <v>308</v>
      </c>
      <c r="B237" s="633">
        <v>1</v>
      </c>
      <c r="C237" s="633" t="s">
        <v>282</v>
      </c>
      <c r="D237" s="633" t="s">
        <v>283</v>
      </c>
      <c r="E237" s="633">
        <v>1</v>
      </c>
      <c r="F237" s="633" t="s">
        <v>284</v>
      </c>
      <c r="G237" s="633" t="s">
        <v>584</v>
      </c>
      <c r="H237" s="633" t="s">
        <v>293</v>
      </c>
      <c r="I237" s="633" t="s">
        <v>442</v>
      </c>
      <c r="J237" s="633" t="s">
        <v>286</v>
      </c>
      <c r="K237" s="633" t="s">
        <v>287</v>
      </c>
      <c r="M237" s="633" t="s">
        <v>288</v>
      </c>
      <c r="N237" s="633" t="s">
        <v>289</v>
      </c>
      <c r="O237" s="633">
        <v>7811</v>
      </c>
      <c r="P237" s="633">
        <v>6730594.7562380303</v>
      </c>
      <c r="Q237" s="633">
        <v>1.8103078358783</v>
      </c>
      <c r="R237" s="633">
        <v>0.282932868038065</v>
      </c>
      <c r="S237" s="633">
        <v>0.15628992065915501</v>
      </c>
      <c r="T237" s="594">
        <v>41711.644224536998</v>
      </c>
    </row>
    <row r="238" spans="1:21" ht="12.75" customHeight="1" x14ac:dyDescent="0.25">
      <c r="A238" s="633" t="s">
        <v>308</v>
      </c>
      <c r="B238" s="633">
        <v>1</v>
      </c>
      <c r="C238" s="633" t="s">
        <v>282</v>
      </c>
      <c r="D238" s="633" t="s">
        <v>283</v>
      </c>
      <c r="E238" s="633">
        <v>1</v>
      </c>
      <c r="F238" s="633" t="s">
        <v>284</v>
      </c>
      <c r="G238" s="633" t="s">
        <v>584</v>
      </c>
      <c r="H238" s="633" t="s">
        <v>294</v>
      </c>
      <c r="I238" s="633" t="s">
        <v>443</v>
      </c>
      <c r="J238" s="633" t="s">
        <v>286</v>
      </c>
      <c r="K238" s="633" t="s">
        <v>287</v>
      </c>
      <c r="M238" s="633" t="s">
        <v>288</v>
      </c>
      <c r="N238" s="633" t="s">
        <v>289</v>
      </c>
      <c r="O238" s="633">
        <v>7811</v>
      </c>
      <c r="P238" s="633">
        <v>6730594.7562380303</v>
      </c>
      <c r="Q238" s="633">
        <v>0.65661237312104304</v>
      </c>
      <c r="R238" s="633">
        <v>0.17917365259013901</v>
      </c>
      <c r="S238" s="633">
        <v>0.27287583957408901</v>
      </c>
      <c r="T238" s="594">
        <v>41711.644224536998</v>
      </c>
    </row>
    <row r="239" spans="1:21" ht="12.75" customHeight="1" x14ac:dyDescent="0.25">
      <c r="A239" s="633" t="s">
        <v>308</v>
      </c>
      <c r="B239" s="633">
        <v>1</v>
      </c>
      <c r="C239" s="633" t="s">
        <v>282</v>
      </c>
      <c r="D239" s="633" t="s">
        <v>283</v>
      </c>
      <c r="E239" s="633">
        <v>1</v>
      </c>
      <c r="F239" s="633" t="s">
        <v>284</v>
      </c>
      <c r="G239" s="633" t="s">
        <v>584</v>
      </c>
      <c r="H239" s="633" t="s">
        <v>295</v>
      </c>
      <c r="I239" s="633" t="s">
        <v>444</v>
      </c>
      <c r="J239" s="633" t="s">
        <v>286</v>
      </c>
      <c r="K239" s="633" t="s">
        <v>287</v>
      </c>
      <c r="M239" s="633" t="s">
        <v>288</v>
      </c>
      <c r="N239" s="633" t="s">
        <v>289</v>
      </c>
      <c r="O239" s="633">
        <v>7811</v>
      </c>
      <c r="P239" s="633">
        <v>6730594.7562380303</v>
      </c>
      <c r="Q239" s="633">
        <v>0.62163625548133195</v>
      </c>
      <c r="R239" s="633">
        <v>0.180811004074933</v>
      </c>
      <c r="S239" s="633">
        <v>0.29086302878993298</v>
      </c>
      <c r="T239" s="594">
        <v>41711.644224536998</v>
      </c>
    </row>
    <row r="240" spans="1:21" ht="12.75" customHeight="1" x14ac:dyDescent="0.25">
      <c r="A240" s="633" t="s">
        <v>308</v>
      </c>
      <c r="B240" s="633">
        <v>2</v>
      </c>
      <c r="C240" s="633" t="s">
        <v>296</v>
      </c>
      <c r="D240" s="633" t="s">
        <v>297</v>
      </c>
      <c r="E240" s="633">
        <v>1</v>
      </c>
      <c r="F240" s="633" t="s">
        <v>284</v>
      </c>
      <c r="G240" s="633" t="s">
        <v>584</v>
      </c>
      <c r="H240" s="633" t="s">
        <v>285</v>
      </c>
      <c r="I240" s="633" t="s">
        <v>308</v>
      </c>
      <c r="J240" s="633" t="s">
        <v>286</v>
      </c>
      <c r="K240" s="633" t="s">
        <v>287</v>
      </c>
      <c r="M240" s="633" t="s">
        <v>288</v>
      </c>
      <c r="N240" s="633" t="s">
        <v>289</v>
      </c>
      <c r="O240" s="633">
        <v>7811</v>
      </c>
      <c r="P240" s="633">
        <v>6730594.7562380303</v>
      </c>
      <c r="Q240" s="633">
        <v>1.05160219421111</v>
      </c>
      <c r="R240" s="633">
        <v>0.26264286300369599</v>
      </c>
      <c r="S240" s="633">
        <v>0.155301973327481</v>
      </c>
      <c r="T240" s="594">
        <v>41711.644224536998</v>
      </c>
    </row>
    <row r="241" spans="1:20" x14ac:dyDescent="0.25">
      <c r="A241" s="633" t="s">
        <v>308</v>
      </c>
      <c r="B241" s="633">
        <v>2</v>
      </c>
      <c r="C241" s="633" t="s">
        <v>296</v>
      </c>
      <c r="D241" s="633" t="s">
        <v>297</v>
      </c>
      <c r="E241" s="633">
        <v>1</v>
      </c>
      <c r="F241" s="633" t="s">
        <v>284</v>
      </c>
      <c r="G241" s="633" t="s">
        <v>584</v>
      </c>
      <c r="H241" s="633" t="s">
        <v>285</v>
      </c>
      <c r="I241" s="633" t="s">
        <v>308</v>
      </c>
      <c r="J241" s="633" t="s">
        <v>286</v>
      </c>
      <c r="K241" s="633" t="s">
        <v>287</v>
      </c>
      <c r="M241" s="633" t="s">
        <v>249</v>
      </c>
      <c r="N241" s="633" t="s">
        <v>10</v>
      </c>
      <c r="T241" s="594">
        <v>41736.707511574103</v>
      </c>
    </row>
    <row r="242" spans="1:20" x14ac:dyDescent="0.25">
      <c r="A242" s="633" t="s">
        <v>308</v>
      </c>
      <c r="B242" s="633">
        <v>2</v>
      </c>
      <c r="C242" s="633" t="s">
        <v>296</v>
      </c>
      <c r="D242" s="633" t="s">
        <v>297</v>
      </c>
      <c r="E242" s="633">
        <v>1</v>
      </c>
      <c r="F242" s="633" t="s">
        <v>284</v>
      </c>
      <c r="G242" s="633" t="s">
        <v>584</v>
      </c>
      <c r="H242" s="633" t="s">
        <v>285</v>
      </c>
      <c r="I242" s="633" t="s">
        <v>308</v>
      </c>
      <c r="J242" s="633" t="s">
        <v>286</v>
      </c>
      <c r="K242" s="633" t="s">
        <v>287</v>
      </c>
      <c r="M242" s="633" t="s">
        <v>244</v>
      </c>
      <c r="N242" s="633" t="s">
        <v>10</v>
      </c>
      <c r="O242" s="633">
        <v>430</v>
      </c>
      <c r="P242" s="633">
        <v>413853.27238590003</v>
      </c>
      <c r="Q242" s="633">
        <v>0.26211097343372902</v>
      </c>
      <c r="R242" s="633">
        <v>0.15372074666310401</v>
      </c>
      <c r="S242" s="633">
        <v>0.36467847982623403</v>
      </c>
      <c r="T242" s="594">
        <v>41711.644224536998</v>
      </c>
    </row>
    <row r="243" spans="1:20" x14ac:dyDescent="0.25">
      <c r="A243" s="633" t="s">
        <v>308</v>
      </c>
      <c r="B243" s="633">
        <v>2</v>
      </c>
      <c r="C243" s="633" t="s">
        <v>296</v>
      </c>
      <c r="D243" s="633" t="s">
        <v>297</v>
      </c>
      <c r="E243" s="633">
        <v>1</v>
      </c>
      <c r="F243" s="633" t="s">
        <v>284</v>
      </c>
      <c r="G243" s="633" t="s">
        <v>584</v>
      </c>
      <c r="H243" s="633" t="s">
        <v>285</v>
      </c>
      <c r="I243" s="633" t="s">
        <v>308</v>
      </c>
      <c r="J243" s="633" t="s">
        <v>286</v>
      </c>
      <c r="K243" s="633" t="s">
        <v>287</v>
      </c>
      <c r="M243" s="633" t="s">
        <v>4</v>
      </c>
      <c r="N243" s="633" t="s">
        <v>10</v>
      </c>
      <c r="O243" s="633">
        <v>383</v>
      </c>
      <c r="P243" s="633">
        <v>613017.45477680105</v>
      </c>
      <c r="Q243" s="633">
        <v>1</v>
      </c>
      <c r="R243" s="633">
        <v>1.1100492969595701</v>
      </c>
      <c r="S243" s="633">
        <v>0.69024794114385102</v>
      </c>
      <c r="T243" s="594">
        <v>41711.644224536998</v>
      </c>
    </row>
    <row r="244" spans="1:20" x14ac:dyDescent="0.25">
      <c r="A244" s="633" t="s">
        <v>308</v>
      </c>
      <c r="B244" s="633">
        <v>2</v>
      </c>
      <c r="C244" s="633" t="s">
        <v>296</v>
      </c>
      <c r="D244" s="633" t="s">
        <v>297</v>
      </c>
      <c r="E244" s="633">
        <v>1</v>
      </c>
      <c r="F244" s="633" t="s">
        <v>284</v>
      </c>
      <c r="G244" s="633" t="s">
        <v>584</v>
      </c>
      <c r="H244" s="633" t="s">
        <v>285</v>
      </c>
      <c r="I244" s="633" t="s">
        <v>308</v>
      </c>
      <c r="J244" s="633" t="s">
        <v>286</v>
      </c>
      <c r="K244" s="633" t="s">
        <v>287</v>
      </c>
      <c r="M244" s="633" t="s">
        <v>5</v>
      </c>
      <c r="N244" s="633" t="s">
        <v>10</v>
      </c>
      <c r="O244" s="633">
        <v>641</v>
      </c>
      <c r="P244" s="633">
        <v>788726.84875310096</v>
      </c>
      <c r="Q244" s="633">
        <v>1.02098192910546</v>
      </c>
      <c r="R244" s="633">
        <v>0.998103821026464</v>
      </c>
      <c r="S244" s="633">
        <v>0.60788372579716998</v>
      </c>
      <c r="T244" s="594">
        <v>41711.644224536998</v>
      </c>
    </row>
    <row r="245" spans="1:20" x14ac:dyDescent="0.25">
      <c r="A245" s="633" t="s">
        <v>308</v>
      </c>
      <c r="B245" s="633">
        <v>2</v>
      </c>
      <c r="C245" s="633" t="s">
        <v>296</v>
      </c>
      <c r="D245" s="633" t="s">
        <v>297</v>
      </c>
      <c r="E245" s="633">
        <v>1</v>
      </c>
      <c r="F245" s="633" t="s">
        <v>284</v>
      </c>
      <c r="G245" s="633" t="s">
        <v>584</v>
      </c>
      <c r="H245" s="633" t="s">
        <v>285</v>
      </c>
      <c r="I245" s="633" t="s">
        <v>308</v>
      </c>
      <c r="J245" s="633" t="s">
        <v>286</v>
      </c>
      <c r="K245" s="633" t="s">
        <v>287</v>
      </c>
      <c r="M245" s="633" t="s">
        <v>6</v>
      </c>
      <c r="N245" s="633" t="s">
        <v>10</v>
      </c>
      <c r="O245" s="633">
        <v>1181</v>
      </c>
      <c r="P245" s="633">
        <v>792921.57536120201</v>
      </c>
      <c r="Q245" s="633">
        <v>0.49771397610304302</v>
      </c>
      <c r="R245" s="633">
        <v>0.31357776608043397</v>
      </c>
      <c r="S245" s="633">
        <v>0.391767386611799</v>
      </c>
      <c r="T245" s="594">
        <v>41711.644224536998</v>
      </c>
    </row>
    <row r="246" spans="1:20" x14ac:dyDescent="0.25">
      <c r="A246" s="633" t="s">
        <v>308</v>
      </c>
      <c r="B246" s="633">
        <v>2</v>
      </c>
      <c r="C246" s="633" t="s">
        <v>296</v>
      </c>
      <c r="D246" s="633" t="s">
        <v>297</v>
      </c>
      <c r="E246" s="633">
        <v>1</v>
      </c>
      <c r="F246" s="633" t="s">
        <v>284</v>
      </c>
      <c r="G246" s="633" t="s">
        <v>584</v>
      </c>
      <c r="H246" s="633" t="s">
        <v>285</v>
      </c>
      <c r="I246" s="633" t="s">
        <v>308</v>
      </c>
      <c r="J246" s="633" t="s">
        <v>286</v>
      </c>
      <c r="K246" s="633" t="s">
        <v>287</v>
      </c>
      <c r="M246" s="633" t="s">
        <v>7</v>
      </c>
      <c r="N246" s="633" t="s">
        <v>10</v>
      </c>
      <c r="O246" s="633">
        <v>701</v>
      </c>
      <c r="P246" s="633">
        <v>367311.51258709998</v>
      </c>
      <c r="Q246" s="633">
        <v>0.11788277003637899</v>
      </c>
      <c r="R246" s="633">
        <v>0.106602407325321</v>
      </c>
      <c r="S246" s="633">
        <v>0.56231482501920904</v>
      </c>
      <c r="T246" s="594">
        <v>41711.644224536998</v>
      </c>
    </row>
    <row r="247" spans="1:20" x14ac:dyDescent="0.25">
      <c r="A247" s="633" t="s">
        <v>308</v>
      </c>
      <c r="B247" s="633">
        <v>2</v>
      </c>
      <c r="C247" s="633" t="s">
        <v>296</v>
      </c>
      <c r="D247" s="633" t="s">
        <v>297</v>
      </c>
      <c r="E247" s="633">
        <v>1</v>
      </c>
      <c r="F247" s="633" t="s">
        <v>284</v>
      </c>
      <c r="G247" s="633" t="s">
        <v>584</v>
      </c>
      <c r="H247" s="633" t="s">
        <v>285</v>
      </c>
      <c r="I247" s="633" t="s">
        <v>308</v>
      </c>
      <c r="J247" s="633" t="s">
        <v>286</v>
      </c>
      <c r="K247" s="633" t="s">
        <v>287</v>
      </c>
      <c r="M247" s="633" t="s">
        <v>8</v>
      </c>
      <c r="N247" s="633" t="s">
        <v>10</v>
      </c>
      <c r="O247" s="633">
        <v>444</v>
      </c>
      <c r="P247" s="633">
        <v>217543.27286500001</v>
      </c>
      <c r="Q247" s="633">
        <v>2.28308553575601E-2</v>
      </c>
      <c r="R247" s="633">
        <v>3.6710330031733102E-2</v>
      </c>
      <c r="S247" s="633">
        <v>0.99983643790377896</v>
      </c>
      <c r="T247" s="594">
        <v>41711.644224536998</v>
      </c>
    </row>
    <row r="248" spans="1:20" x14ac:dyDescent="0.25">
      <c r="A248" s="633" t="s">
        <v>308</v>
      </c>
      <c r="B248" s="633">
        <v>2</v>
      </c>
      <c r="C248" s="633" t="s">
        <v>296</v>
      </c>
      <c r="D248" s="633" t="s">
        <v>297</v>
      </c>
      <c r="E248" s="633">
        <v>1</v>
      </c>
      <c r="F248" s="633" t="s">
        <v>284</v>
      </c>
      <c r="G248" s="633" t="s">
        <v>584</v>
      </c>
      <c r="H248" s="633" t="s">
        <v>285</v>
      </c>
      <c r="I248" s="633" t="s">
        <v>308</v>
      </c>
      <c r="J248" s="633" t="s">
        <v>286</v>
      </c>
      <c r="K248" s="633" t="s">
        <v>287</v>
      </c>
      <c r="M248" s="633" t="s">
        <v>9</v>
      </c>
      <c r="N248" s="633" t="s">
        <v>10</v>
      </c>
      <c r="O248" s="633">
        <v>335</v>
      </c>
      <c r="P248" s="633">
        <v>151737.18073769999</v>
      </c>
      <c r="Q248" s="633">
        <v>3.2368646500094397E-2</v>
      </c>
      <c r="R248" s="633">
        <v>5.2086313524725002E-2</v>
      </c>
      <c r="S248" s="633">
        <v>1.0006033092861699</v>
      </c>
      <c r="T248" s="594">
        <v>41711.644224536998</v>
      </c>
    </row>
    <row r="249" spans="1:20" x14ac:dyDescent="0.25">
      <c r="A249" s="633" t="s">
        <v>308</v>
      </c>
      <c r="B249" s="633">
        <v>2</v>
      </c>
      <c r="C249" s="633" t="s">
        <v>296</v>
      </c>
      <c r="D249" s="633" t="s">
        <v>297</v>
      </c>
      <c r="E249" s="633">
        <v>1</v>
      </c>
      <c r="F249" s="633" t="s">
        <v>284</v>
      </c>
      <c r="G249" s="633" t="s">
        <v>584</v>
      </c>
      <c r="H249" s="633" t="s">
        <v>285</v>
      </c>
      <c r="I249" s="633" t="s">
        <v>308</v>
      </c>
      <c r="J249" s="633" t="s">
        <v>286</v>
      </c>
      <c r="K249" s="633" t="s">
        <v>287</v>
      </c>
      <c r="M249" s="633" t="s">
        <v>249</v>
      </c>
      <c r="N249" s="633" t="s">
        <v>298</v>
      </c>
      <c r="T249" s="594">
        <v>41736.707511574103</v>
      </c>
    </row>
    <row r="250" spans="1:20" x14ac:dyDescent="0.25">
      <c r="A250" s="633" t="s">
        <v>308</v>
      </c>
      <c r="B250" s="633">
        <v>2</v>
      </c>
      <c r="C250" s="633" t="s">
        <v>296</v>
      </c>
      <c r="D250" s="633" t="s">
        <v>297</v>
      </c>
      <c r="E250" s="633">
        <v>1</v>
      </c>
      <c r="F250" s="633" t="s">
        <v>284</v>
      </c>
      <c r="G250" s="633" t="s">
        <v>584</v>
      </c>
      <c r="H250" s="633" t="s">
        <v>285</v>
      </c>
      <c r="I250" s="633" t="s">
        <v>308</v>
      </c>
      <c r="J250" s="633" t="s">
        <v>286</v>
      </c>
      <c r="K250" s="633" t="s">
        <v>287</v>
      </c>
      <c r="M250" s="633" t="s">
        <v>244</v>
      </c>
      <c r="N250" s="633" t="s">
        <v>298</v>
      </c>
      <c r="O250" s="633">
        <v>435</v>
      </c>
      <c r="P250" s="633">
        <v>439736.50015500002</v>
      </c>
      <c r="Q250" s="633">
        <v>0.82651782930533702</v>
      </c>
      <c r="R250" s="633">
        <v>0.42194633344675903</v>
      </c>
      <c r="S250" s="633">
        <v>0.31744452763563002</v>
      </c>
      <c r="T250" s="594">
        <v>41711.644224536998</v>
      </c>
    </row>
    <row r="251" spans="1:20" x14ac:dyDescent="0.25">
      <c r="A251" s="633" t="s">
        <v>308</v>
      </c>
      <c r="B251" s="633">
        <v>2</v>
      </c>
      <c r="C251" s="633" t="s">
        <v>296</v>
      </c>
      <c r="D251" s="633" t="s">
        <v>297</v>
      </c>
      <c r="E251" s="633">
        <v>1</v>
      </c>
      <c r="F251" s="633" t="s">
        <v>284</v>
      </c>
      <c r="G251" s="633" t="s">
        <v>584</v>
      </c>
      <c r="H251" s="633" t="s">
        <v>285</v>
      </c>
      <c r="I251" s="633" t="s">
        <v>308</v>
      </c>
      <c r="J251" s="633" t="s">
        <v>286</v>
      </c>
      <c r="K251" s="633" t="s">
        <v>287</v>
      </c>
      <c r="M251" s="633" t="s">
        <v>4</v>
      </c>
      <c r="N251" s="633" t="s">
        <v>298</v>
      </c>
      <c r="O251" s="633">
        <v>388</v>
      </c>
      <c r="P251" s="633">
        <v>607769.81752030004</v>
      </c>
      <c r="Q251" s="633">
        <v>3.6796100649664898</v>
      </c>
      <c r="R251" s="633">
        <v>1.9817456476636599</v>
      </c>
      <c r="S251" s="633">
        <v>0.33489523534058602</v>
      </c>
      <c r="T251" s="594">
        <v>41711.644224536998</v>
      </c>
    </row>
    <row r="252" spans="1:20" x14ac:dyDescent="0.25">
      <c r="A252" s="633" t="s">
        <v>308</v>
      </c>
      <c r="B252" s="633">
        <v>2</v>
      </c>
      <c r="C252" s="633" t="s">
        <v>296</v>
      </c>
      <c r="D252" s="633" t="s">
        <v>297</v>
      </c>
      <c r="E252" s="633">
        <v>1</v>
      </c>
      <c r="F252" s="633" t="s">
        <v>284</v>
      </c>
      <c r="G252" s="633" t="s">
        <v>584</v>
      </c>
      <c r="H252" s="633" t="s">
        <v>285</v>
      </c>
      <c r="I252" s="633" t="s">
        <v>308</v>
      </c>
      <c r="J252" s="633" t="s">
        <v>286</v>
      </c>
      <c r="K252" s="633" t="s">
        <v>287</v>
      </c>
      <c r="M252" s="633" t="s">
        <v>5</v>
      </c>
      <c r="N252" s="633" t="s">
        <v>298</v>
      </c>
      <c r="O252" s="633">
        <v>580</v>
      </c>
      <c r="P252" s="633">
        <v>975232.60376570094</v>
      </c>
      <c r="Q252" s="633">
        <v>1.2266736407611101</v>
      </c>
      <c r="R252" s="633">
        <v>0.51087689618850096</v>
      </c>
      <c r="S252" s="633">
        <v>0.25897037364042502</v>
      </c>
      <c r="T252" s="594">
        <v>41711.644224536998</v>
      </c>
    </row>
    <row r="253" spans="1:20" x14ac:dyDescent="0.25">
      <c r="A253" s="633" t="s">
        <v>308</v>
      </c>
      <c r="B253" s="633">
        <v>2</v>
      </c>
      <c r="C253" s="633" t="s">
        <v>296</v>
      </c>
      <c r="D253" s="633" t="s">
        <v>297</v>
      </c>
      <c r="E253" s="633">
        <v>1</v>
      </c>
      <c r="F253" s="633" t="s">
        <v>284</v>
      </c>
      <c r="G253" s="633" t="s">
        <v>584</v>
      </c>
      <c r="H253" s="633" t="s">
        <v>285</v>
      </c>
      <c r="I253" s="633" t="s">
        <v>308</v>
      </c>
      <c r="J253" s="633" t="s">
        <v>286</v>
      </c>
      <c r="K253" s="633" t="s">
        <v>287</v>
      </c>
      <c r="M253" s="633" t="s">
        <v>6</v>
      </c>
      <c r="N253" s="633" t="s">
        <v>298</v>
      </c>
      <c r="O253" s="633">
        <v>1057</v>
      </c>
      <c r="P253" s="633">
        <v>760588.46623699996</v>
      </c>
      <c r="Q253" s="633">
        <v>1.1659173695712</v>
      </c>
      <c r="R253" s="633">
        <v>0.47113655250801201</v>
      </c>
      <c r="S253" s="633">
        <v>0.25127071823193298</v>
      </c>
      <c r="T253" s="594">
        <v>41711.644224536998</v>
      </c>
    </row>
    <row r="254" spans="1:20" x14ac:dyDescent="0.25">
      <c r="A254" s="633" t="s">
        <v>308</v>
      </c>
      <c r="B254" s="633">
        <v>2</v>
      </c>
      <c r="C254" s="633" t="s">
        <v>296</v>
      </c>
      <c r="D254" s="633" t="s">
        <v>297</v>
      </c>
      <c r="E254" s="633">
        <v>1</v>
      </c>
      <c r="F254" s="633" t="s">
        <v>284</v>
      </c>
      <c r="G254" s="633" t="s">
        <v>584</v>
      </c>
      <c r="H254" s="633" t="s">
        <v>285</v>
      </c>
      <c r="I254" s="633" t="s">
        <v>308</v>
      </c>
      <c r="J254" s="633" t="s">
        <v>286</v>
      </c>
      <c r="K254" s="633" t="s">
        <v>287</v>
      </c>
      <c r="M254" s="633" t="s">
        <v>7</v>
      </c>
      <c r="N254" s="633" t="s">
        <v>298</v>
      </c>
      <c r="O254" s="633">
        <v>629</v>
      </c>
      <c r="P254" s="633">
        <v>332519.05184079998</v>
      </c>
      <c r="Q254" s="633">
        <v>1.05226975998435</v>
      </c>
      <c r="R254" s="633">
        <v>0.63016810352956998</v>
      </c>
      <c r="S254" s="633">
        <v>0.37238500194631802</v>
      </c>
      <c r="T254" s="594">
        <v>41711.644224536998</v>
      </c>
    </row>
    <row r="255" spans="1:20" x14ac:dyDescent="0.25">
      <c r="A255" s="633" t="s">
        <v>308</v>
      </c>
      <c r="B255" s="633">
        <v>2</v>
      </c>
      <c r="C255" s="633" t="s">
        <v>296</v>
      </c>
      <c r="D255" s="633" t="s">
        <v>297</v>
      </c>
      <c r="E255" s="633">
        <v>1</v>
      </c>
      <c r="F255" s="633" t="s">
        <v>284</v>
      </c>
      <c r="G255" s="633" t="s">
        <v>584</v>
      </c>
      <c r="H255" s="633" t="s">
        <v>285</v>
      </c>
      <c r="I255" s="633" t="s">
        <v>308</v>
      </c>
      <c r="J255" s="633" t="s">
        <v>286</v>
      </c>
      <c r="K255" s="633" t="s">
        <v>287</v>
      </c>
      <c r="M255" s="633" t="s">
        <v>8</v>
      </c>
      <c r="N255" s="633" t="s">
        <v>298</v>
      </c>
      <c r="O255" s="633">
        <v>404</v>
      </c>
      <c r="P255" s="633">
        <v>184380.10302050001</v>
      </c>
      <c r="Q255" s="633">
        <v>0.38253677573296402</v>
      </c>
      <c r="R255" s="633">
        <v>0.319842280153181</v>
      </c>
      <c r="S255" s="633">
        <v>0.51990684299582202</v>
      </c>
      <c r="T255" s="594">
        <v>41711.644224536998</v>
      </c>
    </row>
    <row r="256" spans="1:20" x14ac:dyDescent="0.25">
      <c r="A256" s="633" t="s">
        <v>308</v>
      </c>
      <c r="B256" s="633">
        <v>2</v>
      </c>
      <c r="C256" s="633" t="s">
        <v>296</v>
      </c>
      <c r="D256" s="633" t="s">
        <v>297</v>
      </c>
      <c r="E256" s="633">
        <v>1</v>
      </c>
      <c r="F256" s="633" t="s">
        <v>284</v>
      </c>
      <c r="G256" s="633" t="s">
        <v>584</v>
      </c>
      <c r="H256" s="633" t="s">
        <v>285</v>
      </c>
      <c r="I256" s="633" t="s">
        <v>308</v>
      </c>
      <c r="J256" s="633" t="s">
        <v>286</v>
      </c>
      <c r="K256" s="633" t="s">
        <v>287</v>
      </c>
      <c r="M256" s="633" t="s">
        <v>9</v>
      </c>
      <c r="N256" s="633" t="s">
        <v>298</v>
      </c>
      <c r="O256" s="633">
        <v>203</v>
      </c>
      <c r="P256" s="633">
        <v>85257.096231899995</v>
      </c>
      <c r="Q256" s="633">
        <v>0</v>
      </c>
      <c r="R256" s="633">
        <v>0</v>
      </c>
      <c r="T256" s="594">
        <v>41711.644224536998</v>
      </c>
    </row>
    <row r="257" spans="1:20" x14ac:dyDescent="0.25">
      <c r="A257" s="633" t="s">
        <v>308</v>
      </c>
      <c r="B257" s="633">
        <v>2</v>
      </c>
      <c r="C257" s="633" t="s">
        <v>296</v>
      </c>
      <c r="D257" s="633" t="s">
        <v>297</v>
      </c>
      <c r="E257" s="633">
        <v>1</v>
      </c>
      <c r="F257" s="633" t="s">
        <v>284</v>
      </c>
      <c r="G257" s="633" t="s">
        <v>584</v>
      </c>
      <c r="H257" s="633" t="s">
        <v>290</v>
      </c>
      <c r="I257" s="633" t="s">
        <v>309</v>
      </c>
      <c r="J257" s="633" t="s">
        <v>286</v>
      </c>
      <c r="K257" s="633" t="s">
        <v>287</v>
      </c>
      <c r="M257" s="633" t="s">
        <v>288</v>
      </c>
      <c r="N257" s="633" t="s">
        <v>289</v>
      </c>
      <c r="O257" s="633">
        <v>7811</v>
      </c>
      <c r="P257" s="633">
        <v>6730594.7562380303</v>
      </c>
      <c r="Q257" s="633">
        <v>1.00033876620263</v>
      </c>
      <c r="R257" s="633">
        <v>0.34929077634019301</v>
      </c>
      <c r="S257" s="633">
        <v>4.0281814973230502E-2</v>
      </c>
      <c r="T257" s="594">
        <v>41711.644224536998</v>
      </c>
    </row>
    <row r="258" spans="1:20" x14ac:dyDescent="0.25">
      <c r="A258" s="633" t="s">
        <v>308</v>
      </c>
      <c r="B258" s="633">
        <v>2</v>
      </c>
      <c r="C258" s="633" t="s">
        <v>296</v>
      </c>
      <c r="D258" s="633" t="s">
        <v>297</v>
      </c>
      <c r="E258" s="633">
        <v>1</v>
      </c>
      <c r="F258" s="633" t="s">
        <v>284</v>
      </c>
      <c r="G258" s="633" t="s">
        <v>584</v>
      </c>
      <c r="H258" s="633" t="s">
        <v>290</v>
      </c>
      <c r="I258" s="633" t="s">
        <v>309</v>
      </c>
      <c r="J258" s="633" t="s">
        <v>286</v>
      </c>
      <c r="K258" s="633" t="s">
        <v>287</v>
      </c>
      <c r="M258" s="633" t="s">
        <v>249</v>
      </c>
      <c r="N258" s="633" t="s">
        <v>10</v>
      </c>
      <c r="T258" s="594">
        <v>41736.707511574103</v>
      </c>
    </row>
    <row r="259" spans="1:20" x14ac:dyDescent="0.25">
      <c r="A259" s="633" t="s">
        <v>308</v>
      </c>
      <c r="B259" s="633">
        <v>2</v>
      </c>
      <c r="C259" s="633" t="s">
        <v>296</v>
      </c>
      <c r="D259" s="633" t="s">
        <v>297</v>
      </c>
      <c r="E259" s="633">
        <v>1</v>
      </c>
      <c r="F259" s="633" t="s">
        <v>284</v>
      </c>
      <c r="G259" s="633" t="s">
        <v>584</v>
      </c>
      <c r="H259" s="633" t="s">
        <v>290</v>
      </c>
      <c r="I259" s="633" t="s">
        <v>309</v>
      </c>
      <c r="J259" s="633" t="s">
        <v>286</v>
      </c>
      <c r="K259" s="633" t="s">
        <v>287</v>
      </c>
      <c r="M259" s="633" t="s">
        <v>244</v>
      </c>
      <c r="N259" s="633" t="s">
        <v>10</v>
      </c>
      <c r="O259" s="633">
        <v>430</v>
      </c>
      <c r="P259" s="633">
        <v>413853.27238590003</v>
      </c>
      <c r="Q259" s="633">
        <v>0.85226295221793102</v>
      </c>
      <c r="R259" s="633">
        <v>1.17063063708827</v>
      </c>
      <c r="S259" s="633">
        <v>0.158458407921793</v>
      </c>
      <c r="T259" s="594">
        <v>41711.644224536998</v>
      </c>
    </row>
    <row r="260" spans="1:20" x14ac:dyDescent="0.25">
      <c r="A260" s="633" t="s">
        <v>308</v>
      </c>
      <c r="B260" s="633">
        <v>2</v>
      </c>
      <c r="C260" s="633" t="s">
        <v>296</v>
      </c>
      <c r="D260" s="633" t="s">
        <v>297</v>
      </c>
      <c r="E260" s="633">
        <v>1</v>
      </c>
      <c r="F260" s="633" t="s">
        <v>284</v>
      </c>
      <c r="G260" s="633" t="s">
        <v>584</v>
      </c>
      <c r="H260" s="633" t="s">
        <v>290</v>
      </c>
      <c r="I260" s="633" t="s">
        <v>309</v>
      </c>
      <c r="J260" s="633" t="s">
        <v>286</v>
      </c>
      <c r="K260" s="633" t="s">
        <v>287</v>
      </c>
      <c r="M260" s="633" t="s">
        <v>4</v>
      </c>
      <c r="N260" s="633" t="s">
        <v>10</v>
      </c>
      <c r="O260" s="633">
        <v>383</v>
      </c>
      <c r="P260" s="633">
        <v>613017.45477680105</v>
      </c>
      <c r="Q260" s="633">
        <v>1</v>
      </c>
      <c r="R260" s="633">
        <v>1.38172119637368</v>
      </c>
      <c r="S260" s="633">
        <v>0.159400409280998</v>
      </c>
      <c r="T260" s="594">
        <v>41711.644224536998</v>
      </c>
    </row>
    <row r="261" spans="1:20" x14ac:dyDescent="0.25">
      <c r="A261" s="633" t="s">
        <v>308</v>
      </c>
      <c r="B261" s="633">
        <v>2</v>
      </c>
      <c r="C261" s="633" t="s">
        <v>296</v>
      </c>
      <c r="D261" s="633" t="s">
        <v>297</v>
      </c>
      <c r="E261" s="633">
        <v>1</v>
      </c>
      <c r="F261" s="633" t="s">
        <v>284</v>
      </c>
      <c r="G261" s="633" t="s">
        <v>584</v>
      </c>
      <c r="H261" s="633" t="s">
        <v>290</v>
      </c>
      <c r="I261" s="633" t="s">
        <v>309</v>
      </c>
      <c r="J261" s="633" t="s">
        <v>286</v>
      </c>
      <c r="K261" s="633" t="s">
        <v>287</v>
      </c>
      <c r="M261" s="633" t="s">
        <v>5</v>
      </c>
      <c r="N261" s="633" t="s">
        <v>10</v>
      </c>
      <c r="O261" s="633">
        <v>641</v>
      </c>
      <c r="P261" s="633">
        <v>788726.84875310096</v>
      </c>
      <c r="Q261" s="633">
        <v>1.04889795862337</v>
      </c>
      <c r="R261" s="633">
        <v>0.97744568240907503</v>
      </c>
      <c r="S261" s="633">
        <v>0.107504935906283</v>
      </c>
      <c r="T261" s="594">
        <v>41711.644224536998</v>
      </c>
    </row>
    <row r="262" spans="1:20" x14ac:dyDescent="0.25">
      <c r="A262" s="633" t="s">
        <v>308</v>
      </c>
      <c r="B262" s="633">
        <v>2</v>
      </c>
      <c r="C262" s="633" t="s">
        <v>296</v>
      </c>
      <c r="D262" s="633" t="s">
        <v>297</v>
      </c>
      <c r="E262" s="633">
        <v>1</v>
      </c>
      <c r="F262" s="633" t="s">
        <v>284</v>
      </c>
      <c r="G262" s="633" t="s">
        <v>584</v>
      </c>
      <c r="H262" s="633" t="s">
        <v>290</v>
      </c>
      <c r="I262" s="633" t="s">
        <v>309</v>
      </c>
      <c r="J262" s="633" t="s">
        <v>286</v>
      </c>
      <c r="K262" s="633" t="s">
        <v>287</v>
      </c>
      <c r="M262" s="633" t="s">
        <v>6</v>
      </c>
      <c r="N262" s="633" t="s">
        <v>10</v>
      </c>
      <c r="O262" s="633">
        <v>1181</v>
      </c>
      <c r="P262" s="633">
        <v>792921.57536120201</v>
      </c>
      <c r="Q262" s="633">
        <v>1.0924397662882199</v>
      </c>
      <c r="R262" s="633">
        <v>0.91723113261956402</v>
      </c>
      <c r="S262" s="633">
        <v>9.6861301144224601E-2</v>
      </c>
      <c r="T262" s="594">
        <v>41711.644224536998</v>
      </c>
    </row>
    <row r="263" spans="1:20" x14ac:dyDescent="0.25">
      <c r="A263" s="633" t="s">
        <v>308</v>
      </c>
      <c r="B263" s="633">
        <v>2</v>
      </c>
      <c r="C263" s="633" t="s">
        <v>296</v>
      </c>
      <c r="D263" s="633" t="s">
        <v>297</v>
      </c>
      <c r="E263" s="633">
        <v>1</v>
      </c>
      <c r="F263" s="633" t="s">
        <v>284</v>
      </c>
      <c r="G263" s="633" t="s">
        <v>584</v>
      </c>
      <c r="H263" s="633" t="s">
        <v>290</v>
      </c>
      <c r="I263" s="633" t="s">
        <v>309</v>
      </c>
      <c r="J263" s="633" t="s">
        <v>286</v>
      </c>
      <c r="K263" s="633" t="s">
        <v>287</v>
      </c>
      <c r="M263" s="633" t="s">
        <v>7</v>
      </c>
      <c r="N263" s="633" t="s">
        <v>10</v>
      </c>
      <c r="O263" s="633">
        <v>701</v>
      </c>
      <c r="P263" s="633">
        <v>367311.51258709998</v>
      </c>
      <c r="Q263" s="633">
        <v>1.13900273757777</v>
      </c>
      <c r="R263" s="633">
        <v>1.1379182975425299</v>
      </c>
      <c r="S263" s="633">
        <v>0.115253819073633</v>
      </c>
      <c r="T263" s="594">
        <v>41711.644224536998</v>
      </c>
    </row>
    <row r="264" spans="1:20" x14ac:dyDescent="0.25">
      <c r="A264" s="633" t="s">
        <v>308</v>
      </c>
      <c r="B264" s="633">
        <v>2</v>
      </c>
      <c r="C264" s="633" t="s">
        <v>296</v>
      </c>
      <c r="D264" s="633" t="s">
        <v>297</v>
      </c>
      <c r="E264" s="633">
        <v>1</v>
      </c>
      <c r="F264" s="633" t="s">
        <v>284</v>
      </c>
      <c r="G264" s="633" t="s">
        <v>584</v>
      </c>
      <c r="H264" s="633" t="s">
        <v>290</v>
      </c>
      <c r="I264" s="633" t="s">
        <v>309</v>
      </c>
      <c r="J264" s="633" t="s">
        <v>286</v>
      </c>
      <c r="K264" s="633" t="s">
        <v>287</v>
      </c>
      <c r="M264" s="633" t="s">
        <v>8</v>
      </c>
      <c r="N264" s="633" t="s">
        <v>10</v>
      </c>
      <c r="O264" s="633">
        <v>444</v>
      </c>
      <c r="P264" s="633">
        <v>217543.27286500001</v>
      </c>
      <c r="Q264" s="633">
        <v>0.98581557199724901</v>
      </c>
      <c r="R264" s="633">
        <v>1.6095969896959299</v>
      </c>
      <c r="S264" s="633">
        <v>0.18836078397293601</v>
      </c>
      <c r="T264" s="594">
        <v>41711.644224536998</v>
      </c>
    </row>
    <row r="265" spans="1:20" x14ac:dyDescent="0.25">
      <c r="A265" s="633" t="s">
        <v>308</v>
      </c>
      <c r="B265" s="633">
        <v>2</v>
      </c>
      <c r="C265" s="633" t="s">
        <v>296</v>
      </c>
      <c r="D265" s="633" t="s">
        <v>297</v>
      </c>
      <c r="E265" s="633">
        <v>1</v>
      </c>
      <c r="F265" s="633" t="s">
        <v>284</v>
      </c>
      <c r="G265" s="633" t="s">
        <v>584</v>
      </c>
      <c r="H265" s="633" t="s">
        <v>290</v>
      </c>
      <c r="I265" s="633" t="s">
        <v>309</v>
      </c>
      <c r="J265" s="633" t="s">
        <v>286</v>
      </c>
      <c r="K265" s="633" t="s">
        <v>287</v>
      </c>
      <c r="M265" s="633" t="s">
        <v>9</v>
      </c>
      <c r="N265" s="633" t="s">
        <v>10</v>
      </c>
      <c r="O265" s="633">
        <v>335</v>
      </c>
      <c r="P265" s="633">
        <v>151737.18073769999</v>
      </c>
      <c r="Q265" s="633">
        <v>0.78342547321719602</v>
      </c>
      <c r="R265" s="633">
        <v>1.4277255972782701</v>
      </c>
      <c r="S265" s="633">
        <v>0.21024034934877101</v>
      </c>
      <c r="T265" s="594">
        <v>41711.644224536998</v>
      </c>
    </row>
    <row r="266" spans="1:20" x14ac:dyDescent="0.25">
      <c r="A266" s="633" t="s">
        <v>308</v>
      </c>
      <c r="B266" s="633">
        <v>2</v>
      </c>
      <c r="C266" s="633" t="s">
        <v>296</v>
      </c>
      <c r="D266" s="633" t="s">
        <v>297</v>
      </c>
      <c r="E266" s="633">
        <v>1</v>
      </c>
      <c r="F266" s="633" t="s">
        <v>284</v>
      </c>
      <c r="G266" s="633" t="s">
        <v>584</v>
      </c>
      <c r="H266" s="633" t="s">
        <v>290</v>
      </c>
      <c r="I266" s="633" t="s">
        <v>309</v>
      </c>
      <c r="J266" s="633" t="s">
        <v>286</v>
      </c>
      <c r="K266" s="633" t="s">
        <v>287</v>
      </c>
      <c r="M266" s="633" t="s">
        <v>249</v>
      </c>
      <c r="N266" s="633" t="s">
        <v>298</v>
      </c>
      <c r="T266" s="594">
        <v>41736.707511574103</v>
      </c>
    </row>
    <row r="267" spans="1:20" x14ac:dyDescent="0.25">
      <c r="A267" s="633" t="s">
        <v>308</v>
      </c>
      <c r="B267" s="633">
        <v>2</v>
      </c>
      <c r="C267" s="633" t="s">
        <v>296</v>
      </c>
      <c r="D267" s="633" t="s">
        <v>297</v>
      </c>
      <c r="E267" s="633">
        <v>1</v>
      </c>
      <c r="F267" s="633" t="s">
        <v>284</v>
      </c>
      <c r="G267" s="633" t="s">
        <v>584</v>
      </c>
      <c r="H267" s="633" t="s">
        <v>290</v>
      </c>
      <c r="I267" s="633" t="s">
        <v>309</v>
      </c>
      <c r="J267" s="633" t="s">
        <v>286</v>
      </c>
      <c r="K267" s="633" t="s">
        <v>287</v>
      </c>
      <c r="M267" s="633" t="s">
        <v>244</v>
      </c>
      <c r="N267" s="633" t="s">
        <v>298</v>
      </c>
      <c r="O267" s="633">
        <v>435</v>
      </c>
      <c r="P267" s="633">
        <v>439736.50015500002</v>
      </c>
      <c r="Q267" s="633">
        <v>0.79158443403708001</v>
      </c>
      <c r="R267" s="633">
        <v>0.97943505661705998</v>
      </c>
      <c r="S267" s="633">
        <v>0.142740564920257</v>
      </c>
      <c r="T267" s="594">
        <v>41711.644224536998</v>
      </c>
    </row>
    <row r="268" spans="1:20" x14ac:dyDescent="0.25">
      <c r="A268" s="633" t="s">
        <v>308</v>
      </c>
      <c r="B268" s="633">
        <v>2</v>
      </c>
      <c r="C268" s="633" t="s">
        <v>296</v>
      </c>
      <c r="D268" s="633" t="s">
        <v>297</v>
      </c>
      <c r="E268" s="633">
        <v>1</v>
      </c>
      <c r="F268" s="633" t="s">
        <v>284</v>
      </c>
      <c r="G268" s="633" t="s">
        <v>584</v>
      </c>
      <c r="H268" s="633" t="s">
        <v>290</v>
      </c>
      <c r="I268" s="633" t="s">
        <v>309</v>
      </c>
      <c r="J268" s="633" t="s">
        <v>286</v>
      </c>
      <c r="K268" s="633" t="s">
        <v>287</v>
      </c>
      <c r="M268" s="633" t="s">
        <v>4</v>
      </c>
      <c r="N268" s="633" t="s">
        <v>298</v>
      </c>
      <c r="O268" s="633">
        <v>388</v>
      </c>
      <c r="P268" s="633">
        <v>607769.81752030004</v>
      </c>
      <c r="Q268" s="633">
        <v>0.92516411642603202</v>
      </c>
      <c r="R268" s="633">
        <v>1.56065594543246</v>
      </c>
      <c r="S268" s="633">
        <v>0.194606527626077</v>
      </c>
      <c r="T268" s="594">
        <v>41711.644224536998</v>
      </c>
    </row>
    <row r="269" spans="1:20" x14ac:dyDescent="0.25">
      <c r="A269" s="633" t="s">
        <v>308</v>
      </c>
      <c r="B269" s="633">
        <v>2</v>
      </c>
      <c r="C269" s="633" t="s">
        <v>296</v>
      </c>
      <c r="D269" s="633" t="s">
        <v>297</v>
      </c>
      <c r="E269" s="633">
        <v>1</v>
      </c>
      <c r="F269" s="633" t="s">
        <v>284</v>
      </c>
      <c r="G269" s="633" t="s">
        <v>584</v>
      </c>
      <c r="H269" s="633" t="s">
        <v>290</v>
      </c>
      <c r="I269" s="633" t="s">
        <v>309</v>
      </c>
      <c r="J269" s="633" t="s">
        <v>286</v>
      </c>
      <c r="K269" s="633" t="s">
        <v>287</v>
      </c>
      <c r="M269" s="633" t="s">
        <v>5</v>
      </c>
      <c r="N269" s="633" t="s">
        <v>298</v>
      </c>
      <c r="O269" s="633">
        <v>580</v>
      </c>
      <c r="P269" s="633">
        <v>975232.60376570094</v>
      </c>
      <c r="Q269" s="633">
        <v>1.0075515439965801</v>
      </c>
      <c r="R269" s="633">
        <v>1.1583239555656799</v>
      </c>
      <c r="S269" s="633">
        <v>0.13262694852418899</v>
      </c>
      <c r="T269" s="594">
        <v>41711.644224536998</v>
      </c>
    </row>
    <row r="270" spans="1:20" x14ac:dyDescent="0.25">
      <c r="A270" s="633" t="s">
        <v>308</v>
      </c>
      <c r="B270" s="633">
        <v>2</v>
      </c>
      <c r="C270" s="633" t="s">
        <v>296</v>
      </c>
      <c r="D270" s="633" t="s">
        <v>297</v>
      </c>
      <c r="E270" s="633">
        <v>1</v>
      </c>
      <c r="F270" s="633" t="s">
        <v>284</v>
      </c>
      <c r="G270" s="633" t="s">
        <v>584</v>
      </c>
      <c r="H270" s="633" t="s">
        <v>290</v>
      </c>
      <c r="I270" s="633" t="s">
        <v>309</v>
      </c>
      <c r="J270" s="633" t="s">
        <v>286</v>
      </c>
      <c r="K270" s="633" t="s">
        <v>287</v>
      </c>
      <c r="M270" s="633" t="s">
        <v>6</v>
      </c>
      <c r="N270" s="633" t="s">
        <v>298</v>
      </c>
      <c r="O270" s="633">
        <v>1057</v>
      </c>
      <c r="P270" s="633">
        <v>760588.46623699996</v>
      </c>
      <c r="Q270" s="633">
        <v>1.10915001918962</v>
      </c>
      <c r="R270" s="633">
        <v>0.96777502184948905</v>
      </c>
      <c r="S270" s="633">
        <v>0.10065912015586299</v>
      </c>
      <c r="T270" s="594">
        <v>41711.644224536998</v>
      </c>
    </row>
    <row r="271" spans="1:20" x14ac:dyDescent="0.25">
      <c r="A271" s="633" t="s">
        <v>308</v>
      </c>
      <c r="B271" s="633">
        <v>2</v>
      </c>
      <c r="C271" s="633" t="s">
        <v>296</v>
      </c>
      <c r="D271" s="633" t="s">
        <v>297</v>
      </c>
      <c r="E271" s="633">
        <v>1</v>
      </c>
      <c r="F271" s="633" t="s">
        <v>284</v>
      </c>
      <c r="G271" s="633" t="s">
        <v>584</v>
      </c>
      <c r="H271" s="633" t="s">
        <v>290</v>
      </c>
      <c r="I271" s="633" t="s">
        <v>309</v>
      </c>
      <c r="J271" s="633" t="s">
        <v>286</v>
      </c>
      <c r="K271" s="633" t="s">
        <v>287</v>
      </c>
      <c r="M271" s="633" t="s">
        <v>7</v>
      </c>
      <c r="N271" s="633" t="s">
        <v>298</v>
      </c>
      <c r="O271" s="633">
        <v>629</v>
      </c>
      <c r="P271" s="633">
        <v>332519.05184079998</v>
      </c>
      <c r="Q271" s="633">
        <v>0.99606851920570905</v>
      </c>
      <c r="R271" s="633">
        <v>0.96834719754402798</v>
      </c>
      <c r="S271" s="633">
        <v>0.112153000700966</v>
      </c>
      <c r="T271" s="594">
        <v>41711.644224536998</v>
      </c>
    </row>
    <row r="272" spans="1:20" x14ac:dyDescent="0.25">
      <c r="A272" s="633" t="s">
        <v>308</v>
      </c>
      <c r="B272" s="633">
        <v>2</v>
      </c>
      <c r="C272" s="633" t="s">
        <v>296</v>
      </c>
      <c r="D272" s="633" t="s">
        <v>297</v>
      </c>
      <c r="E272" s="633">
        <v>1</v>
      </c>
      <c r="F272" s="633" t="s">
        <v>284</v>
      </c>
      <c r="G272" s="633" t="s">
        <v>584</v>
      </c>
      <c r="H272" s="633" t="s">
        <v>290</v>
      </c>
      <c r="I272" s="633" t="s">
        <v>309</v>
      </c>
      <c r="J272" s="633" t="s">
        <v>286</v>
      </c>
      <c r="K272" s="633" t="s">
        <v>287</v>
      </c>
      <c r="M272" s="633" t="s">
        <v>8</v>
      </c>
      <c r="N272" s="633" t="s">
        <v>298</v>
      </c>
      <c r="O272" s="633">
        <v>404</v>
      </c>
      <c r="P272" s="633">
        <v>184380.10302050001</v>
      </c>
      <c r="Q272" s="633">
        <v>1.037916738874</v>
      </c>
      <c r="R272" s="633">
        <v>1.64131950376383</v>
      </c>
      <c r="S272" s="633">
        <v>0.182431414885251</v>
      </c>
      <c r="T272" s="594">
        <v>41711.644224536998</v>
      </c>
    </row>
    <row r="273" spans="1:20" x14ac:dyDescent="0.25">
      <c r="A273" s="633" t="s">
        <v>308</v>
      </c>
      <c r="B273" s="633">
        <v>2</v>
      </c>
      <c r="C273" s="633" t="s">
        <v>296</v>
      </c>
      <c r="D273" s="633" t="s">
        <v>297</v>
      </c>
      <c r="E273" s="633">
        <v>1</v>
      </c>
      <c r="F273" s="633" t="s">
        <v>284</v>
      </c>
      <c r="G273" s="633" t="s">
        <v>584</v>
      </c>
      <c r="H273" s="633" t="s">
        <v>290</v>
      </c>
      <c r="I273" s="633" t="s">
        <v>309</v>
      </c>
      <c r="J273" s="633" t="s">
        <v>286</v>
      </c>
      <c r="K273" s="633" t="s">
        <v>287</v>
      </c>
      <c r="M273" s="633" t="s">
        <v>9</v>
      </c>
      <c r="N273" s="633" t="s">
        <v>298</v>
      </c>
      <c r="O273" s="633">
        <v>203</v>
      </c>
      <c r="P273" s="633">
        <v>85257.096231899995</v>
      </c>
      <c r="Q273" s="633">
        <v>0.73623468661497604</v>
      </c>
      <c r="R273" s="633">
        <v>1.2045631531767</v>
      </c>
      <c r="S273" s="633">
        <v>0.18874797967409701</v>
      </c>
      <c r="T273" s="594">
        <v>41711.644224536998</v>
      </c>
    </row>
    <row r="274" spans="1:20" x14ac:dyDescent="0.25">
      <c r="A274" s="633" t="s">
        <v>308</v>
      </c>
      <c r="B274" s="633">
        <v>3</v>
      </c>
      <c r="C274" s="633" t="s">
        <v>299</v>
      </c>
      <c r="D274" s="633" t="s">
        <v>300</v>
      </c>
      <c r="E274" s="633">
        <v>1</v>
      </c>
      <c r="F274" s="633" t="s">
        <v>284</v>
      </c>
      <c r="G274" s="633" t="s">
        <v>584</v>
      </c>
      <c r="H274" s="633" t="s">
        <v>285</v>
      </c>
      <c r="I274" s="633" t="s">
        <v>308</v>
      </c>
      <c r="J274" s="633" t="s">
        <v>286</v>
      </c>
      <c r="K274" s="633" t="s">
        <v>287</v>
      </c>
      <c r="M274" s="633" t="s">
        <v>288</v>
      </c>
      <c r="N274" s="633" t="s">
        <v>289</v>
      </c>
      <c r="O274" s="633">
        <v>7811</v>
      </c>
      <c r="P274" s="633">
        <v>6730594.7562380303</v>
      </c>
      <c r="Q274" s="633">
        <v>0.28045578390172221</v>
      </c>
      <c r="R274" s="633">
        <v>4.50489683536765E-2</v>
      </c>
      <c r="S274" s="633">
        <v>0.174531861326259</v>
      </c>
      <c r="T274" s="594">
        <v>41711.644224536998</v>
      </c>
    </row>
    <row r="275" spans="1:20" x14ac:dyDescent="0.25">
      <c r="A275" s="633" t="s">
        <v>308</v>
      </c>
      <c r="B275" s="633">
        <v>3</v>
      </c>
      <c r="C275" s="633" t="s">
        <v>299</v>
      </c>
      <c r="D275" s="633" t="s">
        <v>300</v>
      </c>
      <c r="E275" s="633">
        <v>1</v>
      </c>
      <c r="F275" s="633" t="s">
        <v>284</v>
      </c>
      <c r="G275" s="633" t="s">
        <v>584</v>
      </c>
      <c r="H275" s="633" t="s">
        <v>290</v>
      </c>
      <c r="I275" s="633" t="s">
        <v>309</v>
      </c>
      <c r="J275" s="633" t="s">
        <v>286</v>
      </c>
      <c r="K275" s="633" t="s">
        <v>287</v>
      </c>
      <c r="M275" s="633" t="s">
        <v>288</v>
      </c>
      <c r="N275" s="633" t="s">
        <v>289</v>
      </c>
      <c r="O275" s="633">
        <v>7811</v>
      </c>
      <c r="P275" s="633">
        <v>6730594.7562380303</v>
      </c>
      <c r="Q275" s="633">
        <v>0.3594958382064582</v>
      </c>
      <c r="R275" s="633">
        <v>1.7327200017710799E-2</v>
      </c>
      <c r="S275" s="633">
        <v>4.2586897969199199E-2</v>
      </c>
      <c r="T275" s="594">
        <v>41711.644224536998</v>
      </c>
    </row>
    <row r="276" spans="1:20" x14ac:dyDescent="0.25">
      <c r="A276" s="633" t="s">
        <v>308</v>
      </c>
      <c r="B276" s="633">
        <v>3</v>
      </c>
      <c r="C276" s="633" t="s">
        <v>299</v>
      </c>
      <c r="D276" s="633" t="s">
        <v>300</v>
      </c>
      <c r="E276" s="633">
        <v>1</v>
      </c>
      <c r="F276" s="633" t="s">
        <v>284</v>
      </c>
      <c r="G276" s="633" t="s">
        <v>584</v>
      </c>
      <c r="H276" s="633" t="s">
        <v>291</v>
      </c>
      <c r="I276" s="633" t="s">
        <v>310</v>
      </c>
      <c r="J276" s="633" t="s">
        <v>286</v>
      </c>
      <c r="K276" s="633" t="s">
        <v>287</v>
      </c>
      <c r="M276" s="633" t="s">
        <v>288</v>
      </c>
      <c r="N276" s="633" t="s">
        <v>289</v>
      </c>
      <c r="O276" s="633">
        <v>7811</v>
      </c>
      <c r="P276" s="633">
        <v>6730594.7562380303</v>
      </c>
      <c r="Q276" s="633">
        <v>27.0594720137263</v>
      </c>
      <c r="R276" s="633">
        <v>0.79202558177553595</v>
      </c>
      <c r="S276" s="633">
        <v>2.9269809158647599E-2</v>
      </c>
      <c r="T276" s="594">
        <v>41711.644224536998</v>
      </c>
    </row>
    <row r="277" spans="1:20" x14ac:dyDescent="0.25">
      <c r="A277" s="633" t="s">
        <v>308</v>
      </c>
      <c r="B277" s="633">
        <v>3</v>
      </c>
      <c r="C277" s="633" t="s">
        <v>299</v>
      </c>
      <c r="D277" s="633" t="s">
        <v>300</v>
      </c>
      <c r="E277" s="633">
        <v>1</v>
      </c>
      <c r="F277" s="633" t="s">
        <v>284</v>
      </c>
      <c r="G277" s="633" t="s">
        <v>584</v>
      </c>
      <c r="H277" s="633" t="s">
        <v>292</v>
      </c>
      <c r="I277" s="633" t="s">
        <v>311</v>
      </c>
      <c r="J277" s="633" t="s">
        <v>286</v>
      </c>
      <c r="K277" s="633" t="s">
        <v>287</v>
      </c>
      <c r="M277" s="633" t="s">
        <v>288</v>
      </c>
      <c r="N277" s="633" t="s">
        <v>289</v>
      </c>
      <c r="O277" s="633">
        <v>7811</v>
      </c>
      <c r="P277" s="633">
        <v>6730594.7562380303</v>
      </c>
      <c r="Q277" s="633">
        <v>0.42516541002301639</v>
      </c>
      <c r="R277" s="633">
        <v>9.74024538649962E-2</v>
      </c>
      <c r="S277" s="633">
        <v>0.119317731302114</v>
      </c>
      <c r="T277" s="594">
        <v>41711.644224536998</v>
      </c>
    </row>
    <row r="278" spans="1:20" x14ac:dyDescent="0.25">
      <c r="A278" s="633" t="s">
        <v>308</v>
      </c>
      <c r="B278" s="633">
        <v>3</v>
      </c>
      <c r="C278" s="633" t="s">
        <v>299</v>
      </c>
      <c r="D278" s="633" t="s">
        <v>300</v>
      </c>
      <c r="E278" s="633">
        <v>1</v>
      </c>
      <c r="F278" s="633" t="s">
        <v>284</v>
      </c>
      <c r="G278" s="633" t="s">
        <v>584</v>
      </c>
      <c r="H278" s="633" t="s">
        <v>293</v>
      </c>
      <c r="I278" s="633" t="s">
        <v>442</v>
      </c>
      <c r="J278" s="633" t="s">
        <v>286</v>
      </c>
      <c r="K278" s="633" t="s">
        <v>287</v>
      </c>
      <c r="M278" s="633" t="s">
        <v>288</v>
      </c>
      <c r="N278" s="633" t="s">
        <v>289</v>
      </c>
      <c r="O278" s="633">
        <v>7811</v>
      </c>
      <c r="P278" s="633">
        <v>6730594.7562380303</v>
      </c>
      <c r="Q278" s="633">
        <v>1.0886499009670347</v>
      </c>
      <c r="R278" s="633">
        <v>0.182297845370502</v>
      </c>
      <c r="S278" s="633">
        <v>0.33739562450350802</v>
      </c>
      <c r="T278" s="594">
        <v>41711.644224536998</v>
      </c>
    </row>
    <row r="279" spans="1:20" x14ac:dyDescent="0.25">
      <c r="A279" s="633" t="s">
        <v>308</v>
      </c>
      <c r="B279" s="633">
        <v>3</v>
      </c>
      <c r="C279" s="633" t="s">
        <v>299</v>
      </c>
      <c r="D279" s="633" t="s">
        <v>300</v>
      </c>
      <c r="E279" s="633">
        <v>1</v>
      </c>
      <c r="F279" s="633" t="s">
        <v>284</v>
      </c>
      <c r="G279" s="633" t="s">
        <v>584</v>
      </c>
      <c r="H279" s="633" t="s">
        <v>294</v>
      </c>
      <c r="I279" s="633" t="s">
        <v>443</v>
      </c>
      <c r="J279" s="633" t="s">
        <v>286</v>
      </c>
      <c r="K279" s="633" t="s">
        <v>287</v>
      </c>
      <c r="M279" s="633" t="s">
        <v>288</v>
      </c>
      <c r="N279" s="633" t="s">
        <v>289</v>
      </c>
      <c r="O279" s="633">
        <v>7811</v>
      </c>
      <c r="P279" s="633">
        <v>6730594.7562380303</v>
      </c>
      <c r="Q279" s="633">
        <v>1.0886499009670347</v>
      </c>
      <c r="R279" s="633">
        <v>0.107103162193235</v>
      </c>
      <c r="S279" s="633">
        <v>0.29002309738397197</v>
      </c>
      <c r="T279" s="594">
        <v>41711.644224536998</v>
      </c>
    </row>
    <row r="280" spans="1:20" x14ac:dyDescent="0.25">
      <c r="A280" s="633" t="s">
        <v>308</v>
      </c>
      <c r="B280" s="633">
        <v>3</v>
      </c>
      <c r="C280" s="633" t="s">
        <v>299</v>
      </c>
      <c r="D280" s="633" t="s">
        <v>300</v>
      </c>
      <c r="E280" s="633">
        <v>1</v>
      </c>
      <c r="F280" s="633" t="s">
        <v>284</v>
      </c>
      <c r="G280" s="633" t="s">
        <v>584</v>
      </c>
      <c r="H280" s="633" t="s">
        <v>295</v>
      </c>
      <c r="I280" s="633" t="s">
        <v>444</v>
      </c>
      <c r="J280" s="633" t="s">
        <v>286</v>
      </c>
      <c r="K280" s="633" t="s">
        <v>287</v>
      </c>
      <c r="M280" s="633" t="s">
        <v>288</v>
      </c>
      <c r="N280" s="633" t="s">
        <v>289</v>
      </c>
      <c r="O280" s="633">
        <v>7811</v>
      </c>
      <c r="P280" s="633">
        <v>6730594.7562380303</v>
      </c>
      <c r="Q280" s="633">
        <v>1.0886499009670347</v>
      </c>
      <c r="R280" s="633">
        <v>0.12756237326804601</v>
      </c>
      <c r="S280" s="633">
        <v>0.36547480793418802</v>
      </c>
      <c r="T280" s="594">
        <v>41711.644224536998</v>
      </c>
    </row>
    <row r="281" spans="1:20" x14ac:dyDescent="0.25">
      <c r="A281" s="633" t="s">
        <v>308</v>
      </c>
      <c r="B281" s="633">
        <v>9</v>
      </c>
      <c r="C281" s="633" t="s">
        <v>303</v>
      </c>
      <c r="D281" s="633" t="s">
        <v>304</v>
      </c>
      <c r="F281" s="633" t="s">
        <v>284</v>
      </c>
      <c r="G281" s="633" t="s">
        <v>584</v>
      </c>
      <c r="J281" s="633" t="s">
        <v>305</v>
      </c>
      <c r="K281" s="633" t="s">
        <v>306</v>
      </c>
      <c r="L281" s="633" t="s">
        <v>308</v>
      </c>
      <c r="M281" s="633" t="s">
        <v>249</v>
      </c>
      <c r="N281" s="633" t="s">
        <v>27</v>
      </c>
      <c r="T281" s="594">
        <v>41736.707534722198</v>
      </c>
    </row>
    <row r="282" spans="1:20" x14ac:dyDescent="0.25">
      <c r="A282" s="633" t="s">
        <v>308</v>
      </c>
      <c r="B282" s="633">
        <v>9</v>
      </c>
      <c r="C282" s="633" t="s">
        <v>303</v>
      </c>
      <c r="D282" s="633" t="s">
        <v>304</v>
      </c>
      <c r="F282" s="633" t="s">
        <v>284</v>
      </c>
      <c r="G282" s="633" t="s">
        <v>584</v>
      </c>
      <c r="J282" s="633" t="s">
        <v>305</v>
      </c>
      <c r="K282" s="633" t="s">
        <v>306</v>
      </c>
      <c r="L282" s="633" t="s">
        <v>308</v>
      </c>
      <c r="M282" s="633" t="s">
        <v>244</v>
      </c>
      <c r="N282" s="633" t="s">
        <v>27</v>
      </c>
      <c r="T282" s="594">
        <v>41736.707534722198</v>
      </c>
    </row>
    <row r="283" spans="1:20" x14ac:dyDescent="0.25">
      <c r="A283" s="633" t="s">
        <v>308</v>
      </c>
      <c r="B283" s="633">
        <v>9</v>
      </c>
      <c r="C283" s="633" t="s">
        <v>303</v>
      </c>
      <c r="D283" s="633" t="s">
        <v>304</v>
      </c>
      <c r="F283" s="633" t="s">
        <v>284</v>
      </c>
      <c r="G283" s="633" t="s">
        <v>584</v>
      </c>
      <c r="J283" s="633" t="s">
        <v>305</v>
      </c>
      <c r="K283" s="633" t="s">
        <v>306</v>
      </c>
      <c r="L283" s="633" t="s">
        <v>308</v>
      </c>
      <c r="M283" s="633" t="s">
        <v>4</v>
      </c>
      <c r="N283" s="633" t="s">
        <v>27</v>
      </c>
      <c r="O283" s="633">
        <v>58</v>
      </c>
      <c r="Q283" s="633">
        <v>8.8666666666666707</v>
      </c>
      <c r="T283" s="594">
        <v>41736.707534722198</v>
      </c>
    </row>
    <row r="284" spans="1:20" x14ac:dyDescent="0.25">
      <c r="A284" s="633" t="s">
        <v>308</v>
      </c>
      <c r="B284" s="633">
        <v>9</v>
      </c>
      <c r="C284" s="633" t="s">
        <v>303</v>
      </c>
      <c r="D284" s="633" t="s">
        <v>304</v>
      </c>
      <c r="F284" s="633" t="s">
        <v>284</v>
      </c>
      <c r="G284" s="633" t="s">
        <v>584</v>
      </c>
      <c r="J284" s="633" t="s">
        <v>305</v>
      </c>
      <c r="K284" s="633" t="s">
        <v>306</v>
      </c>
      <c r="L284" s="633" t="s">
        <v>308</v>
      </c>
      <c r="M284" s="633" t="s">
        <v>5</v>
      </c>
      <c r="N284" s="633" t="s">
        <v>27</v>
      </c>
      <c r="O284" s="633">
        <v>173</v>
      </c>
      <c r="Q284" s="633">
        <v>41</v>
      </c>
      <c r="T284" s="594">
        <v>41736.707534722198</v>
      </c>
    </row>
    <row r="285" spans="1:20" x14ac:dyDescent="0.25">
      <c r="A285" s="633" t="s">
        <v>308</v>
      </c>
      <c r="B285" s="633">
        <v>9</v>
      </c>
      <c r="C285" s="633" t="s">
        <v>303</v>
      </c>
      <c r="D285" s="633" t="s">
        <v>304</v>
      </c>
      <c r="F285" s="633" t="s">
        <v>284</v>
      </c>
      <c r="G285" s="633" t="s">
        <v>584</v>
      </c>
      <c r="J285" s="633" t="s">
        <v>305</v>
      </c>
      <c r="K285" s="633" t="s">
        <v>306</v>
      </c>
      <c r="L285" s="633" t="s">
        <v>308</v>
      </c>
      <c r="M285" s="633" t="s">
        <v>6</v>
      </c>
      <c r="N285" s="633" t="s">
        <v>27</v>
      </c>
      <c r="O285" s="633">
        <v>322</v>
      </c>
      <c r="Q285" s="633">
        <v>41.65</v>
      </c>
      <c r="T285" s="594">
        <v>41736.707534722198</v>
      </c>
    </row>
    <row r="286" spans="1:20" x14ac:dyDescent="0.25">
      <c r="A286" s="633" t="s">
        <v>308</v>
      </c>
      <c r="B286" s="633">
        <v>9</v>
      </c>
      <c r="C286" s="633" t="s">
        <v>303</v>
      </c>
      <c r="D286" s="633" t="s">
        <v>304</v>
      </c>
      <c r="F286" s="633" t="s">
        <v>284</v>
      </c>
      <c r="G286" s="633" t="s">
        <v>584</v>
      </c>
      <c r="J286" s="633" t="s">
        <v>305</v>
      </c>
      <c r="K286" s="633" t="s">
        <v>306</v>
      </c>
      <c r="L286" s="633" t="s">
        <v>308</v>
      </c>
      <c r="M286" s="633" t="s">
        <v>7</v>
      </c>
      <c r="N286" s="633" t="s">
        <v>27</v>
      </c>
      <c r="O286" s="633">
        <v>230</v>
      </c>
      <c r="Q286" s="633">
        <v>32.799999999999997</v>
      </c>
      <c r="T286" s="594">
        <v>41736.707534722198</v>
      </c>
    </row>
    <row r="287" spans="1:20" x14ac:dyDescent="0.25">
      <c r="A287" s="633" t="s">
        <v>308</v>
      </c>
      <c r="B287" s="633">
        <v>9</v>
      </c>
      <c r="C287" s="633" t="s">
        <v>303</v>
      </c>
      <c r="D287" s="633" t="s">
        <v>304</v>
      </c>
      <c r="F287" s="633" t="s">
        <v>284</v>
      </c>
      <c r="G287" s="633" t="s">
        <v>584</v>
      </c>
      <c r="J287" s="633" t="s">
        <v>305</v>
      </c>
      <c r="K287" s="633" t="s">
        <v>306</v>
      </c>
      <c r="L287" s="633" t="s">
        <v>308</v>
      </c>
      <c r="M287" s="633" t="s">
        <v>8</v>
      </c>
      <c r="N287" s="633" t="s">
        <v>27</v>
      </c>
      <c r="O287" s="633">
        <v>160</v>
      </c>
      <c r="Q287" s="633">
        <v>5.8333333333333304</v>
      </c>
      <c r="T287" s="594">
        <v>41736.707534722198</v>
      </c>
    </row>
    <row r="288" spans="1:20" x14ac:dyDescent="0.25">
      <c r="A288" s="633" t="s">
        <v>308</v>
      </c>
      <c r="B288" s="633">
        <v>9</v>
      </c>
      <c r="C288" s="633" t="s">
        <v>303</v>
      </c>
      <c r="D288" s="633" t="s">
        <v>304</v>
      </c>
      <c r="F288" s="633" t="s">
        <v>284</v>
      </c>
      <c r="G288" s="633" t="s">
        <v>584</v>
      </c>
      <c r="J288" s="633" t="s">
        <v>305</v>
      </c>
      <c r="K288" s="633" t="s">
        <v>306</v>
      </c>
      <c r="L288" s="633" t="s">
        <v>308</v>
      </c>
      <c r="M288" s="633" t="s">
        <v>9</v>
      </c>
      <c r="N288" s="633" t="s">
        <v>27</v>
      </c>
      <c r="O288" s="633">
        <v>116</v>
      </c>
      <c r="Q288" s="633">
        <v>6.5</v>
      </c>
      <c r="T288" s="594">
        <v>41736.707534722198</v>
      </c>
    </row>
    <row r="289" spans="1:20" x14ac:dyDescent="0.25">
      <c r="A289" s="633" t="s">
        <v>308</v>
      </c>
      <c r="B289" s="633">
        <v>9</v>
      </c>
      <c r="C289" s="633" t="s">
        <v>303</v>
      </c>
      <c r="D289" s="633" t="s">
        <v>304</v>
      </c>
      <c r="F289" s="633" t="s">
        <v>284</v>
      </c>
      <c r="G289" s="633" t="s">
        <v>584</v>
      </c>
      <c r="J289" s="633" t="s">
        <v>305</v>
      </c>
      <c r="K289" s="633" t="s">
        <v>306</v>
      </c>
      <c r="L289" s="633" t="s">
        <v>308</v>
      </c>
      <c r="M289" s="633" t="s">
        <v>249</v>
      </c>
      <c r="N289" s="633" t="s">
        <v>26</v>
      </c>
      <c r="T289" s="594">
        <v>41736.707534722198</v>
      </c>
    </row>
    <row r="290" spans="1:20" x14ac:dyDescent="0.25">
      <c r="A290" s="633" t="s">
        <v>308</v>
      </c>
      <c r="B290" s="633">
        <v>9</v>
      </c>
      <c r="C290" s="633" t="s">
        <v>303</v>
      </c>
      <c r="D290" s="633" t="s">
        <v>304</v>
      </c>
      <c r="F290" s="633" t="s">
        <v>284</v>
      </c>
      <c r="G290" s="633" t="s">
        <v>584</v>
      </c>
      <c r="J290" s="633" t="s">
        <v>305</v>
      </c>
      <c r="K290" s="633" t="s">
        <v>306</v>
      </c>
      <c r="L290" s="633" t="s">
        <v>308</v>
      </c>
      <c r="M290" s="633" t="s">
        <v>244</v>
      </c>
      <c r="N290" s="633" t="s">
        <v>26</v>
      </c>
      <c r="T290" s="594">
        <v>41736.707534722198</v>
      </c>
    </row>
    <row r="291" spans="1:20" x14ac:dyDescent="0.25">
      <c r="A291" s="633" t="s">
        <v>308</v>
      </c>
      <c r="B291" s="633">
        <v>9</v>
      </c>
      <c r="C291" s="633" t="s">
        <v>303</v>
      </c>
      <c r="D291" s="633" t="s">
        <v>304</v>
      </c>
      <c r="F291" s="633" t="s">
        <v>284</v>
      </c>
      <c r="G291" s="633" t="s">
        <v>584</v>
      </c>
      <c r="J291" s="633" t="s">
        <v>305</v>
      </c>
      <c r="K291" s="633" t="s">
        <v>306</v>
      </c>
      <c r="L291" s="633" t="s">
        <v>308</v>
      </c>
      <c r="M291" s="633" t="s">
        <v>4</v>
      </c>
      <c r="N291" s="633" t="s">
        <v>26</v>
      </c>
      <c r="O291" s="633">
        <v>59</v>
      </c>
      <c r="Q291" s="633">
        <v>57.8</v>
      </c>
      <c r="T291" s="594">
        <v>41736.707534722198</v>
      </c>
    </row>
    <row r="292" spans="1:20" x14ac:dyDescent="0.25">
      <c r="A292" s="633" t="s">
        <v>308</v>
      </c>
      <c r="B292" s="633">
        <v>9</v>
      </c>
      <c r="C292" s="633" t="s">
        <v>303</v>
      </c>
      <c r="D292" s="633" t="s">
        <v>304</v>
      </c>
      <c r="F292" s="633" t="s">
        <v>284</v>
      </c>
      <c r="G292" s="633" t="s">
        <v>584</v>
      </c>
      <c r="J292" s="633" t="s">
        <v>305</v>
      </c>
      <c r="K292" s="633" t="s">
        <v>306</v>
      </c>
      <c r="L292" s="633" t="s">
        <v>308</v>
      </c>
      <c r="M292" s="633" t="s">
        <v>5</v>
      </c>
      <c r="N292" s="633" t="s">
        <v>26</v>
      </c>
      <c r="O292" s="633">
        <v>130</v>
      </c>
      <c r="Q292" s="633">
        <v>51.25</v>
      </c>
      <c r="T292" s="594">
        <v>41736.707534722198</v>
      </c>
    </row>
    <row r="293" spans="1:20" x14ac:dyDescent="0.25">
      <c r="A293" s="633" t="s">
        <v>308</v>
      </c>
      <c r="B293" s="633">
        <v>9</v>
      </c>
      <c r="C293" s="633" t="s">
        <v>303</v>
      </c>
      <c r="D293" s="633" t="s">
        <v>304</v>
      </c>
      <c r="F293" s="633" t="s">
        <v>284</v>
      </c>
      <c r="G293" s="633" t="s">
        <v>584</v>
      </c>
      <c r="J293" s="633" t="s">
        <v>305</v>
      </c>
      <c r="K293" s="633" t="s">
        <v>306</v>
      </c>
      <c r="L293" s="633" t="s">
        <v>308</v>
      </c>
      <c r="M293" s="633" t="s">
        <v>6</v>
      </c>
      <c r="N293" s="633" t="s">
        <v>26</v>
      </c>
      <c r="O293" s="633">
        <v>251</v>
      </c>
      <c r="Q293" s="633">
        <v>58.274999999999999</v>
      </c>
      <c r="T293" s="594">
        <v>41736.707534722198</v>
      </c>
    </row>
    <row r="294" spans="1:20" x14ac:dyDescent="0.25">
      <c r="A294" s="633" t="s">
        <v>308</v>
      </c>
      <c r="B294" s="633">
        <v>9</v>
      </c>
      <c r="C294" s="633" t="s">
        <v>303</v>
      </c>
      <c r="D294" s="633" t="s">
        <v>304</v>
      </c>
      <c r="F294" s="633" t="s">
        <v>284</v>
      </c>
      <c r="G294" s="633" t="s">
        <v>584</v>
      </c>
      <c r="J294" s="633" t="s">
        <v>305</v>
      </c>
      <c r="K294" s="633" t="s">
        <v>306</v>
      </c>
      <c r="L294" s="633" t="s">
        <v>308</v>
      </c>
      <c r="M294" s="633" t="s">
        <v>7</v>
      </c>
      <c r="N294" s="633" t="s">
        <v>26</v>
      </c>
      <c r="O294" s="633">
        <v>155</v>
      </c>
      <c r="Q294" s="633">
        <v>41</v>
      </c>
      <c r="T294" s="594">
        <v>41736.707534722198</v>
      </c>
    </row>
    <row r="295" spans="1:20" x14ac:dyDescent="0.25">
      <c r="A295" s="633" t="s">
        <v>308</v>
      </c>
      <c r="B295" s="633">
        <v>9</v>
      </c>
      <c r="C295" s="633" t="s">
        <v>303</v>
      </c>
      <c r="D295" s="633" t="s">
        <v>304</v>
      </c>
      <c r="F295" s="633" t="s">
        <v>284</v>
      </c>
      <c r="G295" s="633" t="s">
        <v>584</v>
      </c>
      <c r="J295" s="633" t="s">
        <v>305</v>
      </c>
      <c r="K295" s="633" t="s">
        <v>306</v>
      </c>
      <c r="L295" s="633" t="s">
        <v>308</v>
      </c>
      <c r="M295" s="633" t="s">
        <v>8</v>
      </c>
      <c r="N295" s="633" t="s">
        <v>26</v>
      </c>
      <c r="O295" s="633">
        <v>99</v>
      </c>
      <c r="Q295" s="633">
        <v>4.375</v>
      </c>
      <c r="T295" s="594">
        <v>41736.707534722198</v>
      </c>
    </row>
    <row r="296" spans="1:20" x14ac:dyDescent="0.25">
      <c r="A296" s="633" t="s">
        <v>308</v>
      </c>
      <c r="B296" s="633">
        <v>9</v>
      </c>
      <c r="C296" s="633" t="s">
        <v>303</v>
      </c>
      <c r="D296" s="633" t="s">
        <v>304</v>
      </c>
      <c r="F296" s="633" t="s">
        <v>284</v>
      </c>
      <c r="G296" s="633" t="s">
        <v>584</v>
      </c>
      <c r="J296" s="633" t="s">
        <v>305</v>
      </c>
      <c r="K296" s="633" t="s">
        <v>306</v>
      </c>
      <c r="L296" s="633" t="s">
        <v>308</v>
      </c>
      <c r="M296" s="633" t="s">
        <v>9</v>
      </c>
      <c r="N296" s="633" t="s">
        <v>26</v>
      </c>
      <c r="O296" s="633">
        <v>62</v>
      </c>
      <c r="Q296" s="633">
        <v>0</v>
      </c>
      <c r="T296" s="594">
        <v>41736.707534722198</v>
      </c>
    </row>
    <row r="297" spans="1:20" x14ac:dyDescent="0.25">
      <c r="A297" s="633" t="s">
        <v>308</v>
      </c>
      <c r="B297" s="633">
        <v>9</v>
      </c>
      <c r="C297" s="633" t="s">
        <v>303</v>
      </c>
      <c r="D297" s="633" t="s">
        <v>304</v>
      </c>
      <c r="F297" s="633" t="s">
        <v>284</v>
      </c>
      <c r="G297" s="633" t="s">
        <v>584</v>
      </c>
      <c r="J297" s="633" t="s">
        <v>305</v>
      </c>
      <c r="K297" s="633" t="s">
        <v>306</v>
      </c>
      <c r="L297" s="633" t="s">
        <v>309</v>
      </c>
      <c r="M297" s="633" t="s">
        <v>249</v>
      </c>
      <c r="N297" s="633" t="s">
        <v>27</v>
      </c>
      <c r="T297" s="594">
        <v>41736.707534722198</v>
      </c>
    </row>
    <row r="298" spans="1:20" x14ac:dyDescent="0.25">
      <c r="A298" s="633" t="s">
        <v>308</v>
      </c>
      <c r="B298" s="633">
        <v>9</v>
      </c>
      <c r="C298" s="633" t="s">
        <v>303</v>
      </c>
      <c r="D298" s="633" t="s">
        <v>304</v>
      </c>
      <c r="F298" s="633" t="s">
        <v>284</v>
      </c>
      <c r="G298" s="633" t="s">
        <v>584</v>
      </c>
      <c r="J298" s="633" t="s">
        <v>305</v>
      </c>
      <c r="K298" s="633" t="s">
        <v>306</v>
      </c>
      <c r="L298" s="633" t="s">
        <v>309</v>
      </c>
      <c r="M298" s="633" t="s">
        <v>244</v>
      </c>
      <c r="N298" s="633" t="s">
        <v>27</v>
      </c>
      <c r="T298" s="594">
        <v>41736.707534722198</v>
      </c>
    </row>
    <row r="299" spans="1:20" x14ac:dyDescent="0.25">
      <c r="A299" s="633" t="s">
        <v>308</v>
      </c>
      <c r="B299" s="633">
        <v>9</v>
      </c>
      <c r="C299" s="633" t="s">
        <v>303</v>
      </c>
      <c r="D299" s="633" t="s">
        <v>304</v>
      </c>
      <c r="F299" s="633" t="s">
        <v>284</v>
      </c>
      <c r="G299" s="633" t="s">
        <v>584</v>
      </c>
      <c r="J299" s="633" t="s">
        <v>305</v>
      </c>
      <c r="K299" s="633" t="s">
        <v>306</v>
      </c>
      <c r="L299" s="633" t="s">
        <v>309</v>
      </c>
      <c r="M299" s="633" t="s">
        <v>4</v>
      </c>
      <c r="N299" s="633" t="s">
        <v>27</v>
      </c>
      <c r="O299" s="633">
        <v>65</v>
      </c>
      <c r="Q299" s="633">
        <v>24.6</v>
      </c>
      <c r="T299" s="594">
        <v>41736.707534722198</v>
      </c>
    </row>
    <row r="300" spans="1:20" x14ac:dyDescent="0.25">
      <c r="A300" s="633" t="s">
        <v>308</v>
      </c>
      <c r="B300" s="633">
        <v>9</v>
      </c>
      <c r="C300" s="633" t="s">
        <v>303</v>
      </c>
      <c r="D300" s="633" t="s">
        <v>304</v>
      </c>
      <c r="F300" s="633" t="s">
        <v>284</v>
      </c>
      <c r="G300" s="633" t="s">
        <v>584</v>
      </c>
      <c r="J300" s="633" t="s">
        <v>305</v>
      </c>
      <c r="K300" s="633" t="s">
        <v>306</v>
      </c>
      <c r="L300" s="633" t="s">
        <v>309</v>
      </c>
      <c r="M300" s="633" t="s">
        <v>5</v>
      </c>
      <c r="N300" s="633" t="s">
        <v>27</v>
      </c>
      <c r="O300" s="633">
        <v>191</v>
      </c>
      <c r="Q300" s="633">
        <v>35.875</v>
      </c>
      <c r="T300" s="594">
        <v>41736.707534722198</v>
      </c>
    </row>
    <row r="301" spans="1:20" x14ac:dyDescent="0.25">
      <c r="A301" s="633" t="s">
        <v>308</v>
      </c>
      <c r="B301" s="633">
        <v>9</v>
      </c>
      <c r="C301" s="633" t="s">
        <v>303</v>
      </c>
      <c r="D301" s="633" t="s">
        <v>304</v>
      </c>
      <c r="F301" s="633" t="s">
        <v>284</v>
      </c>
      <c r="G301" s="633" t="s">
        <v>584</v>
      </c>
      <c r="J301" s="633" t="s">
        <v>305</v>
      </c>
      <c r="K301" s="633" t="s">
        <v>306</v>
      </c>
      <c r="L301" s="633" t="s">
        <v>309</v>
      </c>
      <c r="M301" s="633" t="s">
        <v>6</v>
      </c>
      <c r="N301" s="633" t="s">
        <v>27</v>
      </c>
      <c r="O301" s="633">
        <v>329</v>
      </c>
      <c r="Q301" s="633">
        <v>43.05</v>
      </c>
      <c r="T301" s="594">
        <v>41736.707534722198</v>
      </c>
    </row>
    <row r="302" spans="1:20" x14ac:dyDescent="0.25">
      <c r="A302" s="633" t="s">
        <v>308</v>
      </c>
      <c r="B302" s="633">
        <v>9</v>
      </c>
      <c r="C302" s="633" t="s">
        <v>303</v>
      </c>
      <c r="D302" s="633" t="s">
        <v>304</v>
      </c>
      <c r="F302" s="633" t="s">
        <v>284</v>
      </c>
      <c r="G302" s="633" t="s">
        <v>584</v>
      </c>
      <c r="J302" s="633" t="s">
        <v>305</v>
      </c>
      <c r="K302" s="633" t="s">
        <v>306</v>
      </c>
      <c r="L302" s="633" t="s">
        <v>309</v>
      </c>
      <c r="M302" s="633" t="s">
        <v>7</v>
      </c>
      <c r="N302" s="633" t="s">
        <v>27</v>
      </c>
      <c r="O302" s="633">
        <v>230</v>
      </c>
      <c r="Q302" s="633">
        <v>18</v>
      </c>
      <c r="T302" s="594">
        <v>41736.707534722198</v>
      </c>
    </row>
    <row r="303" spans="1:20" x14ac:dyDescent="0.25">
      <c r="A303" s="633" t="s">
        <v>308</v>
      </c>
      <c r="B303" s="633">
        <v>9</v>
      </c>
      <c r="C303" s="633" t="s">
        <v>303</v>
      </c>
      <c r="D303" s="633" t="s">
        <v>304</v>
      </c>
      <c r="F303" s="633" t="s">
        <v>284</v>
      </c>
      <c r="G303" s="633" t="s">
        <v>584</v>
      </c>
      <c r="J303" s="633" t="s">
        <v>305</v>
      </c>
      <c r="K303" s="633" t="s">
        <v>306</v>
      </c>
      <c r="L303" s="633" t="s">
        <v>309</v>
      </c>
      <c r="M303" s="633" t="s">
        <v>8</v>
      </c>
      <c r="N303" s="633" t="s">
        <v>27</v>
      </c>
      <c r="O303" s="633">
        <v>171</v>
      </c>
      <c r="Q303" s="633">
        <v>5</v>
      </c>
      <c r="T303" s="594">
        <v>41736.707534722198</v>
      </c>
    </row>
    <row r="304" spans="1:20" x14ac:dyDescent="0.25">
      <c r="A304" s="633" t="s">
        <v>308</v>
      </c>
      <c r="B304" s="633">
        <v>9</v>
      </c>
      <c r="C304" s="633" t="s">
        <v>303</v>
      </c>
      <c r="D304" s="633" t="s">
        <v>304</v>
      </c>
      <c r="F304" s="633" t="s">
        <v>284</v>
      </c>
      <c r="G304" s="633" t="s">
        <v>584</v>
      </c>
      <c r="J304" s="633" t="s">
        <v>305</v>
      </c>
      <c r="K304" s="633" t="s">
        <v>306</v>
      </c>
      <c r="L304" s="633" t="s">
        <v>309</v>
      </c>
      <c r="M304" s="633" t="s">
        <v>9</v>
      </c>
      <c r="N304" s="633" t="s">
        <v>27</v>
      </c>
      <c r="O304" s="633">
        <v>116</v>
      </c>
      <c r="Q304" s="633">
        <v>3.125</v>
      </c>
      <c r="T304" s="594">
        <v>41736.707534722198</v>
      </c>
    </row>
    <row r="305" spans="1:20" x14ac:dyDescent="0.25">
      <c r="A305" s="633" t="s">
        <v>308</v>
      </c>
      <c r="B305" s="633">
        <v>9</v>
      </c>
      <c r="C305" s="633" t="s">
        <v>303</v>
      </c>
      <c r="D305" s="633" t="s">
        <v>304</v>
      </c>
      <c r="F305" s="633" t="s">
        <v>284</v>
      </c>
      <c r="G305" s="633" t="s">
        <v>584</v>
      </c>
      <c r="J305" s="633" t="s">
        <v>305</v>
      </c>
      <c r="K305" s="633" t="s">
        <v>306</v>
      </c>
      <c r="L305" s="633" t="s">
        <v>309</v>
      </c>
      <c r="M305" s="633" t="s">
        <v>249</v>
      </c>
      <c r="N305" s="633" t="s">
        <v>26</v>
      </c>
      <c r="T305" s="594">
        <v>41736.707534722198</v>
      </c>
    </row>
    <row r="306" spans="1:20" x14ac:dyDescent="0.25">
      <c r="A306" s="633" t="s">
        <v>308</v>
      </c>
      <c r="B306" s="633">
        <v>9</v>
      </c>
      <c r="C306" s="633" t="s">
        <v>303</v>
      </c>
      <c r="D306" s="633" t="s">
        <v>304</v>
      </c>
      <c r="F306" s="633" t="s">
        <v>284</v>
      </c>
      <c r="G306" s="633" t="s">
        <v>584</v>
      </c>
      <c r="J306" s="633" t="s">
        <v>305</v>
      </c>
      <c r="K306" s="633" t="s">
        <v>306</v>
      </c>
      <c r="L306" s="633" t="s">
        <v>309</v>
      </c>
      <c r="M306" s="633" t="s">
        <v>244</v>
      </c>
      <c r="N306" s="633" t="s">
        <v>26</v>
      </c>
      <c r="T306" s="594">
        <v>41736.707534722198</v>
      </c>
    </row>
    <row r="307" spans="1:20" x14ac:dyDescent="0.25">
      <c r="A307" s="633" t="s">
        <v>308</v>
      </c>
      <c r="B307" s="633">
        <v>9</v>
      </c>
      <c r="C307" s="633" t="s">
        <v>303</v>
      </c>
      <c r="D307" s="633" t="s">
        <v>304</v>
      </c>
      <c r="F307" s="633" t="s">
        <v>284</v>
      </c>
      <c r="G307" s="633" t="s">
        <v>584</v>
      </c>
      <c r="J307" s="633" t="s">
        <v>305</v>
      </c>
      <c r="K307" s="633" t="s">
        <v>306</v>
      </c>
      <c r="L307" s="633" t="s">
        <v>309</v>
      </c>
      <c r="M307" s="633" t="s">
        <v>4</v>
      </c>
      <c r="N307" s="633" t="s">
        <v>26</v>
      </c>
      <c r="O307" s="633">
        <v>60</v>
      </c>
      <c r="Q307" s="633">
        <v>41</v>
      </c>
      <c r="T307" s="594">
        <v>41736.707534722198</v>
      </c>
    </row>
    <row r="308" spans="1:20" x14ac:dyDescent="0.25">
      <c r="A308" s="633" t="s">
        <v>308</v>
      </c>
      <c r="B308" s="633">
        <v>9</v>
      </c>
      <c r="C308" s="633" t="s">
        <v>303</v>
      </c>
      <c r="D308" s="633" t="s">
        <v>304</v>
      </c>
      <c r="F308" s="633" t="s">
        <v>284</v>
      </c>
      <c r="G308" s="633" t="s">
        <v>584</v>
      </c>
      <c r="J308" s="633" t="s">
        <v>305</v>
      </c>
      <c r="K308" s="633" t="s">
        <v>306</v>
      </c>
      <c r="L308" s="633" t="s">
        <v>309</v>
      </c>
      <c r="M308" s="633" t="s">
        <v>5</v>
      </c>
      <c r="N308" s="633" t="s">
        <v>26</v>
      </c>
      <c r="O308" s="633">
        <v>126</v>
      </c>
      <c r="Q308" s="633">
        <v>51.25</v>
      </c>
      <c r="T308" s="594">
        <v>41736.707534722198</v>
      </c>
    </row>
    <row r="309" spans="1:20" x14ac:dyDescent="0.25">
      <c r="A309" s="633" t="s">
        <v>308</v>
      </c>
      <c r="B309" s="633">
        <v>9</v>
      </c>
      <c r="C309" s="633" t="s">
        <v>303</v>
      </c>
      <c r="D309" s="633" t="s">
        <v>304</v>
      </c>
      <c r="F309" s="633" t="s">
        <v>284</v>
      </c>
      <c r="G309" s="633" t="s">
        <v>584</v>
      </c>
      <c r="J309" s="633" t="s">
        <v>305</v>
      </c>
      <c r="K309" s="633" t="s">
        <v>306</v>
      </c>
      <c r="L309" s="633" t="s">
        <v>309</v>
      </c>
      <c r="M309" s="633" t="s">
        <v>6</v>
      </c>
      <c r="N309" s="633" t="s">
        <v>26</v>
      </c>
      <c r="O309" s="633">
        <v>219</v>
      </c>
      <c r="Q309" s="633">
        <v>61.5</v>
      </c>
      <c r="T309" s="594">
        <v>41736.707534722198</v>
      </c>
    </row>
    <row r="310" spans="1:20" x14ac:dyDescent="0.25">
      <c r="A310" s="633" t="s">
        <v>308</v>
      </c>
      <c r="B310" s="633">
        <v>9</v>
      </c>
      <c r="C310" s="633" t="s">
        <v>303</v>
      </c>
      <c r="D310" s="633" t="s">
        <v>304</v>
      </c>
      <c r="F310" s="633" t="s">
        <v>284</v>
      </c>
      <c r="G310" s="633" t="s">
        <v>584</v>
      </c>
      <c r="J310" s="633" t="s">
        <v>305</v>
      </c>
      <c r="K310" s="633" t="s">
        <v>306</v>
      </c>
      <c r="L310" s="633" t="s">
        <v>309</v>
      </c>
      <c r="M310" s="633" t="s">
        <v>7</v>
      </c>
      <c r="N310" s="633" t="s">
        <v>26</v>
      </c>
      <c r="O310" s="633">
        <v>150</v>
      </c>
      <c r="Q310" s="633">
        <v>31.25</v>
      </c>
      <c r="T310" s="594">
        <v>41736.707534722198</v>
      </c>
    </row>
    <row r="311" spans="1:20" x14ac:dyDescent="0.25">
      <c r="A311" s="633" t="s">
        <v>308</v>
      </c>
      <c r="B311" s="633">
        <v>9</v>
      </c>
      <c r="C311" s="633" t="s">
        <v>303</v>
      </c>
      <c r="D311" s="633" t="s">
        <v>304</v>
      </c>
      <c r="F311" s="633" t="s">
        <v>284</v>
      </c>
      <c r="G311" s="633" t="s">
        <v>584</v>
      </c>
      <c r="J311" s="633" t="s">
        <v>305</v>
      </c>
      <c r="K311" s="633" t="s">
        <v>306</v>
      </c>
      <c r="L311" s="633" t="s">
        <v>309</v>
      </c>
      <c r="M311" s="633" t="s">
        <v>8</v>
      </c>
      <c r="N311" s="633" t="s">
        <v>26</v>
      </c>
      <c r="O311" s="633">
        <v>105</v>
      </c>
      <c r="Q311" s="633">
        <v>5</v>
      </c>
      <c r="T311" s="594">
        <v>41736.707534722198</v>
      </c>
    </row>
    <row r="312" spans="1:20" x14ac:dyDescent="0.25">
      <c r="A312" s="633" t="s">
        <v>308</v>
      </c>
      <c r="B312" s="633">
        <v>9</v>
      </c>
      <c r="C312" s="633" t="s">
        <v>303</v>
      </c>
      <c r="D312" s="633" t="s">
        <v>304</v>
      </c>
      <c r="F312" s="633" t="s">
        <v>284</v>
      </c>
      <c r="G312" s="633" t="s">
        <v>584</v>
      </c>
      <c r="J312" s="633" t="s">
        <v>305</v>
      </c>
      <c r="K312" s="633" t="s">
        <v>306</v>
      </c>
      <c r="L312" s="633" t="s">
        <v>309</v>
      </c>
      <c r="M312" s="633" t="s">
        <v>9</v>
      </c>
      <c r="N312" s="633" t="s">
        <v>26</v>
      </c>
      <c r="O312" s="633">
        <v>60</v>
      </c>
      <c r="Q312" s="633">
        <v>10</v>
      </c>
      <c r="T312" s="594">
        <v>41736.707534722198</v>
      </c>
    </row>
    <row r="313" spans="1:20" x14ac:dyDescent="0.25">
      <c r="A313" s="633" t="s">
        <v>308</v>
      </c>
      <c r="B313" s="633">
        <v>9</v>
      </c>
      <c r="C313" s="633" t="s">
        <v>303</v>
      </c>
      <c r="D313" s="633" t="s">
        <v>304</v>
      </c>
      <c r="F313" s="633" t="s">
        <v>284</v>
      </c>
      <c r="G313" s="633" t="s">
        <v>584</v>
      </c>
      <c r="J313" s="633" t="s">
        <v>305</v>
      </c>
      <c r="K313" s="633" t="s">
        <v>306</v>
      </c>
      <c r="L313" s="633" t="s">
        <v>310</v>
      </c>
      <c r="M313" s="633" t="s">
        <v>249</v>
      </c>
      <c r="N313" s="633" t="s">
        <v>27</v>
      </c>
      <c r="T313" s="594">
        <v>41736.707534722198</v>
      </c>
    </row>
    <row r="314" spans="1:20" x14ac:dyDescent="0.25">
      <c r="A314" s="633" t="s">
        <v>308</v>
      </c>
      <c r="B314" s="633">
        <v>9</v>
      </c>
      <c r="C314" s="633" t="s">
        <v>303</v>
      </c>
      <c r="D314" s="633" t="s">
        <v>304</v>
      </c>
      <c r="F314" s="633" t="s">
        <v>284</v>
      </c>
      <c r="G314" s="633" t="s">
        <v>584</v>
      </c>
      <c r="J314" s="633" t="s">
        <v>305</v>
      </c>
      <c r="K314" s="633" t="s">
        <v>306</v>
      </c>
      <c r="L314" s="633" t="s">
        <v>310</v>
      </c>
      <c r="M314" s="633" t="s">
        <v>244</v>
      </c>
      <c r="N314" s="633" t="s">
        <v>27</v>
      </c>
      <c r="T314" s="594">
        <v>41736.707534722198</v>
      </c>
    </row>
    <row r="315" spans="1:20" x14ac:dyDescent="0.25">
      <c r="A315" s="633" t="s">
        <v>308</v>
      </c>
      <c r="B315" s="633">
        <v>9</v>
      </c>
      <c r="C315" s="633" t="s">
        <v>303</v>
      </c>
      <c r="D315" s="633" t="s">
        <v>304</v>
      </c>
      <c r="F315" s="633" t="s">
        <v>284</v>
      </c>
      <c r="G315" s="633" t="s">
        <v>584</v>
      </c>
      <c r="J315" s="633" t="s">
        <v>305</v>
      </c>
      <c r="K315" s="633" t="s">
        <v>306</v>
      </c>
      <c r="L315" s="633" t="s">
        <v>310</v>
      </c>
      <c r="M315" s="633" t="s">
        <v>4</v>
      </c>
      <c r="N315" s="633" t="s">
        <v>27</v>
      </c>
      <c r="O315" s="633">
        <v>67</v>
      </c>
      <c r="Q315" s="633">
        <v>29.85</v>
      </c>
      <c r="T315" s="594">
        <v>41736.707534722198</v>
      </c>
    </row>
    <row r="316" spans="1:20" x14ac:dyDescent="0.25">
      <c r="A316" s="633" t="s">
        <v>308</v>
      </c>
      <c r="B316" s="633">
        <v>9</v>
      </c>
      <c r="C316" s="633" t="s">
        <v>303</v>
      </c>
      <c r="D316" s="633" t="s">
        <v>304</v>
      </c>
      <c r="F316" s="633" t="s">
        <v>284</v>
      </c>
      <c r="G316" s="633" t="s">
        <v>584</v>
      </c>
      <c r="J316" s="633" t="s">
        <v>305</v>
      </c>
      <c r="K316" s="633" t="s">
        <v>306</v>
      </c>
      <c r="L316" s="633" t="s">
        <v>310</v>
      </c>
      <c r="M316" s="633" t="s">
        <v>5</v>
      </c>
      <c r="N316" s="633" t="s">
        <v>27</v>
      </c>
      <c r="O316" s="633">
        <v>170</v>
      </c>
      <c r="Q316" s="633">
        <v>38.85</v>
      </c>
      <c r="T316" s="594">
        <v>41736.707534722198</v>
      </c>
    </row>
    <row r="317" spans="1:20" x14ac:dyDescent="0.25">
      <c r="A317" s="633" t="s">
        <v>308</v>
      </c>
      <c r="B317" s="633">
        <v>9</v>
      </c>
      <c r="C317" s="633" t="s">
        <v>303</v>
      </c>
      <c r="D317" s="633" t="s">
        <v>304</v>
      </c>
      <c r="F317" s="633" t="s">
        <v>284</v>
      </c>
      <c r="G317" s="633" t="s">
        <v>584</v>
      </c>
      <c r="J317" s="633" t="s">
        <v>305</v>
      </c>
      <c r="K317" s="633" t="s">
        <v>306</v>
      </c>
      <c r="L317" s="633" t="s">
        <v>310</v>
      </c>
      <c r="M317" s="633" t="s">
        <v>6</v>
      </c>
      <c r="N317" s="633" t="s">
        <v>27</v>
      </c>
      <c r="O317" s="633">
        <v>320</v>
      </c>
      <c r="Q317" s="633">
        <v>46.066666666666698</v>
      </c>
      <c r="T317" s="594">
        <v>41736.707534722198</v>
      </c>
    </row>
    <row r="318" spans="1:20" x14ac:dyDescent="0.25">
      <c r="A318" s="633" t="s">
        <v>308</v>
      </c>
      <c r="B318" s="633">
        <v>9</v>
      </c>
      <c r="C318" s="633" t="s">
        <v>303</v>
      </c>
      <c r="D318" s="633" t="s">
        <v>304</v>
      </c>
      <c r="F318" s="633" t="s">
        <v>284</v>
      </c>
      <c r="G318" s="633" t="s">
        <v>584</v>
      </c>
      <c r="J318" s="633" t="s">
        <v>305</v>
      </c>
      <c r="K318" s="633" t="s">
        <v>306</v>
      </c>
      <c r="L318" s="633" t="s">
        <v>310</v>
      </c>
      <c r="M318" s="633" t="s">
        <v>7</v>
      </c>
      <c r="N318" s="633" t="s">
        <v>27</v>
      </c>
      <c r="O318" s="633">
        <v>229</v>
      </c>
      <c r="Q318" s="633">
        <v>31.75</v>
      </c>
      <c r="T318" s="594">
        <v>41736.707534722198</v>
      </c>
    </row>
    <row r="319" spans="1:20" x14ac:dyDescent="0.25">
      <c r="A319" s="633" t="s">
        <v>308</v>
      </c>
      <c r="B319" s="633">
        <v>9</v>
      </c>
      <c r="C319" s="633" t="s">
        <v>303</v>
      </c>
      <c r="D319" s="633" t="s">
        <v>304</v>
      </c>
      <c r="F319" s="633" t="s">
        <v>284</v>
      </c>
      <c r="G319" s="633" t="s">
        <v>584</v>
      </c>
      <c r="J319" s="633" t="s">
        <v>305</v>
      </c>
      <c r="K319" s="633" t="s">
        <v>306</v>
      </c>
      <c r="L319" s="633" t="s">
        <v>310</v>
      </c>
      <c r="M319" s="633" t="s">
        <v>8</v>
      </c>
      <c r="N319" s="633" t="s">
        <v>27</v>
      </c>
      <c r="O319" s="633">
        <v>147</v>
      </c>
      <c r="Q319" s="633">
        <v>2.5</v>
      </c>
      <c r="T319" s="594">
        <v>41736.707534722198</v>
      </c>
    </row>
    <row r="320" spans="1:20" x14ac:dyDescent="0.25">
      <c r="A320" s="633" t="s">
        <v>308</v>
      </c>
      <c r="B320" s="633">
        <v>9</v>
      </c>
      <c r="C320" s="633" t="s">
        <v>303</v>
      </c>
      <c r="D320" s="633" t="s">
        <v>304</v>
      </c>
      <c r="F320" s="633" t="s">
        <v>284</v>
      </c>
      <c r="G320" s="633" t="s">
        <v>584</v>
      </c>
      <c r="J320" s="633" t="s">
        <v>305</v>
      </c>
      <c r="K320" s="633" t="s">
        <v>306</v>
      </c>
      <c r="L320" s="633" t="s">
        <v>310</v>
      </c>
      <c r="M320" s="633" t="s">
        <v>9</v>
      </c>
      <c r="N320" s="633" t="s">
        <v>27</v>
      </c>
      <c r="O320" s="633">
        <v>120</v>
      </c>
      <c r="Q320" s="633">
        <v>0.83333333333333304</v>
      </c>
      <c r="T320" s="594">
        <v>41736.707534722198</v>
      </c>
    </row>
    <row r="321" spans="1:20" x14ac:dyDescent="0.25">
      <c r="A321" s="633" t="s">
        <v>308</v>
      </c>
      <c r="B321" s="633">
        <v>9</v>
      </c>
      <c r="C321" s="633" t="s">
        <v>303</v>
      </c>
      <c r="D321" s="633" t="s">
        <v>304</v>
      </c>
      <c r="F321" s="633" t="s">
        <v>284</v>
      </c>
      <c r="G321" s="633" t="s">
        <v>584</v>
      </c>
      <c r="J321" s="633" t="s">
        <v>305</v>
      </c>
      <c r="K321" s="633" t="s">
        <v>306</v>
      </c>
      <c r="L321" s="633" t="s">
        <v>310</v>
      </c>
      <c r="M321" s="633" t="s">
        <v>249</v>
      </c>
      <c r="N321" s="633" t="s">
        <v>26</v>
      </c>
      <c r="T321" s="594">
        <v>41736.707534722198</v>
      </c>
    </row>
    <row r="322" spans="1:20" x14ac:dyDescent="0.25">
      <c r="A322" s="633" t="s">
        <v>308</v>
      </c>
      <c r="B322" s="633">
        <v>9</v>
      </c>
      <c r="C322" s="633" t="s">
        <v>303</v>
      </c>
      <c r="D322" s="633" t="s">
        <v>304</v>
      </c>
      <c r="F322" s="633" t="s">
        <v>284</v>
      </c>
      <c r="G322" s="633" t="s">
        <v>584</v>
      </c>
      <c r="J322" s="633" t="s">
        <v>305</v>
      </c>
      <c r="K322" s="633" t="s">
        <v>306</v>
      </c>
      <c r="L322" s="633" t="s">
        <v>310</v>
      </c>
      <c r="M322" s="633" t="s">
        <v>244</v>
      </c>
      <c r="N322" s="633" t="s">
        <v>26</v>
      </c>
      <c r="T322" s="594">
        <v>41736.707534722198</v>
      </c>
    </row>
    <row r="323" spans="1:20" x14ac:dyDescent="0.25">
      <c r="A323" s="633" t="s">
        <v>308</v>
      </c>
      <c r="B323" s="633">
        <v>9</v>
      </c>
      <c r="C323" s="633" t="s">
        <v>303</v>
      </c>
      <c r="D323" s="633" t="s">
        <v>304</v>
      </c>
      <c r="F323" s="633" t="s">
        <v>284</v>
      </c>
      <c r="G323" s="633" t="s">
        <v>584</v>
      </c>
      <c r="J323" s="633" t="s">
        <v>305</v>
      </c>
      <c r="K323" s="633" t="s">
        <v>306</v>
      </c>
      <c r="L323" s="633" t="s">
        <v>310</v>
      </c>
      <c r="M323" s="633" t="s">
        <v>4</v>
      </c>
      <c r="N323" s="633" t="s">
        <v>26</v>
      </c>
      <c r="O323" s="633">
        <v>71</v>
      </c>
      <c r="Q323" s="633">
        <v>45.5</v>
      </c>
      <c r="T323" s="594">
        <v>41736.707534722198</v>
      </c>
    </row>
    <row r="324" spans="1:20" x14ac:dyDescent="0.25">
      <c r="A324" s="633" t="s">
        <v>308</v>
      </c>
      <c r="B324" s="633">
        <v>9</v>
      </c>
      <c r="C324" s="633" t="s">
        <v>303</v>
      </c>
      <c r="D324" s="633" t="s">
        <v>304</v>
      </c>
      <c r="F324" s="633" t="s">
        <v>284</v>
      </c>
      <c r="G324" s="633" t="s">
        <v>584</v>
      </c>
      <c r="J324" s="633" t="s">
        <v>305</v>
      </c>
      <c r="K324" s="633" t="s">
        <v>306</v>
      </c>
      <c r="L324" s="633" t="s">
        <v>310</v>
      </c>
      <c r="M324" s="633" t="s">
        <v>5</v>
      </c>
      <c r="N324" s="633" t="s">
        <v>26</v>
      </c>
      <c r="O324" s="633">
        <v>140</v>
      </c>
      <c r="Q324" s="633">
        <v>64.75</v>
      </c>
      <c r="T324" s="594">
        <v>41736.707534722198</v>
      </c>
    </row>
    <row r="325" spans="1:20" x14ac:dyDescent="0.25">
      <c r="A325" s="633" t="s">
        <v>308</v>
      </c>
      <c r="B325" s="633">
        <v>9</v>
      </c>
      <c r="C325" s="633" t="s">
        <v>303</v>
      </c>
      <c r="D325" s="633" t="s">
        <v>304</v>
      </c>
      <c r="F325" s="633" t="s">
        <v>284</v>
      </c>
      <c r="G325" s="633" t="s">
        <v>584</v>
      </c>
      <c r="J325" s="633" t="s">
        <v>305</v>
      </c>
      <c r="K325" s="633" t="s">
        <v>306</v>
      </c>
      <c r="L325" s="633" t="s">
        <v>310</v>
      </c>
      <c r="M325" s="633" t="s">
        <v>6</v>
      </c>
      <c r="N325" s="633" t="s">
        <v>26</v>
      </c>
      <c r="O325" s="633">
        <v>265</v>
      </c>
      <c r="Q325" s="633">
        <v>53.725000000000001</v>
      </c>
      <c r="T325" s="594">
        <v>41736.707534722198</v>
      </c>
    </row>
    <row r="326" spans="1:20" x14ac:dyDescent="0.25">
      <c r="A326" s="633" t="s">
        <v>308</v>
      </c>
      <c r="B326" s="633">
        <v>9</v>
      </c>
      <c r="C326" s="633" t="s">
        <v>303</v>
      </c>
      <c r="D326" s="633" t="s">
        <v>304</v>
      </c>
      <c r="F326" s="633" t="s">
        <v>284</v>
      </c>
      <c r="G326" s="633" t="s">
        <v>584</v>
      </c>
      <c r="J326" s="633" t="s">
        <v>305</v>
      </c>
      <c r="K326" s="633" t="s">
        <v>306</v>
      </c>
      <c r="L326" s="633" t="s">
        <v>310</v>
      </c>
      <c r="M326" s="633" t="s">
        <v>7</v>
      </c>
      <c r="N326" s="633" t="s">
        <v>26</v>
      </c>
      <c r="O326" s="633">
        <v>160</v>
      </c>
      <c r="Q326" s="633">
        <v>44.0833333333333</v>
      </c>
      <c r="T326" s="594">
        <v>41736.707534722198</v>
      </c>
    </row>
    <row r="327" spans="1:20" x14ac:dyDescent="0.25">
      <c r="A327" s="633" t="s">
        <v>308</v>
      </c>
      <c r="B327" s="633">
        <v>9</v>
      </c>
      <c r="C327" s="633" t="s">
        <v>303</v>
      </c>
      <c r="D327" s="633" t="s">
        <v>304</v>
      </c>
      <c r="F327" s="633" t="s">
        <v>284</v>
      </c>
      <c r="G327" s="633" t="s">
        <v>584</v>
      </c>
      <c r="J327" s="633" t="s">
        <v>305</v>
      </c>
      <c r="K327" s="633" t="s">
        <v>306</v>
      </c>
      <c r="L327" s="633" t="s">
        <v>310</v>
      </c>
      <c r="M327" s="633" t="s">
        <v>8</v>
      </c>
      <c r="N327" s="633" t="s">
        <v>26</v>
      </c>
      <c r="O327" s="633">
        <v>84</v>
      </c>
      <c r="Q327" s="633">
        <v>8.3333333333333304</v>
      </c>
      <c r="T327" s="594">
        <v>41736.707534722198</v>
      </c>
    </row>
    <row r="328" spans="1:20" x14ac:dyDescent="0.25">
      <c r="A328" s="633" t="s">
        <v>308</v>
      </c>
      <c r="B328" s="633">
        <v>9</v>
      </c>
      <c r="C328" s="633" t="s">
        <v>303</v>
      </c>
      <c r="D328" s="633" t="s">
        <v>304</v>
      </c>
      <c r="F328" s="633" t="s">
        <v>284</v>
      </c>
      <c r="G328" s="633" t="s">
        <v>584</v>
      </c>
      <c r="J328" s="633" t="s">
        <v>305</v>
      </c>
      <c r="K328" s="633" t="s">
        <v>306</v>
      </c>
      <c r="L328" s="633" t="s">
        <v>310</v>
      </c>
      <c r="M328" s="633" t="s">
        <v>9</v>
      </c>
      <c r="N328" s="633" t="s">
        <v>26</v>
      </c>
      <c r="O328" s="633">
        <v>63</v>
      </c>
      <c r="Q328" s="633">
        <v>3.75</v>
      </c>
      <c r="T328" s="594">
        <v>41736.707534722198</v>
      </c>
    </row>
    <row r="329" spans="1:20" x14ac:dyDescent="0.25">
      <c r="A329" s="633" t="s">
        <v>308</v>
      </c>
      <c r="B329" s="633">
        <v>9</v>
      </c>
      <c r="C329" s="633" t="s">
        <v>303</v>
      </c>
      <c r="D329" s="633" t="s">
        <v>304</v>
      </c>
      <c r="F329" s="633" t="s">
        <v>284</v>
      </c>
      <c r="G329" s="633" t="s">
        <v>584</v>
      </c>
      <c r="J329" s="633" t="s">
        <v>305</v>
      </c>
      <c r="K329" s="633" t="s">
        <v>306</v>
      </c>
      <c r="L329" s="633" t="s">
        <v>311</v>
      </c>
      <c r="M329" s="633" t="s">
        <v>249</v>
      </c>
      <c r="N329" s="633" t="s">
        <v>27</v>
      </c>
      <c r="T329" s="594">
        <v>41736.707534722198</v>
      </c>
    </row>
    <row r="330" spans="1:20" x14ac:dyDescent="0.25">
      <c r="A330" s="633" t="s">
        <v>308</v>
      </c>
      <c r="B330" s="633">
        <v>9</v>
      </c>
      <c r="C330" s="633" t="s">
        <v>303</v>
      </c>
      <c r="D330" s="633" t="s">
        <v>304</v>
      </c>
      <c r="F330" s="633" t="s">
        <v>284</v>
      </c>
      <c r="G330" s="633" t="s">
        <v>584</v>
      </c>
      <c r="J330" s="633" t="s">
        <v>305</v>
      </c>
      <c r="K330" s="633" t="s">
        <v>306</v>
      </c>
      <c r="L330" s="633" t="s">
        <v>311</v>
      </c>
      <c r="M330" s="633" t="s">
        <v>244</v>
      </c>
      <c r="N330" s="633" t="s">
        <v>27</v>
      </c>
      <c r="T330" s="594">
        <v>41736.707534722198</v>
      </c>
    </row>
    <row r="331" spans="1:20" x14ac:dyDescent="0.25">
      <c r="A331" s="633" t="s">
        <v>308</v>
      </c>
      <c r="B331" s="633">
        <v>9</v>
      </c>
      <c r="C331" s="633" t="s">
        <v>303</v>
      </c>
      <c r="D331" s="633" t="s">
        <v>304</v>
      </c>
      <c r="F331" s="633" t="s">
        <v>284</v>
      </c>
      <c r="G331" s="633" t="s">
        <v>584</v>
      </c>
      <c r="J331" s="633" t="s">
        <v>305</v>
      </c>
      <c r="K331" s="633" t="s">
        <v>306</v>
      </c>
      <c r="L331" s="633" t="s">
        <v>311</v>
      </c>
      <c r="M331" s="633" t="s">
        <v>4</v>
      </c>
      <c r="N331" s="633" t="s">
        <v>27</v>
      </c>
      <c r="O331" s="633">
        <v>55</v>
      </c>
      <c r="Q331" s="633">
        <v>30.4</v>
      </c>
      <c r="T331" s="594">
        <v>41736.707534722198</v>
      </c>
    </row>
    <row r="332" spans="1:20" x14ac:dyDescent="0.25">
      <c r="A332" s="633" t="s">
        <v>308</v>
      </c>
      <c r="B332" s="633">
        <v>9</v>
      </c>
      <c r="C332" s="633" t="s">
        <v>303</v>
      </c>
      <c r="D332" s="633" t="s">
        <v>304</v>
      </c>
      <c r="F332" s="633" t="s">
        <v>284</v>
      </c>
      <c r="G332" s="633" t="s">
        <v>584</v>
      </c>
      <c r="J332" s="633" t="s">
        <v>305</v>
      </c>
      <c r="K332" s="633" t="s">
        <v>306</v>
      </c>
      <c r="L332" s="633" t="s">
        <v>311</v>
      </c>
      <c r="M332" s="633" t="s">
        <v>5</v>
      </c>
      <c r="N332" s="633" t="s">
        <v>27</v>
      </c>
      <c r="O332" s="633">
        <v>141</v>
      </c>
      <c r="Q332" s="633">
        <v>41</v>
      </c>
      <c r="T332" s="594">
        <v>41736.707534722198</v>
      </c>
    </row>
    <row r="333" spans="1:20" x14ac:dyDescent="0.25">
      <c r="A333" s="633" t="s">
        <v>308</v>
      </c>
      <c r="B333" s="633">
        <v>9</v>
      </c>
      <c r="C333" s="633" t="s">
        <v>303</v>
      </c>
      <c r="D333" s="633" t="s">
        <v>304</v>
      </c>
      <c r="F333" s="633" t="s">
        <v>284</v>
      </c>
      <c r="G333" s="633" t="s">
        <v>584</v>
      </c>
      <c r="J333" s="633" t="s">
        <v>305</v>
      </c>
      <c r="K333" s="633" t="s">
        <v>306</v>
      </c>
      <c r="L333" s="633" t="s">
        <v>311</v>
      </c>
      <c r="M333" s="633" t="s">
        <v>6</v>
      </c>
      <c r="N333" s="633" t="s">
        <v>27</v>
      </c>
      <c r="O333" s="633">
        <v>334</v>
      </c>
      <c r="Q333" s="633">
        <v>41</v>
      </c>
      <c r="T333" s="594">
        <v>41736.707534722198</v>
      </c>
    </row>
    <row r="334" spans="1:20" x14ac:dyDescent="0.25">
      <c r="A334" s="633" t="s">
        <v>308</v>
      </c>
      <c r="B334" s="633">
        <v>9</v>
      </c>
      <c r="C334" s="633" t="s">
        <v>303</v>
      </c>
      <c r="D334" s="633" t="s">
        <v>304</v>
      </c>
      <c r="F334" s="633" t="s">
        <v>284</v>
      </c>
      <c r="G334" s="633" t="s">
        <v>584</v>
      </c>
      <c r="J334" s="633" t="s">
        <v>305</v>
      </c>
      <c r="K334" s="633" t="s">
        <v>306</v>
      </c>
      <c r="L334" s="633" t="s">
        <v>311</v>
      </c>
      <c r="M334" s="633" t="s">
        <v>7</v>
      </c>
      <c r="N334" s="633" t="s">
        <v>27</v>
      </c>
      <c r="O334" s="633">
        <v>223</v>
      </c>
      <c r="Q334" s="633">
        <v>20.5</v>
      </c>
      <c r="T334" s="594">
        <v>41736.707534722198</v>
      </c>
    </row>
    <row r="335" spans="1:20" x14ac:dyDescent="0.25">
      <c r="A335" s="633" t="s">
        <v>308</v>
      </c>
      <c r="B335" s="633">
        <v>9</v>
      </c>
      <c r="C335" s="633" t="s">
        <v>303</v>
      </c>
      <c r="D335" s="633" t="s">
        <v>304</v>
      </c>
      <c r="F335" s="633" t="s">
        <v>284</v>
      </c>
      <c r="G335" s="633" t="s">
        <v>584</v>
      </c>
      <c r="J335" s="633" t="s">
        <v>305</v>
      </c>
      <c r="K335" s="633" t="s">
        <v>306</v>
      </c>
      <c r="L335" s="633" t="s">
        <v>311</v>
      </c>
      <c r="M335" s="633" t="s">
        <v>8</v>
      </c>
      <c r="N335" s="633" t="s">
        <v>27</v>
      </c>
      <c r="O335" s="633">
        <v>115</v>
      </c>
      <c r="Q335" s="633">
        <v>3.75</v>
      </c>
      <c r="T335" s="594">
        <v>41736.707534722198</v>
      </c>
    </row>
    <row r="336" spans="1:20" x14ac:dyDescent="0.25">
      <c r="A336" s="633" t="s">
        <v>308</v>
      </c>
      <c r="B336" s="633">
        <v>9</v>
      </c>
      <c r="C336" s="633" t="s">
        <v>303</v>
      </c>
      <c r="D336" s="633" t="s">
        <v>304</v>
      </c>
      <c r="F336" s="633" t="s">
        <v>284</v>
      </c>
      <c r="G336" s="633" t="s">
        <v>584</v>
      </c>
      <c r="J336" s="633" t="s">
        <v>305</v>
      </c>
      <c r="K336" s="633" t="s">
        <v>306</v>
      </c>
      <c r="L336" s="633" t="s">
        <v>311</v>
      </c>
      <c r="M336" s="633" t="s">
        <v>9</v>
      </c>
      <c r="N336" s="633" t="s">
        <v>27</v>
      </c>
      <c r="Q336" s="633">
        <v>0</v>
      </c>
      <c r="T336" s="594">
        <v>41736.707534722198</v>
      </c>
    </row>
    <row r="337" spans="1:20" x14ac:dyDescent="0.25">
      <c r="A337" s="633" t="s">
        <v>308</v>
      </c>
      <c r="B337" s="633">
        <v>9</v>
      </c>
      <c r="C337" s="633" t="s">
        <v>303</v>
      </c>
      <c r="D337" s="633" t="s">
        <v>304</v>
      </c>
      <c r="F337" s="633" t="s">
        <v>284</v>
      </c>
      <c r="G337" s="633" t="s">
        <v>584</v>
      </c>
      <c r="J337" s="633" t="s">
        <v>305</v>
      </c>
      <c r="K337" s="633" t="s">
        <v>306</v>
      </c>
      <c r="L337" s="633" t="s">
        <v>311</v>
      </c>
      <c r="M337" s="633" t="s">
        <v>249</v>
      </c>
      <c r="N337" s="633" t="s">
        <v>26</v>
      </c>
      <c r="T337" s="594">
        <v>41736.707534722198</v>
      </c>
    </row>
    <row r="338" spans="1:20" x14ac:dyDescent="0.25">
      <c r="A338" s="633" t="s">
        <v>308</v>
      </c>
      <c r="B338" s="633">
        <v>9</v>
      </c>
      <c r="C338" s="633" t="s">
        <v>303</v>
      </c>
      <c r="D338" s="633" t="s">
        <v>304</v>
      </c>
      <c r="F338" s="633" t="s">
        <v>284</v>
      </c>
      <c r="G338" s="633" t="s">
        <v>584</v>
      </c>
      <c r="J338" s="633" t="s">
        <v>305</v>
      </c>
      <c r="K338" s="633" t="s">
        <v>306</v>
      </c>
      <c r="L338" s="633" t="s">
        <v>311</v>
      </c>
      <c r="M338" s="633" t="s">
        <v>244</v>
      </c>
      <c r="N338" s="633" t="s">
        <v>26</v>
      </c>
      <c r="T338" s="594">
        <v>41736.707534722198</v>
      </c>
    </row>
    <row r="339" spans="1:20" x14ac:dyDescent="0.25">
      <c r="A339" s="633" t="s">
        <v>308</v>
      </c>
      <c r="B339" s="633">
        <v>9</v>
      </c>
      <c r="C339" s="633" t="s">
        <v>303</v>
      </c>
      <c r="D339" s="633" t="s">
        <v>304</v>
      </c>
      <c r="F339" s="633" t="s">
        <v>284</v>
      </c>
      <c r="G339" s="633" t="s">
        <v>584</v>
      </c>
      <c r="J339" s="633" t="s">
        <v>305</v>
      </c>
      <c r="K339" s="633" t="s">
        <v>306</v>
      </c>
      <c r="L339" s="633" t="s">
        <v>311</v>
      </c>
      <c r="M339" s="633" t="s">
        <v>4</v>
      </c>
      <c r="N339" s="633" t="s">
        <v>26</v>
      </c>
      <c r="O339" s="633">
        <v>60</v>
      </c>
      <c r="Q339" s="633">
        <v>37.924999999999997</v>
      </c>
      <c r="T339" s="594">
        <v>41736.707534722198</v>
      </c>
    </row>
    <row r="340" spans="1:20" x14ac:dyDescent="0.25">
      <c r="A340" s="633" t="s">
        <v>308</v>
      </c>
      <c r="B340" s="633">
        <v>9</v>
      </c>
      <c r="C340" s="633" t="s">
        <v>303</v>
      </c>
      <c r="D340" s="633" t="s">
        <v>304</v>
      </c>
      <c r="F340" s="633" t="s">
        <v>284</v>
      </c>
      <c r="G340" s="633" t="s">
        <v>584</v>
      </c>
      <c r="J340" s="633" t="s">
        <v>305</v>
      </c>
      <c r="K340" s="633" t="s">
        <v>306</v>
      </c>
      <c r="L340" s="633" t="s">
        <v>311</v>
      </c>
      <c r="M340" s="633" t="s">
        <v>5</v>
      </c>
      <c r="N340" s="633" t="s">
        <v>26</v>
      </c>
      <c r="O340" s="633">
        <v>123</v>
      </c>
      <c r="Q340" s="633">
        <v>46.125</v>
      </c>
      <c r="T340" s="594">
        <v>41736.707534722198</v>
      </c>
    </row>
    <row r="341" spans="1:20" x14ac:dyDescent="0.25">
      <c r="A341" s="633" t="s">
        <v>308</v>
      </c>
      <c r="B341" s="633">
        <v>9</v>
      </c>
      <c r="C341" s="633" t="s">
        <v>303</v>
      </c>
      <c r="D341" s="633" t="s">
        <v>304</v>
      </c>
      <c r="F341" s="633" t="s">
        <v>284</v>
      </c>
      <c r="G341" s="633" t="s">
        <v>584</v>
      </c>
      <c r="J341" s="633" t="s">
        <v>305</v>
      </c>
      <c r="K341" s="633" t="s">
        <v>306</v>
      </c>
      <c r="L341" s="633" t="s">
        <v>311</v>
      </c>
      <c r="M341" s="633" t="s">
        <v>6</v>
      </c>
      <c r="N341" s="633" t="s">
        <v>26</v>
      </c>
      <c r="O341" s="633">
        <v>240</v>
      </c>
      <c r="Q341" s="633">
        <v>52.2</v>
      </c>
      <c r="T341" s="594">
        <v>41736.707534722198</v>
      </c>
    </row>
    <row r="342" spans="1:20" x14ac:dyDescent="0.25">
      <c r="A342" s="633" t="s">
        <v>308</v>
      </c>
      <c r="B342" s="633">
        <v>9</v>
      </c>
      <c r="C342" s="633" t="s">
        <v>303</v>
      </c>
      <c r="D342" s="633" t="s">
        <v>304</v>
      </c>
      <c r="F342" s="633" t="s">
        <v>284</v>
      </c>
      <c r="G342" s="633" t="s">
        <v>584</v>
      </c>
      <c r="J342" s="633" t="s">
        <v>305</v>
      </c>
      <c r="K342" s="633" t="s">
        <v>306</v>
      </c>
      <c r="L342" s="633" t="s">
        <v>311</v>
      </c>
      <c r="M342" s="633" t="s">
        <v>7</v>
      </c>
      <c r="N342" s="633" t="s">
        <v>26</v>
      </c>
      <c r="O342" s="633">
        <v>154</v>
      </c>
      <c r="Q342" s="633">
        <v>42.5</v>
      </c>
      <c r="T342" s="594">
        <v>41736.707534722198</v>
      </c>
    </row>
    <row r="343" spans="1:20" x14ac:dyDescent="0.25">
      <c r="A343" s="633" t="s">
        <v>308</v>
      </c>
      <c r="B343" s="633">
        <v>9</v>
      </c>
      <c r="C343" s="633" t="s">
        <v>303</v>
      </c>
      <c r="D343" s="633" t="s">
        <v>304</v>
      </c>
      <c r="F343" s="633" t="s">
        <v>284</v>
      </c>
      <c r="G343" s="633" t="s">
        <v>584</v>
      </c>
      <c r="J343" s="633" t="s">
        <v>305</v>
      </c>
      <c r="K343" s="633" t="s">
        <v>306</v>
      </c>
      <c r="L343" s="633" t="s">
        <v>311</v>
      </c>
      <c r="M343" s="633" t="s">
        <v>8</v>
      </c>
      <c r="N343" s="633" t="s">
        <v>26</v>
      </c>
      <c r="O343" s="633">
        <v>97</v>
      </c>
      <c r="Q343" s="633">
        <v>3.75</v>
      </c>
      <c r="T343" s="594">
        <v>41736.707534722198</v>
      </c>
    </row>
    <row r="344" spans="1:20" x14ac:dyDescent="0.25">
      <c r="A344" s="633" t="s">
        <v>308</v>
      </c>
      <c r="B344" s="633">
        <v>9</v>
      </c>
      <c r="C344" s="633" t="s">
        <v>303</v>
      </c>
      <c r="D344" s="633" t="s">
        <v>304</v>
      </c>
      <c r="F344" s="633" t="s">
        <v>284</v>
      </c>
      <c r="G344" s="633" t="s">
        <v>584</v>
      </c>
      <c r="J344" s="633" t="s">
        <v>305</v>
      </c>
      <c r="K344" s="633" t="s">
        <v>306</v>
      </c>
      <c r="L344" s="633" t="s">
        <v>311</v>
      </c>
      <c r="M344" s="633" t="s">
        <v>9</v>
      </c>
      <c r="N344" s="633" t="s">
        <v>26</v>
      </c>
      <c r="O344" s="633">
        <v>9</v>
      </c>
      <c r="Q344" s="633">
        <v>5.2083333333333304</v>
      </c>
      <c r="T344" s="594">
        <v>41736.707534722198</v>
      </c>
    </row>
    <row r="345" spans="1:20" x14ac:dyDescent="0.25">
      <c r="A345" s="633" t="s">
        <v>308</v>
      </c>
      <c r="B345" s="633">
        <v>9</v>
      </c>
      <c r="C345" s="633" t="s">
        <v>303</v>
      </c>
      <c r="D345" s="633" t="s">
        <v>304</v>
      </c>
      <c r="F345" s="633" t="s">
        <v>284</v>
      </c>
      <c r="G345" s="633" t="s">
        <v>584</v>
      </c>
      <c r="J345" s="633" t="s">
        <v>305</v>
      </c>
      <c r="K345" s="633" t="s">
        <v>306</v>
      </c>
      <c r="L345" s="633" t="s">
        <v>442</v>
      </c>
      <c r="M345" s="633" t="s">
        <v>249</v>
      </c>
      <c r="N345" s="633" t="s">
        <v>27</v>
      </c>
      <c r="T345" s="594">
        <v>41736.707534722198</v>
      </c>
    </row>
    <row r="346" spans="1:20" x14ac:dyDescent="0.25">
      <c r="A346" s="633" t="s">
        <v>308</v>
      </c>
      <c r="B346" s="633">
        <v>9</v>
      </c>
      <c r="C346" s="633" t="s">
        <v>303</v>
      </c>
      <c r="D346" s="633" t="s">
        <v>304</v>
      </c>
      <c r="F346" s="633" t="s">
        <v>284</v>
      </c>
      <c r="G346" s="633" t="s">
        <v>584</v>
      </c>
      <c r="J346" s="633" t="s">
        <v>305</v>
      </c>
      <c r="K346" s="633" t="s">
        <v>306</v>
      </c>
      <c r="L346" s="633" t="s">
        <v>442</v>
      </c>
      <c r="M346" s="633" t="s">
        <v>244</v>
      </c>
      <c r="N346" s="633" t="s">
        <v>27</v>
      </c>
      <c r="T346" s="594">
        <v>41736.707534722198</v>
      </c>
    </row>
    <row r="347" spans="1:20" x14ac:dyDescent="0.25">
      <c r="A347" s="633" t="s">
        <v>308</v>
      </c>
      <c r="B347" s="633">
        <v>9</v>
      </c>
      <c r="C347" s="633" t="s">
        <v>303</v>
      </c>
      <c r="D347" s="633" t="s">
        <v>304</v>
      </c>
      <c r="F347" s="633" t="s">
        <v>284</v>
      </c>
      <c r="G347" s="633" t="s">
        <v>584</v>
      </c>
      <c r="J347" s="633" t="s">
        <v>305</v>
      </c>
      <c r="K347" s="633" t="s">
        <v>306</v>
      </c>
      <c r="L347" s="633" t="s">
        <v>442</v>
      </c>
      <c r="M347" s="633" t="s">
        <v>4</v>
      </c>
      <c r="N347" s="633" t="s">
        <v>27</v>
      </c>
      <c r="O347" s="633">
        <v>60</v>
      </c>
      <c r="Q347" s="633">
        <v>41</v>
      </c>
      <c r="T347" s="594">
        <v>41736.707534722198</v>
      </c>
    </row>
    <row r="348" spans="1:20" x14ac:dyDescent="0.25">
      <c r="A348" s="633" t="s">
        <v>308</v>
      </c>
      <c r="B348" s="633">
        <v>9</v>
      </c>
      <c r="C348" s="633" t="s">
        <v>303</v>
      </c>
      <c r="D348" s="633" t="s">
        <v>304</v>
      </c>
      <c r="F348" s="633" t="s">
        <v>284</v>
      </c>
      <c r="G348" s="633" t="s">
        <v>584</v>
      </c>
      <c r="J348" s="633" t="s">
        <v>305</v>
      </c>
      <c r="K348" s="633" t="s">
        <v>306</v>
      </c>
      <c r="L348" s="633" t="s">
        <v>442</v>
      </c>
      <c r="M348" s="633" t="s">
        <v>5</v>
      </c>
      <c r="N348" s="633" t="s">
        <v>27</v>
      </c>
      <c r="O348" s="633">
        <v>180</v>
      </c>
      <c r="Q348" s="633">
        <v>42.266666666666701</v>
      </c>
      <c r="T348" s="594">
        <v>41736.707534722198</v>
      </c>
    </row>
    <row r="349" spans="1:20" x14ac:dyDescent="0.25">
      <c r="A349" s="633" t="s">
        <v>308</v>
      </c>
      <c r="B349" s="633">
        <v>9</v>
      </c>
      <c r="C349" s="633" t="s">
        <v>303</v>
      </c>
      <c r="D349" s="633" t="s">
        <v>304</v>
      </c>
      <c r="F349" s="633" t="s">
        <v>284</v>
      </c>
      <c r="G349" s="633" t="s">
        <v>584</v>
      </c>
      <c r="J349" s="633" t="s">
        <v>305</v>
      </c>
      <c r="K349" s="633" t="s">
        <v>306</v>
      </c>
      <c r="L349" s="633" t="s">
        <v>442</v>
      </c>
      <c r="M349" s="633" t="s">
        <v>6</v>
      </c>
      <c r="N349" s="633" t="s">
        <v>27</v>
      </c>
      <c r="O349" s="633">
        <v>313</v>
      </c>
      <c r="Q349" s="633">
        <v>41</v>
      </c>
      <c r="T349" s="594">
        <v>41736.707534722198</v>
      </c>
    </row>
    <row r="350" spans="1:20" x14ac:dyDescent="0.25">
      <c r="A350" s="633" t="s">
        <v>308</v>
      </c>
      <c r="B350" s="633">
        <v>9</v>
      </c>
      <c r="C350" s="633" t="s">
        <v>303</v>
      </c>
      <c r="D350" s="633" t="s">
        <v>304</v>
      </c>
      <c r="F350" s="633" t="s">
        <v>284</v>
      </c>
      <c r="G350" s="633" t="s">
        <v>584</v>
      </c>
      <c r="J350" s="633" t="s">
        <v>305</v>
      </c>
      <c r="K350" s="633" t="s">
        <v>306</v>
      </c>
      <c r="L350" s="633" t="s">
        <v>442</v>
      </c>
      <c r="M350" s="633" t="s">
        <v>7</v>
      </c>
      <c r="N350" s="633" t="s">
        <v>27</v>
      </c>
      <c r="O350" s="633">
        <v>228</v>
      </c>
      <c r="Q350" s="633">
        <v>4.5</v>
      </c>
      <c r="T350" s="594">
        <v>41736.707534722198</v>
      </c>
    </row>
    <row r="351" spans="1:20" x14ac:dyDescent="0.25">
      <c r="A351" s="633" t="s">
        <v>308</v>
      </c>
      <c r="B351" s="633">
        <v>9</v>
      </c>
      <c r="C351" s="633" t="s">
        <v>303</v>
      </c>
      <c r="D351" s="633" t="s">
        <v>304</v>
      </c>
      <c r="F351" s="633" t="s">
        <v>284</v>
      </c>
      <c r="G351" s="633" t="s">
        <v>584</v>
      </c>
      <c r="J351" s="633" t="s">
        <v>305</v>
      </c>
      <c r="K351" s="633" t="s">
        <v>306</v>
      </c>
      <c r="L351" s="633" t="s">
        <v>442</v>
      </c>
      <c r="M351" s="633" t="s">
        <v>8</v>
      </c>
      <c r="N351" s="633" t="s">
        <v>27</v>
      </c>
      <c r="O351" s="633">
        <v>211</v>
      </c>
      <c r="Q351" s="633">
        <v>0</v>
      </c>
      <c r="T351" s="594">
        <v>41736.707534722198</v>
      </c>
    </row>
    <row r="352" spans="1:20" x14ac:dyDescent="0.25">
      <c r="A352" s="633" t="s">
        <v>308</v>
      </c>
      <c r="B352" s="633">
        <v>9</v>
      </c>
      <c r="C352" s="633" t="s">
        <v>303</v>
      </c>
      <c r="D352" s="633" t="s">
        <v>304</v>
      </c>
      <c r="F352" s="633" t="s">
        <v>284</v>
      </c>
      <c r="G352" s="633" t="s">
        <v>584</v>
      </c>
      <c r="J352" s="633" t="s">
        <v>305</v>
      </c>
      <c r="K352" s="633" t="s">
        <v>306</v>
      </c>
      <c r="L352" s="633" t="s">
        <v>442</v>
      </c>
      <c r="M352" s="633" t="s">
        <v>9</v>
      </c>
      <c r="N352" s="633" t="s">
        <v>27</v>
      </c>
      <c r="O352" s="633">
        <v>230</v>
      </c>
      <c r="Q352" s="633">
        <v>0</v>
      </c>
      <c r="T352" s="594">
        <v>41736.707534722198</v>
      </c>
    </row>
    <row r="353" spans="1:20" x14ac:dyDescent="0.25">
      <c r="A353" s="633" t="s">
        <v>308</v>
      </c>
      <c r="B353" s="633">
        <v>9</v>
      </c>
      <c r="C353" s="633" t="s">
        <v>303</v>
      </c>
      <c r="D353" s="633" t="s">
        <v>304</v>
      </c>
      <c r="F353" s="633" t="s">
        <v>284</v>
      </c>
      <c r="G353" s="633" t="s">
        <v>584</v>
      </c>
      <c r="J353" s="633" t="s">
        <v>305</v>
      </c>
      <c r="K353" s="633" t="s">
        <v>306</v>
      </c>
      <c r="L353" s="633" t="s">
        <v>442</v>
      </c>
      <c r="M353" s="633" t="s">
        <v>249</v>
      </c>
      <c r="N353" s="633" t="s">
        <v>26</v>
      </c>
      <c r="T353" s="594">
        <v>41736.707534722198</v>
      </c>
    </row>
    <row r="354" spans="1:20" x14ac:dyDescent="0.25">
      <c r="A354" s="633" t="s">
        <v>308</v>
      </c>
      <c r="B354" s="633">
        <v>9</v>
      </c>
      <c r="C354" s="633" t="s">
        <v>303</v>
      </c>
      <c r="D354" s="633" t="s">
        <v>304</v>
      </c>
      <c r="F354" s="633" t="s">
        <v>284</v>
      </c>
      <c r="G354" s="633" t="s">
        <v>584</v>
      </c>
      <c r="J354" s="633" t="s">
        <v>305</v>
      </c>
      <c r="K354" s="633" t="s">
        <v>306</v>
      </c>
      <c r="L354" s="633" t="s">
        <v>442</v>
      </c>
      <c r="M354" s="633" t="s">
        <v>244</v>
      </c>
      <c r="N354" s="633" t="s">
        <v>26</v>
      </c>
      <c r="T354" s="594">
        <v>41736.707534722198</v>
      </c>
    </row>
    <row r="355" spans="1:20" x14ac:dyDescent="0.25">
      <c r="A355" s="633" t="s">
        <v>308</v>
      </c>
      <c r="B355" s="633">
        <v>9</v>
      </c>
      <c r="C355" s="633" t="s">
        <v>303</v>
      </c>
      <c r="D355" s="633" t="s">
        <v>304</v>
      </c>
      <c r="F355" s="633" t="s">
        <v>284</v>
      </c>
      <c r="G355" s="633" t="s">
        <v>584</v>
      </c>
      <c r="J355" s="633" t="s">
        <v>305</v>
      </c>
      <c r="K355" s="633" t="s">
        <v>306</v>
      </c>
      <c r="L355" s="633" t="s">
        <v>442</v>
      </c>
      <c r="M355" s="633" t="s">
        <v>4</v>
      </c>
      <c r="N355" s="633" t="s">
        <v>26</v>
      </c>
      <c r="O355" s="633">
        <v>56</v>
      </c>
      <c r="Q355" s="633">
        <v>41</v>
      </c>
      <c r="T355" s="594">
        <v>41736.707534722198</v>
      </c>
    </row>
    <row r="356" spans="1:20" x14ac:dyDescent="0.25">
      <c r="A356" s="633" t="s">
        <v>308</v>
      </c>
      <c r="B356" s="633">
        <v>9</v>
      </c>
      <c r="C356" s="633" t="s">
        <v>303</v>
      </c>
      <c r="D356" s="633" t="s">
        <v>304</v>
      </c>
      <c r="F356" s="633" t="s">
        <v>284</v>
      </c>
      <c r="G356" s="633" t="s">
        <v>584</v>
      </c>
      <c r="J356" s="633" t="s">
        <v>305</v>
      </c>
      <c r="K356" s="633" t="s">
        <v>306</v>
      </c>
      <c r="L356" s="633" t="s">
        <v>442</v>
      </c>
      <c r="M356" s="633" t="s">
        <v>5</v>
      </c>
      <c r="N356" s="633" t="s">
        <v>26</v>
      </c>
      <c r="O356" s="633">
        <v>125</v>
      </c>
      <c r="Q356" s="633">
        <v>44.8</v>
      </c>
      <c r="T356" s="594">
        <v>41736.707534722198</v>
      </c>
    </row>
    <row r="357" spans="1:20" x14ac:dyDescent="0.25">
      <c r="A357" s="633" t="s">
        <v>308</v>
      </c>
      <c r="B357" s="633">
        <v>9</v>
      </c>
      <c r="C357" s="633" t="s">
        <v>303</v>
      </c>
      <c r="D357" s="633" t="s">
        <v>304</v>
      </c>
      <c r="F357" s="633" t="s">
        <v>284</v>
      </c>
      <c r="G357" s="633" t="s">
        <v>584</v>
      </c>
      <c r="J357" s="633" t="s">
        <v>305</v>
      </c>
      <c r="K357" s="633" t="s">
        <v>306</v>
      </c>
      <c r="L357" s="633" t="s">
        <v>442</v>
      </c>
      <c r="M357" s="633" t="s">
        <v>6</v>
      </c>
      <c r="N357" s="633" t="s">
        <v>26</v>
      </c>
      <c r="O357" s="633">
        <v>249</v>
      </c>
      <c r="Q357" s="633">
        <v>46.7</v>
      </c>
      <c r="T357" s="594">
        <v>41736.707534722198</v>
      </c>
    </row>
    <row r="358" spans="1:20" x14ac:dyDescent="0.25">
      <c r="A358" s="633" t="s">
        <v>308</v>
      </c>
      <c r="B358" s="633">
        <v>9</v>
      </c>
      <c r="C358" s="633" t="s">
        <v>303</v>
      </c>
      <c r="D358" s="633" t="s">
        <v>304</v>
      </c>
      <c r="F358" s="633" t="s">
        <v>284</v>
      </c>
      <c r="G358" s="633" t="s">
        <v>584</v>
      </c>
      <c r="J358" s="633" t="s">
        <v>305</v>
      </c>
      <c r="K358" s="633" t="s">
        <v>306</v>
      </c>
      <c r="L358" s="633" t="s">
        <v>442</v>
      </c>
      <c r="M358" s="633" t="s">
        <v>7</v>
      </c>
      <c r="N358" s="633" t="s">
        <v>26</v>
      </c>
      <c r="O358" s="633">
        <v>160</v>
      </c>
      <c r="Q358" s="633">
        <v>32.799999999999997</v>
      </c>
      <c r="T358" s="594">
        <v>41736.707534722198</v>
      </c>
    </row>
    <row r="359" spans="1:20" x14ac:dyDescent="0.25">
      <c r="A359" s="633" t="s">
        <v>308</v>
      </c>
      <c r="B359" s="633">
        <v>9</v>
      </c>
      <c r="C359" s="633" t="s">
        <v>303</v>
      </c>
      <c r="D359" s="633" t="s">
        <v>304</v>
      </c>
      <c r="F359" s="633" t="s">
        <v>284</v>
      </c>
      <c r="G359" s="633" t="s">
        <v>584</v>
      </c>
      <c r="J359" s="633" t="s">
        <v>305</v>
      </c>
      <c r="K359" s="633" t="s">
        <v>306</v>
      </c>
      <c r="L359" s="633" t="s">
        <v>442</v>
      </c>
      <c r="M359" s="633" t="s">
        <v>8</v>
      </c>
      <c r="N359" s="633" t="s">
        <v>26</v>
      </c>
      <c r="O359" s="633">
        <v>111</v>
      </c>
      <c r="Q359" s="633">
        <v>13.125</v>
      </c>
      <c r="T359" s="594">
        <v>41736.707534722198</v>
      </c>
    </row>
    <row r="360" spans="1:20" x14ac:dyDescent="0.25">
      <c r="A360" s="633" t="s">
        <v>308</v>
      </c>
      <c r="B360" s="633">
        <v>9</v>
      </c>
      <c r="C360" s="633" t="s">
        <v>303</v>
      </c>
      <c r="D360" s="633" t="s">
        <v>304</v>
      </c>
      <c r="F360" s="633" t="s">
        <v>284</v>
      </c>
      <c r="G360" s="633" t="s">
        <v>584</v>
      </c>
      <c r="J360" s="633" t="s">
        <v>305</v>
      </c>
      <c r="K360" s="633" t="s">
        <v>306</v>
      </c>
      <c r="L360" s="633" t="s">
        <v>442</v>
      </c>
      <c r="M360" s="633" t="s">
        <v>9</v>
      </c>
      <c r="N360" s="633" t="s">
        <v>26</v>
      </c>
      <c r="O360" s="633">
        <v>114</v>
      </c>
      <c r="Q360" s="633">
        <v>0</v>
      </c>
      <c r="T360" s="594">
        <v>41736.707534722198</v>
      </c>
    </row>
    <row r="361" spans="1:20" x14ac:dyDescent="0.25">
      <c r="A361" s="633" t="s">
        <v>308</v>
      </c>
      <c r="B361" s="633">
        <v>8</v>
      </c>
      <c r="C361" s="633" t="s">
        <v>312</v>
      </c>
      <c r="D361" s="633" t="s">
        <v>313</v>
      </c>
      <c r="F361" s="633" t="s">
        <v>314</v>
      </c>
      <c r="G361" s="633" t="s">
        <v>584</v>
      </c>
      <c r="H361" s="633" t="s">
        <v>93</v>
      </c>
      <c r="Q361" s="633">
        <v>2.7760816879597998</v>
      </c>
      <c r="T361" s="594">
        <v>41736.707523148201</v>
      </c>
    </row>
    <row r="362" spans="1:20" x14ac:dyDescent="0.25">
      <c r="A362" s="633" t="s">
        <v>308</v>
      </c>
      <c r="B362" s="633">
        <v>10.1</v>
      </c>
      <c r="C362" s="633" t="s">
        <v>483</v>
      </c>
      <c r="D362" s="633" t="s">
        <v>446</v>
      </c>
      <c r="F362" s="633" t="s">
        <v>474</v>
      </c>
      <c r="G362" s="633" t="s">
        <v>584</v>
      </c>
      <c r="H362" s="633" t="s">
        <v>315</v>
      </c>
      <c r="I362" s="633" t="s">
        <v>308</v>
      </c>
      <c r="J362" s="633" t="s">
        <v>449</v>
      </c>
      <c r="K362" s="633" t="s">
        <v>215</v>
      </c>
      <c r="Q362" s="761">
        <v>107542473.19164297</v>
      </c>
      <c r="T362" s="594">
        <v>41736.707534722198</v>
      </c>
    </row>
    <row r="363" spans="1:20" x14ac:dyDescent="0.25">
      <c r="A363" s="633" t="s">
        <v>308</v>
      </c>
      <c r="B363" s="633">
        <v>10.1</v>
      </c>
      <c r="C363" s="633" t="s">
        <v>483</v>
      </c>
      <c r="D363" s="633" t="s">
        <v>446</v>
      </c>
      <c r="F363" s="633" t="s">
        <v>474</v>
      </c>
      <c r="G363" s="633" t="s">
        <v>584</v>
      </c>
      <c r="H363" s="633" t="s">
        <v>316</v>
      </c>
      <c r="I363" s="633" t="s">
        <v>309</v>
      </c>
      <c r="J363" s="633" t="s">
        <v>449</v>
      </c>
      <c r="K363" s="633" t="s">
        <v>215</v>
      </c>
      <c r="Q363" s="761">
        <v>26891067.153664753</v>
      </c>
      <c r="T363" s="594">
        <v>41736.707534722198</v>
      </c>
    </row>
    <row r="364" spans="1:20" x14ac:dyDescent="0.25">
      <c r="A364" s="633" t="s">
        <v>308</v>
      </c>
      <c r="B364" s="633">
        <v>10.199999999999999</v>
      </c>
      <c r="C364" s="633" t="s">
        <v>484</v>
      </c>
      <c r="D364" s="633" t="s">
        <v>475</v>
      </c>
      <c r="F364" s="633" t="s">
        <v>474</v>
      </c>
      <c r="G364" s="633" t="s">
        <v>584</v>
      </c>
      <c r="H364" s="633" t="s">
        <v>315</v>
      </c>
      <c r="I364" s="633" t="s">
        <v>308</v>
      </c>
      <c r="J364" s="633" t="s">
        <v>449</v>
      </c>
      <c r="K364" s="633" t="s">
        <v>215</v>
      </c>
      <c r="Q364" s="761">
        <v>3471712.0447482974</v>
      </c>
      <c r="T364" s="594">
        <v>41736.707534722198</v>
      </c>
    </row>
    <row r="365" spans="1:20" s="589" customFormat="1" x14ac:dyDescent="0.25">
      <c r="A365" s="589" t="s">
        <v>308</v>
      </c>
      <c r="B365" s="589">
        <v>10.199999999999999</v>
      </c>
      <c r="C365" s="589" t="s">
        <v>484</v>
      </c>
      <c r="D365" s="589" t="s">
        <v>475</v>
      </c>
      <c r="F365" s="589" t="s">
        <v>474</v>
      </c>
      <c r="G365" s="589" t="s">
        <v>584</v>
      </c>
      <c r="H365" s="589" t="s">
        <v>316</v>
      </c>
      <c r="I365" s="589" t="s">
        <v>309</v>
      </c>
      <c r="J365" s="589" t="s">
        <v>449</v>
      </c>
      <c r="K365" s="589" t="s">
        <v>215</v>
      </c>
      <c r="Q365" s="762">
        <v>916396.36661584547</v>
      </c>
      <c r="T365" s="591">
        <v>41736.707534722198</v>
      </c>
    </row>
    <row r="366" spans="1:20" x14ac:dyDescent="0.25">
      <c r="A366" s="633" t="s">
        <v>308</v>
      </c>
      <c r="B366" s="633">
        <v>4</v>
      </c>
      <c r="C366" s="633" t="s">
        <v>322</v>
      </c>
      <c r="D366" s="633" t="s">
        <v>469</v>
      </c>
      <c r="F366" s="633" t="s">
        <v>284</v>
      </c>
      <c r="G366" s="633" t="s">
        <v>584</v>
      </c>
      <c r="M366" s="633" t="s">
        <v>288</v>
      </c>
      <c r="N366" s="633" t="s">
        <v>289</v>
      </c>
      <c r="P366" s="633">
        <v>3.0436674922</v>
      </c>
      <c r="Q366" s="633">
        <v>5.0167440576362603</v>
      </c>
      <c r="S366" s="633">
        <v>1.6482562797981899</v>
      </c>
      <c r="T366" s="594">
        <v>41736.707511574103</v>
      </c>
    </row>
    <row r="367" spans="1:20" x14ac:dyDescent="0.25">
      <c r="A367" s="633" t="s">
        <v>308</v>
      </c>
      <c r="B367" s="633">
        <v>13</v>
      </c>
      <c r="C367" s="633" t="s">
        <v>323</v>
      </c>
      <c r="D367" s="633" t="s">
        <v>324</v>
      </c>
      <c r="F367" s="633" t="s">
        <v>325</v>
      </c>
      <c r="G367" s="633" t="s">
        <v>584</v>
      </c>
      <c r="H367" s="633" t="s">
        <v>326</v>
      </c>
      <c r="J367" s="633" t="s">
        <v>327</v>
      </c>
      <c r="K367" s="633" t="s">
        <v>260</v>
      </c>
      <c r="L367" s="633" t="s">
        <v>308</v>
      </c>
      <c r="M367" s="633" t="s">
        <v>470</v>
      </c>
      <c r="N367" s="633" t="s">
        <v>256</v>
      </c>
      <c r="O367" s="633">
        <v>2</v>
      </c>
      <c r="Q367" s="633">
        <v>0</v>
      </c>
      <c r="T367" s="594">
        <v>41736.707546296297</v>
      </c>
    </row>
    <row r="368" spans="1:20" x14ac:dyDescent="0.25">
      <c r="A368" s="633" t="s">
        <v>308</v>
      </c>
      <c r="B368" s="633">
        <v>13</v>
      </c>
      <c r="C368" s="633" t="s">
        <v>323</v>
      </c>
      <c r="D368" s="633" t="s">
        <v>324</v>
      </c>
      <c r="F368" s="633" t="s">
        <v>325</v>
      </c>
      <c r="G368" s="633" t="s">
        <v>584</v>
      </c>
      <c r="H368" s="633" t="s">
        <v>331</v>
      </c>
      <c r="J368" s="633" t="s">
        <v>327</v>
      </c>
      <c r="K368" s="633" t="s">
        <v>260</v>
      </c>
      <c r="L368" s="633" t="s">
        <v>308</v>
      </c>
      <c r="M368" s="633" t="s">
        <v>470</v>
      </c>
      <c r="N368" s="633" t="s">
        <v>256</v>
      </c>
      <c r="Q368" s="633">
        <v>2</v>
      </c>
      <c r="T368" s="594">
        <v>41736.707546296297</v>
      </c>
    </row>
    <row r="369" spans="1:20" x14ac:dyDescent="0.25">
      <c r="A369" s="633" t="s">
        <v>308</v>
      </c>
      <c r="B369" s="633">
        <v>13</v>
      </c>
      <c r="C369" s="633" t="s">
        <v>323</v>
      </c>
      <c r="D369" s="633" t="s">
        <v>324</v>
      </c>
      <c r="F369" s="633" t="s">
        <v>325</v>
      </c>
      <c r="G369" s="633" t="s">
        <v>584</v>
      </c>
      <c r="H369" s="633" t="s">
        <v>329</v>
      </c>
      <c r="J369" s="633" t="s">
        <v>327</v>
      </c>
      <c r="K369" s="633" t="s">
        <v>260</v>
      </c>
      <c r="L369" s="633" t="s">
        <v>308</v>
      </c>
      <c r="M369" s="633" t="s">
        <v>470</v>
      </c>
      <c r="N369" s="633" t="s">
        <v>256</v>
      </c>
      <c r="O369" s="633">
        <v>4</v>
      </c>
      <c r="Q369" s="633">
        <v>46</v>
      </c>
      <c r="T369" s="594">
        <v>41736.707546296297</v>
      </c>
    </row>
    <row r="370" spans="1:20" x14ac:dyDescent="0.25">
      <c r="A370" s="633" t="s">
        <v>308</v>
      </c>
      <c r="B370" s="633">
        <v>13</v>
      </c>
      <c r="C370" s="633" t="s">
        <v>323</v>
      </c>
      <c r="D370" s="633" t="s">
        <v>324</v>
      </c>
      <c r="F370" s="633" t="s">
        <v>325</v>
      </c>
      <c r="G370" s="633" t="s">
        <v>584</v>
      </c>
      <c r="H370" s="633" t="s">
        <v>330</v>
      </c>
      <c r="J370" s="633" t="s">
        <v>327</v>
      </c>
      <c r="K370" s="633" t="s">
        <v>260</v>
      </c>
      <c r="L370" s="633" t="s">
        <v>308</v>
      </c>
      <c r="M370" s="633" t="s">
        <v>470</v>
      </c>
      <c r="N370" s="633" t="s">
        <v>256</v>
      </c>
      <c r="O370" s="633">
        <v>3</v>
      </c>
      <c r="Q370" s="633">
        <v>8</v>
      </c>
      <c r="T370" s="594">
        <v>41736.707546296297</v>
      </c>
    </row>
    <row r="371" spans="1:20" x14ac:dyDescent="0.25">
      <c r="A371" s="633" t="s">
        <v>308</v>
      </c>
      <c r="B371" s="633">
        <v>13</v>
      </c>
      <c r="C371" s="633" t="s">
        <v>323</v>
      </c>
      <c r="D371" s="633" t="s">
        <v>324</v>
      </c>
      <c r="F371" s="633" t="s">
        <v>325</v>
      </c>
      <c r="G371" s="633" t="s">
        <v>584</v>
      </c>
      <c r="H371" s="633" t="s">
        <v>328</v>
      </c>
      <c r="J371" s="633" t="s">
        <v>327</v>
      </c>
      <c r="K371" s="633" t="s">
        <v>260</v>
      </c>
      <c r="L371" s="633" t="s">
        <v>308</v>
      </c>
      <c r="M371" s="633" t="s">
        <v>470</v>
      </c>
      <c r="N371" s="633" t="s">
        <v>256</v>
      </c>
      <c r="O371" s="633">
        <v>5</v>
      </c>
      <c r="Q371" s="633">
        <v>0</v>
      </c>
      <c r="T371" s="594">
        <v>41736.707546296297</v>
      </c>
    </row>
    <row r="372" spans="1:20" x14ac:dyDescent="0.25">
      <c r="A372" s="633" t="s">
        <v>308</v>
      </c>
      <c r="B372" s="633">
        <v>13</v>
      </c>
      <c r="C372" s="633" t="s">
        <v>323</v>
      </c>
      <c r="D372" s="633" t="s">
        <v>324</v>
      </c>
      <c r="F372" s="633" t="s">
        <v>325</v>
      </c>
      <c r="G372" s="633" t="s">
        <v>584</v>
      </c>
      <c r="H372" s="633" t="s">
        <v>332</v>
      </c>
      <c r="J372" s="633" t="s">
        <v>327</v>
      </c>
      <c r="K372" s="633" t="s">
        <v>260</v>
      </c>
      <c r="L372" s="633" t="s">
        <v>308</v>
      </c>
      <c r="M372" s="633" t="s">
        <v>470</v>
      </c>
      <c r="N372" s="633" t="s">
        <v>256</v>
      </c>
      <c r="O372" s="633">
        <v>1</v>
      </c>
      <c r="Q372" s="633">
        <v>0</v>
      </c>
      <c r="T372" s="594">
        <v>41736.707546296297</v>
      </c>
    </row>
    <row r="373" spans="1:20" x14ac:dyDescent="0.25">
      <c r="A373" s="633" t="s">
        <v>308</v>
      </c>
      <c r="B373" s="633">
        <v>13</v>
      </c>
      <c r="C373" s="633" t="s">
        <v>323</v>
      </c>
      <c r="D373" s="633" t="s">
        <v>324</v>
      </c>
      <c r="F373" s="633" t="s">
        <v>325</v>
      </c>
      <c r="G373" s="633" t="s">
        <v>584</v>
      </c>
      <c r="H373" s="633" t="s">
        <v>333</v>
      </c>
      <c r="J373" s="633" t="s">
        <v>327</v>
      </c>
      <c r="K373" s="633" t="s">
        <v>260</v>
      </c>
      <c r="L373" s="633" t="s">
        <v>308</v>
      </c>
      <c r="M373" s="633" t="s">
        <v>470</v>
      </c>
      <c r="N373" s="633" t="s">
        <v>256</v>
      </c>
      <c r="O373" s="633">
        <v>6</v>
      </c>
      <c r="Q373" s="633">
        <v>1</v>
      </c>
      <c r="T373" s="594">
        <v>41736.707546296297</v>
      </c>
    </row>
    <row r="374" spans="1:20" x14ac:dyDescent="0.25">
      <c r="A374" s="633" t="s">
        <v>308</v>
      </c>
      <c r="B374" s="633">
        <v>13</v>
      </c>
      <c r="C374" s="633" t="s">
        <v>323</v>
      </c>
      <c r="D374" s="633" t="s">
        <v>324</v>
      </c>
      <c r="F374" s="633" t="s">
        <v>325</v>
      </c>
      <c r="G374" s="633" t="s">
        <v>584</v>
      </c>
      <c r="H374" s="633" t="s">
        <v>350</v>
      </c>
      <c r="J374" s="633" t="s">
        <v>327</v>
      </c>
      <c r="K374" s="633" t="s">
        <v>260</v>
      </c>
      <c r="L374" s="633" t="s">
        <v>308</v>
      </c>
      <c r="M374" s="633" t="s">
        <v>471</v>
      </c>
      <c r="N374" s="633" t="s">
        <v>256</v>
      </c>
      <c r="O374" s="633">
        <v>4</v>
      </c>
      <c r="P374" s="633">
        <v>4</v>
      </c>
      <c r="Q374" s="633">
        <v>31</v>
      </c>
      <c r="T374" s="594">
        <v>41736.707546296297</v>
      </c>
    </row>
    <row r="375" spans="1:20" x14ac:dyDescent="0.25">
      <c r="A375" s="633" t="s">
        <v>308</v>
      </c>
      <c r="B375" s="633">
        <v>13</v>
      </c>
      <c r="C375" s="633" t="s">
        <v>323</v>
      </c>
      <c r="D375" s="633" t="s">
        <v>324</v>
      </c>
      <c r="F375" s="633" t="s">
        <v>325</v>
      </c>
      <c r="G375" s="633" t="s">
        <v>584</v>
      </c>
      <c r="H375" s="633" t="s">
        <v>347</v>
      </c>
      <c r="J375" s="633" t="s">
        <v>327</v>
      </c>
      <c r="K375" s="633" t="s">
        <v>260</v>
      </c>
      <c r="L375" s="633" t="s">
        <v>308</v>
      </c>
      <c r="M375" s="633" t="s">
        <v>471</v>
      </c>
      <c r="N375" s="633" t="s">
        <v>256</v>
      </c>
      <c r="O375" s="633">
        <v>5</v>
      </c>
      <c r="P375" s="633">
        <v>6</v>
      </c>
      <c r="Q375" s="633">
        <v>0</v>
      </c>
      <c r="T375" s="594">
        <v>41736.707546296297</v>
      </c>
    </row>
    <row r="376" spans="1:20" x14ac:dyDescent="0.25">
      <c r="A376" s="633" t="s">
        <v>308</v>
      </c>
      <c r="B376" s="633">
        <v>13</v>
      </c>
      <c r="C376" s="633" t="s">
        <v>323</v>
      </c>
      <c r="D376" s="633" t="s">
        <v>324</v>
      </c>
      <c r="F376" s="633" t="s">
        <v>325</v>
      </c>
      <c r="G376" s="633" t="s">
        <v>584</v>
      </c>
      <c r="H376" s="633" t="s">
        <v>381</v>
      </c>
      <c r="J376" s="633" t="s">
        <v>327</v>
      </c>
      <c r="K376" s="633" t="s">
        <v>260</v>
      </c>
      <c r="L376" s="633" t="s">
        <v>308</v>
      </c>
      <c r="M376" s="633" t="s">
        <v>471</v>
      </c>
      <c r="N376" s="633" t="s">
        <v>256</v>
      </c>
      <c r="O376" s="633">
        <v>6</v>
      </c>
      <c r="P376" s="633">
        <v>7</v>
      </c>
      <c r="Q376" s="633">
        <v>0</v>
      </c>
      <c r="T376" s="594">
        <v>41736.707546296297</v>
      </c>
    </row>
    <row r="377" spans="1:20" x14ac:dyDescent="0.25">
      <c r="A377" s="633" t="s">
        <v>308</v>
      </c>
      <c r="B377" s="633">
        <v>13</v>
      </c>
      <c r="C377" s="633" t="s">
        <v>323</v>
      </c>
      <c r="D377" s="633" t="s">
        <v>324</v>
      </c>
      <c r="F377" s="633" t="s">
        <v>325</v>
      </c>
      <c r="G377" s="633" t="s">
        <v>584</v>
      </c>
      <c r="H377" s="633" t="s">
        <v>351</v>
      </c>
      <c r="J377" s="633" t="s">
        <v>327</v>
      </c>
      <c r="K377" s="633" t="s">
        <v>260</v>
      </c>
      <c r="L377" s="633" t="s">
        <v>308</v>
      </c>
      <c r="M377" s="633" t="s">
        <v>471</v>
      </c>
      <c r="N377" s="633" t="s">
        <v>256</v>
      </c>
      <c r="O377" s="633">
        <v>4</v>
      </c>
      <c r="P377" s="633">
        <v>3</v>
      </c>
      <c r="Q377" s="633">
        <v>0</v>
      </c>
      <c r="T377" s="594">
        <v>41736.707546296297</v>
      </c>
    </row>
    <row r="378" spans="1:20" x14ac:dyDescent="0.25">
      <c r="A378" s="633" t="s">
        <v>308</v>
      </c>
      <c r="B378" s="633">
        <v>13</v>
      </c>
      <c r="C378" s="633" t="s">
        <v>323</v>
      </c>
      <c r="D378" s="633" t="s">
        <v>324</v>
      </c>
      <c r="F378" s="633" t="s">
        <v>325</v>
      </c>
      <c r="G378" s="633" t="s">
        <v>584</v>
      </c>
      <c r="H378" s="633" t="s">
        <v>357</v>
      </c>
      <c r="J378" s="633" t="s">
        <v>327</v>
      </c>
      <c r="K378" s="633" t="s">
        <v>260</v>
      </c>
      <c r="L378" s="633" t="s">
        <v>308</v>
      </c>
      <c r="M378" s="633" t="s">
        <v>471</v>
      </c>
      <c r="N378" s="633" t="s">
        <v>256</v>
      </c>
      <c r="O378" s="633">
        <v>3</v>
      </c>
      <c r="P378" s="633">
        <v>4</v>
      </c>
      <c r="Q378" s="633">
        <v>6</v>
      </c>
      <c r="T378" s="594">
        <v>41736.707546296297</v>
      </c>
    </row>
    <row r="379" spans="1:20" x14ac:dyDescent="0.25">
      <c r="A379" s="633" t="s">
        <v>308</v>
      </c>
      <c r="B379" s="633">
        <v>13</v>
      </c>
      <c r="C379" s="633" t="s">
        <v>323</v>
      </c>
      <c r="D379" s="633" t="s">
        <v>324</v>
      </c>
      <c r="F379" s="633" t="s">
        <v>325</v>
      </c>
      <c r="G379" s="633" t="s">
        <v>584</v>
      </c>
      <c r="H379" s="633" t="s">
        <v>378</v>
      </c>
      <c r="J379" s="633" t="s">
        <v>327</v>
      </c>
      <c r="K379" s="633" t="s">
        <v>260</v>
      </c>
      <c r="L379" s="633" t="s">
        <v>308</v>
      </c>
      <c r="M379" s="633" t="s">
        <v>471</v>
      </c>
      <c r="N379" s="633" t="s">
        <v>256</v>
      </c>
      <c r="O379" s="633">
        <v>6</v>
      </c>
      <c r="P379" s="633">
        <v>4</v>
      </c>
      <c r="Q379" s="633">
        <v>0</v>
      </c>
      <c r="T379" s="594">
        <v>41736.707546296297</v>
      </c>
    </row>
    <row r="380" spans="1:20" x14ac:dyDescent="0.25">
      <c r="A380" s="633" t="s">
        <v>308</v>
      </c>
      <c r="B380" s="633">
        <v>13</v>
      </c>
      <c r="C380" s="633" t="s">
        <v>323</v>
      </c>
      <c r="D380" s="633" t="s">
        <v>324</v>
      </c>
      <c r="F380" s="633" t="s">
        <v>325</v>
      </c>
      <c r="G380" s="633" t="s">
        <v>584</v>
      </c>
      <c r="H380" s="633" t="s">
        <v>360</v>
      </c>
      <c r="J380" s="633" t="s">
        <v>327</v>
      </c>
      <c r="K380" s="633" t="s">
        <v>260</v>
      </c>
      <c r="L380" s="633" t="s">
        <v>308</v>
      </c>
      <c r="M380" s="633" t="s">
        <v>471</v>
      </c>
      <c r="N380" s="633" t="s">
        <v>256</v>
      </c>
      <c r="O380" s="633">
        <v>3</v>
      </c>
      <c r="P380" s="633">
        <v>7</v>
      </c>
      <c r="Q380" s="633">
        <v>0</v>
      </c>
      <c r="T380" s="594">
        <v>41736.707546296297</v>
      </c>
    </row>
    <row r="381" spans="1:20" x14ac:dyDescent="0.25">
      <c r="A381" s="633" t="s">
        <v>308</v>
      </c>
      <c r="B381" s="633">
        <v>13</v>
      </c>
      <c r="C381" s="633" t="s">
        <v>323</v>
      </c>
      <c r="D381" s="633" t="s">
        <v>324</v>
      </c>
      <c r="F381" s="633" t="s">
        <v>325</v>
      </c>
      <c r="G381" s="633" t="s">
        <v>584</v>
      </c>
      <c r="H381" s="633" t="s">
        <v>346</v>
      </c>
      <c r="J381" s="633" t="s">
        <v>327</v>
      </c>
      <c r="K381" s="633" t="s">
        <v>260</v>
      </c>
      <c r="L381" s="633" t="s">
        <v>308</v>
      </c>
      <c r="M381" s="633" t="s">
        <v>471</v>
      </c>
      <c r="N381" s="633" t="s">
        <v>256</v>
      </c>
      <c r="O381" s="633">
        <v>5</v>
      </c>
      <c r="P381" s="633">
        <v>7</v>
      </c>
      <c r="Q381" s="633">
        <v>0</v>
      </c>
      <c r="T381" s="594">
        <v>41736.707546296297</v>
      </c>
    </row>
    <row r="382" spans="1:20" x14ac:dyDescent="0.25">
      <c r="A382" s="633" t="s">
        <v>308</v>
      </c>
      <c r="B382" s="633">
        <v>13</v>
      </c>
      <c r="C382" s="633" t="s">
        <v>323</v>
      </c>
      <c r="D382" s="633" t="s">
        <v>324</v>
      </c>
      <c r="F382" s="633" t="s">
        <v>325</v>
      </c>
      <c r="G382" s="633" t="s">
        <v>584</v>
      </c>
      <c r="H382" s="633" t="s">
        <v>367</v>
      </c>
      <c r="J382" s="633" t="s">
        <v>327</v>
      </c>
      <c r="K382" s="633" t="s">
        <v>260</v>
      </c>
      <c r="L382" s="633" t="s">
        <v>308</v>
      </c>
      <c r="M382" s="633" t="s">
        <v>471</v>
      </c>
      <c r="N382" s="633" t="s">
        <v>256</v>
      </c>
      <c r="P382" s="633">
        <v>7</v>
      </c>
      <c r="Q382" s="633">
        <v>0</v>
      </c>
      <c r="T382" s="594">
        <v>41736.707546296297</v>
      </c>
    </row>
    <row r="383" spans="1:20" x14ac:dyDescent="0.25">
      <c r="A383" s="633" t="s">
        <v>308</v>
      </c>
      <c r="B383" s="633">
        <v>13</v>
      </c>
      <c r="C383" s="633" t="s">
        <v>323</v>
      </c>
      <c r="D383" s="633" t="s">
        <v>324</v>
      </c>
      <c r="F383" s="633" t="s">
        <v>325</v>
      </c>
      <c r="G383" s="633" t="s">
        <v>584</v>
      </c>
      <c r="H383" s="633" t="s">
        <v>343</v>
      </c>
      <c r="J383" s="633" t="s">
        <v>327</v>
      </c>
      <c r="K383" s="633" t="s">
        <v>260</v>
      </c>
      <c r="L383" s="633" t="s">
        <v>308</v>
      </c>
      <c r="M383" s="633" t="s">
        <v>471</v>
      </c>
      <c r="N383" s="633" t="s">
        <v>256</v>
      </c>
      <c r="O383" s="633">
        <v>5</v>
      </c>
      <c r="P383" s="633">
        <v>4</v>
      </c>
      <c r="Q383" s="633">
        <v>0</v>
      </c>
      <c r="T383" s="594">
        <v>41736.707546296297</v>
      </c>
    </row>
    <row r="384" spans="1:20" x14ac:dyDescent="0.25">
      <c r="A384" s="633" t="s">
        <v>308</v>
      </c>
      <c r="B384" s="633">
        <v>13</v>
      </c>
      <c r="C384" s="633" t="s">
        <v>323</v>
      </c>
      <c r="D384" s="633" t="s">
        <v>324</v>
      </c>
      <c r="F384" s="633" t="s">
        <v>325</v>
      </c>
      <c r="G384" s="633" t="s">
        <v>584</v>
      </c>
      <c r="H384" s="633" t="s">
        <v>379</v>
      </c>
      <c r="J384" s="633" t="s">
        <v>327</v>
      </c>
      <c r="K384" s="633" t="s">
        <v>260</v>
      </c>
      <c r="L384" s="633" t="s">
        <v>308</v>
      </c>
      <c r="M384" s="633" t="s">
        <v>471</v>
      </c>
      <c r="N384" s="633" t="s">
        <v>256</v>
      </c>
      <c r="O384" s="633">
        <v>6</v>
      </c>
      <c r="P384" s="633">
        <v>3</v>
      </c>
      <c r="Q384" s="633">
        <v>0</v>
      </c>
      <c r="T384" s="594">
        <v>41736.707546296297</v>
      </c>
    </row>
    <row r="385" spans="1:20" x14ac:dyDescent="0.25">
      <c r="A385" s="633" t="s">
        <v>308</v>
      </c>
      <c r="B385" s="633">
        <v>13</v>
      </c>
      <c r="C385" s="633" t="s">
        <v>323</v>
      </c>
      <c r="D385" s="633" t="s">
        <v>324</v>
      </c>
      <c r="F385" s="633" t="s">
        <v>325</v>
      </c>
      <c r="G385" s="633" t="s">
        <v>584</v>
      </c>
      <c r="H385" s="633" t="s">
        <v>329</v>
      </c>
      <c r="J385" s="633" t="s">
        <v>327</v>
      </c>
      <c r="K385" s="633" t="s">
        <v>260</v>
      </c>
      <c r="L385" s="633" t="s">
        <v>308</v>
      </c>
      <c r="M385" s="633" t="s">
        <v>471</v>
      </c>
      <c r="N385" s="633" t="s">
        <v>256</v>
      </c>
      <c r="O385" s="633">
        <v>4</v>
      </c>
      <c r="Q385" s="633">
        <v>0</v>
      </c>
      <c r="T385" s="594">
        <v>41736.707546296297</v>
      </c>
    </row>
    <row r="386" spans="1:20" x14ac:dyDescent="0.25">
      <c r="A386" s="633" t="s">
        <v>308</v>
      </c>
      <c r="B386" s="633">
        <v>13</v>
      </c>
      <c r="C386" s="633" t="s">
        <v>323</v>
      </c>
      <c r="D386" s="633" t="s">
        <v>324</v>
      </c>
      <c r="F386" s="633" t="s">
        <v>325</v>
      </c>
      <c r="G386" s="633" t="s">
        <v>584</v>
      </c>
      <c r="H386" s="633" t="s">
        <v>377</v>
      </c>
      <c r="J386" s="633" t="s">
        <v>327</v>
      </c>
      <c r="K386" s="633" t="s">
        <v>260</v>
      </c>
      <c r="L386" s="633" t="s">
        <v>308</v>
      </c>
      <c r="M386" s="633" t="s">
        <v>471</v>
      </c>
      <c r="N386" s="633" t="s">
        <v>256</v>
      </c>
      <c r="O386" s="633">
        <v>6</v>
      </c>
      <c r="P386" s="633">
        <v>5</v>
      </c>
      <c r="Q386" s="633">
        <v>0</v>
      </c>
      <c r="T386" s="594">
        <v>41736.707546296297</v>
      </c>
    </row>
    <row r="387" spans="1:20" x14ac:dyDescent="0.25">
      <c r="A387" s="633" t="s">
        <v>308</v>
      </c>
      <c r="B387" s="633">
        <v>13</v>
      </c>
      <c r="C387" s="633" t="s">
        <v>323</v>
      </c>
      <c r="D387" s="633" t="s">
        <v>324</v>
      </c>
      <c r="F387" s="633" t="s">
        <v>325</v>
      </c>
      <c r="G387" s="633" t="s">
        <v>584</v>
      </c>
      <c r="H387" s="633" t="s">
        <v>365</v>
      </c>
      <c r="J387" s="633" t="s">
        <v>327</v>
      </c>
      <c r="K387" s="633" t="s">
        <v>260</v>
      </c>
      <c r="L387" s="633" t="s">
        <v>308</v>
      </c>
      <c r="M387" s="633" t="s">
        <v>471</v>
      </c>
      <c r="N387" s="633" t="s">
        <v>256</v>
      </c>
      <c r="P387" s="633">
        <v>3</v>
      </c>
      <c r="Q387" s="633">
        <v>0</v>
      </c>
      <c r="T387" s="594">
        <v>41736.707546296297</v>
      </c>
    </row>
    <row r="388" spans="1:20" x14ac:dyDescent="0.25">
      <c r="A388" s="633" t="s">
        <v>308</v>
      </c>
      <c r="B388" s="633">
        <v>13</v>
      </c>
      <c r="C388" s="633" t="s">
        <v>323</v>
      </c>
      <c r="D388" s="633" t="s">
        <v>324</v>
      </c>
      <c r="F388" s="633" t="s">
        <v>325</v>
      </c>
      <c r="G388" s="633" t="s">
        <v>584</v>
      </c>
      <c r="H388" s="633" t="s">
        <v>371</v>
      </c>
      <c r="J388" s="633" t="s">
        <v>327</v>
      </c>
      <c r="K388" s="633" t="s">
        <v>260</v>
      </c>
      <c r="L388" s="633" t="s">
        <v>308</v>
      </c>
      <c r="M388" s="633" t="s">
        <v>471</v>
      </c>
      <c r="N388" s="633" t="s">
        <v>256</v>
      </c>
      <c r="O388" s="633">
        <v>1</v>
      </c>
      <c r="P388" s="633">
        <v>4</v>
      </c>
      <c r="Q388" s="633">
        <v>20</v>
      </c>
      <c r="T388" s="594">
        <v>41736.707546296297</v>
      </c>
    </row>
    <row r="389" spans="1:20" x14ac:dyDescent="0.25">
      <c r="A389" s="633" t="s">
        <v>308</v>
      </c>
      <c r="B389" s="633">
        <v>13</v>
      </c>
      <c r="C389" s="633" t="s">
        <v>323</v>
      </c>
      <c r="D389" s="633" t="s">
        <v>324</v>
      </c>
      <c r="F389" s="633" t="s">
        <v>325</v>
      </c>
      <c r="G389" s="633" t="s">
        <v>584</v>
      </c>
      <c r="H389" s="633" t="s">
        <v>336</v>
      </c>
      <c r="J389" s="633" t="s">
        <v>327</v>
      </c>
      <c r="K389" s="633" t="s">
        <v>260</v>
      </c>
      <c r="L389" s="633" t="s">
        <v>308</v>
      </c>
      <c r="M389" s="633" t="s">
        <v>471</v>
      </c>
      <c r="N389" s="633" t="s">
        <v>256</v>
      </c>
      <c r="O389" s="633">
        <v>2</v>
      </c>
      <c r="P389" s="633">
        <v>4</v>
      </c>
      <c r="Q389" s="633">
        <v>1</v>
      </c>
      <c r="T389" s="594">
        <v>41736.707546296297</v>
      </c>
    </row>
    <row r="390" spans="1:20" x14ac:dyDescent="0.25">
      <c r="A390" s="633" t="s">
        <v>308</v>
      </c>
      <c r="B390" s="633">
        <v>13</v>
      </c>
      <c r="C390" s="633" t="s">
        <v>323</v>
      </c>
      <c r="D390" s="633" t="s">
        <v>324</v>
      </c>
      <c r="F390" s="633" t="s">
        <v>325</v>
      </c>
      <c r="G390" s="633" t="s">
        <v>584</v>
      </c>
      <c r="H390" s="633" t="s">
        <v>375</v>
      </c>
      <c r="J390" s="633" t="s">
        <v>327</v>
      </c>
      <c r="K390" s="633" t="s">
        <v>260</v>
      </c>
      <c r="L390" s="633" t="s">
        <v>308</v>
      </c>
      <c r="M390" s="633" t="s">
        <v>471</v>
      </c>
      <c r="N390" s="633" t="s">
        <v>256</v>
      </c>
      <c r="O390" s="633">
        <v>1</v>
      </c>
      <c r="P390" s="633">
        <v>6</v>
      </c>
      <c r="Q390" s="633">
        <v>1</v>
      </c>
      <c r="T390" s="594">
        <v>41736.707546296297</v>
      </c>
    </row>
    <row r="391" spans="1:20" x14ac:dyDescent="0.25">
      <c r="A391" s="633" t="s">
        <v>308</v>
      </c>
      <c r="B391" s="633">
        <v>13</v>
      </c>
      <c r="C391" s="633" t="s">
        <v>323</v>
      </c>
      <c r="D391" s="633" t="s">
        <v>324</v>
      </c>
      <c r="F391" s="633" t="s">
        <v>325</v>
      </c>
      <c r="G391" s="633" t="s">
        <v>584</v>
      </c>
      <c r="H391" s="633" t="s">
        <v>380</v>
      </c>
      <c r="J391" s="633" t="s">
        <v>327</v>
      </c>
      <c r="K391" s="633" t="s">
        <v>260</v>
      </c>
      <c r="L391" s="633" t="s">
        <v>308</v>
      </c>
      <c r="M391" s="633" t="s">
        <v>471</v>
      </c>
      <c r="N391" s="633" t="s">
        <v>256</v>
      </c>
      <c r="O391" s="633">
        <v>6</v>
      </c>
      <c r="P391" s="633">
        <v>1</v>
      </c>
      <c r="Q391" s="633">
        <v>0</v>
      </c>
      <c r="T391" s="594">
        <v>41736.707546296297</v>
      </c>
    </row>
    <row r="392" spans="1:20" x14ac:dyDescent="0.25">
      <c r="A392" s="633" t="s">
        <v>308</v>
      </c>
      <c r="B392" s="633">
        <v>13</v>
      </c>
      <c r="C392" s="633" t="s">
        <v>323</v>
      </c>
      <c r="D392" s="633" t="s">
        <v>324</v>
      </c>
      <c r="F392" s="633" t="s">
        <v>325</v>
      </c>
      <c r="G392" s="633" t="s">
        <v>584</v>
      </c>
      <c r="H392" s="633" t="s">
        <v>330</v>
      </c>
      <c r="J392" s="633" t="s">
        <v>327</v>
      </c>
      <c r="K392" s="633" t="s">
        <v>260</v>
      </c>
      <c r="L392" s="633" t="s">
        <v>308</v>
      </c>
      <c r="M392" s="633" t="s">
        <v>471</v>
      </c>
      <c r="N392" s="633" t="s">
        <v>256</v>
      </c>
      <c r="O392" s="633">
        <v>3</v>
      </c>
      <c r="Q392" s="633">
        <v>1</v>
      </c>
      <c r="T392" s="594">
        <v>41736.707546296297</v>
      </c>
    </row>
    <row r="393" spans="1:20" x14ac:dyDescent="0.25">
      <c r="A393" s="633" t="s">
        <v>308</v>
      </c>
      <c r="B393" s="633">
        <v>13</v>
      </c>
      <c r="C393" s="633" t="s">
        <v>323</v>
      </c>
      <c r="D393" s="633" t="s">
        <v>324</v>
      </c>
      <c r="F393" s="633" t="s">
        <v>325</v>
      </c>
      <c r="G393" s="633" t="s">
        <v>584</v>
      </c>
      <c r="H393" s="633" t="s">
        <v>374</v>
      </c>
      <c r="J393" s="633" t="s">
        <v>327</v>
      </c>
      <c r="K393" s="633" t="s">
        <v>260</v>
      </c>
      <c r="L393" s="633" t="s">
        <v>308</v>
      </c>
      <c r="M393" s="633" t="s">
        <v>471</v>
      </c>
      <c r="N393" s="633" t="s">
        <v>256</v>
      </c>
      <c r="O393" s="633">
        <v>1</v>
      </c>
      <c r="P393" s="633">
        <v>7</v>
      </c>
      <c r="Q393" s="633">
        <v>0</v>
      </c>
      <c r="T393" s="594">
        <v>41736.707546296297</v>
      </c>
    </row>
    <row r="394" spans="1:20" x14ac:dyDescent="0.25">
      <c r="A394" s="633" t="s">
        <v>308</v>
      </c>
      <c r="B394" s="633">
        <v>13</v>
      </c>
      <c r="C394" s="633" t="s">
        <v>323</v>
      </c>
      <c r="D394" s="633" t="s">
        <v>324</v>
      </c>
      <c r="F394" s="633" t="s">
        <v>325</v>
      </c>
      <c r="G394" s="633" t="s">
        <v>584</v>
      </c>
      <c r="H394" s="633" t="s">
        <v>358</v>
      </c>
      <c r="J394" s="633" t="s">
        <v>327</v>
      </c>
      <c r="K394" s="633" t="s">
        <v>260</v>
      </c>
      <c r="L394" s="633" t="s">
        <v>308</v>
      </c>
      <c r="M394" s="633" t="s">
        <v>471</v>
      </c>
      <c r="N394" s="633" t="s">
        <v>256</v>
      </c>
      <c r="O394" s="633">
        <v>3</v>
      </c>
      <c r="P394" s="633">
        <v>3</v>
      </c>
      <c r="Q394" s="633">
        <v>0</v>
      </c>
      <c r="T394" s="594">
        <v>41736.707546296297</v>
      </c>
    </row>
    <row r="395" spans="1:20" x14ac:dyDescent="0.25">
      <c r="A395" s="633" t="s">
        <v>308</v>
      </c>
      <c r="B395" s="633">
        <v>13</v>
      </c>
      <c r="C395" s="633" t="s">
        <v>323</v>
      </c>
      <c r="D395" s="633" t="s">
        <v>324</v>
      </c>
      <c r="F395" s="633" t="s">
        <v>325</v>
      </c>
      <c r="G395" s="633" t="s">
        <v>584</v>
      </c>
      <c r="H395" s="633" t="s">
        <v>363</v>
      </c>
      <c r="J395" s="633" t="s">
        <v>327</v>
      </c>
      <c r="K395" s="633" t="s">
        <v>260</v>
      </c>
      <c r="L395" s="633" t="s">
        <v>308</v>
      </c>
      <c r="M395" s="633" t="s">
        <v>471</v>
      </c>
      <c r="N395" s="633" t="s">
        <v>256</v>
      </c>
      <c r="P395" s="633">
        <v>5</v>
      </c>
      <c r="Q395" s="633">
        <v>0</v>
      </c>
      <c r="T395" s="594">
        <v>41736.707546296297</v>
      </c>
    </row>
    <row r="396" spans="1:20" x14ac:dyDescent="0.25">
      <c r="A396" s="633" t="s">
        <v>308</v>
      </c>
      <c r="B396" s="633">
        <v>13</v>
      </c>
      <c r="C396" s="633" t="s">
        <v>323</v>
      </c>
      <c r="D396" s="633" t="s">
        <v>324</v>
      </c>
      <c r="F396" s="633" t="s">
        <v>325</v>
      </c>
      <c r="G396" s="633" t="s">
        <v>584</v>
      </c>
      <c r="H396" s="633" t="s">
        <v>353</v>
      </c>
      <c r="J396" s="633" t="s">
        <v>327</v>
      </c>
      <c r="K396" s="633" t="s">
        <v>260</v>
      </c>
      <c r="L396" s="633" t="s">
        <v>308</v>
      </c>
      <c r="M396" s="633" t="s">
        <v>471</v>
      </c>
      <c r="N396" s="633" t="s">
        <v>256</v>
      </c>
      <c r="O396" s="633">
        <v>4</v>
      </c>
      <c r="P396" s="633">
        <v>7</v>
      </c>
      <c r="Q396" s="633">
        <v>0</v>
      </c>
      <c r="T396" s="594">
        <v>41736.707546296297</v>
      </c>
    </row>
    <row r="397" spans="1:20" x14ac:dyDescent="0.25">
      <c r="A397" s="633" t="s">
        <v>308</v>
      </c>
      <c r="B397" s="633">
        <v>13</v>
      </c>
      <c r="C397" s="633" t="s">
        <v>323</v>
      </c>
      <c r="D397" s="633" t="s">
        <v>324</v>
      </c>
      <c r="F397" s="633" t="s">
        <v>325</v>
      </c>
      <c r="G397" s="633" t="s">
        <v>584</v>
      </c>
      <c r="H397" s="633" t="s">
        <v>370</v>
      </c>
      <c r="J397" s="633" t="s">
        <v>327</v>
      </c>
      <c r="K397" s="633" t="s">
        <v>260</v>
      </c>
      <c r="L397" s="633" t="s">
        <v>308</v>
      </c>
      <c r="M397" s="633" t="s">
        <v>471</v>
      </c>
      <c r="N397" s="633" t="s">
        <v>256</v>
      </c>
      <c r="O397" s="633">
        <v>1</v>
      </c>
      <c r="P397" s="633">
        <v>5</v>
      </c>
      <c r="Q397" s="633">
        <v>0</v>
      </c>
      <c r="T397" s="594">
        <v>41736.707546296297</v>
      </c>
    </row>
    <row r="398" spans="1:20" x14ac:dyDescent="0.25">
      <c r="A398" s="633" t="s">
        <v>308</v>
      </c>
      <c r="B398" s="633">
        <v>13</v>
      </c>
      <c r="C398" s="633" t="s">
        <v>323</v>
      </c>
      <c r="D398" s="633" t="s">
        <v>324</v>
      </c>
      <c r="F398" s="633" t="s">
        <v>325</v>
      </c>
      <c r="G398" s="633" t="s">
        <v>584</v>
      </c>
      <c r="H398" s="633" t="s">
        <v>364</v>
      </c>
      <c r="J398" s="633" t="s">
        <v>327</v>
      </c>
      <c r="K398" s="633" t="s">
        <v>260</v>
      </c>
      <c r="L398" s="633" t="s">
        <v>308</v>
      </c>
      <c r="M398" s="633" t="s">
        <v>471</v>
      </c>
      <c r="N398" s="633" t="s">
        <v>256</v>
      </c>
      <c r="P398" s="633">
        <v>4</v>
      </c>
      <c r="Q398" s="633">
        <v>0</v>
      </c>
      <c r="T398" s="594">
        <v>41736.707546296297</v>
      </c>
    </row>
    <row r="399" spans="1:20" x14ac:dyDescent="0.25">
      <c r="A399" s="633" t="s">
        <v>308</v>
      </c>
      <c r="B399" s="633">
        <v>13</v>
      </c>
      <c r="C399" s="633" t="s">
        <v>323</v>
      </c>
      <c r="D399" s="633" t="s">
        <v>324</v>
      </c>
      <c r="F399" s="633" t="s">
        <v>325</v>
      </c>
      <c r="G399" s="633" t="s">
        <v>584</v>
      </c>
      <c r="H399" s="633" t="s">
        <v>339</v>
      </c>
      <c r="J399" s="633" t="s">
        <v>327</v>
      </c>
      <c r="K399" s="633" t="s">
        <v>260</v>
      </c>
      <c r="L399" s="633" t="s">
        <v>308</v>
      </c>
      <c r="M399" s="633" t="s">
        <v>471</v>
      </c>
      <c r="N399" s="633" t="s">
        <v>256</v>
      </c>
      <c r="O399" s="633">
        <v>2</v>
      </c>
      <c r="P399" s="633">
        <v>7</v>
      </c>
      <c r="Q399" s="633">
        <v>0</v>
      </c>
      <c r="T399" s="594">
        <v>41736.707546296297</v>
      </c>
    </row>
    <row r="400" spans="1:20" x14ac:dyDescent="0.25">
      <c r="A400" s="633" t="s">
        <v>308</v>
      </c>
      <c r="B400" s="633">
        <v>13</v>
      </c>
      <c r="C400" s="633" t="s">
        <v>323</v>
      </c>
      <c r="D400" s="633" t="s">
        <v>324</v>
      </c>
      <c r="F400" s="633" t="s">
        <v>325</v>
      </c>
      <c r="G400" s="633" t="s">
        <v>584</v>
      </c>
      <c r="H400" s="633" t="s">
        <v>344</v>
      </c>
      <c r="J400" s="633" t="s">
        <v>327</v>
      </c>
      <c r="K400" s="633" t="s">
        <v>260</v>
      </c>
      <c r="L400" s="633" t="s">
        <v>308</v>
      </c>
      <c r="M400" s="633" t="s">
        <v>471</v>
      </c>
      <c r="N400" s="633" t="s">
        <v>256</v>
      </c>
      <c r="O400" s="633">
        <v>5</v>
      </c>
      <c r="P400" s="633">
        <v>3</v>
      </c>
      <c r="Q400" s="633">
        <v>0</v>
      </c>
      <c r="T400" s="594">
        <v>41736.707546296297</v>
      </c>
    </row>
    <row r="401" spans="1:20" x14ac:dyDescent="0.25">
      <c r="A401" s="633" t="s">
        <v>308</v>
      </c>
      <c r="B401" s="633">
        <v>13</v>
      </c>
      <c r="C401" s="633" t="s">
        <v>323</v>
      </c>
      <c r="D401" s="633" t="s">
        <v>324</v>
      </c>
      <c r="F401" s="633" t="s">
        <v>325</v>
      </c>
      <c r="G401" s="633" t="s">
        <v>584</v>
      </c>
      <c r="H401" s="633" t="s">
        <v>328</v>
      </c>
      <c r="J401" s="633" t="s">
        <v>327</v>
      </c>
      <c r="K401" s="633" t="s">
        <v>260</v>
      </c>
      <c r="L401" s="633" t="s">
        <v>308</v>
      </c>
      <c r="M401" s="633" t="s">
        <v>471</v>
      </c>
      <c r="N401" s="633" t="s">
        <v>256</v>
      </c>
      <c r="O401" s="633">
        <v>5</v>
      </c>
      <c r="Q401" s="633">
        <v>0</v>
      </c>
      <c r="T401" s="594">
        <v>41736.707546296297</v>
      </c>
    </row>
    <row r="402" spans="1:20" x14ac:dyDescent="0.25">
      <c r="A402" s="633" t="s">
        <v>308</v>
      </c>
      <c r="B402" s="633">
        <v>13</v>
      </c>
      <c r="C402" s="633" t="s">
        <v>323</v>
      </c>
      <c r="D402" s="633" t="s">
        <v>324</v>
      </c>
      <c r="F402" s="633" t="s">
        <v>325</v>
      </c>
      <c r="G402" s="633" t="s">
        <v>584</v>
      </c>
      <c r="H402" s="633" t="s">
        <v>333</v>
      </c>
      <c r="J402" s="633" t="s">
        <v>327</v>
      </c>
      <c r="K402" s="633" t="s">
        <v>260</v>
      </c>
      <c r="L402" s="633" t="s">
        <v>308</v>
      </c>
      <c r="M402" s="633" t="s">
        <v>471</v>
      </c>
      <c r="N402" s="633" t="s">
        <v>256</v>
      </c>
      <c r="O402" s="633">
        <v>6</v>
      </c>
      <c r="Q402" s="633">
        <v>0</v>
      </c>
      <c r="T402" s="594">
        <v>41736.707546296297</v>
      </c>
    </row>
    <row r="403" spans="1:20" x14ac:dyDescent="0.25">
      <c r="A403" s="633" t="s">
        <v>308</v>
      </c>
      <c r="B403" s="633">
        <v>13</v>
      </c>
      <c r="C403" s="633" t="s">
        <v>323</v>
      </c>
      <c r="D403" s="633" t="s">
        <v>324</v>
      </c>
      <c r="F403" s="633" t="s">
        <v>325</v>
      </c>
      <c r="G403" s="633" t="s">
        <v>584</v>
      </c>
      <c r="H403" s="633" t="s">
        <v>356</v>
      </c>
      <c r="J403" s="633" t="s">
        <v>327</v>
      </c>
      <c r="K403" s="633" t="s">
        <v>260</v>
      </c>
      <c r="L403" s="633" t="s">
        <v>308</v>
      </c>
      <c r="M403" s="633" t="s">
        <v>471</v>
      </c>
      <c r="N403" s="633" t="s">
        <v>256</v>
      </c>
      <c r="O403" s="633">
        <v>3</v>
      </c>
      <c r="P403" s="633">
        <v>5</v>
      </c>
      <c r="Q403" s="633">
        <v>0</v>
      </c>
      <c r="T403" s="594">
        <v>41736.707546296297</v>
      </c>
    </row>
    <row r="404" spans="1:20" x14ac:dyDescent="0.25">
      <c r="A404" s="633" t="s">
        <v>308</v>
      </c>
      <c r="B404" s="633">
        <v>13</v>
      </c>
      <c r="C404" s="633" t="s">
        <v>323</v>
      </c>
      <c r="D404" s="633" t="s">
        <v>324</v>
      </c>
      <c r="F404" s="633" t="s">
        <v>325</v>
      </c>
      <c r="G404" s="633" t="s">
        <v>584</v>
      </c>
      <c r="H404" s="633" t="s">
        <v>355</v>
      </c>
      <c r="J404" s="633" t="s">
        <v>327</v>
      </c>
      <c r="K404" s="633" t="s">
        <v>260</v>
      </c>
      <c r="L404" s="633" t="s">
        <v>308</v>
      </c>
      <c r="M404" s="633" t="s">
        <v>471</v>
      </c>
      <c r="N404" s="633" t="s">
        <v>256</v>
      </c>
      <c r="O404" s="633">
        <v>3</v>
      </c>
      <c r="P404" s="633">
        <v>2</v>
      </c>
      <c r="Q404" s="633">
        <v>0</v>
      </c>
      <c r="T404" s="594">
        <v>41736.707546296297</v>
      </c>
    </row>
    <row r="405" spans="1:20" x14ac:dyDescent="0.25">
      <c r="A405" s="633" t="s">
        <v>308</v>
      </c>
      <c r="B405" s="633">
        <v>13</v>
      </c>
      <c r="C405" s="633" t="s">
        <v>323</v>
      </c>
      <c r="D405" s="633" t="s">
        <v>324</v>
      </c>
      <c r="F405" s="633" t="s">
        <v>325</v>
      </c>
      <c r="G405" s="633" t="s">
        <v>584</v>
      </c>
      <c r="H405" s="633" t="s">
        <v>341</v>
      </c>
      <c r="J405" s="633" t="s">
        <v>327</v>
      </c>
      <c r="K405" s="633" t="s">
        <v>260</v>
      </c>
      <c r="L405" s="633" t="s">
        <v>308</v>
      </c>
      <c r="M405" s="633" t="s">
        <v>471</v>
      </c>
      <c r="N405" s="633" t="s">
        <v>256</v>
      </c>
      <c r="O405" s="633">
        <v>5</v>
      </c>
      <c r="P405" s="633">
        <v>2</v>
      </c>
      <c r="Q405" s="633">
        <v>0</v>
      </c>
      <c r="T405" s="594">
        <v>41736.707546296297</v>
      </c>
    </row>
    <row r="406" spans="1:20" x14ac:dyDescent="0.25">
      <c r="A406" s="633" t="s">
        <v>308</v>
      </c>
      <c r="B406" s="633">
        <v>13</v>
      </c>
      <c r="C406" s="633" t="s">
        <v>323</v>
      </c>
      <c r="D406" s="633" t="s">
        <v>324</v>
      </c>
      <c r="F406" s="633" t="s">
        <v>325</v>
      </c>
      <c r="G406" s="633" t="s">
        <v>584</v>
      </c>
      <c r="H406" s="633" t="s">
        <v>348</v>
      </c>
      <c r="J406" s="633" t="s">
        <v>327</v>
      </c>
      <c r="K406" s="633" t="s">
        <v>260</v>
      </c>
      <c r="L406" s="633" t="s">
        <v>308</v>
      </c>
      <c r="M406" s="633" t="s">
        <v>471</v>
      </c>
      <c r="N406" s="633" t="s">
        <v>256</v>
      </c>
      <c r="O406" s="633">
        <v>4</v>
      </c>
      <c r="P406" s="633">
        <v>2</v>
      </c>
      <c r="Q406" s="633">
        <v>0</v>
      </c>
      <c r="T406" s="594">
        <v>41736.707546296297</v>
      </c>
    </row>
    <row r="407" spans="1:20" x14ac:dyDescent="0.25">
      <c r="A407" s="633" t="s">
        <v>308</v>
      </c>
      <c r="B407" s="633">
        <v>13</v>
      </c>
      <c r="C407" s="633" t="s">
        <v>323</v>
      </c>
      <c r="D407" s="633" t="s">
        <v>324</v>
      </c>
      <c r="F407" s="633" t="s">
        <v>325</v>
      </c>
      <c r="G407" s="633" t="s">
        <v>584</v>
      </c>
      <c r="H407" s="633" t="s">
        <v>373</v>
      </c>
      <c r="J407" s="633" t="s">
        <v>327</v>
      </c>
      <c r="K407" s="633" t="s">
        <v>260</v>
      </c>
      <c r="L407" s="633" t="s">
        <v>308</v>
      </c>
      <c r="M407" s="633" t="s">
        <v>471</v>
      </c>
      <c r="N407" s="633" t="s">
        <v>256</v>
      </c>
      <c r="O407" s="633">
        <v>1</v>
      </c>
      <c r="P407" s="633">
        <v>1</v>
      </c>
      <c r="Q407" s="633">
        <v>0</v>
      </c>
      <c r="T407" s="594">
        <v>41736.707546296297</v>
      </c>
    </row>
    <row r="408" spans="1:20" x14ac:dyDescent="0.25">
      <c r="A408" s="633" t="s">
        <v>308</v>
      </c>
      <c r="B408" s="633">
        <v>13</v>
      </c>
      <c r="C408" s="633" t="s">
        <v>323</v>
      </c>
      <c r="D408" s="633" t="s">
        <v>324</v>
      </c>
      <c r="F408" s="633" t="s">
        <v>325</v>
      </c>
      <c r="G408" s="633" t="s">
        <v>584</v>
      </c>
      <c r="H408" s="633" t="s">
        <v>337</v>
      </c>
      <c r="J408" s="633" t="s">
        <v>327</v>
      </c>
      <c r="K408" s="633" t="s">
        <v>260</v>
      </c>
      <c r="L408" s="633" t="s">
        <v>308</v>
      </c>
      <c r="M408" s="633" t="s">
        <v>471</v>
      </c>
      <c r="N408" s="633" t="s">
        <v>256</v>
      </c>
      <c r="O408" s="633">
        <v>2</v>
      </c>
      <c r="P408" s="633">
        <v>3</v>
      </c>
      <c r="Q408" s="633">
        <v>0</v>
      </c>
      <c r="T408" s="594">
        <v>41736.707546296297</v>
      </c>
    </row>
    <row r="409" spans="1:20" x14ac:dyDescent="0.25">
      <c r="A409" s="633" t="s">
        <v>308</v>
      </c>
      <c r="B409" s="633">
        <v>13</v>
      </c>
      <c r="C409" s="633" t="s">
        <v>323</v>
      </c>
      <c r="D409" s="633" t="s">
        <v>324</v>
      </c>
      <c r="F409" s="633" t="s">
        <v>325</v>
      </c>
      <c r="G409" s="633" t="s">
        <v>584</v>
      </c>
      <c r="H409" s="633" t="s">
        <v>342</v>
      </c>
      <c r="J409" s="633" t="s">
        <v>327</v>
      </c>
      <c r="K409" s="633" t="s">
        <v>260</v>
      </c>
      <c r="L409" s="633" t="s">
        <v>308</v>
      </c>
      <c r="M409" s="633" t="s">
        <v>471</v>
      </c>
      <c r="N409" s="633" t="s">
        <v>256</v>
      </c>
      <c r="O409" s="633">
        <v>5</v>
      </c>
      <c r="P409" s="633">
        <v>5</v>
      </c>
      <c r="Q409" s="633">
        <v>0</v>
      </c>
      <c r="T409" s="594">
        <v>41736.707546296297</v>
      </c>
    </row>
    <row r="410" spans="1:20" x14ac:dyDescent="0.25">
      <c r="A410" s="633" t="s">
        <v>308</v>
      </c>
      <c r="B410" s="633">
        <v>13</v>
      </c>
      <c r="C410" s="633" t="s">
        <v>323</v>
      </c>
      <c r="D410" s="633" t="s">
        <v>324</v>
      </c>
      <c r="F410" s="633" t="s">
        <v>325</v>
      </c>
      <c r="G410" s="633" t="s">
        <v>584</v>
      </c>
      <c r="H410" s="633" t="s">
        <v>332</v>
      </c>
      <c r="J410" s="633" t="s">
        <v>327</v>
      </c>
      <c r="K410" s="633" t="s">
        <v>260</v>
      </c>
      <c r="L410" s="633" t="s">
        <v>308</v>
      </c>
      <c r="M410" s="633" t="s">
        <v>471</v>
      </c>
      <c r="N410" s="633" t="s">
        <v>256</v>
      </c>
      <c r="O410" s="633">
        <v>1</v>
      </c>
      <c r="Q410" s="633">
        <v>2</v>
      </c>
      <c r="T410" s="594">
        <v>41736.707546296297</v>
      </c>
    </row>
    <row r="411" spans="1:20" x14ac:dyDescent="0.25">
      <c r="A411" s="633" t="s">
        <v>308</v>
      </c>
      <c r="B411" s="633">
        <v>13</v>
      </c>
      <c r="C411" s="633" t="s">
        <v>323</v>
      </c>
      <c r="D411" s="633" t="s">
        <v>324</v>
      </c>
      <c r="F411" s="633" t="s">
        <v>325</v>
      </c>
      <c r="G411" s="633" t="s">
        <v>584</v>
      </c>
      <c r="H411" s="633" t="s">
        <v>376</v>
      </c>
      <c r="J411" s="633" t="s">
        <v>327</v>
      </c>
      <c r="K411" s="633" t="s">
        <v>260</v>
      </c>
      <c r="L411" s="633" t="s">
        <v>308</v>
      </c>
      <c r="M411" s="633" t="s">
        <v>471</v>
      </c>
      <c r="N411" s="633" t="s">
        <v>256</v>
      </c>
      <c r="O411" s="633">
        <v>6</v>
      </c>
      <c r="P411" s="633">
        <v>2</v>
      </c>
      <c r="Q411" s="633">
        <v>0</v>
      </c>
      <c r="T411" s="594">
        <v>41736.707546296297</v>
      </c>
    </row>
    <row r="412" spans="1:20" x14ac:dyDescent="0.25">
      <c r="A412" s="633" t="s">
        <v>308</v>
      </c>
      <c r="B412" s="633">
        <v>13</v>
      </c>
      <c r="C412" s="633" t="s">
        <v>323</v>
      </c>
      <c r="D412" s="633" t="s">
        <v>324</v>
      </c>
      <c r="F412" s="633" t="s">
        <v>325</v>
      </c>
      <c r="G412" s="633" t="s">
        <v>584</v>
      </c>
      <c r="H412" s="633" t="s">
        <v>369</v>
      </c>
      <c r="J412" s="633" t="s">
        <v>327</v>
      </c>
      <c r="K412" s="633" t="s">
        <v>260</v>
      </c>
      <c r="L412" s="633" t="s">
        <v>308</v>
      </c>
      <c r="M412" s="633" t="s">
        <v>471</v>
      </c>
      <c r="N412" s="633" t="s">
        <v>256</v>
      </c>
      <c r="O412" s="633">
        <v>1</v>
      </c>
      <c r="P412" s="633">
        <v>2</v>
      </c>
      <c r="Q412" s="633">
        <v>0</v>
      </c>
      <c r="T412" s="594">
        <v>41736.707546296297</v>
      </c>
    </row>
    <row r="413" spans="1:20" x14ac:dyDescent="0.25">
      <c r="A413" s="633" t="s">
        <v>308</v>
      </c>
      <c r="B413" s="633">
        <v>13</v>
      </c>
      <c r="C413" s="633" t="s">
        <v>323</v>
      </c>
      <c r="D413" s="633" t="s">
        <v>324</v>
      </c>
      <c r="F413" s="633" t="s">
        <v>325</v>
      </c>
      <c r="G413" s="633" t="s">
        <v>584</v>
      </c>
      <c r="H413" s="633" t="s">
        <v>362</v>
      </c>
      <c r="J413" s="633" t="s">
        <v>327</v>
      </c>
      <c r="K413" s="633" t="s">
        <v>260</v>
      </c>
      <c r="L413" s="633" t="s">
        <v>308</v>
      </c>
      <c r="M413" s="633" t="s">
        <v>471</v>
      </c>
      <c r="N413" s="633" t="s">
        <v>256</v>
      </c>
      <c r="P413" s="633">
        <v>2</v>
      </c>
      <c r="Q413" s="633">
        <v>0</v>
      </c>
      <c r="T413" s="594">
        <v>41736.707546296297</v>
      </c>
    </row>
    <row r="414" spans="1:20" x14ac:dyDescent="0.25">
      <c r="A414" s="633" t="s">
        <v>308</v>
      </c>
      <c r="B414" s="633">
        <v>13</v>
      </c>
      <c r="C414" s="633" t="s">
        <v>323</v>
      </c>
      <c r="D414" s="633" t="s">
        <v>324</v>
      </c>
      <c r="F414" s="633" t="s">
        <v>325</v>
      </c>
      <c r="G414" s="633" t="s">
        <v>584</v>
      </c>
      <c r="H414" s="633" t="s">
        <v>331</v>
      </c>
      <c r="J414" s="633" t="s">
        <v>327</v>
      </c>
      <c r="K414" s="633" t="s">
        <v>260</v>
      </c>
      <c r="L414" s="633" t="s">
        <v>308</v>
      </c>
      <c r="M414" s="633" t="s">
        <v>471</v>
      </c>
      <c r="N414" s="633" t="s">
        <v>256</v>
      </c>
      <c r="Q414" s="633">
        <v>2</v>
      </c>
      <c r="T414" s="594">
        <v>41736.707546296297</v>
      </c>
    </row>
    <row r="415" spans="1:20" x14ac:dyDescent="0.25">
      <c r="A415" s="633" t="s">
        <v>308</v>
      </c>
      <c r="B415" s="633">
        <v>13</v>
      </c>
      <c r="C415" s="633" t="s">
        <v>323</v>
      </c>
      <c r="D415" s="633" t="s">
        <v>324</v>
      </c>
      <c r="F415" s="633" t="s">
        <v>325</v>
      </c>
      <c r="G415" s="633" t="s">
        <v>584</v>
      </c>
      <c r="H415" s="633" t="s">
        <v>372</v>
      </c>
      <c r="J415" s="633" t="s">
        <v>327</v>
      </c>
      <c r="K415" s="633" t="s">
        <v>260</v>
      </c>
      <c r="L415" s="633" t="s">
        <v>308</v>
      </c>
      <c r="M415" s="633" t="s">
        <v>471</v>
      </c>
      <c r="N415" s="633" t="s">
        <v>256</v>
      </c>
      <c r="O415" s="633">
        <v>1</v>
      </c>
      <c r="P415" s="633">
        <v>3</v>
      </c>
      <c r="Q415" s="633">
        <v>0</v>
      </c>
      <c r="T415" s="594">
        <v>41736.707546296297</v>
      </c>
    </row>
    <row r="416" spans="1:20" x14ac:dyDescent="0.25">
      <c r="A416" s="633" t="s">
        <v>308</v>
      </c>
      <c r="B416" s="633">
        <v>13</v>
      </c>
      <c r="C416" s="633" t="s">
        <v>323</v>
      </c>
      <c r="D416" s="633" t="s">
        <v>324</v>
      </c>
      <c r="F416" s="633" t="s">
        <v>325</v>
      </c>
      <c r="G416" s="633" t="s">
        <v>584</v>
      </c>
      <c r="H416" s="633" t="s">
        <v>352</v>
      </c>
      <c r="J416" s="633" t="s">
        <v>327</v>
      </c>
      <c r="K416" s="633" t="s">
        <v>260</v>
      </c>
      <c r="L416" s="633" t="s">
        <v>308</v>
      </c>
      <c r="M416" s="633" t="s">
        <v>471</v>
      </c>
      <c r="N416" s="633" t="s">
        <v>256</v>
      </c>
      <c r="O416" s="633">
        <v>4</v>
      </c>
      <c r="P416" s="633">
        <v>1</v>
      </c>
      <c r="Q416" s="633">
        <v>0</v>
      </c>
      <c r="T416" s="594">
        <v>41736.707546296297</v>
      </c>
    </row>
    <row r="417" spans="1:20" x14ac:dyDescent="0.25">
      <c r="A417" s="633" t="s">
        <v>308</v>
      </c>
      <c r="B417" s="633">
        <v>13</v>
      </c>
      <c r="C417" s="633" t="s">
        <v>323</v>
      </c>
      <c r="D417" s="633" t="s">
        <v>324</v>
      </c>
      <c r="F417" s="633" t="s">
        <v>325</v>
      </c>
      <c r="G417" s="633" t="s">
        <v>584</v>
      </c>
      <c r="H417" s="633" t="s">
        <v>335</v>
      </c>
      <c r="J417" s="633" t="s">
        <v>327</v>
      </c>
      <c r="K417" s="633" t="s">
        <v>260</v>
      </c>
      <c r="L417" s="633" t="s">
        <v>308</v>
      </c>
      <c r="M417" s="633" t="s">
        <v>471</v>
      </c>
      <c r="N417" s="633" t="s">
        <v>256</v>
      </c>
      <c r="O417" s="633">
        <v>2</v>
      </c>
      <c r="P417" s="633">
        <v>5</v>
      </c>
      <c r="Q417" s="633">
        <v>0</v>
      </c>
      <c r="T417" s="594">
        <v>41736.707546296297</v>
      </c>
    </row>
    <row r="418" spans="1:20" x14ac:dyDescent="0.25">
      <c r="A418" s="633" t="s">
        <v>308</v>
      </c>
      <c r="B418" s="633">
        <v>13</v>
      </c>
      <c r="C418" s="633" t="s">
        <v>323</v>
      </c>
      <c r="D418" s="633" t="s">
        <v>324</v>
      </c>
      <c r="F418" s="633" t="s">
        <v>325</v>
      </c>
      <c r="G418" s="633" t="s">
        <v>584</v>
      </c>
      <c r="H418" s="633" t="s">
        <v>349</v>
      </c>
      <c r="J418" s="633" t="s">
        <v>327</v>
      </c>
      <c r="K418" s="633" t="s">
        <v>260</v>
      </c>
      <c r="L418" s="633" t="s">
        <v>308</v>
      </c>
      <c r="M418" s="633" t="s">
        <v>471</v>
      </c>
      <c r="N418" s="633" t="s">
        <v>256</v>
      </c>
      <c r="O418" s="633">
        <v>4</v>
      </c>
      <c r="P418" s="633">
        <v>5</v>
      </c>
      <c r="Q418" s="633">
        <v>0</v>
      </c>
      <c r="T418" s="594">
        <v>41736.707546296297</v>
      </c>
    </row>
    <row r="419" spans="1:20" x14ac:dyDescent="0.25">
      <c r="A419" s="633" t="s">
        <v>308</v>
      </c>
      <c r="B419" s="633">
        <v>13</v>
      </c>
      <c r="C419" s="633" t="s">
        <v>323</v>
      </c>
      <c r="D419" s="633" t="s">
        <v>324</v>
      </c>
      <c r="F419" s="633" t="s">
        <v>325</v>
      </c>
      <c r="G419" s="633" t="s">
        <v>584</v>
      </c>
      <c r="H419" s="633" t="s">
        <v>334</v>
      </c>
      <c r="J419" s="633" t="s">
        <v>327</v>
      </c>
      <c r="K419" s="633" t="s">
        <v>260</v>
      </c>
      <c r="L419" s="633" t="s">
        <v>308</v>
      </c>
      <c r="M419" s="633" t="s">
        <v>471</v>
      </c>
      <c r="N419" s="633" t="s">
        <v>256</v>
      </c>
      <c r="O419" s="633">
        <v>2</v>
      </c>
      <c r="P419" s="633">
        <v>2</v>
      </c>
      <c r="Q419" s="633">
        <v>0</v>
      </c>
      <c r="T419" s="594">
        <v>41736.707546296297</v>
      </c>
    </row>
    <row r="420" spans="1:20" x14ac:dyDescent="0.25">
      <c r="A420" s="633" t="s">
        <v>308</v>
      </c>
      <c r="B420" s="633">
        <v>13</v>
      </c>
      <c r="C420" s="633" t="s">
        <v>323</v>
      </c>
      <c r="D420" s="633" t="s">
        <v>324</v>
      </c>
      <c r="F420" s="633" t="s">
        <v>325</v>
      </c>
      <c r="G420" s="633" t="s">
        <v>584</v>
      </c>
      <c r="H420" s="633" t="s">
        <v>338</v>
      </c>
      <c r="J420" s="633" t="s">
        <v>327</v>
      </c>
      <c r="K420" s="633" t="s">
        <v>260</v>
      </c>
      <c r="L420" s="633" t="s">
        <v>308</v>
      </c>
      <c r="M420" s="633" t="s">
        <v>471</v>
      </c>
      <c r="N420" s="633" t="s">
        <v>256</v>
      </c>
      <c r="O420" s="633">
        <v>2</v>
      </c>
      <c r="P420" s="633">
        <v>1</v>
      </c>
      <c r="Q420" s="633">
        <v>0</v>
      </c>
      <c r="T420" s="594">
        <v>41736.707546296297</v>
      </c>
    </row>
    <row r="421" spans="1:20" x14ac:dyDescent="0.25">
      <c r="A421" s="633" t="s">
        <v>308</v>
      </c>
      <c r="B421" s="633">
        <v>13</v>
      </c>
      <c r="C421" s="633" t="s">
        <v>323</v>
      </c>
      <c r="D421" s="633" t="s">
        <v>324</v>
      </c>
      <c r="F421" s="633" t="s">
        <v>325</v>
      </c>
      <c r="G421" s="633" t="s">
        <v>584</v>
      </c>
      <c r="H421" s="633" t="s">
        <v>359</v>
      </c>
      <c r="J421" s="633" t="s">
        <v>327</v>
      </c>
      <c r="K421" s="633" t="s">
        <v>260</v>
      </c>
      <c r="L421" s="633" t="s">
        <v>308</v>
      </c>
      <c r="M421" s="633" t="s">
        <v>471</v>
      </c>
      <c r="N421" s="633" t="s">
        <v>256</v>
      </c>
      <c r="O421" s="633">
        <v>3</v>
      </c>
      <c r="P421" s="633">
        <v>1</v>
      </c>
      <c r="Q421" s="633">
        <v>0</v>
      </c>
      <c r="T421" s="594">
        <v>41736.707546296297</v>
      </c>
    </row>
    <row r="422" spans="1:20" x14ac:dyDescent="0.25">
      <c r="A422" s="633" t="s">
        <v>308</v>
      </c>
      <c r="B422" s="633">
        <v>13</v>
      </c>
      <c r="C422" s="633" t="s">
        <v>323</v>
      </c>
      <c r="D422" s="633" t="s">
        <v>324</v>
      </c>
      <c r="F422" s="633" t="s">
        <v>325</v>
      </c>
      <c r="G422" s="633" t="s">
        <v>584</v>
      </c>
      <c r="H422" s="633" t="s">
        <v>354</v>
      </c>
      <c r="J422" s="633" t="s">
        <v>327</v>
      </c>
      <c r="K422" s="633" t="s">
        <v>260</v>
      </c>
      <c r="L422" s="633" t="s">
        <v>308</v>
      </c>
      <c r="M422" s="633" t="s">
        <v>471</v>
      </c>
      <c r="N422" s="633" t="s">
        <v>256</v>
      </c>
      <c r="O422" s="633">
        <v>4</v>
      </c>
      <c r="P422" s="633">
        <v>6</v>
      </c>
      <c r="Q422" s="633">
        <v>9</v>
      </c>
      <c r="T422" s="594">
        <v>41736.707546296297</v>
      </c>
    </row>
    <row r="423" spans="1:20" x14ac:dyDescent="0.25">
      <c r="A423" s="633" t="s">
        <v>308</v>
      </c>
      <c r="B423" s="633">
        <v>13</v>
      </c>
      <c r="C423" s="633" t="s">
        <v>323</v>
      </c>
      <c r="D423" s="633" t="s">
        <v>324</v>
      </c>
      <c r="F423" s="633" t="s">
        <v>325</v>
      </c>
      <c r="G423" s="633" t="s">
        <v>584</v>
      </c>
      <c r="H423" s="633" t="s">
        <v>345</v>
      </c>
      <c r="J423" s="633" t="s">
        <v>327</v>
      </c>
      <c r="K423" s="633" t="s">
        <v>260</v>
      </c>
      <c r="L423" s="633" t="s">
        <v>308</v>
      </c>
      <c r="M423" s="633" t="s">
        <v>471</v>
      </c>
      <c r="N423" s="633" t="s">
        <v>256</v>
      </c>
      <c r="O423" s="633">
        <v>5</v>
      </c>
      <c r="P423" s="633">
        <v>1</v>
      </c>
      <c r="Q423" s="633">
        <v>0</v>
      </c>
      <c r="T423" s="594">
        <v>41736.707546296297</v>
      </c>
    </row>
    <row r="424" spans="1:20" x14ac:dyDescent="0.25">
      <c r="A424" s="633" t="s">
        <v>308</v>
      </c>
      <c r="B424" s="633">
        <v>13</v>
      </c>
      <c r="C424" s="633" t="s">
        <v>323</v>
      </c>
      <c r="D424" s="633" t="s">
        <v>324</v>
      </c>
      <c r="F424" s="633" t="s">
        <v>325</v>
      </c>
      <c r="G424" s="633" t="s">
        <v>584</v>
      </c>
      <c r="H424" s="633" t="s">
        <v>382</v>
      </c>
      <c r="J424" s="633" t="s">
        <v>327</v>
      </c>
      <c r="K424" s="633" t="s">
        <v>260</v>
      </c>
      <c r="L424" s="633" t="s">
        <v>308</v>
      </c>
      <c r="M424" s="633" t="s">
        <v>471</v>
      </c>
      <c r="N424" s="633" t="s">
        <v>256</v>
      </c>
      <c r="O424" s="633">
        <v>6</v>
      </c>
      <c r="P424" s="633">
        <v>6</v>
      </c>
      <c r="Q424" s="633">
        <v>0</v>
      </c>
      <c r="T424" s="594">
        <v>41736.707546296297</v>
      </c>
    </row>
    <row r="425" spans="1:20" x14ac:dyDescent="0.25">
      <c r="A425" s="633" t="s">
        <v>308</v>
      </c>
      <c r="B425" s="633">
        <v>13</v>
      </c>
      <c r="C425" s="633" t="s">
        <v>323</v>
      </c>
      <c r="D425" s="633" t="s">
        <v>324</v>
      </c>
      <c r="F425" s="633" t="s">
        <v>325</v>
      </c>
      <c r="G425" s="633" t="s">
        <v>584</v>
      </c>
      <c r="H425" s="633" t="s">
        <v>361</v>
      </c>
      <c r="J425" s="633" t="s">
        <v>327</v>
      </c>
      <c r="K425" s="633" t="s">
        <v>260</v>
      </c>
      <c r="L425" s="633" t="s">
        <v>308</v>
      </c>
      <c r="M425" s="633" t="s">
        <v>471</v>
      </c>
      <c r="N425" s="633" t="s">
        <v>256</v>
      </c>
      <c r="O425" s="633">
        <v>3</v>
      </c>
      <c r="P425" s="633">
        <v>6</v>
      </c>
      <c r="Q425" s="633">
        <v>2</v>
      </c>
      <c r="T425" s="594">
        <v>41736.707546296297</v>
      </c>
    </row>
    <row r="426" spans="1:20" x14ac:dyDescent="0.25">
      <c r="A426" s="633" t="s">
        <v>308</v>
      </c>
      <c r="B426" s="633">
        <v>13</v>
      </c>
      <c r="C426" s="633" t="s">
        <v>323</v>
      </c>
      <c r="D426" s="633" t="s">
        <v>324</v>
      </c>
      <c r="F426" s="633" t="s">
        <v>325</v>
      </c>
      <c r="G426" s="633" t="s">
        <v>584</v>
      </c>
      <c r="H426" s="633" t="s">
        <v>366</v>
      </c>
      <c r="J426" s="633" t="s">
        <v>327</v>
      </c>
      <c r="K426" s="633" t="s">
        <v>260</v>
      </c>
      <c r="L426" s="633" t="s">
        <v>308</v>
      </c>
      <c r="M426" s="633" t="s">
        <v>471</v>
      </c>
      <c r="N426" s="633" t="s">
        <v>256</v>
      </c>
      <c r="P426" s="633">
        <v>1</v>
      </c>
      <c r="Q426" s="633">
        <v>0</v>
      </c>
      <c r="T426" s="594">
        <v>41736.707546296297</v>
      </c>
    </row>
    <row r="427" spans="1:20" x14ac:dyDescent="0.25">
      <c r="A427" s="633" t="s">
        <v>308</v>
      </c>
      <c r="B427" s="633">
        <v>13</v>
      </c>
      <c r="C427" s="633" t="s">
        <v>323</v>
      </c>
      <c r="D427" s="633" t="s">
        <v>324</v>
      </c>
      <c r="F427" s="633" t="s">
        <v>325</v>
      </c>
      <c r="G427" s="633" t="s">
        <v>584</v>
      </c>
      <c r="H427" s="633" t="s">
        <v>368</v>
      </c>
      <c r="J427" s="633" t="s">
        <v>327</v>
      </c>
      <c r="K427" s="633" t="s">
        <v>260</v>
      </c>
      <c r="L427" s="633" t="s">
        <v>308</v>
      </c>
      <c r="M427" s="633" t="s">
        <v>471</v>
      </c>
      <c r="N427" s="633" t="s">
        <v>256</v>
      </c>
      <c r="P427" s="633">
        <v>6</v>
      </c>
      <c r="Q427" s="633">
        <v>0</v>
      </c>
      <c r="T427" s="594">
        <v>41736.707546296297</v>
      </c>
    </row>
    <row r="428" spans="1:20" x14ac:dyDescent="0.25">
      <c r="A428" s="633" t="s">
        <v>308</v>
      </c>
      <c r="B428" s="633">
        <v>13</v>
      </c>
      <c r="C428" s="633" t="s">
        <v>323</v>
      </c>
      <c r="D428" s="633" t="s">
        <v>324</v>
      </c>
      <c r="F428" s="633" t="s">
        <v>325</v>
      </c>
      <c r="G428" s="633" t="s">
        <v>584</v>
      </c>
      <c r="H428" s="633" t="s">
        <v>340</v>
      </c>
      <c r="J428" s="633" t="s">
        <v>327</v>
      </c>
      <c r="K428" s="633" t="s">
        <v>260</v>
      </c>
      <c r="L428" s="633" t="s">
        <v>308</v>
      </c>
      <c r="M428" s="633" t="s">
        <v>471</v>
      </c>
      <c r="N428" s="633" t="s">
        <v>256</v>
      </c>
      <c r="O428" s="633">
        <v>2</v>
      </c>
      <c r="P428" s="633">
        <v>6</v>
      </c>
      <c r="Q428" s="633">
        <v>1</v>
      </c>
      <c r="T428" s="594">
        <v>41736.707546296297</v>
      </c>
    </row>
    <row r="429" spans="1:20" x14ac:dyDescent="0.25">
      <c r="A429" s="633" t="s">
        <v>308</v>
      </c>
      <c r="B429" s="633">
        <v>13</v>
      </c>
      <c r="C429" s="633" t="s">
        <v>323</v>
      </c>
      <c r="D429" s="633" t="s">
        <v>324</v>
      </c>
      <c r="F429" s="633" t="s">
        <v>325</v>
      </c>
      <c r="G429" s="633" t="s">
        <v>584</v>
      </c>
      <c r="H429" s="633" t="s">
        <v>326</v>
      </c>
      <c r="J429" s="633" t="s">
        <v>327</v>
      </c>
      <c r="K429" s="633" t="s">
        <v>260</v>
      </c>
      <c r="L429" s="633" t="s">
        <v>308</v>
      </c>
      <c r="M429" s="633" t="s">
        <v>471</v>
      </c>
      <c r="N429" s="633" t="s">
        <v>256</v>
      </c>
      <c r="O429" s="633">
        <v>2</v>
      </c>
      <c r="Q429" s="633">
        <v>0</v>
      </c>
      <c r="T429" s="594">
        <v>41736.707546296297</v>
      </c>
    </row>
    <row r="430" spans="1:20" x14ac:dyDescent="0.25">
      <c r="A430" s="633" t="s">
        <v>308</v>
      </c>
      <c r="B430" s="633">
        <v>13</v>
      </c>
      <c r="C430" s="633" t="s">
        <v>323</v>
      </c>
      <c r="D430" s="633" t="s">
        <v>324</v>
      </c>
      <c r="F430" s="633" t="s">
        <v>325</v>
      </c>
      <c r="G430" s="633" t="s">
        <v>584</v>
      </c>
      <c r="H430" s="633" t="s">
        <v>333</v>
      </c>
      <c r="J430" s="633" t="s">
        <v>327</v>
      </c>
      <c r="K430" s="633" t="s">
        <v>260</v>
      </c>
      <c r="L430" s="633" t="s">
        <v>308</v>
      </c>
      <c r="M430" s="633" t="s">
        <v>470</v>
      </c>
      <c r="N430" s="633" t="s">
        <v>257</v>
      </c>
      <c r="O430" s="633">
        <v>6</v>
      </c>
      <c r="Q430" s="633">
        <v>3</v>
      </c>
      <c r="T430" s="594">
        <v>41736.707546296297</v>
      </c>
    </row>
    <row r="431" spans="1:20" x14ac:dyDescent="0.25">
      <c r="A431" s="633" t="s">
        <v>308</v>
      </c>
      <c r="B431" s="633">
        <v>13</v>
      </c>
      <c r="C431" s="633" t="s">
        <v>323</v>
      </c>
      <c r="D431" s="633" t="s">
        <v>324</v>
      </c>
      <c r="F431" s="633" t="s">
        <v>325</v>
      </c>
      <c r="G431" s="633" t="s">
        <v>584</v>
      </c>
      <c r="H431" s="633" t="s">
        <v>328</v>
      </c>
      <c r="J431" s="633" t="s">
        <v>327</v>
      </c>
      <c r="K431" s="633" t="s">
        <v>260</v>
      </c>
      <c r="L431" s="633" t="s">
        <v>308</v>
      </c>
      <c r="M431" s="633" t="s">
        <v>470</v>
      </c>
      <c r="N431" s="633" t="s">
        <v>257</v>
      </c>
      <c r="O431" s="633">
        <v>5</v>
      </c>
      <c r="Q431" s="633">
        <v>0</v>
      </c>
      <c r="T431" s="594">
        <v>41736.707546296297</v>
      </c>
    </row>
    <row r="432" spans="1:20" x14ac:dyDescent="0.25">
      <c r="A432" s="633" t="s">
        <v>308</v>
      </c>
      <c r="B432" s="633">
        <v>13</v>
      </c>
      <c r="C432" s="633" t="s">
        <v>323</v>
      </c>
      <c r="D432" s="633" t="s">
        <v>324</v>
      </c>
      <c r="F432" s="633" t="s">
        <v>325</v>
      </c>
      <c r="G432" s="633" t="s">
        <v>584</v>
      </c>
      <c r="H432" s="633" t="s">
        <v>332</v>
      </c>
      <c r="J432" s="633" t="s">
        <v>327</v>
      </c>
      <c r="K432" s="633" t="s">
        <v>260</v>
      </c>
      <c r="L432" s="633" t="s">
        <v>308</v>
      </c>
      <c r="M432" s="633" t="s">
        <v>470</v>
      </c>
      <c r="N432" s="633" t="s">
        <v>257</v>
      </c>
      <c r="O432" s="633">
        <v>1</v>
      </c>
      <c r="Q432" s="633">
        <v>0</v>
      </c>
      <c r="T432" s="594">
        <v>41736.707546296297</v>
      </c>
    </row>
    <row r="433" spans="1:20" x14ac:dyDescent="0.25">
      <c r="A433" s="633" t="s">
        <v>308</v>
      </c>
      <c r="B433" s="633">
        <v>13</v>
      </c>
      <c r="C433" s="633" t="s">
        <v>323</v>
      </c>
      <c r="D433" s="633" t="s">
        <v>324</v>
      </c>
      <c r="F433" s="633" t="s">
        <v>325</v>
      </c>
      <c r="G433" s="633" t="s">
        <v>584</v>
      </c>
      <c r="H433" s="633" t="s">
        <v>329</v>
      </c>
      <c r="J433" s="633" t="s">
        <v>327</v>
      </c>
      <c r="K433" s="633" t="s">
        <v>260</v>
      </c>
      <c r="L433" s="633" t="s">
        <v>308</v>
      </c>
      <c r="M433" s="633" t="s">
        <v>470</v>
      </c>
      <c r="N433" s="633" t="s">
        <v>257</v>
      </c>
      <c r="O433" s="633">
        <v>4</v>
      </c>
      <c r="Q433" s="633">
        <v>74</v>
      </c>
      <c r="T433" s="594">
        <v>41736.707546296297</v>
      </c>
    </row>
    <row r="434" spans="1:20" x14ac:dyDescent="0.25">
      <c r="A434" s="633" t="s">
        <v>308</v>
      </c>
      <c r="B434" s="633">
        <v>13</v>
      </c>
      <c r="C434" s="633" t="s">
        <v>323</v>
      </c>
      <c r="D434" s="633" t="s">
        <v>324</v>
      </c>
      <c r="F434" s="633" t="s">
        <v>325</v>
      </c>
      <c r="G434" s="633" t="s">
        <v>584</v>
      </c>
      <c r="H434" s="633" t="s">
        <v>331</v>
      </c>
      <c r="J434" s="633" t="s">
        <v>327</v>
      </c>
      <c r="K434" s="633" t="s">
        <v>260</v>
      </c>
      <c r="L434" s="633" t="s">
        <v>308</v>
      </c>
      <c r="M434" s="633" t="s">
        <v>470</v>
      </c>
      <c r="N434" s="633" t="s">
        <v>257</v>
      </c>
      <c r="Q434" s="633">
        <v>1</v>
      </c>
      <c r="T434" s="594">
        <v>41736.707546296297</v>
      </c>
    </row>
    <row r="435" spans="1:20" x14ac:dyDescent="0.25">
      <c r="A435" s="633" t="s">
        <v>308</v>
      </c>
      <c r="B435" s="633">
        <v>13</v>
      </c>
      <c r="C435" s="633" t="s">
        <v>323</v>
      </c>
      <c r="D435" s="633" t="s">
        <v>324</v>
      </c>
      <c r="F435" s="633" t="s">
        <v>325</v>
      </c>
      <c r="G435" s="633" t="s">
        <v>584</v>
      </c>
      <c r="H435" s="633" t="s">
        <v>330</v>
      </c>
      <c r="J435" s="633" t="s">
        <v>327</v>
      </c>
      <c r="K435" s="633" t="s">
        <v>260</v>
      </c>
      <c r="L435" s="633" t="s">
        <v>308</v>
      </c>
      <c r="M435" s="633" t="s">
        <v>470</v>
      </c>
      <c r="N435" s="633" t="s">
        <v>257</v>
      </c>
      <c r="O435" s="633">
        <v>3</v>
      </c>
      <c r="Q435" s="633">
        <v>17</v>
      </c>
      <c r="T435" s="594">
        <v>41736.707546296297</v>
      </c>
    </row>
    <row r="436" spans="1:20" x14ac:dyDescent="0.25">
      <c r="A436" s="633" t="s">
        <v>308</v>
      </c>
      <c r="B436" s="633">
        <v>13</v>
      </c>
      <c r="C436" s="633" t="s">
        <v>323</v>
      </c>
      <c r="D436" s="633" t="s">
        <v>324</v>
      </c>
      <c r="F436" s="633" t="s">
        <v>325</v>
      </c>
      <c r="G436" s="633" t="s">
        <v>584</v>
      </c>
      <c r="H436" s="633" t="s">
        <v>326</v>
      </c>
      <c r="J436" s="633" t="s">
        <v>327</v>
      </c>
      <c r="K436" s="633" t="s">
        <v>260</v>
      </c>
      <c r="L436" s="633" t="s">
        <v>308</v>
      </c>
      <c r="M436" s="633" t="s">
        <v>470</v>
      </c>
      <c r="N436" s="633" t="s">
        <v>257</v>
      </c>
      <c r="O436" s="633">
        <v>2</v>
      </c>
      <c r="Q436" s="633">
        <v>0</v>
      </c>
      <c r="T436" s="594">
        <v>41736.707546296297</v>
      </c>
    </row>
    <row r="437" spans="1:20" x14ac:dyDescent="0.25">
      <c r="A437" s="633" t="s">
        <v>308</v>
      </c>
      <c r="B437" s="633">
        <v>13</v>
      </c>
      <c r="C437" s="633" t="s">
        <v>323</v>
      </c>
      <c r="D437" s="633" t="s">
        <v>324</v>
      </c>
      <c r="F437" s="633" t="s">
        <v>325</v>
      </c>
      <c r="G437" s="633" t="s">
        <v>584</v>
      </c>
      <c r="H437" s="633" t="s">
        <v>346</v>
      </c>
      <c r="J437" s="633" t="s">
        <v>327</v>
      </c>
      <c r="K437" s="633" t="s">
        <v>260</v>
      </c>
      <c r="L437" s="633" t="s">
        <v>308</v>
      </c>
      <c r="M437" s="633" t="s">
        <v>471</v>
      </c>
      <c r="N437" s="633" t="s">
        <v>257</v>
      </c>
      <c r="O437" s="633">
        <v>5</v>
      </c>
      <c r="P437" s="633">
        <v>7</v>
      </c>
      <c r="Q437" s="633">
        <v>0</v>
      </c>
      <c r="T437" s="594">
        <v>41736.707546296297</v>
      </c>
    </row>
    <row r="438" spans="1:20" x14ac:dyDescent="0.25">
      <c r="A438" s="633" t="s">
        <v>308</v>
      </c>
      <c r="B438" s="633">
        <v>13</v>
      </c>
      <c r="C438" s="633" t="s">
        <v>323</v>
      </c>
      <c r="D438" s="633" t="s">
        <v>324</v>
      </c>
      <c r="F438" s="633" t="s">
        <v>325</v>
      </c>
      <c r="G438" s="633" t="s">
        <v>584</v>
      </c>
      <c r="H438" s="633" t="s">
        <v>328</v>
      </c>
      <c r="J438" s="633" t="s">
        <v>327</v>
      </c>
      <c r="K438" s="633" t="s">
        <v>260</v>
      </c>
      <c r="L438" s="633" t="s">
        <v>308</v>
      </c>
      <c r="M438" s="633" t="s">
        <v>471</v>
      </c>
      <c r="N438" s="633" t="s">
        <v>257</v>
      </c>
      <c r="O438" s="633">
        <v>5</v>
      </c>
      <c r="Q438" s="633">
        <v>0</v>
      </c>
      <c r="T438" s="594">
        <v>41736.707546296297</v>
      </c>
    </row>
    <row r="439" spans="1:20" x14ac:dyDescent="0.25">
      <c r="A439" s="633" t="s">
        <v>308</v>
      </c>
      <c r="B439" s="633">
        <v>13</v>
      </c>
      <c r="C439" s="633" t="s">
        <v>323</v>
      </c>
      <c r="D439" s="633" t="s">
        <v>324</v>
      </c>
      <c r="F439" s="633" t="s">
        <v>325</v>
      </c>
      <c r="G439" s="633" t="s">
        <v>584</v>
      </c>
      <c r="H439" s="633" t="s">
        <v>339</v>
      </c>
      <c r="J439" s="633" t="s">
        <v>327</v>
      </c>
      <c r="K439" s="633" t="s">
        <v>260</v>
      </c>
      <c r="L439" s="633" t="s">
        <v>308</v>
      </c>
      <c r="M439" s="633" t="s">
        <v>471</v>
      </c>
      <c r="N439" s="633" t="s">
        <v>257</v>
      </c>
      <c r="O439" s="633">
        <v>2</v>
      </c>
      <c r="P439" s="633">
        <v>7</v>
      </c>
      <c r="Q439" s="633">
        <v>0</v>
      </c>
      <c r="T439" s="594">
        <v>41736.707546296297</v>
      </c>
    </row>
    <row r="440" spans="1:20" x14ac:dyDescent="0.25">
      <c r="A440" s="633" t="s">
        <v>308</v>
      </c>
      <c r="B440" s="633">
        <v>13</v>
      </c>
      <c r="C440" s="633" t="s">
        <v>323</v>
      </c>
      <c r="D440" s="633" t="s">
        <v>324</v>
      </c>
      <c r="F440" s="633" t="s">
        <v>325</v>
      </c>
      <c r="G440" s="633" t="s">
        <v>584</v>
      </c>
      <c r="H440" s="633" t="s">
        <v>370</v>
      </c>
      <c r="J440" s="633" t="s">
        <v>327</v>
      </c>
      <c r="K440" s="633" t="s">
        <v>260</v>
      </c>
      <c r="L440" s="633" t="s">
        <v>308</v>
      </c>
      <c r="M440" s="633" t="s">
        <v>471</v>
      </c>
      <c r="N440" s="633" t="s">
        <v>257</v>
      </c>
      <c r="O440" s="633">
        <v>1</v>
      </c>
      <c r="P440" s="633">
        <v>5</v>
      </c>
      <c r="Q440" s="633">
        <v>0</v>
      </c>
      <c r="T440" s="594">
        <v>41736.707546296297</v>
      </c>
    </row>
    <row r="441" spans="1:20" x14ac:dyDescent="0.25">
      <c r="A441" s="633" t="s">
        <v>308</v>
      </c>
      <c r="B441" s="633">
        <v>13</v>
      </c>
      <c r="C441" s="633" t="s">
        <v>323</v>
      </c>
      <c r="D441" s="633" t="s">
        <v>324</v>
      </c>
      <c r="F441" s="633" t="s">
        <v>325</v>
      </c>
      <c r="G441" s="633" t="s">
        <v>584</v>
      </c>
      <c r="H441" s="633" t="s">
        <v>338</v>
      </c>
      <c r="J441" s="633" t="s">
        <v>327</v>
      </c>
      <c r="K441" s="633" t="s">
        <v>260</v>
      </c>
      <c r="L441" s="633" t="s">
        <v>308</v>
      </c>
      <c r="M441" s="633" t="s">
        <v>471</v>
      </c>
      <c r="N441" s="633" t="s">
        <v>257</v>
      </c>
      <c r="O441" s="633">
        <v>2</v>
      </c>
      <c r="P441" s="633">
        <v>1</v>
      </c>
      <c r="Q441" s="633">
        <v>0</v>
      </c>
      <c r="T441" s="594">
        <v>41736.707546296297</v>
      </c>
    </row>
    <row r="442" spans="1:20" x14ac:dyDescent="0.25">
      <c r="A442" s="633" t="s">
        <v>308</v>
      </c>
      <c r="B442" s="633">
        <v>13</v>
      </c>
      <c r="C442" s="633" t="s">
        <v>323</v>
      </c>
      <c r="D442" s="633" t="s">
        <v>324</v>
      </c>
      <c r="F442" s="633" t="s">
        <v>325</v>
      </c>
      <c r="G442" s="633" t="s">
        <v>584</v>
      </c>
      <c r="H442" s="633" t="s">
        <v>373</v>
      </c>
      <c r="J442" s="633" t="s">
        <v>327</v>
      </c>
      <c r="K442" s="633" t="s">
        <v>260</v>
      </c>
      <c r="L442" s="633" t="s">
        <v>308</v>
      </c>
      <c r="M442" s="633" t="s">
        <v>471</v>
      </c>
      <c r="N442" s="633" t="s">
        <v>257</v>
      </c>
      <c r="O442" s="633">
        <v>1</v>
      </c>
      <c r="P442" s="633">
        <v>1</v>
      </c>
      <c r="Q442" s="633">
        <v>0</v>
      </c>
      <c r="T442" s="594">
        <v>41736.707546296297</v>
      </c>
    </row>
    <row r="443" spans="1:20" x14ac:dyDescent="0.25">
      <c r="A443" s="633" t="s">
        <v>308</v>
      </c>
      <c r="B443" s="633">
        <v>13</v>
      </c>
      <c r="C443" s="633" t="s">
        <v>323</v>
      </c>
      <c r="D443" s="633" t="s">
        <v>324</v>
      </c>
      <c r="F443" s="633" t="s">
        <v>325</v>
      </c>
      <c r="G443" s="633" t="s">
        <v>584</v>
      </c>
      <c r="H443" s="633" t="s">
        <v>357</v>
      </c>
      <c r="J443" s="633" t="s">
        <v>327</v>
      </c>
      <c r="K443" s="633" t="s">
        <v>260</v>
      </c>
      <c r="L443" s="633" t="s">
        <v>308</v>
      </c>
      <c r="M443" s="633" t="s">
        <v>471</v>
      </c>
      <c r="N443" s="633" t="s">
        <v>257</v>
      </c>
      <c r="O443" s="633">
        <v>3</v>
      </c>
      <c r="P443" s="633">
        <v>4</v>
      </c>
      <c r="Q443" s="633">
        <v>14</v>
      </c>
      <c r="T443" s="594">
        <v>41736.707546296297</v>
      </c>
    </row>
    <row r="444" spans="1:20" x14ac:dyDescent="0.25">
      <c r="A444" s="633" t="s">
        <v>308</v>
      </c>
      <c r="B444" s="633">
        <v>13</v>
      </c>
      <c r="C444" s="633" t="s">
        <v>323</v>
      </c>
      <c r="D444" s="633" t="s">
        <v>324</v>
      </c>
      <c r="F444" s="633" t="s">
        <v>325</v>
      </c>
      <c r="G444" s="633" t="s">
        <v>584</v>
      </c>
      <c r="H444" s="633" t="s">
        <v>382</v>
      </c>
      <c r="J444" s="633" t="s">
        <v>327</v>
      </c>
      <c r="K444" s="633" t="s">
        <v>260</v>
      </c>
      <c r="L444" s="633" t="s">
        <v>308</v>
      </c>
      <c r="M444" s="633" t="s">
        <v>471</v>
      </c>
      <c r="N444" s="633" t="s">
        <v>257</v>
      </c>
      <c r="O444" s="633">
        <v>6</v>
      </c>
      <c r="P444" s="633">
        <v>6</v>
      </c>
      <c r="Q444" s="633">
        <v>1</v>
      </c>
      <c r="T444" s="594">
        <v>41736.707546296297</v>
      </c>
    </row>
    <row r="445" spans="1:20" x14ac:dyDescent="0.25">
      <c r="A445" s="633" t="s">
        <v>308</v>
      </c>
      <c r="B445" s="633">
        <v>13</v>
      </c>
      <c r="C445" s="633" t="s">
        <v>323</v>
      </c>
      <c r="D445" s="633" t="s">
        <v>324</v>
      </c>
      <c r="F445" s="633" t="s">
        <v>325</v>
      </c>
      <c r="G445" s="633" t="s">
        <v>584</v>
      </c>
      <c r="H445" s="633" t="s">
        <v>336</v>
      </c>
      <c r="J445" s="633" t="s">
        <v>327</v>
      </c>
      <c r="K445" s="633" t="s">
        <v>260</v>
      </c>
      <c r="L445" s="633" t="s">
        <v>308</v>
      </c>
      <c r="M445" s="633" t="s">
        <v>471</v>
      </c>
      <c r="N445" s="633" t="s">
        <v>257</v>
      </c>
      <c r="O445" s="633">
        <v>2</v>
      </c>
      <c r="P445" s="633">
        <v>4</v>
      </c>
      <c r="Q445" s="633">
        <v>1</v>
      </c>
      <c r="T445" s="594">
        <v>41736.707546296297</v>
      </c>
    </row>
    <row r="446" spans="1:20" x14ac:dyDescent="0.25">
      <c r="A446" s="633" t="s">
        <v>308</v>
      </c>
      <c r="B446" s="633">
        <v>13</v>
      </c>
      <c r="C446" s="633" t="s">
        <v>323</v>
      </c>
      <c r="D446" s="633" t="s">
        <v>324</v>
      </c>
      <c r="F446" s="633" t="s">
        <v>325</v>
      </c>
      <c r="G446" s="633" t="s">
        <v>584</v>
      </c>
      <c r="H446" s="633" t="s">
        <v>363</v>
      </c>
      <c r="J446" s="633" t="s">
        <v>327</v>
      </c>
      <c r="K446" s="633" t="s">
        <v>260</v>
      </c>
      <c r="L446" s="633" t="s">
        <v>308</v>
      </c>
      <c r="M446" s="633" t="s">
        <v>471</v>
      </c>
      <c r="N446" s="633" t="s">
        <v>257</v>
      </c>
      <c r="P446" s="633">
        <v>5</v>
      </c>
      <c r="Q446" s="633">
        <v>0</v>
      </c>
      <c r="T446" s="594">
        <v>41736.707546296297</v>
      </c>
    </row>
    <row r="447" spans="1:20" x14ac:dyDescent="0.25">
      <c r="A447" s="633" t="s">
        <v>308</v>
      </c>
      <c r="B447" s="633">
        <v>13</v>
      </c>
      <c r="C447" s="633" t="s">
        <v>323</v>
      </c>
      <c r="D447" s="633" t="s">
        <v>324</v>
      </c>
      <c r="F447" s="633" t="s">
        <v>325</v>
      </c>
      <c r="G447" s="633" t="s">
        <v>584</v>
      </c>
      <c r="H447" s="633" t="s">
        <v>326</v>
      </c>
      <c r="J447" s="633" t="s">
        <v>327</v>
      </c>
      <c r="K447" s="633" t="s">
        <v>260</v>
      </c>
      <c r="L447" s="633" t="s">
        <v>308</v>
      </c>
      <c r="M447" s="633" t="s">
        <v>471</v>
      </c>
      <c r="N447" s="633" t="s">
        <v>257</v>
      </c>
      <c r="O447" s="633">
        <v>2</v>
      </c>
      <c r="Q447" s="633">
        <v>0</v>
      </c>
      <c r="T447" s="594">
        <v>41736.707546296297</v>
      </c>
    </row>
    <row r="448" spans="1:20" x14ac:dyDescent="0.25">
      <c r="A448" s="633" t="s">
        <v>308</v>
      </c>
      <c r="B448" s="633">
        <v>13</v>
      </c>
      <c r="C448" s="633" t="s">
        <v>323</v>
      </c>
      <c r="D448" s="633" t="s">
        <v>324</v>
      </c>
      <c r="F448" s="633" t="s">
        <v>325</v>
      </c>
      <c r="G448" s="633" t="s">
        <v>584</v>
      </c>
      <c r="H448" s="633" t="s">
        <v>356</v>
      </c>
      <c r="J448" s="633" t="s">
        <v>327</v>
      </c>
      <c r="K448" s="633" t="s">
        <v>260</v>
      </c>
      <c r="L448" s="633" t="s">
        <v>308</v>
      </c>
      <c r="M448" s="633" t="s">
        <v>471</v>
      </c>
      <c r="N448" s="633" t="s">
        <v>257</v>
      </c>
      <c r="O448" s="633">
        <v>3</v>
      </c>
      <c r="P448" s="633">
        <v>5</v>
      </c>
      <c r="Q448" s="633">
        <v>0</v>
      </c>
      <c r="T448" s="594">
        <v>41736.707546296297</v>
      </c>
    </row>
    <row r="449" spans="1:20" x14ac:dyDescent="0.25">
      <c r="A449" s="633" t="s">
        <v>308</v>
      </c>
      <c r="B449" s="633">
        <v>13</v>
      </c>
      <c r="C449" s="633" t="s">
        <v>323</v>
      </c>
      <c r="D449" s="633" t="s">
        <v>324</v>
      </c>
      <c r="F449" s="633" t="s">
        <v>325</v>
      </c>
      <c r="G449" s="633" t="s">
        <v>584</v>
      </c>
      <c r="H449" s="633" t="s">
        <v>365</v>
      </c>
      <c r="J449" s="633" t="s">
        <v>327</v>
      </c>
      <c r="K449" s="633" t="s">
        <v>260</v>
      </c>
      <c r="L449" s="633" t="s">
        <v>308</v>
      </c>
      <c r="M449" s="633" t="s">
        <v>471</v>
      </c>
      <c r="N449" s="633" t="s">
        <v>257</v>
      </c>
      <c r="P449" s="633">
        <v>3</v>
      </c>
      <c r="Q449" s="633">
        <v>0</v>
      </c>
      <c r="T449" s="594">
        <v>41736.707546296297</v>
      </c>
    </row>
    <row r="450" spans="1:20" x14ac:dyDescent="0.25">
      <c r="A450" s="633" t="s">
        <v>308</v>
      </c>
      <c r="B450" s="633">
        <v>13</v>
      </c>
      <c r="C450" s="633" t="s">
        <v>323</v>
      </c>
      <c r="D450" s="633" t="s">
        <v>324</v>
      </c>
      <c r="F450" s="633" t="s">
        <v>325</v>
      </c>
      <c r="G450" s="633" t="s">
        <v>584</v>
      </c>
      <c r="H450" s="633" t="s">
        <v>347</v>
      </c>
      <c r="J450" s="633" t="s">
        <v>327</v>
      </c>
      <c r="K450" s="633" t="s">
        <v>260</v>
      </c>
      <c r="L450" s="633" t="s">
        <v>308</v>
      </c>
      <c r="M450" s="633" t="s">
        <v>471</v>
      </c>
      <c r="N450" s="633" t="s">
        <v>257</v>
      </c>
      <c r="O450" s="633">
        <v>5</v>
      </c>
      <c r="P450" s="633">
        <v>6</v>
      </c>
      <c r="Q450" s="633">
        <v>0</v>
      </c>
      <c r="T450" s="594">
        <v>41736.707546296297</v>
      </c>
    </row>
    <row r="451" spans="1:20" x14ac:dyDescent="0.25">
      <c r="A451" s="633" t="s">
        <v>308</v>
      </c>
      <c r="B451" s="633">
        <v>13</v>
      </c>
      <c r="C451" s="633" t="s">
        <v>323</v>
      </c>
      <c r="D451" s="633" t="s">
        <v>324</v>
      </c>
      <c r="F451" s="633" t="s">
        <v>325</v>
      </c>
      <c r="G451" s="633" t="s">
        <v>584</v>
      </c>
      <c r="H451" s="633" t="s">
        <v>337</v>
      </c>
      <c r="J451" s="633" t="s">
        <v>327</v>
      </c>
      <c r="K451" s="633" t="s">
        <v>260</v>
      </c>
      <c r="L451" s="633" t="s">
        <v>308</v>
      </c>
      <c r="M451" s="633" t="s">
        <v>471</v>
      </c>
      <c r="N451" s="633" t="s">
        <v>257</v>
      </c>
      <c r="O451" s="633">
        <v>2</v>
      </c>
      <c r="P451" s="633">
        <v>3</v>
      </c>
      <c r="Q451" s="633">
        <v>0</v>
      </c>
      <c r="T451" s="594">
        <v>41736.707546296297</v>
      </c>
    </row>
    <row r="452" spans="1:20" x14ac:dyDescent="0.25">
      <c r="A452" s="633" t="s">
        <v>308</v>
      </c>
      <c r="B452" s="633">
        <v>13</v>
      </c>
      <c r="C452" s="633" t="s">
        <v>323</v>
      </c>
      <c r="D452" s="633" t="s">
        <v>324</v>
      </c>
      <c r="F452" s="633" t="s">
        <v>325</v>
      </c>
      <c r="G452" s="633" t="s">
        <v>584</v>
      </c>
      <c r="H452" s="633" t="s">
        <v>349</v>
      </c>
      <c r="J452" s="633" t="s">
        <v>327</v>
      </c>
      <c r="K452" s="633" t="s">
        <v>260</v>
      </c>
      <c r="L452" s="633" t="s">
        <v>308</v>
      </c>
      <c r="M452" s="633" t="s">
        <v>471</v>
      </c>
      <c r="N452" s="633" t="s">
        <v>257</v>
      </c>
      <c r="O452" s="633">
        <v>4</v>
      </c>
      <c r="P452" s="633">
        <v>5</v>
      </c>
      <c r="Q452" s="633">
        <v>0</v>
      </c>
      <c r="T452" s="594">
        <v>41736.707546296297</v>
      </c>
    </row>
    <row r="453" spans="1:20" x14ac:dyDescent="0.25">
      <c r="A453" s="633" t="s">
        <v>308</v>
      </c>
      <c r="B453" s="633">
        <v>13</v>
      </c>
      <c r="C453" s="633" t="s">
        <v>323</v>
      </c>
      <c r="D453" s="633" t="s">
        <v>324</v>
      </c>
      <c r="F453" s="633" t="s">
        <v>325</v>
      </c>
      <c r="G453" s="633" t="s">
        <v>584</v>
      </c>
      <c r="H453" s="633" t="s">
        <v>345</v>
      </c>
      <c r="J453" s="633" t="s">
        <v>327</v>
      </c>
      <c r="K453" s="633" t="s">
        <v>260</v>
      </c>
      <c r="L453" s="633" t="s">
        <v>308</v>
      </c>
      <c r="M453" s="633" t="s">
        <v>471</v>
      </c>
      <c r="N453" s="633" t="s">
        <v>257</v>
      </c>
      <c r="O453" s="633">
        <v>5</v>
      </c>
      <c r="P453" s="633">
        <v>1</v>
      </c>
      <c r="Q453" s="633">
        <v>0</v>
      </c>
      <c r="T453" s="594">
        <v>41736.707546296297</v>
      </c>
    </row>
    <row r="454" spans="1:20" x14ac:dyDescent="0.25">
      <c r="A454" s="633" t="s">
        <v>308</v>
      </c>
      <c r="B454" s="633">
        <v>13</v>
      </c>
      <c r="C454" s="633" t="s">
        <v>323</v>
      </c>
      <c r="D454" s="633" t="s">
        <v>324</v>
      </c>
      <c r="F454" s="633" t="s">
        <v>325</v>
      </c>
      <c r="G454" s="633" t="s">
        <v>584</v>
      </c>
      <c r="H454" s="633" t="s">
        <v>372</v>
      </c>
      <c r="J454" s="633" t="s">
        <v>327</v>
      </c>
      <c r="K454" s="633" t="s">
        <v>260</v>
      </c>
      <c r="L454" s="633" t="s">
        <v>308</v>
      </c>
      <c r="M454" s="633" t="s">
        <v>471</v>
      </c>
      <c r="N454" s="633" t="s">
        <v>257</v>
      </c>
      <c r="O454" s="633">
        <v>1</v>
      </c>
      <c r="P454" s="633">
        <v>3</v>
      </c>
      <c r="Q454" s="633">
        <v>0</v>
      </c>
      <c r="T454" s="594">
        <v>41736.707546296297</v>
      </c>
    </row>
    <row r="455" spans="1:20" x14ac:dyDescent="0.25">
      <c r="A455" s="633" t="s">
        <v>308</v>
      </c>
      <c r="B455" s="633">
        <v>13</v>
      </c>
      <c r="C455" s="633" t="s">
        <v>323</v>
      </c>
      <c r="D455" s="633" t="s">
        <v>324</v>
      </c>
      <c r="F455" s="633" t="s">
        <v>325</v>
      </c>
      <c r="G455" s="633" t="s">
        <v>584</v>
      </c>
      <c r="H455" s="633" t="s">
        <v>361</v>
      </c>
      <c r="J455" s="633" t="s">
        <v>327</v>
      </c>
      <c r="K455" s="633" t="s">
        <v>260</v>
      </c>
      <c r="L455" s="633" t="s">
        <v>308</v>
      </c>
      <c r="M455" s="633" t="s">
        <v>471</v>
      </c>
      <c r="N455" s="633" t="s">
        <v>257</v>
      </c>
      <c r="O455" s="633">
        <v>3</v>
      </c>
      <c r="P455" s="633">
        <v>6</v>
      </c>
      <c r="Q455" s="633">
        <v>8</v>
      </c>
      <c r="T455" s="594">
        <v>41736.707546296297</v>
      </c>
    </row>
    <row r="456" spans="1:20" x14ac:dyDescent="0.25">
      <c r="A456" s="633" t="s">
        <v>308</v>
      </c>
      <c r="B456" s="633">
        <v>13</v>
      </c>
      <c r="C456" s="633" t="s">
        <v>323</v>
      </c>
      <c r="D456" s="633" t="s">
        <v>324</v>
      </c>
      <c r="F456" s="633" t="s">
        <v>325</v>
      </c>
      <c r="G456" s="633" t="s">
        <v>584</v>
      </c>
      <c r="H456" s="633" t="s">
        <v>375</v>
      </c>
      <c r="J456" s="633" t="s">
        <v>327</v>
      </c>
      <c r="K456" s="633" t="s">
        <v>260</v>
      </c>
      <c r="L456" s="633" t="s">
        <v>308</v>
      </c>
      <c r="M456" s="633" t="s">
        <v>471</v>
      </c>
      <c r="N456" s="633" t="s">
        <v>257</v>
      </c>
      <c r="O456" s="633">
        <v>1</v>
      </c>
      <c r="P456" s="633">
        <v>6</v>
      </c>
      <c r="Q456" s="633">
        <v>4</v>
      </c>
      <c r="T456" s="594">
        <v>41736.707546296297</v>
      </c>
    </row>
    <row r="457" spans="1:20" x14ac:dyDescent="0.25">
      <c r="A457" s="633" t="s">
        <v>308</v>
      </c>
      <c r="B457" s="633">
        <v>13</v>
      </c>
      <c r="C457" s="633" t="s">
        <v>323</v>
      </c>
      <c r="D457" s="633" t="s">
        <v>324</v>
      </c>
      <c r="F457" s="633" t="s">
        <v>325</v>
      </c>
      <c r="G457" s="633" t="s">
        <v>584</v>
      </c>
      <c r="H457" s="633" t="s">
        <v>330</v>
      </c>
      <c r="J457" s="633" t="s">
        <v>327</v>
      </c>
      <c r="K457" s="633" t="s">
        <v>260</v>
      </c>
      <c r="L457" s="633" t="s">
        <v>308</v>
      </c>
      <c r="M457" s="633" t="s">
        <v>471</v>
      </c>
      <c r="N457" s="633" t="s">
        <v>257</v>
      </c>
      <c r="O457" s="633">
        <v>3</v>
      </c>
      <c r="Q457" s="633">
        <v>2</v>
      </c>
      <c r="T457" s="594">
        <v>41736.707546296297</v>
      </c>
    </row>
    <row r="458" spans="1:20" x14ac:dyDescent="0.25">
      <c r="A458" s="633" t="s">
        <v>308</v>
      </c>
      <c r="B458" s="633">
        <v>13</v>
      </c>
      <c r="C458" s="633" t="s">
        <v>323</v>
      </c>
      <c r="D458" s="633" t="s">
        <v>324</v>
      </c>
      <c r="F458" s="633" t="s">
        <v>325</v>
      </c>
      <c r="G458" s="633" t="s">
        <v>584</v>
      </c>
      <c r="H458" s="633" t="s">
        <v>380</v>
      </c>
      <c r="J458" s="633" t="s">
        <v>327</v>
      </c>
      <c r="K458" s="633" t="s">
        <v>260</v>
      </c>
      <c r="L458" s="633" t="s">
        <v>308</v>
      </c>
      <c r="M458" s="633" t="s">
        <v>471</v>
      </c>
      <c r="N458" s="633" t="s">
        <v>257</v>
      </c>
      <c r="O458" s="633">
        <v>6</v>
      </c>
      <c r="P458" s="633">
        <v>1</v>
      </c>
      <c r="Q458" s="633">
        <v>0</v>
      </c>
      <c r="T458" s="594">
        <v>41736.707546296297</v>
      </c>
    </row>
    <row r="459" spans="1:20" x14ac:dyDescent="0.25">
      <c r="A459" s="633" t="s">
        <v>308</v>
      </c>
      <c r="B459" s="633">
        <v>13</v>
      </c>
      <c r="C459" s="633" t="s">
        <v>323</v>
      </c>
      <c r="D459" s="633" t="s">
        <v>324</v>
      </c>
      <c r="F459" s="633" t="s">
        <v>325</v>
      </c>
      <c r="G459" s="633" t="s">
        <v>584</v>
      </c>
      <c r="H459" s="633" t="s">
        <v>366</v>
      </c>
      <c r="J459" s="633" t="s">
        <v>327</v>
      </c>
      <c r="K459" s="633" t="s">
        <v>260</v>
      </c>
      <c r="L459" s="633" t="s">
        <v>308</v>
      </c>
      <c r="M459" s="633" t="s">
        <v>471</v>
      </c>
      <c r="N459" s="633" t="s">
        <v>257</v>
      </c>
      <c r="P459" s="633">
        <v>1</v>
      </c>
      <c r="Q459" s="633">
        <v>0</v>
      </c>
      <c r="T459" s="594">
        <v>41736.707546296297</v>
      </c>
    </row>
    <row r="460" spans="1:20" x14ac:dyDescent="0.25">
      <c r="A460" s="633" t="s">
        <v>308</v>
      </c>
      <c r="B460" s="633">
        <v>13</v>
      </c>
      <c r="C460" s="633" t="s">
        <v>323</v>
      </c>
      <c r="D460" s="633" t="s">
        <v>324</v>
      </c>
      <c r="F460" s="633" t="s">
        <v>325</v>
      </c>
      <c r="G460" s="633" t="s">
        <v>584</v>
      </c>
      <c r="H460" s="633" t="s">
        <v>329</v>
      </c>
      <c r="J460" s="633" t="s">
        <v>327</v>
      </c>
      <c r="K460" s="633" t="s">
        <v>260</v>
      </c>
      <c r="L460" s="633" t="s">
        <v>308</v>
      </c>
      <c r="M460" s="633" t="s">
        <v>471</v>
      </c>
      <c r="N460" s="633" t="s">
        <v>257</v>
      </c>
      <c r="O460" s="633">
        <v>4</v>
      </c>
      <c r="Q460" s="633">
        <v>1</v>
      </c>
      <c r="T460" s="594">
        <v>41736.707546296297</v>
      </c>
    </row>
    <row r="461" spans="1:20" x14ac:dyDescent="0.25">
      <c r="A461" s="633" t="s">
        <v>308</v>
      </c>
      <c r="B461" s="633">
        <v>13</v>
      </c>
      <c r="C461" s="633" t="s">
        <v>323</v>
      </c>
      <c r="D461" s="633" t="s">
        <v>324</v>
      </c>
      <c r="F461" s="633" t="s">
        <v>325</v>
      </c>
      <c r="G461" s="633" t="s">
        <v>584</v>
      </c>
      <c r="H461" s="633" t="s">
        <v>368</v>
      </c>
      <c r="J461" s="633" t="s">
        <v>327</v>
      </c>
      <c r="K461" s="633" t="s">
        <v>260</v>
      </c>
      <c r="L461" s="633" t="s">
        <v>308</v>
      </c>
      <c r="M461" s="633" t="s">
        <v>471</v>
      </c>
      <c r="N461" s="633" t="s">
        <v>257</v>
      </c>
      <c r="P461" s="633">
        <v>6</v>
      </c>
      <c r="Q461" s="633">
        <v>0</v>
      </c>
      <c r="T461" s="594">
        <v>41736.707546296297</v>
      </c>
    </row>
    <row r="462" spans="1:20" x14ac:dyDescent="0.25">
      <c r="A462" s="633" t="s">
        <v>308</v>
      </c>
      <c r="B462" s="633">
        <v>13</v>
      </c>
      <c r="C462" s="633" t="s">
        <v>323</v>
      </c>
      <c r="D462" s="633" t="s">
        <v>324</v>
      </c>
      <c r="F462" s="633" t="s">
        <v>325</v>
      </c>
      <c r="G462" s="633" t="s">
        <v>584</v>
      </c>
      <c r="H462" s="633" t="s">
        <v>369</v>
      </c>
      <c r="J462" s="633" t="s">
        <v>327</v>
      </c>
      <c r="K462" s="633" t="s">
        <v>260</v>
      </c>
      <c r="L462" s="633" t="s">
        <v>308</v>
      </c>
      <c r="M462" s="633" t="s">
        <v>471</v>
      </c>
      <c r="N462" s="633" t="s">
        <v>257</v>
      </c>
      <c r="O462" s="633">
        <v>1</v>
      </c>
      <c r="P462" s="633">
        <v>2</v>
      </c>
      <c r="Q462" s="633">
        <v>0</v>
      </c>
      <c r="T462" s="594">
        <v>41736.707546296297</v>
      </c>
    </row>
    <row r="463" spans="1:20" x14ac:dyDescent="0.25">
      <c r="A463" s="633" t="s">
        <v>308</v>
      </c>
      <c r="B463" s="633">
        <v>13</v>
      </c>
      <c r="C463" s="633" t="s">
        <v>323</v>
      </c>
      <c r="D463" s="633" t="s">
        <v>324</v>
      </c>
      <c r="F463" s="633" t="s">
        <v>325</v>
      </c>
      <c r="G463" s="633" t="s">
        <v>584</v>
      </c>
      <c r="H463" s="633" t="s">
        <v>379</v>
      </c>
      <c r="J463" s="633" t="s">
        <v>327</v>
      </c>
      <c r="K463" s="633" t="s">
        <v>260</v>
      </c>
      <c r="L463" s="633" t="s">
        <v>308</v>
      </c>
      <c r="M463" s="633" t="s">
        <v>471</v>
      </c>
      <c r="N463" s="633" t="s">
        <v>257</v>
      </c>
      <c r="O463" s="633">
        <v>6</v>
      </c>
      <c r="P463" s="633">
        <v>3</v>
      </c>
      <c r="Q463" s="633">
        <v>0</v>
      </c>
      <c r="T463" s="594">
        <v>41736.707546296297</v>
      </c>
    </row>
    <row r="464" spans="1:20" x14ac:dyDescent="0.25">
      <c r="A464" s="633" t="s">
        <v>308</v>
      </c>
      <c r="B464" s="633">
        <v>13</v>
      </c>
      <c r="C464" s="633" t="s">
        <v>323</v>
      </c>
      <c r="D464" s="633" t="s">
        <v>324</v>
      </c>
      <c r="F464" s="633" t="s">
        <v>325</v>
      </c>
      <c r="G464" s="633" t="s">
        <v>584</v>
      </c>
      <c r="H464" s="633" t="s">
        <v>342</v>
      </c>
      <c r="J464" s="633" t="s">
        <v>327</v>
      </c>
      <c r="K464" s="633" t="s">
        <v>260</v>
      </c>
      <c r="L464" s="633" t="s">
        <v>308</v>
      </c>
      <c r="M464" s="633" t="s">
        <v>471</v>
      </c>
      <c r="N464" s="633" t="s">
        <v>257</v>
      </c>
      <c r="O464" s="633">
        <v>5</v>
      </c>
      <c r="P464" s="633">
        <v>5</v>
      </c>
      <c r="Q464" s="633">
        <v>0</v>
      </c>
      <c r="T464" s="594">
        <v>41736.707546296297</v>
      </c>
    </row>
    <row r="465" spans="1:20" x14ac:dyDescent="0.25">
      <c r="A465" s="633" t="s">
        <v>308</v>
      </c>
      <c r="B465" s="633">
        <v>13</v>
      </c>
      <c r="C465" s="633" t="s">
        <v>323</v>
      </c>
      <c r="D465" s="633" t="s">
        <v>324</v>
      </c>
      <c r="F465" s="633" t="s">
        <v>325</v>
      </c>
      <c r="G465" s="633" t="s">
        <v>584</v>
      </c>
      <c r="H465" s="633" t="s">
        <v>334</v>
      </c>
      <c r="J465" s="633" t="s">
        <v>327</v>
      </c>
      <c r="K465" s="633" t="s">
        <v>260</v>
      </c>
      <c r="L465" s="633" t="s">
        <v>308</v>
      </c>
      <c r="M465" s="633" t="s">
        <v>471</v>
      </c>
      <c r="N465" s="633" t="s">
        <v>257</v>
      </c>
      <c r="O465" s="633">
        <v>2</v>
      </c>
      <c r="P465" s="633">
        <v>2</v>
      </c>
      <c r="Q465" s="633">
        <v>0</v>
      </c>
      <c r="T465" s="594">
        <v>41736.707546296297</v>
      </c>
    </row>
    <row r="466" spans="1:20" x14ac:dyDescent="0.25">
      <c r="A466" s="633" t="s">
        <v>308</v>
      </c>
      <c r="B466" s="633">
        <v>13</v>
      </c>
      <c r="C466" s="633" t="s">
        <v>323</v>
      </c>
      <c r="D466" s="633" t="s">
        <v>324</v>
      </c>
      <c r="F466" s="633" t="s">
        <v>325</v>
      </c>
      <c r="G466" s="633" t="s">
        <v>584</v>
      </c>
      <c r="H466" s="633" t="s">
        <v>381</v>
      </c>
      <c r="J466" s="633" t="s">
        <v>327</v>
      </c>
      <c r="K466" s="633" t="s">
        <v>260</v>
      </c>
      <c r="L466" s="633" t="s">
        <v>308</v>
      </c>
      <c r="M466" s="633" t="s">
        <v>471</v>
      </c>
      <c r="N466" s="633" t="s">
        <v>257</v>
      </c>
      <c r="O466" s="633">
        <v>6</v>
      </c>
      <c r="P466" s="633">
        <v>7</v>
      </c>
      <c r="Q466" s="633">
        <v>0</v>
      </c>
      <c r="T466" s="594">
        <v>41736.707546296297</v>
      </c>
    </row>
    <row r="467" spans="1:20" x14ac:dyDescent="0.25">
      <c r="A467" s="633" t="s">
        <v>308</v>
      </c>
      <c r="B467" s="633">
        <v>13</v>
      </c>
      <c r="C467" s="633" t="s">
        <v>323</v>
      </c>
      <c r="D467" s="633" t="s">
        <v>324</v>
      </c>
      <c r="F467" s="633" t="s">
        <v>325</v>
      </c>
      <c r="G467" s="633" t="s">
        <v>584</v>
      </c>
      <c r="H467" s="633" t="s">
        <v>367</v>
      </c>
      <c r="J467" s="633" t="s">
        <v>327</v>
      </c>
      <c r="K467" s="633" t="s">
        <v>260</v>
      </c>
      <c r="L467" s="633" t="s">
        <v>308</v>
      </c>
      <c r="M467" s="633" t="s">
        <v>471</v>
      </c>
      <c r="N467" s="633" t="s">
        <v>257</v>
      </c>
      <c r="P467" s="633">
        <v>7</v>
      </c>
      <c r="Q467" s="633">
        <v>0</v>
      </c>
      <c r="T467" s="594">
        <v>41736.707546296297</v>
      </c>
    </row>
    <row r="468" spans="1:20" x14ac:dyDescent="0.25">
      <c r="A468" s="633" t="s">
        <v>308</v>
      </c>
      <c r="B468" s="633">
        <v>13</v>
      </c>
      <c r="C468" s="633" t="s">
        <v>323</v>
      </c>
      <c r="D468" s="633" t="s">
        <v>324</v>
      </c>
      <c r="F468" s="633" t="s">
        <v>325</v>
      </c>
      <c r="G468" s="633" t="s">
        <v>584</v>
      </c>
      <c r="H468" s="633" t="s">
        <v>355</v>
      </c>
      <c r="J468" s="633" t="s">
        <v>327</v>
      </c>
      <c r="K468" s="633" t="s">
        <v>260</v>
      </c>
      <c r="L468" s="633" t="s">
        <v>308</v>
      </c>
      <c r="M468" s="633" t="s">
        <v>471</v>
      </c>
      <c r="N468" s="633" t="s">
        <v>257</v>
      </c>
      <c r="O468" s="633">
        <v>3</v>
      </c>
      <c r="P468" s="633">
        <v>2</v>
      </c>
      <c r="Q468" s="633">
        <v>0</v>
      </c>
      <c r="T468" s="594">
        <v>41736.707546296297</v>
      </c>
    </row>
    <row r="469" spans="1:20" x14ac:dyDescent="0.25">
      <c r="A469" s="633" t="s">
        <v>308</v>
      </c>
      <c r="B469" s="633">
        <v>13</v>
      </c>
      <c r="C469" s="633" t="s">
        <v>323</v>
      </c>
      <c r="D469" s="633" t="s">
        <v>324</v>
      </c>
      <c r="F469" s="633" t="s">
        <v>325</v>
      </c>
      <c r="G469" s="633" t="s">
        <v>584</v>
      </c>
      <c r="H469" s="633" t="s">
        <v>340</v>
      </c>
      <c r="J469" s="633" t="s">
        <v>327</v>
      </c>
      <c r="K469" s="633" t="s">
        <v>260</v>
      </c>
      <c r="L469" s="633" t="s">
        <v>308</v>
      </c>
      <c r="M469" s="633" t="s">
        <v>471</v>
      </c>
      <c r="N469" s="633" t="s">
        <v>257</v>
      </c>
      <c r="O469" s="633">
        <v>2</v>
      </c>
      <c r="P469" s="633">
        <v>6</v>
      </c>
      <c r="Q469" s="633">
        <v>1</v>
      </c>
      <c r="T469" s="594">
        <v>41736.707546296297</v>
      </c>
    </row>
    <row r="470" spans="1:20" x14ac:dyDescent="0.25">
      <c r="A470" s="633" t="s">
        <v>308</v>
      </c>
      <c r="B470" s="633">
        <v>13</v>
      </c>
      <c r="C470" s="633" t="s">
        <v>323</v>
      </c>
      <c r="D470" s="633" t="s">
        <v>324</v>
      </c>
      <c r="F470" s="633" t="s">
        <v>325</v>
      </c>
      <c r="G470" s="633" t="s">
        <v>584</v>
      </c>
      <c r="H470" s="633" t="s">
        <v>364</v>
      </c>
      <c r="J470" s="633" t="s">
        <v>327</v>
      </c>
      <c r="K470" s="633" t="s">
        <v>260</v>
      </c>
      <c r="L470" s="633" t="s">
        <v>308</v>
      </c>
      <c r="M470" s="633" t="s">
        <v>471</v>
      </c>
      <c r="N470" s="633" t="s">
        <v>257</v>
      </c>
      <c r="P470" s="633">
        <v>4</v>
      </c>
      <c r="Q470" s="633">
        <v>0</v>
      </c>
      <c r="T470" s="594">
        <v>41736.707546296297</v>
      </c>
    </row>
    <row r="471" spans="1:20" x14ac:dyDescent="0.25">
      <c r="A471" s="633" t="s">
        <v>308</v>
      </c>
      <c r="B471" s="633">
        <v>13</v>
      </c>
      <c r="C471" s="633" t="s">
        <v>323</v>
      </c>
      <c r="D471" s="633" t="s">
        <v>324</v>
      </c>
      <c r="F471" s="633" t="s">
        <v>325</v>
      </c>
      <c r="G471" s="633" t="s">
        <v>584</v>
      </c>
      <c r="H471" s="633" t="s">
        <v>378</v>
      </c>
      <c r="J471" s="633" t="s">
        <v>327</v>
      </c>
      <c r="K471" s="633" t="s">
        <v>260</v>
      </c>
      <c r="L471" s="633" t="s">
        <v>308</v>
      </c>
      <c r="M471" s="633" t="s">
        <v>471</v>
      </c>
      <c r="N471" s="633" t="s">
        <v>257</v>
      </c>
      <c r="O471" s="633">
        <v>6</v>
      </c>
      <c r="P471" s="633">
        <v>4</v>
      </c>
      <c r="Q471" s="633">
        <v>1</v>
      </c>
      <c r="T471" s="594">
        <v>41736.707546296297</v>
      </c>
    </row>
    <row r="472" spans="1:20" x14ac:dyDescent="0.25">
      <c r="A472" s="633" t="s">
        <v>308</v>
      </c>
      <c r="B472" s="633">
        <v>13</v>
      </c>
      <c r="C472" s="633" t="s">
        <v>323</v>
      </c>
      <c r="D472" s="633" t="s">
        <v>324</v>
      </c>
      <c r="F472" s="633" t="s">
        <v>325</v>
      </c>
      <c r="G472" s="633" t="s">
        <v>584</v>
      </c>
      <c r="H472" s="633" t="s">
        <v>360</v>
      </c>
      <c r="J472" s="633" t="s">
        <v>327</v>
      </c>
      <c r="K472" s="633" t="s">
        <v>260</v>
      </c>
      <c r="L472" s="633" t="s">
        <v>308</v>
      </c>
      <c r="M472" s="633" t="s">
        <v>471</v>
      </c>
      <c r="N472" s="633" t="s">
        <v>257</v>
      </c>
      <c r="O472" s="633">
        <v>3</v>
      </c>
      <c r="P472" s="633">
        <v>7</v>
      </c>
      <c r="Q472" s="633">
        <v>0</v>
      </c>
      <c r="T472" s="594">
        <v>41736.707546296297</v>
      </c>
    </row>
    <row r="473" spans="1:20" x14ac:dyDescent="0.25">
      <c r="A473" s="633" t="s">
        <v>308</v>
      </c>
      <c r="B473" s="633">
        <v>13</v>
      </c>
      <c r="C473" s="633" t="s">
        <v>323</v>
      </c>
      <c r="D473" s="633" t="s">
        <v>324</v>
      </c>
      <c r="F473" s="633" t="s">
        <v>325</v>
      </c>
      <c r="G473" s="633" t="s">
        <v>584</v>
      </c>
      <c r="H473" s="633" t="s">
        <v>352</v>
      </c>
      <c r="J473" s="633" t="s">
        <v>327</v>
      </c>
      <c r="K473" s="633" t="s">
        <v>260</v>
      </c>
      <c r="L473" s="633" t="s">
        <v>308</v>
      </c>
      <c r="M473" s="633" t="s">
        <v>471</v>
      </c>
      <c r="N473" s="633" t="s">
        <v>257</v>
      </c>
      <c r="O473" s="633">
        <v>4</v>
      </c>
      <c r="P473" s="633">
        <v>1</v>
      </c>
      <c r="Q473" s="633">
        <v>0</v>
      </c>
      <c r="T473" s="594">
        <v>41736.707546296297</v>
      </c>
    </row>
    <row r="474" spans="1:20" x14ac:dyDescent="0.25">
      <c r="A474" s="633" t="s">
        <v>308</v>
      </c>
      <c r="B474" s="633">
        <v>13</v>
      </c>
      <c r="C474" s="633" t="s">
        <v>323</v>
      </c>
      <c r="D474" s="633" t="s">
        <v>324</v>
      </c>
      <c r="F474" s="633" t="s">
        <v>325</v>
      </c>
      <c r="G474" s="633" t="s">
        <v>584</v>
      </c>
      <c r="H474" s="633" t="s">
        <v>350</v>
      </c>
      <c r="J474" s="633" t="s">
        <v>327</v>
      </c>
      <c r="K474" s="633" t="s">
        <v>260</v>
      </c>
      <c r="L474" s="633" t="s">
        <v>308</v>
      </c>
      <c r="M474" s="633" t="s">
        <v>471</v>
      </c>
      <c r="N474" s="633" t="s">
        <v>257</v>
      </c>
      <c r="O474" s="633">
        <v>4</v>
      </c>
      <c r="P474" s="633">
        <v>4</v>
      </c>
      <c r="Q474" s="633">
        <v>54</v>
      </c>
      <c r="T474" s="594">
        <v>41736.707546296297</v>
      </c>
    </row>
    <row r="475" spans="1:20" x14ac:dyDescent="0.25">
      <c r="A475" s="633" t="s">
        <v>308</v>
      </c>
      <c r="B475" s="633">
        <v>13</v>
      </c>
      <c r="C475" s="633" t="s">
        <v>323</v>
      </c>
      <c r="D475" s="633" t="s">
        <v>324</v>
      </c>
      <c r="F475" s="633" t="s">
        <v>325</v>
      </c>
      <c r="G475" s="633" t="s">
        <v>584</v>
      </c>
      <c r="H475" s="633" t="s">
        <v>353</v>
      </c>
      <c r="J475" s="633" t="s">
        <v>327</v>
      </c>
      <c r="K475" s="633" t="s">
        <v>260</v>
      </c>
      <c r="L475" s="633" t="s">
        <v>308</v>
      </c>
      <c r="M475" s="633" t="s">
        <v>471</v>
      </c>
      <c r="N475" s="633" t="s">
        <v>257</v>
      </c>
      <c r="O475" s="633">
        <v>4</v>
      </c>
      <c r="P475" s="633">
        <v>7</v>
      </c>
      <c r="Q475" s="633">
        <v>1</v>
      </c>
      <c r="T475" s="594">
        <v>41736.707546296297</v>
      </c>
    </row>
    <row r="476" spans="1:20" x14ac:dyDescent="0.25">
      <c r="A476" s="633" t="s">
        <v>308</v>
      </c>
      <c r="B476" s="633">
        <v>13</v>
      </c>
      <c r="C476" s="633" t="s">
        <v>323</v>
      </c>
      <c r="D476" s="633" t="s">
        <v>324</v>
      </c>
      <c r="F476" s="633" t="s">
        <v>325</v>
      </c>
      <c r="G476" s="633" t="s">
        <v>584</v>
      </c>
      <c r="H476" s="633" t="s">
        <v>359</v>
      </c>
      <c r="J476" s="633" t="s">
        <v>327</v>
      </c>
      <c r="K476" s="633" t="s">
        <v>260</v>
      </c>
      <c r="L476" s="633" t="s">
        <v>308</v>
      </c>
      <c r="M476" s="633" t="s">
        <v>471</v>
      </c>
      <c r="N476" s="633" t="s">
        <v>257</v>
      </c>
      <c r="O476" s="633">
        <v>3</v>
      </c>
      <c r="P476" s="633">
        <v>1</v>
      </c>
      <c r="Q476" s="633">
        <v>0</v>
      </c>
      <c r="T476" s="594">
        <v>41736.707546296297</v>
      </c>
    </row>
    <row r="477" spans="1:20" x14ac:dyDescent="0.25">
      <c r="A477" s="633" t="s">
        <v>308</v>
      </c>
      <c r="B477" s="633">
        <v>13</v>
      </c>
      <c r="C477" s="633" t="s">
        <v>323</v>
      </c>
      <c r="D477" s="633" t="s">
        <v>324</v>
      </c>
      <c r="F477" s="633" t="s">
        <v>325</v>
      </c>
      <c r="G477" s="633" t="s">
        <v>584</v>
      </c>
      <c r="H477" s="633" t="s">
        <v>343</v>
      </c>
      <c r="J477" s="633" t="s">
        <v>327</v>
      </c>
      <c r="K477" s="633" t="s">
        <v>260</v>
      </c>
      <c r="L477" s="633" t="s">
        <v>308</v>
      </c>
      <c r="M477" s="633" t="s">
        <v>471</v>
      </c>
      <c r="N477" s="633" t="s">
        <v>257</v>
      </c>
      <c r="O477" s="633">
        <v>5</v>
      </c>
      <c r="P477" s="633">
        <v>4</v>
      </c>
      <c r="Q477" s="633">
        <v>0</v>
      </c>
      <c r="T477" s="594">
        <v>41736.707546296297</v>
      </c>
    </row>
    <row r="478" spans="1:20" x14ac:dyDescent="0.25">
      <c r="A478" s="633" t="s">
        <v>308</v>
      </c>
      <c r="B478" s="633">
        <v>13</v>
      </c>
      <c r="C478" s="633" t="s">
        <v>323</v>
      </c>
      <c r="D478" s="633" t="s">
        <v>324</v>
      </c>
      <c r="F478" s="633" t="s">
        <v>325</v>
      </c>
      <c r="G478" s="633" t="s">
        <v>584</v>
      </c>
      <c r="H478" s="633" t="s">
        <v>331</v>
      </c>
      <c r="J478" s="633" t="s">
        <v>327</v>
      </c>
      <c r="K478" s="633" t="s">
        <v>260</v>
      </c>
      <c r="L478" s="633" t="s">
        <v>308</v>
      </c>
      <c r="M478" s="633" t="s">
        <v>471</v>
      </c>
      <c r="N478" s="633" t="s">
        <v>257</v>
      </c>
      <c r="Q478" s="633">
        <v>5</v>
      </c>
      <c r="T478" s="594">
        <v>41736.707546296297</v>
      </c>
    </row>
    <row r="479" spans="1:20" x14ac:dyDescent="0.25">
      <c r="A479" s="633" t="s">
        <v>308</v>
      </c>
      <c r="B479" s="633">
        <v>13</v>
      </c>
      <c r="C479" s="633" t="s">
        <v>323</v>
      </c>
      <c r="D479" s="633" t="s">
        <v>324</v>
      </c>
      <c r="F479" s="633" t="s">
        <v>325</v>
      </c>
      <c r="G479" s="633" t="s">
        <v>584</v>
      </c>
      <c r="H479" s="633" t="s">
        <v>376</v>
      </c>
      <c r="J479" s="633" t="s">
        <v>327</v>
      </c>
      <c r="K479" s="633" t="s">
        <v>260</v>
      </c>
      <c r="L479" s="633" t="s">
        <v>308</v>
      </c>
      <c r="M479" s="633" t="s">
        <v>471</v>
      </c>
      <c r="N479" s="633" t="s">
        <v>257</v>
      </c>
      <c r="O479" s="633">
        <v>6</v>
      </c>
      <c r="P479" s="633">
        <v>2</v>
      </c>
      <c r="Q479" s="633">
        <v>0</v>
      </c>
      <c r="T479" s="594">
        <v>41736.707546296297</v>
      </c>
    </row>
    <row r="480" spans="1:20" x14ac:dyDescent="0.25">
      <c r="A480" s="633" t="s">
        <v>308</v>
      </c>
      <c r="B480" s="633">
        <v>13</v>
      </c>
      <c r="C480" s="633" t="s">
        <v>323</v>
      </c>
      <c r="D480" s="633" t="s">
        <v>324</v>
      </c>
      <c r="F480" s="633" t="s">
        <v>325</v>
      </c>
      <c r="G480" s="633" t="s">
        <v>584</v>
      </c>
      <c r="H480" s="633" t="s">
        <v>341</v>
      </c>
      <c r="J480" s="633" t="s">
        <v>327</v>
      </c>
      <c r="K480" s="633" t="s">
        <v>260</v>
      </c>
      <c r="L480" s="633" t="s">
        <v>308</v>
      </c>
      <c r="M480" s="633" t="s">
        <v>471</v>
      </c>
      <c r="N480" s="633" t="s">
        <v>257</v>
      </c>
      <c r="O480" s="633">
        <v>5</v>
      </c>
      <c r="P480" s="633">
        <v>2</v>
      </c>
      <c r="Q480" s="633">
        <v>0</v>
      </c>
      <c r="T480" s="594">
        <v>41736.707546296297</v>
      </c>
    </row>
    <row r="481" spans="1:20" x14ac:dyDescent="0.25">
      <c r="A481" s="633" t="s">
        <v>308</v>
      </c>
      <c r="B481" s="633">
        <v>13</v>
      </c>
      <c r="C481" s="633" t="s">
        <v>323</v>
      </c>
      <c r="D481" s="633" t="s">
        <v>324</v>
      </c>
      <c r="F481" s="633" t="s">
        <v>325</v>
      </c>
      <c r="G481" s="633" t="s">
        <v>584</v>
      </c>
      <c r="H481" s="633" t="s">
        <v>335</v>
      </c>
      <c r="J481" s="633" t="s">
        <v>327</v>
      </c>
      <c r="K481" s="633" t="s">
        <v>260</v>
      </c>
      <c r="L481" s="633" t="s">
        <v>308</v>
      </c>
      <c r="M481" s="633" t="s">
        <v>471</v>
      </c>
      <c r="N481" s="633" t="s">
        <v>257</v>
      </c>
      <c r="O481" s="633">
        <v>2</v>
      </c>
      <c r="P481" s="633">
        <v>5</v>
      </c>
      <c r="Q481" s="633">
        <v>0</v>
      </c>
      <c r="T481" s="594">
        <v>41736.707546296297</v>
      </c>
    </row>
    <row r="482" spans="1:20" x14ac:dyDescent="0.25">
      <c r="A482" s="633" t="s">
        <v>308</v>
      </c>
      <c r="B482" s="633">
        <v>13</v>
      </c>
      <c r="C482" s="633" t="s">
        <v>323</v>
      </c>
      <c r="D482" s="633" t="s">
        <v>324</v>
      </c>
      <c r="F482" s="633" t="s">
        <v>325</v>
      </c>
      <c r="G482" s="633" t="s">
        <v>584</v>
      </c>
      <c r="H482" s="633" t="s">
        <v>362</v>
      </c>
      <c r="J482" s="633" t="s">
        <v>327</v>
      </c>
      <c r="K482" s="633" t="s">
        <v>260</v>
      </c>
      <c r="L482" s="633" t="s">
        <v>308</v>
      </c>
      <c r="M482" s="633" t="s">
        <v>471</v>
      </c>
      <c r="N482" s="633" t="s">
        <v>257</v>
      </c>
      <c r="P482" s="633">
        <v>2</v>
      </c>
      <c r="Q482" s="633">
        <v>0</v>
      </c>
      <c r="T482" s="594">
        <v>41736.707546296297</v>
      </c>
    </row>
    <row r="483" spans="1:20" x14ac:dyDescent="0.25">
      <c r="A483" s="633" t="s">
        <v>308</v>
      </c>
      <c r="B483" s="633">
        <v>13</v>
      </c>
      <c r="C483" s="633" t="s">
        <v>323</v>
      </c>
      <c r="D483" s="633" t="s">
        <v>324</v>
      </c>
      <c r="F483" s="633" t="s">
        <v>325</v>
      </c>
      <c r="G483" s="633" t="s">
        <v>584</v>
      </c>
      <c r="H483" s="633" t="s">
        <v>358</v>
      </c>
      <c r="J483" s="633" t="s">
        <v>327</v>
      </c>
      <c r="K483" s="633" t="s">
        <v>260</v>
      </c>
      <c r="L483" s="633" t="s">
        <v>308</v>
      </c>
      <c r="M483" s="633" t="s">
        <v>471</v>
      </c>
      <c r="N483" s="633" t="s">
        <v>257</v>
      </c>
      <c r="O483" s="633">
        <v>3</v>
      </c>
      <c r="P483" s="633">
        <v>3</v>
      </c>
      <c r="Q483" s="633">
        <v>0</v>
      </c>
      <c r="T483" s="594">
        <v>41736.707546296297</v>
      </c>
    </row>
    <row r="484" spans="1:20" x14ac:dyDescent="0.25">
      <c r="A484" s="633" t="s">
        <v>308</v>
      </c>
      <c r="B484" s="633">
        <v>13</v>
      </c>
      <c r="C484" s="633" t="s">
        <v>323</v>
      </c>
      <c r="D484" s="633" t="s">
        <v>324</v>
      </c>
      <c r="F484" s="633" t="s">
        <v>325</v>
      </c>
      <c r="G484" s="633" t="s">
        <v>584</v>
      </c>
      <c r="H484" s="633" t="s">
        <v>344</v>
      </c>
      <c r="J484" s="633" t="s">
        <v>327</v>
      </c>
      <c r="K484" s="633" t="s">
        <v>260</v>
      </c>
      <c r="L484" s="633" t="s">
        <v>308</v>
      </c>
      <c r="M484" s="633" t="s">
        <v>471</v>
      </c>
      <c r="N484" s="633" t="s">
        <v>257</v>
      </c>
      <c r="O484" s="633">
        <v>5</v>
      </c>
      <c r="P484" s="633">
        <v>3</v>
      </c>
      <c r="Q484" s="633">
        <v>0</v>
      </c>
      <c r="T484" s="594">
        <v>41736.707546296297</v>
      </c>
    </row>
    <row r="485" spans="1:20" x14ac:dyDescent="0.25">
      <c r="A485" s="633" t="s">
        <v>308</v>
      </c>
      <c r="B485" s="633">
        <v>13</v>
      </c>
      <c r="C485" s="633" t="s">
        <v>323</v>
      </c>
      <c r="D485" s="633" t="s">
        <v>324</v>
      </c>
      <c r="F485" s="633" t="s">
        <v>325</v>
      </c>
      <c r="G485" s="633" t="s">
        <v>584</v>
      </c>
      <c r="H485" s="633" t="s">
        <v>374</v>
      </c>
      <c r="J485" s="633" t="s">
        <v>327</v>
      </c>
      <c r="K485" s="633" t="s">
        <v>260</v>
      </c>
      <c r="L485" s="633" t="s">
        <v>308</v>
      </c>
      <c r="M485" s="633" t="s">
        <v>471</v>
      </c>
      <c r="N485" s="633" t="s">
        <v>257</v>
      </c>
      <c r="O485" s="633">
        <v>1</v>
      </c>
      <c r="P485" s="633">
        <v>7</v>
      </c>
      <c r="Q485" s="633">
        <v>0</v>
      </c>
      <c r="T485" s="594">
        <v>41736.707546296297</v>
      </c>
    </row>
    <row r="486" spans="1:20" x14ac:dyDescent="0.25">
      <c r="A486" s="633" t="s">
        <v>308</v>
      </c>
      <c r="B486" s="633">
        <v>13</v>
      </c>
      <c r="C486" s="633" t="s">
        <v>323</v>
      </c>
      <c r="D486" s="633" t="s">
        <v>324</v>
      </c>
      <c r="F486" s="633" t="s">
        <v>325</v>
      </c>
      <c r="G486" s="633" t="s">
        <v>584</v>
      </c>
      <c r="H486" s="633" t="s">
        <v>332</v>
      </c>
      <c r="J486" s="633" t="s">
        <v>327</v>
      </c>
      <c r="K486" s="633" t="s">
        <v>260</v>
      </c>
      <c r="L486" s="633" t="s">
        <v>308</v>
      </c>
      <c r="M486" s="633" t="s">
        <v>471</v>
      </c>
      <c r="N486" s="633" t="s">
        <v>257</v>
      </c>
      <c r="O486" s="633">
        <v>1</v>
      </c>
      <c r="Q486" s="633">
        <v>8</v>
      </c>
      <c r="T486" s="594">
        <v>41736.707546296297</v>
      </c>
    </row>
    <row r="487" spans="1:20" x14ac:dyDescent="0.25">
      <c r="A487" s="633" t="s">
        <v>308</v>
      </c>
      <c r="B487" s="633">
        <v>13</v>
      </c>
      <c r="C487" s="633" t="s">
        <v>323</v>
      </c>
      <c r="D487" s="633" t="s">
        <v>324</v>
      </c>
      <c r="F487" s="633" t="s">
        <v>325</v>
      </c>
      <c r="G487" s="633" t="s">
        <v>584</v>
      </c>
      <c r="H487" s="633" t="s">
        <v>354</v>
      </c>
      <c r="J487" s="633" t="s">
        <v>327</v>
      </c>
      <c r="K487" s="633" t="s">
        <v>260</v>
      </c>
      <c r="L487" s="633" t="s">
        <v>308</v>
      </c>
      <c r="M487" s="633" t="s">
        <v>471</v>
      </c>
      <c r="N487" s="633" t="s">
        <v>257</v>
      </c>
      <c r="O487" s="633">
        <v>4</v>
      </c>
      <c r="P487" s="633">
        <v>6</v>
      </c>
      <c r="Q487" s="633">
        <v>24</v>
      </c>
      <c r="T487" s="594">
        <v>41736.707546296297</v>
      </c>
    </row>
    <row r="488" spans="1:20" x14ac:dyDescent="0.25">
      <c r="A488" s="633" t="s">
        <v>308</v>
      </c>
      <c r="B488" s="633">
        <v>13</v>
      </c>
      <c r="C488" s="633" t="s">
        <v>323</v>
      </c>
      <c r="D488" s="633" t="s">
        <v>324</v>
      </c>
      <c r="F488" s="633" t="s">
        <v>325</v>
      </c>
      <c r="G488" s="633" t="s">
        <v>584</v>
      </c>
      <c r="H488" s="633" t="s">
        <v>377</v>
      </c>
      <c r="J488" s="633" t="s">
        <v>327</v>
      </c>
      <c r="K488" s="633" t="s">
        <v>260</v>
      </c>
      <c r="L488" s="633" t="s">
        <v>308</v>
      </c>
      <c r="M488" s="633" t="s">
        <v>471</v>
      </c>
      <c r="N488" s="633" t="s">
        <v>257</v>
      </c>
      <c r="O488" s="633">
        <v>6</v>
      </c>
      <c r="P488" s="633">
        <v>5</v>
      </c>
      <c r="Q488" s="633">
        <v>0</v>
      </c>
      <c r="T488" s="594">
        <v>41736.707546296297</v>
      </c>
    </row>
    <row r="489" spans="1:20" x14ac:dyDescent="0.25">
      <c r="A489" s="633" t="s">
        <v>308</v>
      </c>
      <c r="B489" s="633">
        <v>13</v>
      </c>
      <c r="C489" s="633" t="s">
        <v>323</v>
      </c>
      <c r="D489" s="633" t="s">
        <v>324</v>
      </c>
      <c r="F489" s="633" t="s">
        <v>325</v>
      </c>
      <c r="G489" s="633" t="s">
        <v>584</v>
      </c>
      <c r="H489" s="633" t="s">
        <v>351</v>
      </c>
      <c r="J489" s="633" t="s">
        <v>327</v>
      </c>
      <c r="K489" s="633" t="s">
        <v>260</v>
      </c>
      <c r="L489" s="633" t="s">
        <v>308</v>
      </c>
      <c r="M489" s="633" t="s">
        <v>471</v>
      </c>
      <c r="N489" s="633" t="s">
        <v>257</v>
      </c>
      <c r="O489" s="633">
        <v>4</v>
      </c>
      <c r="P489" s="633">
        <v>3</v>
      </c>
      <c r="Q489" s="633">
        <v>0</v>
      </c>
      <c r="T489" s="594">
        <v>41736.707546296297</v>
      </c>
    </row>
    <row r="490" spans="1:20" x14ac:dyDescent="0.25">
      <c r="A490" s="633" t="s">
        <v>308</v>
      </c>
      <c r="B490" s="633">
        <v>13</v>
      </c>
      <c r="C490" s="633" t="s">
        <v>323</v>
      </c>
      <c r="D490" s="633" t="s">
        <v>324</v>
      </c>
      <c r="F490" s="633" t="s">
        <v>325</v>
      </c>
      <c r="G490" s="633" t="s">
        <v>584</v>
      </c>
      <c r="H490" s="633" t="s">
        <v>371</v>
      </c>
      <c r="J490" s="633" t="s">
        <v>327</v>
      </c>
      <c r="K490" s="633" t="s">
        <v>260</v>
      </c>
      <c r="L490" s="633" t="s">
        <v>308</v>
      </c>
      <c r="M490" s="633" t="s">
        <v>471</v>
      </c>
      <c r="N490" s="633" t="s">
        <v>257</v>
      </c>
      <c r="O490" s="633">
        <v>1</v>
      </c>
      <c r="P490" s="633">
        <v>4</v>
      </c>
      <c r="Q490" s="633">
        <v>26</v>
      </c>
      <c r="T490" s="594">
        <v>41736.707546296297</v>
      </c>
    </row>
    <row r="491" spans="1:20" x14ac:dyDescent="0.25">
      <c r="A491" s="633" t="s">
        <v>308</v>
      </c>
      <c r="B491" s="633">
        <v>13</v>
      </c>
      <c r="C491" s="633" t="s">
        <v>323</v>
      </c>
      <c r="D491" s="633" t="s">
        <v>324</v>
      </c>
      <c r="F491" s="633" t="s">
        <v>325</v>
      </c>
      <c r="G491" s="633" t="s">
        <v>584</v>
      </c>
      <c r="H491" s="633" t="s">
        <v>348</v>
      </c>
      <c r="J491" s="633" t="s">
        <v>327</v>
      </c>
      <c r="K491" s="633" t="s">
        <v>260</v>
      </c>
      <c r="L491" s="633" t="s">
        <v>308</v>
      </c>
      <c r="M491" s="633" t="s">
        <v>471</v>
      </c>
      <c r="N491" s="633" t="s">
        <v>257</v>
      </c>
      <c r="O491" s="633">
        <v>4</v>
      </c>
      <c r="P491" s="633">
        <v>2</v>
      </c>
      <c r="Q491" s="633">
        <v>0</v>
      </c>
      <c r="T491" s="594">
        <v>41736.707546296297</v>
      </c>
    </row>
    <row r="492" spans="1:20" x14ac:dyDescent="0.25">
      <c r="A492" s="633" t="s">
        <v>308</v>
      </c>
      <c r="B492" s="633">
        <v>13</v>
      </c>
      <c r="C492" s="633" t="s">
        <v>323</v>
      </c>
      <c r="D492" s="633" t="s">
        <v>324</v>
      </c>
      <c r="F492" s="633" t="s">
        <v>325</v>
      </c>
      <c r="G492" s="633" t="s">
        <v>584</v>
      </c>
      <c r="H492" s="633" t="s">
        <v>333</v>
      </c>
      <c r="J492" s="633" t="s">
        <v>327</v>
      </c>
      <c r="K492" s="633" t="s">
        <v>260</v>
      </c>
      <c r="L492" s="633" t="s">
        <v>308</v>
      </c>
      <c r="M492" s="633" t="s">
        <v>471</v>
      </c>
      <c r="N492" s="633" t="s">
        <v>257</v>
      </c>
      <c r="O492" s="633">
        <v>6</v>
      </c>
      <c r="Q492" s="633">
        <v>1</v>
      </c>
      <c r="T492" s="594">
        <v>41736.707546296297</v>
      </c>
    </row>
    <row r="493" spans="1:20" x14ac:dyDescent="0.25">
      <c r="A493" s="633" t="s">
        <v>308</v>
      </c>
      <c r="B493" s="633">
        <v>13</v>
      </c>
      <c r="C493" s="633" t="s">
        <v>323</v>
      </c>
      <c r="D493" s="633" t="s">
        <v>324</v>
      </c>
      <c r="F493" s="633" t="s">
        <v>325</v>
      </c>
      <c r="G493" s="633" t="s">
        <v>584</v>
      </c>
      <c r="H493" s="633" t="s">
        <v>330</v>
      </c>
      <c r="J493" s="633" t="s">
        <v>327</v>
      </c>
      <c r="K493" s="633" t="s">
        <v>260</v>
      </c>
      <c r="L493" s="633" t="s">
        <v>308</v>
      </c>
      <c r="M493" s="633" t="s">
        <v>470</v>
      </c>
      <c r="N493" s="633" t="s">
        <v>255</v>
      </c>
      <c r="O493" s="633">
        <v>3</v>
      </c>
      <c r="Q493" s="633">
        <v>86</v>
      </c>
      <c r="T493" s="594">
        <v>41736.707546296297</v>
      </c>
    </row>
    <row r="494" spans="1:20" x14ac:dyDescent="0.25">
      <c r="A494" s="633" t="s">
        <v>308</v>
      </c>
      <c r="B494" s="633">
        <v>13</v>
      </c>
      <c r="C494" s="633" t="s">
        <v>323</v>
      </c>
      <c r="D494" s="633" t="s">
        <v>324</v>
      </c>
      <c r="F494" s="633" t="s">
        <v>325</v>
      </c>
      <c r="G494" s="633" t="s">
        <v>584</v>
      </c>
      <c r="H494" s="633" t="s">
        <v>328</v>
      </c>
      <c r="J494" s="633" t="s">
        <v>327</v>
      </c>
      <c r="K494" s="633" t="s">
        <v>260</v>
      </c>
      <c r="L494" s="633" t="s">
        <v>308</v>
      </c>
      <c r="M494" s="633" t="s">
        <v>470</v>
      </c>
      <c r="N494" s="633" t="s">
        <v>255</v>
      </c>
      <c r="O494" s="633">
        <v>5</v>
      </c>
      <c r="Q494" s="633">
        <v>1</v>
      </c>
      <c r="T494" s="594">
        <v>41736.707546296297</v>
      </c>
    </row>
    <row r="495" spans="1:20" x14ac:dyDescent="0.25">
      <c r="A495" s="633" t="s">
        <v>308</v>
      </c>
      <c r="B495" s="633">
        <v>13</v>
      </c>
      <c r="C495" s="633" t="s">
        <v>323</v>
      </c>
      <c r="D495" s="633" t="s">
        <v>324</v>
      </c>
      <c r="F495" s="633" t="s">
        <v>325</v>
      </c>
      <c r="G495" s="633" t="s">
        <v>584</v>
      </c>
      <c r="H495" s="633" t="s">
        <v>333</v>
      </c>
      <c r="J495" s="633" t="s">
        <v>327</v>
      </c>
      <c r="K495" s="633" t="s">
        <v>260</v>
      </c>
      <c r="L495" s="633" t="s">
        <v>308</v>
      </c>
      <c r="M495" s="633" t="s">
        <v>470</v>
      </c>
      <c r="N495" s="633" t="s">
        <v>255</v>
      </c>
      <c r="O495" s="633">
        <v>6</v>
      </c>
      <c r="Q495" s="633">
        <v>6</v>
      </c>
      <c r="T495" s="594">
        <v>41736.707546296297</v>
      </c>
    </row>
    <row r="496" spans="1:20" x14ac:dyDescent="0.25">
      <c r="A496" s="633" t="s">
        <v>308</v>
      </c>
      <c r="B496" s="633">
        <v>13</v>
      </c>
      <c r="C496" s="633" t="s">
        <v>323</v>
      </c>
      <c r="D496" s="633" t="s">
        <v>324</v>
      </c>
      <c r="F496" s="633" t="s">
        <v>325</v>
      </c>
      <c r="G496" s="633" t="s">
        <v>584</v>
      </c>
      <c r="H496" s="633" t="s">
        <v>329</v>
      </c>
      <c r="J496" s="633" t="s">
        <v>327</v>
      </c>
      <c r="K496" s="633" t="s">
        <v>260</v>
      </c>
      <c r="L496" s="633" t="s">
        <v>308</v>
      </c>
      <c r="M496" s="633" t="s">
        <v>470</v>
      </c>
      <c r="N496" s="633" t="s">
        <v>255</v>
      </c>
      <c r="O496" s="633">
        <v>4</v>
      </c>
      <c r="Q496" s="633">
        <v>358</v>
      </c>
      <c r="T496" s="594">
        <v>41736.707546296297</v>
      </c>
    </row>
    <row r="497" spans="1:20" x14ac:dyDescent="0.25">
      <c r="A497" s="633" t="s">
        <v>308</v>
      </c>
      <c r="B497" s="633">
        <v>13</v>
      </c>
      <c r="C497" s="633" t="s">
        <v>323</v>
      </c>
      <c r="D497" s="633" t="s">
        <v>324</v>
      </c>
      <c r="F497" s="633" t="s">
        <v>325</v>
      </c>
      <c r="G497" s="633" t="s">
        <v>584</v>
      </c>
      <c r="H497" s="633" t="s">
        <v>326</v>
      </c>
      <c r="J497" s="633" t="s">
        <v>327</v>
      </c>
      <c r="K497" s="633" t="s">
        <v>260</v>
      </c>
      <c r="L497" s="633" t="s">
        <v>308</v>
      </c>
      <c r="M497" s="633" t="s">
        <v>470</v>
      </c>
      <c r="N497" s="633" t="s">
        <v>255</v>
      </c>
      <c r="O497" s="633">
        <v>2</v>
      </c>
      <c r="Q497" s="633">
        <v>13</v>
      </c>
      <c r="T497" s="594">
        <v>41736.707546296297</v>
      </c>
    </row>
    <row r="498" spans="1:20" x14ac:dyDescent="0.25">
      <c r="A498" s="633" t="s">
        <v>308</v>
      </c>
      <c r="B498" s="633">
        <v>13</v>
      </c>
      <c r="C498" s="633" t="s">
        <v>323</v>
      </c>
      <c r="D498" s="633" t="s">
        <v>324</v>
      </c>
      <c r="F498" s="633" t="s">
        <v>325</v>
      </c>
      <c r="G498" s="633" t="s">
        <v>584</v>
      </c>
      <c r="H498" s="633" t="s">
        <v>332</v>
      </c>
      <c r="J498" s="633" t="s">
        <v>327</v>
      </c>
      <c r="K498" s="633" t="s">
        <v>260</v>
      </c>
      <c r="L498" s="633" t="s">
        <v>308</v>
      </c>
      <c r="M498" s="633" t="s">
        <v>470</v>
      </c>
      <c r="N498" s="633" t="s">
        <v>255</v>
      </c>
      <c r="O498" s="633">
        <v>1</v>
      </c>
      <c r="Q498" s="633">
        <v>2</v>
      </c>
      <c r="T498" s="594">
        <v>41736.707546296297</v>
      </c>
    </row>
    <row r="499" spans="1:20" x14ac:dyDescent="0.25">
      <c r="A499" s="633" t="s">
        <v>308</v>
      </c>
      <c r="B499" s="633">
        <v>13</v>
      </c>
      <c r="C499" s="633" t="s">
        <v>323</v>
      </c>
      <c r="D499" s="633" t="s">
        <v>324</v>
      </c>
      <c r="F499" s="633" t="s">
        <v>325</v>
      </c>
      <c r="G499" s="633" t="s">
        <v>584</v>
      </c>
      <c r="H499" s="633" t="s">
        <v>331</v>
      </c>
      <c r="J499" s="633" t="s">
        <v>327</v>
      </c>
      <c r="K499" s="633" t="s">
        <v>260</v>
      </c>
      <c r="L499" s="633" t="s">
        <v>308</v>
      </c>
      <c r="M499" s="633" t="s">
        <v>470</v>
      </c>
      <c r="N499" s="633" t="s">
        <v>255</v>
      </c>
      <c r="Q499" s="633">
        <v>50</v>
      </c>
      <c r="T499" s="594">
        <v>41736.707546296297</v>
      </c>
    </row>
    <row r="500" spans="1:20" x14ac:dyDescent="0.25">
      <c r="A500" s="633" t="s">
        <v>308</v>
      </c>
      <c r="B500" s="633">
        <v>13</v>
      </c>
      <c r="C500" s="633" t="s">
        <v>323</v>
      </c>
      <c r="D500" s="633" t="s">
        <v>324</v>
      </c>
      <c r="F500" s="633" t="s">
        <v>325</v>
      </c>
      <c r="G500" s="633" t="s">
        <v>584</v>
      </c>
      <c r="H500" s="633" t="s">
        <v>333</v>
      </c>
      <c r="J500" s="633" t="s">
        <v>327</v>
      </c>
      <c r="K500" s="633" t="s">
        <v>260</v>
      </c>
      <c r="L500" s="633" t="s">
        <v>308</v>
      </c>
      <c r="M500" s="633" t="s">
        <v>471</v>
      </c>
      <c r="N500" s="633" t="s">
        <v>255</v>
      </c>
      <c r="O500" s="633">
        <v>6</v>
      </c>
      <c r="Q500" s="633">
        <v>0</v>
      </c>
      <c r="T500" s="594">
        <v>41736.707546296297</v>
      </c>
    </row>
    <row r="501" spans="1:20" x14ac:dyDescent="0.25">
      <c r="A501" s="633" t="s">
        <v>308</v>
      </c>
      <c r="B501" s="633">
        <v>13</v>
      </c>
      <c r="C501" s="633" t="s">
        <v>323</v>
      </c>
      <c r="D501" s="633" t="s">
        <v>324</v>
      </c>
      <c r="F501" s="633" t="s">
        <v>325</v>
      </c>
      <c r="G501" s="633" t="s">
        <v>584</v>
      </c>
      <c r="H501" s="633" t="s">
        <v>382</v>
      </c>
      <c r="J501" s="633" t="s">
        <v>327</v>
      </c>
      <c r="K501" s="633" t="s">
        <v>260</v>
      </c>
      <c r="L501" s="633" t="s">
        <v>308</v>
      </c>
      <c r="M501" s="633" t="s">
        <v>471</v>
      </c>
      <c r="N501" s="633" t="s">
        <v>255</v>
      </c>
      <c r="O501" s="633">
        <v>6</v>
      </c>
      <c r="P501" s="633">
        <v>6</v>
      </c>
      <c r="Q501" s="633">
        <v>2</v>
      </c>
      <c r="T501" s="594">
        <v>41736.707546296297</v>
      </c>
    </row>
    <row r="502" spans="1:20" x14ac:dyDescent="0.25">
      <c r="A502" s="633" t="s">
        <v>308</v>
      </c>
      <c r="B502" s="633">
        <v>13</v>
      </c>
      <c r="C502" s="633" t="s">
        <v>323</v>
      </c>
      <c r="D502" s="633" t="s">
        <v>324</v>
      </c>
      <c r="F502" s="633" t="s">
        <v>325</v>
      </c>
      <c r="G502" s="633" t="s">
        <v>584</v>
      </c>
      <c r="H502" s="633" t="s">
        <v>368</v>
      </c>
      <c r="J502" s="633" t="s">
        <v>327</v>
      </c>
      <c r="K502" s="633" t="s">
        <v>260</v>
      </c>
      <c r="L502" s="633" t="s">
        <v>308</v>
      </c>
      <c r="M502" s="633" t="s">
        <v>471</v>
      </c>
      <c r="N502" s="633" t="s">
        <v>255</v>
      </c>
      <c r="P502" s="633">
        <v>6</v>
      </c>
      <c r="Q502" s="633">
        <v>0</v>
      </c>
      <c r="T502" s="594">
        <v>41736.707546296297</v>
      </c>
    </row>
    <row r="503" spans="1:20" x14ac:dyDescent="0.25">
      <c r="A503" s="633" t="s">
        <v>308</v>
      </c>
      <c r="B503" s="633">
        <v>13</v>
      </c>
      <c r="C503" s="633" t="s">
        <v>323</v>
      </c>
      <c r="D503" s="633" t="s">
        <v>324</v>
      </c>
      <c r="F503" s="633" t="s">
        <v>325</v>
      </c>
      <c r="G503" s="633" t="s">
        <v>584</v>
      </c>
      <c r="H503" s="633" t="s">
        <v>332</v>
      </c>
      <c r="J503" s="633" t="s">
        <v>327</v>
      </c>
      <c r="K503" s="633" t="s">
        <v>260</v>
      </c>
      <c r="L503" s="633" t="s">
        <v>308</v>
      </c>
      <c r="M503" s="633" t="s">
        <v>471</v>
      </c>
      <c r="N503" s="633" t="s">
        <v>255</v>
      </c>
      <c r="O503" s="633">
        <v>1</v>
      </c>
      <c r="Q503" s="633">
        <v>85</v>
      </c>
      <c r="T503" s="594">
        <v>41736.707546296297</v>
      </c>
    </row>
    <row r="504" spans="1:20" x14ac:dyDescent="0.25">
      <c r="A504" s="633" t="s">
        <v>308</v>
      </c>
      <c r="B504" s="633">
        <v>13</v>
      </c>
      <c r="C504" s="633" t="s">
        <v>323</v>
      </c>
      <c r="D504" s="633" t="s">
        <v>324</v>
      </c>
      <c r="F504" s="633" t="s">
        <v>325</v>
      </c>
      <c r="G504" s="633" t="s">
        <v>584</v>
      </c>
      <c r="H504" s="633" t="s">
        <v>349</v>
      </c>
      <c r="J504" s="633" t="s">
        <v>327</v>
      </c>
      <c r="K504" s="633" t="s">
        <v>260</v>
      </c>
      <c r="L504" s="633" t="s">
        <v>308</v>
      </c>
      <c r="M504" s="633" t="s">
        <v>471</v>
      </c>
      <c r="N504" s="633" t="s">
        <v>255</v>
      </c>
      <c r="O504" s="633">
        <v>4</v>
      </c>
      <c r="P504" s="633">
        <v>5</v>
      </c>
      <c r="Q504" s="633">
        <v>6</v>
      </c>
      <c r="T504" s="594">
        <v>41736.707546296297</v>
      </c>
    </row>
    <row r="505" spans="1:20" x14ac:dyDescent="0.25">
      <c r="A505" s="633" t="s">
        <v>308</v>
      </c>
      <c r="B505" s="633">
        <v>13</v>
      </c>
      <c r="C505" s="633" t="s">
        <v>323</v>
      </c>
      <c r="D505" s="633" t="s">
        <v>324</v>
      </c>
      <c r="F505" s="633" t="s">
        <v>325</v>
      </c>
      <c r="G505" s="633" t="s">
        <v>584</v>
      </c>
      <c r="H505" s="633" t="s">
        <v>330</v>
      </c>
      <c r="J505" s="633" t="s">
        <v>327</v>
      </c>
      <c r="K505" s="633" t="s">
        <v>260</v>
      </c>
      <c r="L505" s="633" t="s">
        <v>308</v>
      </c>
      <c r="M505" s="633" t="s">
        <v>471</v>
      </c>
      <c r="N505" s="633" t="s">
        <v>255</v>
      </c>
      <c r="O505" s="633">
        <v>3</v>
      </c>
      <c r="Q505" s="633">
        <v>1</v>
      </c>
      <c r="T505" s="594">
        <v>41736.707546296297</v>
      </c>
    </row>
    <row r="506" spans="1:20" x14ac:dyDescent="0.25">
      <c r="A506" s="633" t="s">
        <v>308</v>
      </c>
      <c r="B506" s="633">
        <v>13</v>
      </c>
      <c r="C506" s="633" t="s">
        <v>323</v>
      </c>
      <c r="D506" s="633" t="s">
        <v>324</v>
      </c>
      <c r="F506" s="633" t="s">
        <v>325</v>
      </c>
      <c r="G506" s="633" t="s">
        <v>584</v>
      </c>
      <c r="H506" s="633" t="s">
        <v>328</v>
      </c>
      <c r="J506" s="633" t="s">
        <v>327</v>
      </c>
      <c r="K506" s="633" t="s">
        <v>260</v>
      </c>
      <c r="L506" s="633" t="s">
        <v>308</v>
      </c>
      <c r="M506" s="633" t="s">
        <v>471</v>
      </c>
      <c r="N506" s="633" t="s">
        <v>255</v>
      </c>
      <c r="O506" s="633">
        <v>5</v>
      </c>
      <c r="Q506" s="633">
        <v>0</v>
      </c>
      <c r="T506" s="594">
        <v>41736.707546296297</v>
      </c>
    </row>
    <row r="507" spans="1:20" x14ac:dyDescent="0.25">
      <c r="A507" s="633" t="s">
        <v>308</v>
      </c>
      <c r="B507" s="633">
        <v>13</v>
      </c>
      <c r="C507" s="633" t="s">
        <v>323</v>
      </c>
      <c r="D507" s="633" t="s">
        <v>324</v>
      </c>
      <c r="F507" s="633" t="s">
        <v>325</v>
      </c>
      <c r="G507" s="633" t="s">
        <v>584</v>
      </c>
      <c r="H507" s="633" t="s">
        <v>375</v>
      </c>
      <c r="J507" s="633" t="s">
        <v>327</v>
      </c>
      <c r="K507" s="633" t="s">
        <v>260</v>
      </c>
      <c r="L507" s="633" t="s">
        <v>308</v>
      </c>
      <c r="M507" s="633" t="s">
        <v>471</v>
      </c>
      <c r="N507" s="633" t="s">
        <v>255</v>
      </c>
      <c r="O507" s="633">
        <v>1</v>
      </c>
      <c r="P507" s="633">
        <v>6</v>
      </c>
      <c r="Q507" s="633">
        <v>18</v>
      </c>
      <c r="T507" s="594">
        <v>41736.707546296297</v>
      </c>
    </row>
    <row r="508" spans="1:20" x14ac:dyDescent="0.25">
      <c r="A508" s="633" t="s">
        <v>308</v>
      </c>
      <c r="B508" s="633">
        <v>13</v>
      </c>
      <c r="C508" s="633" t="s">
        <v>323</v>
      </c>
      <c r="D508" s="633" t="s">
        <v>324</v>
      </c>
      <c r="F508" s="633" t="s">
        <v>325</v>
      </c>
      <c r="G508" s="633" t="s">
        <v>584</v>
      </c>
      <c r="H508" s="633" t="s">
        <v>331</v>
      </c>
      <c r="J508" s="633" t="s">
        <v>327</v>
      </c>
      <c r="K508" s="633" t="s">
        <v>260</v>
      </c>
      <c r="L508" s="633" t="s">
        <v>308</v>
      </c>
      <c r="M508" s="633" t="s">
        <v>471</v>
      </c>
      <c r="N508" s="633" t="s">
        <v>255</v>
      </c>
      <c r="Q508" s="633">
        <v>71</v>
      </c>
      <c r="T508" s="594">
        <v>41736.707546296297</v>
      </c>
    </row>
    <row r="509" spans="1:20" x14ac:dyDescent="0.25">
      <c r="A509" s="633" t="s">
        <v>308</v>
      </c>
      <c r="B509" s="633">
        <v>13</v>
      </c>
      <c r="C509" s="633" t="s">
        <v>323</v>
      </c>
      <c r="D509" s="633" t="s">
        <v>324</v>
      </c>
      <c r="F509" s="633" t="s">
        <v>325</v>
      </c>
      <c r="G509" s="633" t="s">
        <v>584</v>
      </c>
      <c r="H509" s="633" t="s">
        <v>374</v>
      </c>
      <c r="J509" s="633" t="s">
        <v>327</v>
      </c>
      <c r="K509" s="633" t="s">
        <v>260</v>
      </c>
      <c r="L509" s="633" t="s">
        <v>308</v>
      </c>
      <c r="M509" s="633" t="s">
        <v>471</v>
      </c>
      <c r="N509" s="633" t="s">
        <v>255</v>
      </c>
      <c r="O509" s="633">
        <v>1</v>
      </c>
      <c r="P509" s="633">
        <v>7</v>
      </c>
      <c r="Q509" s="633">
        <v>1</v>
      </c>
      <c r="T509" s="594">
        <v>41736.707546296297</v>
      </c>
    </row>
    <row r="510" spans="1:20" x14ac:dyDescent="0.25">
      <c r="A510" s="633" t="s">
        <v>308</v>
      </c>
      <c r="B510" s="633">
        <v>13</v>
      </c>
      <c r="C510" s="633" t="s">
        <v>323</v>
      </c>
      <c r="D510" s="633" t="s">
        <v>324</v>
      </c>
      <c r="F510" s="633" t="s">
        <v>325</v>
      </c>
      <c r="G510" s="633" t="s">
        <v>584</v>
      </c>
      <c r="H510" s="633" t="s">
        <v>339</v>
      </c>
      <c r="J510" s="633" t="s">
        <v>327</v>
      </c>
      <c r="K510" s="633" t="s">
        <v>260</v>
      </c>
      <c r="L510" s="633" t="s">
        <v>308</v>
      </c>
      <c r="M510" s="633" t="s">
        <v>471</v>
      </c>
      <c r="N510" s="633" t="s">
        <v>255</v>
      </c>
      <c r="O510" s="633">
        <v>2</v>
      </c>
      <c r="P510" s="633">
        <v>7</v>
      </c>
      <c r="Q510" s="633">
        <v>0</v>
      </c>
      <c r="T510" s="594">
        <v>41736.707546296297</v>
      </c>
    </row>
    <row r="511" spans="1:20" x14ac:dyDescent="0.25">
      <c r="A511" s="633" t="s">
        <v>308</v>
      </c>
      <c r="B511" s="633">
        <v>13</v>
      </c>
      <c r="C511" s="633" t="s">
        <v>323</v>
      </c>
      <c r="D511" s="633" t="s">
        <v>324</v>
      </c>
      <c r="F511" s="633" t="s">
        <v>325</v>
      </c>
      <c r="G511" s="633" t="s">
        <v>584</v>
      </c>
      <c r="H511" s="633" t="s">
        <v>360</v>
      </c>
      <c r="J511" s="633" t="s">
        <v>327</v>
      </c>
      <c r="K511" s="633" t="s">
        <v>260</v>
      </c>
      <c r="L511" s="633" t="s">
        <v>308</v>
      </c>
      <c r="M511" s="633" t="s">
        <v>471</v>
      </c>
      <c r="N511" s="633" t="s">
        <v>255</v>
      </c>
      <c r="O511" s="633">
        <v>3</v>
      </c>
      <c r="P511" s="633">
        <v>7</v>
      </c>
      <c r="Q511" s="633">
        <v>0</v>
      </c>
      <c r="T511" s="594">
        <v>41736.707546296297</v>
      </c>
    </row>
    <row r="512" spans="1:20" x14ac:dyDescent="0.25">
      <c r="A512" s="633" t="s">
        <v>308</v>
      </c>
      <c r="B512" s="633">
        <v>13</v>
      </c>
      <c r="C512" s="633" t="s">
        <v>323</v>
      </c>
      <c r="D512" s="633" t="s">
        <v>324</v>
      </c>
      <c r="F512" s="633" t="s">
        <v>325</v>
      </c>
      <c r="G512" s="633" t="s">
        <v>584</v>
      </c>
      <c r="H512" s="633" t="s">
        <v>356</v>
      </c>
      <c r="J512" s="633" t="s">
        <v>327</v>
      </c>
      <c r="K512" s="633" t="s">
        <v>260</v>
      </c>
      <c r="L512" s="633" t="s">
        <v>308</v>
      </c>
      <c r="M512" s="633" t="s">
        <v>471</v>
      </c>
      <c r="N512" s="633" t="s">
        <v>255</v>
      </c>
      <c r="O512" s="633">
        <v>3</v>
      </c>
      <c r="P512" s="633">
        <v>5</v>
      </c>
      <c r="Q512" s="633">
        <v>1</v>
      </c>
      <c r="T512" s="594">
        <v>41736.707546296297</v>
      </c>
    </row>
    <row r="513" spans="1:20" x14ac:dyDescent="0.25">
      <c r="A513" s="633" t="s">
        <v>308</v>
      </c>
      <c r="B513" s="633">
        <v>13</v>
      </c>
      <c r="C513" s="633" t="s">
        <v>323</v>
      </c>
      <c r="D513" s="633" t="s">
        <v>324</v>
      </c>
      <c r="F513" s="633" t="s">
        <v>325</v>
      </c>
      <c r="G513" s="633" t="s">
        <v>584</v>
      </c>
      <c r="H513" s="633" t="s">
        <v>347</v>
      </c>
      <c r="J513" s="633" t="s">
        <v>327</v>
      </c>
      <c r="K513" s="633" t="s">
        <v>260</v>
      </c>
      <c r="L513" s="633" t="s">
        <v>308</v>
      </c>
      <c r="M513" s="633" t="s">
        <v>471</v>
      </c>
      <c r="N513" s="633" t="s">
        <v>255</v>
      </c>
      <c r="O513" s="633">
        <v>5</v>
      </c>
      <c r="P513" s="633">
        <v>6</v>
      </c>
      <c r="Q513" s="633">
        <v>1</v>
      </c>
      <c r="T513" s="594">
        <v>41736.707546296297</v>
      </c>
    </row>
    <row r="514" spans="1:20" x14ac:dyDescent="0.25">
      <c r="A514" s="633" t="s">
        <v>308</v>
      </c>
      <c r="B514" s="633">
        <v>13</v>
      </c>
      <c r="C514" s="633" t="s">
        <v>323</v>
      </c>
      <c r="D514" s="633" t="s">
        <v>324</v>
      </c>
      <c r="F514" s="633" t="s">
        <v>325</v>
      </c>
      <c r="G514" s="633" t="s">
        <v>584</v>
      </c>
      <c r="H514" s="633" t="s">
        <v>340</v>
      </c>
      <c r="J514" s="633" t="s">
        <v>327</v>
      </c>
      <c r="K514" s="633" t="s">
        <v>260</v>
      </c>
      <c r="L514" s="633" t="s">
        <v>308</v>
      </c>
      <c r="M514" s="633" t="s">
        <v>471</v>
      </c>
      <c r="N514" s="633" t="s">
        <v>255</v>
      </c>
      <c r="O514" s="633">
        <v>2</v>
      </c>
      <c r="P514" s="633">
        <v>6</v>
      </c>
      <c r="Q514" s="633">
        <v>7</v>
      </c>
      <c r="T514" s="594">
        <v>41736.707546296297</v>
      </c>
    </row>
    <row r="515" spans="1:20" x14ac:dyDescent="0.25">
      <c r="A515" s="633" t="s">
        <v>308</v>
      </c>
      <c r="B515" s="633">
        <v>13</v>
      </c>
      <c r="C515" s="633" t="s">
        <v>323</v>
      </c>
      <c r="D515" s="633" t="s">
        <v>324</v>
      </c>
      <c r="F515" s="633" t="s">
        <v>325</v>
      </c>
      <c r="G515" s="633" t="s">
        <v>584</v>
      </c>
      <c r="H515" s="633" t="s">
        <v>363</v>
      </c>
      <c r="J515" s="633" t="s">
        <v>327</v>
      </c>
      <c r="K515" s="633" t="s">
        <v>260</v>
      </c>
      <c r="L515" s="633" t="s">
        <v>308</v>
      </c>
      <c r="M515" s="633" t="s">
        <v>471</v>
      </c>
      <c r="N515" s="633" t="s">
        <v>255</v>
      </c>
      <c r="P515" s="633">
        <v>5</v>
      </c>
      <c r="Q515" s="633">
        <v>0</v>
      </c>
      <c r="T515" s="594">
        <v>41736.707546296297</v>
      </c>
    </row>
    <row r="516" spans="1:20" x14ac:dyDescent="0.25">
      <c r="A516" s="633" t="s">
        <v>308</v>
      </c>
      <c r="B516" s="633">
        <v>13</v>
      </c>
      <c r="C516" s="633" t="s">
        <v>323</v>
      </c>
      <c r="D516" s="633" t="s">
        <v>324</v>
      </c>
      <c r="F516" s="633" t="s">
        <v>325</v>
      </c>
      <c r="G516" s="633" t="s">
        <v>584</v>
      </c>
      <c r="H516" s="633" t="s">
        <v>377</v>
      </c>
      <c r="J516" s="633" t="s">
        <v>327</v>
      </c>
      <c r="K516" s="633" t="s">
        <v>260</v>
      </c>
      <c r="L516" s="633" t="s">
        <v>308</v>
      </c>
      <c r="M516" s="633" t="s">
        <v>471</v>
      </c>
      <c r="N516" s="633" t="s">
        <v>255</v>
      </c>
      <c r="O516" s="633">
        <v>6</v>
      </c>
      <c r="P516" s="633">
        <v>5</v>
      </c>
      <c r="Q516" s="633">
        <v>0</v>
      </c>
      <c r="T516" s="594">
        <v>41736.707546296297</v>
      </c>
    </row>
    <row r="517" spans="1:20" x14ac:dyDescent="0.25">
      <c r="A517" s="633" t="s">
        <v>308</v>
      </c>
      <c r="B517" s="633">
        <v>13</v>
      </c>
      <c r="C517" s="633" t="s">
        <v>323</v>
      </c>
      <c r="D517" s="633" t="s">
        <v>324</v>
      </c>
      <c r="F517" s="633" t="s">
        <v>325</v>
      </c>
      <c r="G517" s="633" t="s">
        <v>584</v>
      </c>
      <c r="H517" s="633" t="s">
        <v>329</v>
      </c>
      <c r="J517" s="633" t="s">
        <v>327</v>
      </c>
      <c r="K517" s="633" t="s">
        <v>260</v>
      </c>
      <c r="L517" s="633" t="s">
        <v>308</v>
      </c>
      <c r="M517" s="633" t="s">
        <v>471</v>
      </c>
      <c r="N517" s="633" t="s">
        <v>255</v>
      </c>
      <c r="O517" s="633">
        <v>4</v>
      </c>
      <c r="Q517" s="633">
        <v>10</v>
      </c>
      <c r="T517" s="594">
        <v>41736.707546296297</v>
      </c>
    </row>
    <row r="518" spans="1:20" x14ac:dyDescent="0.25">
      <c r="A518" s="633" t="s">
        <v>308</v>
      </c>
      <c r="B518" s="633">
        <v>13</v>
      </c>
      <c r="C518" s="633" t="s">
        <v>323</v>
      </c>
      <c r="D518" s="633" t="s">
        <v>324</v>
      </c>
      <c r="F518" s="633" t="s">
        <v>325</v>
      </c>
      <c r="G518" s="633" t="s">
        <v>584</v>
      </c>
      <c r="H518" s="633" t="s">
        <v>366</v>
      </c>
      <c r="J518" s="633" t="s">
        <v>327</v>
      </c>
      <c r="K518" s="633" t="s">
        <v>260</v>
      </c>
      <c r="L518" s="633" t="s">
        <v>308</v>
      </c>
      <c r="M518" s="633" t="s">
        <v>471</v>
      </c>
      <c r="N518" s="633" t="s">
        <v>255</v>
      </c>
      <c r="P518" s="633">
        <v>1</v>
      </c>
      <c r="Q518" s="633">
        <v>0</v>
      </c>
      <c r="T518" s="594">
        <v>41736.707546296297</v>
      </c>
    </row>
    <row r="519" spans="1:20" x14ac:dyDescent="0.25">
      <c r="A519" s="633" t="s">
        <v>308</v>
      </c>
      <c r="B519" s="633">
        <v>13</v>
      </c>
      <c r="C519" s="633" t="s">
        <v>323</v>
      </c>
      <c r="D519" s="633" t="s">
        <v>324</v>
      </c>
      <c r="F519" s="633" t="s">
        <v>325</v>
      </c>
      <c r="G519" s="633" t="s">
        <v>584</v>
      </c>
      <c r="H519" s="633" t="s">
        <v>373</v>
      </c>
      <c r="J519" s="633" t="s">
        <v>327</v>
      </c>
      <c r="K519" s="633" t="s">
        <v>260</v>
      </c>
      <c r="L519" s="633" t="s">
        <v>308</v>
      </c>
      <c r="M519" s="633" t="s">
        <v>471</v>
      </c>
      <c r="N519" s="633" t="s">
        <v>255</v>
      </c>
      <c r="O519" s="633">
        <v>1</v>
      </c>
      <c r="P519" s="633">
        <v>1</v>
      </c>
      <c r="Q519" s="633">
        <v>0</v>
      </c>
      <c r="T519" s="594">
        <v>41736.707546296297</v>
      </c>
    </row>
    <row r="520" spans="1:20" x14ac:dyDescent="0.25">
      <c r="A520" s="633" t="s">
        <v>308</v>
      </c>
      <c r="B520" s="633">
        <v>13</v>
      </c>
      <c r="C520" s="633" t="s">
        <v>323</v>
      </c>
      <c r="D520" s="633" t="s">
        <v>324</v>
      </c>
      <c r="F520" s="633" t="s">
        <v>325</v>
      </c>
      <c r="G520" s="633" t="s">
        <v>584</v>
      </c>
      <c r="H520" s="633" t="s">
        <v>359</v>
      </c>
      <c r="J520" s="633" t="s">
        <v>327</v>
      </c>
      <c r="K520" s="633" t="s">
        <v>260</v>
      </c>
      <c r="L520" s="633" t="s">
        <v>308</v>
      </c>
      <c r="M520" s="633" t="s">
        <v>471</v>
      </c>
      <c r="N520" s="633" t="s">
        <v>255</v>
      </c>
      <c r="O520" s="633">
        <v>3</v>
      </c>
      <c r="P520" s="633">
        <v>1</v>
      </c>
      <c r="Q520" s="633">
        <v>0</v>
      </c>
      <c r="T520" s="594">
        <v>41736.707546296297</v>
      </c>
    </row>
    <row r="521" spans="1:20" x14ac:dyDescent="0.25">
      <c r="A521" s="633" t="s">
        <v>308</v>
      </c>
      <c r="B521" s="633">
        <v>13</v>
      </c>
      <c r="C521" s="633" t="s">
        <v>323</v>
      </c>
      <c r="D521" s="633" t="s">
        <v>324</v>
      </c>
      <c r="F521" s="633" t="s">
        <v>325</v>
      </c>
      <c r="G521" s="633" t="s">
        <v>584</v>
      </c>
      <c r="H521" s="633" t="s">
        <v>380</v>
      </c>
      <c r="J521" s="633" t="s">
        <v>327</v>
      </c>
      <c r="K521" s="633" t="s">
        <v>260</v>
      </c>
      <c r="L521" s="633" t="s">
        <v>308</v>
      </c>
      <c r="M521" s="633" t="s">
        <v>471</v>
      </c>
      <c r="N521" s="633" t="s">
        <v>255</v>
      </c>
      <c r="O521" s="633">
        <v>6</v>
      </c>
      <c r="P521" s="633">
        <v>1</v>
      </c>
      <c r="Q521" s="633">
        <v>0</v>
      </c>
      <c r="T521" s="594">
        <v>41736.707546296297</v>
      </c>
    </row>
    <row r="522" spans="1:20" x14ac:dyDescent="0.25">
      <c r="A522" s="633" t="s">
        <v>308</v>
      </c>
      <c r="B522" s="633">
        <v>13</v>
      </c>
      <c r="C522" s="633" t="s">
        <v>323</v>
      </c>
      <c r="D522" s="633" t="s">
        <v>324</v>
      </c>
      <c r="F522" s="633" t="s">
        <v>325</v>
      </c>
      <c r="G522" s="633" t="s">
        <v>584</v>
      </c>
      <c r="H522" s="633" t="s">
        <v>352</v>
      </c>
      <c r="J522" s="633" t="s">
        <v>327</v>
      </c>
      <c r="K522" s="633" t="s">
        <v>260</v>
      </c>
      <c r="L522" s="633" t="s">
        <v>308</v>
      </c>
      <c r="M522" s="633" t="s">
        <v>471</v>
      </c>
      <c r="N522" s="633" t="s">
        <v>255</v>
      </c>
      <c r="O522" s="633">
        <v>4</v>
      </c>
      <c r="P522" s="633">
        <v>1</v>
      </c>
      <c r="Q522" s="633">
        <v>2</v>
      </c>
      <c r="T522" s="594">
        <v>41736.707546296297</v>
      </c>
    </row>
    <row r="523" spans="1:20" x14ac:dyDescent="0.25">
      <c r="A523" s="633" t="s">
        <v>308</v>
      </c>
      <c r="B523" s="633">
        <v>13</v>
      </c>
      <c r="C523" s="633" t="s">
        <v>323</v>
      </c>
      <c r="D523" s="633" t="s">
        <v>324</v>
      </c>
      <c r="F523" s="633" t="s">
        <v>325</v>
      </c>
      <c r="G523" s="633" t="s">
        <v>584</v>
      </c>
      <c r="H523" s="633" t="s">
        <v>345</v>
      </c>
      <c r="J523" s="633" t="s">
        <v>327</v>
      </c>
      <c r="K523" s="633" t="s">
        <v>260</v>
      </c>
      <c r="L523" s="633" t="s">
        <v>308</v>
      </c>
      <c r="M523" s="633" t="s">
        <v>471</v>
      </c>
      <c r="N523" s="633" t="s">
        <v>255</v>
      </c>
      <c r="O523" s="633">
        <v>5</v>
      </c>
      <c r="P523" s="633">
        <v>1</v>
      </c>
      <c r="Q523" s="633">
        <v>0</v>
      </c>
      <c r="T523" s="594">
        <v>41736.707546296297</v>
      </c>
    </row>
    <row r="524" spans="1:20" x14ac:dyDescent="0.25">
      <c r="A524" s="633" t="s">
        <v>308</v>
      </c>
      <c r="B524" s="633">
        <v>13</v>
      </c>
      <c r="C524" s="633" t="s">
        <v>323</v>
      </c>
      <c r="D524" s="633" t="s">
        <v>324</v>
      </c>
      <c r="F524" s="633" t="s">
        <v>325</v>
      </c>
      <c r="G524" s="633" t="s">
        <v>584</v>
      </c>
      <c r="H524" s="633" t="s">
        <v>354</v>
      </c>
      <c r="J524" s="633" t="s">
        <v>327</v>
      </c>
      <c r="K524" s="633" t="s">
        <v>260</v>
      </c>
      <c r="L524" s="633" t="s">
        <v>308</v>
      </c>
      <c r="M524" s="633" t="s">
        <v>471</v>
      </c>
      <c r="N524" s="633" t="s">
        <v>255</v>
      </c>
      <c r="O524" s="633">
        <v>4</v>
      </c>
      <c r="P524" s="633">
        <v>6</v>
      </c>
      <c r="Q524" s="633">
        <v>54</v>
      </c>
      <c r="T524" s="594">
        <v>41736.707546296297</v>
      </c>
    </row>
    <row r="525" spans="1:20" x14ac:dyDescent="0.25">
      <c r="A525" s="633" t="s">
        <v>308</v>
      </c>
      <c r="B525" s="633">
        <v>13</v>
      </c>
      <c r="C525" s="633" t="s">
        <v>323</v>
      </c>
      <c r="D525" s="633" t="s">
        <v>324</v>
      </c>
      <c r="F525" s="633" t="s">
        <v>325</v>
      </c>
      <c r="G525" s="633" t="s">
        <v>584</v>
      </c>
      <c r="H525" s="633" t="s">
        <v>353</v>
      </c>
      <c r="J525" s="633" t="s">
        <v>327</v>
      </c>
      <c r="K525" s="633" t="s">
        <v>260</v>
      </c>
      <c r="L525" s="633" t="s">
        <v>308</v>
      </c>
      <c r="M525" s="633" t="s">
        <v>471</v>
      </c>
      <c r="N525" s="633" t="s">
        <v>255</v>
      </c>
      <c r="O525" s="633">
        <v>4</v>
      </c>
      <c r="P525" s="633">
        <v>7</v>
      </c>
      <c r="Q525" s="633">
        <v>0</v>
      </c>
      <c r="T525" s="594">
        <v>41736.707546296297</v>
      </c>
    </row>
    <row r="526" spans="1:20" x14ac:dyDescent="0.25">
      <c r="A526" s="633" t="s">
        <v>308</v>
      </c>
      <c r="B526" s="633">
        <v>13</v>
      </c>
      <c r="C526" s="633" t="s">
        <v>323</v>
      </c>
      <c r="D526" s="633" t="s">
        <v>324</v>
      </c>
      <c r="F526" s="633" t="s">
        <v>325</v>
      </c>
      <c r="G526" s="633" t="s">
        <v>584</v>
      </c>
      <c r="H526" s="633" t="s">
        <v>361</v>
      </c>
      <c r="J526" s="633" t="s">
        <v>327</v>
      </c>
      <c r="K526" s="633" t="s">
        <v>260</v>
      </c>
      <c r="L526" s="633" t="s">
        <v>308</v>
      </c>
      <c r="M526" s="633" t="s">
        <v>471</v>
      </c>
      <c r="N526" s="633" t="s">
        <v>255</v>
      </c>
      <c r="O526" s="633">
        <v>3</v>
      </c>
      <c r="P526" s="633">
        <v>6</v>
      </c>
      <c r="Q526" s="633">
        <v>14</v>
      </c>
      <c r="T526" s="594">
        <v>41736.707546296297</v>
      </c>
    </row>
    <row r="527" spans="1:20" x14ac:dyDescent="0.25">
      <c r="A527" s="633" t="s">
        <v>308</v>
      </c>
      <c r="B527" s="633">
        <v>13</v>
      </c>
      <c r="C527" s="633" t="s">
        <v>323</v>
      </c>
      <c r="D527" s="633" t="s">
        <v>324</v>
      </c>
      <c r="F527" s="633" t="s">
        <v>325</v>
      </c>
      <c r="G527" s="633" t="s">
        <v>584</v>
      </c>
      <c r="H527" s="633" t="s">
        <v>342</v>
      </c>
      <c r="J527" s="633" t="s">
        <v>327</v>
      </c>
      <c r="K527" s="633" t="s">
        <v>260</v>
      </c>
      <c r="L527" s="633" t="s">
        <v>308</v>
      </c>
      <c r="M527" s="633" t="s">
        <v>471</v>
      </c>
      <c r="N527" s="633" t="s">
        <v>255</v>
      </c>
      <c r="O527" s="633">
        <v>5</v>
      </c>
      <c r="P527" s="633">
        <v>5</v>
      </c>
      <c r="Q527" s="633">
        <v>0</v>
      </c>
      <c r="T527" s="594">
        <v>41736.707546296297</v>
      </c>
    </row>
    <row r="528" spans="1:20" x14ac:dyDescent="0.25">
      <c r="A528" s="633" t="s">
        <v>308</v>
      </c>
      <c r="B528" s="633">
        <v>13</v>
      </c>
      <c r="C528" s="633" t="s">
        <v>323</v>
      </c>
      <c r="D528" s="633" t="s">
        <v>324</v>
      </c>
      <c r="F528" s="633" t="s">
        <v>325</v>
      </c>
      <c r="G528" s="633" t="s">
        <v>584</v>
      </c>
      <c r="H528" s="633" t="s">
        <v>335</v>
      </c>
      <c r="J528" s="633" t="s">
        <v>327</v>
      </c>
      <c r="K528" s="633" t="s">
        <v>260</v>
      </c>
      <c r="L528" s="633" t="s">
        <v>308</v>
      </c>
      <c r="M528" s="633" t="s">
        <v>471</v>
      </c>
      <c r="N528" s="633" t="s">
        <v>255</v>
      </c>
      <c r="O528" s="633">
        <v>2</v>
      </c>
      <c r="P528" s="633">
        <v>5</v>
      </c>
      <c r="Q528" s="633">
        <v>4</v>
      </c>
      <c r="T528" s="594">
        <v>41736.707546296297</v>
      </c>
    </row>
    <row r="529" spans="1:20" x14ac:dyDescent="0.25">
      <c r="A529" s="633" t="s">
        <v>308</v>
      </c>
      <c r="B529" s="633">
        <v>13</v>
      </c>
      <c r="C529" s="633" t="s">
        <v>323</v>
      </c>
      <c r="D529" s="633" t="s">
        <v>324</v>
      </c>
      <c r="F529" s="633" t="s">
        <v>325</v>
      </c>
      <c r="G529" s="633" t="s">
        <v>584</v>
      </c>
      <c r="H529" s="633" t="s">
        <v>370</v>
      </c>
      <c r="J529" s="633" t="s">
        <v>327</v>
      </c>
      <c r="K529" s="633" t="s">
        <v>260</v>
      </c>
      <c r="L529" s="633" t="s">
        <v>308</v>
      </c>
      <c r="M529" s="633" t="s">
        <v>471</v>
      </c>
      <c r="N529" s="633" t="s">
        <v>255</v>
      </c>
      <c r="O529" s="633">
        <v>1</v>
      </c>
      <c r="P529" s="633">
        <v>5</v>
      </c>
      <c r="Q529" s="633">
        <v>16</v>
      </c>
      <c r="T529" s="594">
        <v>41736.707546296297</v>
      </c>
    </row>
    <row r="530" spans="1:20" x14ac:dyDescent="0.25">
      <c r="A530" s="633" t="s">
        <v>308</v>
      </c>
      <c r="B530" s="633">
        <v>13</v>
      </c>
      <c r="C530" s="633" t="s">
        <v>323</v>
      </c>
      <c r="D530" s="633" t="s">
        <v>324</v>
      </c>
      <c r="F530" s="633" t="s">
        <v>325</v>
      </c>
      <c r="G530" s="633" t="s">
        <v>584</v>
      </c>
      <c r="H530" s="633" t="s">
        <v>364</v>
      </c>
      <c r="J530" s="633" t="s">
        <v>327</v>
      </c>
      <c r="K530" s="633" t="s">
        <v>260</v>
      </c>
      <c r="L530" s="633" t="s">
        <v>308</v>
      </c>
      <c r="M530" s="633" t="s">
        <v>471</v>
      </c>
      <c r="N530" s="633" t="s">
        <v>255</v>
      </c>
      <c r="P530" s="633">
        <v>4</v>
      </c>
      <c r="Q530" s="633">
        <v>0</v>
      </c>
      <c r="T530" s="594">
        <v>41736.707546296297</v>
      </c>
    </row>
    <row r="531" spans="1:20" x14ac:dyDescent="0.25">
      <c r="A531" s="633" t="s">
        <v>308</v>
      </c>
      <c r="B531" s="633">
        <v>13</v>
      </c>
      <c r="C531" s="633" t="s">
        <v>323</v>
      </c>
      <c r="D531" s="633" t="s">
        <v>324</v>
      </c>
      <c r="F531" s="633" t="s">
        <v>325</v>
      </c>
      <c r="G531" s="633" t="s">
        <v>584</v>
      </c>
      <c r="H531" s="633" t="s">
        <v>378</v>
      </c>
      <c r="J531" s="633" t="s">
        <v>327</v>
      </c>
      <c r="K531" s="633" t="s">
        <v>260</v>
      </c>
      <c r="L531" s="633" t="s">
        <v>308</v>
      </c>
      <c r="M531" s="633" t="s">
        <v>471</v>
      </c>
      <c r="N531" s="633" t="s">
        <v>255</v>
      </c>
      <c r="O531" s="633">
        <v>6</v>
      </c>
      <c r="P531" s="633">
        <v>4</v>
      </c>
      <c r="Q531" s="633">
        <v>1</v>
      </c>
      <c r="T531" s="594">
        <v>41736.707546296297</v>
      </c>
    </row>
    <row r="532" spans="1:20" x14ac:dyDescent="0.25">
      <c r="A532" s="633" t="s">
        <v>308</v>
      </c>
      <c r="B532" s="633">
        <v>13</v>
      </c>
      <c r="C532" s="633" t="s">
        <v>323</v>
      </c>
      <c r="D532" s="633" t="s">
        <v>324</v>
      </c>
      <c r="F532" s="633" t="s">
        <v>325</v>
      </c>
      <c r="G532" s="633" t="s">
        <v>584</v>
      </c>
      <c r="H532" s="633" t="s">
        <v>343</v>
      </c>
      <c r="J532" s="633" t="s">
        <v>327</v>
      </c>
      <c r="K532" s="633" t="s">
        <v>260</v>
      </c>
      <c r="L532" s="633" t="s">
        <v>308</v>
      </c>
      <c r="M532" s="633" t="s">
        <v>471</v>
      </c>
      <c r="N532" s="633" t="s">
        <v>255</v>
      </c>
      <c r="O532" s="633">
        <v>5</v>
      </c>
      <c r="P532" s="633">
        <v>4</v>
      </c>
      <c r="Q532" s="633">
        <v>0</v>
      </c>
      <c r="T532" s="594">
        <v>41736.707546296297</v>
      </c>
    </row>
    <row r="533" spans="1:20" x14ac:dyDescent="0.25">
      <c r="A533" s="633" t="s">
        <v>308</v>
      </c>
      <c r="B533" s="633">
        <v>13</v>
      </c>
      <c r="C533" s="633" t="s">
        <v>323</v>
      </c>
      <c r="D533" s="633" t="s">
        <v>324</v>
      </c>
      <c r="F533" s="633" t="s">
        <v>325</v>
      </c>
      <c r="G533" s="633" t="s">
        <v>584</v>
      </c>
      <c r="H533" s="633" t="s">
        <v>350</v>
      </c>
      <c r="J533" s="633" t="s">
        <v>327</v>
      </c>
      <c r="K533" s="633" t="s">
        <v>260</v>
      </c>
      <c r="L533" s="633" t="s">
        <v>308</v>
      </c>
      <c r="M533" s="633" t="s">
        <v>471</v>
      </c>
      <c r="N533" s="633" t="s">
        <v>255</v>
      </c>
      <c r="O533" s="633">
        <v>4</v>
      </c>
      <c r="P533" s="633">
        <v>4</v>
      </c>
      <c r="Q533" s="633">
        <v>291</v>
      </c>
      <c r="T533" s="594">
        <v>41736.707546296297</v>
      </c>
    </row>
    <row r="534" spans="1:20" x14ac:dyDescent="0.25">
      <c r="A534" s="633" t="s">
        <v>308</v>
      </c>
      <c r="B534" s="633">
        <v>13</v>
      </c>
      <c r="C534" s="633" t="s">
        <v>323</v>
      </c>
      <c r="D534" s="633" t="s">
        <v>324</v>
      </c>
      <c r="F534" s="633" t="s">
        <v>325</v>
      </c>
      <c r="G534" s="633" t="s">
        <v>584</v>
      </c>
      <c r="H534" s="633" t="s">
        <v>346</v>
      </c>
      <c r="J534" s="633" t="s">
        <v>327</v>
      </c>
      <c r="K534" s="633" t="s">
        <v>260</v>
      </c>
      <c r="L534" s="633" t="s">
        <v>308</v>
      </c>
      <c r="M534" s="633" t="s">
        <v>471</v>
      </c>
      <c r="N534" s="633" t="s">
        <v>255</v>
      </c>
      <c r="O534" s="633">
        <v>5</v>
      </c>
      <c r="P534" s="633">
        <v>7</v>
      </c>
      <c r="Q534" s="633">
        <v>0</v>
      </c>
      <c r="T534" s="594">
        <v>41736.707546296297</v>
      </c>
    </row>
    <row r="535" spans="1:20" x14ac:dyDescent="0.25">
      <c r="A535" s="633" t="s">
        <v>308</v>
      </c>
      <c r="B535" s="633">
        <v>13</v>
      </c>
      <c r="C535" s="633" t="s">
        <v>323</v>
      </c>
      <c r="D535" s="633" t="s">
        <v>324</v>
      </c>
      <c r="F535" s="633" t="s">
        <v>325</v>
      </c>
      <c r="G535" s="633" t="s">
        <v>584</v>
      </c>
      <c r="H535" s="633" t="s">
        <v>357</v>
      </c>
      <c r="J535" s="633" t="s">
        <v>327</v>
      </c>
      <c r="K535" s="633" t="s">
        <v>260</v>
      </c>
      <c r="L535" s="633" t="s">
        <v>308</v>
      </c>
      <c r="M535" s="633" t="s">
        <v>471</v>
      </c>
      <c r="N535" s="633" t="s">
        <v>255</v>
      </c>
      <c r="O535" s="633">
        <v>3</v>
      </c>
      <c r="P535" s="633">
        <v>4</v>
      </c>
      <c r="Q535" s="633">
        <v>119</v>
      </c>
      <c r="T535" s="594">
        <v>41736.707546296297</v>
      </c>
    </row>
    <row r="536" spans="1:20" x14ac:dyDescent="0.25">
      <c r="A536" s="633" t="s">
        <v>308</v>
      </c>
      <c r="B536" s="633">
        <v>13</v>
      </c>
      <c r="C536" s="633" t="s">
        <v>323</v>
      </c>
      <c r="D536" s="633" t="s">
        <v>324</v>
      </c>
      <c r="F536" s="633" t="s">
        <v>325</v>
      </c>
      <c r="G536" s="633" t="s">
        <v>584</v>
      </c>
      <c r="H536" s="633" t="s">
        <v>344</v>
      </c>
      <c r="J536" s="633" t="s">
        <v>327</v>
      </c>
      <c r="K536" s="633" t="s">
        <v>260</v>
      </c>
      <c r="L536" s="633" t="s">
        <v>308</v>
      </c>
      <c r="M536" s="633" t="s">
        <v>471</v>
      </c>
      <c r="N536" s="633" t="s">
        <v>255</v>
      </c>
      <c r="O536" s="633">
        <v>5</v>
      </c>
      <c r="P536" s="633">
        <v>3</v>
      </c>
      <c r="Q536" s="633">
        <v>0</v>
      </c>
      <c r="T536" s="594">
        <v>41736.707546296297</v>
      </c>
    </row>
    <row r="537" spans="1:20" x14ac:dyDescent="0.25">
      <c r="A537" s="633" t="s">
        <v>308</v>
      </c>
      <c r="B537" s="633">
        <v>13</v>
      </c>
      <c r="C537" s="633" t="s">
        <v>323</v>
      </c>
      <c r="D537" s="633" t="s">
        <v>324</v>
      </c>
      <c r="F537" s="633" t="s">
        <v>325</v>
      </c>
      <c r="G537" s="633" t="s">
        <v>584</v>
      </c>
      <c r="H537" s="633" t="s">
        <v>336</v>
      </c>
      <c r="J537" s="633" t="s">
        <v>327</v>
      </c>
      <c r="K537" s="633" t="s">
        <v>260</v>
      </c>
      <c r="L537" s="633" t="s">
        <v>308</v>
      </c>
      <c r="M537" s="633" t="s">
        <v>471</v>
      </c>
      <c r="N537" s="633" t="s">
        <v>255</v>
      </c>
      <c r="O537" s="633">
        <v>2</v>
      </c>
      <c r="P537" s="633">
        <v>4</v>
      </c>
      <c r="Q537" s="633">
        <v>46</v>
      </c>
      <c r="T537" s="594">
        <v>41736.707546296297</v>
      </c>
    </row>
    <row r="538" spans="1:20" x14ac:dyDescent="0.25">
      <c r="A538" s="633" t="s">
        <v>308</v>
      </c>
      <c r="B538" s="633">
        <v>13</v>
      </c>
      <c r="C538" s="633" t="s">
        <v>323</v>
      </c>
      <c r="D538" s="633" t="s">
        <v>324</v>
      </c>
      <c r="F538" s="633" t="s">
        <v>325</v>
      </c>
      <c r="G538" s="633" t="s">
        <v>584</v>
      </c>
      <c r="H538" s="633" t="s">
        <v>371</v>
      </c>
      <c r="J538" s="633" t="s">
        <v>327</v>
      </c>
      <c r="K538" s="633" t="s">
        <v>260</v>
      </c>
      <c r="L538" s="633" t="s">
        <v>308</v>
      </c>
      <c r="M538" s="633" t="s">
        <v>471</v>
      </c>
      <c r="N538" s="633" t="s">
        <v>255</v>
      </c>
      <c r="O538" s="633">
        <v>1</v>
      </c>
      <c r="P538" s="633">
        <v>4</v>
      </c>
      <c r="Q538" s="633">
        <v>291</v>
      </c>
      <c r="T538" s="594">
        <v>41736.707546296297</v>
      </c>
    </row>
    <row r="539" spans="1:20" x14ac:dyDescent="0.25">
      <c r="A539" s="633" t="s">
        <v>308</v>
      </c>
      <c r="B539" s="633">
        <v>13</v>
      </c>
      <c r="C539" s="633" t="s">
        <v>323</v>
      </c>
      <c r="D539" s="633" t="s">
        <v>324</v>
      </c>
      <c r="F539" s="633" t="s">
        <v>325</v>
      </c>
      <c r="G539" s="633" t="s">
        <v>584</v>
      </c>
      <c r="H539" s="633" t="s">
        <v>338</v>
      </c>
      <c r="J539" s="633" t="s">
        <v>327</v>
      </c>
      <c r="K539" s="633" t="s">
        <v>260</v>
      </c>
      <c r="L539" s="633" t="s">
        <v>308</v>
      </c>
      <c r="M539" s="633" t="s">
        <v>471</v>
      </c>
      <c r="N539" s="633" t="s">
        <v>255</v>
      </c>
      <c r="O539" s="633">
        <v>2</v>
      </c>
      <c r="P539" s="633">
        <v>1</v>
      </c>
      <c r="Q539" s="633">
        <v>0</v>
      </c>
      <c r="T539" s="594">
        <v>41736.707546296297</v>
      </c>
    </row>
    <row r="540" spans="1:20" x14ac:dyDescent="0.25">
      <c r="A540" s="633" t="s">
        <v>308</v>
      </c>
      <c r="B540" s="633">
        <v>13</v>
      </c>
      <c r="C540" s="633" t="s">
        <v>323</v>
      </c>
      <c r="D540" s="633" t="s">
        <v>324</v>
      </c>
      <c r="F540" s="633" t="s">
        <v>325</v>
      </c>
      <c r="G540" s="633" t="s">
        <v>584</v>
      </c>
      <c r="H540" s="633" t="s">
        <v>379</v>
      </c>
      <c r="J540" s="633" t="s">
        <v>327</v>
      </c>
      <c r="K540" s="633" t="s">
        <v>260</v>
      </c>
      <c r="L540" s="633" t="s">
        <v>308</v>
      </c>
      <c r="M540" s="633" t="s">
        <v>471</v>
      </c>
      <c r="N540" s="633" t="s">
        <v>255</v>
      </c>
      <c r="O540" s="633">
        <v>6</v>
      </c>
      <c r="P540" s="633">
        <v>3</v>
      </c>
      <c r="Q540" s="633">
        <v>0</v>
      </c>
      <c r="T540" s="594">
        <v>41736.707546296297</v>
      </c>
    </row>
    <row r="541" spans="1:20" x14ac:dyDescent="0.25">
      <c r="A541" s="633" t="s">
        <v>308</v>
      </c>
      <c r="B541" s="633">
        <v>13</v>
      </c>
      <c r="C541" s="633" t="s">
        <v>323</v>
      </c>
      <c r="D541" s="633" t="s">
        <v>324</v>
      </c>
      <c r="F541" s="633" t="s">
        <v>325</v>
      </c>
      <c r="G541" s="633" t="s">
        <v>584</v>
      </c>
      <c r="H541" s="633" t="s">
        <v>348</v>
      </c>
      <c r="J541" s="633" t="s">
        <v>327</v>
      </c>
      <c r="K541" s="633" t="s">
        <v>260</v>
      </c>
      <c r="L541" s="633" t="s">
        <v>308</v>
      </c>
      <c r="M541" s="633" t="s">
        <v>471</v>
      </c>
      <c r="N541" s="633" t="s">
        <v>255</v>
      </c>
      <c r="O541" s="633">
        <v>4</v>
      </c>
      <c r="P541" s="633">
        <v>2</v>
      </c>
      <c r="Q541" s="633">
        <v>0</v>
      </c>
      <c r="T541" s="594">
        <v>41736.707546296297</v>
      </c>
    </row>
    <row r="542" spans="1:20" x14ac:dyDescent="0.25">
      <c r="A542" s="633" t="s">
        <v>308</v>
      </c>
      <c r="B542" s="633">
        <v>13</v>
      </c>
      <c r="C542" s="633" t="s">
        <v>323</v>
      </c>
      <c r="D542" s="633" t="s">
        <v>324</v>
      </c>
      <c r="F542" s="633" t="s">
        <v>325</v>
      </c>
      <c r="G542" s="633" t="s">
        <v>584</v>
      </c>
      <c r="H542" s="633" t="s">
        <v>381</v>
      </c>
      <c r="J542" s="633" t="s">
        <v>327</v>
      </c>
      <c r="K542" s="633" t="s">
        <v>260</v>
      </c>
      <c r="L542" s="633" t="s">
        <v>308</v>
      </c>
      <c r="M542" s="633" t="s">
        <v>471</v>
      </c>
      <c r="N542" s="633" t="s">
        <v>255</v>
      </c>
      <c r="O542" s="633">
        <v>6</v>
      </c>
      <c r="P542" s="633">
        <v>7</v>
      </c>
      <c r="Q542" s="633">
        <v>0</v>
      </c>
      <c r="T542" s="594">
        <v>41736.707546296297</v>
      </c>
    </row>
    <row r="543" spans="1:20" x14ac:dyDescent="0.25">
      <c r="A543" s="633" t="s">
        <v>308</v>
      </c>
      <c r="B543" s="633">
        <v>13</v>
      </c>
      <c r="C543" s="633" t="s">
        <v>323</v>
      </c>
      <c r="D543" s="633" t="s">
        <v>324</v>
      </c>
      <c r="F543" s="633" t="s">
        <v>325</v>
      </c>
      <c r="G543" s="633" t="s">
        <v>584</v>
      </c>
      <c r="H543" s="633" t="s">
        <v>367</v>
      </c>
      <c r="J543" s="633" t="s">
        <v>327</v>
      </c>
      <c r="K543" s="633" t="s">
        <v>260</v>
      </c>
      <c r="L543" s="633" t="s">
        <v>308</v>
      </c>
      <c r="M543" s="633" t="s">
        <v>471</v>
      </c>
      <c r="N543" s="633" t="s">
        <v>255</v>
      </c>
      <c r="P543" s="633">
        <v>7</v>
      </c>
      <c r="Q543" s="633">
        <v>2</v>
      </c>
      <c r="T543" s="594">
        <v>41736.707546296297</v>
      </c>
    </row>
    <row r="544" spans="1:20" x14ac:dyDescent="0.25">
      <c r="A544" s="633" t="s">
        <v>308</v>
      </c>
      <c r="B544" s="633">
        <v>13</v>
      </c>
      <c r="C544" s="633" t="s">
        <v>323</v>
      </c>
      <c r="D544" s="633" t="s">
        <v>324</v>
      </c>
      <c r="F544" s="633" t="s">
        <v>325</v>
      </c>
      <c r="G544" s="633" t="s">
        <v>584</v>
      </c>
      <c r="H544" s="633" t="s">
        <v>326</v>
      </c>
      <c r="J544" s="633" t="s">
        <v>327</v>
      </c>
      <c r="K544" s="633" t="s">
        <v>260</v>
      </c>
      <c r="L544" s="633" t="s">
        <v>308</v>
      </c>
      <c r="M544" s="633" t="s">
        <v>471</v>
      </c>
      <c r="N544" s="633" t="s">
        <v>255</v>
      </c>
      <c r="O544" s="633">
        <v>2</v>
      </c>
      <c r="Q544" s="633">
        <v>10</v>
      </c>
      <c r="T544" s="594">
        <v>41736.707546296297</v>
      </c>
    </row>
    <row r="545" spans="1:20" x14ac:dyDescent="0.25">
      <c r="A545" s="633" t="s">
        <v>308</v>
      </c>
      <c r="B545" s="633">
        <v>13</v>
      </c>
      <c r="C545" s="633" t="s">
        <v>323</v>
      </c>
      <c r="D545" s="633" t="s">
        <v>324</v>
      </c>
      <c r="F545" s="633" t="s">
        <v>325</v>
      </c>
      <c r="G545" s="633" t="s">
        <v>584</v>
      </c>
      <c r="H545" s="633" t="s">
        <v>365</v>
      </c>
      <c r="J545" s="633" t="s">
        <v>327</v>
      </c>
      <c r="K545" s="633" t="s">
        <v>260</v>
      </c>
      <c r="L545" s="633" t="s">
        <v>308</v>
      </c>
      <c r="M545" s="633" t="s">
        <v>471</v>
      </c>
      <c r="N545" s="633" t="s">
        <v>255</v>
      </c>
      <c r="P545" s="633">
        <v>3</v>
      </c>
      <c r="Q545" s="633">
        <v>0</v>
      </c>
      <c r="T545" s="594">
        <v>41736.707546296297</v>
      </c>
    </row>
    <row r="546" spans="1:20" x14ac:dyDescent="0.25">
      <c r="A546" s="633" t="s">
        <v>308</v>
      </c>
      <c r="B546" s="633">
        <v>13</v>
      </c>
      <c r="C546" s="633" t="s">
        <v>323</v>
      </c>
      <c r="D546" s="633" t="s">
        <v>324</v>
      </c>
      <c r="F546" s="633" t="s">
        <v>325</v>
      </c>
      <c r="G546" s="633" t="s">
        <v>584</v>
      </c>
      <c r="H546" s="633" t="s">
        <v>369</v>
      </c>
      <c r="J546" s="633" t="s">
        <v>327</v>
      </c>
      <c r="K546" s="633" t="s">
        <v>260</v>
      </c>
      <c r="L546" s="633" t="s">
        <v>308</v>
      </c>
      <c r="M546" s="633" t="s">
        <v>471</v>
      </c>
      <c r="N546" s="633" t="s">
        <v>255</v>
      </c>
      <c r="O546" s="633">
        <v>1</v>
      </c>
      <c r="P546" s="633">
        <v>2</v>
      </c>
      <c r="Q546" s="633">
        <v>0</v>
      </c>
      <c r="T546" s="594">
        <v>41736.707546296297</v>
      </c>
    </row>
    <row r="547" spans="1:20" x14ac:dyDescent="0.25">
      <c r="A547" s="633" t="s">
        <v>308</v>
      </c>
      <c r="B547" s="633">
        <v>13</v>
      </c>
      <c r="C547" s="633" t="s">
        <v>323</v>
      </c>
      <c r="D547" s="633" t="s">
        <v>324</v>
      </c>
      <c r="F547" s="633" t="s">
        <v>325</v>
      </c>
      <c r="G547" s="633" t="s">
        <v>584</v>
      </c>
      <c r="H547" s="633" t="s">
        <v>355</v>
      </c>
      <c r="J547" s="633" t="s">
        <v>327</v>
      </c>
      <c r="K547" s="633" t="s">
        <v>260</v>
      </c>
      <c r="L547" s="633" t="s">
        <v>308</v>
      </c>
      <c r="M547" s="633" t="s">
        <v>471</v>
      </c>
      <c r="N547" s="633" t="s">
        <v>255</v>
      </c>
      <c r="O547" s="633">
        <v>3</v>
      </c>
      <c r="P547" s="633">
        <v>2</v>
      </c>
      <c r="Q547" s="633">
        <v>0</v>
      </c>
      <c r="T547" s="594">
        <v>41736.707546296297</v>
      </c>
    </row>
    <row r="548" spans="1:20" x14ac:dyDescent="0.25">
      <c r="A548" s="633" t="s">
        <v>308</v>
      </c>
      <c r="B548" s="633">
        <v>13</v>
      </c>
      <c r="C548" s="633" t="s">
        <v>323</v>
      </c>
      <c r="D548" s="633" t="s">
        <v>324</v>
      </c>
      <c r="F548" s="633" t="s">
        <v>325</v>
      </c>
      <c r="G548" s="633" t="s">
        <v>584</v>
      </c>
      <c r="H548" s="633" t="s">
        <v>351</v>
      </c>
      <c r="J548" s="633" t="s">
        <v>327</v>
      </c>
      <c r="K548" s="633" t="s">
        <v>260</v>
      </c>
      <c r="L548" s="633" t="s">
        <v>308</v>
      </c>
      <c r="M548" s="633" t="s">
        <v>471</v>
      </c>
      <c r="N548" s="633" t="s">
        <v>255</v>
      </c>
      <c r="O548" s="633">
        <v>4</v>
      </c>
      <c r="P548" s="633">
        <v>3</v>
      </c>
      <c r="Q548" s="633">
        <v>0</v>
      </c>
      <c r="T548" s="594">
        <v>41736.707546296297</v>
      </c>
    </row>
    <row r="549" spans="1:20" x14ac:dyDescent="0.25">
      <c r="A549" s="633" t="s">
        <v>308</v>
      </c>
      <c r="B549" s="633">
        <v>13</v>
      </c>
      <c r="C549" s="633" t="s">
        <v>323</v>
      </c>
      <c r="D549" s="633" t="s">
        <v>324</v>
      </c>
      <c r="F549" s="633" t="s">
        <v>325</v>
      </c>
      <c r="G549" s="633" t="s">
        <v>584</v>
      </c>
      <c r="H549" s="633" t="s">
        <v>341</v>
      </c>
      <c r="J549" s="633" t="s">
        <v>327</v>
      </c>
      <c r="K549" s="633" t="s">
        <v>260</v>
      </c>
      <c r="L549" s="633" t="s">
        <v>308</v>
      </c>
      <c r="M549" s="633" t="s">
        <v>471</v>
      </c>
      <c r="N549" s="633" t="s">
        <v>255</v>
      </c>
      <c r="O549" s="633">
        <v>5</v>
      </c>
      <c r="P549" s="633">
        <v>2</v>
      </c>
      <c r="Q549" s="633">
        <v>0</v>
      </c>
      <c r="T549" s="594">
        <v>41736.707546296297</v>
      </c>
    </row>
    <row r="550" spans="1:20" x14ac:dyDescent="0.25">
      <c r="A550" s="633" t="s">
        <v>308</v>
      </c>
      <c r="B550" s="633">
        <v>13</v>
      </c>
      <c r="C550" s="633" t="s">
        <v>323</v>
      </c>
      <c r="D550" s="633" t="s">
        <v>324</v>
      </c>
      <c r="F550" s="633" t="s">
        <v>325</v>
      </c>
      <c r="G550" s="633" t="s">
        <v>584</v>
      </c>
      <c r="H550" s="633" t="s">
        <v>376</v>
      </c>
      <c r="J550" s="633" t="s">
        <v>327</v>
      </c>
      <c r="K550" s="633" t="s">
        <v>260</v>
      </c>
      <c r="L550" s="633" t="s">
        <v>308</v>
      </c>
      <c r="M550" s="633" t="s">
        <v>471</v>
      </c>
      <c r="N550" s="633" t="s">
        <v>255</v>
      </c>
      <c r="O550" s="633">
        <v>6</v>
      </c>
      <c r="P550" s="633">
        <v>2</v>
      </c>
      <c r="Q550" s="633">
        <v>0</v>
      </c>
      <c r="T550" s="594">
        <v>41736.707546296297</v>
      </c>
    </row>
    <row r="551" spans="1:20" x14ac:dyDescent="0.25">
      <c r="A551" s="633" t="s">
        <v>308</v>
      </c>
      <c r="B551" s="633">
        <v>13</v>
      </c>
      <c r="C551" s="633" t="s">
        <v>323</v>
      </c>
      <c r="D551" s="633" t="s">
        <v>324</v>
      </c>
      <c r="F551" s="633" t="s">
        <v>325</v>
      </c>
      <c r="G551" s="633" t="s">
        <v>584</v>
      </c>
      <c r="H551" s="633" t="s">
        <v>362</v>
      </c>
      <c r="J551" s="633" t="s">
        <v>327</v>
      </c>
      <c r="K551" s="633" t="s">
        <v>260</v>
      </c>
      <c r="L551" s="633" t="s">
        <v>308</v>
      </c>
      <c r="M551" s="633" t="s">
        <v>471</v>
      </c>
      <c r="N551" s="633" t="s">
        <v>255</v>
      </c>
      <c r="P551" s="633">
        <v>2</v>
      </c>
      <c r="Q551" s="633">
        <v>0</v>
      </c>
      <c r="T551" s="594">
        <v>41736.707546296297</v>
      </c>
    </row>
    <row r="552" spans="1:20" x14ac:dyDescent="0.25">
      <c r="A552" s="633" t="s">
        <v>308</v>
      </c>
      <c r="B552" s="633">
        <v>13</v>
      </c>
      <c r="C552" s="633" t="s">
        <v>323</v>
      </c>
      <c r="D552" s="633" t="s">
        <v>324</v>
      </c>
      <c r="F552" s="633" t="s">
        <v>325</v>
      </c>
      <c r="G552" s="633" t="s">
        <v>584</v>
      </c>
      <c r="H552" s="633" t="s">
        <v>372</v>
      </c>
      <c r="J552" s="633" t="s">
        <v>327</v>
      </c>
      <c r="K552" s="633" t="s">
        <v>260</v>
      </c>
      <c r="L552" s="633" t="s">
        <v>308</v>
      </c>
      <c r="M552" s="633" t="s">
        <v>471</v>
      </c>
      <c r="N552" s="633" t="s">
        <v>255</v>
      </c>
      <c r="O552" s="633">
        <v>1</v>
      </c>
      <c r="P552" s="633">
        <v>3</v>
      </c>
      <c r="Q552" s="633">
        <v>2</v>
      </c>
      <c r="T552" s="594">
        <v>41736.707546296297</v>
      </c>
    </row>
    <row r="553" spans="1:20" x14ac:dyDescent="0.25">
      <c r="A553" s="633" t="s">
        <v>308</v>
      </c>
      <c r="B553" s="633">
        <v>13</v>
      </c>
      <c r="C553" s="633" t="s">
        <v>323</v>
      </c>
      <c r="D553" s="633" t="s">
        <v>324</v>
      </c>
      <c r="F553" s="633" t="s">
        <v>325</v>
      </c>
      <c r="G553" s="633" t="s">
        <v>584</v>
      </c>
      <c r="H553" s="633" t="s">
        <v>337</v>
      </c>
      <c r="J553" s="633" t="s">
        <v>327</v>
      </c>
      <c r="K553" s="633" t="s">
        <v>260</v>
      </c>
      <c r="L553" s="633" t="s">
        <v>308</v>
      </c>
      <c r="M553" s="633" t="s">
        <v>471</v>
      </c>
      <c r="N553" s="633" t="s">
        <v>255</v>
      </c>
      <c r="O553" s="633">
        <v>2</v>
      </c>
      <c r="P553" s="633">
        <v>3</v>
      </c>
      <c r="Q553" s="633">
        <v>0</v>
      </c>
      <c r="T553" s="594">
        <v>41736.707546296297</v>
      </c>
    </row>
    <row r="554" spans="1:20" x14ac:dyDescent="0.25">
      <c r="A554" s="633" t="s">
        <v>308</v>
      </c>
      <c r="B554" s="633">
        <v>13</v>
      </c>
      <c r="C554" s="633" t="s">
        <v>323</v>
      </c>
      <c r="D554" s="633" t="s">
        <v>324</v>
      </c>
      <c r="F554" s="633" t="s">
        <v>325</v>
      </c>
      <c r="G554" s="633" t="s">
        <v>584</v>
      </c>
      <c r="H554" s="633" t="s">
        <v>358</v>
      </c>
      <c r="J554" s="633" t="s">
        <v>327</v>
      </c>
      <c r="K554" s="633" t="s">
        <v>260</v>
      </c>
      <c r="L554" s="633" t="s">
        <v>308</v>
      </c>
      <c r="M554" s="633" t="s">
        <v>471</v>
      </c>
      <c r="N554" s="633" t="s">
        <v>255</v>
      </c>
      <c r="O554" s="633">
        <v>3</v>
      </c>
      <c r="P554" s="633">
        <v>3</v>
      </c>
      <c r="Q554" s="633">
        <v>7</v>
      </c>
      <c r="T554" s="594">
        <v>41736.707546296297</v>
      </c>
    </row>
    <row r="555" spans="1:20" x14ac:dyDescent="0.25">
      <c r="A555" s="633" t="s">
        <v>308</v>
      </c>
      <c r="B555" s="633">
        <v>13</v>
      </c>
      <c r="C555" s="633" t="s">
        <v>323</v>
      </c>
      <c r="D555" s="633" t="s">
        <v>324</v>
      </c>
      <c r="F555" s="633" t="s">
        <v>325</v>
      </c>
      <c r="G555" s="633" t="s">
        <v>584</v>
      </c>
      <c r="H555" s="633" t="s">
        <v>334</v>
      </c>
      <c r="J555" s="633" t="s">
        <v>327</v>
      </c>
      <c r="K555" s="633" t="s">
        <v>260</v>
      </c>
      <c r="L555" s="633" t="s">
        <v>308</v>
      </c>
      <c r="M555" s="633" t="s">
        <v>471</v>
      </c>
      <c r="N555" s="633" t="s">
        <v>255</v>
      </c>
      <c r="O555" s="633">
        <v>2</v>
      </c>
      <c r="P555" s="633">
        <v>2</v>
      </c>
      <c r="Q555" s="633">
        <v>1</v>
      </c>
      <c r="T555" s="594">
        <v>41736.707546296297</v>
      </c>
    </row>
    <row r="556" spans="1:20" x14ac:dyDescent="0.25">
      <c r="A556" s="633" t="s">
        <v>308</v>
      </c>
      <c r="B556" s="633">
        <v>13</v>
      </c>
      <c r="C556" s="633" t="s">
        <v>323</v>
      </c>
      <c r="D556" s="633" t="s">
        <v>324</v>
      </c>
      <c r="F556" s="633" t="s">
        <v>325</v>
      </c>
      <c r="G556" s="633" t="s">
        <v>584</v>
      </c>
      <c r="H556" s="633" t="s">
        <v>330</v>
      </c>
      <c r="J556" s="633" t="s">
        <v>327</v>
      </c>
      <c r="K556" s="633" t="s">
        <v>260</v>
      </c>
      <c r="L556" s="633" t="s">
        <v>308</v>
      </c>
      <c r="M556" s="633" t="s">
        <v>470</v>
      </c>
      <c r="N556" s="633" t="s">
        <v>259</v>
      </c>
      <c r="O556" s="633">
        <v>3</v>
      </c>
      <c r="Q556" s="633">
        <v>19</v>
      </c>
      <c r="T556" s="594">
        <v>41736.707546296297</v>
      </c>
    </row>
    <row r="557" spans="1:20" x14ac:dyDescent="0.25">
      <c r="A557" s="633" t="s">
        <v>308</v>
      </c>
      <c r="B557" s="633">
        <v>13</v>
      </c>
      <c r="C557" s="633" t="s">
        <v>323</v>
      </c>
      <c r="D557" s="633" t="s">
        <v>324</v>
      </c>
      <c r="F557" s="633" t="s">
        <v>325</v>
      </c>
      <c r="G557" s="633" t="s">
        <v>584</v>
      </c>
      <c r="H557" s="633" t="s">
        <v>333</v>
      </c>
      <c r="J557" s="633" t="s">
        <v>327</v>
      </c>
      <c r="K557" s="633" t="s">
        <v>260</v>
      </c>
      <c r="L557" s="633" t="s">
        <v>308</v>
      </c>
      <c r="M557" s="633" t="s">
        <v>470</v>
      </c>
      <c r="N557" s="633" t="s">
        <v>259</v>
      </c>
      <c r="O557" s="633">
        <v>6</v>
      </c>
      <c r="Q557" s="633">
        <v>1</v>
      </c>
      <c r="T557" s="594">
        <v>41736.707546296297</v>
      </c>
    </row>
    <row r="558" spans="1:20" x14ac:dyDescent="0.25">
      <c r="A558" s="633" t="s">
        <v>308</v>
      </c>
      <c r="B558" s="633">
        <v>13</v>
      </c>
      <c r="C558" s="633" t="s">
        <v>323</v>
      </c>
      <c r="D558" s="633" t="s">
        <v>324</v>
      </c>
      <c r="F558" s="633" t="s">
        <v>325</v>
      </c>
      <c r="G558" s="633" t="s">
        <v>584</v>
      </c>
      <c r="H558" s="633" t="s">
        <v>328</v>
      </c>
      <c r="J558" s="633" t="s">
        <v>327</v>
      </c>
      <c r="K558" s="633" t="s">
        <v>260</v>
      </c>
      <c r="L558" s="633" t="s">
        <v>308</v>
      </c>
      <c r="M558" s="633" t="s">
        <v>470</v>
      </c>
      <c r="N558" s="633" t="s">
        <v>259</v>
      </c>
      <c r="O558" s="633">
        <v>5</v>
      </c>
      <c r="Q558" s="633">
        <v>0</v>
      </c>
      <c r="T558" s="594">
        <v>41736.707546296297</v>
      </c>
    </row>
    <row r="559" spans="1:20" x14ac:dyDescent="0.25">
      <c r="A559" s="633" t="s">
        <v>308</v>
      </c>
      <c r="B559" s="633">
        <v>13</v>
      </c>
      <c r="C559" s="633" t="s">
        <v>323</v>
      </c>
      <c r="D559" s="633" t="s">
        <v>324</v>
      </c>
      <c r="F559" s="633" t="s">
        <v>325</v>
      </c>
      <c r="G559" s="633" t="s">
        <v>584</v>
      </c>
      <c r="H559" s="633" t="s">
        <v>326</v>
      </c>
      <c r="J559" s="633" t="s">
        <v>327</v>
      </c>
      <c r="K559" s="633" t="s">
        <v>260</v>
      </c>
      <c r="L559" s="633" t="s">
        <v>308</v>
      </c>
      <c r="M559" s="633" t="s">
        <v>470</v>
      </c>
      <c r="N559" s="633" t="s">
        <v>259</v>
      </c>
      <c r="O559" s="633">
        <v>2</v>
      </c>
      <c r="Q559" s="633">
        <v>3</v>
      </c>
      <c r="T559" s="594">
        <v>41736.707546296297</v>
      </c>
    </row>
    <row r="560" spans="1:20" x14ac:dyDescent="0.25">
      <c r="A560" s="633" t="s">
        <v>308</v>
      </c>
      <c r="B560" s="633">
        <v>13</v>
      </c>
      <c r="C560" s="633" t="s">
        <v>323</v>
      </c>
      <c r="D560" s="633" t="s">
        <v>324</v>
      </c>
      <c r="F560" s="633" t="s">
        <v>325</v>
      </c>
      <c r="G560" s="633" t="s">
        <v>584</v>
      </c>
      <c r="H560" s="633" t="s">
        <v>332</v>
      </c>
      <c r="J560" s="633" t="s">
        <v>327</v>
      </c>
      <c r="K560" s="633" t="s">
        <v>260</v>
      </c>
      <c r="L560" s="633" t="s">
        <v>308</v>
      </c>
      <c r="M560" s="633" t="s">
        <v>470</v>
      </c>
      <c r="N560" s="633" t="s">
        <v>259</v>
      </c>
      <c r="O560" s="633">
        <v>1</v>
      </c>
      <c r="Q560" s="633">
        <v>0</v>
      </c>
      <c r="T560" s="594">
        <v>41736.707546296297</v>
      </c>
    </row>
    <row r="561" spans="1:20" x14ac:dyDescent="0.25">
      <c r="A561" s="633" t="s">
        <v>308</v>
      </c>
      <c r="B561" s="633">
        <v>13</v>
      </c>
      <c r="C561" s="633" t="s">
        <v>323</v>
      </c>
      <c r="D561" s="633" t="s">
        <v>324</v>
      </c>
      <c r="F561" s="633" t="s">
        <v>325</v>
      </c>
      <c r="G561" s="633" t="s">
        <v>584</v>
      </c>
      <c r="H561" s="633" t="s">
        <v>329</v>
      </c>
      <c r="J561" s="633" t="s">
        <v>327</v>
      </c>
      <c r="K561" s="633" t="s">
        <v>260</v>
      </c>
      <c r="L561" s="633" t="s">
        <v>308</v>
      </c>
      <c r="M561" s="633" t="s">
        <v>470</v>
      </c>
      <c r="N561" s="633" t="s">
        <v>259</v>
      </c>
      <c r="O561" s="633">
        <v>4</v>
      </c>
      <c r="Q561" s="633">
        <v>52</v>
      </c>
      <c r="T561" s="594">
        <v>41736.707546296297</v>
      </c>
    </row>
    <row r="562" spans="1:20" x14ac:dyDescent="0.25">
      <c r="A562" s="633" t="s">
        <v>308</v>
      </c>
      <c r="B562" s="633">
        <v>13</v>
      </c>
      <c r="C562" s="633" t="s">
        <v>323</v>
      </c>
      <c r="D562" s="633" t="s">
        <v>324</v>
      </c>
      <c r="F562" s="633" t="s">
        <v>325</v>
      </c>
      <c r="G562" s="633" t="s">
        <v>584</v>
      </c>
      <c r="H562" s="633" t="s">
        <v>331</v>
      </c>
      <c r="J562" s="633" t="s">
        <v>327</v>
      </c>
      <c r="K562" s="633" t="s">
        <v>260</v>
      </c>
      <c r="L562" s="633" t="s">
        <v>308</v>
      </c>
      <c r="M562" s="633" t="s">
        <v>470</v>
      </c>
      <c r="N562" s="633" t="s">
        <v>259</v>
      </c>
      <c r="Q562" s="633">
        <v>6</v>
      </c>
      <c r="T562" s="594">
        <v>41736.707546296297</v>
      </c>
    </row>
    <row r="563" spans="1:20" x14ac:dyDescent="0.25">
      <c r="A563" s="633" t="s">
        <v>308</v>
      </c>
      <c r="B563" s="633">
        <v>13</v>
      </c>
      <c r="C563" s="633" t="s">
        <v>323</v>
      </c>
      <c r="D563" s="633" t="s">
        <v>324</v>
      </c>
      <c r="F563" s="633" t="s">
        <v>325</v>
      </c>
      <c r="G563" s="633" t="s">
        <v>584</v>
      </c>
      <c r="H563" s="633" t="s">
        <v>373</v>
      </c>
      <c r="J563" s="633" t="s">
        <v>327</v>
      </c>
      <c r="K563" s="633" t="s">
        <v>260</v>
      </c>
      <c r="L563" s="633" t="s">
        <v>308</v>
      </c>
      <c r="M563" s="633" t="s">
        <v>471</v>
      </c>
      <c r="N563" s="633" t="s">
        <v>259</v>
      </c>
      <c r="O563" s="633">
        <v>1</v>
      </c>
      <c r="P563" s="633">
        <v>1</v>
      </c>
      <c r="Q563" s="633">
        <v>0</v>
      </c>
      <c r="T563" s="594">
        <v>41736.707546296297</v>
      </c>
    </row>
    <row r="564" spans="1:20" x14ac:dyDescent="0.25">
      <c r="A564" s="633" t="s">
        <v>308</v>
      </c>
      <c r="B564" s="633">
        <v>13</v>
      </c>
      <c r="C564" s="633" t="s">
        <v>323</v>
      </c>
      <c r="D564" s="633" t="s">
        <v>324</v>
      </c>
      <c r="F564" s="633" t="s">
        <v>325</v>
      </c>
      <c r="G564" s="633" t="s">
        <v>584</v>
      </c>
      <c r="H564" s="633" t="s">
        <v>344</v>
      </c>
      <c r="J564" s="633" t="s">
        <v>327</v>
      </c>
      <c r="K564" s="633" t="s">
        <v>260</v>
      </c>
      <c r="L564" s="633" t="s">
        <v>308</v>
      </c>
      <c r="M564" s="633" t="s">
        <v>471</v>
      </c>
      <c r="N564" s="633" t="s">
        <v>259</v>
      </c>
      <c r="O564" s="633">
        <v>5</v>
      </c>
      <c r="P564" s="633">
        <v>3</v>
      </c>
      <c r="Q564" s="633">
        <v>0</v>
      </c>
      <c r="T564" s="594">
        <v>41736.707546296297</v>
      </c>
    </row>
    <row r="565" spans="1:20" x14ac:dyDescent="0.25">
      <c r="A565" s="633" t="s">
        <v>308</v>
      </c>
      <c r="B565" s="633">
        <v>13</v>
      </c>
      <c r="C565" s="633" t="s">
        <v>323</v>
      </c>
      <c r="D565" s="633" t="s">
        <v>324</v>
      </c>
      <c r="F565" s="633" t="s">
        <v>325</v>
      </c>
      <c r="G565" s="633" t="s">
        <v>584</v>
      </c>
      <c r="H565" s="633" t="s">
        <v>359</v>
      </c>
      <c r="J565" s="633" t="s">
        <v>327</v>
      </c>
      <c r="K565" s="633" t="s">
        <v>260</v>
      </c>
      <c r="L565" s="633" t="s">
        <v>308</v>
      </c>
      <c r="M565" s="633" t="s">
        <v>471</v>
      </c>
      <c r="N565" s="633" t="s">
        <v>259</v>
      </c>
      <c r="O565" s="633">
        <v>3</v>
      </c>
      <c r="P565" s="633">
        <v>1</v>
      </c>
      <c r="Q565" s="633">
        <v>0</v>
      </c>
      <c r="T565" s="594">
        <v>41736.707546296297</v>
      </c>
    </row>
    <row r="566" spans="1:20" x14ac:dyDescent="0.25">
      <c r="A566" s="633" t="s">
        <v>308</v>
      </c>
      <c r="B566" s="633">
        <v>13</v>
      </c>
      <c r="C566" s="633" t="s">
        <v>323</v>
      </c>
      <c r="D566" s="633" t="s">
        <v>324</v>
      </c>
      <c r="F566" s="633" t="s">
        <v>325</v>
      </c>
      <c r="G566" s="633" t="s">
        <v>584</v>
      </c>
      <c r="H566" s="633" t="s">
        <v>336</v>
      </c>
      <c r="J566" s="633" t="s">
        <v>327</v>
      </c>
      <c r="K566" s="633" t="s">
        <v>260</v>
      </c>
      <c r="L566" s="633" t="s">
        <v>308</v>
      </c>
      <c r="M566" s="633" t="s">
        <v>471</v>
      </c>
      <c r="N566" s="633" t="s">
        <v>259</v>
      </c>
      <c r="O566" s="633">
        <v>2</v>
      </c>
      <c r="P566" s="633">
        <v>4</v>
      </c>
      <c r="Q566" s="633">
        <v>6</v>
      </c>
      <c r="T566" s="594">
        <v>41736.707546296297</v>
      </c>
    </row>
    <row r="567" spans="1:20" x14ac:dyDescent="0.25">
      <c r="A567" s="633" t="s">
        <v>308</v>
      </c>
      <c r="B567" s="633">
        <v>13</v>
      </c>
      <c r="C567" s="633" t="s">
        <v>323</v>
      </c>
      <c r="D567" s="633" t="s">
        <v>324</v>
      </c>
      <c r="F567" s="633" t="s">
        <v>325</v>
      </c>
      <c r="G567" s="633" t="s">
        <v>584</v>
      </c>
      <c r="H567" s="633" t="s">
        <v>337</v>
      </c>
      <c r="J567" s="633" t="s">
        <v>327</v>
      </c>
      <c r="K567" s="633" t="s">
        <v>260</v>
      </c>
      <c r="L567" s="633" t="s">
        <v>308</v>
      </c>
      <c r="M567" s="633" t="s">
        <v>471</v>
      </c>
      <c r="N567" s="633" t="s">
        <v>259</v>
      </c>
      <c r="O567" s="633">
        <v>2</v>
      </c>
      <c r="P567" s="633">
        <v>3</v>
      </c>
      <c r="Q567" s="633">
        <v>0</v>
      </c>
      <c r="T567" s="594">
        <v>41736.707546296297</v>
      </c>
    </row>
    <row r="568" spans="1:20" x14ac:dyDescent="0.25">
      <c r="A568" s="633" t="s">
        <v>308</v>
      </c>
      <c r="B568" s="633">
        <v>13</v>
      </c>
      <c r="C568" s="633" t="s">
        <v>323</v>
      </c>
      <c r="D568" s="633" t="s">
        <v>324</v>
      </c>
      <c r="F568" s="633" t="s">
        <v>325</v>
      </c>
      <c r="G568" s="633" t="s">
        <v>584</v>
      </c>
      <c r="H568" s="633" t="s">
        <v>358</v>
      </c>
      <c r="J568" s="633" t="s">
        <v>327</v>
      </c>
      <c r="K568" s="633" t="s">
        <v>260</v>
      </c>
      <c r="L568" s="633" t="s">
        <v>308</v>
      </c>
      <c r="M568" s="633" t="s">
        <v>471</v>
      </c>
      <c r="N568" s="633" t="s">
        <v>259</v>
      </c>
      <c r="O568" s="633">
        <v>3</v>
      </c>
      <c r="P568" s="633">
        <v>3</v>
      </c>
      <c r="Q568" s="633">
        <v>0</v>
      </c>
      <c r="T568" s="594">
        <v>41736.707546296297</v>
      </c>
    </row>
    <row r="569" spans="1:20" x14ac:dyDescent="0.25">
      <c r="A569" s="633" t="s">
        <v>308</v>
      </c>
      <c r="B569" s="633">
        <v>13</v>
      </c>
      <c r="C569" s="633" t="s">
        <v>323</v>
      </c>
      <c r="D569" s="633" t="s">
        <v>324</v>
      </c>
      <c r="F569" s="633" t="s">
        <v>325</v>
      </c>
      <c r="G569" s="633" t="s">
        <v>584</v>
      </c>
      <c r="H569" s="633" t="s">
        <v>369</v>
      </c>
      <c r="J569" s="633" t="s">
        <v>327</v>
      </c>
      <c r="K569" s="633" t="s">
        <v>260</v>
      </c>
      <c r="L569" s="633" t="s">
        <v>308</v>
      </c>
      <c r="M569" s="633" t="s">
        <v>471</v>
      </c>
      <c r="N569" s="633" t="s">
        <v>259</v>
      </c>
      <c r="O569" s="633">
        <v>1</v>
      </c>
      <c r="P569" s="633">
        <v>2</v>
      </c>
      <c r="Q569" s="633">
        <v>0</v>
      </c>
      <c r="T569" s="594">
        <v>41736.707546296297</v>
      </c>
    </row>
    <row r="570" spans="1:20" x14ac:dyDescent="0.25">
      <c r="A570" s="633" t="s">
        <v>308</v>
      </c>
      <c r="B570" s="633">
        <v>13</v>
      </c>
      <c r="C570" s="633" t="s">
        <v>323</v>
      </c>
      <c r="D570" s="633" t="s">
        <v>324</v>
      </c>
      <c r="F570" s="633" t="s">
        <v>325</v>
      </c>
      <c r="G570" s="633" t="s">
        <v>584</v>
      </c>
      <c r="H570" s="633" t="s">
        <v>376</v>
      </c>
      <c r="J570" s="633" t="s">
        <v>327</v>
      </c>
      <c r="K570" s="633" t="s">
        <v>260</v>
      </c>
      <c r="L570" s="633" t="s">
        <v>308</v>
      </c>
      <c r="M570" s="633" t="s">
        <v>471</v>
      </c>
      <c r="N570" s="633" t="s">
        <v>259</v>
      </c>
      <c r="O570" s="633">
        <v>6</v>
      </c>
      <c r="P570" s="633">
        <v>2</v>
      </c>
      <c r="Q570" s="633">
        <v>0</v>
      </c>
      <c r="T570" s="594">
        <v>41736.707546296297</v>
      </c>
    </row>
    <row r="571" spans="1:20" x14ac:dyDescent="0.25">
      <c r="A571" s="633" t="s">
        <v>308</v>
      </c>
      <c r="B571" s="633">
        <v>13</v>
      </c>
      <c r="C571" s="633" t="s">
        <v>323</v>
      </c>
      <c r="D571" s="633" t="s">
        <v>324</v>
      </c>
      <c r="F571" s="633" t="s">
        <v>325</v>
      </c>
      <c r="G571" s="633" t="s">
        <v>584</v>
      </c>
      <c r="H571" s="633" t="s">
        <v>379</v>
      </c>
      <c r="J571" s="633" t="s">
        <v>327</v>
      </c>
      <c r="K571" s="633" t="s">
        <v>260</v>
      </c>
      <c r="L571" s="633" t="s">
        <v>308</v>
      </c>
      <c r="M571" s="633" t="s">
        <v>471</v>
      </c>
      <c r="N571" s="633" t="s">
        <v>259</v>
      </c>
      <c r="O571" s="633">
        <v>6</v>
      </c>
      <c r="P571" s="633">
        <v>3</v>
      </c>
      <c r="Q571" s="633">
        <v>0</v>
      </c>
      <c r="T571" s="594">
        <v>41736.707546296297</v>
      </c>
    </row>
    <row r="572" spans="1:20" x14ac:dyDescent="0.25">
      <c r="A572" s="633" t="s">
        <v>308</v>
      </c>
      <c r="B572" s="633">
        <v>13</v>
      </c>
      <c r="C572" s="633" t="s">
        <v>323</v>
      </c>
      <c r="D572" s="633" t="s">
        <v>324</v>
      </c>
      <c r="F572" s="633" t="s">
        <v>325</v>
      </c>
      <c r="G572" s="633" t="s">
        <v>584</v>
      </c>
      <c r="H572" s="633" t="s">
        <v>365</v>
      </c>
      <c r="J572" s="633" t="s">
        <v>327</v>
      </c>
      <c r="K572" s="633" t="s">
        <v>260</v>
      </c>
      <c r="L572" s="633" t="s">
        <v>308</v>
      </c>
      <c r="M572" s="633" t="s">
        <v>471</v>
      </c>
      <c r="N572" s="633" t="s">
        <v>259</v>
      </c>
      <c r="P572" s="633">
        <v>3</v>
      </c>
      <c r="Q572" s="633">
        <v>0</v>
      </c>
      <c r="T572" s="594">
        <v>41736.707546296297</v>
      </c>
    </row>
    <row r="573" spans="1:20" x14ac:dyDescent="0.25">
      <c r="A573" s="633" t="s">
        <v>308</v>
      </c>
      <c r="B573" s="633">
        <v>13</v>
      </c>
      <c r="C573" s="633" t="s">
        <v>323</v>
      </c>
      <c r="D573" s="633" t="s">
        <v>324</v>
      </c>
      <c r="F573" s="633" t="s">
        <v>325</v>
      </c>
      <c r="G573" s="633" t="s">
        <v>584</v>
      </c>
      <c r="H573" s="633" t="s">
        <v>371</v>
      </c>
      <c r="J573" s="633" t="s">
        <v>327</v>
      </c>
      <c r="K573" s="633" t="s">
        <v>260</v>
      </c>
      <c r="L573" s="633" t="s">
        <v>308</v>
      </c>
      <c r="M573" s="633" t="s">
        <v>471</v>
      </c>
      <c r="N573" s="633" t="s">
        <v>259</v>
      </c>
      <c r="O573" s="633">
        <v>1</v>
      </c>
      <c r="P573" s="633">
        <v>4</v>
      </c>
      <c r="Q573" s="633">
        <v>12</v>
      </c>
      <c r="T573" s="594">
        <v>41736.707546296297</v>
      </c>
    </row>
    <row r="574" spans="1:20" x14ac:dyDescent="0.25">
      <c r="A574" s="633" t="s">
        <v>308</v>
      </c>
      <c r="B574" s="633">
        <v>13</v>
      </c>
      <c r="C574" s="633" t="s">
        <v>323</v>
      </c>
      <c r="D574" s="633" t="s">
        <v>324</v>
      </c>
      <c r="F574" s="633" t="s">
        <v>325</v>
      </c>
      <c r="G574" s="633" t="s">
        <v>584</v>
      </c>
      <c r="H574" s="633" t="s">
        <v>372</v>
      </c>
      <c r="J574" s="633" t="s">
        <v>327</v>
      </c>
      <c r="K574" s="633" t="s">
        <v>260</v>
      </c>
      <c r="L574" s="633" t="s">
        <v>308</v>
      </c>
      <c r="M574" s="633" t="s">
        <v>471</v>
      </c>
      <c r="N574" s="633" t="s">
        <v>259</v>
      </c>
      <c r="O574" s="633">
        <v>1</v>
      </c>
      <c r="P574" s="633">
        <v>3</v>
      </c>
      <c r="Q574" s="633">
        <v>1</v>
      </c>
      <c r="T574" s="594">
        <v>41736.707546296297</v>
      </c>
    </row>
    <row r="575" spans="1:20" x14ac:dyDescent="0.25">
      <c r="A575" s="633" t="s">
        <v>308</v>
      </c>
      <c r="B575" s="633">
        <v>13</v>
      </c>
      <c r="C575" s="633" t="s">
        <v>323</v>
      </c>
      <c r="D575" s="633" t="s">
        <v>324</v>
      </c>
      <c r="F575" s="633" t="s">
        <v>325</v>
      </c>
      <c r="G575" s="633" t="s">
        <v>584</v>
      </c>
      <c r="H575" s="633" t="s">
        <v>357</v>
      </c>
      <c r="J575" s="633" t="s">
        <v>327</v>
      </c>
      <c r="K575" s="633" t="s">
        <v>260</v>
      </c>
      <c r="L575" s="633" t="s">
        <v>308</v>
      </c>
      <c r="M575" s="633" t="s">
        <v>471</v>
      </c>
      <c r="N575" s="633" t="s">
        <v>259</v>
      </c>
      <c r="O575" s="633">
        <v>3</v>
      </c>
      <c r="P575" s="633">
        <v>4</v>
      </c>
      <c r="Q575" s="633">
        <v>7</v>
      </c>
      <c r="T575" s="594">
        <v>41736.707546296297</v>
      </c>
    </row>
    <row r="576" spans="1:20" x14ac:dyDescent="0.25">
      <c r="A576" s="633" t="s">
        <v>308</v>
      </c>
      <c r="B576" s="633">
        <v>13</v>
      </c>
      <c r="C576" s="633" t="s">
        <v>323</v>
      </c>
      <c r="D576" s="633" t="s">
        <v>324</v>
      </c>
      <c r="F576" s="633" t="s">
        <v>325</v>
      </c>
      <c r="G576" s="633" t="s">
        <v>584</v>
      </c>
      <c r="H576" s="633" t="s">
        <v>338</v>
      </c>
      <c r="J576" s="633" t="s">
        <v>327</v>
      </c>
      <c r="K576" s="633" t="s">
        <v>260</v>
      </c>
      <c r="L576" s="633" t="s">
        <v>308</v>
      </c>
      <c r="M576" s="633" t="s">
        <v>471</v>
      </c>
      <c r="N576" s="633" t="s">
        <v>259</v>
      </c>
      <c r="O576" s="633">
        <v>2</v>
      </c>
      <c r="P576" s="633">
        <v>1</v>
      </c>
      <c r="Q576" s="633">
        <v>0</v>
      </c>
      <c r="T576" s="594">
        <v>41736.707546296297</v>
      </c>
    </row>
    <row r="577" spans="1:20" x14ac:dyDescent="0.25">
      <c r="A577" s="633" t="s">
        <v>308</v>
      </c>
      <c r="B577" s="633">
        <v>13</v>
      </c>
      <c r="C577" s="633" t="s">
        <v>323</v>
      </c>
      <c r="D577" s="633" t="s">
        <v>324</v>
      </c>
      <c r="F577" s="633" t="s">
        <v>325</v>
      </c>
      <c r="G577" s="633" t="s">
        <v>584</v>
      </c>
      <c r="H577" s="633" t="s">
        <v>352</v>
      </c>
      <c r="J577" s="633" t="s">
        <v>327</v>
      </c>
      <c r="K577" s="633" t="s">
        <v>260</v>
      </c>
      <c r="L577" s="633" t="s">
        <v>308</v>
      </c>
      <c r="M577" s="633" t="s">
        <v>471</v>
      </c>
      <c r="N577" s="633" t="s">
        <v>259</v>
      </c>
      <c r="O577" s="633">
        <v>4</v>
      </c>
      <c r="P577" s="633">
        <v>1</v>
      </c>
      <c r="Q577" s="633">
        <v>0</v>
      </c>
      <c r="T577" s="594">
        <v>41736.707546296297</v>
      </c>
    </row>
    <row r="578" spans="1:20" x14ac:dyDescent="0.25">
      <c r="A578" s="633" t="s">
        <v>308</v>
      </c>
      <c r="B578" s="633">
        <v>13</v>
      </c>
      <c r="C578" s="633" t="s">
        <v>323</v>
      </c>
      <c r="D578" s="633" t="s">
        <v>324</v>
      </c>
      <c r="F578" s="633" t="s">
        <v>325</v>
      </c>
      <c r="G578" s="633" t="s">
        <v>584</v>
      </c>
      <c r="H578" s="633" t="s">
        <v>341</v>
      </c>
      <c r="J578" s="633" t="s">
        <v>327</v>
      </c>
      <c r="K578" s="633" t="s">
        <v>260</v>
      </c>
      <c r="L578" s="633" t="s">
        <v>308</v>
      </c>
      <c r="M578" s="633" t="s">
        <v>471</v>
      </c>
      <c r="N578" s="633" t="s">
        <v>259</v>
      </c>
      <c r="O578" s="633">
        <v>5</v>
      </c>
      <c r="P578" s="633">
        <v>2</v>
      </c>
      <c r="Q578" s="633">
        <v>0</v>
      </c>
      <c r="T578" s="594">
        <v>41736.707546296297</v>
      </c>
    </row>
    <row r="579" spans="1:20" x14ac:dyDescent="0.25">
      <c r="A579" s="633" t="s">
        <v>308</v>
      </c>
      <c r="B579" s="633">
        <v>13</v>
      </c>
      <c r="C579" s="633" t="s">
        <v>323</v>
      </c>
      <c r="D579" s="633" t="s">
        <v>324</v>
      </c>
      <c r="F579" s="633" t="s">
        <v>325</v>
      </c>
      <c r="G579" s="633" t="s">
        <v>584</v>
      </c>
      <c r="H579" s="633" t="s">
        <v>348</v>
      </c>
      <c r="J579" s="633" t="s">
        <v>327</v>
      </c>
      <c r="K579" s="633" t="s">
        <v>260</v>
      </c>
      <c r="L579" s="633" t="s">
        <v>308</v>
      </c>
      <c r="M579" s="633" t="s">
        <v>471</v>
      </c>
      <c r="N579" s="633" t="s">
        <v>259</v>
      </c>
      <c r="O579" s="633">
        <v>4</v>
      </c>
      <c r="P579" s="633">
        <v>2</v>
      </c>
      <c r="Q579" s="633">
        <v>0</v>
      </c>
      <c r="T579" s="594">
        <v>41736.707546296297</v>
      </c>
    </row>
    <row r="580" spans="1:20" x14ac:dyDescent="0.25">
      <c r="A580" s="633" t="s">
        <v>308</v>
      </c>
      <c r="B580" s="633">
        <v>13</v>
      </c>
      <c r="C580" s="633" t="s">
        <v>323</v>
      </c>
      <c r="D580" s="633" t="s">
        <v>324</v>
      </c>
      <c r="F580" s="633" t="s">
        <v>325</v>
      </c>
      <c r="G580" s="633" t="s">
        <v>584</v>
      </c>
      <c r="H580" s="633" t="s">
        <v>355</v>
      </c>
      <c r="J580" s="633" t="s">
        <v>327</v>
      </c>
      <c r="K580" s="633" t="s">
        <v>260</v>
      </c>
      <c r="L580" s="633" t="s">
        <v>308</v>
      </c>
      <c r="M580" s="633" t="s">
        <v>471</v>
      </c>
      <c r="N580" s="633" t="s">
        <v>259</v>
      </c>
      <c r="O580" s="633">
        <v>3</v>
      </c>
      <c r="P580" s="633">
        <v>2</v>
      </c>
      <c r="Q580" s="633">
        <v>0</v>
      </c>
      <c r="T580" s="594">
        <v>41736.707546296297</v>
      </c>
    </row>
    <row r="581" spans="1:20" x14ac:dyDescent="0.25">
      <c r="A581" s="633" t="s">
        <v>308</v>
      </c>
      <c r="B581" s="633">
        <v>13</v>
      </c>
      <c r="C581" s="633" t="s">
        <v>323</v>
      </c>
      <c r="D581" s="633" t="s">
        <v>324</v>
      </c>
      <c r="F581" s="633" t="s">
        <v>325</v>
      </c>
      <c r="G581" s="633" t="s">
        <v>584</v>
      </c>
      <c r="H581" s="633" t="s">
        <v>380</v>
      </c>
      <c r="J581" s="633" t="s">
        <v>327</v>
      </c>
      <c r="K581" s="633" t="s">
        <v>260</v>
      </c>
      <c r="L581" s="633" t="s">
        <v>308</v>
      </c>
      <c r="M581" s="633" t="s">
        <v>471</v>
      </c>
      <c r="N581" s="633" t="s">
        <v>259</v>
      </c>
      <c r="O581" s="633">
        <v>6</v>
      </c>
      <c r="P581" s="633">
        <v>1</v>
      </c>
      <c r="Q581" s="633">
        <v>0</v>
      </c>
      <c r="T581" s="594">
        <v>41736.707546296297</v>
      </c>
    </row>
    <row r="582" spans="1:20" x14ac:dyDescent="0.25">
      <c r="A582" s="633" t="s">
        <v>308</v>
      </c>
      <c r="B582" s="633">
        <v>13</v>
      </c>
      <c r="C582" s="633" t="s">
        <v>323</v>
      </c>
      <c r="D582" s="633" t="s">
        <v>324</v>
      </c>
      <c r="F582" s="633" t="s">
        <v>325</v>
      </c>
      <c r="G582" s="633" t="s">
        <v>584</v>
      </c>
      <c r="H582" s="633" t="s">
        <v>360</v>
      </c>
      <c r="J582" s="633" t="s">
        <v>327</v>
      </c>
      <c r="K582" s="633" t="s">
        <v>260</v>
      </c>
      <c r="L582" s="633" t="s">
        <v>308</v>
      </c>
      <c r="M582" s="633" t="s">
        <v>471</v>
      </c>
      <c r="N582" s="633" t="s">
        <v>259</v>
      </c>
      <c r="O582" s="633">
        <v>3</v>
      </c>
      <c r="P582" s="633">
        <v>7</v>
      </c>
      <c r="Q582" s="633">
        <v>0</v>
      </c>
      <c r="T582" s="594">
        <v>41736.707546296297</v>
      </c>
    </row>
    <row r="583" spans="1:20" x14ac:dyDescent="0.25">
      <c r="A583" s="633" t="s">
        <v>308</v>
      </c>
      <c r="B583" s="633">
        <v>13</v>
      </c>
      <c r="C583" s="633" t="s">
        <v>323</v>
      </c>
      <c r="D583" s="633" t="s">
        <v>324</v>
      </c>
      <c r="F583" s="633" t="s">
        <v>325</v>
      </c>
      <c r="G583" s="633" t="s">
        <v>584</v>
      </c>
      <c r="H583" s="633" t="s">
        <v>334</v>
      </c>
      <c r="J583" s="633" t="s">
        <v>327</v>
      </c>
      <c r="K583" s="633" t="s">
        <v>260</v>
      </c>
      <c r="L583" s="633" t="s">
        <v>308</v>
      </c>
      <c r="M583" s="633" t="s">
        <v>471</v>
      </c>
      <c r="N583" s="633" t="s">
        <v>259</v>
      </c>
      <c r="O583" s="633">
        <v>2</v>
      </c>
      <c r="P583" s="633">
        <v>2</v>
      </c>
      <c r="Q583" s="633">
        <v>0</v>
      </c>
      <c r="T583" s="594">
        <v>41736.707546296297</v>
      </c>
    </row>
    <row r="584" spans="1:20" x14ac:dyDescent="0.25">
      <c r="A584" s="633" t="s">
        <v>308</v>
      </c>
      <c r="B584" s="633">
        <v>13</v>
      </c>
      <c r="C584" s="633" t="s">
        <v>323</v>
      </c>
      <c r="D584" s="633" t="s">
        <v>324</v>
      </c>
      <c r="F584" s="633" t="s">
        <v>325</v>
      </c>
      <c r="G584" s="633" t="s">
        <v>584</v>
      </c>
      <c r="H584" s="633" t="s">
        <v>350</v>
      </c>
      <c r="J584" s="633" t="s">
        <v>327</v>
      </c>
      <c r="K584" s="633" t="s">
        <v>260</v>
      </c>
      <c r="L584" s="633" t="s">
        <v>308</v>
      </c>
      <c r="M584" s="633" t="s">
        <v>471</v>
      </c>
      <c r="N584" s="633" t="s">
        <v>259</v>
      </c>
      <c r="O584" s="633">
        <v>4</v>
      </c>
      <c r="P584" s="633">
        <v>4</v>
      </c>
      <c r="Q584" s="633">
        <v>30</v>
      </c>
      <c r="T584" s="594">
        <v>41736.707546296297</v>
      </c>
    </row>
    <row r="585" spans="1:20" x14ac:dyDescent="0.25">
      <c r="A585" s="633" t="s">
        <v>308</v>
      </c>
      <c r="B585" s="633">
        <v>13</v>
      </c>
      <c r="C585" s="633" t="s">
        <v>323</v>
      </c>
      <c r="D585" s="633" t="s">
        <v>324</v>
      </c>
      <c r="F585" s="633" t="s">
        <v>325</v>
      </c>
      <c r="G585" s="633" t="s">
        <v>584</v>
      </c>
      <c r="H585" s="633" t="s">
        <v>378</v>
      </c>
      <c r="J585" s="633" t="s">
        <v>327</v>
      </c>
      <c r="K585" s="633" t="s">
        <v>260</v>
      </c>
      <c r="L585" s="633" t="s">
        <v>308</v>
      </c>
      <c r="M585" s="633" t="s">
        <v>471</v>
      </c>
      <c r="N585" s="633" t="s">
        <v>259</v>
      </c>
      <c r="O585" s="633">
        <v>6</v>
      </c>
      <c r="P585" s="633">
        <v>4</v>
      </c>
      <c r="Q585" s="633">
        <v>0</v>
      </c>
      <c r="T585" s="594">
        <v>41736.707546296297</v>
      </c>
    </row>
    <row r="586" spans="1:20" x14ac:dyDescent="0.25">
      <c r="A586" s="633" t="s">
        <v>308</v>
      </c>
      <c r="B586" s="633">
        <v>13</v>
      </c>
      <c r="C586" s="633" t="s">
        <v>323</v>
      </c>
      <c r="D586" s="633" t="s">
        <v>324</v>
      </c>
      <c r="F586" s="633" t="s">
        <v>325</v>
      </c>
      <c r="G586" s="633" t="s">
        <v>584</v>
      </c>
      <c r="H586" s="633" t="s">
        <v>351</v>
      </c>
      <c r="J586" s="633" t="s">
        <v>327</v>
      </c>
      <c r="K586" s="633" t="s">
        <v>260</v>
      </c>
      <c r="L586" s="633" t="s">
        <v>308</v>
      </c>
      <c r="M586" s="633" t="s">
        <v>471</v>
      </c>
      <c r="N586" s="633" t="s">
        <v>259</v>
      </c>
      <c r="O586" s="633">
        <v>4</v>
      </c>
      <c r="P586" s="633">
        <v>3</v>
      </c>
      <c r="Q586" s="633">
        <v>0</v>
      </c>
      <c r="T586" s="594">
        <v>41736.707546296297</v>
      </c>
    </row>
    <row r="587" spans="1:20" x14ac:dyDescent="0.25">
      <c r="A587" s="633" t="s">
        <v>308</v>
      </c>
      <c r="B587" s="633">
        <v>13</v>
      </c>
      <c r="C587" s="633" t="s">
        <v>323</v>
      </c>
      <c r="D587" s="633" t="s">
        <v>324</v>
      </c>
      <c r="F587" s="633" t="s">
        <v>325</v>
      </c>
      <c r="G587" s="633" t="s">
        <v>584</v>
      </c>
      <c r="H587" s="633" t="s">
        <v>364</v>
      </c>
      <c r="J587" s="633" t="s">
        <v>327</v>
      </c>
      <c r="K587" s="633" t="s">
        <v>260</v>
      </c>
      <c r="L587" s="633" t="s">
        <v>308</v>
      </c>
      <c r="M587" s="633" t="s">
        <v>471</v>
      </c>
      <c r="N587" s="633" t="s">
        <v>259</v>
      </c>
      <c r="P587" s="633">
        <v>4</v>
      </c>
      <c r="Q587" s="633">
        <v>0</v>
      </c>
      <c r="T587" s="594">
        <v>41736.707546296297</v>
      </c>
    </row>
    <row r="588" spans="1:20" x14ac:dyDescent="0.25">
      <c r="A588" s="633" t="s">
        <v>308</v>
      </c>
      <c r="B588" s="633">
        <v>13</v>
      </c>
      <c r="C588" s="633" t="s">
        <v>323</v>
      </c>
      <c r="D588" s="633" t="s">
        <v>324</v>
      </c>
      <c r="F588" s="633" t="s">
        <v>325</v>
      </c>
      <c r="G588" s="633" t="s">
        <v>584</v>
      </c>
      <c r="H588" s="633" t="s">
        <v>343</v>
      </c>
      <c r="J588" s="633" t="s">
        <v>327</v>
      </c>
      <c r="K588" s="633" t="s">
        <v>260</v>
      </c>
      <c r="L588" s="633" t="s">
        <v>308</v>
      </c>
      <c r="M588" s="633" t="s">
        <v>471</v>
      </c>
      <c r="N588" s="633" t="s">
        <v>259</v>
      </c>
      <c r="O588" s="633">
        <v>5</v>
      </c>
      <c r="P588" s="633">
        <v>4</v>
      </c>
      <c r="Q588" s="633">
        <v>0</v>
      </c>
      <c r="T588" s="594">
        <v>41736.707546296297</v>
      </c>
    </row>
    <row r="589" spans="1:20" x14ac:dyDescent="0.25">
      <c r="A589" s="633" t="s">
        <v>308</v>
      </c>
      <c r="B589" s="633">
        <v>13</v>
      </c>
      <c r="C589" s="633" t="s">
        <v>323</v>
      </c>
      <c r="D589" s="633" t="s">
        <v>324</v>
      </c>
      <c r="F589" s="633" t="s">
        <v>325</v>
      </c>
      <c r="G589" s="633" t="s">
        <v>584</v>
      </c>
      <c r="H589" s="633" t="s">
        <v>339</v>
      </c>
      <c r="J589" s="633" t="s">
        <v>327</v>
      </c>
      <c r="K589" s="633" t="s">
        <v>260</v>
      </c>
      <c r="L589" s="633" t="s">
        <v>308</v>
      </c>
      <c r="M589" s="633" t="s">
        <v>471</v>
      </c>
      <c r="N589" s="633" t="s">
        <v>259</v>
      </c>
      <c r="O589" s="633">
        <v>2</v>
      </c>
      <c r="P589" s="633">
        <v>7</v>
      </c>
      <c r="Q589" s="633">
        <v>0</v>
      </c>
      <c r="T589" s="594">
        <v>41736.707546296297</v>
      </c>
    </row>
    <row r="590" spans="1:20" x14ac:dyDescent="0.25">
      <c r="A590" s="633" t="s">
        <v>308</v>
      </c>
      <c r="B590" s="633">
        <v>13</v>
      </c>
      <c r="C590" s="633" t="s">
        <v>323</v>
      </c>
      <c r="D590" s="633" t="s">
        <v>324</v>
      </c>
      <c r="F590" s="633" t="s">
        <v>325</v>
      </c>
      <c r="G590" s="633" t="s">
        <v>584</v>
      </c>
      <c r="H590" s="633" t="s">
        <v>362</v>
      </c>
      <c r="J590" s="633" t="s">
        <v>327</v>
      </c>
      <c r="K590" s="633" t="s">
        <v>260</v>
      </c>
      <c r="L590" s="633" t="s">
        <v>308</v>
      </c>
      <c r="M590" s="633" t="s">
        <v>471</v>
      </c>
      <c r="N590" s="633" t="s">
        <v>259</v>
      </c>
      <c r="P590" s="633">
        <v>2</v>
      </c>
      <c r="Q590" s="633">
        <v>0</v>
      </c>
      <c r="T590" s="594">
        <v>41736.707546296297</v>
      </c>
    </row>
    <row r="591" spans="1:20" x14ac:dyDescent="0.25">
      <c r="A591" s="633" t="s">
        <v>308</v>
      </c>
      <c r="B591" s="633">
        <v>13</v>
      </c>
      <c r="C591" s="633" t="s">
        <v>323</v>
      </c>
      <c r="D591" s="633" t="s">
        <v>324</v>
      </c>
      <c r="F591" s="633" t="s">
        <v>325</v>
      </c>
      <c r="G591" s="633" t="s">
        <v>584</v>
      </c>
      <c r="H591" s="633" t="s">
        <v>335</v>
      </c>
      <c r="J591" s="633" t="s">
        <v>327</v>
      </c>
      <c r="K591" s="633" t="s">
        <v>260</v>
      </c>
      <c r="L591" s="633" t="s">
        <v>308</v>
      </c>
      <c r="M591" s="633" t="s">
        <v>471</v>
      </c>
      <c r="N591" s="633" t="s">
        <v>259</v>
      </c>
      <c r="O591" s="633">
        <v>2</v>
      </c>
      <c r="P591" s="633">
        <v>5</v>
      </c>
      <c r="Q591" s="633">
        <v>0</v>
      </c>
      <c r="T591" s="594">
        <v>41736.707546296297</v>
      </c>
    </row>
    <row r="592" spans="1:20" x14ac:dyDescent="0.25">
      <c r="A592" s="633" t="s">
        <v>308</v>
      </c>
      <c r="B592" s="633">
        <v>13</v>
      </c>
      <c r="C592" s="633" t="s">
        <v>323</v>
      </c>
      <c r="D592" s="633" t="s">
        <v>324</v>
      </c>
      <c r="F592" s="633" t="s">
        <v>325</v>
      </c>
      <c r="G592" s="633" t="s">
        <v>584</v>
      </c>
      <c r="H592" s="633" t="s">
        <v>332</v>
      </c>
      <c r="J592" s="633" t="s">
        <v>327</v>
      </c>
      <c r="K592" s="633" t="s">
        <v>260</v>
      </c>
      <c r="L592" s="633" t="s">
        <v>308</v>
      </c>
      <c r="M592" s="633" t="s">
        <v>471</v>
      </c>
      <c r="N592" s="633" t="s">
        <v>259</v>
      </c>
      <c r="O592" s="633">
        <v>1</v>
      </c>
      <c r="Q592" s="633">
        <v>10</v>
      </c>
      <c r="T592" s="594">
        <v>41736.707546296297</v>
      </c>
    </row>
    <row r="593" spans="1:20" x14ac:dyDescent="0.25">
      <c r="A593" s="633" t="s">
        <v>308</v>
      </c>
      <c r="B593" s="633">
        <v>13</v>
      </c>
      <c r="C593" s="633" t="s">
        <v>323</v>
      </c>
      <c r="D593" s="633" t="s">
        <v>324</v>
      </c>
      <c r="F593" s="633" t="s">
        <v>325</v>
      </c>
      <c r="G593" s="633" t="s">
        <v>584</v>
      </c>
      <c r="H593" s="633" t="s">
        <v>368</v>
      </c>
      <c r="J593" s="633" t="s">
        <v>327</v>
      </c>
      <c r="K593" s="633" t="s">
        <v>260</v>
      </c>
      <c r="L593" s="633" t="s">
        <v>308</v>
      </c>
      <c r="M593" s="633" t="s">
        <v>471</v>
      </c>
      <c r="N593" s="633" t="s">
        <v>259</v>
      </c>
      <c r="P593" s="633">
        <v>6</v>
      </c>
      <c r="Q593" s="633">
        <v>0</v>
      </c>
      <c r="T593" s="594">
        <v>41736.707546296297</v>
      </c>
    </row>
    <row r="594" spans="1:20" x14ac:dyDescent="0.25">
      <c r="A594" s="633" t="s">
        <v>308</v>
      </c>
      <c r="B594" s="633">
        <v>13</v>
      </c>
      <c r="C594" s="633" t="s">
        <v>323</v>
      </c>
      <c r="D594" s="633" t="s">
        <v>324</v>
      </c>
      <c r="F594" s="633" t="s">
        <v>325</v>
      </c>
      <c r="G594" s="633" t="s">
        <v>584</v>
      </c>
      <c r="H594" s="633" t="s">
        <v>382</v>
      </c>
      <c r="J594" s="633" t="s">
        <v>327</v>
      </c>
      <c r="K594" s="633" t="s">
        <v>260</v>
      </c>
      <c r="L594" s="633" t="s">
        <v>308</v>
      </c>
      <c r="M594" s="633" t="s">
        <v>471</v>
      </c>
      <c r="N594" s="633" t="s">
        <v>259</v>
      </c>
      <c r="O594" s="633">
        <v>6</v>
      </c>
      <c r="P594" s="633">
        <v>6</v>
      </c>
      <c r="Q594" s="633">
        <v>0</v>
      </c>
      <c r="T594" s="594">
        <v>41736.707546296297</v>
      </c>
    </row>
    <row r="595" spans="1:20" x14ac:dyDescent="0.25">
      <c r="A595" s="633" t="s">
        <v>308</v>
      </c>
      <c r="B595" s="633">
        <v>13</v>
      </c>
      <c r="C595" s="633" t="s">
        <v>323</v>
      </c>
      <c r="D595" s="633" t="s">
        <v>324</v>
      </c>
      <c r="F595" s="633" t="s">
        <v>325</v>
      </c>
      <c r="G595" s="633" t="s">
        <v>584</v>
      </c>
      <c r="H595" s="633" t="s">
        <v>347</v>
      </c>
      <c r="J595" s="633" t="s">
        <v>327</v>
      </c>
      <c r="K595" s="633" t="s">
        <v>260</v>
      </c>
      <c r="L595" s="633" t="s">
        <v>308</v>
      </c>
      <c r="M595" s="633" t="s">
        <v>471</v>
      </c>
      <c r="N595" s="633" t="s">
        <v>259</v>
      </c>
      <c r="O595" s="633">
        <v>5</v>
      </c>
      <c r="P595" s="633">
        <v>6</v>
      </c>
      <c r="Q595" s="633">
        <v>0</v>
      </c>
      <c r="T595" s="594">
        <v>41736.707546296297</v>
      </c>
    </row>
    <row r="596" spans="1:20" x14ac:dyDescent="0.25">
      <c r="A596" s="633" t="s">
        <v>308</v>
      </c>
      <c r="B596" s="633">
        <v>13</v>
      </c>
      <c r="C596" s="633" t="s">
        <v>323</v>
      </c>
      <c r="D596" s="633" t="s">
        <v>324</v>
      </c>
      <c r="F596" s="633" t="s">
        <v>325</v>
      </c>
      <c r="G596" s="633" t="s">
        <v>584</v>
      </c>
      <c r="H596" s="633" t="s">
        <v>345</v>
      </c>
      <c r="J596" s="633" t="s">
        <v>327</v>
      </c>
      <c r="K596" s="633" t="s">
        <v>260</v>
      </c>
      <c r="L596" s="633" t="s">
        <v>308</v>
      </c>
      <c r="M596" s="633" t="s">
        <v>471</v>
      </c>
      <c r="N596" s="633" t="s">
        <v>259</v>
      </c>
      <c r="O596" s="633">
        <v>5</v>
      </c>
      <c r="P596" s="633">
        <v>1</v>
      </c>
      <c r="Q596" s="633">
        <v>0</v>
      </c>
      <c r="T596" s="594">
        <v>41736.707546296297</v>
      </c>
    </row>
    <row r="597" spans="1:20" x14ac:dyDescent="0.25">
      <c r="A597" s="633" t="s">
        <v>308</v>
      </c>
      <c r="B597" s="633">
        <v>13</v>
      </c>
      <c r="C597" s="633" t="s">
        <v>323</v>
      </c>
      <c r="D597" s="633" t="s">
        <v>324</v>
      </c>
      <c r="F597" s="633" t="s">
        <v>325</v>
      </c>
      <c r="G597" s="633" t="s">
        <v>584</v>
      </c>
      <c r="H597" s="633" t="s">
        <v>361</v>
      </c>
      <c r="J597" s="633" t="s">
        <v>327</v>
      </c>
      <c r="K597" s="633" t="s">
        <v>260</v>
      </c>
      <c r="L597" s="633" t="s">
        <v>308</v>
      </c>
      <c r="M597" s="633" t="s">
        <v>471</v>
      </c>
      <c r="N597" s="633" t="s">
        <v>259</v>
      </c>
      <c r="O597" s="633">
        <v>3</v>
      </c>
      <c r="P597" s="633">
        <v>6</v>
      </c>
      <c r="Q597" s="633">
        <v>1</v>
      </c>
      <c r="T597" s="594">
        <v>41736.707546296297</v>
      </c>
    </row>
    <row r="598" spans="1:20" x14ac:dyDescent="0.25">
      <c r="A598" s="633" t="s">
        <v>308</v>
      </c>
      <c r="B598" s="633">
        <v>13</v>
      </c>
      <c r="C598" s="633" t="s">
        <v>323</v>
      </c>
      <c r="D598" s="633" t="s">
        <v>324</v>
      </c>
      <c r="F598" s="633" t="s">
        <v>325</v>
      </c>
      <c r="G598" s="633" t="s">
        <v>584</v>
      </c>
      <c r="H598" s="633" t="s">
        <v>328</v>
      </c>
      <c r="J598" s="633" t="s">
        <v>327</v>
      </c>
      <c r="K598" s="633" t="s">
        <v>260</v>
      </c>
      <c r="L598" s="633" t="s">
        <v>308</v>
      </c>
      <c r="M598" s="633" t="s">
        <v>471</v>
      </c>
      <c r="N598" s="633" t="s">
        <v>259</v>
      </c>
      <c r="O598" s="633">
        <v>5</v>
      </c>
      <c r="Q598" s="633">
        <v>0</v>
      </c>
      <c r="T598" s="594">
        <v>41736.707546296297</v>
      </c>
    </row>
    <row r="599" spans="1:20" x14ac:dyDescent="0.25">
      <c r="A599" s="633" t="s">
        <v>308</v>
      </c>
      <c r="B599" s="633">
        <v>13</v>
      </c>
      <c r="C599" s="633" t="s">
        <v>323</v>
      </c>
      <c r="D599" s="633" t="s">
        <v>324</v>
      </c>
      <c r="F599" s="633" t="s">
        <v>325</v>
      </c>
      <c r="G599" s="633" t="s">
        <v>584</v>
      </c>
      <c r="H599" s="633" t="s">
        <v>375</v>
      </c>
      <c r="J599" s="633" t="s">
        <v>327</v>
      </c>
      <c r="K599" s="633" t="s">
        <v>260</v>
      </c>
      <c r="L599" s="633" t="s">
        <v>308</v>
      </c>
      <c r="M599" s="633" t="s">
        <v>471</v>
      </c>
      <c r="N599" s="633" t="s">
        <v>259</v>
      </c>
      <c r="O599" s="633">
        <v>1</v>
      </c>
      <c r="P599" s="633">
        <v>6</v>
      </c>
      <c r="Q599" s="633">
        <v>0</v>
      </c>
      <c r="T599" s="594">
        <v>41736.707546296297</v>
      </c>
    </row>
    <row r="600" spans="1:20" x14ac:dyDescent="0.25">
      <c r="A600" s="633" t="s">
        <v>308</v>
      </c>
      <c r="B600" s="633">
        <v>13</v>
      </c>
      <c r="C600" s="633" t="s">
        <v>323</v>
      </c>
      <c r="D600" s="633" t="s">
        <v>324</v>
      </c>
      <c r="F600" s="633" t="s">
        <v>325</v>
      </c>
      <c r="G600" s="633" t="s">
        <v>584</v>
      </c>
      <c r="H600" s="633" t="s">
        <v>363</v>
      </c>
      <c r="J600" s="633" t="s">
        <v>327</v>
      </c>
      <c r="K600" s="633" t="s">
        <v>260</v>
      </c>
      <c r="L600" s="633" t="s">
        <v>308</v>
      </c>
      <c r="M600" s="633" t="s">
        <v>471</v>
      </c>
      <c r="N600" s="633" t="s">
        <v>259</v>
      </c>
      <c r="P600" s="633">
        <v>5</v>
      </c>
      <c r="Q600" s="633">
        <v>0</v>
      </c>
      <c r="T600" s="594">
        <v>41736.707546296297</v>
      </c>
    </row>
    <row r="601" spans="1:20" x14ac:dyDescent="0.25">
      <c r="A601" s="633" t="s">
        <v>308</v>
      </c>
      <c r="B601" s="633">
        <v>13</v>
      </c>
      <c r="C601" s="633" t="s">
        <v>323</v>
      </c>
      <c r="D601" s="633" t="s">
        <v>324</v>
      </c>
      <c r="F601" s="633" t="s">
        <v>325</v>
      </c>
      <c r="G601" s="633" t="s">
        <v>584</v>
      </c>
      <c r="H601" s="633" t="s">
        <v>377</v>
      </c>
      <c r="J601" s="633" t="s">
        <v>327</v>
      </c>
      <c r="K601" s="633" t="s">
        <v>260</v>
      </c>
      <c r="L601" s="633" t="s">
        <v>308</v>
      </c>
      <c r="M601" s="633" t="s">
        <v>471</v>
      </c>
      <c r="N601" s="633" t="s">
        <v>259</v>
      </c>
      <c r="O601" s="633">
        <v>6</v>
      </c>
      <c r="P601" s="633">
        <v>5</v>
      </c>
      <c r="Q601" s="633">
        <v>0</v>
      </c>
      <c r="T601" s="594">
        <v>41736.707546296297</v>
      </c>
    </row>
    <row r="602" spans="1:20" x14ac:dyDescent="0.25">
      <c r="A602" s="633" t="s">
        <v>308</v>
      </c>
      <c r="B602" s="633">
        <v>13</v>
      </c>
      <c r="C602" s="633" t="s">
        <v>323</v>
      </c>
      <c r="D602" s="633" t="s">
        <v>324</v>
      </c>
      <c r="F602" s="633" t="s">
        <v>325</v>
      </c>
      <c r="G602" s="633" t="s">
        <v>584</v>
      </c>
      <c r="H602" s="633" t="s">
        <v>342</v>
      </c>
      <c r="J602" s="633" t="s">
        <v>327</v>
      </c>
      <c r="K602" s="633" t="s">
        <v>260</v>
      </c>
      <c r="L602" s="633" t="s">
        <v>308</v>
      </c>
      <c r="M602" s="633" t="s">
        <v>471</v>
      </c>
      <c r="N602" s="633" t="s">
        <v>259</v>
      </c>
      <c r="O602" s="633">
        <v>5</v>
      </c>
      <c r="P602" s="633">
        <v>5</v>
      </c>
      <c r="Q602" s="633">
        <v>0</v>
      </c>
      <c r="T602" s="594">
        <v>41736.707546296297</v>
      </c>
    </row>
    <row r="603" spans="1:20" x14ac:dyDescent="0.25">
      <c r="A603" s="633" t="s">
        <v>308</v>
      </c>
      <c r="B603" s="633">
        <v>13</v>
      </c>
      <c r="C603" s="633" t="s">
        <v>323</v>
      </c>
      <c r="D603" s="633" t="s">
        <v>324</v>
      </c>
      <c r="F603" s="633" t="s">
        <v>325</v>
      </c>
      <c r="G603" s="633" t="s">
        <v>584</v>
      </c>
      <c r="H603" s="633" t="s">
        <v>354</v>
      </c>
      <c r="J603" s="633" t="s">
        <v>327</v>
      </c>
      <c r="K603" s="633" t="s">
        <v>260</v>
      </c>
      <c r="L603" s="633" t="s">
        <v>308</v>
      </c>
      <c r="M603" s="633" t="s">
        <v>471</v>
      </c>
      <c r="N603" s="633" t="s">
        <v>259</v>
      </c>
      <c r="O603" s="633">
        <v>4</v>
      </c>
      <c r="P603" s="633">
        <v>6</v>
      </c>
      <c r="Q603" s="633">
        <v>10</v>
      </c>
      <c r="T603" s="594">
        <v>41736.707546296297</v>
      </c>
    </row>
    <row r="604" spans="1:20" x14ac:dyDescent="0.25">
      <c r="A604" s="633" t="s">
        <v>308</v>
      </c>
      <c r="B604" s="633">
        <v>13</v>
      </c>
      <c r="C604" s="633" t="s">
        <v>323</v>
      </c>
      <c r="D604" s="633" t="s">
        <v>324</v>
      </c>
      <c r="F604" s="633" t="s">
        <v>325</v>
      </c>
      <c r="G604" s="633" t="s">
        <v>584</v>
      </c>
      <c r="H604" s="633" t="s">
        <v>356</v>
      </c>
      <c r="J604" s="633" t="s">
        <v>327</v>
      </c>
      <c r="K604" s="633" t="s">
        <v>260</v>
      </c>
      <c r="L604" s="633" t="s">
        <v>308</v>
      </c>
      <c r="M604" s="633" t="s">
        <v>471</v>
      </c>
      <c r="N604" s="633" t="s">
        <v>259</v>
      </c>
      <c r="O604" s="633">
        <v>3</v>
      </c>
      <c r="P604" s="633">
        <v>5</v>
      </c>
      <c r="Q604" s="633">
        <v>0</v>
      </c>
      <c r="T604" s="594">
        <v>41736.707546296297</v>
      </c>
    </row>
    <row r="605" spans="1:20" x14ac:dyDescent="0.25">
      <c r="A605" s="633" t="s">
        <v>308</v>
      </c>
      <c r="B605" s="633">
        <v>13</v>
      </c>
      <c r="C605" s="633" t="s">
        <v>323</v>
      </c>
      <c r="D605" s="633" t="s">
        <v>324</v>
      </c>
      <c r="F605" s="633" t="s">
        <v>325</v>
      </c>
      <c r="G605" s="633" t="s">
        <v>584</v>
      </c>
      <c r="H605" s="633" t="s">
        <v>370</v>
      </c>
      <c r="J605" s="633" t="s">
        <v>327</v>
      </c>
      <c r="K605" s="633" t="s">
        <v>260</v>
      </c>
      <c r="L605" s="633" t="s">
        <v>308</v>
      </c>
      <c r="M605" s="633" t="s">
        <v>471</v>
      </c>
      <c r="N605" s="633" t="s">
        <v>259</v>
      </c>
      <c r="O605" s="633">
        <v>1</v>
      </c>
      <c r="P605" s="633">
        <v>5</v>
      </c>
      <c r="Q605" s="633">
        <v>0</v>
      </c>
      <c r="T605" s="594">
        <v>41736.707546296297</v>
      </c>
    </row>
    <row r="606" spans="1:20" x14ac:dyDescent="0.25">
      <c r="A606" s="633" t="s">
        <v>308</v>
      </c>
      <c r="B606" s="633">
        <v>13</v>
      </c>
      <c r="C606" s="633" t="s">
        <v>323</v>
      </c>
      <c r="D606" s="633" t="s">
        <v>324</v>
      </c>
      <c r="F606" s="633" t="s">
        <v>325</v>
      </c>
      <c r="G606" s="633" t="s">
        <v>584</v>
      </c>
      <c r="H606" s="633" t="s">
        <v>346</v>
      </c>
      <c r="J606" s="633" t="s">
        <v>327</v>
      </c>
      <c r="K606" s="633" t="s">
        <v>260</v>
      </c>
      <c r="L606" s="633" t="s">
        <v>308</v>
      </c>
      <c r="M606" s="633" t="s">
        <v>471</v>
      </c>
      <c r="N606" s="633" t="s">
        <v>259</v>
      </c>
      <c r="O606" s="633">
        <v>5</v>
      </c>
      <c r="P606" s="633">
        <v>7</v>
      </c>
      <c r="Q606" s="633">
        <v>0</v>
      </c>
      <c r="T606" s="594">
        <v>41736.707546296297</v>
      </c>
    </row>
    <row r="607" spans="1:20" x14ac:dyDescent="0.25">
      <c r="A607" s="633" t="s">
        <v>308</v>
      </c>
      <c r="B607" s="633">
        <v>13</v>
      </c>
      <c r="C607" s="633" t="s">
        <v>323</v>
      </c>
      <c r="D607" s="633" t="s">
        <v>324</v>
      </c>
      <c r="F607" s="633" t="s">
        <v>325</v>
      </c>
      <c r="G607" s="633" t="s">
        <v>584</v>
      </c>
      <c r="H607" s="633" t="s">
        <v>366</v>
      </c>
      <c r="J607" s="633" t="s">
        <v>327</v>
      </c>
      <c r="K607" s="633" t="s">
        <v>260</v>
      </c>
      <c r="L607" s="633" t="s">
        <v>308</v>
      </c>
      <c r="M607" s="633" t="s">
        <v>471</v>
      </c>
      <c r="N607" s="633" t="s">
        <v>259</v>
      </c>
      <c r="P607" s="633">
        <v>1</v>
      </c>
      <c r="Q607" s="633">
        <v>0</v>
      </c>
      <c r="T607" s="594">
        <v>41736.707546296297</v>
      </c>
    </row>
    <row r="608" spans="1:20" x14ac:dyDescent="0.25">
      <c r="A608" s="633" t="s">
        <v>308</v>
      </c>
      <c r="B608" s="633">
        <v>13</v>
      </c>
      <c r="C608" s="633" t="s">
        <v>323</v>
      </c>
      <c r="D608" s="633" t="s">
        <v>324</v>
      </c>
      <c r="F608" s="633" t="s">
        <v>325</v>
      </c>
      <c r="G608" s="633" t="s">
        <v>584</v>
      </c>
      <c r="H608" s="633" t="s">
        <v>374</v>
      </c>
      <c r="J608" s="633" t="s">
        <v>327</v>
      </c>
      <c r="K608" s="633" t="s">
        <v>260</v>
      </c>
      <c r="L608" s="633" t="s">
        <v>308</v>
      </c>
      <c r="M608" s="633" t="s">
        <v>471</v>
      </c>
      <c r="N608" s="633" t="s">
        <v>259</v>
      </c>
      <c r="O608" s="633">
        <v>1</v>
      </c>
      <c r="P608" s="633">
        <v>7</v>
      </c>
      <c r="Q608" s="633">
        <v>0</v>
      </c>
      <c r="T608" s="594">
        <v>41736.707546296297</v>
      </c>
    </row>
    <row r="609" spans="1:20" x14ac:dyDescent="0.25">
      <c r="A609" s="633" t="s">
        <v>308</v>
      </c>
      <c r="B609" s="633">
        <v>13</v>
      </c>
      <c r="C609" s="633" t="s">
        <v>323</v>
      </c>
      <c r="D609" s="633" t="s">
        <v>324</v>
      </c>
      <c r="F609" s="633" t="s">
        <v>325</v>
      </c>
      <c r="G609" s="633" t="s">
        <v>584</v>
      </c>
      <c r="H609" s="633" t="s">
        <v>331</v>
      </c>
      <c r="J609" s="633" t="s">
        <v>327</v>
      </c>
      <c r="K609" s="633" t="s">
        <v>260</v>
      </c>
      <c r="L609" s="633" t="s">
        <v>308</v>
      </c>
      <c r="M609" s="633" t="s">
        <v>471</v>
      </c>
      <c r="N609" s="633" t="s">
        <v>259</v>
      </c>
      <c r="Q609" s="633">
        <v>6</v>
      </c>
      <c r="T609" s="594">
        <v>41736.707546296297</v>
      </c>
    </row>
    <row r="610" spans="1:20" x14ac:dyDescent="0.25">
      <c r="A610" s="633" t="s">
        <v>308</v>
      </c>
      <c r="B610" s="633">
        <v>13</v>
      </c>
      <c r="C610" s="633" t="s">
        <v>323</v>
      </c>
      <c r="D610" s="633" t="s">
        <v>324</v>
      </c>
      <c r="F610" s="633" t="s">
        <v>325</v>
      </c>
      <c r="G610" s="633" t="s">
        <v>584</v>
      </c>
      <c r="H610" s="633" t="s">
        <v>349</v>
      </c>
      <c r="J610" s="633" t="s">
        <v>327</v>
      </c>
      <c r="K610" s="633" t="s">
        <v>260</v>
      </c>
      <c r="L610" s="633" t="s">
        <v>308</v>
      </c>
      <c r="M610" s="633" t="s">
        <v>471</v>
      </c>
      <c r="N610" s="633" t="s">
        <v>259</v>
      </c>
      <c r="O610" s="633">
        <v>4</v>
      </c>
      <c r="P610" s="633">
        <v>5</v>
      </c>
      <c r="Q610" s="633">
        <v>0</v>
      </c>
      <c r="T610" s="594">
        <v>41736.707546296297</v>
      </c>
    </row>
    <row r="611" spans="1:20" x14ac:dyDescent="0.25">
      <c r="A611" s="633" t="s">
        <v>308</v>
      </c>
      <c r="B611" s="633">
        <v>13</v>
      </c>
      <c r="C611" s="633" t="s">
        <v>323</v>
      </c>
      <c r="D611" s="633" t="s">
        <v>324</v>
      </c>
      <c r="F611" s="633" t="s">
        <v>325</v>
      </c>
      <c r="G611" s="633" t="s">
        <v>584</v>
      </c>
      <c r="H611" s="633" t="s">
        <v>381</v>
      </c>
      <c r="J611" s="633" t="s">
        <v>327</v>
      </c>
      <c r="K611" s="633" t="s">
        <v>260</v>
      </c>
      <c r="L611" s="633" t="s">
        <v>308</v>
      </c>
      <c r="M611" s="633" t="s">
        <v>471</v>
      </c>
      <c r="N611" s="633" t="s">
        <v>259</v>
      </c>
      <c r="O611" s="633">
        <v>6</v>
      </c>
      <c r="P611" s="633">
        <v>7</v>
      </c>
      <c r="Q611" s="633">
        <v>0</v>
      </c>
      <c r="T611" s="594">
        <v>41736.707546296297</v>
      </c>
    </row>
    <row r="612" spans="1:20" x14ac:dyDescent="0.25">
      <c r="A612" s="633" t="s">
        <v>308</v>
      </c>
      <c r="B612" s="633">
        <v>13</v>
      </c>
      <c r="C612" s="633" t="s">
        <v>323</v>
      </c>
      <c r="D612" s="633" t="s">
        <v>324</v>
      </c>
      <c r="F612" s="633" t="s">
        <v>325</v>
      </c>
      <c r="G612" s="633" t="s">
        <v>584</v>
      </c>
      <c r="H612" s="633" t="s">
        <v>329</v>
      </c>
      <c r="J612" s="633" t="s">
        <v>327</v>
      </c>
      <c r="K612" s="633" t="s">
        <v>260</v>
      </c>
      <c r="L612" s="633" t="s">
        <v>308</v>
      </c>
      <c r="M612" s="633" t="s">
        <v>471</v>
      </c>
      <c r="N612" s="633" t="s">
        <v>259</v>
      </c>
      <c r="O612" s="633">
        <v>4</v>
      </c>
      <c r="Q612" s="633">
        <v>1</v>
      </c>
      <c r="T612" s="594">
        <v>41736.707546296297</v>
      </c>
    </row>
    <row r="613" spans="1:20" x14ac:dyDescent="0.25">
      <c r="A613" s="633" t="s">
        <v>308</v>
      </c>
      <c r="B613" s="633">
        <v>13</v>
      </c>
      <c r="C613" s="633" t="s">
        <v>323</v>
      </c>
      <c r="D613" s="633" t="s">
        <v>324</v>
      </c>
      <c r="F613" s="633" t="s">
        <v>325</v>
      </c>
      <c r="G613" s="633" t="s">
        <v>584</v>
      </c>
      <c r="H613" s="633" t="s">
        <v>330</v>
      </c>
      <c r="J613" s="633" t="s">
        <v>327</v>
      </c>
      <c r="K613" s="633" t="s">
        <v>260</v>
      </c>
      <c r="L613" s="633" t="s">
        <v>308</v>
      </c>
      <c r="M613" s="633" t="s">
        <v>471</v>
      </c>
      <c r="N613" s="633" t="s">
        <v>259</v>
      </c>
      <c r="O613" s="633">
        <v>3</v>
      </c>
      <c r="Q613" s="633">
        <v>0</v>
      </c>
      <c r="T613" s="594">
        <v>41736.707546296297</v>
      </c>
    </row>
    <row r="614" spans="1:20" x14ac:dyDescent="0.25">
      <c r="A614" s="633" t="s">
        <v>308</v>
      </c>
      <c r="B614" s="633">
        <v>13</v>
      </c>
      <c r="C614" s="633" t="s">
        <v>323</v>
      </c>
      <c r="D614" s="633" t="s">
        <v>324</v>
      </c>
      <c r="F614" s="633" t="s">
        <v>325</v>
      </c>
      <c r="G614" s="633" t="s">
        <v>584</v>
      </c>
      <c r="H614" s="633" t="s">
        <v>326</v>
      </c>
      <c r="J614" s="633" t="s">
        <v>327</v>
      </c>
      <c r="K614" s="633" t="s">
        <v>260</v>
      </c>
      <c r="L614" s="633" t="s">
        <v>308</v>
      </c>
      <c r="M614" s="633" t="s">
        <v>471</v>
      </c>
      <c r="N614" s="633" t="s">
        <v>259</v>
      </c>
      <c r="O614" s="633">
        <v>2</v>
      </c>
      <c r="Q614" s="633">
        <v>2</v>
      </c>
      <c r="T614" s="594">
        <v>41736.707546296297</v>
      </c>
    </row>
    <row r="615" spans="1:20" x14ac:dyDescent="0.25">
      <c r="A615" s="633" t="s">
        <v>308</v>
      </c>
      <c r="B615" s="633">
        <v>13</v>
      </c>
      <c r="C615" s="633" t="s">
        <v>323</v>
      </c>
      <c r="D615" s="633" t="s">
        <v>324</v>
      </c>
      <c r="F615" s="633" t="s">
        <v>325</v>
      </c>
      <c r="G615" s="633" t="s">
        <v>584</v>
      </c>
      <c r="H615" s="633" t="s">
        <v>353</v>
      </c>
      <c r="J615" s="633" t="s">
        <v>327</v>
      </c>
      <c r="K615" s="633" t="s">
        <v>260</v>
      </c>
      <c r="L615" s="633" t="s">
        <v>308</v>
      </c>
      <c r="M615" s="633" t="s">
        <v>471</v>
      </c>
      <c r="N615" s="633" t="s">
        <v>259</v>
      </c>
      <c r="O615" s="633">
        <v>4</v>
      </c>
      <c r="P615" s="633">
        <v>7</v>
      </c>
      <c r="Q615" s="633">
        <v>0</v>
      </c>
      <c r="T615" s="594">
        <v>41736.707546296297</v>
      </c>
    </row>
    <row r="616" spans="1:20" x14ac:dyDescent="0.25">
      <c r="A616" s="633" t="s">
        <v>308</v>
      </c>
      <c r="B616" s="633">
        <v>13</v>
      </c>
      <c r="C616" s="633" t="s">
        <v>323</v>
      </c>
      <c r="D616" s="633" t="s">
        <v>324</v>
      </c>
      <c r="F616" s="633" t="s">
        <v>325</v>
      </c>
      <c r="G616" s="633" t="s">
        <v>584</v>
      </c>
      <c r="H616" s="633" t="s">
        <v>367</v>
      </c>
      <c r="J616" s="633" t="s">
        <v>327</v>
      </c>
      <c r="K616" s="633" t="s">
        <v>260</v>
      </c>
      <c r="L616" s="633" t="s">
        <v>308</v>
      </c>
      <c r="M616" s="633" t="s">
        <v>471</v>
      </c>
      <c r="N616" s="633" t="s">
        <v>259</v>
      </c>
      <c r="P616" s="633">
        <v>7</v>
      </c>
      <c r="Q616" s="633">
        <v>0</v>
      </c>
      <c r="T616" s="594">
        <v>41736.707546296297</v>
      </c>
    </row>
    <row r="617" spans="1:20" x14ac:dyDescent="0.25">
      <c r="A617" s="633" t="s">
        <v>308</v>
      </c>
      <c r="B617" s="633">
        <v>13</v>
      </c>
      <c r="C617" s="633" t="s">
        <v>323</v>
      </c>
      <c r="D617" s="633" t="s">
        <v>324</v>
      </c>
      <c r="F617" s="633" t="s">
        <v>325</v>
      </c>
      <c r="G617" s="633" t="s">
        <v>584</v>
      </c>
      <c r="H617" s="633" t="s">
        <v>340</v>
      </c>
      <c r="J617" s="633" t="s">
        <v>327</v>
      </c>
      <c r="K617" s="633" t="s">
        <v>260</v>
      </c>
      <c r="L617" s="633" t="s">
        <v>308</v>
      </c>
      <c r="M617" s="633" t="s">
        <v>471</v>
      </c>
      <c r="N617" s="633" t="s">
        <v>259</v>
      </c>
      <c r="O617" s="633">
        <v>2</v>
      </c>
      <c r="P617" s="633">
        <v>6</v>
      </c>
      <c r="Q617" s="633">
        <v>0</v>
      </c>
      <c r="T617" s="594">
        <v>41736.707546296297</v>
      </c>
    </row>
    <row r="618" spans="1:20" x14ac:dyDescent="0.25">
      <c r="A618" s="633" t="s">
        <v>308</v>
      </c>
      <c r="B618" s="633">
        <v>13</v>
      </c>
      <c r="C618" s="633" t="s">
        <v>323</v>
      </c>
      <c r="D618" s="633" t="s">
        <v>324</v>
      </c>
      <c r="F618" s="633" t="s">
        <v>325</v>
      </c>
      <c r="G618" s="633" t="s">
        <v>584</v>
      </c>
      <c r="H618" s="633" t="s">
        <v>333</v>
      </c>
      <c r="J618" s="633" t="s">
        <v>327</v>
      </c>
      <c r="K618" s="633" t="s">
        <v>260</v>
      </c>
      <c r="L618" s="633" t="s">
        <v>308</v>
      </c>
      <c r="M618" s="633" t="s">
        <v>471</v>
      </c>
      <c r="N618" s="633" t="s">
        <v>259</v>
      </c>
      <c r="O618" s="633">
        <v>6</v>
      </c>
      <c r="Q618" s="633">
        <v>0</v>
      </c>
      <c r="T618" s="594">
        <v>41736.707546296297</v>
      </c>
    </row>
    <row r="619" spans="1:20" x14ac:dyDescent="0.25">
      <c r="A619" s="633" t="s">
        <v>308</v>
      </c>
      <c r="B619" s="633">
        <v>13</v>
      </c>
      <c r="C619" s="633" t="s">
        <v>323</v>
      </c>
      <c r="D619" s="633" t="s">
        <v>324</v>
      </c>
      <c r="F619" s="633" t="s">
        <v>325</v>
      </c>
      <c r="G619" s="633" t="s">
        <v>584</v>
      </c>
      <c r="H619" s="633" t="s">
        <v>329</v>
      </c>
      <c r="J619" s="633" t="s">
        <v>327</v>
      </c>
      <c r="K619" s="633" t="s">
        <v>261</v>
      </c>
      <c r="L619" s="633" t="s">
        <v>309</v>
      </c>
      <c r="M619" s="633" t="s">
        <v>470</v>
      </c>
      <c r="N619" s="633" t="s">
        <v>256</v>
      </c>
      <c r="O619" s="633">
        <v>4</v>
      </c>
      <c r="Q619" s="633">
        <v>188</v>
      </c>
      <c r="T619" s="594">
        <v>41736.707546296297</v>
      </c>
    </row>
    <row r="620" spans="1:20" x14ac:dyDescent="0.25">
      <c r="A620" s="633" t="s">
        <v>308</v>
      </c>
      <c r="B620" s="633">
        <v>13</v>
      </c>
      <c r="C620" s="633" t="s">
        <v>323</v>
      </c>
      <c r="D620" s="633" t="s">
        <v>324</v>
      </c>
      <c r="F620" s="633" t="s">
        <v>325</v>
      </c>
      <c r="G620" s="633" t="s">
        <v>584</v>
      </c>
      <c r="H620" s="633" t="s">
        <v>330</v>
      </c>
      <c r="J620" s="633" t="s">
        <v>327</v>
      </c>
      <c r="K620" s="633" t="s">
        <v>261</v>
      </c>
      <c r="L620" s="633" t="s">
        <v>309</v>
      </c>
      <c r="M620" s="633" t="s">
        <v>470</v>
      </c>
      <c r="N620" s="633" t="s">
        <v>256</v>
      </c>
      <c r="O620" s="633">
        <v>3</v>
      </c>
      <c r="Q620" s="633">
        <v>42</v>
      </c>
      <c r="T620" s="594">
        <v>41736.707546296297</v>
      </c>
    </row>
    <row r="621" spans="1:20" x14ac:dyDescent="0.25">
      <c r="A621" s="633" t="s">
        <v>308</v>
      </c>
      <c r="B621" s="633">
        <v>13</v>
      </c>
      <c r="C621" s="633" t="s">
        <v>323</v>
      </c>
      <c r="D621" s="633" t="s">
        <v>324</v>
      </c>
      <c r="F621" s="633" t="s">
        <v>325</v>
      </c>
      <c r="G621" s="633" t="s">
        <v>584</v>
      </c>
      <c r="H621" s="633" t="s">
        <v>333</v>
      </c>
      <c r="J621" s="633" t="s">
        <v>327</v>
      </c>
      <c r="K621" s="633" t="s">
        <v>261</v>
      </c>
      <c r="L621" s="633" t="s">
        <v>309</v>
      </c>
      <c r="M621" s="633" t="s">
        <v>470</v>
      </c>
      <c r="N621" s="633" t="s">
        <v>256</v>
      </c>
      <c r="O621" s="633">
        <v>6</v>
      </c>
      <c r="Q621" s="633">
        <v>4</v>
      </c>
      <c r="T621" s="594">
        <v>41736.707546296297</v>
      </c>
    </row>
    <row r="622" spans="1:20" x14ac:dyDescent="0.25">
      <c r="A622" s="633" t="s">
        <v>308</v>
      </c>
      <c r="B622" s="633">
        <v>13</v>
      </c>
      <c r="C622" s="633" t="s">
        <v>323</v>
      </c>
      <c r="D622" s="633" t="s">
        <v>324</v>
      </c>
      <c r="F622" s="633" t="s">
        <v>325</v>
      </c>
      <c r="G622" s="633" t="s">
        <v>584</v>
      </c>
      <c r="H622" s="633" t="s">
        <v>326</v>
      </c>
      <c r="J622" s="633" t="s">
        <v>327</v>
      </c>
      <c r="K622" s="633" t="s">
        <v>261</v>
      </c>
      <c r="L622" s="633" t="s">
        <v>309</v>
      </c>
      <c r="M622" s="633" t="s">
        <v>470</v>
      </c>
      <c r="N622" s="633" t="s">
        <v>256</v>
      </c>
      <c r="O622" s="633">
        <v>2</v>
      </c>
      <c r="Q622" s="633">
        <v>2</v>
      </c>
      <c r="T622" s="594">
        <v>41736.707546296297</v>
      </c>
    </row>
    <row r="623" spans="1:20" x14ac:dyDescent="0.25">
      <c r="A623" s="633" t="s">
        <v>308</v>
      </c>
      <c r="B623" s="633">
        <v>13</v>
      </c>
      <c r="C623" s="633" t="s">
        <v>323</v>
      </c>
      <c r="D623" s="633" t="s">
        <v>324</v>
      </c>
      <c r="F623" s="633" t="s">
        <v>325</v>
      </c>
      <c r="G623" s="633" t="s">
        <v>584</v>
      </c>
      <c r="H623" s="633" t="s">
        <v>332</v>
      </c>
      <c r="J623" s="633" t="s">
        <v>327</v>
      </c>
      <c r="K623" s="633" t="s">
        <v>261</v>
      </c>
      <c r="L623" s="633" t="s">
        <v>309</v>
      </c>
      <c r="M623" s="633" t="s">
        <v>470</v>
      </c>
      <c r="N623" s="633" t="s">
        <v>256</v>
      </c>
      <c r="O623" s="633">
        <v>1</v>
      </c>
      <c r="Q623" s="633">
        <v>0</v>
      </c>
      <c r="T623" s="594">
        <v>41736.707546296297</v>
      </c>
    </row>
    <row r="624" spans="1:20" x14ac:dyDescent="0.25">
      <c r="A624" s="633" t="s">
        <v>308</v>
      </c>
      <c r="B624" s="633">
        <v>13</v>
      </c>
      <c r="C624" s="633" t="s">
        <v>323</v>
      </c>
      <c r="D624" s="633" t="s">
        <v>324</v>
      </c>
      <c r="F624" s="633" t="s">
        <v>325</v>
      </c>
      <c r="G624" s="633" t="s">
        <v>584</v>
      </c>
      <c r="H624" s="633" t="s">
        <v>328</v>
      </c>
      <c r="J624" s="633" t="s">
        <v>327</v>
      </c>
      <c r="K624" s="633" t="s">
        <v>261</v>
      </c>
      <c r="L624" s="633" t="s">
        <v>309</v>
      </c>
      <c r="M624" s="633" t="s">
        <v>470</v>
      </c>
      <c r="N624" s="633" t="s">
        <v>256</v>
      </c>
      <c r="O624" s="633">
        <v>5</v>
      </c>
      <c r="Q624" s="633">
        <v>0</v>
      </c>
      <c r="T624" s="594">
        <v>41736.707546296297</v>
      </c>
    </row>
    <row r="625" spans="1:20" x14ac:dyDescent="0.25">
      <c r="A625" s="633" t="s">
        <v>308</v>
      </c>
      <c r="B625" s="633">
        <v>13</v>
      </c>
      <c r="C625" s="633" t="s">
        <v>323</v>
      </c>
      <c r="D625" s="633" t="s">
        <v>324</v>
      </c>
      <c r="F625" s="633" t="s">
        <v>325</v>
      </c>
      <c r="G625" s="633" t="s">
        <v>584</v>
      </c>
      <c r="H625" s="633" t="s">
        <v>331</v>
      </c>
      <c r="J625" s="633" t="s">
        <v>327</v>
      </c>
      <c r="K625" s="633" t="s">
        <v>261</v>
      </c>
      <c r="L625" s="633" t="s">
        <v>309</v>
      </c>
      <c r="M625" s="633" t="s">
        <v>470</v>
      </c>
      <c r="N625" s="633" t="s">
        <v>256</v>
      </c>
      <c r="Q625" s="633">
        <v>5</v>
      </c>
      <c r="T625" s="594">
        <v>41736.707546296297</v>
      </c>
    </row>
    <row r="626" spans="1:20" x14ac:dyDescent="0.25">
      <c r="A626" s="633" t="s">
        <v>308</v>
      </c>
      <c r="B626" s="633">
        <v>13</v>
      </c>
      <c r="C626" s="633" t="s">
        <v>323</v>
      </c>
      <c r="D626" s="633" t="s">
        <v>324</v>
      </c>
      <c r="F626" s="633" t="s">
        <v>325</v>
      </c>
      <c r="G626" s="633" t="s">
        <v>584</v>
      </c>
      <c r="H626" s="633" t="s">
        <v>351</v>
      </c>
      <c r="J626" s="633" t="s">
        <v>327</v>
      </c>
      <c r="K626" s="633" t="s">
        <v>261</v>
      </c>
      <c r="L626" s="633" t="s">
        <v>309</v>
      </c>
      <c r="M626" s="633" t="s">
        <v>471</v>
      </c>
      <c r="N626" s="633" t="s">
        <v>256</v>
      </c>
      <c r="O626" s="633">
        <v>4</v>
      </c>
      <c r="P626" s="633">
        <v>3</v>
      </c>
      <c r="Q626" s="633">
        <v>0</v>
      </c>
      <c r="T626" s="594">
        <v>41736.707546296297</v>
      </c>
    </row>
    <row r="627" spans="1:20" x14ac:dyDescent="0.25">
      <c r="A627" s="633" t="s">
        <v>308</v>
      </c>
      <c r="B627" s="633">
        <v>13</v>
      </c>
      <c r="C627" s="633" t="s">
        <v>323</v>
      </c>
      <c r="D627" s="633" t="s">
        <v>324</v>
      </c>
      <c r="F627" s="633" t="s">
        <v>325</v>
      </c>
      <c r="G627" s="633" t="s">
        <v>584</v>
      </c>
      <c r="H627" s="633" t="s">
        <v>331</v>
      </c>
      <c r="J627" s="633" t="s">
        <v>327</v>
      </c>
      <c r="K627" s="633" t="s">
        <v>261</v>
      </c>
      <c r="L627" s="633" t="s">
        <v>309</v>
      </c>
      <c r="M627" s="633" t="s">
        <v>471</v>
      </c>
      <c r="N627" s="633" t="s">
        <v>256</v>
      </c>
      <c r="Q627" s="633">
        <v>18</v>
      </c>
      <c r="T627" s="594">
        <v>41736.707546296297</v>
      </c>
    </row>
    <row r="628" spans="1:20" x14ac:dyDescent="0.25">
      <c r="A628" s="633" t="s">
        <v>308</v>
      </c>
      <c r="B628" s="633">
        <v>13</v>
      </c>
      <c r="C628" s="633" t="s">
        <v>323</v>
      </c>
      <c r="D628" s="633" t="s">
        <v>324</v>
      </c>
      <c r="F628" s="633" t="s">
        <v>325</v>
      </c>
      <c r="G628" s="633" t="s">
        <v>584</v>
      </c>
      <c r="H628" s="633" t="s">
        <v>373</v>
      </c>
      <c r="J628" s="633" t="s">
        <v>327</v>
      </c>
      <c r="K628" s="633" t="s">
        <v>261</v>
      </c>
      <c r="L628" s="633" t="s">
        <v>309</v>
      </c>
      <c r="M628" s="633" t="s">
        <v>471</v>
      </c>
      <c r="N628" s="633" t="s">
        <v>256</v>
      </c>
      <c r="O628" s="633">
        <v>1</v>
      </c>
      <c r="P628" s="633">
        <v>1</v>
      </c>
      <c r="Q628" s="633">
        <v>0</v>
      </c>
      <c r="T628" s="594">
        <v>41736.707546296297</v>
      </c>
    </row>
    <row r="629" spans="1:20" x14ac:dyDescent="0.25">
      <c r="A629" s="633" t="s">
        <v>308</v>
      </c>
      <c r="B629" s="633">
        <v>13</v>
      </c>
      <c r="C629" s="633" t="s">
        <v>323</v>
      </c>
      <c r="D629" s="633" t="s">
        <v>324</v>
      </c>
      <c r="F629" s="633" t="s">
        <v>325</v>
      </c>
      <c r="G629" s="633" t="s">
        <v>584</v>
      </c>
      <c r="H629" s="633" t="s">
        <v>328</v>
      </c>
      <c r="J629" s="633" t="s">
        <v>327</v>
      </c>
      <c r="K629" s="633" t="s">
        <v>261</v>
      </c>
      <c r="L629" s="633" t="s">
        <v>309</v>
      </c>
      <c r="M629" s="633" t="s">
        <v>471</v>
      </c>
      <c r="N629" s="633" t="s">
        <v>256</v>
      </c>
      <c r="O629" s="633">
        <v>5</v>
      </c>
      <c r="Q629" s="633">
        <v>0</v>
      </c>
      <c r="T629" s="594">
        <v>41736.707546296297</v>
      </c>
    </row>
    <row r="630" spans="1:20" x14ac:dyDescent="0.25">
      <c r="A630" s="633" t="s">
        <v>308</v>
      </c>
      <c r="B630" s="633">
        <v>13</v>
      </c>
      <c r="C630" s="633" t="s">
        <v>323</v>
      </c>
      <c r="D630" s="633" t="s">
        <v>324</v>
      </c>
      <c r="F630" s="633" t="s">
        <v>325</v>
      </c>
      <c r="G630" s="633" t="s">
        <v>584</v>
      </c>
      <c r="H630" s="633" t="s">
        <v>367</v>
      </c>
      <c r="J630" s="633" t="s">
        <v>327</v>
      </c>
      <c r="K630" s="633" t="s">
        <v>261</v>
      </c>
      <c r="L630" s="633" t="s">
        <v>309</v>
      </c>
      <c r="M630" s="633" t="s">
        <v>471</v>
      </c>
      <c r="N630" s="633" t="s">
        <v>256</v>
      </c>
      <c r="P630" s="633">
        <v>7</v>
      </c>
      <c r="Q630" s="633">
        <v>0</v>
      </c>
      <c r="T630" s="594">
        <v>41736.707546296297</v>
      </c>
    </row>
    <row r="631" spans="1:20" x14ac:dyDescent="0.25">
      <c r="A631" s="633" t="s">
        <v>308</v>
      </c>
      <c r="B631" s="633">
        <v>13</v>
      </c>
      <c r="C631" s="633" t="s">
        <v>323</v>
      </c>
      <c r="D631" s="633" t="s">
        <v>324</v>
      </c>
      <c r="F631" s="633" t="s">
        <v>325</v>
      </c>
      <c r="G631" s="633" t="s">
        <v>584</v>
      </c>
      <c r="H631" s="633" t="s">
        <v>376</v>
      </c>
      <c r="J631" s="633" t="s">
        <v>327</v>
      </c>
      <c r="K631" s="633" t="s">
        <v>261</v>
      </c>
      <c r="L631" s="633" t="s">
        <v>309</v>
      </c>
      <c r="M631" s="633" t="s">
        <v>471</v>
      </c>
      <c r="N631" s="633" t="s">
        <v>256</v>
      </c>
      <c r="O631" s="633">
        <v>6</v>
      </c>
      <c r="P631" s="633">
        <v>2</v>
      </c>
      <c r="Q631" s="633">
        <v>0</v>
      </c>
      <c r="T631" s="594">
        <v>41736.707546296297</v>
      </c>
    </row>
    <row r="632" spans="1:20" x14ac:dyDescent="0.25">
      <c r="A632" s="633" t="s">
        <v>308</v>
      </c>
      <c r="B632" s="633">
        <v>13</v>
      </c>
      <c r="C632" s="633" t="s">
        <v>323</v>
      </c>
      <c r="D632" s="633" t="s">
        <v>324</v>
      </c>
      <c r="F632" s="633" t="s">
        <v>325</v>
      </c>
      <c r="G632" s="633" t="s">
        <v>584</v>
      </c>
      <c r="H632" s="633" t="s">
        <v>372</v>
      </c>
      <c r="J632" s="633" t="s">
        <v>327</v>
      </c>
      <c r="K632" s="633" t="s">
        <v>261</v>
      </c>
      <c r="L632" s="633" t="s">
        <v>309</v>
      </c>
      <c r="M632" s="633" t="s">
        <v>471</v>
      </c>
      <c r="N632" s="633" t="s">
        <v>256</v>
      </c>
      <c r="O632" s="633">
        <v>1</v>
      </c>
      <c r="P632" s="633">
        <v>3</v>
      </c>
      <c r="Q632" s="633">
        <v>0</v>
      </c>
      <c r="T632" s="594">
        <v>41736.707546296297</v>
      </c>
    </row>
    <row r="633" spans="1:20" x14ac:dyDescent="0.25">
      <c r="A633" s="633" t="s">
        <v>308</v>
      </c>
      <c r="B633" s="633">
        <v>13</v>
      </c>
      <c r="C633" s="633" t="s">
        <v>323</v>
      </c>
      <c r="D633" s="633" t="s">
        <v>324</v>
      </c>
      <c r="F633" s="633" t="s">
        <v>325</v>
      </c>
      <c r="G633" s="633" t="s">
        <v>584</v>
      </c>
      <c r="H633" s="633" t="s">
        <v>341</v>
      </c>
      <c r="J633" s="633" t="s">
        <v>327</v>
      </c>
      <c r="K633" s="633" t="s">
        <v>261</v>
      </c>
      <c r="L633" s="633" t="s">
        <v>309</v>
      </c>
      <c r="M633" s="633" t="s">
        <v>471</v>
      </c>
      <c r="N633" s="633" t="s">
        <v>256</v>
      </c>
      <c r="O633" s="633">
        <v>5</v>
      </c>
      <c r="P633" s="633">
        <v>2</v>
      </c>
      <c r="Q633" s="633">
        <v>0</v>
      </c>
      <c r="T633" s="594">
        <v>41736.707546296297</v>
      </c>
    </row>
    <row r="634" spans="1:20" x14ac:dyDescent="0.25">
      <c r="A634" s="633" t="s">
        <v>308</v>
      </c>
      <c r="B634" s="633">
        <v>13</v>
      </c>
      <c r="C634" s="633" t="s">
        <v>323</v>
      </c>
      <c r="D634" s="633" t="s">
        <v>324</v>
      </c>
      <c r="F634" s="633" t="s">
        <v>325</v>
      </c>
      <c r="G634" s="633" t="s">
        <v>584</v>
      </c>
      <c r="H634" s="633" t="s">
        <v>342</v>
      </c>
      <c r="J634" s="633" t="s">
        <v>327</v>
      </c>
      <c r="K634" s="633" t="s">
        <v>261</v>
      </c>
      <c r="L634" s="633" t="s">
        <v>309</v>
      </c>
      <c r="M634" s="633" t="s">
        <v>471</v>
      </c>
      <c r="N634" s="633" t="s">
        <v>256</v>
      </c>
      <c r="O634" s="633">
        <v>5</v>
      </c>
      <c r="P634" s="633">
        <v>5</v>
      </c>
      <c r="Q634" s="633">
        <v>1</v>
      </c>
      <c r="T634" s="594">
        <v>41736.707546296297</v>
      </c>
    </row>
    <row r="635" spans="1:20" x14ac:dyDescent="0.25">
      <c r="A635" s="633" t="s">
        <v>308</v>
      </c>
      <c r="B635" s="633">
        <v>13</v>
      </c>
      <c r="C635" s="633" t="s">
        <v>323</v>
      </c>
      <c r="D635" s="633" t="s">
        <v>324</v>
      </c>
      <c r="F635" s="633" t="s">
        <v>325</v>
      </c>
      <c r="G635" s="633" t="s">
        <v>584</v>
      </c>
      <c r="H635" s="633" t="s">
        <v>350</v>
      </c>
      <c r="J635" s="633" t="s">
        <v>327</v>
      </c>
      <c r="K635" s="633" t="s">
        <v>261</v>
      </c>
      <c r="L635" s="633" t="s">
        <v>309</v>
      </c>
      <c r="M635" s="633" t="s">
        <v>471</v>
      </c>
      <c r="N635" s="633" t="s">
        <v>256</v>
      </c>
      <c r="O635" s="633">
        <v>4</v>
      </c>
      <c r="P635" s="633">
        <v>4</v>
      </c>
      <c r="Q635" s="633">
        <v>160</v>
      </c>
      <c r="T635" s="594">
        <v>41736.707546296297</v>
      </c>
    </row>
    <row r="636" spans="1:20" x14ac:dyDescent="0.25">
      <c r="A636" s="633" t="s">
        <v>308</v>
      </c>
      <c r="B636" s="633">
        <v>13</v>
      </c>
      <c r="C636" s="633" t="s">
        <v>323</v>
      </c>
      <c r="D636" s="633" t="s">
        <v>324</v>
      </c>
      <c r="F636" s="633" t="s">
        <v>325</v>
      </c>
      <c r="G636" s="633" t="s">
        <v>584</v>
      </c>
      <c r="H636" s="633" t="s">
        <v>358</v>
      </c>
      <c r="J636" s="633" t="s">
        <v>327</v>
      </c>
      <c r="K636" s="633" t="s">
        <v>261</v>
      </c>
      <c r="L636" s="633" t="s">
        <v>309</v>
      </c>
      <c r="M636" s="633" t="s">
        <v>471</v>
      </c>
      <c r="N636" s="633" t="s">
        <v>256</v>
      </c>
      <c r="O636" s="633">
        <v>3</v>
      </c>
      <c r="P636" s="633">
        <v>3</v>
      </c>
      <c r="Q636" s="633">
        <v>2</v>
      </c>
      <c r="T636" s="594">
        <v>41736.707546296297</v>
      </c>
    </row>
    <row r="637" spans="1:20" x14ac:dyDescent="0.25">
      <c r="A637" s="633" t="s">
        <v>308</v>
      </c>
      <c r="B637" s="633">
        <v>13</v>
      </c>
      <c r="C637" s="633" t="s">
        <v>323</v>
      </c>
      <c r="D637" s="633" t="s">
        <v>324</v>
      </c>
      <c r="F637" s="633" t="s">
        <v>325</v>
      </c>
      <c r="G637" s="633" t="s">
        <v>584</v>
      </c>
      <c r="H637" s="633" t="s">
        <v>343</v>
      </c>
      <c r="J637" s="633" t="s">
        <v>327</v>
      </c>
      <c r="K637" s="633" t="s">
        <v>261</v>
      </c>
      <c r="L637" s="633" t="s">
        <v>309</v>
      </c>
      <c r="M637" s="633" t="s">
        <v>471</v>
      </c>
      <c r="N637" s="633" t="s">
        <v>256</v>
      </c>
      <c r="O637" s="633">
        <v>5</v>
      </c>
      <c r="P637" s="633">
        <v>4</v>
      </c>
      <c r="Q637" s="633">
        <v>0</v>
      </c>
      <c r="T637" s="594">
        <v>41736.707546296297</v>
      </c>
    </row>
    <row r="638" spans="1:20" x14ac:dyDescent="0.25">
      <c r="A638" s="633" t="s">
        <v>308</v>
      </c>
      <c r="B638" s="633">
        <v>13</v>
      </c>
      <c r="C638" s="633" t="s">
        <v>323</v>
      </c>
      <c r="D638" s="633" t="s">
        <v>324</v>
      </c>
      <c r="F638" s="633" t="s">
        <v>325</v>
      </c>
      <c r="G638" s="633" t="s">
        <v>584</v>
      </c>
      <c r="H638" s="633" t="s">
        <v>357</v>
      </c>
      <c r="J638" s="633" t="s">
        <v>327</v>
      </c>
      <c r="K638" s="633" t="s">
        <v>261</v>
      </c>
      <c r="L638" s="633" t="s">
        <v>309</v>
      </c>
      <c r="M638" s="633" t="s">
        <v>471</v>
      </c>
      <c r="N638" s="633" t="s">
        <v>256</v>
      </c>
      <c r="O638" s="633">
        <v>3</v>
      </c>
      <c r="P638" s="633">
        <v>4</v>
      </c>
      <c r="Q638" s="633">
        <v>50</v>
      </c>
      <c r="T638" s="594">
        <v>41736.707546296297</v>
      </c>
    </row>
    <row r="639" spans="1:20" x14ac:dyDescent="0.25">
      <c r="A639" s="633" t="s">
        <v>308</v>
      </c>
      <c r="B639" s="633">
        <v>13</v>
      </c>
      <c r="C639" s="633" t="s">
        <v>323</v>
      </c>
      <c r="D639" s="633" t="s">
        <v>324</v>
      </c>
      <c r="F639" s="633" t="s">
        <v>325</v>
      </c>
      <c r="G639" s="633" t="s">
        <v>584</v>
      </c>
      <c r="H639" s="633" t="s">
        <v>374</v>
      </c>
      <c r="J639" s="633" t="s">
        <v>327</v>
      </c>
      <c r="K639" s="633" t="s">
        <v>261</v>
      </c>
      <c r="L639" s="633" t="s">
        <v>309</v>
      </c>
      <c r="M639" s="633" t="s">
        <v>471</v>
      </c>
      <c r="N639" s="633" t="s">
        <v>256</v>
      </c>
      <c r="O639" s="633">
        <v>1</v>
      </c>
      <c r="P639" s="633">
        <v>7</v>
      </c>
      <c r="Q639" s="633">
        <v>0</v>
      </c>
      <c r="T639" s="594">
        <v>41736.707546296297</v>
      </c>
    </row>
    <row r="640" spans="1:20" x14ac:dyDescent="0.25">
      <c r="A640" s="633" t="s">
        <v>308</v>
      </c>
      <c r="B640" s="633">
        <v>13</v>
      </c>
      <c r="C640" s="633" t="s">
        <v>323</v>
      </c>
      <c r="D640" s="633" t="s">
        <v>324</v>
      </c>
      <c r="F640" s="633" t="s">
        <v>325</v>
      </c>
      <c r="G640" s="633" t="s">
        <v>584</v>
      </c>
      <c r="H640" s="633" t="s">
        <v>338</v>
      </c>
      <c r="J640" s="633" t="s">
        <v>327</v>
      </c>
      <c r="K640" s="633" t="s">
        <v>261</v>
      </c>
      <c r="L640" s="633" t="s">
        <v>309</v>
      </c>
      <c r="M640" s="633" t="s">
        <v>471</v>
      </c>
      <c r="N640" s="633" t="s">
        <v>256</v>
      </c>
      <c r="O640" s="633">
        <v>2</v>
      </c>
      <c r="P640" s="633">
        <v>1</v>
      </c>
      <c r="Q640" s="633">
        <v>0</v>
      </c>
      <c r="T640" s="594">
        <v>41736.707546296297</v>
      </c>
    </row>
    <row r="641" spans="1:20" x14ac:dyDescent="0.25">
      <c r="A641" s="633" t="s">
        <v>308</v>
      </c>
      <c r="B641" s="633">
        <v>13</v>
      </c>
      <c r="C641" s="633" t="s">
        <v>323</v>
      </c>
      <c r="D641" s="633" t="s">
        <v>324</v>
      </c>
      <c r="F641" s="633" t="s">
        <v>325</v>
      </c>
      <c r="G641" s="633" t="s">
        <v>584</v>
      </c>
      <c r="H641" s="633" t="s">
        <v>381</v>
      </c>
      <c r="J641" s="633" t="s">
        <v>327</v>
      </c>
      <c r="K641" s="633" t="s">
        <v>261</v>
      </c>
      <c r="L641" s="633" t="s">
        <v>309</v>
      </c>
      <c r="M641" s="633" t="s">
        <v>471</v>
      </c>
      <c r="N641" s="633" t="s">
        <v>256</v>
      </c>
      <c r="O641" s="633">
        <v>6</v>
      </c>
      <c r="P641" s="633">
        <v>7</v>
      </c>
      <c r="Q641" s="633">
        <v>0</v>
      </c>
      <c r="T641" s="594">
        <v>41736.707546296297</v>
      </c>
    </row>
    <row r="642" spans="1:20" x14ac:dyDescent="0.25">
      <c r="A642" s="633" t="s">
        <v>308</v>
      </c>
      <c r="B642" s="633">
        <v>13</v>
      </c>
      <c r="C642" s="633" t="s">
        <v>323</v>
      </c>
      <c r="D642" s="633" t="s">
        <v>324</v>
      </c>
      <c r="F642" s="633" t="s">
        <v>325</v>
      </c>
      <c r="G642" s="633" t="s">
        <v>584</v>
      </c>
      <c r="H642" s="633" t="s">
        <v>346</v>
      </c>
      <c r="J642" s="633" t="s">
        <v>327</v>
      </c>
      <c r="K642" s="633" t="s">
        <v>261</v>
      </c>
      <c r="L642" s="633" t="s">
        <v>309</v>
      </c>
      <c r="M642" s="633" t="s">
        <v>471</v>
      </c>
      <c r="N642" s="633" t="s">
        <v>256</v>
      </c>
      <c r="O642" s="633">
        <v>5</v>
      </c>
      <c r="P642" s="633">
        <v>7</v>
      </c>
      <c r="Q642" s="633">
        <v>0</v>
      </c>
      <c r="T642" s="594">
        <v>41736.707546296297</v>
      </c>
    </row>
    <row r="643" spans="1:20" x14ac:dyDescent="0.25">
      <c r="A643" s="633" t="s">
        <v>308</v>
      </c>
      <c r="B643" s="633">
        <v>13</v>
      </c>
      <c r="C643" s="633" t="s">
        <v>323</v>
      </c>
      <c r="D643" s="633" t="s">
        <v>324</v>
      </c>
      <c r="F643" s="633" t="s">
        <v>325</v>
      </c>
      <c r="G643" s="633" t="s">
        <v>584</v>
      </c>
      <c r="H643" s="633" t="s">
        <v>339</v>
      </c>
      <c r="J643" s="633" t="s">
        <v>327</v>
      </c>
      <c r="K643" s="633" t="s">
        <v>261</v>
      </c>
      <c r="L643" s="633" t="s">
        <v>309</v>
      </c>
      <c r="M643" s="633" t="s">
        <v>471</v>
      </c>
      <c r="N643" s="633" t="s">
        <v>256</v>
      </c>
      <c r="O643" s="633">
        <v>2</v>
      </c>
      <c r="P643" s="633">
        <v>7</v>
      </c>
      <c r="Q643" s="633">
        <v>0</v>
      </c>
      <c r="T643" s="594">
        <v>41736.707546296297</v>
      </c>
    </row>
    <row r="644" spans="1:20" x14ac:dyDescent="0.25">
      <c r="A644" s="633" t="s">
        <v>308</v>
      </c>
      <c r="B644" s="633">
        <v>13</v>
      </c>
      <c r="C644" s="633" t="s">
        <v>323</v>
      </c>
      <c r="D644" s="633" t="s">
        <v>324</v>
      </c>
      <c r="F644" s="633" t="s">
        <v>325</v>
      </c>
      <c r="G644" s="633" t="s">
        <v>584</v>
      </c>
      <c r="H644" s="633" t="s">
        <v>359</v>
      </c>
      <c r="J644" s="633" t="s">
        <v>327</v>
      </c>
      <c r="K644" s="633" t="s">
        <v>261</v>
      </c>
      <c r="L644" s="633" t="s">
        <v>309</v>
      </c>
      <c r="M644" s="633" t="s">
        <v>471</v>
      </c>
      <c r="N644" s="633" t="s">
        <v>256</v>
      </c>
      <c r="O644" s="633">
        <v>3</v>
      </c>
      <c r="P644" s="633">
        <v>1</v>
      </c>
      <c r="Q644" s="633">
        <v>0</v>
      </c>
      <c r="T644" s="594">
        <v>41736.707546296297</v>
      </c>
    </row>
    <row r="645" spans="1:20" x14ac:dyDescent="0.25">
      <c r="A645" s="633" t="s">
        <v>308</v>
      </c>
      <c r="B645" s="633">
        <v>13</v>
      </c>
      <c r="C645" s="633" t="s">
        <v>323</v>
      </c>
      <c r="D645" s="633" t="s">
        <v>324</v>
      </c>
      <c r="F645" s="633" t="s">
        <v>325</v>
      </c>
      <c r="G645" s="633" t="s">
        <v>584</v>
      </c>
      <c r="H645" s="633" t="s">
        <v>329</v>
      </c>
      <c r="J645" s="633" t="s">
        <v>327</v>
      </c>
      <c r="K645" s="633" t="s">
        <v>261</v>
      </c>
      <c r="L645" s="633" t="s">
        <v>309</v>
      </c>
      <c r="M645" s="633" t="s">
        <v>471</v>
      </c>
      <c r="N645" s="633" t="s">
        <v>256</v>
      </c>
      <c r="O645" s="633">
        <v>4</v>
      </c>
      <c r="Q645" s="633">
        <v>3</v>
      </c>
      <c r="T645" s="594">
        <v>41736.707546296297</v>
      </c>
    </row>
    <row r="646" spans="1:20" x14ac:dyDescent="0.25">
      <c r="A646" s="633" t="s">
        <v>308</v>
      </c>
      <c r="B646" s="633">
        <v>13</v>
      </c>
      <c r="C646" s="633" t="s">
        <v>323</v>
      </c>
      <c r="D646" s="633" t="s">
        <v>324</v>
      </c>
      <c r="F646" s="633" t="s">
        <v>325</v>
      </c>
      <c r="G646" s="633" t="s">
        <v>584</v>
      </c>
      <c r="H646" s="633" t="s">
        <v>352</v>
      </c>
      <c r="J646" s="633" t="s">
        <v>327</v>
      </c>
      <c r="K646" s="633" t="s">
        <v>261</v>
      </c>
      <c r="L646" s="633" t="s">
        <v>309</v>
      </c>
      <c r="M646" s="633" t="s">
        <v>471</v>
      </c>
      <c r="N646" s="633" t="s">
        <v>256</v>
      </c>
      <c r="O646" s="633">
        <v>4</v>
      </c>
      <c r="P646" s="633">
        <v>1</v>
      </c>
      <c r="Q646" s="633">
        <v>0</v>
      </c>
      <c r="T646" s="594">
        <v>41736.707546296297</v>
      </c>
    </row>
    <row r="647" spans="1:20" x14ac:dyDescent="0.25">
      <c r="A647" s="633" t="s">
        <v>308</v>
      </c>
      <c r="B647" s="633">
        <v>13</v>
      </c>
      <c r="C647" s="633" t="s">
        <v>323</v>
      </c>
      <c r="D647" s="633" t="s">
        <v>324</v>
      </c>
      <c r="F647" s="633" t="s">
        <v>325</v>
      </c>
      <c r="G647" s="633" t="s">
        <v>584</v>
      </c>
      <c r="H647" s="633" t="s">
        <v>353</v>
      </c>
      <c r="J647" s="633" t="s">
        <v>327</v>
      </c>
      <c r="K647" s="633" t="s">
        <v>261</v>
      </c>
      <c r="L647" s="633" t="s">
        <v>309</v>
      </c>
      <c r="M647" s="633" t="s">
        <v>471</v>
      </c>
      <c r="N647" s="633" t="s">
        <v>256</v>
      </c>
      <c r="O647" s="633">
        <v>4</v>
      </c>
      <c r="P647" s="633">
        <v>7</v>
      </c>
      <c r="Q647" s="633">
        <v>0</v>
      </c>
      <c r="T647" s="594">
        <v>41736.707546296297</v>
      </c>
    </row>
    <row r="648" spans="1:20" x14ac:dyDescent="0.25">
      <c r="A648" s="633" t="s">
        <v>308</v>
      </c>
      <c r="B648" s="633">
        <v>13</v>
      </c>
      <c r="C648" s="633" t="s">
        <v>323</v>
      </c>
      <c r="D648" s="633" t="s">
        <v>324</v>
      </c>
      <c r="F648" s="633" t="s">
        <v>325</v>
      </c>
      <c r="G648" s="633" t="s">
        <v>584</v>
      </c>
      <c r="H648" s="633" t="s">
        <v>326</v>
      </c>
      <c r="J648" s="633" t="s">
        <v>327</v>
      </c>
      <c r="K648" s="633" t="s">
        <v>261</v>
      </c>
      <c r="L648" s="633" t="s">
        <v>309</v>
      </c>
      <c r="M648" s="633" t="s">
        <v>471</v>
      </c>
      <c r="N648" s="633" t="s">
        <v>256</v>
      </c>
      <c r="O648" s="633">
        <v>2</v>
      </c>
      <c r="Q648" s="633">
        <v>5</v>
      </c>
      <c r="T648" s="594">
        <v>41736.707546296297</v>
      </c>
    </row>
    <row r="649" spans="1:20" x14ac:dyDescent="0.25">
      <c r="A649" s="633" t="s">
        <v>308</v>
      </c>
      <c r="B649" s="633">
        <v>13</v>
      </c>
      <c r="C649" s="633" t="s">
        <v>323</v>
      </c>
      <c r="D649" s="633" t="s">
        <v>324</v>
      </c>
      <c r="F649" s="633" t="s">
        <v>325</v>
      </c>
      <c r="G649" s="633" t="s">
        <v>584</v>
      </c>
      <c r="H649" s="633" t="s">
        <v>360</v>
      </c>
      <c r="J649" s="633" t="s">
        <v>327</v>
      </c>
      <c r="K649" s="633" t="s">
        <v>261</v>
      </c>
      <c r="L649" s="633" t="s">
        <v>309</v>
      </c>
      <c r="M649" s="633" t="s">
        <v>471</v>
      </c>
      <c r="N649" s="633" t="s">
        <v>256</v>
      </c>
      <c r="O649" s="633">
        <v>3</v>
      </c>
      <c r="P649" s="633">
        <v>7</v>
      </c>
      <c r="Q649" s="633">
        <v>0</v>
      </c>
      <c r="T649" s="594">
        <v>41736.707546296297</v>
      </c>
    </row>
    <row r="650" spans="1:20" x14ac:dyDescent="0.25">
      <c r="A650" s="633" t="s">
        <v>308</v>
      </c>
      <c r="B650" s="633">
        <v>13</v>
      </c>
      <c r="C650" s="633" t="s">
        <v>323</v>
      </c>
      <c r="D650" s="633" t="s">
        <v>324</v>
      </c>
      <c r="F650" s="633" t="s">
        <v>325</v>
      </c>
      <c r="G650" s="633" t="s">
        <v>584</v>
      </c>
      <c r="H650" s="633" t="s">
        <v>365</v>
      </c>
      <c r="J650" s="633" t="s">
        <v>327</v>
      </c>
      <c r="K650" s="633" t="s">
        <v>261</v>
      </c>
      <c r="L650" s="633" t="s">
        <v>309</v>
      </c>
      <c r="M650" s="633" t="s">
        <v>471</v>
      </c>
      <c r="N650" s="633" t="s">
        <v>256</v>
      </c>
      <c r="P650" s="633">
        <v>3</v>
      </c>
      <c r="Q650" s="633">
        <v>0</v>
      </c>
      <c r="T650" s="594">
        <v>41736.707546296297</v>
      </c>
    </row>
    <row r="651" spans="1:20" x14ac:dyDescent="0.25">
      <c r="A651" s="633" t="s">
        <v>308</v>
      </c>
      <c r="B651" s="633">
        <v>13</v>
      </c>
      <c r="C651" s="633" t="s">
        <v>323</v>
      </c>
      <c r="D651" s="633" t="s">
        <v>324</v>
      </c>
      <c r="F651" s="633" t="s">
        <v>325</v>
      </c>
      <c r="G651" s="633" t="s">
        <v>584</v>
      </c>
      <c r="H651" s="633" t="s">
        <v>332</v>
      </c>
      <c r="J651" s="633" t="s">
        <v>327</v>
      </c>
      <c r="K651" s="633" t="s">
        <v>261</v>
      </c>
      <c r="L651" s="633" t="s">
        <v>309</v>
      </c>
      <c r="M651" s="633" t="s">
        <v>471</v>
      </c>
      <c r="N651" s="633" t="s">
        <v>256</v>
      </c>
      <c r="O651" s="633">
        <v>1</v>
      </c>
      <c r="Q651" s="633">
        <v>6</v>
      </c>
      <c r="T651" s="594">
        <v>41736.707546296297</v>
      </c>
    </row>
    <row r="652" spans="1:20" x14ac:dyDescent="0.25">
      <c r="A652" s="633" t="s">
        <v>308</v>
      </c>
      <c r="B652" s="633">
        <v>13</v>
      </c>
      <c r="C652" s="633" t="s">
        <v>323</v>
      </c>
      <c r="D652" s="633" t="s">
        <v>324</v>
      </c>
      <c r="F652" s="633" t="s">
        <v>325</v>
      </c>
      <c r="G652" s="633" t="s">
        <v>584</v>
      </c>
      <c r="H652" s="633" t="s">
        <v>333</v>
      </c>
      <c r="J652" s="633" t="s">
        <v>327</v>
      </c>
      <c r="K652" s="633" t="s">
        <v>261</v>
      </c>
      <c r="L652" s="633" t="s">
        <v>309</v>
      </c>
      <c r="M652" s="633" t="s">
        <v>471</v>
      </c>
      <c r="N652" s="633" t="s">
        <v>256</v>
      </c>
      <c r="O652" s="633">
        <v>6</v>
      </c>
      <c r="Q652" s="633">
        <v>0</v>
      </c>
      <c r="T652" s="594">
        <v>41736.707546296297</v>
      </c>
    </row>
    <row r="653" spans="1:20" x14ac:dyDescent="0.25">
      <c r="A653" s="633" t="s">
        <v>308</v>
      </c>
      <c r="B653" s="633">
        <v>13</v>
      </c>
      <c r="C653" s="633" t="s">
        <v>323</v>
      </c>
      <c r="D653" s="633" t="s">
        <v>324</v>
      </c>
      <c r="F653" s="633" t="s">
        <v>325</v>
      </c>
      <c r="G653" s="633" t="s">
        <v>584</v>
      </c>
      <c r="H653" s="633" t="s">
        <v>347</v>
      </c>
      <c r="J653" s="633" t="s">
        <v>327</v>
      </c>
      <c r="K653" s="633" t="s">
        <v>261</v>
      </c>
      <c r="L653" s="633" t="s">
        <v>309</v>
      </c>
      <c r="M653" s="633" t="s">
        <v>471</v>
      </c>
      <c r="N653" s="633" t="s">
        <v>256</v>
      </c>
      <c r="O653" s="633">
        <v>5</v>
      </c>
      <c r="P653" s="633">
        <v>6</v>
      </c>
      <c r="Q653" s="633">
        <v>0</v>
      </c>
      <c r="T653" s="594">
        <v>41736.707546296297</v>
      </c>
    </row>
    <row r="654" spans="1:20" x14ac:dyDescent="0.25">
      <c r="A654" s="633" t="s">
        <v>308</v>
      </c>
      <c r="B654" s="633">
        <v>13</v>
      </c>
      <c r="C654" s="633" t="s">
        <v>323</v>
      </c>
      <c r="D654" s="633" t="s">
        <v>324</v>
      </c>
      <c r="F654" s="633" t="s">
        <v>325</v>
      </c>
      <c r="G654" s="633" t="s">
        <v>584</v>
      </c>
      <c r="H654" s="633" t="s">
        <v>336</v>
      </c>
      <c r="J654" s="633" t="s">
        <v>327</v>
      </c>
      <c r="K654" s="633" t="s">
        <v>261</v>
      </c>
      <c r="L654" s="633" t="s">
        <v>309</v>
      </c>
      <c r="M654" s="633" t="s">
        <v>471</v>
      </c>
      <c r="N654" s="633" t="s">
        <v>256</v>
      </c>
      <c r="O654" s="633">
        <v>2</v>
      </c>
      <c r="P654" s="633">
        <v>4</v>
      </c>
      <c r="Q654" s="633">
        <v>7</v>
      </c>
      <c r="T654" s="594">
        <v>41736.707546296297</v>
      </c>
    </row>
    <row r="655" spans="1:20" x14ac:dyDescent="0.25">
      <c r="A655" s="633" t="s">
        <v>308</v>
      </c>
      <c r="B655" s="633">
        <v>13</v>
      </c>
      <c r="C655" s="633" t="s">
        <v>323</v>
      </c>
      <c r="D655" s="633" t="s">
        <v>324</v>
      </c>
      <c r="F655" s="633" t="s">
        <v>325</v>
      </c>
      <c r="G655" s="633" t="s">
        <v>584</v>
      </c>
      <c r="H655" s="633" t="s">
        <v>368</v>
      </c>
      <c r="J655" s="633" t="s">
        <v>327</v>
      </c>
      <c r="K655" s="633" t="s">
        <v>261</v>
      </c>
      <c r="L655" s="633" t="s">
        <v>309</v>
      </c>
      <c r="M655" s="633" t="s">
        <v>471</v>
      </c>
      <c r="N655" s="633" t="s">
        <v>256</v>
      </c>
      <c r="P655" s="633">
        <v>6</v>
      </c>
      <c r="Q655" s="633">
        <v>0</v>
      </c>
      <c r="T655" s="594">
        <v>41736.707546296297</v>
      </c>
    </row>
    <row r="656" spans="1:20" x14ac:dyDescent="0.25">
      <c r="A656" s="633" t="s">
        <v>308</v>
      </c>
      <c r="B656" s="633">
        <v>13</v>
      </c>
      <c r="C656" s="633" t="s">
        <v>323</v>
      </c>
      <c r="D656" s="633" t="s">
        <v>324</v>
      </c>
      <c r="F656" s="633" t="s">
        <v>325</v>
      </c>
      <c r="G656" s="633" t="s">
        <v>584</v>
      </c>
      <c r="H656" s="633" t="s">
        <v>380</v>
      </c>
      <c r="J656" s="633" t="s">
        <v>327</v>
      </c>
      <c r="K656" s="633" t="s">
        <v>261</v>
      </c>
      <c r="L656" s="633" t="s">
        <v>309</v>
      </c>
      <c r="M656" s="633" t="s">
        <v>471</v>
      </c>
      <c r="N656" s="633" t="s">
        <v>256</v>
      </c>
      <c r="O656" s="633">
        <v>6</v>
      </c>
      <c r="P656" s="633">
        <v>1</v>
      </c>
      <c r="Q656" s="633">
        <v>0</v>
      </c>
      <c r="T656" s="594">
        <v>41736.707546296297</v>
      </c>
    </row>
    <row r="657" spans="1:20" x14ac:dyDescent="0.25">
      <c r="A657" s="633" t="s">
        <v>308</v>
      </c>
      <c r="B657" s="633">
        <v>13</v>
      </c>
      <c r="C657" s="633" t="s">
        <v>323</v>
      </c>
      <c r="D657" s="633" t="s">
        <v>324</v>
      </c>
      <c r="F657" s="633" t="s">
        <v>325</v>
      </c>
      <c r="G657" s="633" t="s">
        <v>584</v>
      </c>
      <c r="H657" s="633" t="s">
        <v>379</v>
      </c>
      <c r="J657" s="633" t="s">
        <v>327</v>
      </c>
      <c r="K657" s="633" t="s">
        <v>261</v>
      </c>
      <c r="L657" s="633" t="s">
        <v>309</v>
      </c>
      <c r="M657" s="633" t="s">
        <v>471</v>
      </c>
      <c r="N657" s="633" t="s">
        <v>256</v>
      </c>
      <c r="O657" s="633">
        <v>6</v>
      </c>
      <c r="P657" s="633">
        <v>3</v>
      </c>
      <c r="Q657" s="633">
        <v>0</v>
      </c>
      <c r="T657" s="594">
        <v>41736.707546296297</v>
      </c>
    </row>
    <row r="658" spans="1:20" x14ac:dyDescent="0.25">
      <c r="A658" s="633" t="s">
        <v>308</v>
      </c>
      <c r="B658" s="633">
        <v>13</v>
      </c>
      <c r="C658" s="633" t="s">
        <v>323</v>
      </c>
      <c r="D658" s="633" t="s">
        <v>324</v>
      </c>
      <c r="F658" s="633" t="s">
        <v>325</v>
      </c>
      <c r="G658" s="633" t="s">
        <v>584</v>
      </c>
      <c r="H658" s="633" t="s">
        <v>348</v>
      </c>
      <c r="J658" s="633" t="s">
        <v>327</v>
      </c>
      <c r="K658" s="633" t="s">
        <v>261</v>
      </c>
      <c r="L658" s="633" t="s">
        <v>309</v>
      </c>
      <c r="M658" s="633" t="s">
        <v>471</v>
      </c>
      <c r="N658" s="633" t="s">
        <v>256</v>
      </c>
      <c r="O658" s="633">
        <v>4</v>
      </c>
      <c r="P658" s="633">
        <v>2</v>
      </c>
      <c r="Q658" s="633">
        <v>0</v>
      </c>
      <c r="T658" s="594">
        <v>41736.707546296297</v>
      </c>
    </row>
    <row r="659" spans="1:20" x14ac:dyDescent="0.25">
      <c r="A659" s="633" t="s">
        <v>308</v>
      </c>
      <c r="B659" s="633">
        <v>13</v>
      </c>
      <c r="C659" s="633" t="s">
        <v>323</v>
      </c>
      <c r="D659" s="633" t="s">
        <v>324</v>
      </c>
      <c r="F659" s="633" t="s">
        <v>325</v>
      </c>
      <c r="G659" s="633" t="s">
        <v>584</v>
      </c>
      <c r="H659" s="633" t="s">
        <v>371</v>
      </c>
      <c r="J659" s="633" t="s">
        <v>327</v>
      </c>
      <c r="K659" s="633" t="s">
        <v>261</v>
      </c>
      <c r="L659" s="633" t="s">
        <v>309</v>
      </c>
      <c r="M659" s="633" t="s">
        <v>471</v>
      </c>
      <c r="N659" s="633" t="s">
        <v>256</v>
      </c>
      <c r="O659" s="633">
        <v>1</v>
      </c>
      <c r="P659" s="633">
        <v>4</v>
      </c>
      <c r="Q659" s="633">
        <v>18</v>
      </c>
      <c r="T659" s="594">
        <v>41736.707546296297</v>
      </c>
    </row>
    <row r="660" spans="1:20" x14ac:dyDescent="0.25">
      <c r="A660" s="633" t="s">
        <v>308</v>
      </c>
      <c r="B660" s="633">
        <v>13</v>
      </c>
      <c r="C660" s="633" t="s">
        <v>323</v>
      </c>
      <c r="D660" s="633" t="s">
        <v>324</v>
      </c>
      <c r="F660" s="633" t="s">
        <v>325</v>
      </c>
      <c r="G660" s="633" t="s">
        <v>584</v>
      </c>
      <c r="H660" s="633" t="s">
        <v>382</v>
      </c>
      <c r="J660" s="633" t="s">
        <v>327</v>
      </c>
      <c r="K660" s="633" t="s">
        <v>261</v>
      </c>
      <c r="L660" s="633" t="s">
        <v>309</v>
      </c>
      <c r="M660" s="633" t="s">
        <v>471</v>
      </c>
      <c r="N660" s="633" t="s">
        <v>256</v>
      </c>
      <c r="O660" s="633">
        <v>6</v>
      </c>
      <c r="P660" s="633">
        <v>6</v>
      </c>
      <c r="Q660" s="633">
        <v>4</v>
      </c>
      <c r="T660" s="594">
        <v>41736.707546296297</v>
      </c>
    </row>
    <row r="661" spans="1:20" x14ac:dyDescent="0.25">
      <c r="A661" s="633" t="s">
        <v>308</v>
      </c>
      <c r="B661" s="633">
        <v>13</v>
      </c>
      <c r="C661" s="633" t="s">
        <v>323</v>
      </c>
      <c r="D661" s="633" t="s">
        <v>324</v>
      </c>
      <c r="F661" s="633" t="s">
        <v>325</v>
      </c>
      <c r="G661" s="633" t="s">
        <v>584</v>
      </c>
      <c r="H661" s="633" t="s">
        <v>363</v>
      </c>
      <c r="J661" s="633" t="s">
        <v>327</v>
      </c>
      <c r="K661" s="633" t="s">
        <v>261</v>
      </c>
      <c r="L661" s="633" t="s">
        <v>309</v>
      </c>
      <c r="M661" s="633" t="s">
        <v>471</v>
      </c>
      <c r="N661" s="633" t="s">
        <v>256</v>
      </c>
      <c r="P661" s="633">
        <v>5</v>
      </c>
      <c r="Q661" s="633">
        <v>0</v>
      </c>
      <c r="T661" s="594">
        <v>41736.707546296297</v>
      </c>
    </row>
    <row r="662" spans="1:20" x14ac:dyDescent="0.25">
      <c r="A662" s="633" t="s">
        <v>308</v>
      </c>
      <c r="B662" s="633">
        <v>13</v>
      </c>
      <c r="C662" s="633" t="s">
        <v>323</v>
      </c>
      <c r="D662" s="633" t="s">
        <v>324</v>
      </c>
      <c r="F662" s="633" t="s">
        <v>325</v>
      </c>
      <c r="G662" s="633" t="s">
        <v>584</v>
      </c>
      <c r="H662" s="633" t="s">
        <v>334</v>
      </c>
      <c r="J662" s="633" t="s">
        <v>327</v>
      </c>
      <c r="K662" s="633" t="s">
        <v>261</v>
      </c>
      <c r="L662" s="633" t="s">
        <v>309</v>
      </c>
      <c r="M662" s="633" t="s">
        <v>471</v>
      </c>
      <c r="N662" s="633" t="s">
        <v>256</v>
      </c>
      <c r="O662" s="633">
        <v>2</v>
      </c>
      <c r="P662" s="633">
        <v>2</v>
      </c>
      <c r="Q662" s="633">
        <v>1</v>
      </c>
      <c r="T662" s="594">
        <v>41736.707546296297</v>
      </c>
    </row>
    <row r="663" spans="1:20" x14ac:dyDescent="0.25">
      <c r="A663" s="633" t="s">
        <v>308</v>
      </c>
      <c r="B663" s="633">
        <v>13</v>
      </c>
      <c r="C663" s="633" t="s">
        <v>323</v>
      </c>
      <c r="D663" s="633" t="s">
        <v>324</v>
      </c>
      <c r="F663" s="633" t="s">
        <v>325</v>
      </c>
      <c r="G663" s="633" t="s">
        <v>584</v>
      </c>
      <c r="H663" s="633" t="s">
        <v>375</v>
      </c>
      <c r="J663" s="633" t="s">
        <v>327</v>
      </c>
      <c r="K663" s="633" t="s">
        <v>261</v>
      </c>
      <c r="L663" s="633" t="s">
        <v>309</v>
      </c>
      <c r="M663" s="633" t="s">
        <v>471</v>
      </c>
      <c r="N663" s="633" t="s">
        <v>256</v>
      </c>
      <c r="O663" s="633">
        <v>1</v>
      </c>
      <c r="P663" s="633">
        <v>6</v>
      </c>
      <c r="Q663" s="633">
        <v>1</v>
      </c>
      <c r="T663" s="594">
        <v>41736.707546296297</v>
      </c>
    </row>
    <row r="664" spans="1:20" x14ac:dyDescent="0.25">
      <c r="A664" s="633" t="s">
        <v>308</v>
      </c>
      <c r="B664" s="633">
        <v>13</v>
      </c>
      <c r="C664" s="633" t="s">
        <v>323</v>
      </c>
      <c r="D664" s="633" t="s">
        <v>324</v>
      </c>
      <c r="F664" s="633" t="s">
        <v>325</v>
      </c>
      <c r="G664" s="633" t="s">
        <v>584</v>
      </c>
      <c r="H664" s="633" t="s">
        <v>354</v>
      </c>
      <c r="J664" s="633" t="s">
        <v>327</v>
      </c>
      <c r="K664" s="633" t="s">
        <v>261</v>
      </c>
      <c r="L664" s="633" t="s">
        <v>309</v>
      </c>
      <c r="M664" s="633" t="s">
        <v>471</v>
      </c>
      <c r="N664" s="633" t="s">
        <v>256</v>
      </c>
      <c r="O664" s="633">
        <v>4</v>
      </c>
      <c r="P664" s="633">
        <v>6</v>
      </c>
      <c r="Q664" s="633">
        <v>26</v>
      </c>
      <c r="T664" s="594">
        <v>41736.707546296297</v>
      </c>
    </row>
    <row r="665" spans="1:20" x14ac:dyDescent="0.25">
      <c r="A665" s="633" t="s">
        <v>308</v>
      </c>
      <c r="B665" s="633">
        <v>13</v>
      </c>
      <c r="C665" s="633" t="s">
        <v>323</v>
      </c>
      <c r="D665" s="633" t="s">
        <v>324</v>
      </c>
      <c r="F665" s="633" t="s">
        <v>325</v>
      </c>
      <c r="G665" s="633" t="s">
        <v>584</v>
      </c>
      <c r="H665" s="633" t="s">
        <v>340</v>
      </c>
      <c r="J665" s="633" t="s">
        <v>327</v>
      </c>
      <c r="K665" s="633" t="s">
        <v>261</v>
      </c>
      <c r="L665" s="633" t="s">
        <v>309</v>
      </c>
      <c r="M665" s="633" t="s">
        <v>471</v>
      </c>
      <c r="N665" s="633" t="s">
        <v>256</v>
      </c>
      <c r="O665" s="633">
        <v>2</v>
      </c>
      <c r="P665" s="633">
        <v>6</v>
      </c>
      <c r="Q665" s="633">
        <v>0</v>
      </c>
      <c r="T665" s="594">
        <v>41736.707546296297</v>
      </c>
    </row>
    <row r="666" spans="1:20" x14ac:dyDescent="0.25">
      <c r="A666" s="633" t="s">
        <v>308</v>
      </c>
      <c r="B666" s="633">
        <v>13</v>
      </c>
      <c r="C666" s="633" t="s">
        <v>323</v>
      </c>
      <c r="D666" s="633" t="s">
        <v>324</v>
      </c>
      <c r="F666" s="633" t="s">
        <v>325</v>
      </c>
      <c r="G666" s="633" t="s">
        <v>584</v>
      </c>
      <c r="H666" s="633" t="s">
        <v>366</v>
      </c>
      <c r="J666" s="633" t="s">
        <v>327</v>
      </c>
      <c r="K666" s="633" t="s">
        <v>261</v>
      </c>
      <c r="L666" s="633" t="s">
        <v>309</v>
      </c>
      <c r="M666" s="633" t="s">
        <v>471</v>
      </c>
      <c r="N666" s="633" t="s">
        <v>256</v>
      </c>
      <c r="P666" s="633">
        <v>1</v>
      </c>
      <c r="Q666" s="633">
        <v>0</v>
      </c>
      <c r="T666" s="594">
        <v>41736.707546296297</v>
      </c>
    </row>
    <row r="667" spans="1:20" x14ac:dyDescent="0.25">
      <c r="A667" s="633" t="s">
        <v>308</v>
      </c>
      <c r="B667" s="633">
        <v>13</v>
      </c>
      <c r="C667" s="633" t="s">
        <v>323</v>
      </c>
      <c r="D667" s="633" t="s">
        <v>324</v>
      </c>
      <c r="F667" s="633" t="s">
        <v>325</v>
      </c>
      <c r="G667" s="633" t="s">
        <v>584</v>
      </c>
      <c r="H667" s="633" t="s">
        <v>370</v>
      </c>
      <c r="J667" s="633" t="s">
        <v>327</v>
      </c>
      <c r="K667" s="633" t="s">
        <v>261</v>
      </c>
      <c r="L667" s="633" t="s">
        <v>309</v>
      </c>
      <c r="M667" s="633" t="s">
        <v>471</v>
      </c>
      <c r="N667" s="633" t="s">
        <v>256</v>
      </c>
      <c r="O667" s="633">
        <v>1</v>
      </c>
      <c r="P667" s="633">
        <v>5</v>
      </c>
      <c r="Q667" s="633">
        <v>0</v>
      </c>
      <c r="T667" s="594">
        <v>41736.707546296297</v>
      </c>
    </row>
    <row r="668" spans="1:20" x14ac:dyDescent="0.25">
      <c r="A668" s="633" t="s">
        <v>308</v>
      </c>
      <c r="B668" s="633">
        <v>13</v>
      </c>
      <c r="C668" s="633" t="s">
        <v>323</v>
      </c>
      <c r="D668" s="633" t="s">
        <v>324</v>
      </c>
      <c r="F668" s="633" t="s">
        <v>325</v>
      </c>
      <c r="G668" s="633" t="s">
        <v>584</v>
      </c>
      <c r="H668" s="633" t="s">
        <v>349</v>
      </c>
      <c r="J668" s="633" t="s">
        <v>327</v>
      </c>
      <c r="K668" s="633" t="s">
        <v>261</v>
      </c>
      <c r="L668" s="633" t="s">
        <v>309</v>
      </c>
      <c r="M668" s="633" t="s">
        <v>471</v>
      </c>
      <c r="N668" s="633" t="s">
        <v>256</v>
      </c>
      <c r="O668" s="633">
        <v>4</v>
      </c>
      <c r="P668" s="633">
        <v>5</v>
      </c>
      <c r="Q668" s="633">
        <v>0</v>
      </c>
      <c r="T668" s="594">
        <v>41736.707546296297</v>
      </c>
    </row>
    <row r="669" spans="1:20" x14ac:dyDescent="0.25">
      <c r="A669" s="633" t="s">
        <v>308</v>
      </c>
      <c r="B669" s="633">
        <v>13</v>
      </c>
      <c r="C669" s="633" t="s">
        <v>323</v>
      </c>
      <c r="D669" s="633" t="s">
        <v>324</v>
      </c>
      <c r="F669" s="633" t="s">
        <v>325</v>
      </c>
      <c r="G669" s="633" t="s">
        <v>584</v>
      </c>
      <c r="H669" s="633" t="s">
        <v>377</v>
      </c>
      <c r="J669" s="633" t="s">
        <v>327</v>
      </c>
      <c r="K669" s="633" t="s">
        <v>261</v>
      </c>
      <c r="L669" s="633" t="s">
        <v>309</v>
      </c>
      <c r="M669" s="633" t="s">
        <v>471</v>
      </c>
      <c r="N669" s="633" t="s">
        <v>256</v>
      </c>
      <c r="O669" s="633">
        <v>6</v>
      </c>
      <c r="P669" s="633">
        <v>5</v>
      </c>
      <c r="Q669" s="633">
        <v>1</v>
      </c>
      <c r="T669" s="594">
        <v>41736.707546296297</v>
      </c>
    </row>
    <row r="670" spans="1:20" x14ac:dyDescent="0.25">
      <c r="A670" s="633" t="s">
        <v>308</v>
      </c>
      <c r="B670" s="633">
        <v>13</v>
      </c>
      <c r="C670" s="633" t="s">
        <v>323</v>
      </c>
      <c r="D670" s="633" t="s">
        <v>324</v>
      </c>
      <c r="F670" s="633" t="s">
        <v>325</v>
      </c>
      <c r="G670" s="633" t="s">
        <v>584</v>
      </c>
      <c r="H670" s="633" t="s">
        <v>378</v>
      </c>
      <c r="J670" s="633" t="s">
        <v>327</v>
      </c>
      <c r="K670" s="633" t="s">
        <v>261</v>
      </c>
      <c r="L670" s="633" t="s">
        <v>309</v>
      </c>
      <c r="M670" s="633" t="s">
        <v>471</v>
      </c>
      <c r="N670" s="633" t="s">
        <v>256</v>
      </c>
      <c r="O670" s="633">
        <v>6</v>
      </c>
      <c r="P670" s="633">
        <v>4</v>
      </c>
      <c r="Q670" s="633">
        <v>2</v>
      </c>
      <c r="T670" s="594">
        <v>41736.707546296297</v>
      </c>
    </row>
    <row r="671" spans="1:20" x14ac:dyDescent="0.25">
      <c r="A671" s="633" t="s">
        <v>308</v>
      </c>
      <c r="B671" s="633">
        <v>13</v>
      </c>
      <c r="C671" s="633" t="s">
        <v>323</v>
      </c>
      <c r="D671" s="633" t="s">
        <v>324</v>
      </c>
      <c r="F671" s="633" t="s">
        <v>325</v>
      </c>
      <c r="G671" s="633" t="s">
        <v>584</v>
      </c>
      <c r="H671" s="633" t="s">
        <v>356</v>
      </c>
      <c r="J671" s="633" t="s">
        <v>327</v>
      </c>
      <c r="K671" s="633" t="s">
        <v>261</v>
      </c>
      <c r="L671" s="633" t="s">
        <v>309</v>
      </c>
      <c r="M671" s="633" t="s">
        <v>471</v>
      </c>
      <c r="N671" s="633" t="s">
        <v>256</v>
      </c>
      <c r="O671" s="633">
        <v>3</v>
      </c>
      <c r="P671" s="633">
        <v>5</v>
      </c>
      <c r="Q671" s="633">
        <v>0</v>
      </c>
      <c r="T671" s="594">
        <v>41736.707546296297</v>
      </c>
    </row>
    <row r="672" spans="1:20" x14ac:dyDescent="0.25">
      <c r="A672" s="633" t="s">
        <v>308</v>
      </c>
      <c r="B672" s="633">
        <v>13</v>
      </c>
      <c r="C672" s="633" t="s">
        <v>323</v>
      </c>
      <c r="D672" s="633" t="s">
        <v>324</v>
      </c>
      <c r="F672" s="633" t="s">
        <v>325</v>
      </c>
      <c r="G672" s="633" t="s">
        <v>584</v>
      </c>
      <c r="H672" s="633" t="s">
        <v>337</v>
      </c>
      <c r="J672" s="633" t="s">
        <v>327</v>
      </c>
      <c r="K672" s="633" t="s">
        <v>261</v>
      </c>
      <c r="L672" s="633" t="s">
        <v>309</v>
      </c>
      <c r="M672" s="633" t="s">
        <v>471</v>
      </c>
      <c r="N672" s="633" t="s">
        <v>256</v>
      </c>
      <c r="O672" s="633">
        <v>2</v>
      </c>
      <c r="P672" s="633">
        <v>3</v>
      </c>
      <c r="Q672" s="633">
        <v>0</v>
      </c>
      <c r="T672" s="594">
        <v>41736.707546296297</v>
      </c>
    </row>
    <row r="673" spans="1:20" x14ac:dyDescent="0.25">
      <c r="A673" s="633" t="s">
        <v>308</v>
      </c>
      <c r="B673" s="633">
        <v>13</v>
      </c>
      <c r="C673" s="633" t="s">
        <v>323</v>
      </c>
      <c r="D673" s="633" t="s">
        <v>324</v>
      </c>
      <c r="F673" s="633" t="s">
        <v>325</v>
      </c>
      <c r="G673" s="633" t="s">
        <v>584</v>
      </c>
      <c r="H673" s="633" t="s">
        <v>344</v>
      </c>
      <c r="J673" s="633" t="s">
        <v>327</v>
      </c>
      <c r="K673" s="633" t="s">
        <v>261</v>
      </c>
      <c r="L673" s="633" t="s">
        <v>309</v>
      </c>
      <c r="M673" s="633" t="s">
        <v>471</v>
      </c>
      <c r="N673" s="633" t="s">
        <v>256</v>
      </c>
      <c r="O673" s="633">
        <v>5</v>
      </c>
      <c r="P673" s="633">
        <v>3</v>
      </c>
      <c r="Q673" s="633">
        <v>0</v>
      </c>
      <c r="T673" s="594">
        <v>41736.707546296297</v>
      </c>
    </row>
    <row r="674" spans="1:20" x14ac:dyDescent="0.25">
      <c r="A674" s="633" t="s">
        <v>308</v>
      </c>
      <c r="B674" s="633">
        <v>13</v>
      </c>
      <c r="C674" s="633" t="s">
        <v>323</v>
      </c>
      <c r="D674" s="633" t="s">
        <v>324</v>
      </c>
      <c r="F674" s="633" t="s">
        <v>325</v>
      </c>
      <c r="G674" s="633" t="s">
        <v>584</v>
      </c>
      <c r="H674" s="633" t="s">
        <v>335</v>
      </c>
      <c r="J674" s="633" t="s">
        <v>327</v>
      </c>
      <c r="K674" s="633" t="s">
        <v>261</v>
      </c>
      <c r="L674" s="633" t="s">
        <v>309</v>
      </c>
      <c r="M674" s="633" t="s">
        <v>471</v>
      </c>
      <c r="N674" s="633" t="s">
        <v>256</v>
      </c>
      <c r="O674" s="633">
        <v>2</v>
      </c>
      <c r="P674" s="633">
        <v>5</v>
      </c>
      <c r="Q674" s="633">
        <v>1</v>
      </c>
      <c r="T674" s="594">
        <v>41736.707546296297</v>
      </c>
    </row>
    <row r="675" spans="1:20" x14ac:dyDescent="0.25">
      <c r="A675" s="633" t="s">
        <v>308</v>
      </c>
      <c r="B675" s="633">
        <v>13</v>
      </c>
      <c r="C675" s="633" t="s">
        <v>323</v>
      </c>
      <c r="D675" s="633" t="s">
        <v>324</v>
      </c>
      <c r="F675" s="633" t="s">
        <v>325</v>
      </c>
      <c r="G675" s="633" t="s">
        <v>584</v>
      </c>
      <c r="H675" s="633" t="s">
        <v>361</v>
      </c>
      <c r="J675" s="633" t="s">
        <v>327</v>
      </c>
      <c r="K675" s="633" t="s">
        <v>261</v>
      </c>
      <c r="L675" s="633" t="s">
        <v>309</v>
      </c>
      <c r="M675" s="633" t="s">
        <v>471</v>
      </c>
      <c r="N675" s="633" t="s">
        <v>256</v>
      </c>
      <c r="O675" s="633">
        <v>3</v>
      </c>
      <c r="P675" s="633">
        <v>6</v>
      </c>
      <c r="Q675" s="633">
        <v>5</v>
      </c>
      <c r="T675" s="594">
        <v>41736.707546296297</v>
      </c>
    </row>
    <row r="676" spans="1:20" x14ac:dyDescent="0.25">
      <c r="A676" s="633" t="s">
        <v>308</v>
      </c>
      <c r="B676" s="633">
        <v>13</v>
      </c>
      <c r="C676" s="633" t="s">
        <v>323</v>
      </c>
      <c r="D676" s="633" t="s">
        <v>324</v>
      </c>
      <c r="F676" s="633" t="s">
        <v>325</v>
      </c>
      <c r="G676" s="633" t="s">
        <v>584</v>
      </c>
      <c r="H676" s="633" t="s">
        <v>364</v>
      </c>
      <c r="J676" s="633" t="s">
        <v>327</v>
      </c>
      <c r="K676" s="633" t="s">
        <v>261</v>
      </c>
      <c r="L676" s="633" t="s">
        <v>309</v>
      </c>
      <c r="M676" s="633" t="s">
        <v>471</v>
      </c>
      <c r="N676" s="633" t="s">
        <v>256</v>
      </c>
      <c r="P676" s="633">
        <v>4</v>
      </c>
      <c r="Q676" s="633">
        <v>0</v>
      </c>
      <c r="T676" s="594">
        <v>41736.707546296297</v>
      </c>
    </row>
    <row r="677" spans="1:20" x14ac:dyDescent="0.25">
      <c r="A677" s="633" t="s">
        <v>308</v>
      </c>
      <c r="B677" s="633">
        <v>13</v>
      </c>
      <c r="C677" s="633" t="s">
        <v>323</v>
      </c>
      <c r="D677" s="633" t="s">
        <v>324</v>
      </c>
      <c r="F677" s="633" t="s">
        <v>325</v>
      </c>
      <c r="G677" s="633" t="s">
        <v>584</v>
      </c>
      <c r="H677" s="633" t="s">
        <v>345</v>
      </c>
      <c r="J677" s="633" t="s">
        <v>327</v>
      </c>
      <c r="K677" s="633" t="s">
        <v>261</v>
      </c>
      <c r="L677" s="633" t="s">
        <v>309</v>
      </c>
      <c r="M677" s="633" t="s">
        <v>471</v>
      </c>
      <c r="N677" s="633" t="s">
        <v>256</v>
      </c>
      <c r="O677" s="633">
        <v>5</v>
      </c>
      <c r="P677" s="633">
        <v>1</v>
      </c>
      <c r="Q677" s="633">
        <v>0</v>
      </c>
      <c r="T677" s="594">
        <v>41736.707546296297</v>
      </c>
    </row>
    <row r="678" spans="1:20" x14ac:dyDescent="0.25">
      <c r="A678" s="633" t="s">
        <v>308</v>
      </c>
      <c r="B678" s="633">
        <v>13</v>
      </c>
      <c r="C678" s="633" t="s">
        <v>323</v>
      </c>
      <c r="D678" s="633" t="s">
        <v>324</v>
      </c>
      <c r="F678" s="633" t="s">
        <v>325</v>
      </c>
      <c r="G678" s="633" t="s">
        <v>584</v>
      </c>
      <c r="H678" s="633" t="s">
        <v>330</v>
      </c>
      <c r="J678" s="633" t="s">
        <v>327</v>
      </c>
      <c r="K678" s="633" t="s">
        <v>261</v>
      </c>
      <c r="L678" s="633" t="s">
        <v>309</v>
      </c>
      <c r="M678" s="633" t="s">
        <v>471</v>
      </c>
      <c r="N678" s="633" t="s">
        <v>256</v>
      </c>
      <c r="O678" s="633">
        <v>3</v>
      </c>
      <c r="Q678" s="633">
        <v>0</v>
      </c>
      <c r="T678" s="594">
        <v>41736.707546296297</v>
      </c>
    </row>
    <row r="679" spans="1:20" x14ac:dyDescent="0.25">
      <c r="A679" s="633" t="s">
        <v>308</v>
      </c>
      <c r="B679" s="633">
        <v>13</v>
      </c>
      <c r="C679" s="633" t="s">
        <v>323</v>
      </c>
      <c r="D679" s="633" t="s">
        <v>324</v>
      </c>
      <c r="F679" s="633" t="s">
        <v>325</v>
      </c>
      <c r="G679" s="633" t="s">
        <v>584</v>
      </c>
      <c r="H679" s="633" t="s">
        <v>355</v>
      </c>
      <c r="J679" s="633" t="s">
        <v>327</v>
      </c>
      <c r="K679" s="633" t="s">
        <v>261</v>
      </c>
      <c r="L679" s="633" t="s">
        <v>309</v>
      </c>
      <c r="M679" s="633" t="s">
        <v>471</v>
      </c>
      <c r="N679" s="633" t="s">
        <v>256</v>
      </c>
      <c r="O679" s="633">
        <v>3</v>
      </c>
      <c r="P679" s="633">
        <v>2</v>
      </c>
      <c r="Q679" s="633">
        <v>0</v>
      </c>
      <c r="T679" s="594">
        <v>41736.707546296297</v>
      </c>
    </row>
    <row r="680" spans="1:20" x14ac:dyDescent="0.25">
      <c r="A680" s="633" t="s">
        <v>308</v>
      </c>
      <c r="B680" s="633">
        <v>13</v>
      </c>
      <c r="C680" s="633" t="s">
        <v>323</v>
      </c>
      <c r="D680" s="633" t="s">
        <v>324</v>
      </c>
      <c r="F680" s="633" t="s">
        <v>325</v>
      </c>
      <c r="G680" s="633" t="s">
        <v>584</v>
      </c>
      <c r="H680" s="633" t="s">
        <v>369</v>
      </c>
      <c r="J680" s="633" t="s">
        <v>327</v>
      </c>
      <c r="K680" s="633" t="s">
        <v>261</v>
      </c>
      <c r="L680" s="633" t="s">
        <v>309</v>
      </c>
      <c r="M680" s="633" t="s">
        <v>471</v>
      </c>
      <c r="N680" s="633" t="s">
        <v>256</v>
      </c>
      <c r="O680" s="633">
        <v>1</v>
      </c>
      <c r="P680" s="633">
        <v>2</v>
      </c>
      <c r="Q680" s="633">
        <v>0</v>
      </c>
      <c r="T680" s="594">
        <v>41736.707546296297</v>
      </c>
    </row>
    <row r="681" spans="1:20" x14ac:dyDescent="0.25">
      <c r="A681" s="633" t="s">
        <v>308</v>
      </c>
      <c r="B681" s="633">
        <v>13</v>
      </c>
      <c r="C681" s="633" t="s">
        <v>323</v>
      </c>
      <c r="D681" s="633" t="s">
        <v>324</v>
      </c>
      <c r="F681" s="633" t="s">
        <v>325</v>
      </c>
      <c r="G681" s="633" t="s">
        <v>584</v>
      </c>
      <c r="H681" s="633" t="s">
        <v>362</v>
      </c>
      <c r="J681" s="633" t="s">
        <v>327</v>
      </c>
      <c r="K681" s="633" t="s">
        <v>261</v>
      </c>
      <c r="L681" s="633" t="s">
        <v>309</v>
      </c>
      <c r="M681" s="633" t="s">
        <v>471</v>
      </c>
      <c r="N681" s="633" t="s">
        <v>256</v>
      </c>
      <c r="P681" s="633">
        <v>2</v>
      </c>
      <c r="Q681" s="633">
        <v>0</v>
      </c>
      <c r="T681" s="594">
        <v>41736.707546296297</v>
      </c>
    </row>
    <row r="682" spans="1:20" x14ac:dyDescent="0.25">
      <c r="A682" s="633" t="s">
        <v>308</v>
      </c>
      <c r="B682" s="633">
        <v>13</v>
      </c>
      <c r="C682" s="633" t="s">
        <v>323</v>
      </c>
      <c r="D682" s="633" t="s">
        <v>324</v>
      </c>
      <c r="F682" s="633" t="s">
        <v>325</v>
      </c>
      <c r="G682" s="633" t="s">
        <v>584</v>
      </c>
      <c r="H682" s="633" t="s">
        <v>326</v>
      </c>
      <c r="J682" s="633" t="s">
        <v>327</v>
      </c>
      <c r="K682" s="633" t="s">
        <v>261</v>
      </c>
      <c r="L682" s="633" t="s">
        <v>309</v>
      </c>
      <c r="M682" s="633" t="s">
        <v>470</v>
      </c>
      <c r="N682" s="633" t="s">
        <v>257</v>
      </c>
      <c r="O682" s="633">
        <v>2</v>
      </c>
      <c r="Q682" s="633">
        <v>0</v>
      </c>
      <c r="T682" s="594">
        <v>41736.707546296297</v>
      </c>
    </row>
    <row r="683" spans="1:20" x14ac:dyDescent="0.25">
      <c r="A683" s="633" t="s">
        <v>308</v>
      </c>
      <c r="B683" s="633">
        <v>13</v>
      </c>
      <c r="C683" s="633" t="s">
        <v>323</v>
      </c>
      <c r="D683" s="633" t="s">
        <v>324</v>
      </c>
      <c r="F683" s="633" t="s">
        <v>325</v>
      </c>
      <c r="G683" s="633" t="s">
        <v>584</v>
      </c>
      <c r="H683" s="633" t="s">
        <v>329</v>
      </c>
      <c r="J683" s="633" t="s">
        <v>327</v>
      </c>
      <c r="K683" s="633" t="s">
        <v>261</v>
      </c>
      <c r="L683" s="633" t="s">
        <v>309</v>
      </c>
      <c r="M683" s="633" t="s">
        <v>470</v>
      </c>
      <c r="N683" s="633" t="s">
        <v>257</v>
      </c>
      <c r="O683" s="633">
        <v>4</v>
      </c>
      <c r="Q683" s="633">
        <v>257</v>
      </c>
      <c r="T683" s="594">
        <v>41736.707546296297</v>
      </c>
    </row>
    <row r="684" spans="1:20" x14ac:dyDescent="0.25">
      <c r="A684" s="633" t="s">
        <v>308</v>
      </c>
      <c r="B684" s="633">
        <v>13</v>
      </c>
      <c r="C684" s="633" t="s">
        <v>323</v>
      </c>
      <c r="D684" s="633" t="s">
        <v>324</v>
      </c>
      <c r="F684" s="633" t="s">
        <v>325</v>
      </c>
      <c r="G684" s="633" t="s">
        <v>584</v>
      </c>
      <c r="H684" s="633" t="s">
        <v>328</v>
      </c>
      <c r="J684" s="633" t="s">
        <v>327</v>
      </c>
      <c r="K684" s="633" t="s">
        <v>261</v>
      </c>
      <c r="L684" s="633" t="s">
        <v>309</v>
      </c>
      <c r="M684" s="633" t="s">
        <v>470</v>
      </c>
      <c r="N684" s="633" t="s">
        <v>257</v>
      </c>
      <c r="O684" s="633">
        <v>5</v>
      </c>
      <c r="Q684" s="633">
        <v>2</v>
      </c>
      <c r="T684" s="594">
        <v>41736.707546296297</v>
      </c>
    </row>
    <row r="685" spans="1:20" x14ac:dyDescent="0.25">
      <c r="A685" s="633" t="s">
        <v>308</v>
      </c>
      <c r="B685" s="633">
        <v>13</v>
      </c>
      <c r="C685" s="633" t="s">
        <v>323</v>
      </c>
      <c r="D685" s="633" t="s">
        <v>324</v>
      </c>
      <c r="F685" s="633" t="s">
        <v>325</v>
      </c>
      <c r="G685" s="633" t="s">
        <v>584</v>
      </c>
      <c r="H685" s="633" t="s">
        <v>331</v>
      </c>
      <c r="J685" s="633" t="s">
        <v>327</v>
      </c>
      <c r="K685" s="633" t="s">
        <v>261</v>
      </c>
      <c r="L685" s="633" t="s">
        <v>309</v>
      </c>
      <c r="M685" s="633" t="s">
        <v>470</v>
      </c>
      <c r="N685" s="633" t="s">
        <v>257</v>
      </c>
      <c r="Q685" s="633">
        <v>2</v>
      </c>
      <c r="T685" s="594">
        <v>41736.707546296297</v>
      </c>
    </row>
    <row r="686" spans="1:20" x14ac:dyDescent="0.25">
      <c r="A686" s="633" t="s">
        <v>308</v>
      </c>
      <c r="B686" s="633">
        <v>13</v>
      </c>
      <c r="C686" s="633" t="s">
        <v>323</v>
      </c>
      <c r="D686" s="633" t="s">
        <v>324</v>
      </c>
      <c r="F686" s="633" t="s">
        <v>325</v>
      </c>
      <c r="G686" s="633" t="s">
        <v>584</v>
      </c>
      <c r="H686" s="633" t="s">
        <v>330</v>
      </c>
      <c r="J686" s="633" t="s">
        <v>327</v>
      </c>
      <c r="K686" s="633" t="s">
        <v>261</v>
      </c>
      <c r="L686" s="633" t="s">
        <v>309</v>
      </c>
      <c r="M686" s="633" t="s">
        <v>470</v>
      </c>
      <c r="N686" s="633" t="s">
        <v>257</v>
      </c>
      <c r="O686" s="633">
        <v>3</v>
      </c>
      <c r="Q686" s="633">
        <v>53</v>
      </c>
      <c r="T686" s="594">
        <v>41736.707546296297</v>
      </c>
    </row>
    <row r="687" spans="1:20" x14ac:dyDescent="0.25">
      <c r="A687" s="633" t="s">
        <v>308</v>
      </c>
      <c r="B687" s="633">
        <v>13</v>
      </c>
      <c r="C687" s="633" t="s">
        <v>323</v>
      </c>
      <c r="D687" s="633" t="s">
        <v>324</v>
      </c>
      <c r="F687" s="633" t="s">
        <v>325</v>
      </c>
      <c r="G687" s="633" t="s">
        <v>584</v>
      </c>
      <c r="H687" s="633" t="s">
        <v>332</v>
      </c>
      <c r="J687" s="633" t="s">
        <v>327</v>
      </c>
      <c r="K687" s="633" t="s">
        <v>261</v>
      </c>
      <c r="L687" s="633" t="s">
        <v>309</v>
      </c>
      <c r="M687" s="633" t="s">
        <v>470</v>
      </c>
      <c r="N687" s="633" t="s">
        <v>257</v>
      </c>
      <c r="O687" s="633">
        <v>1</v>
      </c>
      <c r="Q687" s="633">
        <v>0</v>
      </c>
      <c r="T687" s="594">
        <v>41736.707546296297</v>
      </c>
    </row>
    <row r="688" spans="1:20" x14ac:dyDescent="0.25">
      <c r="A688" s="633" t="s">
        <v>308</v>
      </c>
      <c r="B688" s="633">
        <v>13</v>
      </c>
      <c r="C688" s="633" t="s">
        <v>323</v>
      </c>
      <c r="D688" s="633" t="s">
        <v>324</v>
      </c>
      <c r="F688" s="633" t="s">
        <v>325</v>
      </c>
      <c r="G688" s="633" t="s">
        <v>584</v>
      </c>
      <c r="H688" s="633" t="s">
        <v>333</v>
      </c>
      <c r="J688" s="633" t="s">
        <v>327</v>
      </c>
      <c r="K688" s="633" t="s">
        <v>261</v>
      </c>
      <c r="L688" s="633" t="s">
        <v>309</v>
      </c>
      <c r="M688" s="633" t="s">
        <v>470</v>
      </c>
      <c r="N688" s="633" t="s">
        <v>257</v>
      </c>
      <c r="O688" s="633">
        <v>6</v>
      </c>
      <c r="Q688" s="633">
        <v>7</v>
      </c>
      <c r="T688" s="594">
        <v>41736.707546296297</v>
      </c>
    </row>
    <row r="689" spans="1:20" x14ac:dyDescent="0.25">
      <c r="A689" s="633" t="s">
        <v>308</v>
      </c>
      <c r="B689" s="633">
        <v>13</v>
      </c>
      <c r="C689" s="633" t="s">
        <v>323</v>
      </c>
      <c r="D689" s="633" t="s">
        <v>324</v>
      </c>
      <c r="F689" s="633" t="s">
        <v>325</v>
      </c>
      <c r="G689" s="633" t="s">
        <v>584</v>
      </c>
      <c r="H689" s="633" t="s">
        <v>356</v>
      </c>
      <c r="J689" s="633" t="s">
        <v>327</v>
      </c>
      <c r="K689" s="633" t="s">
        <v>261</v>
      </c>
      <c r="L689" s="633" t="s">
        <v>309</v>
      </c>
      <c r="M689" s="633" t="s">
        <v>471</v>
      </c>
      <c r="N689" s="633" t="s">
        <v>257</v>
      </c>
      <c r="O689" s="633">
        <v>3</v>
      </c>
      <c r="P689" s="633">
        <v>5</v>
      </c>
      <c r="Q689" s="633">
        <v>1</v>
      </c>
      <c r="T689" s="594">
        <v>41736.707546296297</v>
      </c>
    </row>
    <row r="690" spans="1:20" x14ac:dyDescent="0.25">
      <c r="A690" s="633" t="s">
        <v>308</v>
      </c>
      <c r="B690" s="633">
        <v>13</v>
      </c>
      <c r="C690" s="633" t="s">
        <v>323</v>
      </c>
      <c r="D690" s="633" t="s">
        <v>324</v>
      </c>
      <c r="F690" s="633" t="s">
        <v>325</v>
      </c>
      <c r="G690" s="633" t="s">
        <v>584</v>
      </c>
      <c r="H690" s="633" t="s">
        <v>352</v>
      </c>
      <c r="J690" s="633" t="s">
        <v>327</v>
      </c>
      <c r="K690" s="633" t="s">
        <v>261</v>
      </c>
      <c r="L690" s="633" t="s">
        <v>309</v>
      </c>
      <c r="M690" s="633" t="s">
        <v>471</v>
      </c>
      <c r="N690" s="633" t="s">
        <v>257</v>
      </c>
      <c r="O690" s="633">
        <v>4</v>
      </c>
      <c r="P690" s="633">
        <v>1</v>
      </c>
      <c r="Q690" s="633">
        <v>0</v>
      </c>
      <c r="T690" s="594">
        <v>41736.707546296297</v>
      </c>
    </row>
    <row r="691" spans="1:20" x14ac:dyDescent="0.25">
      <c r="A691" s="633" t="s">
        <v>308</v>
      </c>
      <c r="B691" s="633">
        <v>13</v>
      </c>
      <c r="C691" s="633" t="s">
        <v>323</v>
      </c>
      <c r="D691" s="633" t="s">
        <v>324</v>
      </c>
      <c r="F691" s="633" t="s">
        <v>325</v>
      </c>
      <c r="G691" s="633" t="s">
        <v>584</v>
      </c>
      <c r="H691" s="633" t="s">
        <v>355</v>
      </c>
      <c r="J691" s="633" t="s">
        <v>327</v>
      </c>
      <c r="K691" s="633" t="s">
        <v>261</v>
      </c>
      <c r="L691" s="633" t="s">
        <v>309</v>
      </c>
      <c r="M691" s="633" t="s">
        <v>471</v>
      </c>
      <c r="N691" s="633" t="s">
        <v>257</v>
      </c>
      <c r="O691" s="633">
        <v>3</v>
      </c>
      <c r="P691" s="633">
        <v>2</v>
      </c>
      <c r="Q691" s="633">
        <v>0</v>
      </c>
      <c r="T691" s="594">
        <v>41736.707546296297</v>
      </c>
    </row>
    <row r="692" spans="1:20" x14ac:dyDescent="0.25">
      <c r="A692" s="633" t="s">
        <v>308</v>
      </c>
      <c r="B692" s="633">
        <v>13</v>
      </c>
      <c r="C692" s="633" t="s">
        <v>323</v>
      </c>
      <c r="D692" s="633" t="s">
        <v>324</v>
      </c>
      <c r="F692" s="633" t="s">
        <v>325</v>
      </c>
      <c r="G692" s="633" t="s">
        <v>584</v>
      </c>
      <c r="H692" s="633" t="s">
        <v>372</v>
      </c>
      <c r="J692" s="633" t="s">
        <v>327</v>
      </c>
      <c r="K692" s="633" t="s">
        <v>261</v>
      </c>
      <c r="L692" s="633" t="s">
        <v>309</v>
      </c>
      <c r="M692" s="633" t="s">
        <v>471</v>
      </c>
      <c r="N692" s="633" t="s">
        <v>257</v>
      </c>
      <c r="O692" s="633">
        <v>1</v>
      </c>
      <c r="P692" s="633">
        <v>3</v>
      </c>
      <c r="Q692" s="633">
        <v>0</v>
      </c>
      <c r="T692" s="594">
        <v>41736.707546296297</v>
      </c>
    </row>
    <row r="693" spans="1:20" x14ac:dyDescent="0.25">
      <c r="A693" s="633" t="s">
        <v>308</v>
      </c>
      <c r="B693" s="633">
        <v>13</v>
      </c>
      <c r="C693" s="633" t="s">
        <v>323</v>
      </c>
      <c r="D693" s="633" t="s">
        <v>324</v>
      </c>
      <c r="F693" s="633" t="s">
        <v>325</v>
      </c>
      <c r="G693" s="633" t="s">
        <v>584</v>
      </c>
      <c r="H693" s="633" t="s">
        <v>338</v>
      </c>
      <c r="J693" s="633" t="s">
        <v>327</v>
      </c>
      <c r="K693" s="633" t="s">
        <v>261</v>
      </c>
      <c r="L693" s="633" t="s">
        <v>309</v>
      </c>
      <c r="M693" s="633" t="s">
        <v>471</v>
      </c>
      <c r="N693" s="633" t="s">
        <v>257</v>
      </c>
      <c r="O693" s="633">
        <v>2</v>
      </c>
      <c r="P693" s="633">
        <v>1</v>
      </c>
      <c r="Q693" s="633">
        <v>0</v>
      </c>
      <c r="T693" s="594">
        <v>41736.707546296297</v>
      </c>
    </row>
    <row r="694" spans="1:20" x14ac:dyDescent="0.25">
      <c r="A694" s="633" t="s">
        <v>308</v>
      </c>
      <c r="B694" s="633">
        <v>13</v>
      </c>
      <c r="C694" s="633" t="s">
        <v>323</v>
      </c>
      <c r="D694" s="633" t="s">
        <v>324</v>
      </c>
      <c r="F694" s="633" t="s">
        <v>325</v>
      </c>
      <c r="G694" s="633" t="s">
        <v>584</v>
      </c>
      <c r="H694" s="633" t="s">
        <v>337</v>
      </c>
      <c r="J694" s="633" t="s">
        <v>327</v>
      </c>
      <c r="K694" s="633" t="s">
        <v>261</v>
      </c>
      <c r="L694" s="633" t="s">
        <v>309</v>
      </c>
      <c r="M694" s="633" t="s">
        <v>471</v>
      </c>
      <c r="N694" s="633" t="s">
        <v>257</v>
      </c>
      <c r="O694" s="633">
        <v>2</v>
      </c>
      <c r="P694" s="633">
        <v>3</v>
      </c>
      <c r="Q694" s="633">
        <v>0</v>
      </c>
      <c r="T694" s="594">
        <v>41736.707546296297</v>
      </c>
    </row>
    <row r="695" spans="1:20" x14ac:dyDescent="0.25">
      <c r="A695" s="633" t="s">
        <v>308</v>
      </c>
      <c r="B695" s="633">
        <v>13</v>
      </c>
      <c r="C695" s="633" t="s">
        <v>323</v>
      </c>
      <c r="D695" s="633" t="s">
        <v>324</v>
      </c>
      <c r="F695" s="633" t="s">
        <v>325</v>
      </c>
      <c r="G695" s="633" t="s">
        <v>584</v>
      </c>
      <c r="H695" s="633" t="s">
        <v>380</v>
      </c>
      <c r="J695" s="633" t="s">
        <v>327</v>
      </c>
      <c r="K695" s="633" t="s">
        <v>261</v>
      </c>
      <c r="L695" s="633" t="s">
        <v>309</v>
      </c>
      <c r="M695" s="633" t="s">
        <v>471</v>
      </c>
      <c r="N695" s="633" t="s">
        <v>257</v>
      </c>
      <c r="O695" s="633">
        <v>6</v>
      </c>
      <c r="P695" s="633">
        <v>1</v>
      </c>
      <c r="Q695" s="633">
        <v>0</v>
      </c>
      <c r="T695" s="594">
        <v>41736.707546296297</v>
      </c>
    </row>
    <row r="696" spans="1:20" x14ac:dyDescent="0.25">
      <c r="A696" s="633" t="s">
        <v>308</v>
      </c>
      <c r="B696" s="633">
        <v>13</v>
      </c>
      <c r="C696" s="633" t="s">
        <v>323</v>
      </c>
      <c r="D696" s="633" t="s">
        <v>324</v>
      </c>
      <c r="F696" s="633" t="s">
        <v>325</v>
      </c>
      <c r="G696" s="633" t="s">
        <v>584</v>
      </c>
      <c r="H696" s="633" t="s">
        <v>359</v>
      </c>
      <c r="J696" s="633" t="s">
        <v>327</v>
      </c>
      <c r="K696" s="633" t="s">
        <v>261</v>
      </c>
      <c r="L696" s="633" t="s">
        <v>309</v>
      </c>
      <c r="M696" s="633" t="s">
        <v>471</v>
      </c>
      <c r="N696" s="633" t="s">
        <v>257</v>
      </c>
      <c r="O696" s="633">
        <v>3</v>
      </c>
      <c r="P696" s="633">
        <v>1</v>
      </c>
      <c r="Q696" s="633">
        <v>0</v>
      </c>
      <c r="T696" s="594">
        <v>41736.707546296297</v>
      </c>
    </row>
    <row r="697" spans="1:20" x14ac:dyDescent="0.25">
      <c r="A697" s="633" t="s">
        <v>308</v>
      </c>
      <c r="B697" s="633">
        <v>13</v>
      </c>
      <c r="C697" s="633" t="s">
        <v>323</v>
      </c>
      <c r="D697" s="633" t="s">
        <v>324</v>
      </c>
      <c r="F697" s="633" t="s">
        <v>325</v>
      </c>
      <c r="G697" s="633" t="s">
        <v>584</v>
      </c>
      <c r="H697" s="633" t="s">
        <v>374</v>
      </c>
      <c r="J697" s="633" t="s">
        <v>327</v>
      </c>
      <c r="K697" s="633" t="s">
        <v>261</v>
      </c>
      <c r="L697" s="633" t="s">
        <v>309</v>
      </c>
      <c r="M697" s="633" t="s">
        <v>471</v>
      </c>
      <c r="N697" s="633" t="s">
        <v>257</v>
      </c>
      <c r="O697" s="633">
        <v>1</v>
      </c>
      <c r="P697" s="633">
        <v>7</v>
      </c>
      <c r="Q697" s="633">
        <v>0</v>
      </c>
      <c r="T697" s="594">
        <v>41736.707546296297</v>
      </c>
    </row>
    <row r="698" spans="1:20" x14ac:dyDescent="0.25">
      <c r="A698" s="633" t="s">
        <v>308</v>
      </c>
      <c r="B698" s="633">
        <v>13</v>
      </c>
      <c r="C698" s="633" t="s">
        <v>323</v>
      </c>
      <c r="D698" s="633" t="s">
        <v>324</v>
      </c>
      <c r="F698" s="633" t="s">
        <v>325</v>
      </c>
      <c r="G698" s="633" t="s">
        <v>584</v>
      </c>
      <c r="H698" s="633" t="s">
        <v>364</v>
      </c>
      <c r="J698" s="633" t="s">
        <v>327</v>
      </c>
      <c r="K698" s="633" t="s">
        <v>261</v>
      </c>
      <c r="L698" s="633" t="s">
        <v>309</v>
      </c>
      <c r="M698" s="633" t="s">
        <v>471</v>
      </c>
      <c r="N698" s="633" t="s">
        <v>257</v>
      </c>
      <c r="P698" s="633">
        <v>4</v>
      </c>
      <c r="Q698" s="633">
        <v>0</v>
      </c>
      <c r="T698" s="594">
        <v>41736.707546296297</v>
      </c>
    </row>
    <row r="699" spans="1:20" x14ac:dyDescent="0.25">
      <c r="A699" s="633" t="s">
        <v>308</v>
      </c>
      <c r="B699" s="633">
        <v>13</v>
      </c>
      <c r="C699" s="633" t="s">
        <v>323</v>
      </c>
      <c r="D699" s="633" t="s">
        <v>324</v>
      </c>
      <c r="F699" s="633" t="s">
        <v>325</v>
      </c>
      <c r="G699" s="633" t="s">
        <v>584</v>
      </c>
      <c r="H699" s="633" t="s">
        <v>328</v>
      </c>
      <c r="J699" s="633" t="s">
        <v>327</v>
      </c>
      <c r="K699" s="633" t="s">
        <v>261</v>
      </c>
      <c r="L699" s="633" t="s">
        <v>309</v>
      </c>
      <c r="M699" s="633" t="s">
        <v>471</v>
      </c>
      <c r="N699" s="633" t="s">
        <v>257</v>
      </c>
      <c r="O699" s="633">
        <v>5</v>
      </c>
      <c r="Q699" s="633">
        <v>0</v>
      </c>
      <c r="T699" s="594">
        <v>41736.707546296297</v>
      </c>
    </row>
    <row r="700" spans="1:20" x14ac:dyDescent="0.25">
      <c r="A700" s="633" t="s">
        <v>308</v>
      </c>
      <c r="B700" s="633">
        <v>13</v>
      </c>
      <c r="C700" s="633" t="s">
        <v>323</v>
      </c>
      <c r="D700" s="633" t="s">
        <v>324</v>
      </c>
      <c r="F700" s="633" t="s">
        <v>325</v>
      </c>
      <c r="G700" s="633" t="s">
        <v>584</v>
      </c>
      <c r="H700" s="633" t="s">
        <v>340</v>
      </c>
      <c r="J700" s="633" t="s">
        <v>327</v>
      </c>
      <c r="K700" s="633" t="s">
        <v>261</v>
      </c>
      <c r="L700" s="633" t="s">
        <v>309</v>
      </c>
      <c r="M700" s="633" t="s">
        <v>471</v>
      </c>
      <c r="N700" s="633" t="s">
        <v>257</v>
      </c>
      <c r="O700" s="633">
        <v>2</v>
      </c>
      <c r="P700" s="633">
        <v>6</v>
      </c>
      <c r="Q700" s="633">
        <v>0</v>
      </c>
      <c r="T700" s="594">
        <v>41736.707546296297</v>
      </c>
    </row>
    <row r="701" spans="1:20" x14ac:dyDescent="0.25">
      <c r="A701" s="633" t="s">
        <v>308</v>
      </c>
      <c r="B701" s="633">
        <v>13</v>
      </c>
      <c r="C701" s="633" t="s">
        <v>323</v>
      </c>
      <c r="D701" s="633" t="s">
        <v>324</v>
      </c>
      <c r="F701" s="633" t="s">
        <v>325</v>
      </c>
      <c r="G701" s="633" t="s">
        <v>584</v>
      </c>
      <c r="H701" s="633" t="s">
        <v>370</v>
      </c>
      <c r="J701" s="633" t="s">
        <v>327</v>
      </c>
      <c r="K701" s="633" t="s">
        <v>261</v>
      </c>
      <c r="L701" s="633" t="s">
        <v>309</v>
      </c>
      <c r="M701" s="633" t="s">
        <v>471</v>
      </c>
      <c r="N701" s="633" t="s">
        <v>257</v>
      </c>
      <c r="O701" s="633">
        <v>1</v>
      </c>
      <c r="P701" s="633">
        <v>5</v>
      </c>
      <c r="Q701" s="633">
        <v>0</v>
      </c>
      <c r="T701" s="594">
        <v>41736.707546296297</v>
      </c>
    </row>
    <row r="702" spans="1:20" x14ac:dyDescent="0.25">
      <c r="A702" s="633" t="s">
        <v>308</v>
      </c>
      <c r="B702" s="633">
        <v>13</v>
      </c>
      <c r="C702" s="633" t="s">
        <v>323</v>
      </c>
      <c r="D702" s="633" t="s">
        <v>324</v>
      </c>
      <c r="F702" s="633" t="s">
        <v>325</v>
      </c>
      <c r="G702" s="633" t="s">
        <v>584</v>
      </c>
      <c r="H702" s="633" t="s">
        <v>373</v>
      </c>
      <c r="J702" s="633" t="s">
        <v>327</v>
      </c>
      <c r="K702" s="633" t="s">
        <v>261</v>
      </c>
      <c r="L702" s="633" t="s">
        <v>309</v>
      </c>
      <c r="M702" s="633" t="s">
        <v>471</v>
      </c>
      <c r="N702" s="633" t="s">
        <v>257</v>
      </c>
      <c r="O702" s="633">
        <v>1</v>
      </c>
      <c r="P702" s="633">
        <v>1</v>
      </c>
      <c r="Q702" s="633">
        <v>0</v>
      </c>
      <c r="T702" s="594">
        <v>41736.707546296297</v>
      </c>
    </row>
    <row r="703" spans="1:20" x14ac:dyDescent="0.25">
      <c r="A703" s="633" t="s">
        <v>308</v>
      </c>
      <c r="B703" s="633">
        <v>13</v>
      </c>
      <c r="C703" s="633" t="s">
        <v>323</v>
      </c>
      <c r="D703" s="633" t="s">
        <v>324</v>
      </c>
      <c r="F703" s="633" t="s">
        <v>325</v>
      </c>
      <c r="G703" s="633" t="s">
        <v>584</v>
      </c>
      <c r="H703" s="633" t="s">
        <v>345</v>
      </c>
      <c r="J703" s="633" t="s">
        <v>327</v>
      </c>
      <c r="K703" s="633" t="s">
        <v>261</v>
      </c>
      <c r="L703" s="633" t="s">
        <v>309</v>
      </c>
      <c r="M703" s="633" t="s">
        <v>471</v>
      </c>
      <c r="N703" s="633" t="s">
        <v>257</v>
      </c>
      <c r="O703" s="633">
        <v>5</v>
      </c>
      <c r="P703" s="633">
        <v>1</v>
      </c>
      <c r="Q703" s="633">
        <v>0</v>
      </c>
      <c r="T703" s="594">
        <v>41736.707546296297</v>
      </c>
    </row>
    <row r="704" spans="1:20" x14ac:dyDescent="0.25">
      <c r="A704" s="633" t="s">
        <v>308</v>
      </c>
      <c r="B704" s="633">
        <v>13</v>
      </c>
      <c r="C704" s="633" t="s">
        <v>323</v>
      </c>
      <c r="D704" s="633" t="s">
        <v>324</v>
      </c>
      <c r="F704" s="633" t="s">
        <v>325</v>
      </c>
      <c r="G704" s="633" t="s">
        <v>584</v>
      </c>
      <c r="H704" s="633" t="s">
        <v>376</v>
      </c>
      <c r="J704" s="633" t="s">
        <v>327</v>
      </c>
      <c r="K704" s="633" t="s">
        <v>261</v>
      </c>
      <c r="L704" s="633" t="s">
        <v>309</v>
      </c>
      <c r="M704" s="633" t="s">
        <v>471</v>
      </c>
      <c r="N704" s="633" t="s">
        <v>257</v>
      </c>
      <c r="O704" s="633">
        <v>6</v>
      </c>
      <c r="P704" s="633">
        <v>2</v>
      </c>
      <c r="Q704" s="633">
        <v>0</v>
      </c>
      <c r="T704" s="594">
        <v>41736.707546296297</v>
      </c>
    </row>
    <row r="705" spans="1:20" x14ac:dyDescent="0.25">
      <c r="A705" s="633" t="s">
        <v>308</v>
      </c>
      <c r="B705" s="633">
        <v>13</v>
      </c>
      <c r="C705" s="633" t="s">
        <v>323</v>
      </c>
      <c r="D705" s="633" t="s">
        <v>324</v>
      </c>
      <c r="F705" s="633" t="s">
        <v>325</v>
      </c>
      <c r="G705" s="633" t="s">
        <v>584</v>
      </c>
      <c r="H705" s="633" t="s">
        <v>379</v>
      </c>
      <c r="J705" s="633" t="s">
        <v>327</v>
      </c>
      <c r="K705" s="633" t="s">
        <v>261</v>
      </c>
      <c r="L705" s="633" t="s">
        <v>309</v>
      </c>
      <c r="M705" s="633" t="s">
        <v>471</v>
      </c>
      <c r="N705" s="633" t="s">
        <v>257</v>
      </c>
      <c r="O705" s="633">
        <v>6</v>
      </c>
      <c r="P705" s="633">
        <v>3</v>
      </c>
      <c r="Q705" s="633">
        <v>0</v>
      </c>
      <c r="T705" s="594">
        <v>41736.707546296297</v>
      </c>
    </row>
    <row r="706" spans="1:20" x14ac:dyDescent="0.25">
      <c r="A706" s="633" t="s">
        <v>308</v>
      </c>
      <c r="B706" s="633">
        <v>13</v>
      </c>
      <c r="C706" s="633" t="s">
        <v>323</v>
      </c>
      <c r="D706" s="633" t="s">
        <v>324</v>
      </c>
      <c r="F706" s="633" t="s">
        <v>325</v>
      </c>
      <c r="G706" s="633" t="s">
        <v>584</v>
      </c>
      <c r="H706" s="633" t="s">
        <v>366</v>
      </c>
      <c r="J706" s="633" t="s">
        <v>327</v>
      </c>
      <c r="K706" s="633" t="s">
        <v>261</v>
      </c>
      <c r="L706" s="633" t="s">
        <v>309</v>
      </c>
      <c r="M706" s="633" t="s">
        <v>471</v>
      </c>
      <c r="N706" s="633" t="s">
        <v>257</v>
      </c>
      <c r="P706" s="633">
        <v>1</v>
      </c>
      <c r="Q706" s="633">
        <v>0</v>
      </c>
      <c r="T706" s="594">
        <v>41736.707546296297</v>
      </c>
    </row>
    <row r="707" spans="1:20" x14ac:dyDescent="0.25">
      <c r="A707" s="633" t="s">
        <v>308</v>
      </c>
      <c r="B707" s="633">
        <v>13</v>
      </c>
      <c r="C707" s="633" t="s">
        <v>323</v>
      </c>
      <c r="D707" s="633" t="s">
        <v>324</v>
      </c>
      <c r="F707" s="633" t="s">
        <v>325</v>
      </c>
      <c r="G707" s="633" t="s">
        <v>584</v>
      </c>
      <c r="H707" s="633" t="s">
        <v>341</v>
      </c>
      <c r="J707" s="633" t="s">
        <v>327</v>
      </c>
      <c r="K707" s="633" t="s">
        <v>261</v>
      </c>
      <c r="L707" s="633" t="s">
        <v>309</v>
      </c>
      <c r="M707" s="633" t="s">
        <v>471</v>
      </c>
      <c r="N707" s="633" t="s">
        <v>257</v>
      </c>
      <c r="O707" s="633">
        <v>5</v>
      </c>
      <c r="P707" s="633">
        <v>2</v>
      </c>
      <c r="Q707" s="633">
        <v>0</v>
      </c>
      <c r="T707" s="594">
        <v>41736.707546296297</v>
      </c>
    </row>
    <row r="708" spans="1:20" x14ac:dyDescent="0.25">
      <c r="A708" s="633" t="s">
        <v>308</v>
      </c>
      <c r="B708" s="633">
        <v>13</v>
      </c>
      <c r="C708" s="633" t="s">
        <v>323</v>
      </c>
      <c r="D708" s="633" t="s">
        <v>324</v>
      </c>
      <c r="F708" s="633" t="s">
        <v>325</v>
      </c>
      <c r="G708" s="633" t="s">
        <v>584</v>
      </c>
      <c r="H708" s="633" t="s">
        <v>369</v>
      </c>
      <c r="J708" s="633" t="s">
        <v>327</v>
      </c>
      <c r="K708" s="633" t="s">
        <v>261</v>
      </c>
      <c r="L708" s="633" t="s">
        <v>309</v>
      </c>
      <c r="M708" s="633" t="s">
        <v>471</v>
      </c>
      <c r="N708" s="633" t="s">
        <v>257</v>
      </c>
      <c r="O708" s="633">
        <v>1</v>
      </c>
      <c r="P708" s="633">
        <v>2</v>
      </c>
      <c r="Q708" s="633">
        <v>0</v>
      </c>
      <c r="T708" s="594">
        <v>41736.707546296297</v>
      </c>
    </row>
    <row r="709" spans="1:20" x14ac:dyDescent="0.25">
      <c r="A709" s="633" t="s">
        <v>308</v>
      </c>
      <c r="B709" s="633">
        <v>13</v>
      </c>
      <c r="C709" s="633" t="s">
        <v>323</v>
      </c>
      <c r="D709" s="633" t="s">
        <v>324</v>
      </c>
      <c r="F709" s="633" t="s">
        <v>325</v>
      </c>
      <c r="G709" s="633" t="s">
        <v>584</v>
      </c>
      <c r="H709" s="633" t="s">
        <v>348</v>
      </c>
      <c r="J709" s="633" t="s">
        <v>327</v>
      </c>
      <c r="K709" s="633" t="s">
        <v>261</v>
      </c>
      <c r="L709" s="633" t="s">
        <v>309</v>
      </c>
      <c r="M709" s="633" t="s">
        <v>471</v>
      </c>
      <c r="N709" s="633" t="s">
        <v>257</v>
      </c>
      <c r="O709" s="633">
        <v>4</v>
      </c>
      <c r="P709" s="633">
        <v>2</v>
      </c>
      <c r="Q709" s="633">
        <v>0</v>
      </c>
      <c r="T709" s="594">
        <v>41736.707546296297</v>
      </c>
    </row>
    <row r="710" spans="1:20" x14ac:dyDescent="0.25">
      <c r="A710" s="633" t="s">
        <v>308</v>
      </c>
      <c r="B710" s="633">
        <v>13</v>
      </c>
      <c r="C710" s="633" t="s">
        <v>323</v>
      </c>
      <c r="D710" s="633" t="s">
        <v>324</v>
      </c>
      <c r="F710" s="633" t="s">
        <v>325</v>
      </c>
      <c r="G710" s="633" t="s">
        <v>584</v>
      </c>
      <c r="H710" s="633" t="s">
        <v>334</v>
      </c>
      <c r="J710" s="633" t="s">
        <v>327</v>
      </c>
      <c r="K710" s="633" t="s">
        <v>261</v>
      </c>
      <c r="L710" s="633" t="s">
        <v>309</v>
      </c>
      <c r="M710" s="633" t="s">
        <v>471</v>
      </c>
      <c r="N710" s="633" t="s">
        <v>257</v>
      </c>
      <c r="O710" s="633">
        <v>2</v>
      </c>
      <c r="P710" s="633">
        <v>2</v>
      </c>
      <c r="Q710" s="633">
        <v>0</v>
      </c>
      <c r="T710" s="594">
        <v>41736.707546296297</v>
      </c>
    </row>
    <row r="711" spans="1:20" x14ac:dyDescent="0.25">
      <c r="A711" s="633" t="s">
        <v>308</v>
      </c>
      <c r="B711" s="633">
        <v>13</v>
      </c>
      <c r="C711" s="633" t="s">
        <v>323</v>
      </c>
      <c r="D711" s="633" t="s">
        <v>324</v>
      </c>
      <c r="F711" s="633" t="s">
        <v>325</v>
      </c>
      <c r="G711" s="633" t="s">
        <v>584</v>
      </c>
      <c r="H711" s="633" t="s">
        <v>362</v>
      </c>
      <c r="J711" s="633" t="s">
        <v>327</v>
      </c>
      <c r="K711" s="633" t="s">
        <v>261</v>
      </c>
      <c r="L711" s="633" t="s">
        <v>309</v>
      </c>
      <c r="M711" s="633" t="s">
        <v>471</v>
      </c>
      <c r="N711" s="633" t="s">
        <v>257</v>
      </c>
      <c r="P711" s="633">
        <v>2</v>
      </c>
      <c r="Q711" s="633">
        <v>0</v>
      </c>
      <c r="T711" s="594">
        <v>41736.707546296297</v>
      </c>
    </row>
    <row r="712" spans="1:20" x14ac:dyDescent="0.25">
      <c r="A712" s="633" t="s">
        <v>308</v>
      </c>
      <c r="B712" s="633">
        <v>13</v>
      </c>
      <c r="C712" s="633" t="s">
        <v>323</v>
      </c>
      <c r="D712" s="633" t="s">
        <v>324</v>
      </c>
      <c r="F712" s="633" t="s">
        <v>325</v>
      </c>
      <c r="G712" s="633" t="s">
        <v>584</v>
      </c>
      <c r="H712" s="633" t="s">
        <v>351</v>
      </c>
      <c r="J712" s="633" t="s">
        <v>327</v>
      </c>
      <c r="K712" s="633" t="s">
        <v>261</v>
      </c>
      <c r="L712" s="633" t="s">
        <v>309</v>
      </c>
      <c r="M712" s="633" t="s">
        <v>471</v>
      </c>
      <c r="N712" s="633" t="s">
        <v>257</v>
      </c>
      <c r="O712" s="633">
        <v>4</v>
      </c>
      <c r="P712" s="633">
        <v>3</v>
      </c>
      <c r="Q712" s="633">
        <v>0</v>
      </c>
      <c r="T712" s="594">
        <v>41736.707546296297</v>
      </c>
    </row>
    <row r="713" spans="1:20" x14ac:dyDescent="0.25">
      <c r="A713" s="633" t="s">
        <v>308</v>
      </c>
      <c r="B713" s="633">
        <v>13</v>
      </c>
      <c r="C713" s="633" t="s">
        <v>323</v>
      </c>
      <c r="D713" s="633" t="s">
        <v>324</v>
      </c>
      <c r="F713" s="633" t="s">
        <v>325</v>
      </c>
      <c r="G713" s="633" t="s">
        <v>584</v>
      </c>
      <c r="H713" s="633" t="s">
        <v>344</v>
      </c>
      <c r="J713" s="633" t="s">
        <v>327</v>
      </c>
      <c r="K713" s="633" t="s">
        <v>261</v>
      </c>
      <c r="L713" s="633" t="s">
        <v>309</v>
      </c>
      <c r="M713" s="633" t="s">
        <v>471</v>
      </c>
      <c r="N713" s="633" t="s">
        <v>257</v>
      </c>
      <c r="O713" s="633">
        <v>5</v>
      </c>
      <c r="P713" s="633">
        <v>3</v>
      </c>
      <c r="Q713" s="633">
        <v>0</v>
      </c>
      <c r="T713" s="594">
        <v>41736.707546296297</v>
      </c>
    </row>
    <row r="714" spans="1:20" x14ac:dyDescent="0.25">
      <c r="A714" s="633" t="s">
        <v>308</v>
      </c>
      <c r="B714" s="633">
        <v>13</v>
      </c>
      <c r="C714" s="633" t="s">
        <v>323</v>
      </c>
      <c r="D714" s="633" t="s">
        <v>324</v>
      </c>
      <c r="F714" s="633" t="s">
        <v>325</v>
      </c>
      <c r="G714" s="633" t="s">
        <v>584</v>
      </c>
      <c r="H714" s="633" t="s">
        <v>333</v>
      </c>
      <c r="J714" s="633" t="s">
        <v>327</v>
      </c>
      <c r="K714" s="633" t="s">
        <v>261</v>
      </c>
      <c r="L714" s="633" t="s">
        <v>309</v>
      </c>
      <c r="M714" s="633" t="s">
        <v>471</v>
      </c>
      <c r="N714" s="633" t="s">
        <v>257</v>
      </c>
      <c r="O714" s="633">
        <v>6</v>
      </c>
      <c r="Q714" s="633">
        <v>0</v>
      </c>
      <c r="T714" s="594">
        <v>41736.707546296297</v>
      </c>
    </row>
    <row r="715" spans="1:20" x14ac:dyDescent="0.25">
      <c r="A715" s="633" t="s">
        <v>308</v>
      </c>
      <c r="B715" s="633">
        <v>13</v>
      </c>
      <c r="C715" s="633" t="s">
        <v>323</v>
      </c>
      <c r="D715" s="633" t="s">
        <v>324</v>
      </c>
      <c r="F715" s="633" t="s">
        <v>325</v>
      </c>
      <c r="G715" s="633" t="s">
        <v>584</v>
      </c>
      <c r="H715" s="633" t="s">
        <v>375</v>
      </c>
      <c r="J715" s="633" t="s">
        <v>327</v>
      </c>
      <c r="K715" s="633" t="s">
        <v>261</v>
      </c>
      <c r="L715" s="633" t="s">
        <v>309</v>
      </c>
      <c r="M715" s="633" t="s">
        <v>471</v>
      </c>
      <c r="N715" s="633" t="s">
        <v>257</v>
      </c>
      <c r="O715" s="633">
        <v>1</v>
      </c>
      <c r="P715" s="633">
        <v>6</v>
      </c>
      <c r="Q715" s="633">
        <v>3</v>
      </c>
      <c r="T715" s="594">
        <v>41736.707546296297</v>
      </c>
    </row>
    <row r="716" spans="1:20" x14ac:dyDescent="0.25">
      <c r="A716" s="633" t="s">
        <v>308</v>
      </c>
      <c r="B716" s="633">
        <v>13</v>
      </c>
      <c r="C716" s="633" t="s">
        <v>323</v>
      </c>
      <c r="D716" s="633" t="s">
        <v>324</v>
      </c>
      <c r="F716" s="633" t="s">
        <v>325</v>
      </c>
      <c r="G716" s="633" t="s">
        <v>584</v>
      </c>
      <c r="H716" s="633" t="s">
        <v>358</v>
      </c>
      <c r="J716" s="633" t="s">
        <v>327</v>
      </c>
      <c r="K716" s="633" t="s">
        <v>261</v>
      </c>
      <c r="L716" s="633" t="s">
        <v>309</v>
      </c>
      <c r="M716" s="633" t="s">
        <v>471</v>
      </c>
      <c r="N716" s="633" t="s">
        <v>257</v>
      </c>
      <c r="O716" s="633">
        <v>3</v>
      </c>
      <c r="P716" s="633">
        <v>3</v>
      </c>
      <c r="Q716" s="633">
        <v>2</v>
      </c>
      <c r="T716" s="594">
        <v>41736.707546296297</v>
      </c>
    </row>
    <row r="717" spans="1:20" x14ac:dyDescent="0.25">
      <c r="A717" s="633" t="s">
        <v>308</v>
      </c>
      <c r="B717" s="633">
        <v>13</v>
      </c>
      <c r="C717" s="633" t="s">
        <v>323</v>
      </c>
      <c r="D717" s="633" t="s">
        <v>324</v>
      </c>
      <c r="F717" s="633" t="s">
        <v>325</v>
      </c>
      <c r="G717" s="633" t="s">
        <v>584</v>
      </c>
      <c r="H717" s="633" t="s">
        <v>368</v>
      </c>
      <c r="J717" s="633" t="s">
        <v>327</v>
      </c>
      <c r="K717" s="633" t="s">
        <v>261</v>
      </c>
      <c r="L717" s="633" t="s">
        <v>309</v>
      </c>
      <c r="M717" s="633" t="s">
        <v>471</v>
      </c>
      <c r="N717" s="633" t="s">
        <v>257</v>
      </c>
      <c r="P717" s="633">
        <v>6</v>
      </c>
      <c r="Q717" s="633">
        <v>0</v>
      </c>
      <c r="T717" s="594">
        <v>41736.707546296297</v>
      </c>
    </row>
    <row r="718" spans="1:20" x14ac:dyDescent="0.25">
      <c r="A718" s="633" t="s">
        <v>308</v>
      </c>
      <c r="B718" s="633">
        <v>13</v>
      </c>
      <c r="C718" s="633" t="s">
        <v>323</v>
      </c>
      <c r="D718" s="633" t="s">
        <v>324</v>
      </c>
      <c r="F718" s="633" t="s">
        <v>325</v>
      </c>
      <c r="G718" s="633" t="s">
        <v>584</v>
      </c>
      <c r="H718" s="633" t="s">
        <v>381</v>
      </c>
      <c r="J718" s="633" t="s">
        <v>327</v>
      </c>
      <c r="K718" s="633" t="s">
        <v>261</v>
      </c>
      <c r="L718" s="633" t="s">
        <v>309</v>
      </c>
      <c r="M718" s="633" t="s">
        <v>471</v>
      </c>
      <c r="N718" s="633" t="s">
        <v>257</v>
      </c>
      <c r="O718" s="633">
        <v>6</v>
      </c>
      <c r="P718" s="633">
        <v>7</v>
      </c>
      <c r="Q718" s="633">
        <v>0</v>
      </c>
      <c r="T718" s="594">
        <v>41736.707546296297</v>
      </c>
    </row>
    <row r="719" spans="1:20" x14ac:dyDescent="0.25">
      <c r="A719" s="633" t="s">
        <v>308</v>
      </c>
      <c r="B719" s="633">
        <v>13</v>
      </c>
      <c r="C719" s="633" t="s">
        <v>323</v>
      </c>
      <c r="D719" s="633" t="s">
        <v>324</v>
      </c>
      <c r="F719" s="633" t="s">
        <v>325</v>
      </c>
      <c r="G719" s="633" t="s">
        <v>584</v>
      </c>
      <c r="H719" s="633" t="s">
        <v>343</v>
      </c>
      <c r="J719" s="633" t="s">
        <v>327</v>
      </c>
      <c r="K719" s="633" t="s">
        <v>261</v>
      </c>
      <c r="L719" s="633" t="s">
        <v>309</v>
      </c>
      <c r="M719" s="633" t="s">
        <v>471</v>
      </c>
      <c r="N719" s="633" t="s">
        <v>257</v>
      </c>
      <c r="O719" s="633">
        <v>5</v>
      </c>
      <c r="P719" s="633">
        <v>4</v>
      </c>
      <c r="Q719" s="633">
        <v>0</v>
      </c>
      <c r="T719" s="594">
        <v>41736.707546296297</v>
      </c>
    </row>
    <row r="720" spans="1:20" x14ac:dyDescent="0.25">
      <c r="A720" s="633" t="s">
        <v>308</v>
      </c>
      <c r="B720" s="633">
        <v>13</v>
      </c>
      <c r="C720" s="633" t="s">
        <v>323</v>
      </c>
      <c r="D720" s="633" t="s">
        <v>324</v>
      </c>
      <c r="F720" s="633" t="s">
        <v>325</v>
      </c>
      <c r="G720" s="633" t="s">
        <v>584</v>
      </c>
      <c r="H720" s="633" t="s">
        <v>353</v>
      </c>
      <c r="J720" s="633" t="s">
        <v>327</v>
      </c>
      <c r="K720" s="633" t="s">
        <v>261</v>
      </c>
      <c r="L720" s="633" t="s">
        <v>309</v>
      </c>
      <c r="M720" s="633" t="s">
        <v>471</v>
      </c>
      <c r="N720" s="633" t="s">
        <v>257</v>
      </c>
      <c r="O720" s="633">
        <v>4</v>
      </c>
      <c r="P720" s="633">
        <v>7</v>
      </c>
      <c r="Q720" s="633">
        <v>0</v>
      </c>
      <c r="T720" s="594">
        <v>41736.707546296297</v>
      </c>
    </row>
    <row r="721" spans="1:20" x14ac:dyDescent="0.25">
      <c r="A721" s="633" t="s">
        <v>308</v>
      </c>
      <c r="B721" s="633">
        <v>13</v>
      </c>
      <c r="C721" s="633" t="s">
        <v>323</v>
      </c>
      <c r="D721" s="633" t="s">
        <v>324</v>
      </c>
      <c r="F721" s="633" t="s">
        <v>325</v>
      </c>
      <c r="G721" s="633" t="s">
        <v>584</v>
      </c>
      <c r="H721" s="633" t="s">
        <v>354</v>
      </c>
      <c r="J721" s="633" t="s">
        <v>327</v>
      </c>
      <c r="K721" s="633" t="s">
        <v>261</v>
      </c>
      <c r="L721" s="633" t="s">
        <v>309</v>
      </c>
      <c r="M721" s="633" t="s">
        <v>471</v>
      </c>
      <c r="N721" s="633" t="s">
        <v>257</v>
      </c>
      <c r="O721" s="633">
        <v>4</v>
      </c>
      <c r="P721" s="633">
        <v>6</v>
      </c>
      <c r="Q721" s="633">
        <v>48</v>
      </c>
      <c r="T721" s="594">
        <v>41736.707546296297</v>
      </c>
    </row>
    <row r="722" spans="1:20" x14ac:dyDescent="0.25">
      <c r="A722" s="633" t="s">
        <v>308</v>
      </c>
      <c r="B722" s="633">
        <v>13</v>
      </c>
      <c r="C722" s="633" t="s">
        <v>323</v>
      </c>
      <c r="D722" s="633" t="s">
        <v>324</v>
      </c>
      <c r="F722" s="633" t="s">
        <v>325</v>
      </c>
      <c r="G722" s="633" t="s">
        <v>584</v>
      </c>
      <c r="H722" s="633" t="s">
        <v>350</v>
      </c>
      <c r="J722" s="633" t="s">
        <v>327</v>
      </c>
      <c r="K722" s="633" t="s">
        <v>261</v>
      </c>
      <c r="L722" s="633" t="s">
        <v>309</v>
      </c>
      <c r="M722" s="633" t="s">
        <v>471</v>
      </c>
      <c r="N722" s="633" t="s">
        <v>257</v>
      </c>
      <c r="O722" s="633">
        <v>4</v>
      </c>
      <c r="P722" s="633">
        <v>4</v>
      </c>
      <c r="Q722" s="633">
        <v>229</v>
      </c>
      <c r="T722" s="594">
        <v>41736.707546296297</v>
      </c>
    </row>
    <row r="723" spans="1:20" x14ac:dyDescent="0.25">
      <c r="A723" s="633" t="s">
        <v>308</v>
      </c>
      <c r="B723" s="633">
        <v>13</v>
      </c>
      <c r="C723" s="633" t="s">
        <v>323</v>
      </c>
      <c r="D723" s="633" t="s">
        <v>324</v>
      </c>
      <c r="F723" s="633" t="s">
        <v>325</v>
      </c>
      <c r="G723" s="633" t="s">
        <v>584</v>
      </c>
      <c r="H723" s="633" t="s">
        <v>347</v>
      </c>
      <c r="J723" s="633" t="s">
        <v>327</v>
      </c>
      <c r="K723" s="633" t="s">
        <v>261</v>
      </c>
      <c r="L723" s="633" t="s">
        <v>309</v>
      </c>
      <c r="M723" s="633" t="s">
        <v>471</v>
      </c>
      <c r="N723" s="633" t="s">
        <v>257</v>
      </c>
      <c r="O723" s="633">
        <v>5</v>
      </c>
      <c r="P723" s="633">
        <v>6</v>
      </c>
      <c r="Q723" s="633">
        <v>0</v>
      </c>
      <c r="T723" s="594">
        <v>41736.707546296297</v>
      </c>
    </row>
    <row r="724" spans="1:20" x14ac:dyDescent="0.25">
      <c r="A724" s="633" t="s">
        <v>308</v>
      </c>
      <c r="B724" s="633">
        <v>13</v>
      </c>
      <c r="C724" s="633" t="s">
        <v>323</v>
      </c>
      <c r="D724" s="633" t="s">
        <v>324</v>
      </c>
      <c r="F724" s="633" t="s">
        <v>325</v>
      </c>
      <c r="G724" s="633" t="s">
        <v>584</v>
      </c>
      <c r="H724" s="633" t="s">
        <v>361</v>
      </c>
      <c r="J724" s="633" t="s">
        <v>327</v>
      </c>
      <c r="K724" s="633" t="s">
        <v>261</v>
      </c>
      <c r="L724" s="633" t="s">
        <v>309</v>
      </c>
      <c r="M724" s="633" t="s">
        <v>471</v>
      </c>
      <c r="N724" s="633" t="s">
        <v>257</v>
      </c>
      <c r="O724" s="633">
        <v>3</v>
      </c>
      <c r="P724" s="633">
        <v>6</v>
      </c>
      <c r="Q724" s="633">
        <v>4</v>
      </c>
      <c r="T724" s="594">
        <v>41736.707546296297</v>
      </c>
    </row>
    <row r="725" spans="1:20" x14ac:dyDescent="0.25">
      <c r="A725" s="633" t="s">
        <v>308</v>
      </c>
      <c r="B725" s="633">
        <v>13</v>
      </c>
      <c r="C725" s="633" t="s">
        <v>323</v>
      </c>
      <c r="D725" s="633" t="s">
        <v>324</v>
      </c>
      <c r="F725" s="633" t="s">
        <v>325</v>
      </c>
      <c r="G725" s="633" t="s">
        <v>584</v>
      </c>
      <c r="H725" s="633" t="s">
        <v>382</v>
      </c>
      <c r="J725" s="633" t="s">
        <v>327</v>
      </c>
      <c r="K725" s="633" t="s">
        <v>261</v>
      </c>
      <c r="L725" s="633" t="s">
        <v>309</v>
      </c>
      <c r="M725" s="633" t="s">
        <v>471</v>
      </c>
      <c r="N725" s="633" t="s">
        <v>257</v>
      </c>
      <c r="O725" s="633">
        <v>6</v>
      </c>
      <c r="P725" s="633">
        <v>6</v>
      </c>
      <c r="Q725" s="633">
        <v>3</v>
      </c>
      <c r="T725" s="594">
        <v>41736.707546296297</v>
      </c>
    </row>
    <row r="726" spans="1:20" x14ac:dyDescent="0.25">
      <c r="A726" s="633" t="s">
        <v>308</v>
      </c>
      <c r="B726" s="633">
        <v>13</v>
      </c>
      <c r="C726" s="633" t="s">
        <v>323</v>
      </c>
      <c r="D726" s="633" t="s">
        <v>324</v>
      </c>
      <c r="F726" s="633" t="s">
        <v>325</v>
      </c>
      <c r="G726" s="633" t="s">
        <v>584</v>
      </c>
      <c r="H726" s="633" t="s">
        <v>378</v>
      </c>
      <c r="J726" s="633" t="s">
        <v>327</v>
      </c>
      <c r="K726" s="633" t="s">
        <v>261</v>
      </c>
      <c r="L726" s="633" t="s">
        <v>309</v>
      </c>
      <c r="M726" s="633" t="s">
        <v>471</v>
      </c>
      <c r="N726" s="633" t="s">
        <v>257</v>
      </c>
      <c r="O726" s="633">
        <v>6</v>
      </c>
      <c r="P726" s="633">
        <v>4</v>
      </c>
      <c r="Q726" s="633">
        <v>3</v>
      </c>
      <c r="T726" s="594">
        <v>41736.707546296297</v>
      </c>
    </row>
    <row r="727" spans="1:20" x14ac:dyDescent="0.25">
      <c r="A727" s="633" t="s">
        <v>308</v>
      </c>
      <c r="B727" s="633">
        <v>13</v>
      </c>
      <c r="C727" s="633" t="s">
        <v>323</v>
      </c>
      <c r="D727" s="633" t="s">
        <v>324</v>
      </c>
      <c r="F727" s="633" t="s">
        <v>325</v>
      </c>
      <c r="G727" s="633" t="s">
        <v>584</v>
      </c>
      <c r="H727" s="633" t="s">
        <v>336</v>
      </c>
      <c r="J727" s="633" t="s">
        <v>327</v>
      </c>
      <c r="K727" s="633" t="s">
        <v>261</v>
      </c>
      <c r="L727" s="633" t="s">
        <v>309</v>
      </c>
      <c r="M727" s="633" t="s">
        <v>471</v>
      </c>
      <c r="N727" s="633" t="s">
        <v>257</v>
      </c>
      <c r="O727" s="633">
        <v>2</v>
      </c>
      <c r="P727" s="633">
        <v>4</v>
      </c>
      <c r="Q727" s="633">
        <v>5</v>
      </c>
      <c r="T727" s="594">
        <v>41736.707546296297</v>
      </c>
    </row>
    <row r="728" spans="1:20" x14ac:dyDescent="0.25">
      <c r="A728" s="633" t="s">
        <v>308</v>
      </c>
      <c r="B728" s="633">
        <v>13</v>
      </c>
      <c r="C728" s="633" t="s">
        <v>323</v>
      </c>
      <c r="D728" s="633" t="s">
        <v>324</v>
      </c>
      <c r="F728" s="633" t="s">
        <v>325</v>
      </c>
      <c r="G728" s="633" t="s">
        <v>584</v>
      </c>
      <c r="H728" s="633" t="s">
        <v>360</v>
      </c>
      <c r="J728" s="633" t="s">
        <v>327</v>
      </c>
      <c r="K728" s="633" t="s">
        <v>261</v>
      </c>
      <c r="L728" s="633" t="s">
        <v>309</v>
      </c>
      <c r="M728" s="633" t="s">
        <v>471</v>
      </c>
      <c r="N728" s="633" t="s">
        <v>257</v>
      </c>
      <c r="O728" s="633">
        <v>3</v>
      </c>
      <c r="P728" s="633">
        <v>7</v>
      </c>
      <c r="Q728" s="633">
        <v>0</v>
      </c>
      <c r="T728" s="594">
        <v>41736.707546296297</v>
      </c>
    </row>
    <row r="729" spans="1:20" x14ac:dyDescent="0.25">
      <c r="A729" s="633" t="s">
        <v>308</v>
      </c>
      <c r="B729" s="633">
        <v>13</v>
      </c>
      <c r="C729" s="633" t="s">
        <v>323</v>
      </c>
      <c r="D729" s="633" t="s">
        <v>324</v>
      </c>
      <c r="F729" s="633" t="s">
        <v>325</v>
      </c>
      <c r="G729" s="633" t="s">
        <v>584</v>
      </c>
      <c r="H729" s="633" t="s">
        <v>346</v>
      </c>
      <c r="J729" s="633" t="s">
        <v>327</v>
      </c>
      <c r="K729" s="633" t="s">
        <v>261</v>
      </c>
      <c r="L729" s="633" t="s">
        <v>309</v>
      </c>
      <c r="M729" s="633" t="s">
        <v>471</v>
      </c>
      <c r="N729" s="633" t="s">
        <v>257</v>
      </c>
      <c r="O729" s="633">
        <v>5</v>
      </c>
      <c r="P729" s="633">
        <v>7</v>
      </c>
      <c r="Q729" s="633">
        <v>0</v>
      </c>
      <c r="T729" s="594">
        <v>41736.707546296297</v>
      </c>
    </row>
    <row r="730" spans="1:20" x14ac:dyDescent="0.25">
      <c r="A730" s="633" t="s">
        <v>308</v>
      </c>
      <c r="B730" s="633">
        <v>13</v>
      </c>
      <c r="C730" s="633" t="s">
        <v>323</v>
      </c>
      <c r="D730" s="633" t="s">
        <v>324</v>
      </c>
      <c r="F730" s="633" t="s">
        <v>325</v>
      </c>
      <c r="G730" s="633" t="s">
        <v>584</v>
      </c>
      <c r="H730" s="633" t="s">
        <v>371</v>
      </c>
      <c r="J730" s="633" t="s">
        <v>327</v>
      </c>
      <c r="K730" s="633" t="s">
        <v>261</v>
      </c>
      <c r="L730" s="633" t="s">
        <v>309</v>
      </c>
      <c r="M730" s="633" t="s">
        <v>471</v>
      </c>
      <c r="N730" s="633" t="s">
        <v>257</v>
      </c>
      <c r="O730" s="633">
        <v>1</v>
      </c>
      <c r="P730" s="633">
        <v>4</v>
      </c>
      <c r="Q730" s="633">
        <v>29</v>
      </c>
      <c r="T730" s="594">
        <v>41736.707546296297</v>
      </c>
    </row>
    <row r="731" spans="1:20" x14ac:dyDescent="0.25">
      <c r="A731" s="633" t="s">
        <v>308</v>
      </c>
      <c r="B731" s="633">
        <v>13</v>
      </c>
      <c r="C731" s="633" t="s">
        <v>323</v>
      </c>
      <c r="D731" s="633" t="s">
        <v>324</v>
      </c>
      <c r="F731" s="633" t="s">
        <v>325</v>
      </c>
      <c r="G731" s="633" t="s">
        <v>584</v>
      </c>
      <c r="H731" s="633" t="s">
        <v>349</v>
      </c>
      <c r="J731" s="633" t="s">
        <v>327</v>
      </c>
      <c r="K731" s="633" t="s">
        <v>261</v>
      </c>
      <c r="L731" s="633" t="s">
        <v>309</v>
      </c>
      <c r="M731" s="633" t="s">
        <v>471</v>
      </c>
      <c r="N731" s="633" t="s">
        <v>257</v>
      </c>
      <c r="O731" s="633">
        <v>4</v>
      </c>
      <c r="P731" s="633">
        <v>5</v>
      </c>
      <c r="Q731" s="633">
        <v>7</v>
      </c>
      <c r="T731" s="594">
        <v>41736.707546296297</v>
      </c>
    </row>
    <row r="732" spans="1:20" x14ac:dyDescent="0.25">
      <c r="A732" s="633" t="s">
        <v>308</v>
      </c>
      <c r="B732" s="633">
        <v>13</v>
      </c>
      <c r="C732" s="633" t="s">
        <v>323</v>
      </c>
      <c r="D732" s="633" t="s">
        <v>324</v>
      </c>
      <c r="F732" s="633" t="s">
        <v>325</v>
      </c>
      <c r="G732" s="633" t="s">
        <v>584</v>
      </c>
      <c r="H732" s="633" t="s">
        <v>342</v>
      </c>
      <c r="J732" s="633" t="s">
        <v>327</v>
      </c>
      <c r="K732" s="633" t="s">
        <v>261</v>
      </c>
      <c r="L732" s="633" t="s">
        <v>309</v>
      </c>
      <c r="M732" s="633" t="s">
        <v>471</v>
      </c>
      <c r="N732" s="633" t="s">
        <v>257</v>
      </c>
      <c r="O732" s="633">
        <v>5</v>
      </c>
      <c r="P732" s="633">
        <v>5</v>
      </c>
      <c r="Q732" s="633">
        <v>0</v>
      </c>
      <c r="T732" s="594">
        <v>41736.707546296297</v>
      </c>
    </row>
    <row r="733" spans="1:20" x14ac:dyDescent="0.25">
      <c r="A733" s="633" t="s">
        <v>308</v>
      </c>
      <c r="B733" s="633">
        <v>13</v>
      </c>
      <c r="C733" s="633" t="s">
        <v>323</v>
      </c>
      <c r="D733" s="633" t="s">
        <v>324</v>
      </c>
      <c r="F733" s="633" t="s">
        <v>325</v>
      </c>
      <c r="G733" s="633" t="s">
        <v>584</v>
      </c>
      <c r="H733" s="633" t="s">
        <v>326</v>
      </c>
      <c r="J733" s="633" t="s">
        <v>327</v>
      </c>
      <c r="K733" s="633" t="s">
        <v>261</v>
      </c>
      <c r="L733" s="633" t="s">
        <v>309</v>
      </c>
      <c r="M733" s="633" t="s">
        <v>471</v>
      </c>
      <c r="N733" s="633" t="s">
        <v>257</v>
      </c>
      <c r="O733" s="633">
        <v>2</v>
      </c>
      <c r="Q733" s="633">
        <v>0</v>
      </c>
      <c r="T733" s="594">
        <v>41736.707546296297</v>
      </c>
    </row>
    <row r="734" spans="1:20" x14ac:dyDescent="0.25">
      <c r="A734" s="633" t="s">
        <v>308</v>
      </c>
      <c r="B734" s="633">
        <v>13</v>
      </c>
      <c r="C734" s="633" t="s">
        <v>323</v>
      </c>
      <c r="D734" s="633" t="s">
        <v>324</v>
      </c>
      <c r="F734" s="633" t="s">
        <v>325</v>
      </c>
      <c r="G734" s="633" t="s">
        <v>584</v>
      </c>
      <c r="H734" s="633" t="s">
        <v>329</v>
      </c>
      <c r="J734" s="633" t="s">
        <v>327</v>
      </c>
      <c r="K734" s="633" t="s">
        <v>261</v>
      </c>
      <c r="L734" s="633" t="s">
        <v>309</v>
      </c>
      <c r="M734" s="633" t="s">
        <v>471</v>
      </c>
      <c r="N734" s="633" t="s">
        <v>257</v>
      </c>
      <c r="O734" s="633">
        <v>4</v>
      </c>
      <c r="Q734" s="633">
        <v>17</v>
      </c>
      <c r="T734" s="594">
        <v>41736.707546296297</v>
      </c>
    </row>
    <row r="735" spans="1:20" x14ac:dyDescent="0.25">
      <c r="A735" s="633" t="s">
        <v>308</v>
      </c>
      <c r="B735" s="633">
        <v>13</v>
      </c>
      <c r="C735" s="633" t="s">
        <v>323</v>
      </c>
      <c r="D735" s="633" t="s">
        <v>324</v>
      </c>
      <c r="F735" s="633" t="s">
        <v>325</v>
      </c>
      <c r="G735" s="633" t="s">
        <v>584</v>
      </c>
      <c r="H735" s="633" t="s">
        <v>330</v>
      </c>
      <c r="J735" s="633" t="s">
        <v>327</v>
      </c>
      <c r="K735" s="633" t="s">
        <v>261</v>
      </c>
      <c r="L735" s="633" t="s">
        <v>309</v>
      </c>
      <c r="M735" s="633" t="s">
        <v>471</v>
      </c>
      <c r="N735" s="633" t="s">
        <v>257</v>
      </c>
      <c r="O735" s="633">
        <v>3</v>
      </c>
      <c r="Q735" s="633">
        <v>4</v>
      </c>
      <c r="T735" s="594">
        <v>41736.707546296297</v>
      </c>
    </row>
    <row r="736" spans="1:20" x14ac:dyDescent="0.25">
      <c r="A736" s="633" t="s">
        <v>308</v>
      </c>
      <c r="B736" s="633">
        <v>13</v>
      </c>
      <c r="C736" s="633" t="s">
        <v>323</v>
      </c>
      <c r="D736" s="633" t="s">
        <v>324</v>
      </c>
      <c r="F736" s="633" t="s">
        <v>325</v>
      </c>
      <c r="G736" s="633" t="s">
        <v>584</v>
      </c>
      <c r="H736" s="633" t="s">
        <v>339</v>
      </c>
      <c r="J736" s="633" t="s">
        <v>327</v>
      </c>
      <c r="K736" s="633" t="s">
        <v>261</v>
      </c>
      <c r="L736" s="633" t="s">
        <v>309</v>
      </c>
      <c r="M736" s="633" t="s">
        <v>471</v>
      </c>
      <c r="N736" s="633" t="s">
        <v>257</v>
      </c>
      <c r="O736" s="633">
        <v>2</v>
      </c>
      <c r="P736" s="633">
        <v>7</v>
      </c>
      <c r="Q736" s="633">
        <v>0</v>
      </c>
      <c r="T736" s="594">
        <v>41736.707546296297</v>
      </c>
    </row>
    <row r="737" spans="1:20" x14ac:dyDescent="0.25">
      <c r="A737" s="633" t="s">
        <v>308</v>
      </c>
      <c r="B737" s="633">
        <v>13</v>
      </c>
      <c r="C737" s="633" t="s">
        <v>323</v>
      </c>
      <c r="D737" s="633" t="s">
        <v>324</v>
      </c>
      <c r="F737" s="633" t="s">
        <v>325</v>
      </c>
      <c r="G737" s="633" t="s">
        <v>584</v>
      </c>
      <c r="H737" s="633" t="s">
        <v>377</v>
      </c>
      <c r="J737" s="633" t="s">
        <v>327</v>
      </c>
      <c r="K737" s="633" t="s">
        <v>261</v>
      </c>
      <c r="L737" s="633" t="s">
        <v>309</v>
      </c>
      <c r="M737" s="633" t="s">
        <v>471</v>
      </c>
      <c r="N737" s="633" t="s">
        <v>257</v>
      </c>
      <c r="O737" s="633">
        <v>6</v>
      </c>
      <c r="P737" s="633">
        <v>5</v>
      </c>
      <c r="Q737" s="633">
        <v>1</v>
      </c>
      <c r="T737" s="594">
        <v>41736.707546296297</v>
      </c>
    </row>
    <row r="738" spans="1:20" x14ac:dyDescent="0.25">
      <c r="A738" s="633" t="s">
        <v>308</v>
      </c>
      <c r="B738" s="633">
        <v>13</v>
      </c>
      <c r="C738" s="633" t="s">
        <v>323</v>
      </c>
      <c r="D738" s="633" t="s">
        <v>324</v>
      </c>
      <c r="F738" s="633" t="s">
        <v>325</v>
      </c>
      <c r="G738" s="633" t="s">
        <v>584</v>
      </c>
      <c r="H738" s="633" t="s">
        <v>331</v>
      </c>
      <c r="J738" s="633" t="s">
        <v>327</v>
      </c>
      <c r="K738" s="633" t="s">
        <v>261</v>
      </c>
      <c r="L738" s="633" t="s">
        <v>309</v>
      </c>
      <c r="M738" s="633" t="s">
        <v>471</v>
      </c>
      <c r="N738" s="633" t="s">
        <v>257</v>
      </c>
      <c r="Q738" s="633">
        <v>12</v>
      </c>
      <c r="T738" s="594">
        <v>41736.707546296297</v>
      </c>
    </row>
    <row r="739" spans="1:20" x14ac:dyDescent="0.25">
      <c r="A739" s="633" t="s">
        <v>308</v>
      </c>
      <c r="B739" s="633">
        <v>13</v>
      </c>
      <c r="C739" s="633" t="s">
        <v>323</v>
      </c>
      <c r="D739" s="633" t="s">
        <v>324</v>
      </c>
      <c r="F739" s="633" t="s">
        <v>325</v>
      </c>
      <c r="G739" s="633" t="s">
        <v>584</v>
      </c>
      <c r="H739" s="633" t="s">
        <v>367</v>
      </c>
      <c r="J739" s="633" t="s">
        <v>327</v>
      </c>
      <c r="K739" s="633" t="s">
        <v>261</v>
      </c>
      <c r="L739" s="633" t="s">
        <v>309</v>
      </c>
      <c r="M739" s="633" t="s">
        <v>471</v>
      </c>
      <c r="N739" s="633" t="s">
        <v>257</v>
      </c>
      <c r="P739" s="633">
        <v>7</v>
      </c>
      <c r="Q739" s="633">
        <v>0</v>
      </c>
      <c r="T739" s="594">
        <v>41736.707546296297</v>
      </c>
    </row>
    <row r="740" spans="1:20" x14ac:dyDescent="0.25">
      <c r="A740" s="633" t="s">
        <v>308</v>
      </c>
      <c r="B740" s="633">
        <v>13</v>
      </c>
      <c r="C740" s="633" t="s">
        <v>323</v>
      </c>
      <c r="D740" s="633" t="s">
        <v>324</v>
      </c>
      <c r="F740" s="633" t="s">
        <v>325</v>
      </c>
      <c r="G740" s="633" t="s">
        <v>584</v>
      </c>
      <c r="H740" s="633" t="s">
        <v>335</v>
      </c>
      <c r="J740" s="633" t="s">
        <v>327</v>
      </c>
      <c r="K740" s="633" t="s">
        <v>261</v>
      </c>
      <c r="L740" s="633" t="s">
        <v>309</v>
      </c>
      <c r="M740" s="633" t="s">
        <v>471</v>
      </c>
      <c r="N740" s="633" t="s">
        <v>257</v>
      </c>
      <c r="O740" s="633">
        <v>2</v>
      </c>
      <c r="P740" s="633">
        <v>5</v>
      </c>
      <c r="Q740" s="633">
        <v>0</v>
      </c>
      <c r="T740" s="594">
        <v>41736.707546296297</v>
      </c>
    </row>
    <row r="741" spans="1:20" x14ac:dyDescent="0.25">
      <c r="A741" s="633" t="s">
        <v>308</v>
      </c>
      <c r="B741" s="633">
        <v>13</v>
      </c>
      <c r="C741" s="633" t="s">
        <v>323</v>
      </c>
      <c r="D741" s="633" t="s">
        <v>324</v>
      </c>
      <c r="F741" s="633" t="s">
        <v>325</v>
      </c>
      <c r="G741" s="633" t="s">
        <v>584</v>
      </c>
      <c r="H741" s="633" t="s">
        <v>357</v>
      </c>
      <c r="J741" s="633" t="s">
        <v>327</v>
      </c>
      <c r="K741" s="633" t="s">
        <v>261</v>
      </c>
      <c r="L741" s="633" t="s">
        <v>309</v>
      </c>
      <c r="M741" s="633" t="s">
        <v>471</v>
      </c>
      <c r="N741" s="633" t="s">
        <v>257</v>
      </c>
      <c r="O741" s="633">
        <v>3</v>
      </c>
      <c r="P741" s="633">
        <v>4</v>
      </c>
      <c r="Q741" s="633">
        <v>85</v>
      </c>
      <c r="T741" s="594">
        <v>41736.707546296297</v>
      </c>
    </row>
    <row r="742" spans="1:20" x14ac:dyDescent="0.25">
      <c r="A742" s="633" t="s">
        <v>308</v>
      </c>
      <c r="B742" s="633">
        <v>13</v>
      </c>
      <c r="C742" s="633" t="s">
        <v>323</v>
      </c>
      <c r="D742" s="633" t="s">
        <v>324</v>
      </c>
      <c r="F742" s="633" t="s">
        <v>325</v>
      </c>
      <c r="G742" s="633" t="s">
        <v>584</v>
      </c>
      <c r="H742" s="633" t="s">
        <v>332</v>
      </c>
      <c r="J742" s="633" t="s">
        <v>327</v>
      </c>
      <c r="K742" s="633" t="s">
        <v>261</v>
      </c>
      <c r="L742" s="633" t="s">
        <v>309</v>
      </c>
      <c r="M742" s="633" t="s">
        <v>471</v>
      </c>
      <c r="N742" s="633" t="s">
        <v>257</v>
      </c>
      <c r="O742" s="633">
        <v>1</v>
      </c>
      <c r="Q742" s="633">
        <v>2</v>
      </c>
      <c r="T742" s="594">
        <v>41736.707546296297</v>
      </c>
    </row>
    <row r="743" spans="1:20" x14ac:dyDescent="0.25">
      <c r="A743" s="633" t="s">
        <v>308</v>
      </c>
      <c r="B743" s="633">
        <v>13</v>
      </c>
      <c r="C743" s="633" t="s">
        <v>323</v>
      </c>
      <c r="D743" s="633" t="s">
        <v>324</v>
      </c>
      <c r="F743" s="633" t="s">
        <v>325</v>
      </c>
      <c r="G743" s="633" t="s">
        <v>584</v>
      </c>
      <c r="H743" s="633" t="s">
        <v>365</v>
      </c>
      <c r="J743" s="633" t="s">
        <v>327</v>
      </c>
      <c r="K743" s="633" t="s">
        <v>261</v>
      </c>
      <c r="L743" s="633" t="s">
        <v>309</v>
      </c>
      <c r="M743" s="633" t="s">
        <v>471</v>
      </c>
      <c r="N743" s="633" t="s">
        <v>257</v>
      </c>
      <c r="P743" s="633">
        <v>3</v>
      </c>
      <c r="Q743" s="633">
        <v>0</v>
      </c>
      <c r="T743" s="594">
        <v>41736.707546296297</v>
      </c>
    </row>
    <row r="744" spans="1:20" x14ac:dyDescent="0.25">
      <c r="A744" s="633" t="s">
        <v>308</v>
      </c>
      <c r="B744" s="633">
        <v>13</v>
      </c>
      <c r="C744" s="633" t="s">
        <v>323</v>
      </c>
      <c r="D744" s="633" t="s">
        <v>324</v>
      </c>
      <c r="F744" s="633" t="s">
        <v>325</v>
      </c>
      <c r="G744" s="633" t="s">
        <v>584</v>
      </c>
      <c r="H744" s="633" t="s">
        <v>363</v>
      </c>
      <c r="J744" s="633" t="s">
        <v>327</v>
      </c>
      <c r="K744" s="633" t="s">
        <v>261</v>
      </c>
      <c r="L744" s="633" t="s">
        <v>309</v>
      </c>
      <c r="M744" s="633" t="s">
        <v>471</v>
      </c>
      <c r="N744" s="633" t="s">
        <v>257</v>
      </c>
      <c r="P744" s="633">
        <v>5</v>
      </c>
      <c r="Q744" s="633">
        <v>0</v>
      </c>
      <c r="T744" s="594">
        <v>41736.707546296297</v>
      </c>
    </row>
    <row r="745" spans="1:20" x14ac:dyDescent="0.25">
      <c r="A745" s="633" t="s">
        <v>308</v>
      </c>
      <c r="B745" s="633">
        <v>13</v>
      </c>
      <c r="C745" s="633" t="s">
        <v>323</v>
      </c>
      <c r="D745" s="633" t="s">
        <v>324</v>
      </c>
      <c r="F745" s="633" t="s">
        <v>325</v>
      </c>
      <c r="G745" s="633" t="s">
        <v>584</v>
      </c>
      <c r="H745" s="633" t="s">
        <v>329</v>
      </c>
      <c r="J745" s="633" t="s">
        <v>327</v>
      </c>
      <c r="K745" s="633" t="s">
        <v>261</v>
      </c>
      <c r="L745" s="633" t="s">
        <v>309</v>
      </c>
      <c r="M745" s="633" t="s">
        <v>470</v>
      </c>
      <c r="N745" s="633" t="s">
        <v>255</v>
      </c>
      <c r="O745" s="633">
        <v>4</v>
      </c>
      <c r="Q745" s="633">
        <v>1281</v>
      </c>
      <c r="T745" s="594">
        <v>41736.707546296297</v>
      </c>
    </row>
    <row r="746" spans="1:20" x14ac:dyDescent="0.25">
      <c r="A746" s="633" t="s">
        <v>308</v>
      </c>
      <c r="B746" s="633">
        <v>13</v>
      </c>
      <c r="C746" s="633" t="s">
        <v>323</v>
      </c>
      <c r="D746" s="633" t="s">
        <v>324</v>
      </c>
      <c r="F746" s="633" t="s">
        <v>325</v>
      </c>
      <c r="G746" s="633" t="s">
        <v>584</v>
      </c>
      <c r="H746" s="633" t="s">
        <v>332</v>
      </c>
      <c r="J746" s="633" t="s">
        <v>327</v>
      </c>
      <c r="K746" s="633" t="s">
        <v>261</v>
      </c>
      <c r="L746" s="633" t="s">
        <v>309</v>
      </c>
      <c r="M746" s="633" t="s">
        <v>470</v>
      </c>
      <c r="N746" s="633" t="s">
        <v>255</v>
      </c>
      <c r="O746" s="633">
        <v>1</v>
      </c>
      <c r="Q746" s="633">
        <v>1</v>
      </c>
      <c r="T746" s="594">
        <v>41736.707546296297</v>
      </c>
    </row>
    <row r="747" spans="1:20" x14ac:dyDescent="0.25">
      <c r="A747" s="633" t="s">
        <v>308</v>
      </c>
      <c r="B747" s="633">
        <v>13</v>
      </c>
      <c r="C747" s="633" t="s">
        <v>323</v>
      </c>
      <c r="D747" s="633" t="s">
        <v>324</v>
      </c>
      <c r="F747" s="633" t="s">
        <v>325</v>
      </c>
      <c r="G747" s="633" t="s">
        <v>584</v>
      </c>
      <c r="H747" s="633" t="s">
        <v>331</v>
      </c>
      <c r="J747" s="633" t="s">
        <v>327</v>
      </c>
      <c r="K747" s="633" t="s">
        <v>261</v>
      </c>
      <c r="L747" s="633" t="s">
        <v>309</v>
      </c>
      <c r="M747" s="633" t="s">
        <v>470</v>
      </c>
      <c r="N747" s="633" t="s">
        <v>255</v>
      </c>
      <c r="Q747" s="633">
        <v>195</v>
      </c>
      <c r="T747" s="594">
        <v>41736.707546296297</v>
      </c>
    </row>
    <row r="748" spans="1:20" x14ac:dyDescent="0.25">
      <c r="A748" s="633" t="s">
        <v>308</v>
      </c>
      <c r="B748" s="633">
        <v>13</v>
      </c>
      <c r="C748" s="633" t="s">
        <v>323</v>
      </c>
      <c r="D748" s="633" t="s">
        <v>324</v>
      </c>
      <c r="F748" s="633" t="s">
        <v>325</v>
      </c>
      <c r="G748" s="633" t="s">
        <v>584</v>
      </c>
      <c r="H748" s="633" t="s">
        <v>330</v>
      </c>
      <c r="J748" s="633" t="s">
        <v>327</v>
      </c>
      <c r="K748" s="633" t="s">
        <v>261</v>
      </c>
      <c r="L748" s="633" t="s">
        <v>309</v>
      </c>
      <c r="M748" s="633" t="s">
        <v>470</v>
      </c>
      <c r="N748" s="633" t="s">
        <v>255</v>
      </c>
      <c r="O748" s="633">
        <v>3</v>
      </c>
      <c r="Q748" s="633">
        <v>506</v>
      </c>
      <c r="T748" s="594">
        <v>41736.707546296297</v>
      </c>
    </row>
    <row r="749" spans="1:20" x14ac:dyDescent="0.25">
      <c r="A749" s="633" t="s">
        <v>308</v>
      </c>
      <c r="B749" s="633">
        <v>13</v>
      </c>
      <c r="C749" s="633" t="s">
        <v>323</v>
      </c>
      <c r="D749" s="633" t="s">
        <v>324</v>
      </c>
      <c r="F749" s="633" t="s">
        <v>325</v>
      </c>
      <c r="G749" s="633" t="s">
        <v>584</v>
      </c>
      <c r="H749" s="633" t="s">
        <v>328</v>
      </c>
      <c r="J749" s="633" t="s">
        <v>327</v>
      </c>
      <c r="K749" s="633" t="s">
        <v>261</v>
      </c>
      <c r="L749" s="633" t="s">
        <v>309</v>
      </c>
      <c r="M749" s="633" t="s">
        <v>470</v>
      </c>
      <c r="N749" s="633" t="s">
        <v>255</v>
      </c>
      <c r="O749" s="633">
        <v>5</v>
      </c>
      <c r="Q749" s="633">
        <v>6</v>
      </c>
      <c r="T749" s="594">
        <v>41736.707546296297</v>
      </c>
    </row>
    <row r="750" spans="1:20" x14ac:dyDescent="0.25">
      <c r="A750" s="633" t="s">
        <v>308</v>
      </c>
      <c r="B750" s="633">
        <v>13</v>
      </c>
      <c r="C750" s="633" t="s">
        <v>323</v>
      </c>
      <c r="D750" s="633" t="s">
        <v>324</v>
      </c>
      <c r="F750" s="633" t="s">
        <v>325</v>
      </c>
      <c r="G750" s="633" t="s">
        <v>584</v>
      </c>
      <c r="H750" s="633" t="s">
        <v>333</v>
      </c>
      <c r="J750" s="633" t="s">
        <v>327</v>
      </c>
      <c r="K750" s="633" t="s">
        <v>261</v>
      </c>
      <c r="L750" s="633" t="s">
        <v>309</v>
      </c>
      <c r="M750" s="633" t="s">
        <v>470</v>
      </c>
      <c r="N750" s="633" t="s">
        <v>255</v>
      </c>
      <c r="O750" s="633">
        <v>6</v>
      </c>
      <c r="Q750" s="633">
        <v>23</v>
      </c>
      <c r="T750" s="594">
        <v>41736.707546296297</v>
      </c>
    </row>
    <row r="751" spans="1:20" x14ac:dyDescent="0.25">
      <c r="A751" s="633" t="s">
        <v>308</v>
      </c>
      <c r="B751" s="633">
        <v>13</v>
      </c>
      <c r="C751" s="633" t="s">
        <v>323</v>
      </c>
      <c r="D751" s="633" t="s">
        <v>324</v>
      </c>
      <c r="F751" s="633" t="s">
        <v>325</v>
      </c>
      <c r="G751" s="633" t="s">
        <v>584</v>
      </c>
      <c r="H751" s="633" t="s">
        <v>326</v>
      </c>
      <c r="J751" s="633" t="s">
        <v>327</v>
      </c>
      <c r="K751" s="633" t="s">
        <v>261</v>
      </c>
      <c r="L751" s="633" t="s">
        <v>309</v>
      </c>
      <c r="M751" s="633" t="s">
        <v>470</v>
      </c>
      <c r="N751" s="633" t="s">
        <v>255</v>
      </c>
      <c r="O751" s="633">
        <v>2</v>
      </c>
      <c r="Q751" s="633">
        <v>203</v>
      </c>
      <c r="T751" s="594">
        <v>41736.707546296297</v>
      </c>
    </row>
    <row r="752" spans="1:20" x14ac:dyDescent="0.25">
      <c r="A752" s="633" t="s">
        <v>308</v>
      </c>
      <c r="B752" s="633">
        <v>13</v>
      </c>
      <c r="C752" s="633" t="s">
        <v>323</v>
      </c>
      <c r="D752" s="633" t="s">
        <v>324</v>
      </c>
      <c r="F752" s="633" t="s">
        <v>325</v>
      </c>
      <c r="G752" s="633" t="s">
        <v>584</v>
      </c>
      <c r="H752" s="633" t="s">
        <v>336</v>
      </c>
      <c r="J752" s="633" t="s">
        <v>327</v>
      </c>
      <c r="K752" s="633" t="s">
        <v>261</v>
      </c>
      <c r="L752" s="633" t="s">
        <v>309</v>
      </c>
      <c r="M752" s="633" t="s">
        <v>471</v>
      </c>
      <c r="N752" s="633" t="s">
        <v>255</v>
      </c>
      <c r="O752" s="633">
        <v>2</v>
      </c>
      <c r="P752" s="633">
        <v>4</v>
      </c>
      <c r="Q752" s="633">
        <v>486</v>
      </c>
      <c r="T752" s="594">
        <v>41736.707546296297</v>
      </c>
    </row>
    <row r="753" spans="1:20" x14ac:dyDescent="0.25">
      <c r="A753" s="633" t="s">
        <v>308</v>
      </c>
      <c r="B753" s="633">
        <v>13</v>
      </c>
      <c r="C753" s="633" t="s">
        <v>323</v>
      </c>
      <c r="D753" s="633" t="s">
        <v>324</v>
      </c>
      <c r="F753" s="633" t="s">
        <v>325</v>
      </c>
      <c r="G753" s="633" t="s">
        <v>584</v>
      </c>
      <c r="H753" s="633" t="s">
        <v>372</v>
      </c>
      <c r="J753" s="633" t="s">
        <v>327</v>
      </c>
      <c r="K753" s="633" t="s">
        <v>261</v>
      </c>
      <c r="L753" s="633" t="s">
        <v>309</v>
      </c>
      <c r="M753" s="633" t="s">
        <v>471</v>
      </c>
      <c r="N753" s="633" t="s">
        <v>255</v>
      </c>
      <c r="O753" s="633">
        <v>1</v>
      </c>
      <c r="P753" s="633">
        <v>3</v>
      </c>
      <c r="Q753" s="633">
        <v>19</v>
      </c>
      <c r="T753" s="594">
        <v>41736.707546296297</v>
      </c>
    </row>
    <row r="754" spans="1:20" x14ac:dyDescent="0.25">
      <c r="A754" s="633" t="s">
        <v>308</v>
      </c>
      <c r="B754" s="633">
        <v>13</v>
      </c>
      <c r="C754" s="633" t="s">
        <v>323</v>
      </c>
      <c r="D754" s="633" t="s">
        <v>324</v>
      </c>
      <c r="F754" s="633" t="s">
        <v>325</v>
      </c>
      <c r="G754" s="633" t="s">
        <v>584</v>
      </c>
      <c r="H754" s="633" t="s">
        <v>374</v>
      </c>
      <c r="J754" s="633" t="s">
        <v>327</v>
      </c>
      <c r="K754" s="633" t="s">
        <v>261</v>
      </c>
      <c r="L754" s="633" t="s">
        <v>309</v>
      </c>
      <c r="M754" s="633" t="s">
        <v>471</v>
      </c>
      <c r="N754" s="633" t="s">
        <v>255</v>
      </c>
      <c r="O754" s="633">
        <v>1</v>
      </c>
      <c r="P754" s="633">
        <v>7</v>
      </c>
      <c r="Q754" s="633">
        <v>0</v>
      </c>
      <c r="T754" s="594">
        <v>41736.707546296297</v>
      </c>
    </row>
    <row r="755" spans="1:20" x14ac:dyDescent="0.25">
      <c r="A755" s="633" t="s">
        <v>308</v>
      </c>
      <c r="B755" s="633">
        <v>13</v>
      </c>
      <c r="C755" s="633" t="s">
        <v>323</v>
      </c>
      <c r="D755" s="633" t="s">
        <v>324</v>
      </c>
      <c r="F755" s="633" t="s">
        <v>325</v>
      </c>
      <c r="G755" s="633" t="s">
        <v>584</v>
      </c>
      <c r="H755" s="633" t="s">
        <v>344</v>
      </c>
      <c r="J755" s="633" t="s">
        <v>327</v>
      </c>
      <c r="K755" s="633" t="s">
        <v>261</v>
      </c>
      <c r="L755" s="633" t="s">
        <v>309</v>
      </c>
      <c r="M755" s="633" t="s">
        <v>471</v>
      </c>
      <c r="N755" s="633" t="s">
        <v>255</v>
      </c>
      <c r="O755" s="633">
        <v>5</v>
      </c>
      <c r="P755" s="633">
        <v>3</v>
      </c>
      <c r="Q755" s="633">
        <v>0</v>
      </c>
      <c r="T755" s="594">
        <v>41736.707546296297</v>
      </c>
    </row>
    <row r="756" spans="1:20" x14ac:dyDescent="0.25">
      <c r="A756" s="633" t="s">
        <v>308</v>
      </c>
      <c r="B756" s="633">
        <v>13</v>
      </c>
      <c r="C756" s="633" t="s">
        <v>323</v>
      </c>
      <c r="D756" s="633" t="s">
        <v>324</v>
      </c>
      <c r="F756" s="633" t="s">
        <v>325</v>
      </c>
      <c r="G756" s="633" t="s">
        <v>584</v>
      </c>
      <c r="H756" s="633" t="s">
        <v>348</v>
      </c>
      <c r="J756" s="633" t="s">
        <v>327</v>
      </c>
      <c r="K756" s="633" t="s">
        <v>261</v>
      </c>
      <c r="L756" s="633" t="s">
        <v>309</v>
      </c>
      <c r="M756" s="633" t="s">
        <v>471</v>
      </c>
      <c r="N756" s="633" t="s">
        <v>255</v>
      </c>
      <c r="O756" s="633">
        <v>4</v>
      </c>
      <c r="P756" s="633">
        <v>2</v>
      </c>
      <c r="Q756" s="633">
        <v>0</v>
      </c>
      <c r="T756" s="594">
        <v>41736.707546296297</v>
      </c>
    </row>
    <row r="757" spans="1:20" x14ac:dyDescent="0.25">
      <c r="A757" s="633" t="s">
        <v>308</v>
      </c>
      <c r="B757" s="633">
        <v>13</v>
      </c>
      <c r="C757" s="633" t="s">
        <v>323</v>
      </c>
      <c r="D757" s="633" t="s">
        <v>324</v>
      </c>
      <c r="F757" s="633" t="s">
        <v>325</v>
      </c>
      <c r="G757" s="633" t="s">
        <v>584</v>
      </c>
      <c r="H757" s="633" t="s">
        <v>351</v>
      </c>
      <c r="J757" s="633" t="s">
        <v>327</v>
      </c>
      <c r="K757" s="633" t="s">
        <v>261</v>
      </c>
      <c r="L757" s="633" t="s">
        <v>309</v>
      </c>
      <c r="M757" s="633" t="s">
        <v>471</v>
      </c>
      <c r="N757" s="633" t="s">
        <v>255</v>
      </c>
      <c r="O757" s="633">
        <v>4</v>
      </c>
      <c r="P757" s="633">
        <v>3</v>
      </c>
      <c r="Q757" s="633">
        <v>0</v>
      </c>
      <c r="T757" s="594">
        <v>41736.707546296297</v>
      </c>
    </row>
    <row r="758" spans="1:20" x14ac:dyDescent="0.25">
      <c r="A758" s="633" t="s">
        <v>308</v>
      </c>
      <c r="B758" s="633">
        <v>13</v>
      </c>
      <c r="C758" s="633" t="s">
        <v>323</v>
      </c>
      <c r="D758" s="633" t="s">
        <v>324</v>
      </c>
      <c r="F758" s="633" t="s">
        <v>325</v>
      </c>
      <c r="G758" s="633" t="s">
        <v>584</v>
      </c>
      <c r="H758" s="633" t="s">
        <v>362</v>
      </c>
      <c r="J758" s="633" t="s">
        <v>327</v>
      </c>
      <c r="K758" s="633" t="s">
        <v>261</v>
      </c>
      <c r="L758" s="633" t="s">
        <v>309</v>
      </c>
      <c r="M758" s="633" t="s">
        <v>471</v>
      </c>
      <c r="N758" s="633" t="s">
        <v>255</v>
      </c>
      <c r="P758" s="633">
        <v>2</v>
      </c>
      <c r="Q758" s="633">
        <v>0</v>
      </c>
      <c r="T758" s="594">
        <v>41736.707546296297</v>
      </c>
    </row>
    <row r="759" spans="1:20" x14ac:dyDescent="0.25">
      <c r="A759" s="633" t="s">
        <v>308</v>
      </c>
      <c r="B759" s="633">
        <v>13</v>
      </c>
      <c r="C759" s="633" t="s">
        <v>323</v>
      </c>
      <c r="D759" s="633" t="s">
        <v>324</v>
      </c>
      <c r="F759" s="633" t="s">
        <v>325</v>
      </c>
      <c r="G759" s="633" t="s">
        <v>584</v>
      </c>
      <c r="H759" s="633" t="s">
        <v>378</v>
      </c>
      <c r="J759" s="633" t="s">
        <v>327</v>
      </c>
      <c r="K759" s="633" t="s">
        <v>261</v>
      </c>
      <c r="L759" s="633" t="s">
        <v>309</v>
      </c>
      <c r="M759" s="633" t="s">
        <v>471</v>
      </c>
      <c r="N759" s="633" t="s">
        <v>255</v>
      </c>
      <c r="O759" s="633">
        <v>6</v>
      </c>
      <c r="P759" s="633">
        <v>4</v>
      </c>
      <c r="Q759" s="633">
        <v>9</v>
      </c>
      <c r="T759" s="594">
        <v>41736.707546296297</v>
      </c>
    </row>
    <row r="760" spans="1:20" x14ac:dyDescent="0.25">
      <c r="A760" s="633" t="s">
        <v>308</v>
      </c>
      <c r="B760" s="633">
        <v>13</v>
      </c>
      <c r="C760" s="633" t="s">
        <v>323</v>
      </c>
      <c r="D760" s="633" t="s">
        <v>324</v>
      </c>
      <c r="F760" s="633" t="s">
        <v>325</v>
      </c>
      <c r="G760" s="633" t="s">
        <v>584</v>
      </c>
      <c r="H760" s="633" t="s">
        <v>356</v>
      </c>
      <c r="J760" s="633" t="s">
        <v>327</v>
      </c>
      <c r="K760" s="633" t="s">
        <v>261</v>
      </c>
      <c r="L760" s="633" t="s">
        <v>309</v>
      </c>
      <c r="M760" s="633" t="s">
        <v>471</v>
      </c>
      <c r="N760" s="633" t="s">
        <v>255</v>
      </c>
      <c r="O760" s="633">
        <v>3</v>
      </c>
      <c r="P760" s="633">
        <v>5</v>
      </c>
      <c r="Q760" s="633">
        <v>5</v>
      </c>
      <c r="T760" s="594">
        <v>41736.707546296297</v>
      </c>
    </row>
    <row r="761" spans="1:20" x14ac:dyDescent="0.25">
      <c r="A761" s="633" t="s">
        <v>308</v>
      </c>
      <c r="B761" s="633">
        <v>13</v>
      </c>
      <c r="C761" s="633" t="s">
        <v>323</v>
      </c>
      <c r="D761" s="633" t="s">
        <v>324</v>
      </c>
      <c r="F761" s="633" t="s">
        <v>325</v>
      </c>
      <c r="G761" s="633" t="s">
        <v>584</v>
      </c>
      <c r="H761" s="633" t="s">
        <v>376</v>
      </c>
      <c r="J761" s="633" t="s">
        <v>327</v>
      </c>
      <c r="K761" s="633" t="s">
        <v>261</v>
      </c>
      <c r="L761" s="633" t="s">
        <v>309</v>
      </c>
      <c r="M761" s="633" t="s">
        <v>471</v>
      </c>
      <c r="N761" s="633" t="s">
        <v>255</v>
      </c>
      <c r="O761" s="633">
        <v>6</v>
      </c>
      <c r="P761" s="633">
        <v>2</v>
      </c>
      <c r="Q761" s="633">
        <v>0</v>
      </c>
      <c r="T761" s="594">
        <v>41736.707546296297</v>
      </c>
    </row>
    <row r="762" spans="1:20" x14ac:dyDescent="0.25">
      <c r="A762" s="633" t="s">
        <v>308</v>
      </c>
      <c r="B762" s="633">
        <v>13</v>
      </c>
      <c r="C762" s="633" t="s">
        <v>323</v>
      </c>
      <c r="D762" s="633" t="s">
        <v>324</v>
      </c>
      <c r="F762" s="633" t="s">
        <v>325</v>
      </c>
      <c r="G762" s="633" t="s">
        <v>584</v>
      </c>
      <c r="H762" s="633" t="s">
        <v>364</v>
      </c>
      <c r="J762" s="633" t="s">
        <v>327</v>
      </c>
      <c r="K762" s="633" t="s">
        <v>261</v>
      </c>
      <c r="L762" s="633" t="s">
        <v>309</v>
      </c>
      <c r="M762" s="633" t="s">
        <v>471</v>
      </c>
      <c r="N762" s="633" t="s">
        <v>255</v>
      </c>
      <c r="P762" s="633">
        <v>4</v>
      </c>
      <c r="Q762" s="633">
        <v>0</v>
      </c>
      <c r="T762" s="594">
        <v>41736.707546296297</v>
      </c>
    </row>
    <row r="763" spans="1:20" x14ac:dyDescent="0.25">
      <c r="A763" s="633" t="s">
        <v>308</v>
      </c>
      <c r="B763" s="633">
        <v>13</v>
      </c>
      <c r="C763" s="633" t="s">
        <v>323</v>
      </c>
      <c r="D763" s="633" t="s">
        <v>324</v>
      </c>
      <c r="F763" s="633" t="s">
        <v>325</v>
      </c>
      <c r="G763" s="633" t="s">
        <v>584</v>
      </c>
      <c r="H763" s="633" t="s">
        <v>359</v>
      </c>
      <c r="J763" s="633" t="s">
        <v>327</v>
      </c>
      <c r="K763" s="633" t="s">
        <v>261</v>
      </c>
      <c r="L763" s="633" t="s">
        <v>309</v>
      </c>
      <c r="M763" s="633" t="s">
        <v>471</v>
      </c>
      <c r="N763" s="633" t="s">
        <v>255</v>
      </c>
      <c r="O763" s="633">
        <v>3</v>
      </c>
      <c r="P763" s="633">
        <v>1</v>
      </c>
      <c r="Q763" s="633">
        <v>2</v>
      </c>
      <c r="T763" s="594">
        <v>41736.707546296297</v>
      </c>
    </row>
    <row r="764" spans="1:20" x14ac:dyDescent="0.25">
      <c r="A764" s="633" t="s">
        <v>308</v>
      </c>
      <c r="B764" s="633">
        <v>13</v>
      </c>
      <c r="C764" s="633" t="s">
        <v>323</v>
      </c>
      <c r="D764" s="633" t="s">
        <v>324</v>
      </c>
      <c r="F764" s="633" t="s">
        <v>325</v>
      </c>
      <c r="G764" s="633" t="s">
        <v>584</v>
      </c>
      <c r="H764" s="633" t="s">
        <v>330</v>
      </c>
      <c r="J764" s="633" t="s">
        <v>327</v>
      </c>
      <c r="K764" s="633" t="s">
        <v>261</v>
      </c>
      <c r="L764" s="633" t="s">
        <v>309</v>
      </c>
      <c r="M764" s="633" t="s">
        <v>471</v>
      </c>
      <c r="N764" s="633" t="s">
        <v>255</v>
      </c>
      <c r="O764" s="633">
        <v>3</v>
      </c>
      <c r="Q764" s="633">
        <v>21</v>
      </c>
      <c r="T764" s="594">
        <v>41736.707546296297</v>
      </c>
    </row>
    <row r="765" spans="1:20" x14ac:dyDescent="0.25">
      <c r="A765" s="633" t="s">
        <v>308</v>
      </c>
      <c r="B765" s="633">
        <v>13</v>
      </c>
      <c r="C765" s="633" t="s">
        <v>323</v>
      </c>
      <c r="D765" s="633" t="s">
        <v>324</v>
      </c>
      <c r="F765" s="633" t="s">
        <v>325</v>
      </c>
      <c r="G765" s="633" t="s">
        <v>584</v>
      </c>
      <c r="H765" s="633" t="s">
        <v>370</v>
      </c>
      <c r="J765" s="633" t="s">
        <v>327</v>
      </c>
      <c r="K765" s="633" t="s">
        <v>261</v>
      </c>
      <c r="L765" s="633" t="s">
        <v>309</v>
      </c>
      <c r="M765" s="633" t="s">
        <v>471</v>
      </c>
      <c r="N765" s="633" t="s">
        <v>255</v>
      </c>
      <c r="O765" s="633">
        <v>1</v>
      </c>
      <c r="P765" s="633">
        <v>5</v>
      </c>
      <c r="Q765" s="633">
        <v>29</v>
      </c>
      <c r="T765" s="594">
        <v>41736.707546296297</v>
      </c>
    </row>
    <row r="766" spans="1:20" x14ac:dyDescent="0.25">
      <c r="A766" s="633" t="s">
        <v>308</v>
      </c>
      <c r="B766" s="633">
        <v>13</v>
      </c>
      <c r="C766" s="633" t="s">
        <v>323</v>
      </c>
      <c r="D766" s="633" t="s">
        <v>324</v>
      </c>
      <c r="F766" s="633" t="s">
        <v>325</v>
      </c>
      <c r="G766" s="633" t="s">
        <v>584</v>
      </c>
      <c r="H766" s="633" t="s">
        <v>350</v>
      </c>
      <c r="J766" s="633" t="s">
        <v>327</v>
      </c>
      <c r="K766" s="633" t="s">
        <v>261</v>
      </c>
      <c r="L766" s="633" t="s">
        <v>309</v>
      </c>
      <c r="M766" s="633" t="s">
        <v>471</v>
      </c>
      <c r="N766" s="633" t="s">
        <v>255</v>
      </c>
      <c r="O766" s="633">
        <v>4</v>
      </c>
      <c r="P766" s="633">
        <v>4</v>
      </c>
      <c r="Q766" s="633">
        <v>1401</v>
      </c>
      <c r="T766" s="594">
        <v>41736.707546296297</v>
      </c>
    </row>
    <row r="767" spans="1:20" x14ac:dyDescent="0.25">
      <c r="A767" s="633" t="s">
        <v>308</v>
      </c>
      <c r="B767" s="633">
        <v>13</v>
      </c>
      <c r="C767" s="633" t="s">
        <v>323</v>
      </c>
      <c r="D767" s="633" t="s">
        <v>324</v>
      </c>
      <c r="F767" s="633" t="s">
        <v>325</v>
      </c>
      <c r="G767" s="633" t="s">
        <v>584</v>
      </c>
      <c r="H767" s="633" t="s">
        <v>337</v>
      </c>
      <c r="J767" s="633" t="s">
        <v>327</v>
      </c>
      <c r="K767" s="633" t="s">
        <v>261</v>
      </c>
      <c r="L767" s="633" t="s">
        <v>309</v>
      </c>
      <c r="M767" s="633" t="s">
        <v>471</v>
      </c>
      <c r="N767" s="633" t="s">
        <v>255</v>
      </c>
      <c r="O767" s="633">
        <v>2</v>
      </c>
      <c r="P767" s="633">
        <v>3</v>
      </c>
      <c r="Q767" s="633">
        <v>5</v>
      </c>
      <c r="T767" s="594">
        <v>41736.707546296297</v>
      </c>
    </row>
    <row r="768" spans="1:20" x14ac:dyDescent="0.25">
      <c r="A768" s="633" t="s">
        <v>308</v>
      </c>
      <c r="B768" s="633">
        <v>13</v>
      </c>
      <c r="C768" s="633" t="s">
        <v>323</v>
      </c>
      <c r="D768" s="633" t="s">
        <v>324</v>
      </c>
      <c r="F768" s="633" t="s">
        <v>325</v>
      </c>
      <c r="G768" s="633" t="s">
        <v>584</v>
      </c>
      <c r="H768" s="633" t="s">
        <v>358</v>
      </c>
      <c r="J768" s="633" t="s">
        <v>327</v>
      </c>
      <c r="K768" s="633" t="s">
        <v>261</v>
      </c>
      <c r="L768" s="633" t="s">
        <v>309</v>
      </c>
      <c r="M768" s="633" t="s">
        <v>471</v>
      </c>
      <c r="N768" s="633" t="s">
        <v>255</v>
      </c>
      <c r="O768" s="633">
        <v>3</v>
      </c>
      <c r="P768" s="633">
        <v>3</v>
      </c>
      <c r="Q768" s="633">
        <v>41</v>
      </c>
      <c r="T768" s="594">
        <v>41736.707546296297</v>
      </c>
    </row>
    <row r="769" spans="1:20" x14ac:dyDescent="0.25">
      <c r="A769" s="633" t="s">
        <v>308</v>
      </c>
      <c r="B769" s="633">
        <v>13</v>
      </c>
      <c r="C769" s="633" t="s">
        <v>323</v>
      </c>
      <c r="D769" s="633" t="s">
        <v>324</v>
      </c>
      <c r="F769" s="633" t="s">
        <v>325</v>
      </c>
      <c r="G769" s="633" t="s">
        <v>584</v>
      </c>
      <c r="H769" s="633" t="s">
        <v>343</v>
      </c>
      <c r="J769" s="633" t="s">
        <v>327</v>
      </c>
      <c r="K769" s="633" t="s">
        <v>261</v>
      </c>
      <c r="L769" s="633" t="s">
        <v>309</v>
      </c>
      <c r="M769" s="633" t="s">
        <v>471</v>
      </c>
      <c r="N769" s="633" t="s">
        <v>255</v>
      </c>
      <c r="O769" s="633">
        <v>5</v>
      </c>
      <c r="P769" s="633">
        <v>4</v>
      </c>
      <c r="Q769" s="633">
        <v>1</v>
      </c>
      <c r="T769" s="594">
        <v>41736.707546296297</v>
      </c>
    </row>
    <row r="770" spans="1:20" x14ac:dyDescent="0.25">
      <c r="A770" s="633" t="s">
        <v>308</v>
      </c>
      <c r="B770" s="633">
        <v>13</v>
      </c>
      <c r="C770" s="633" t="s">
        <v>323</v>
      </c>
      <c r="D770" s="633" t="s">
        <v>324</v>
      </c>
      <c r="F770" s="633" t="s">
        <v>325</v>
      </c>
      <c r="G770" s="633" t="s">
        <v>584</v>
      </c>
      <c r="H770" s="633" t="s">
        <v>363</v>
      </c>
      <c r="J770" s="633" t="s">
        <v>327</v>
      </c>
      <c r="K770" s="633" t="s">
        <v>261</v>
      </c>
      <c r="L770" s="633" t="s">
        <v>309</v>
      </c>
      <c r="M770" s="633" t="s">
        <v>471</v>
      </c>
      <c r="N770" s="633" t="s">
        <v>255</v>
      </c>
      <c r="P770" s="633">
        <v>5</v>
      </c>
      <c r="Q770" s="633">
        <v>0</v>
      </c>
      <c r="T770" s="594">
        <v>41736.707546296297</v>
      </c>
    </row>
    <row r="771" spans="1:20" x14ac:dyDescent="0.25">
      <c r="A771" s="633" t="s">
        <v>308</v>
      </c>
      <c r="B771" s="633">
        <v>13</v>
      </c>
      <c r="C771" s="633" t="s">
        <v>323</v>
      </c>
      <c r="D771" s="633" t="s">
        <v>324</v>
      </c>
      <c r="F771" s="633" t="s">
        <v>325</v>
      </c>
      <c r="G771" s="633" t="s">
        <v>584</v>
      </c>
      <c r="H771" s="633" t="s">
        <v>357</v>
      </c>
      <c r="J771" s="633" t="s">
        <v>327</v>
      </c>
      <c r="K771" s="633" t="s">
        <v>261</v>
      </c>
      <c r="L771" s="633" t="s">
        <v>309</v>
      </c>
      <c r="M771" s="633" t="s">
        <v>471</v>
      </c>
      <c r="N771" s="633" t="s">
        <v>255</v>
      </c>
      <c r="O771" s="633">
        <v>3</v>
      </c>
      <c r="P771" s="633">
        <v>4</v>
      </c>
      <c r="Q771" s="633">
        <v>640</v>
      </c>
      <c r="T771" s="594">
        <v>41736.707546296297</v>
      </c>
    </row>
    <row r="772" spans="1:20" x14ac:dyDescent="0.25">
      <c r="A772" s="633" t="s">
        <v>308</v>
      </c>
      <c r="B772" s="633">
        <v>13</v>
      </c>
      <c r="C772" s="633" t="s">
        <v>323</v>
      </c>
      <c r="D772" s="633" t="s">
        <v>324</v>
      </c>
      <c r="F772" s="633" t="s">
        <v>325</v>
      </c>
      <c r="G772" s="633" t="s">
        <v>584</v>
      </c>
      <c r="H772" s="633" t="s">
        <v>349</v>
      </c>
      <c r="J772" s="633" t="s">
        <v>327</v>
      </c>
      <c r="K772" s="633" t="s">
        <v>261</v>
      </c>
      <c r="L772" s="633" t="s">
        <v>309</v>
      </c>
      <c r="M772" s="633" t="s">
        <v>471</v>
      </c>
      <c r="N772" s="633" t="s">
        <v>255</v>
      </c>
      <c r="O772" s="633">
        <v>4</v>
      </c>
      <c r="P772" s="633">
        <v>5</v>
      </c>
      <c r="Q772" s="633">
        <v>25</v>
      </c>
      <c r="T772" s="594">
        <v>41736.707546296297</v>
      </c>
    </row>
    <row r="773" spans="1:20" x14ac:dyDescent="0.25">
      <c r="A773" s="633" t="s">
        <v>308</v>
      </c>
      <c r="B773" s="633">
        <v>13</v>
      </c>
      <c r="C773" s="633" t="s">
        <v>323</v>
      </c>
      <c r="D773" s="633" t="s">
        <v>324</v>
      </c>
      <c r="F773" s="633" t="s">
        <v>325</v>
      </c>
      <c r="G773" s="633" t="s">
        <v>584</v>
      </c>
      <c r="H773" s="633" t="s">
        <v>365</v>
      </c>
      <c r="J773" s="633" t="s">
        <v>327</v>
      </c>
      <c r="K773" s="633" t="s">
        <v>261</v>
      </c>
      <c r="L773" s="633" t="s">
        <v>309</v>
      </c>
      <c r="M773" s="633" t="s">
        <v>471</v>
      </c>
      <c r="N773" s="633" t="s">
        <v>255</v>
      </c>
      <c r="P773" s="633">
        <v>3</v>
      </c>
      <c r="Q773" s="633">
        <v>0</v>
      </c>
      <c r="T773" s="594">
        <v>41736.707546296297</v>
      </c>
    </row>
    <row r="774" spans="1:20" x14ac:dyDescent="0.25">
      <c r="A774" s="633" t="s">
        <v>308</v>
      </c>
      <c r="B774" s="633">
        <v>13</v>
      </c>
      <c r="C774" s="633" t="s">
        <v>323</v>
      </c>
      <c r="D774" s="633" t="s">
        <v>324</v>
      </c>
      <c r="F774" s="633" t="s">
        <v>325</v>
      </c>
      <c r="G774" s="633" t="s">
        <v>584</v>
      </c>
      <c r="H774" s="633" t="s">
        <v>371</v>
      </c>
      <c r="J774" s="633" t="s">
        <v>327</v>
      </c>
      <c r="K774" s="633" t="s">
        <v>261</v>
      </c>
      <c r="L774" s="633" t="s">
        <v>309</v>
      </c>
      <c r="M774" s="633" t="s">
        <v>471</v>
      </c>
      <c r="N774" s="633" t="s">
        <v>255</v>
      </c>
      <c r="O774" s="633">
        <v>1</v>
      </c>
      <c r="P774" s="633">
        <v>4</v>
      </c>
      <c r="Q774" s="633">
        <v>1031</v>
      </c>
      <c r="T774" s="594">
        <v>41736.707546296297</v>
      </c>
    </row>
    <row r="775" spans="1:20" x14ac:dyDescent="0.25">
      <c r="A775" s="633" t="s">
        <v>308</v>
      </c>
      <c r="B775" s="633">
        <v>13</v>
      </c>
      <c r="C775" s="633" t="s">
        <v>323</v>
      </c>
      <c r="D775" s="633" t="s">
        <v>324</v>
      </c>
      <c r="F775" s="633" t="s">
        <v>325</v>
      </c>
      <c r="G775" s="633" t="s">
        <v>584</v>
      </c>
      <c r="H775" s="633" t="s">
        <v>342</v>
      </c>
      <c r="J775" s="633" t="s">
        <v>327</v>
      </c>
      <c r="K775" s="633" t="s">
        <v>261</v>
      </c>
      <c r="L775" s="633" t="s">
        <v>309</v>
      </c>
      <c r="M775" s="633" t="s">
        <v>471</v>
      </c>
      <c r="N775" s="633" t="s">
        <v>255</v>
      </c>
      <c r="O775" s="633">
        <v>5</v>
      </c>
      <c r="P775" s="633">
        <v>5</v>
      </c>
      <c r="Q775" s="633">
        <v>7</v>
      </c>
      <c r="T775" s="594">
        <v>41736.707546296297</v>
      </c>
    </row>
    <row r="776" spans="1:20" x14ac:dyDescent="0.25">
      <c r="A776" s="633" t="s">
        <v>308</v>
      </c>
      <c r="B776" s="633">
        <v>13</v>
      </c>
      <c r="C776" s="633" t="s">
        <v>323</v>
      </c>
      <c r="D776" s="633" t="s">
        <v>324</v>
      </c>
      <c r="F776" s="633" t="s">
        <v>325</v>
      </c>
      <c r="G776" s="633" t="s">
        <v>584</v>
      </c>
      <c r="H776" s="633" t="s">
        <v>377</v>
      </c>
      <c r="J776" s="633" t="s">
        <v>327</v>
      </c>
      <c r="K776" s="633" t="s">
        <v>261</v>
      </c>
      <c r="L776" s="633" t="s">
        <v>309</v>
      </c>
      <c r="M776" s="633" t="s">
        <v>471</v>
      </c>
      <c r="N776" s="633" t="s">
        <v>255</v>
      </c>
      <c r="O776" s="633">
        <v>6</v>
      </c>
      <c r="P776" s="633">
        <v>5</v>
      </c>
      <c r="Q776" s="633">
        <v>1</v>
      </c>
      <c r="T776" s="594">
        <v>41736.707546296297</v>
      </c>
    </row>
    <row r="777" spans="1:20" x14ac:dyDescent="0.25">
      <c r="A777" s="633" t="s">
        <v>308</v>
      </c>
      <c r="B777" s="633">
        <v>13</v>
      </c>
      <c r="C777" s="633" t="s">
        <v>323</v>
      </c>
      <c r="D777" s="633" t="s">
        <v>324</v>
      </c>
      <c r="F777" s="633" t="s">
        <v>325</v>
      </c>
      <c r="G777" s="633" t="s">
        <v>584</v>
      </c>
      <c r="H777" s="633" t="s">
        <v>379</v>
      </c>
      <c r="J777" s="633" t="s">
        <v>327</v>
      </c>
      <c r="K777" s="633" t="s">
        <v>261</v>
      </c>
      <c r="L777" s="633" t="s">
        <v>309</v>
      </c>
      <c r="M777" s="633" t="s">
        <v>471</v>
      </c>
      <c r="N777" s="633" t="s">
        <v>255</v>
      </c>
      <c r="O777" s="633">
        <v>6</v>
      </c>
      <c r="P777" s="633">
        <v>3</v>
      </c>
      <c r="Q777" s="633">
        <v>0</v>
      </c>
      <c r="T777" s="594">
        <v>41736.707546296297</v>
      </c>
    </row>
    <row r="778" spans="1:20" x14ac:dyDescent="0.25">
      <c r="A778" s="633" t="s">
        <v>308</v>
      </c>
      <c r="B778" s="633">
        <v>13</v>
      </c>
      <c r="C778" s="633" t="s">
        <v>323</v>
      </c>
      <c r="D778" s="633" t="s">
        <v>324</v>
      </c>
      <c r="F778" s="633" t="s">
        <v>325</v>
      </c>
      <c r="G778" s="633" t="s">
        <v>584</v>
      </c>
      <c r="H778" s="633" t="s">
        <v>368</v>
      </c>
      <c r="J778" s="633" t="s">
        <v>327</v>
      </c>
      <c r="K778" s="633" t="s">
        <v>261</v>
      </c>
      <c r="L778" s="633" t="s">
        <v>309</v>
      </c>
      <c r="M778" s="633" t="s">
        <v>471</v>
      </c>
      <c r="N778" s="633" t="s">
        <v>255</v>
      </c>
      <c r="P778" s="633">
        <v>6</v>
      </c>
      <c r="Q778" s="633">
        <v>0</v>
      </c>
      <c r="T778" s="594">
        <v>41736.707546296297</v>
      </c>
    </row>
    <row r="779" spans="1:20" x14ac:dyDescent="0.25">
      <c r="A779" s="633" t="s">
        <v>308</v>
      </c>
      <c r="B779" s="633">
        <v>13</v>
      </c>
      <c r="C779" s="633" t="s">
        <v>323</v>
      </c>
      <c r="D779" s="633" t="s">
        <v>324</v>
      </c>
      <c r="F779" s="633" t="s">
        <v>325</v>
      </c>
      <c r="G779" s="633" t="s">
        <v>584</v>
      </c>
      <c r="H779" s="633" t="s">
        <v>335</v>
      </c>
      <c r="J779" s="633" t="s">
        <v>327</v>
      </c>
      <c r="K779" s="633" t="s">
        <v>261</v>
      </c>
      <c r="L779" s="633" t="s">
        <v>309</v>
      </c>
      <c r="M779" s="633" t="s">
        <v>471</v>
      </c>
      <c r="N779" s="633" t="s">
        <v>255</v>
      </c>
      <c r="O779" s="633">
        <v>2</v>
      </c>
      <c r="P779" s="633">
        <v>5</v>
      </c>
      <c r="Q779" s="633">
        <v>9</v>
      </c>
      <c r="T779" s="594">
        <v>41736.707546296297</v>
      </c>
    </row>
    <row r="780" spans="1:20" x14ac:dyDescent="0.25">
      <c r="A780" s="633" t="s">
        <v>308</v>
      </c>
      <c r="B780" s="633">
        <v>13</v>
      </c>
      <c r="C780" s="633" t="s">
        <v>323</v>
      </c>
      <c r="D780" s="633" t="s">
        <v>324</v>
      </c>
      <c r="F780" s="633" t="s">
        <v>325</v>
      </c>
      <c r="G780" s="633" t="s">
        <v>584</v>
      </c>
      <c r="H780" s="633" t="s">
        <v>369</v>
      </c>
      <c r="J780" s="633" t="s">
        <v>327</v>
      </c>
      <c r="K780" s="633" t="s">
        <v>261</v>
      </c>
      <c r="L780" s="633" t="s">
        <v>309</v>
      </c>
      <c r="M780" s="633" t="s">
        <v>471</v>
      </c>
      <c r="N780" s="633" t="s">
        <v>255</v>
      </c>
      <c r="O780" s="633">
        <v>1</v>
      </c>
      <c r="P780" s="633">
        <v>2</v>
      </c>
      <c r="Q780" s="633">
        <v>12</v>
      </c>
      <c r="T780" s="594">
        <v>41736.707546296297</v>
      </c>
    </row>
    <row r="781" spans="1:20" x14ac:dyDescent="0.25">
      <c r="A781" s="633" t="s">
        <v>308</v>
      </c>
      <c r="B781" s="633">
        <v>13</v>
      </c>
      <c r="C781" s="633" t="s">
        <v>323</v>
      </c>
      <c r="D781" s="633" t="s">
        <v>324</v>
      </c>
      <c r="F781" s="633" t="s">
        <v>325</v>
      </c>
      <c r="G781" s="633" t="s">
        <v>584</v>
      </c>
      <c r="H781" s="633" t="s">
        <v>331</v>
      </c>
      <c r="J781" s="633" t="s">
        <v>327</v>
      </c>
      <c r="K781" s="633" t="s">
        <v>261</v>
      </c>
      <c r="L781" s="633" t="s">
        <v>309</v>
      </c>
      <c r="M781" s="633" t="s">
        <v>471</v>
      </c>
      <c r="N781" s="633" t="s">
        <v>255</v>
      </c>
      <c r="Q781" s="633">
        <v>488</v>
      </c>
      <c r="T781" s="594">
        <v>41736.707546296297</v>
      </c>
    </row>
    <row r="782" spans="1:20" x14ac:dyDescent="0.25">
      <c r="A782" s="633" t="s">
        <v>308</v>
      </c>
      <c r="B782" s="633">
        <v>13</v>
      </c>
      <c r="C782" s="633" t="s">
        <v>323</v>
      </c>
      <c r="D782" s="633" t="s">
        <v>324</v>
      </c>
      <c r="F782" s="633" t="s">
        <v>325</v>
      </c>
      <c r="G782" s="633" t="s">
        <v>584</v>
      </c>
      <c r="H782" s="633" t="s">
        <v>338</v>
      </c>
      <c r="J782" s="633" t="s">
        <v>327</v>
      </c>
      <c r="K782" s="633" t="s">
        <v>261</v>
      </c>
      <c r="L782" s="633" t="s">
        <v>309</v>
      </c>
      <c r="M782" s="633" t="s">
        <v>471</v>
      </c>
      <c r="N782" s="633" t="s">
        <v>255</v>
      </c>
      <c r="O782" s="633">
        <v>2</v>
      </c>
      <c r="P782" s="633">
        <v>1</v>
      </c>
      <c r="Q782" s="633">
        <v>1</v>
      </c>
      <c r="T782" s="594">
        <v>41736.707546296297</v>
      </c>
    </row>
    <row r="783" spans="1:20" x14ac:dyDescent="0.25">
      <c r="A783" s="633" t="s">
        <v>308</v>
      </c>
      <c r="B783" s="633">
        <v>13</v>
      </c>
      <c r="C783" s="633" t="s">
        <v>323</v>
      </c>
      <c r="D783" s="633" t="s">
        <v>324</v>
      </c>
      <c r="F783" s="633" t="s">
        <v>325</v>
      </c>
      <c r="G783" s="633" t="s">
        <v>584</v>
      </c>
      <c r="H783" s="633" t="s">
        <v>367</v>
      </c>
      <c r="J783" s="633" t="s">
        <v>327</v>
      </c>
      <c r="K783" s="633" t="s">
        <v>261</v>
      </c>
      <c r="L783" s="633" t="s">
        <v>309</v>
      </c>
      <c r="M783" s="633" t="s">
        <v>471</v>
      </c>
      <c r="N783" s="633" t="s">
        <v>255</v>
      </c>
      <c r="P783" s="633">
        <v>7</v>
      </c>
      <c r="Q783" s="633">
        <v>0</v>
      </c>
      <c r="T783" s="594">
        <v>41736.707546296297</v>
      </c>
    </row>
    <row r="784" spans="1:20" x14ac:dyDescent="0.25">
      <c r="A784" s="633" t="s">
        <v>308</v>
      </c>
      <c r="B784" s="633">
        <v>13</v>
      </c>
      <c r="C784" s="633" t="s">
        <v>323</v>
      </c>
      <c r="D784" s="633" t="s">
        <v>324</v>
      </c>
      <c r="F784" s="633" t="s">
        <v>325</v>
      </c>
      <c r="G784" s="633" t="s">
        <v>584</v>
      </c>
      <c r="H784" s="633" t="s">
        <v>361</v>
      </c>
      <c r="J784" s="633" t="s">
        <v>327</v>
      </c>
      <c r="K784" s="633" t="s">
        <v>261</v>
      </c>
      <c r="L784" s="633" t="s">
        <v>309</v>
      </c>
      <c r="M784" s="633" t="s">
        <v>471</v>
      </c>
      <c r="N784" s="633" t="s">
        <v>255</v>
      </c>
      <c r="O784" s="633">
        <v>3</v>
      </c>
      <c r="P784" s="633">
        <v>6</v>
      </c>
      <c r="Q784" s="633">
        <v>22</v>
      </c>
      <c r="T784" s="594">
        <v>41736.707546296297</v>
      </c>
    </row>
    <row r="785" spans="1:20" x14ac:dyDescent="0.25">
      <c r="A785" s="633" t="s">
        <v>308</v>
      </c>
      <c r="B785" s="633">
        <v>13</v>
      </c>
      <c r="C785" s="633" t="s">
        <v>323</v>
      </c>
      <c r="D785" s="633" t="s">
        <v>324</v>
      </c>
      <c r="F785" s="633" t="s">
        <v>325</v>
      </c>
      <c r="G785" s="633" t="s">
        <v>584</v>
      </c>
      <c r="H785" s="633" t="s">
        <v>353</v>
      </c>
      <c r="J785" s="633" t="s">
        <v>327</v>
      </c>
      <c r="K785" s="633" t="s">
        <v>261</v>
      </c>
      <c r="L785" s="633" t="s">
        <v>309</v>
      </c>
      <c r="M785" s="633" t="s">
        <v>471</v>
      </c>
      <c r="N785" s="633" t="s">
        <v>255</v>
      </c>
      <c r="O785" s="633">
        <v>4</v>
      </c>
      <c r="P785" s="633">
        <v>7</v>
      </c>
      <c r="Q785" s="633">
        <v>3</v>
      </c>
      <c r="T785" s="594">
        <v>41736.707546296297</v>
      </c>
    </row>
    <row r="786" spans="1:20" x14ac:dyDescent="0.25">
      <c r="A786" s="633" t="s">
        <v>308</v>
      </c>
      <c r="B786" s="633">
        <v>13</v>
      </c>
      <c r="C786" s="633" t="s">
        <v>323</v>
      </c>
      <c r="D786" s="633" t="s">
        <v>324</v>
      </c>
      <c r="F786" s="633" t="s">
        <v>325</v>
      </c>
      <c r="G786" s="633" t="s">
        <v>584</v>
      </c>
      <c r="H786" s="633" t="s">
        <v>340</v>
      </c>
      <c r="J786" s="633" t="s">
        <v>327</v>
      </c>
      <c r="K786" s="633" t="s">
        <v>261</v>
      </c>
      <c r="L786" s="633" t="s">
        <v>309</v>
      </c>
      <c r="M786" s="633" t="s">
        <v>471</v>
      </c>
      <c r="N786" s="633" t="s">
        <v>255</v>
      </c>
      <c r="O786" s="633">
        <v>2</v>
      </c>
      <c r="P786" s="633">
        <v>6</v>
      </c>
      <c r="Q786" s="633">
        <v>17</v>
      </c>
      <c r="T786" s="594">
        <v>41736.707546296297</v>
      </c>
    </row>
    <row r="787" spans="1:20" x14ac:dyDescent="0.25">
      <c r="A787" s="633" t="s">
        <v>308</v>
      </c>
      <c r="B787" s="633">
        <v>13</v>
      </c>
      <c r="C787" s="633" t="s">
        <v>323</v>
      </c>
      <c r="D787" s="633" t="s">
        <v>324</v>
      </c>
      <c r="F787" s="633" t="s">
        <v>325</v>
      </c>
      <c r="G787" s="633" t="s">
        <v>584</v>
      </c>
      <c r="H787" s="633" t="s">
        <v>334</v>
      </c>
      <c r="J787" s="633" t="s">
        <v>327</v>
      </c>
      <c r="K787" s="633" t="s">
        <v>261</v>
      </c>
      <c r="L787" s="633" t="s">
        <v>309</v>
      </c>
      <c r="M787" s="633" t="s">
        <v>471</v>
      </c>
      <c r="N787" s="633" t="s">
        <v>255</v>
      </c>
      <c r="O787" s="633">
        <v>2</v>
      </c>
      <c r="P787" s="633">
        <v>2</v>
      </c>
      <c r="Q787" s="633">
        <v>28</v>
      </c>
      <c r="T787" s="594">
        <v>41736.707546296297</v>
      </c>
    </row>
    <row r="788" spans="1:20" x14ac:dyDescent="0.25">
      <c r="A788" s="633" t="s">
        <v>308</v>
      </c>
      <c r="B788" s="633">
        <v>13</v>
      </c>
      <c r="C788" s="633" t="s">
        <v>323</v>
      </c>
      <c r="D788" s="633" t="s">
        <v>324</v>
      </c>
      <c r="F788" s="633" t="s">
        <v>325</v>
      </c>
      <c r="G788" s="633" t="s">
        <v>584</v>
      </c>
      <c r="H788" s="633" t="s">
        <v>381</v>
      </c>
      <c r="J788" s="633" t="s">
        <v>327</v>
      </c>
      <c r="K788" s="633" t="s">
        <v>261</v>
      </c>
      <c r="L788" s="633" t="s">
        <v>309</v>
      </c>
      <c r="M788" s="633" t="s">
        <v>471</v>
      </c>
      <c r="N788" s="633" t="s">
        <v>255</v>
      </c>
      <c r="O788" s="633">
        <v>6</v>
      </c>
      <c r="P788" s="633">
        <v>7</v>
      </c>
      <c r="Q788" s="633">
        <v>1</v>
      </c>
      <c r="T788" s="594">
        <v>41736.707546296297</v>
      </c>
    </row>
    <row r="789" spans="1:20" x14ac:dyDescent="0.25">
      <c r="A789" s="633" t="s">
        <v>308</v>
      </c>
      <c r="B789" s="633">
        <v>13</v>
      </c>
      <c r="C789" s="633" t="s">
        <v>323</v>
      </c>
      <c r="D789" s="633" t="s">
        <v>324</v>
      </c>
      <c r="F789" s="633" t="s">
        <v>325</v>
      </c>
      <c r="G789" s="633" t="s">
        <v>584</v>
      </c>
      <c r="H789" s="633" t="s">
        <v>354</v>
      </c>
      <c r="J789" s="633" t="s">
        <v>327</v>
      </c>
      <c r="K789" s="633" t="s">
        <v>261</v>
      </c>
      <c r="L789" s="633" t="s">
        <v>309</v>
      </c>
      <c r="M789" s="633" t="s">
        <v>471</v>
      </c>
      <c r="N789" s="633" t="s">
        <v>255</v>
      </c>
      <c r="O789" s="633">
        <v>4</v>
      </c>
      <c r="P789" s="633">
        <v>6</v>
      </c>
      <c r="Q789" s="633">
        <v>119</v>
      </c>
      <c r="T789" s="594">
        <v>41736.707546296297</v>
      </c>
    </row>
    <row r="790" spans="1:20" x14ac:dyDescent="0.25">
      <c r="A790" s="633" t="s">
        <v>308</v>
      </c>
      <c r="B790" s="633">
        <v>13</v>
      </c>
      <c r="C790" s="633" t="s">
        <v>323</v>
      </c>
      <c r="D790" s="633" t="s">
        <v>324</v>
      </c>
      <c r="F790" s="633" t="s">
        <v>325</v>
      </c>
      <c r="G790" s="633" t="s">
        <v>584</v>
      </c>
      <c r="H790" s="633" t="s">
        <v>375</v>
      </c>
      <c r="J790" s="633" t="s">
        <v>327</v>
      </c>
      <c r="K790" s="633" t="s">
        <v>261</v>
      </c>
      <c r="L790" s="633" t="s">
        <v>309</v>
      </c>
      <c r="M790" s="633" t="s">
        <v>471</v>
      </c>
      <c r="N790" s="633" t="s">
        <v>255</v>
      </c>
      <c r="O790" s="633">
        <v>1</v>
      </c>
      <c r="P790" s="633">
        <v>6</v>
      </c>
      <c r="Q790" s="633">
        <v>19</v>
      </c>
      <c r="T790" s="594">
        <v>41736.707546296297</v>
      </c>
    </row>
    <row r="791" spans="1:20" x14ac:dyDescent="0.25">
      <c r="A791" s="633" t="s">
        <v>308</v>
      </c>
      <c r="B791" s="633">
        <v>13</v>
      </c>
      <c r="C791" s="633" t="s">
        <v>323</v>
      </c>
      <c r="D791" s="633" t="s">
        <v>324</v>
      </c>
      <c r="F791" s="633" t="s">
        <v>325</v>
      </c>
      <c r="G791" s="633" t="s">
        <v>584</v>
      </c>
      <c r="H791" s="633" t="s">
        <v>347</v>
      </c>
      <c r="J791" s="633" t="s">
        <v>327</v>
      </c>
      <c r="K791" s="633" t="s">
        <v>261</v>
      </c>
      <c r="L791" s="633" t="s">
        <v>309</v>
      </c>
      <c r="M791" s="633" t="s">
        <v>471</v>
      </c>
      <c r="N791" s="633" t="s">
        <v>255</v>
      </c>
      <c r="O791" s="633">
        <v>5</v>
      </c>
      <c r="P791" s="633">
        <v>6</v>
      </c>
      <c r="Q791" s="633">
        <v>0</v>
      </c>
      <c r="T791" s="594">
        <v>41736.707546296297</v>
      </c>
    </row>
    <row r="792" spans="1:20" x14ac:dyDescent="0.25">
      <c r="A792" s="633" t="s">
        <v>308</v>
      </c>
      <c r="B792" s="633">
        <v>13</v>
      </c>
      <c r="C792" s="633" t="s">
        <v>323</v>
      </c>
      <c r="D792" s="633" t="s">
        <v>324</v>
      </c>
      <c r="F792" s="633" t="s">
        <v>325</v>
      </c>
      <c r="G792" s="633" t="s">
        <v>584</v>
      </c>
      <c r="H792" s="633" t="s">
        <v>355</v>
      </c>
      <c r="J792" s="633" t="s">
        <v>327</v>
      </c>
      <c r="K792" s="633" t="s">
        <v>261</v>
      </c>
      <c r="L792" s="633" t="s">
        <v>309</v>
      </c>
      <c r="M792" s="633" t="s">
        <v>471</v>
      </c>
      <c r="N792" s="633" t="s">
        <v>255</v>
      </c>
      <c r="O792" s="633">
        <v>3</v>
      </c>
      <c r="P792" s="633">
        <v>2</v>
      </c>
      <c r="Q792" s="633">
        <v>0</v>
      </c>
      <c r="T792" s="594">
        <v>41736.707546296297</v>
      </c>
    </row>
    <row r="793" spans="1:20" x14ac:dyDescent="0.25">
      <c r="A793" s="633" t="s">
        <v>308</v>
      </c>
      <c r="B793" s="633">
        <v>13</v>
      </c>
      <c r="C793" s="633" t="s">
        <v>323</v>
      </c>
      <c r="D793" s="633" t="s">
        <v>324</v>
      </c>
      <c r="F793" s="633" t="s">
        <v>325</v>
      </c>
      <c r="G793" s="633" t="s">
        <v>584</v>
      </c>
      <c r="H793" s="633" t="s">
        <v>346</v>
      </c>
      <c r="J793" s="633" t="s">
        <v>327</v>
      </c>
      <c r="K793" s="633" t="s">
        <v>261</v>
      </c>
      <c r="L793" s="633" t="s">
        <v>309</v>
      </c>
      <c r="M793" s="633" t="s">
        <v>471</v>
      </c>
      <c r="N793" s="633" t="s">
        <v>255</v>
      </c>
      <c r="O793" s="633">
        <v>5</v>
      </c>
      <c r="P793" s="633">
        <v>7</v>
      </c>
      <c r="Q793" s="633">
        <v>0</v>
      </c>
      <c r="T793" s="594">
        <v>41736.707546296297</v>
      </c>
    </row>
    <row r="794" spans="1:20" x14ac:dyDescent="0.25">
      <c r="A794" s="633" t="s">
        <v>308</v>
      </c>
      <c r="B794" s="633">
        <v>13</v>
      </c>
      <c r="C794" s="633" t="s">
        <v>323</v>
      </c>
      <c r="D794" s="633" t="s">
        <v>324</v>
      </c>
      <c r="F794" s="633" t="s">
        <v>325</v>
      </c>
      <c r="G794" s="633" t="s">
        <v>584</v>
      </c>
      <c r="H794" s="633" t="s">
        <v>329</v>
      </c>
      <c r="J794" s="633" t="s">
        <v>327</v>
      </c>
      <c r="K794" s="633" t="s">
        <v>261</v>
      </c>
      <c r="L794" s="633" t="s">
        <v>309</v>
      </c>
      <c r="M794" s="633" t="s">
        <v>471</v>
      </c>
      <c r="N794" s="633" t="s">
        <v>255</v>
      </c>
      <c r="O794" s="633">
        <v>4</v>
      </c>
      <c r="Q794" s="633">
        <v>61</v>
      </c>
      <c r="T794" s="594">
        <v>41736.707546296297</v>
      </c>
    </row>
    <row r="795" spans="1:20" x14ac:dyDescent="0.25">
      <c r="A795" s="633" t="s">
        <v>308</v>
      </c>
      <c r="B795" s="633">
        <v>13</v>
      </c>
      <c r="C795" s="633" t="s">
        <v>323</v>
      </c>
      <c r="D795" s="633" t="s">
        <v>324</v>
      </c>
      <c r="F795" s="633" t="s">
        <v>325</v>
      </c>
      <c r="G795" s="633" t="s">
        <v>584</v>
      </c>
      <c r="H795" s="633" t="s">
        <v>345</v>
      </c>
      <c r="J795" s="633" t="s">
        <v>327</v>
      </c>
      <c r="K795" s="633" t="s">
        <v>261</v>
      </c>
      <c r="L795" s="633" t="s">
        <v>309</v>
      </c>
      <c r="M795" s="633" t="s">
        <v>471</v>
      </c>
      <c r="N795" s="633" t="s">
        <v>255</v>
      </c>
      <c r="O795" s="633">
        <v>5</v>
      </c>
      <c r="P795" s="633">
        <v>1</v>
      </c>
      <c r="Q795" s="633">
        <v>0</v>
      </c>
      <c r="T795" s="594">
        <v>41736.707546296297</v>
      </c>
    </row>
    <row r="796" spans="1:20" x14ac:dyDescent="0.25">
      <c r="A796" s="633" t="s">
        <v>308</v>
      </c>
      <c r="B796" s="633">
        <v>13</v>
      </c>
      <c r="C796" s="633" t="s">
        <v>323</v>
      </c>
      <c r="D796" s="633" t="s">
        <v>324</v>
      </c>
      <c r="F796" s="633" t="s">
        <v>325</v>
      </c>
      <c r="G796" s="633" t="s">
        <v>584</v>
      </c>
      <c r="H796" s="633" t="s">
        <v>332</v>
      </c>
      <c r="J796" s="633" t="s">
        <v>327</v>
      </c>
      <c r="K796" s="633" t="s">
        <v>261</v>
      </c>
      <c r="L796" s="633" t="s">
        <v>309</v>
      </c>
      <c r="M796" s="633" t="s">
        <v>471</v>
      </c>
      <c r="N796" s="633" t="s">
        <v>255</v>
      </c>
      <c r="O796" s="633">
        <v>1</v>
      </c>
      <c r="Q796" s="633">
        <v>385</v>
      </c>
      <c r="T796" s="594">
        <v>41736.707546296297</v>
      </c>
    </row>
    <row r="797" spans="1:20" x14ac:dyDescent="0.25">
      <c r="A797" s="633" t="s">
        <v>308</v>
      </c>
      <c r="B797" s="633">
        <v>13</v>
      </c>
      <c r="C797" s="633" t="s">
        <v>323</v>
      </c>
      <c r="D797" s="633" t="s">
        <v>324</v>
      </c>
      <c r="F797" s="633" t="s">
        <v>325</v>
      </c>
      <c r="G797" s="633" t="s">
        <v>584</v>
      </c>
      <c r="H797" s="633" t="s">
        <v>360</v>
      </c>
      <c r="J797" s="633" t="s">
        <v>327</v>
      </c>
      <c r="K797" s="633" t="s">
        <v>261</v>
      </c>
      <c r="L797" s="633" t="s">
        <v>309</v>
      </c>
      <c r="M797" s="633" t="s">
        <v>471</v>
      </c>
      <c r="N797" s="633" t="s">
        <v>255</v>
      </c>
      <c r="O797" s="633">
        <v>3</v>
      </c>
      <c r="P797" s="633">
        <v>7</v>
      </c>
      <c r="Q797" s="633">
        <v>0</v>
      </c>
      <c r="T797" s="594">
        <v>41736.707546296297</v>
      </c>
    </row>
    <row r="798" spans="1:20" x14ac:dyDescent="0.25">
      <c r="A798" s="633" t="s">
        <v>308</v>
      </c>
      <c r="B798" s="633">
        <v>13</v>
      </c>
      <c r="C798" s="633" t="s">
        <v>323</v>
      </c>
      <c r="D798" s="633" t="s">
        <v>324</v>
      </c>
      <c r="F798" s="633" t="s">
        <v>325</v>
      </c>
      <c r="G798" s="633" t="s">
        <v>584</v>
      </c>
      <c r="H798" s="633" t="s">
        <v>326</v>
      </c>
      <c r="J798" s="633" t="s">
        <v>327</v>
      </c>
      <c r="K798" s="633" t="s">
        <v>261</v>
      </c>
      <c r="L798" s="633" t="s">
        <v>309</v>
      </c>
      <c r="M798" s="633" t="s">
        <v>471</v>
      </c>
      <c r="N798" s="633" t="s">
        <v>255</v>
      </c>
      <c r="O798" s="633">
        <v>2</v>
      </c>
      <c r="Q798" s="633">
        <v>140</v>
      </c>
      <c r="T798" s="594">
        <v>41736.707546296297</v>
      </c>
    </row>
    <row r="799" spans="1:20" x14ac:dyDescent="0.25">
      <c r="A799" s="633" t="s">
        <v>308</v>
      </c>
      <c r="B799" s="633">
        <v>13</v>
      </c>
      <c r="C799" s="633" t="s">
        <v>323</v>
      </c>
      <c r="D799" s="633" t="s">
        <v>324</v>
      </c>
      <c r="F799" s="633" t="s">
        <v>325</v>
      </c>
      <c r="G799" s="633" t="s">
        <v>584</v>
      </c>
      <c r="H799" s="633" t="s">
        <v>382</v>
      </c>
      <c r="J799" s="633" t="s">
        <v>327</v>
      </c>
      <c r="K799" s="633" t="s">
        <v>261</v>
      </c>
      <c r="L799" s="633" t="s">
        <v>309</v>
      </c>
      <c r="M799" s="633" t="s">
        <v>471</v>
      </c>
      <c r="N799" s="633" t="s">
        <v>255</v>
      </c>
      <c r="O799" s="633">
        <v>6</v>
      </c>
      <c r="P799" s="633">
        <v>6</v>
      </c>
      <c r="Q799" s="633">
        <v>21</v>
      </c>
      <c r="T799" s="594">
        <v>41736.707546296297</v>
      </c>
    </row>
    <row r="800" spans="1:20" x14ac:dyDescent="0.25">
      <c r="A800" s="633" t="s">
        <v>308</v>
      </c>
      <c r="B800" s="633">
        <v>13</v>
      </c>
      <c r="C800" s="633" t="s">
        <v>323</v>
      </c>
      <c r="D800" s="633" t="s">
        <v>324</v>
      </c>
      <c r="F800" s="633" t="s">
        <v>325</v>
      </c>
      <c r="G800" s="633" t="s">
        <v>584</v>
      </c>
      <c r="H800" s="633" t="s">
        <v>341</v>
      </c>
      <c r="J800" s="633" t="s">
        <v>327</v>
      </c>
      <c r="K800" s="633" t="s">
        <v>261</v>
      </c>
      <c r="L800" s="633" t="s">
        <v>309</v>
      </c>
      <c r="M800" s="633" t="s">
        <v>471</v>
      </c>
      <c r="N800" s="633" t="s">
        <v>255</v>
      </c>
      <c r="O800" s="633">
        <v>5</v>
      </c>
      <c r="P800" s="633">
        <v>2</v>
      </c>
      <c r="Q800" s="633">
        <v>0</v>
      </c>
      <c r="T800" s="594">
        <v>41736.707546296297</v>
      </c>
    </row>
    <row r="801" spans="1:20" x14ac:dyDescent="0.25">
      <c r="A801" s="633" t="s">
        <v>308</v>
      </c>
      <c r="B801" s="633">
        <v>13</v>
      </c>
      <c r="C801" s="633" t="s">
        <v>323</v>
      </c>
      <c r="D801" s="633" t="s">
        <v>324</v>
      </c>
      <c r="F801" s="633" t="s">
        <v>325</v>
      </c>
      <c r="G801" s="633" t="s">
        <v>584</v>
      </c>
      <c r="H801" s="633" t="s">
        <v>380</v>
      </c>
      <c r="J801" s="633" t="s">
        <v>327</v>
      </c>
      <c r="K801" s="633" t="s">
        <v>261</v>
      </c>
      <c r="L801" s="633" t="s">
        <v>309</v>
      </c>
      <c r="M801" s="633" t="s">
        <v>471</v>
      </c>
      <c r="N801" s="633" t="s">
        <v>255</v>
      </c>
      <c r="O801" s="633">
        <v>6</v>
      </c>
      <c r="P801" s="633">
        <v>1</v>
      </c>
      <c r="Q801" s="633">
        <v>0</v>
      </c>
      <c r="T801" s="594">
        <v>41736.707546296297</v>
      </c>
    </row>
    <row r="802" spans="1:20" x14ac:dyDescent="0.25">
      <c r="A802" s="633" t="s">
        <v>308</v>
      </c>
      <c r="B802" s="633">
        <v>13</v>
      </c>
      <c r="C802" s="633" t="s">
        <v>323</v>
      </c>
      <c r="D802" s="633" t="s">
        <v>324</v>
      </c>
      <c r="F802" s="633" t="s">
        <v>325</v>
      </c>
      <c r="G802" s="633" t="s">
        <v>584</v>
      </c>
      <c r="H802" s="633" t="s">
        <v>339</v>
      </c>
      <c r="J802" s="633" t="s">
        <v>327</v>
      </c>
      <c r="K802" s="633" t="s">
        <v>261</v>
      </c>
      <c r="L802" s="633" t="s">
        <v>309</v>
      </c>
      <c r="M802" s="633" t="s">
        <v>471</v>
      </c>
      <c r="N802" s="633" t="s">
        <v>255</v>
      </c>
      <c r="O802" s="633">
        <v>2</v>
      </c>
      <c r="P802" s="633">
        <v>7</v>
      </c>
      <c r="Q802" s="633">
        <v>0</v>
      </c>
      <c r="T802" s="594">
        <v>41736.707546296297</v>
      </c>
    </row>
    <row r="803" spans="1:20" x14ac:dyDescent="0.25">
      <c r="A803" s="633" t="s">
        <v>308</v>
      </c>
      <c r="B803" s="633">
        <v>13</v>
      </c>
      <c r="C803" s="633" t="s">
        <v>323</v>
      </c>
      <c r="D803" s="633" t="s">
        <v>324</v>
      </c>
      <c r="F803" s="633" t="s">
        <v>325</v>
      </c>
      <c r="G803" s="633" t="s">
        <v>584</v>
      </c>
      <c r="H803" s="633" t="s">
        <v>328</v>
      </c>
      <c r="J803" s="633" t="s">
        <v>327</v>
      </c>
      <c r="K803" s="633" t="s">
        <v>261</v>
      </c>
      <c r="L803" s="633" t="s">
        <v>309</v>
      </c>
      <c r="M803" s="633" t="s">
        <v>471</v>
      </c>
      <c r="N803" s="633" t="s">
        <v>255</v>
      </c>
      <c r="O803" s="633">
        <v>5</v>
      </c>
      <c r="Q803" s="633">
        <v>2</v>
      </c>
      <c r="T803" s="594">
        <v>41736.707546296297</v>
      </c>
    </row>
    <row r="804" spans="1:20" x14ac:dyDescent="0.25">
      <c r="A804" s="633" t="s">
        <v>308</v>
      </c>
      <c r="B804" s="633">
        <v>13</v>
      </c>
      <c r="C804" s="633" t="s">
        <v>323</v>
      </c>
      <c r="D804" s="633" t="s">
        <v>324</v>
      </c>
      <c r="F804" s="633" t="s">
        <v>325</v>
      </c>
      <c r="G804" s="633" t="s">
        <v>584</v>
      </c>
      <c r="H804" s="633" t="s">
        <v>333</v>
      </c>
      <c r="J804" s="633" t="s">
        <v>327</v>
      </c>
      <c r="K804" s="633" t="s">
        <v>261</v>
      </c>
      <c r="L804" s="633" t="s">
        <v>309</v>
      </c>
      <c r="M804" s="633" t="s">
        <v>471</v>
      </c>
      <c r="N804" s="633" t="s">
        <v>255</v>
      </c>
      <c r="O804" s="633">
        <v>6</v>
      </c>
      <c r="Q804" s="633">
        <v>2</v>
      </c>
      <c r="T804" s="594">
        <v>41736.707546296297</v>
      </c>
    </row>
    <row r="805" spans="1:20" x14ac:dyDescent="0.25">
      <c r="A805" s="633" t="s">
        <v>308</v>
      </c>
      <c r="B805" s="633">
        <v>13</v>
      </c>
      <c r="C805" s="633" t="s">
        <v>323</v>
      </c>
      <c r="D805" s="633" t="s">
        <v>324</v>
      </c>
      <c r="F805" s="633" t="s">
        <v>325</v>
      </c>
      <c r="G805" s="633" t="s">
        <v>584</v>
      </c>
      <c r="H805" s="633" t="s">
        <v>373</v>
      </c>
      <c r="J805" s="633" t="s">
        <v>327</v>
      </c>
      <c r="K805" s="633" t="s">
        <v>261</v>
      </c>
      <c r="L805" s="633" t="s">
        <v>309</v>
      </c>
      <c r="M805" s="633" t="s">
        <v>471</v>
      </c>
      <c r="N805" s="633" t="s">
        <v>255</v>
      </c>
      <c r="O805" s="633">
        <v>1</v>
      </c>
      <c r="P805" s="633">
        <v>1</v>
      </c>
      <c r="Q805" s="633">
        <v>0</v>
      </c>
      <c r="T805" s="594">
        <v>41736.707546296297</v>
      </c>
    </row>
    <row r="806" spans="1:20" x14ac:dyDescent="0.25">
      <c r="A806" s="633" t="s">
        <v>308</v>
      </c>
      <c r="B806" s="633">
        <v>13</v>
      </c>
      <c r="C806" s="633" t="s">
        <v>323</v>
      </c>
      <c r="D806" s="633" t="s">
        <v>324</v>
      </c>
      <c r="F806" s="633" t="s">
        <v>325</v>
      </c>
      <c r="G806" s="633" t="s">
        <v>584</v>
      </c>
      <c r="H806" s="633" t="s">
        <v>352</v>
      </c>
      <c r="J806" s="633" t="s">
        <v>327</v>
      </c>
      <c r="K806" s="633" t="s">
        <v>261</v>
      </c>
      <c r="L806" s="633" t="s">
        <v>309</v>
      </c>
      <c r="M806" s="633" t="s">
        <v>471</v>
      </c>
      <c r="N806" s="633" t="s">
        <v>255</v>
      </c>
      <c r="O806" s="633">
        <v>4</v>
      </c>
      <c r="P806" s="633">
        <v>1</v>
      </c>
      <c r="Q806" s="633">
        <v>0</v>
      </c>
      <c r="T806" s="594">
        <v>41736.707546296297</v>
      </c>
    </row>
    <row r="807" spans="1:20" x14ac:dyDescent="0.25">
      <c r="A807" s="633" t="s">
        <v>308</v>
      </c>
      <c r="B807" s="633">
        <v>13</v>
      </c>
      <c r="C807" s="633" t="s">
        <v>323</v>
      </c>
      <c r="D807" s="633" t="s">
        <v>324</v>
      </c>
      <c r="F807" s="633" t="s">
        <v>325</v>
      </c>
      <c r="G807" s="633" t="s">
        <v>584</v>
      </c>
      <c r="H807" s="633" t="s">
        <v>366</v>
      </c>
      <c r="J807" s="633" t="s">
        <v>327</v>
      </c>
      <c r="K807" s="633" t="s">
        <v>261</v>
      </c>
      <c r="L807" s="633" t="s">
        <v>309</v>
      </c>
      <c r="M807" s="633" t="s">
        <v>471</v>
      </c>
      <c r="N807" s="633" t="s">
        <v>255</v>
      </c>
      <c r="P807" s="633">
        <v>1</v>
      </c>
      <c r="Q807" s="633">
        <v>0</v>
      </c>
      <c r="T807" s="594">
        <v>41736.707546296297</v>
      </c>
    </row>
    <row r="808" spans="1:20" x14ac:dyDescent="0.25">
      <c r="A808" s="633" t="s">
        <v>308</v>
      </c>
      <c r="B808" s="633">
        <v>13</v>
      </c>
      <c r="C808" s="633" t="s">
        <v>323</v>
      </c>
      <c r="D808" s="633" t="s">
        <v>324</v>
      </c>
      <c r="F808" s="633" t="s">
        <v>325</v>
      </c>
      <c r="G808" s="633" t="s">
        <v>584</v>
      </c>
      <c r="H808" s="633" t="s">
        <v>326</v>
      </c>
      <c r="J808" s="633" t="s">
        <v>327</v>
      </c>
      <c r="K808" s="633" t="s">
        <v>261</v>
      </c>
      <c r="L808" s="633" t="s">
        <v>309</v>
      </c>
      <c r="M808" s="633" t="s">
        <v>470</v>
      </c>
      <c r="N808" s="633" t="s">
        <v>259</v>
      </c>
      <c r="O808" s="633">
        <v>2</v>
      </c>
      <c r="Q808" s="633">
        <v>33</v>
      </c>
      <c r="T808" s="594">
        <v>41736.707546296297</v>
      </c>
    </row>
    <row r="809" spans="1:20" x14ac:dyDescent="0.25">
      <c r="A809" s="633" t="s">
        <v>308</v>
      </c>
      <c r="B809" s="633">
        <v>13</v>
      </c>
      <c r="C809" s="633" t="s">
        <v>323</v>
      </c>
      <c r="D809" s="633" t="s">
        <v>324</v>
      </c>
      <c r="F809" s="633" t="s">
        <v>325</v>
      </c>
      <c r="G809" s="633" t="s">
        <v>584</v>
      </c>
      <c r="H809" s="633" t="s">
        <v>329</v>
      </c>
      <c r="J809" s="633" t="s">
        <v>327</v>
      </c>
      <c r="K809" s="633" t="s">
        <v>261</v>
      </c>
      <c r="L809" s="633" t="s">
        <v>309</v>
      </c>
      <c r="M809" s="633" t="s">
        <v>470</v>
      </c>
      <c r="N809" s="633" t="s">
        <v>259</v>
      </c>
      <c r="O809" s="633">
        <v>4</v>
      </c>
      <c r="Q809" s="633">
        <v>165</v>
      </c>
      <c r="T809" s="594">
        <v>41736.707546296297</v>
      </c>
    </row>
    <row r="810" spans="1:20" x14ac:dyDescent="0.25">
      <c r="A810" s="633" t="s">
        <v>308</v>
      </c>
      <c r="B810" s="633">
        <v>13</v>
      </c>
      <c r="C810" s="633" t="s">
        <v>323</v>
      </c>
      <c r="D810" s="633" t="s">
        <v>324</v>
      </c>
      <c r="F810" s="633" t="s">
        <v>325</v>
      </c>
      <c r="G810" s="633" t="s">
        <v>584</v>
      </c>
      <c r="H810" s="633" t="s">
        <v>330</v>
      </c>
      <c r="J810" s="633" t="s">
        <v>327</v>
      </c>
      <c r="K810" s="633" t="s">
        <v>261</v>
      </c>
      <c r="L810" s="633" t="s">
        <v>309</v>
      </c>
      <c r="M810" s="633" t="s">
        <v>470</v>
      </c>
      <c r="N810" s="633" t="s">
        <v>259</v>
      </c>
      <c r="O810" s="633">
        <v>3</v>
      </c>
      <c r="Q810" s="633">
        <v>93</v>
      </c>
      <c r="T810" s="594">
        <v>41736.707546296297</v>
      </c>
    </row>
    <row r="811" spans="1:20" x14ac:dyDescent="0.25">
      <c r="A811" s="633" t="s">
        <v>308</v>
      </c>
      <c r="B811" s="633">
        <v>13</v>
      </c>
      <c r="C811" s="633" t="s">
        <v>323</v>
      </c>
      <c r="D811" s="633" t="s">
        <v>324</v>
      </c>
      <c r="F811" s="633" t="s">
        <v>325</v>
      </c>
      <c r="G811" s="633" t="s">
        <v>584</v>
      </c>
      <c r="H811" s="633" t="s">
        <v>332</v>
      </c>
      <c r="J811" s="633" t="s">
        <v>327</v>
      </c>
      <c r="K811" s="633" t="s">
        <v>261</v>
      </c>
      <c r="L811" s="633" t="s">
        <v>309</v>
      </c>
      <c r="M811" s="633" t="s">
        <v>470</v>
      </c>
      <c r="N811" s="633" t="s">
        <v>259</v>
      </c>
      <c r="O811" s="633">
        <v>1</v>
      </c>
      <c r="Q811" s="633">
        <v>0</v>
      </c>
      <c r="T811" s="594">
        <v>41736.707546296297</v>
      </c>
    </row>
    <row r="812" spans="1:20" x14ac:dyDescent="0.25">
      <c r="A812" s="633" t="s">
        <v>308</v>
      </c>
      <c r="B812" s="633">
        <v>13</v>
      </c>
      <c r="C812" s="633" t="s">
        <v>323</v>
      </c>
      <c r="D812" s="633" t="s">
        <v>324</v>
      </c>
      <c r="F812" s="633" t="s">
        <v>325</v>
      </c>
      <c r="G812" s="633" t="s">
        <v>584</v>
      </c>
      <c r="H812" s="633" t="s">
        <v>331</v>
      </c>
      <c r="J812" s="633" t="s">
        <v>327</v>
      </c>
      <c r="K812" s="633" t="s">
        <v>261</v>
      </c>
      <c r="L812" s="633" t="s">
        <v>309</v>
      </c>
      <c r="M812" s="633" t="s">
        <v>470</v>
      </c>
      <c r="N812" s="633" t="s">
        <v>259</v>
      </c>
      <c r="Q812" s="633">
        <v>43</v>
      </c>
      <c r="T812" s="594">
        <v>41736.707546296297</v>
      </c>
    </row>
    <row r="813" spans="1:20" x14ac:dyDescent="0.25">
      <c r="A813" s="633" t="s">
        <v>308</v>
      </c>
      <c r="B813" s="633">
        <v>13</v>
      </c>
      <c r="C813" s="633" t="s">
        <v>323</v>
      </c>
      <c r="D813" s="633" t="s">
        <v>324</v>
      </c>
      <c r="F813" s="633" t="s">
        <v>325</v>
      </c>
      <c r="G813" s="633" t="s">
        <v>584</v>
      </c>
      <c r="H813" s="633" t="s">
        <v>328</v>
      </c>
      <c r="J813" s="633" t="s">
        <v>327</v>
      </c>
      <c r="K813" s="633" t="s">
        <v>261</v>
      </c>
      <c r="L813" s="633" t="s">
        <v>309</v>
      </c>
      <c r="M813" s="633" t="s">
        <v>470</v>
      </c>
      <c r="N813" s="633" t="s">
        <v>259</v>
      </c>
      <c r="O813" s="633">
        <v>5</v>
      </c>
      <c r="Q813" s="633">
        <v>1</v>
      </c>
      <c r="T813" s="594">
        <v>41736.707546296297</v>
      </c>
    </row>
    <row r="814" spans="1:20" x14ac:dyDescent="0.25">
      <c r="A814" s="633" t="s">
        <v>308</v>
      </c>
      <c r="B814" s="633">
        <v>13</v>
      </c>
      <c r="C814" s="633" t="s">
        <v>323</v>
      </c>
      <c r="D814" s="633" t="s">
        <v>324</v>
      </c>
      <c r="F814" s="633" t="s">
        <v>325</v>
      </c>
      <c r="G814" s="633" t="s">
        <v>584</v>
      </c>
      <c r="H814" s="633" t="s">
        <v>333</v>
      </c>
      <c r="J814" s="633" t="s">
        <v>327</v>
      </c>
      <c r="K814" s="633" t="s">
        <v>261</v>
      </c>
      <c r="L814" s="633" t="s">
        <v>309</v>
      </c>
      <c r="M814" s="633" t="s">
        <v>470</v>
      </c>
      <c r="N814" s="633" t="s">
        <v>259</v>
      </c>
      <c r="O814" s="633">
        <v>6</v>
      </c>
      <c r="Q814" s="633">
        <v>3</v>
      </c>
      <c r="T814" s="594">
        <v>41736.707546296297</v>
      </c>
    </row>
    <row r="815" spans="1:20" x14ac:dyDescent="0.25">
      <c r="A815" s="633" t="s">
        <v>308</v>
      </c>
      <c r="B815" s="633">
        <v>13</v>
      </c>
      <c r="C815" s="633" t="s">
        <v>323</v>
      </c>
      <c r="D815" s="633" t="s">
        <v>324</v>
      </c>
      <c r="F815" s="633" t="s">
        <v>325</v>
      </c>
      <c r="G815" s="633" t="s">
        <v>584</v>
      </c>
      <c r="H815" s="633" t="s">
        <v>363</v>
      </c>
      <c r="J815" s="633" t="s">
        <v>327</v>
      </c>
      <c r="K815" s="633" t="s">
        <v>261</v>
      </c>
      <c r="L815" s="633" t="s">
        <v>309</v>
      </c>
      <c r="M815" s="633" t="s">
        <v>471</v>
      </c>
      <c r="N815" s="633" t="s">
        <v>259</v>
      </c>
      <c r="P815" s="633">
        <v>5</v>
      </c>
      <c r="Q815" s="633">
        <v>0</v>
      </c>
      <c r="T815" s="594">
        <v>41736.707546296297</v>
      </c>
    </row>
    <row r="816" spans="1:20" x14ac:dyDescent="0.25">
      <c r="A816" s="633" t="s">
        <v>308</v>
      </c>
      <c r="B816" s="633">
        <v>13</v>
      </c>
      <c r="C816" s="633" t="s">
        <v>323</v>
      </c>
      <c r="D816" s="633" t="s">
        <v>324</v>
      </c>
      <c r="F816" s="633" t="s">
        <v>325</v>
      </c>
      <c r="G816" s="633" t="s">
        <v>584</v>
      </c>
      <c r="H816" s="633" t="s">
        <v>361</v>
      </c>
      <c r="J816" s="633" t="s">
        <v>327</v>
      </c>
      <c r="K816" s="633" t="s">
        <v>261</v>
      </c>
      <c r="L816" s="633" t="s">
        <v>309</v>
      </c>
      <c r="M816" s="633" t="s">
        <v>471</v>
      </c>
      <c r="N816" s="633" t="s">
        <v>259</v>
      </c>
      <c r="O816" s="633">
        <v>3</v>
      </c>
      <c r="P816" s="633">
        <v>6</v>
      </c>
      <c r="Q816" s="633">
        <v>3</v>
      </c>
      <c r="T816" s="594">
        <v>41736.707546296297</v>
      </c>
    </row>
    <row r="817" spans="1:20" x14ac:dyDescent="0.25">
      <c r="A817" s="633" t="s">
        <v>308</v>
      </c>
      <c r="B817" s="633">
        <v>13</v>
      </c>
      <c r="C817" s="633" t="s">
        <v>323</v>
      </c>
      <c r="D817" s="633" t="s">
        <v>324</v>
      </c>
      <c r="F817" s="633" t="s">
        <v>325</v>
      </c>
      <c r="G817" s="633" t="s">
        <v>584</v>
      </c>
      <c r="H817" s="633" t="s">
        <v>343</v>
      </c>
      <c r="J817" s="633" t="s">
        <v>327</v>
      </c>
      <c r="K817" s="633" t="s">
        <v>261</v>
      </c>
      <c r="L817" s="633" t="s">
        <v>309</v>
      </c>
      <c r="M817" s="633" t="s">
        <v>471</v>
      </c>
      <c r="N817" s="633" t="s">
        <v>259</v>
      </c>
      <c r="O817" s="633">
        <v>5</v>
      </c>
      <c r="P817" s="633">
        <v>4</v>
      </c>
      <c r="Q817" s="633">
        <v>0</v>
      </c>
      <c r="T817" s="594">
        <v>41736.707546296297</v>
      </c>
    </row>
    <row r="818" spans="1:20" x14ac:dyDescent="0.25">
      <c r="A818" s="633" t="s">
        <v>308</v>
      </c>
      <c r="B818" s="633">
        <v>13</v>
      </c>
      <c r="C818" s="633" t="s">
        <v>323</v>
      </c>
      <c r="D818" s="633" t="s">
        <v>324</v>
      </c>
      <c r="F818" s="633" t="s">
        <v>325</v>
      </c>
      <c r="G818" s="633" t="s">
        <v>584</v>
      </c>
      <c r="H818" s="633" t="s">
        <v>330</v>
      </c>
      <c r="J818" s="633" t="s">
        <v>327</v>
      </c>
      <c r="K818" s="633" t="s">
        <v>261</v>
      </c>
      <c r="L818" s="633" t="s">
        <v>309</v>
      </c>
      <c r="M818" s="633" t="s">
        <v>471</v>
      </c>
      <c r="N818" s="633" t="s">
        <v>259</v>
      </c>
      <c r="O818" s="633">
        <v>3</v>
      </c>
      <c r="Q818" s="633">
        <v>0</v>
      </c>
      <c r="T818" s="594">
        <v>41736.707546296297</v>
      </c>
    </row>
    <row r="819" spans="1:20" x14ac:dyDescent="0.25">
      <c r="A819" s="633" t="s">
        <v>308</v>
      </c>
      <c r="B819" s="633">
        <v>13</v>
      </c>
      <c r="C819" s="633" t="s">
        <v>323</v>
      </c>
      <c r="D819" s="633" t="s">
        <v>324</v>
      </c>
      <c r="F819" s="633" t="s">
        <v>325</v>
      </c>
      <c r="G819" s="633" t="s">
        <v>584</v>
      </c>
      <c r="H819" s="633" t="s">
        <v>364</v>
      </c>
      <c r="J819" s="633" t="s">
        <v>327</v>
      </c>
      <c r="K819" s="633" t="s">
        <v>261</v>
      </c>
      <c r="L819" s="633" t="s">
        <v>309</v>
      </c>
      <c r="M819" s="633" t="s">
        <v>471</v>
      </c>
      <c r="N819" s="633" t="s">
        <v>259</v>
      </c>
      <c r="P819" s="633">
        <v>4</v>
      </c>
      <c r="Q819" s="633">
        <v>0</v>
      </c>
      <c r="T819" s="594">
        <v>41736.707546296297</v>
      </c>
    </row>
    <row r="820" spans="1:20" x14ac:dyDescent="0.25">
      <c r="A820" s="633" t="s">
        <v>308</v>
      </c>
      <c r="B820" s="633">
        <v>13</v>
      </c>
      <c r="C820" s="633" t="s">
        <v>323</v>
      </c>
      <c r="D820" s="633" t="s">
        <v>324</v>
      </c>
      <c r="F820" s="633" t="s">
        <v>325</v>
      </c>
      <c r="G820" s="633" t="s">
        <v>584</v>
      </c>
      <c r="H820" s="633" t="s">
        <v>377</v>
      </c>
      <c r="J820" s="633" t="s">
        <v>327</v>
      </c>
      <c r="K820" s="633" t="s">
        <v>261</v>
      </c>
      <c r="L820" s="633" t="s">
        <v>309</v>
      </c>
      <c r="M820" s="633" t="s">
        <v>471</v>
      </c>
      <c r="N820" s="633" t="s">
        <v>259</v>
      </c>
      <c r="O820" s="633">
        <v>6</v>
      </c>
      <c r="P820" s="633">
        <v>5</v>
      </c>
      <c r="Q820" s="633">
        <v>0</v>
      </c>
      <c r="T820" s="594">
        <v>41736.707546296297</v>
      </c>
    </row>
    <row r="821" spans="1:20" x14ac:dyDescent="0.25">
      <c r="A821" s="633" t="s">
        <v>308</v>
      </c>
      <c r="B821" s="633">
        <v>13</v>
      </c>
      <c r="C821" s="633" t="s">
        <v>323</v>
      </c>
      <c r="D821" s="633" t="s">
        <v>324</v>
      </c>
      <c r="F821" s="633" t="s">
        <v>325</v>
      </c>
      <c r="G821" s="633" t="s">
        <v>584</v>
      </c>
      <c r="H821" s="633" t="s">
        <v>372</v>
      </c>
      <c r="J821" s="633" t="s">
        <v>327</v>
      </c>
      <c r="K821" s="633" t="s">
        <v>261</v>
      </c>
      <c r="L821" s="633" t="s">
        <v>309</v>
      </c>
      <c r="M821" s="633" t="s">
        <v>471</v>
      </c>
      <c r="N821" s="633" t="s">
        <v>259</v>
      </c>
      <c r="O821" s="633">
        <v>1</v>
      </c>
      <c r="P821" s="633">
        <v>3</v>
      </c>
      <c r="Q821" s="633">
        <v>1</v>
      </c>
      <c r="T821" s="594">
        <v>41736.707546296297</v>
      </c>
    </row>
    <row r="822" spans="1:20" x14ac:dyDescent="0.25">
      <c r="A822" s="633" t="s">
        <v>308</v>
      </c>
      <c r="B822" s="633">
        <v>13</v>
      </c>
      <c r="C822" s="633" t="s">
        <v>323</v>
      </c>
      <c r="D822" s="633" t="s">
        <v>324</v>
      </c>
      <c r="F822" s="633" t="s">
        <v>325</v>
      </c>
      <c r="G822" s="633" t="s">
        <v>584</v>
      </c>
      <c r="H822" s="633" t="s">
        <v>334</v>
      </c>
      <c r="J822" s="633" t="s">
        <v>327</v>
      </c>
      <c r="K822" s="633" t="s">
        <v>261</v>
      </c>
      <c r="L822" s="633" t="s">
        <v>309</v>
      </c>
      <c r="M822" s="633" t="s">
        <v>471</v>
      </c>
      <c r="N822" s="633" t="s">
        <v>259</v>
      </c>
      <c r="O822" s="633">
        <v>2</v>
      </c>
      <c r="P822" s="633">
        <v>2</v>
      </c>
      <c r="Q822" s="633">
        <v>4</v>
      </c>
      <c r="T822" s="594">
        <v>41736.707546296297</v>
      </c>
    </row>
    <row r="823" spans="1:20" x14ac:dyDescent="0.25">
      <c r="A823" s="633" t="s">
        <v>308</v>
      </c>
      <c r="B823" s="633">
        <v>13</v>
      </c>
      <c r="C823" s="633" t="s">
        <v>323</v>
      </c>
      <c r="D823" s="633" t="s">
        <v>324</v>
      </c>
      <c r="F823" s="633" t="s">
        <v>325</v>
      </c>
      <c r="G823" s="633" t="s">
        <v>584</v>
      </c>
      <c r="H823" s="633" t="s">
        <v>355</v>
      </c>
      <c r="J823" s="633" t="s">
        <v>327</v>
      </c>
      <c r="K823" s="633" t="s">
        <v>261</v>
      </c>
      <c r="L823" s="633" t="s">
        <v>309</v>
      </c>
      <c r="M823" s="633" t="s">
        <v>471</v>
      </c>
      <c r="N823" s="633" t="s">
        <v>259</v>
      </c>
      <c r="O823" s="633">
        <v>3</v>
      </c>
      <c r="P823" s="633">
        <v>2</v>
      </c>
      <c r="Q823" s="633">
        <v>0</v>
      </c>
      <c r="T823" s="594">
        <v>41736.707546296297</v>
      </c>
    </row>
    <row r="824" spans="1:20" x14ac:dyDescent="0.25">
      <c r="A824" s="633" t="s">
        <v>308</v>
      </c>
      <c r="B824" s="633">
        <v>13</v>
      </c>
      <c r="C824" s="633" t="s">
        <v>323</v>
      </c>
      <c r="D824" s="633" t="s">
        <v>324</v>
      </c>
      <c r="F824" s="633" t="s">
        <v>325</v>
      </c>
      <c r="G824" s="633" t="s">
        <v>584</v>
      </c>
      <c r="H824" s="633" t="s">
        <v>375</v>
      </c>
      <c r="J824" s="633" t="s">
        <v>327</v>
      </c>
      <c r="K824" s="633" t="s">
        <v>261</v>
      </c>
      <c r="L824" s="633" t="s">
        <v>309</v>
      </c>
      <c r="M824" s="633" t="s">
        <v>471</v>
      </c>
      <c r="N824" s="633" t="s">
        <v>259</v>
      </c>
      <c r="O824" s="633">
        <v>1</v>
      </c>
      <c r="P824" s="633">
        <v>6</v>
      </c>
      <c r="Q824" s="633">
        <v>1</v>
      </c>
      <c r="T824" s="594">
        <v>41736.707546296297</v>
      </c>
    </row>
    <row r="825" spans="1:20" x14ac:dyDescent="0.25">
      <c r="A825" s="633" t="s">
        <v>308</v>
      </c>
      <c r="B825" s="633">
        <v>13</v>
      </c>
      <c r="C825" s="633" t="s">
        <v>323</v>
      </c>
      <c r="D825" s="633" t="s">
        <v>324</v>
      </c>
      <c r="F825" s="633" t="s">
        <v>325</v>
      </c>
      <c r="G825" s="633" t="s">
        <v>584</v>
      </c>
      <c r="H825" s="633" t="s">
        <v>342</v>
      </c>
      <c r="J825" s="633" t="s">
        <v>327</v>
      </c>
      <c r="K825" s="633" t="s">
        <v>261</v>
      </c>
      <c r="L825" s="633" t="s">
        <v>309</v>
      </c>
      <c r="M825" s="633" t="s">
        <v>471</v>
      </c>
      <c r="N825" s="633" t="s">
        <v>259</v>
      </c>
      <c r="O825" s="633">
        <v>5</v>
      </c>
      <c r="P825" s="633">
        <v>5</v>
      </c>
      <c r="Q825" s="633">
        <v>0</v>
      </c>
      <c r="T825" s="594">
        <v>41736.707546296297</v>
      </c>
    </row>
    <row r="826" spans="1:20" x14ac:dyDescent="0.25">
      <c r="A826" s="633" t="s">
        <v>308</v>
      </c>
      <c r="B826" s="633">
        <v>13</v>
      </c>
      <c r="C826" s="633" t="s">
        <v>323</v>
      </c>
      <c r="D826" s="633" t="s">
        <v>324</v>
      </c>
      <c r="F826" s="633" t="s">
        <v>325</v>
      </c>
      <c r="G826" s="633" t="s">
        <v>584</v>
      </c>
      <c r="H826" s="633" t="s">
        <v>369</v>
      </c>
      <c r="J826" s="633" t="s">
        <v>327</v>
      </c>
      <c r="K826" s="633" t="s">
        <v>261</v>
      </c>
      <c r="L826" s="633" t="s">
        <v>309</v>
      </c>
      <c r="M826" s="633" t="s">
        <v>471</v>
      </c>
      <c r="N826" s="633" t="s">
        <v>259</v>
      </c>
      <c r="O826" s="633">
        <v>1</v>
      </c>
      <c r="P826" s="633">
        <v>2</v>
      </c>
      <c r="Q826" s="633">
        <v>5</v>
      </c>
      <c r="T826" s="594">
        <v>41736.707546296297</v>
      </c>
    </row>
    <row r="827" spans="1:20" x14ac:dyDescent="0.25">
      <c r="A827" s="633" t="s">
        <v>308</v>
      </c>
      <c r="B827" s="633">
        <v>13</v>
      </c>
      <c r="C827" s="633" t="s">
        <v>323</v>
      </c>
      <c r="D827" s="633" t="s">
        <v>324</v>
      </c>
      <c r="F827" s="633" t="s">
        <v>325</v>
      </c>
      <c r="G827" s="633" t="s">
        <v>584</v>
      </c>
      <c r="H827" s="633" t="s">
        <v>349</v>
      </c>
      <c r="J827" s="633" t="s">
        <v>327</v>
      </c>
      <c r="K827" s="633" t="s">
        <v>261</v>
      </c>
      <c r="L827" s="633" t="s">
        <v>309</v>
      </c>
      <c r="M827" s="633" t="s">
        <v>471</v>
      </c>
      <c r="N827" s="633" t="s">
        <v>259</v>
      </c>
      <c r="O827" s="633">
        <v>4</v>
      </c>
      <c r="P827" s="633">
        <v>5</v>
      </c>
      <c r="Q827" s="633">
        <v>0</v>
      </c>
      <c r="T827" s="594">
        <v>41736.707546296297</v>
      </c>
    </row>
    <row r="828" spans="1:20" x14ac:dyDescent="0.25">
      <c r="A828" s="633" t="s">
        <v>308</v>
      </c>
      <c r="B828" s="633">
        <v>13</v>
      </c>
      <c r="C828" s="633" t="s">
        <v>323</v>
      </c>
      <c r="D828" s="633" t="s">
        <v>324</v>
      </c>
      <c r="F828" s="633" t="s">
        <v>325</v>
      </c>
      <c r="G828" s="633" t="s">
        <v>584</v>
      </c>
      <c r="H828" s="633" t="s">
        <v>376</v>
      </c>
      <c r="J828" s="633" t="s">
        <v>327</v>
      </c>
      <c r="K828" s="633" t="s">
        <v>261</v>
      </c>
      <c r="L828" s="633" t="s">
        <v>309</v>
      </c>
      <c r="M828" s="633" t="s">
        <v>471</v>
      </c>
      <c r="N828" s="633" t="s">
        <v>259</v>
      </c>
      <c r="O828" s="633">
        <v>6</v>
      </c>
      <c r="P828" s="633">
        <v>2</v>
      </c>
      <c r="Q828" s="633">
        <v>0</v>
      </c>
      <c r="T828" s="594">
        <v>41736.707546296297</v>
      </c>
    </row>
    <row r="829" spans="1:20" x14ac:dyDescent="0.25">
      <c r="A829" s="633" t="s">
        <v>308</v>
      </c>
      <c r="B829" s="633">
        <v>13</v>
      </c>
      <c r="C829" s="633" t="s">
        <v>323</v>
      </c>
      <c r="D829" s="633" t="s">
        <v>324</v>
      </c>
      <c r="F829" s="633" t="s">
        <v>325</v>
      </c>
      <c r="G829" s="633" t="s">
        <v>584</v>
      </c>
      <c r="H829" s="633" t="s">
        <v>378</v>
      </c>
      <c r="J829" s="633" t="s">
        <v>327</v>
      </c>
      <c r="K829" s="633" t="s">
        <v>261</v>
      </c>
      <c r="L829" s="633" t="s">
        <v>309</v>
      </c>
      <c r="M829" s="633" t="s">
        <v>471</v>
      </c>
      <c r="N829" s="633" t="s">
        <v>259</v>
      </c>
      <c r="O829" s="633">
        <v>6</v>
      </c>
      <c r="P829" s="633">
        <v>4</v>
      </c>
      <c r="Q829" s="633">
        <v>0</v>
      </c>
      <c r="T829" s="594">
        <v>41736.707546296297</v>
      </c>
    </row>
    <row r="830" spans="1:20" x14ac:dyDescent="0.25">
      <c r="A830" s="633" t="s">
        <v>308</v>
      </c>
      <c r="B830" s="633">
        <v>13</v>
      </c>
      <c r="C830" s="633" t="s">
        <v>323</v>
      </c>
      <c r="D830" s="633" t="s">
        <v>324</v>
      </c>
      <c r="F830" s="633" t="s">
        <v>325</v>
      </c>
      <c r="G830" s="633" t="s">
        <v>584</v>
      </c>
      <c r="H830" s="633" t="s">
        <v>359</v>
      </c>
      <c r="J830" s="633" t="s">
        <v>327</v>
      </c>
      <c r="K830" s="633" t="s">
        <v>261</v>
      </c>
      <c r="L830" s="633" t="s">
        <v>309</v>
      </c>
      <c r="M830" s="633" t="s">
        <v>471</v>
      </c>
      <c r="N830" s="633" t="s">
        <v>259</v>
      </c>
      <c r="O830" s="633">
        <v>3</v>
      </c>
      <c r="P830" s="633">
        <v>1</v>
      </c>
      <c r="Q830" s="633">
        <v>0</v>
      </c>
      <c r="T830" s="594">
        <v>41736.707546296297</v>
      </c>
    </row>
    <row r="831" spans="1:20" x14ac:dyDescent="0.25">
      <c r="A831" s="633" t="s">
        <v>308</v>
      </c>
      <c r="B831" s="633">
        <v>13</v>
      </c>
      <c r="C831" s="633" t="s">
        <v>323</v>
      </c>
      <c r="D831" s="633" t="s">
        <v>324</v>
      </c>
      <c r="F831" s="633" t="s">
        <v>325</v>
      </c>
      <c r="G831" s="633" t="s">
        <v>584</v>
      </c>
      <c r="H831" s="633" t="s">
        <v>326</v>
      </c>
      <c r="J831" s="633" t="s">
        <v>327</v>
      </c>
      <c r="K831" s="633" t="s">
        <v>261</v>
      </c>
      <c r="L831" s="633" t="s">
        <v>309</v>
      </c>
      <c r="M831" s="633" t="s">
        <v>471</v>
      </c>
      <c r="N831" s="633" t="s">
        <v>259</v>
      </c>
      <c r="O831" s="633">
        <v>2</v>
      </c>
      <c r="Q831" s="633">
        <v>13</v>
      </c>
      <c r="T831" s="594">
        <v>41736.707546296297</v>
      </c>
    </row>
    <row r="832" spans="1:20" x14ac:dyDescent="0.25">
      <c r="A832" s="633" t="s">
        <v>308</v>
      </c>
      <c r="B832" s="633">
        <v>13</v>
      </c>
      <c r="C832" s="633" t="s">
        <v>323</v>
      </c>
      <c r="D832" s="633" t="s">
        <v>324</v>
      </c>
      <c r="F832" s="633" t="s">
        <v>325</v>
      </c>
      <c r="G832" s="633" t="s">
        <v>584</v>
      </c>
      <c r="H832" s="633" t="s">
        <v>332</v>
      </c>
      <c r="J832" s="633" t="s">
        <v>327</v>
      </c>
      <c r="K832" s="633" t="s">
        <v>261</v>
      </c>
      <c r="L832" s="633" t="s">
        <v>309</v>
      </c>
      <c r="M832" s="633" t="s">
        <v>471</v>
      </c>
      <c r="N832" s="633" t="s">
        <v>259</v>
      </c>
      <c r="O832" s="633">
        <v>1</v>
      </c>
      <c r="Q832" s="633">
        <v>36</v>
      </c>
      <c r="T832" s="594">
        <v>41736.707546296297</v>
      </c>
    </row>
    <row r="833" spans="1:20" x14ac:dyDescent="0.25">
      <c r="A833" s="633" t="s">
        <v>308</v>
      </c>
      <c r="B833" s="633">
        <v>13</v>
      </c>
      <c r="C833" s="633" t="s">
        <v>323</v>
      </c>
      <c r="D833" s="633" t="s">
        <v>324</v>
      </c>
      <c r="F833" s="633" t="s">
        <v>325</v>
      </c>
      <c r="G833" s="633" t="s">
        <v>584</v>
      </c>
      <c r="H833" s="633" t="s">
        <v>352</v>
      </c>
      <c r="J833" s="633" t="s">
        <v>327</v>
      </c>
      <c r="K833" s="633" t="s">
        <v>261</v>
      </c>
      <c r="L833" s="633" t="s">
        <v>309</v>
      </c>
      <c r="M833" s="633" t="s">
        <v>471</v>
      </c>
      <c r="N833" s="633" t="s">
        <v>259</v>
      </c>
      <c r="O833" s="633">
        <v>4</v>
      </c>
      <c r="P833" s="633">
        <v>1</v>
      </c>
      <c r="Q833" s="633">
        <v>0</v>
      </c>
      <c r="T833" s="594">
        <v>41736.707546296297</v>
      </c>
    </row>
    <row r="834" spans="1:20" x14ac:dyDescent="0.25">
      <c r="A834" s="633" t="s">
        <v>308</v>
      </c>
      <c r="B834" s="633">
        <v>13</v>
      </c>
      <c r="C834" s="633" t="s">
        <v>323</v>
      </c>
      <c r="D834" s="633" t="s">
        <v>324</v>
      </c>
      <c r="F834" s="633" t="s">
        <v>325</v>
      </c>
      <c r="G834" s="633" t="s">
        <v>584</v>
      </c>
      <c r="H834" s="633" t="s">
        <v>329</v>
      </c>
      <c r="J834" s="633" t="s">
        <v>327</v>
      </c>
      <c r="K834" s="633" t="s">
        <v>261</v>
      </c>
      <c r="L834" s="633" t="s">
        <v>309</v>
      </c>
      <c r="M834" s="633" t="s">
        <v>471</v>
      </c>
      <c r="N834" s="633" t="s">
        <v>259</v>
      </c>
      <c r="O834" s="633">
        <v>4</v>
      </c>
      <c r="Q834" s="633">
        <v>4</v>
      </c>
      <c r="T834" s="594">
        <v>41736.707546296297</v>
      </c>
    </row>
    <row r="835" spans="1:20" x14ac:dyDescent="0.25">
      <c r="A835" s="633" t="s">
        <v>308</v>
      </c>
      <c r="B835" s="633">
        <v>13</v>
      </c>
      <c r="C835" s="633" t="s">
        <v>323</v>
      </c>
      <c r="D835" s="633" t="s">
        <v>324</v>
      </c>
      <c r="F835" s="633" t="s">
        <v>325</v>
      </c>
      <c r="G835" s="633" t="s">
        <v>584</v>
      </c>
      <c r="H835" s="633" t="s">
        <v>362</v>
      </c>
      <c r="J835" s="633" t="s">
        <v>327</v>
      </c>
      <c r="K835" s="633" t="s">
        <v>261</v>
      </c>
      <c r="L835" s="633" t="s">
        <v>309</v>
      </c>
      <c r="M835" s="633" t="s">
        <v>471</v>
      </c>
      <c r="N835" s="633" t="s">
        <v>259</v>
      </c>
      <c r="P835" s="633">
        <v>2</v>
      </c>
      <c r="Q835" s="633">
        <v>0</v>
      </c>
      <c r="T835" s="594">
        <v>41736.707546296297</v>
      </c>
    </row>
    <row r="836" spans="1:20" x14ac:dyDescent="0.25">
      <c r="A836" s="633" t="s">
        <v>308</v>
      </c>
      <c r="B836" s="633">
        <v>13</v>
      </c>
      <c r="C836" s="633" t="s">
        <v>323</v>
      </c>
      <c r="D836" s="633" t="s">
        <v>324</v>
      </c>
      <c r="F836" s="633" t="s">
        <v>325</v>
      </c>
      <c r="G836" s="633" t="s">
        <v>584</v>
      </c>
      <c r="H836" s="633" t="s">
        <v>368</v>
      </c>
      <c r="J836" s="633" t="s">
        <v>327</v>
      </c>
      <c r="K836" s="633" t="s">
        <v>261</v>
      </c>
      <c r="L836" s="633" t="s">
        <v>309</v>
      </c>
      <c r="M836" s="633" t="s">
        <v>471</v>
      </c>
      <c r="N836" s="633" t="s">
        <v>259</v>
      </c>
      <c r="P836" s="633">
        <v>6</v>
      </c>
      <c r="Q836" s="633">
        <v>0</v>
      </c>
      <c r="T836" s="594">
        <v>41736.707546296297</v>
      </c>
    </row>
    <row r="837" spans="1:20" x14ac:dyDescent="0.25">
      <c r="A837" s="633" t="s">
        <v>308</v>
      </c>
      <c r="B837" s="633">
        <v>13</v>
      </c>
      <c r="C837" s="633" t="s">
        <v>323</v>
      </c>
      <c r="D837" s="633" t="s">
        <v>324</v>
      </c>
      <c r="F837" s="633" t="s">
        <v>325</v>
      </c>
      <c r="G837" s="633" t="s">
        <v>584</v>
      </c>
      <c r="H837" s="633" t="s">
        <v>370</v>
      </c>
      <c r="J837" s="633" t="s">
        <v>327</v>
      </c>
      <c r="K837" s="633" t="s">
        <v>261</v>
      </c>
      <c r="L837" s="633" t="s">
        <v>309</v>
      </c>
      <c r="M837" s="633" t="s">
        <v>471</v>
      </c>
      <c r="N837" s="633" t="s">
        <v>259</v>
      </c>
      <c r="O837" s="633">
        <v>1</v>
      </c>
      <c r="P837" s="633">
        <v>5</v>
      </c>
      <c r="Q837" s="633">
        <v>2</v>
      </c>
      <c r="T837" s="594">
        <v>41736.707546296297</v>
      </c>
    </row>
    <row r="838" spans="1:20" x14ac:dyDescent="0.25">
      <c r="A838" s="633" t="s">
        <v>308</v>
      </c>
      <c r="B838" s="633">
        <v>13</v>
      </c>
      <c r="C838" s="633" t="s">
        <v>323</v>
      </c>
      <c r="D838" s="633" t="s">
        <v>324</v>
      </c>
      <c r="F838" s="633" t="s">
        <v>325</v>
      </c>
      <c r="G838" s="633" t="s">
        <v>584</v>
      </c>
      <c r="H838" s="633" t="s">
        <v>345</v>
      </c>
      <c r="J838" s="633" t="s">
        <v>327</v>
      </c>
      <c r="K838" s="633" t="s">
        <v>261</v>
      </c>
      <c r="L838" s="633" t="s">
        <v>309</v>
      </c>
      <c r="M838" s="633" t="s">
        <v>471</v>
      </c>
      <c r="N838" s="633" t="s">
        <v>259</v>
      </c>
      <c r="O838" s="633">
        <v>5</v>
      </c>
      <c r="P838" s="633">
        <v>1</v>
      </c>
      <c r="Q838" s="633">
        <v>0</v>
      </c>
      <c r="T838" s="594">
        <v>41736.707546296297</v>
      </c>
    </row>
    <row r="839" spans="1:20" x14ac:dyDescent="0.25">
      <c r="A839" s="633" t="s">
        <v>308</v>
      </c>
      <c r="B839" s="633">
        <v>13</v>
      </c>
      <c r="C839" s="633" t="s">
        <v>323</v>
      </c>
      <c r="D839" s="633" t="s">
        <v>324</v>
      </c>
      <c r="F839" s="633" t="s">
        <v>325</v>
      </c>
      <c r="G839" s="633" t="s">
        <v>584</v>
      </c>
      <c r="H839" s="633" t="s">
        <v>382</v>
      </c>
      <c r="J839" s="633" t="s">
        <v>327</v>
      </c>
      <c r="K839" s="633" t="s">
        <v>261</v>
      </c>
      <c r="L839" s="633" t="s">
        <v>309</v>
      </c>
      <c r="M839" s="633" t="s">
        <v>471</v>
      </c>
      <c r="N839" s="633" t="s">
        <v>259</v>
      </c>
      <c r="O839" s="633">
        <v>6</v>
      </c>
      <c r="P839" s="633">
        <v>6</v>
      </c>
      <c r="Q839" s="633">
        <v>5</v>
      </c>
      <c r="T839" s="594">
        <v>41736.707546296297</v>
      </c>
    </row>
    <row r="840" spans="1:20" x14ac:dyDescent="0.25">
      <c r="A840" s="633" t="s">
        <v>308</v>
      </c>
      <c r="B840" s="633">
        <v>13</v>
      </c>
      <c r="C840" s="633" t="s">
        <v>323</v>
      </c>
      <c r="D840" s="633" t="s">
        <v>324</v>
      </c>
      <c r="F840" s="633" t="s">
        <v>325</v>
      </c>
      <c r="G840" s="633" t="s">
        <v>584</v>
      </c>
      <c r="H840" s="633" t="s">
        <v>337</v>
      </c>
      <c r="J840" s="633" t="s">
        <v>327</v>
      </c>
      <c r="K840" s="633" t="s">
        <v>261</v>
      </c>
      <c r="L840" s="633" t="s">
        <v>309</v>
      </c>
      <c r="M840" s="633" t="s">
        <v>471</v>
      </c>
      <c r="N840" s="633" t="s">
        <v>259</v>
      </c>
      <c r="O840" s="633">
        <v>2</v>
      </c>
      <c r="P840" s="633">
        <v>3</v>
      </c>
      <c r="Q840" s="633">
        <v>0</v>
      </c>
      <c r="T840" s="594">
        <v>41736.707546296297</v>
      </c>
    </row>
    <row r="841" spans="1:20" x14ac:dyDescent="0.25">
      <c r="A841" s="633" t="s">
        <v>308</v>
      </c>
      <c r="B841" s="633">
        <v>13</v>
      </c>
      <c r="C841" s="633" t="s">
        <v>323</v>
      </c>
      <c r="D841" s="633" t="s">
        <v>324</v>
      </c>
      <c r="F841" s="633" t="s">
        <v>325</v>
      </c>
      <c r="G841" s="633" t="s">
        <v>584</v>
      </c>
      <c r="H841" s="633" t="s">
        <v>341</v>
      </c>
      <c r="J841" s="633" t="s">
        <v>327</v>
      </c>
      <c r="K841" s="633" t="s">
        <v>261</v>
      </c>
      <c r="L841" s="633" t="s">
        <v>309</v>
      </c>
      <c r="M841" s="633" t="s">
        <v>471</v>
      </c>
      <c r="N841" s="633" t="s">
        <v>259</v>
      </c>
      <c r="O841" s="633">
        <v>5</v>
      </c>
      <c r="P841" s="633">
        <v>2</v>
      </c>
      <c r="Q841" s="633">
        <v>0</v>
      </c>
      <c r="T841" s="594">
        <v>41736.707546296297</v>
      </c>
    </row>
    <row r="842" spans="1:20" x14ac:dyDescent="0.25">
      <c r="A842" s="633" t="s">
        <v>308</v>
      </c>
      <c r="B842" s="633">
        <v>13</v>
      </c>
      <c r="C842" s="633" t="s">
        <v>323</v>
      </c>
      <c r="D842" s="633" t="s">
        <v>324</v>
      </c>
      <c r="F842" s="633" t="s">
        <v>325</v>
      </c>
      <c r="G842" s="633" t="s">
        <v>584</v>
      </c>
      <c r="H842" s="633" t="s">
        <v>338</v>
      </c>
      <c r="J842" s="633" t="s">
        <v>327</v>
      </c>
      <c r="K842" s="633" t="s">
        <v>261</v>
      </c>
      <c r="L842" s="633" t="s">
        <v>309</v>
      </c>
      <c r="M842" s="633" t="s">
        <v>471</v>
      </c>
      <c r="N842" s="633" t="s">
        <v>259</v>
      </c>
      <c r="O842" s="633">
        <v>2</v>
      </c>
      <c r="P842" s="633">
        <v>1</v>
      </c>
      <c r="Q842" s="633">
        <v>0</v>
      </c>
      <c r="T842" s="594">
        <v>41736.707546296297</v>
      </c>
    </row>
    <row r="843" spans="1:20" x14ac:dyDescent="0.25">
      <c r="A843" s="633" t="s">
        <v>308</v>
      </c>
      <c r="B843" s="633">
        <v>13</v>
      </c>
      <c r="C843" s="633" t="s">
        <v>323</v>
      </c>
      <c r="D843" s="633" t="s">
        <v>324</v>
      </c>
      <c r="F843" s="633" t="s">
        <v>325</v>
      </c>
      <c r="G843" s="633" t="s">
        <v>584</v>
      </c>
      <c r="H843" s="633" t="s">
        <v>358</v>
      </c>
      <c r="J843" s="633" t="s">
        <v>327</v>
      </c>
      <c r="K843" s="633" t="s">
        <v>261</v>
      </c>
      <c r="L843" s="633" t="s">
        <v>309</v>
      </c>
      <c r="M843" s="633" t="s">
        <v>471</v>
      </c>
      <c r="N843" s="633" t="s">
        <v>259</v>
      </c>
      <c r="O843" s="633">
        <v>3</v>
      </c>
      <c r="P843" s="633">
        <v>3</v>
      </c>
      <c r="Q843" s="633">
        <v>5</v>
      </c>
      <c r="T843" s="594">
        <v>41736.707546296297</v>
      </c>
    </row>
    <row r="844" spans="1:20" x14ac:dyDescent="0.25">
      <c r="A844" s="633" t="s">
        <v>308</v>
      </c>
      <c r="B844" s="633">
        <v>13</v>
      </c>
      <c r="C844" s="633" t="s">
        <v>323</v>
      </c>
      <c r="D844" s="633" t="s">
        <v>324</v>
      </c>
      <c r="F844" s="633" t="s">
        <v>325</v>
      </c>
      <c r="G844" s="633" t="s">
        <v>584</v>
      </c>
      <c r="H844" s="633" t="s">
        <v>350</v>
      </c>
      <c r="J844" s="633" t="s">
        <v>327</v>
      </c>
      <c r="K844" s="633" t="s">
        <v>261</v>
      </c>
      <c r="L844" s="633" t="s">
        <v>309</v>
      </c>
      <c r="M844" s="633" t="s">
        <v>471</v>
      </c>
      <c r="N844" s="633" t="s">
        <v>259</v>
      </c>
      <c r="O844" s="633">
        <v>4</v>
      </c>
      <c r="P844" s="633">
        <v>4</v>
      </c>
      <c r="Q844" s="633">
        <v>100</v>
      </c>
      <c r="T844" s="594">
        <v>41736.707546296297</v>
      </c>
    </row>
    <row r="845" spans="1:20" x14ac:dyDescent="0.25">
      <c r="A845" s="633" t="s">
        <v>308</v>
      </c>
      <c r="B845" s="633">
        <v>13</v>
      </c>
      <c r="C845" s="633" t="s">
        <v>323</v>
      </c>
      <c r="D845" s="633" t="s">
        <v>324</v>
      </c>
      <c r="F845" s="633" t="s">
        <v>325</v>
      </c>
      <c r="G845" s="633" t="s">
        <v>584</v>
      </c>
      <c r="H845" s="633" t="s">
        <v>381</v>
      </c>
      <c r="J845" s="633" t="s">
        <v>327</v>
      </c>
      <c r="K845" s="633" t="s">
        <v>261</v>
      </c>
      <c r="L845" s="633" t="s">
        <v>309</v>
      </c>
      <c r="M845" s="633" t="s">
        <v>471</v>
      </c>
      <c r="N845" s="633" t="s">
        <v>259</v>
      </c>
      <c r="O845" s="633">
        <v>6</v>
      </c>
      <c r="P845" s="633">
        <v>7</v>
      </c>
      <c r="Q845" s="633">
        <v>0</v>
      </c>
      <c r="T845" s="594">
        <v>41736.707546296297</v>
      </c>
    </row>
    <row r="846" spans="1:20" x14ac:dyDescent="0.25">
      <c r="A846" s="633" t="s">
        <v>308</v>
      </c>
      <c r="B846" s="633">
        <v>13</v>
      </c>
      <c r="C846" s="633" t="s">
        <v>323</v>
      </c>
      <c r="D846" s="633" t="s">
        <v>324</v>
      </c>
      <c r="F846" s="633" t="s">
        <v>325</v>
      </c>
      <c r="G846" s="633" t="s">
        <v>584</v>
      </c>
      <c r="H846" s="633" t="s">
        <v>379</v>
      </c>
      <c r="J846" s="633" t="s">
        <v>327</v>
      </c>
      <c r="K846" s="633" t="s">
        <v>261</v>
      </c>
      <c r="L846" s="633" t="s">
        <v>309</v>
      </c>
      <c r="M846" s="633" t="s">
        <v>471</v>
      </c>
      <c r="N846" s="633" t="s">
        <v>259</v>
      </c>
      <c r="O846" s="633">
        <v>6</v>
      </c>
      <c r="P846" s="633">
        <v>3</v>
      </c>
      <c r="Q846" s="633">
        <v>0</v>
      </c>
      <c r="T846" s="594">
        <v>41736.707546296297</v>
      </c>
    </row>
    <row r="847" spans="1:20" x14ac:dyDescent="0.25">
      <c r="A847" s="633" t="s">
        <v>308</v>
      </c>
      <c r="B847" s="633">
        <v>13</v>
      </c>
      <c r="C847" s="633" t="s">
        <v>323</v>
      </c>
      <c r="D847" s="633" t="s">
        <v>324</v>
      </c>
      <c r="F847" s="633" t="s">
        <v>325</v>
      </c>
      <c r="G847" s="633" t="s">
        <v>584</v>
      </c>
      <c r="H847" s="633" t="s">
        <v>357</v>
      </c>
      <c r="J847" s="633" t="s">
        <v>327</v>
      </c>
      <c r="K847" s="633" t="s">
        <v>261</v>
      </c>
      <c r="L847" s="633" t="s">
        <v>309</v>
      </c>
      <c r="M847" s="633" t="s">
        <v>471</v>
      </c>
      <c r="N847" s="633" t="s">
        <v>259</v>
      </c>
      <c r="O847" s="633">
        <v>3</v>
      </c>
      <c r="P847" s="633">
        <v>4</v>
      </c>
      <c r="Q847" s="633">
        <v>42</v>
      </c>
      <c r="T847" s="594">
        <v>41736.707546296297</v>
      </c>
    </row>
    <row r="848" spans="1:20" x14ac:dyDescent="0.25">
      <c r="A848" s="633" t="s">
        <v>308</v>
      </c>
      <c r="B848" s="633">
        <v>13</v>
      </c>
      <c r="C848" s="633" t="s">
        <v>323</v>
      </c>
      <c r="D848" s="633" t="s">
        <v>324</v>
      </c>
      <c r="F848" s="633" t="s">
        <v>325</v>
      </c>
      <c r="G848" s="633" t="s">
        <v>584</v>
      </c>
      <c r="H848" s="633" t="s">
        <v>331</v>
      </c>
      <c r="J848" s="633" t="s">
        <v>327</v>
      </c>
      <c r="K848" s="633" t="s">
        <v>261</v>
      </c>
      <c r="L848" s="633" t="s">
        <v>309</v>
      </c>
      <c r="M848" s="633" t="s">
        <v>471</v>
      </c>
      <c r="N848" s="633" t="s">
        <v>259</v>
      </c>
      <c r="Q848" s="633">
        <v>49</v>
      </c>
      <c r="T848" s="594">
        <v>41736.707546296297</v>
      </c>
    </row>
    <row r="849" spans="1:20" x14ac:dyDescent="0.25">
      <c r="A849" s="633" t="s">
        <v>308</v>
      </c>
      <c r="B849" s="633">
        <v>13</v>
      </c>
      <c r="C849" s="633" t="s">
        <v>323</v>
      </c>
      <c r="D849" s="633" t="s">
        <v>324</v>
      </c>
      <c r="F849" s="633" t="s">
        <v>325</v>
      </c>
      <c r="G849" s="633" t="s">
        <v>584</v>
      </c>
      <c r="H849" s="633" t="s">
        <v>371</v>
      </c>
      <c r="J849" s="633" t="s">
        <v>327</v>
      </c>
      <c r="K849" s="633" t="s">
        <v>261</v>
      </c>
      <c r="L849" s="633" t="s">
        <v>309</v>
      </c>
      <c r="M849" s="633" t="s">
        <v>471</v>
      </c>
      <c r="N849" s="633" t="s">
        <v>259</v>
      </c>
      <c r="O849" s="633">
        <v>1</v>
      </c>
      <c r="P849" s="633">
        <v>4</v>
      </c>
      <c r="Q849" s="633">
        <v>62</v>
      </c>
      <c r="T849" s="594">
        <v>41736.707546296297</v>
      </c>
    </row>
    <row r="850" spans="1:20" x14ac:dyDescent="0.25">
      <c r="A850" s="633" t="s">
        <v>308</v>
      </c>
      <c r="B850" s="633">
        <v>13</v>
      </c>
      <c r="C850" s="633" t="s">
        <v>323</v>
      </c>
      <c r="D850" s="633" t="s">
        <v>324</v>
      </c>
      <c r="F850" s="633" t="s">
        <v>325</v>
      </c>
      <c r="G850" s="633" t="s">
        <v>584</v>
      </c>
      <c r="H850" s="633" t="s">
        <v>333</v>
      </c>
      <c r="J850" s="633" t="s">
        <v>327</v>
      </c>
      <c r="K850" s="633" t="s">
        <v>261</v>
      </c>
      <c r="L850" s="633" t="s">
        <v>309</v>
      </c>
      <c r="M850" s="633" t="s">
        <v>471</v>
      </c>
      <c r="N850" s="633" t="s">
        <v>259</v>
      </c>
      <c r="O850" s="633">
        <v>6</v>
      </c>
      <c r="Q850" s="633">
        <v>0</v>
      </c>
      <c r="T850" s="594">
        <v>41736.707546296297</v>
      </c>
    </row>
    <row r="851" spans="1:20" x14ac:dyDescent="0.25">
      <c r="A851" s="633" t="s">
        <v>308</v>
      </c>
      <c r="B851" s="633">
        <v>13</v>
      </c>
      <c r="C851" s="633" t="s">
        <v>323</v>
      </c>
      <c r="D851" s="633" t="s">
        <v>324</v>
      </c>
      <c r="F851" s="633" t="s">
        <v>325</v>
      </c>
      <c r="G851" s="633" t="s">
        <v>584</v>
      </c>
      <c r="H851" s="633" t="s">
        <v>348</v>
      </c>
      <c r="J851" s="633" t="s">
        <v>327</v>
      </c>
      <c r="K851" s="633" t="s">
        <v>261</v>
      </c>
      <c r="L851" s="633" t="s">
        <v>309</v>
      </c>
      <c r="M851" s="633" t="s">
        <v>471</v>
      </c>
      <c r="N851" s="633" t="s">
        <v>259</v>
      </c>
      <c r="O851" s="633">
        <v>4</v>
      </c>
      <c r="P851" s="633">
        <v>2</v>
      </c>
      <c r="Q851" s="633">
        <v>0</v>
      </c>
      <c r="T851" s="594">
        <v>41736.707546296297</v>
      </c>
    </row>
    <row r="852" spans="1:20" x14ac:dyDescent="0.25">
      <c r="A852" s="633" t="s">
        <v>308</v>
      </c>
      <c r="B852" s="633">
        <v>13</v>
      </c>
      <c r="C852" s="633" t="s">
        <v>323</v>
      </c>
      <c r="D852" s="633" t="s">
        <v>324</v>
      </c>
      <c r="F852" s="633" t="s">
        <v>325</v>
      </c>
      <c r="G852" s="633" t="s">
        <v>584</v>
      </c>
      <c r="H852" s="633" t="s">
        <v>351</v>
      </c>
      <c r="J852" s="633" t="s">
        <v>327</v>
      </c>
      <c r="K852" s="633" t="s">
        <v>261</v>
      </c>
      <c r="L852" s="633" t="s">
        <v>309</v>
      </c>
      <c r="M852" s="633" t="s">
        <v>471</v>
      </c>
      <c r="N852" s="633" t="s">
        <v>259</v>
      </c>
      <c r="O852" s="633">
        <v>4</v>
      </c>
      <c r="P852" s="633">
        <v>3</v>
      </c>
      <c r="Q852" s="633">
        <v>0</v>
      </c>
      <c r="T852" s="594">
        <v>41736.707546296297</v>
      </c>
    </row>
    <row r="853" spans="1:20" x14ac:dyDescent="0.25">
      <c r="A853" s="633" t="s">
        <v>308</v>
      </c>
      <c r="B853" s="633">
        <v>13</v>
      </c>
      <c r="C853" s="633" t="s">
        <v>323</v>
      </c>
      <c r="D853" s="633" t="s">
        <v>324</v>
      </c>
      <c r="F853" s="633" t="s">
        <v>325</v>
      </c>
      <c r="G853" s="633" t="s">
        <v>584</v>
      </c>
      <c r="H853" s="633" t="s">
        <v>374</v>
      </c>
      <c r="J853" s="633" t="s">
        <v>327</v>
      </c>
      <c r="K853" s="633" t="s">
        <v>261</v>
      </c>
      <c r="L853" s="633" t="s">
        <v>309</v>
      </c>
      <c r="M853" s="633" t="s">
        <v>471</v>
      </c>
      <c r="N853" s="633" t="s">
        <v>259</v>
      </c>
      <c r="O853" s="633">
        <v>1</v>
      </c>
      <c r="P853" s="633">
        <v>7</v>
      </c>
      <c r="Q853" s="633">
        <v>0</v>
      </c>
      <c r="T853" s="594">
        <v>41736.707546296297</v>
      </c>
    </row>
    <row r="854" spans="1:20" x14ac:dyDescent="0.25">
      <c r="A854" s="633" t="s">
        <v>308</v>
      </c>
      <c r="B854" s="633">
        <v>13</v>
      </c>
      <c r="C854" s="633" t="s">
        <v>323</v>
      </c>
      <c r="D854" s="633" t="s">
        <v>324</v>
      </c>
      <c r="F854" s="633" t="s">
        <v>325</v>
      </c>
      <c r="G854" s="633" t="s">
        <v>584</v>
      </c>
      <c r="H854" s="633" t="s">
        <v>353</v>
      </c>
      <c r="J854" s="633" t="s">
        <v>327</v>
      </c>
      <c r="K854" s="633" t="s">
        <v>261</v>
      </c>
      <c r="L854" s="633" t="s">
        <v>309</v>
      </c>
      <c r="M854" s="633" t="s">
        <v>471</v>
      </c>
      <c r="N854" s="633" t="s">
        <v>259</v>
      </c>
      <c r="O854" s="633">
        <v>4</v>
      </c>
      <c r="P854" s="633">
        <v>7</v>
      </c>
      <c r="Q854" s="633">
        <v>0</v>
      </c>
      <c r="T854" s="594">
        <v>41736.707546296297</v>
      </c>
    </row>
    <row r="855" spans="1:20" x14ac:dyDescent="0.25">
      <c r="A855" s="633" t="s">
        <v>308</v>
      </c>
      <c r="B855" s="633">
        <v>13</v>
      </c>
      <c r="C855" s="633" t="s">
        <v>323</v>
      </c>
      <c r="D855" s="633" t="s">
        <v>324</v>
      </c>
      <c r="F855" s="633" t="s">
        <v>325</v>
      </c>
      <c r="G855" s="633" t="s">
        <v>584</v>
      </c>
      <c r="H855" s="633" t="s">
        <v>336</v>
      </c>
      <c r="J855" s="633" t="s">
        <v>327</v>
      </c>
      <c r="K855" s="633" t="s">
        <v>261</v>
      </c>
      <c r="L855" s="633" t="s">
        <v>309</v>
      </c>
      <c r="M855" s="633" t="s">
        <v>471</v>
      </c>
      <c r="N855" s="633" t="s">
        <v>259</v>
      </c>
      <c r="O855" s="633">
        <v>2</v>
      </c>
      <c r="P855" s="633">
        <v>4</v>
      </c>
      <c r="Q855" s="633">
        <v>27</v>
      </c>
      <c r="T855" s="594">
        <v>41736.707546296297</v>
      </c>
    </row>
    <row r="856" spans="1:20" x14ac:dyDescent="0.25">
      <c r="A856" s="633" t="s">
        <v>308</v>
      </c>
      <c r="B856" s="633">
        <v>13</v>
      </c>
      <c r="C856" s="633" t="s">
        <v>323</v>
      </c>
      <c r="D856" s="633" t="s">
        <v>324</v>
      </c>
      <c r="F856" s="633" t="s">
        <v>325</v>
      </c>
      <c r="G856" s="633" t="s">
        <v>584</v>
      </c>
      <c r="H856" s="633" t="s">
        <v>339</v>
      </c>
      <c r="J856" s="633" t="s">
        <v>327</v>
      </c>
      <c r="K856" s="633" t="s">
        <v>261</v>
      </c>
      <c r="L856" s="633" t="s">
        <v>309</v>
      </c>
      <c r="M856" s="633" t="s">
        <v>471</v>
      </c>
      <c r="N856" s="633" t="s">
        <v>259</v>
      </c>
      <c r="O856" s="633">
        <v>2</v>
      </c>
      <c r="P856" s="633">
        <v>7</v>
      </c>
      <c r="Q856" s="633">
        <v>0</v>
      </c>
      <c r="T856" s="594">
        <v>41736.707546296297</v>
      </c>
    </row>
    <row r="857" spans="1:20" x14ac:dyDescent="0.25">
      <c r="A857" s="633" t="s">
        <v>308</v>
      </c>
      <c r="B857" s="633">
        <v>13</v>
      </c>
      <c r="C857" s="633" t="s">
        <v>323</v>
      </c>
      <c r="D857" s="633" t="s">
        <v>324</v>
      </c>
      <c r="F857" s="633" t="s">
        <v>325</v>
      </c>
      <c r="G857" s="633" t="s">
        <v>584</v>
      </c>
      <c r="H857" s="633" t="s">
        <v>335</v>
      </c>
      <c r="J857" s="633" t="s">
        <v>327</v>
      </c>
      <c r="K857" s="633" t="s">
        <v>261</v>
      </c>
      <c r="L857" s="633" t="s">
        <v>309</v>
      </c>
      <c r="M857" s="633" t="s">
        <v>471</v>
      </c>
      <c r="N857" s="633" t="s">
        <v>259</v>
      </c>
      <c r="O857" s="633">
        <v>2</v>
      </c>
      <c r="P857" s="633">
        <v>5</v>
      </c>
      <c r="Q857" s="633">
        <v>0</v>
      </c>
      <c r="T857" s="594">
        <v>41736.707546296297</v>
      </c>
    </row>
    <row r="858" spans="1:20" x14ac:dyDescent="0.25">
      <c r="A858" s="633" t="s">
        <v>308</v>
      </c>
      <c r="B858" s="633">
        <v>13</v>
      </c>
      <c r="C858" s="633" t="s">
        <v>323</v>
      </c>
      <c r="D858" s="633" t="s">
        <v>324</v>
      </c>
      <c r="F858" s="633" t="s">
        <v>325</v>
      </c>
      <c r="G858" s="633" t="s">
        <v>584</v>
      </c>
      <c r="H858" s="633" t="s">
        <v>380</v>
      </c>
      <c r="J858" s="633" t="s">
        <v>327</v>
      </c>
      <c r="K858" s="633" t="s">
        <v>261</v>
      </c>
      <c r="L858" s="633" t="s">
        <v>309</v>
      </c>
      <c r="M858" s="633" t="s">
        <v>471</v>
      </c>
      <c r="N858" s="633" t="s">
        <v>259</v>
      </c>
      <c r="O858" s="633">
        <v>6</v>
      </c>
      <c r="P858" s="633">
        <v>1</v>
      </c>
      <c r="Q858" s="633">
        <v>0</v>
      </c>
      <c r="T858" s="594">
        <v>41736.707546296297</v>
      </c>
    </row>
    <row r="859" spans="1:20" x14ac:dyDescent="0.25">
      <c r="A859" s="633" t="s">
        <v>308</v>
      </c>
      <c r="B859" s="633">
        <v>13</v>
      </c>
      <c r="C859" s="633" t="s">
        <v>323</v>
      </c>
      <c r="D859" s="633" t="s">
        <v>324</v>
      </c>
      <c r="F859" s="633" t="s">
        <v>325</v>
      </c>
      <c r="G859" s="633" t="s">
        <v>584</v>
      </c>
      <c r="H859" s="633" t="s">
        <v>365</v>
      </c>
      <c r="J859" s="633" t="s">
        <v>327</v>
      </c>
      <c r="K859" s="633" t="s">
        <v>261</v>
      </c>
      <c r="L859" s="633" t="s">
        <v>309</v>
      </c>
      <c r="M859" s="633" t="s">
        <v>471</v>
      </c>
      <c r="N859" s="633" t="s">
        <v>259</v>
      </c>
      <c r="P859" s="633">
        <v>3</v>
      </c>
      <c r="Q859" s="633">
        <v>0</v>
      </c>
      <c r="T859" s="594">
        <v>41736.707546296297</v>
      </c>
    </row>
    <row r="860" spans="1:20" x14ac:dyDescent="0.25">
      <c r="A860" s="633" t="s">
        <v>308</v>
      </c>
      <c r="B860" s="633">
        <v>13</v>
      </c>
      <c r="C860" s="633" t="s">
        <v>323</v>
      </c>
      <c r="D860" s="633" t="s">
        <v>324</v>
      </c>
      <c r="F860" s="633" t="s">
        <v>325</v>
      </c>
      <c r="G860" s="633" t="s">
        <v>584</v>
      </c>
      <c r="H860" s="633" t="s">
        <v>360</v>
      </c>
      <c r="J860" s="633" t="s">
        <v>327</v>
      </c>
      <c r="K860" s="633" t="s">
        <v>261</v>
      </c>
      <c r="L860" s="633" t="s">
        <v>309</v>
      </c>
      <c r="M860" s="633" t="s">
        <v>471</v>
      </c>
      <c r="N860" s="633" t="s">
        <v>259</v>
      </c>
      <c r="O860" s="633">
        <v>3</v>
      </c>
      <c r="P860" s="633">
        <v>7</v>
      </c>
      <c r="Q860" s="633">
        <v>0</v>
      </c>
      <c r="T860" s="594">
        <v>41736.707546296297</v>
      </c>
    </row>
    <row r="861" spans="1:20" x14ac:dyDescent="0.25">
      <c r="A861" s="633" t="s">
        <v>308</v>
      </c>
      <c r="B861" s="633">
        <v>13</v>
      </c>
      <c r="C861" s="633" t="s">
        <v>323</v>
      </c>
      <c r="D861" s="633" t="s">
        <v>324</v>
      </c>
      <c r="F861" s="633" t="s">
        <v>325</v>
      </c>
      <c r="G861" s="633" t="s">
        <v>584</v>
      </c>
      <c r="H861" s="633" t="s">
        <v>344</v>
      </c>
      <c r="J861" s="633" t="s">
        <v>327</v>
      </c>
      <c r="K861" s="633" t="s">
        <v>261</v>
      </c>
      <c r="L861" s="633" t="s">
        <v>309</v>
      </c>
      <c r="M861" s="633" t="s">
        <v>471</v>
      </c>
      <c r="N861" s="633" t="s">
        <v>259</v>
      </c>
      <c r="O861" s="633">
        <v>5</v>
      </c>
      <c r="P861" s="633">
        <v>3</v>
      </c>
      <c r="Q861" s="633">
        <v>0</v>
      </c>
      <c r="T861" s="594">
        <v>41736.707546296297</v>
      </c>
    </row>
    <row r="862" spans="1:20" x14ac:dyDescent="0.25">
      <c r="A862" s="633" t="s">
        <v>308</v>
      </c>
      <c r="B862" s="633">
        <v>13</v>
      </c>
      <c r="C862" s="633" t="s">
        <v>323</v>
      </c>
      <c r="D862" s="633" t="s">
        <v>324</v>
      </c>
      <c r="F862" s="633" t="s">
        <v>325</v>
      </c>
      <c r="G862" s="633" t="s">
        <v>584</v>
      </c>
      <c r="H862" s="633" t="s">
        <v>340</v>
      </c>
      <c r="J862" s="633" t="s">
        <v>327</v>
      </c>
      <c r="K862" s="633" t="s">
        <v>261</v>
      </c>
      <c r="L862" s="633" t="s">
        <v>309</v>
      </c>
      <c r="M862" s="633" t="s">
        <v>471</v>
      </c>
      <c r="N862" s="633" t="s">
        <v>259</v>
      </c>
      <c r="O862" s="633">
        <v>2</v>
      </c>
      <c r="P862" s="633">
        <v>6</v>
      </c>
      <c r="Q862" s="633">
        <v>2</v>
      </c>
      <c r="T862" s="594">
        <v>41736.707546296297</v>
      </c>
    </row>
    <row r="863" spans="1:20" x14ac:dyDescent="0.25">
      <c r="A863" s="633" t="s">
        <v>308</v>
      </c>
      <c r="B863" s="633">
        <v>13</v>
      </c>
      <c r="C863" s="633" t="s">
        <v>323</v>
      </c>
      <c r="D863" s="633" t="s">
        <v>324</v>
      </c>
      <c r="F863" s="633" t="s">
        <v>325</v>
      </c>
      <c r="G863" s="633" t="s">
        <v>584</v>
      </c>
      <c r="H863" s="633" t="s">
        <v>347</v>
      </c>
      <c r="J863" s="633" t="s">
        <v>327</v>
      </c>
      <c r="K863" s="633" t="s">
        <v>261</v>
      </c>
      <c r="L863" s="633" t="s">
        <v>309</v>
      </c>
      <c r="M863" s="633" t="s">
        <v>471</v>
      </c>
      <c r="N863" s="633" t="s">
        <v>259</v>
      </c>
      <c r="O863" s="633">
        <v>5</v>
      </c>
      <c r="P863" s="633">
        <v>6</v>
      </c>
      <c r="Q863" s="633">
        <v>0</v>
      </c>
      <c r="T863" s="594">
        <v>41736.707546296297</v>
      </c>
    </row>
    <row r="864" spans="1:20" x14ac:dyDescent="0.25">
      <c r="A864" s="633" t="s">
        <v>308</v>
      </c>
      <c r="B864" s="633">
        <v>13</v>
      </c>
      <c r="C864" s="633" t="s">
        <v>323</v>
      </c>
      <c r="D864" s="633" t="s">
        <v>324</v>
      </c>
      <c r="F864" s="633" t="s">
        <v>325</v>
      </c>
      <c r="G864" s="633" t="s">
        <v>584</v>
      </c>
      <c r="H864" s="633" t="s">
        <v>356</v>
      </c>
      <c r="J864" s="633" t="s">
        <v>327</v>
      </c>
      <c r="K864" s="633" t="s">
        <v>261</v>
      </c>
      <c r="L864" s="633" t="s">
        <v>309</v>
      </c>
      <c r="M864" s="633" t="s">
        <v>471</v>
      </c>
      <c r="N864" s="633" t="s">
        <v>259</v>
      </c>
      <c r="O864" s="633">
        <v>3</v>
      </c>
      <c r="P864" s="633">
        <v>5</v>
      </c>
      <c r="Q864" s="633">
        <v>1</v>
      </c>
      <c r="T864" s="594">
        <v>41736.707546296297</v>
      </c>
    </row>
    <row r="865" spans="1:20" x14ac:dyDescent="0.25">
      <c r="A865" s="633" t="s">
        <v>308</v>
      </c>
      <c r="B865" s="633">
        <v>13</v>
      </c>
      <c r="C865" s="633" t="s">
        <v>323</v>
      </c>
      <c r="D865" s="633" t="s">
        <v>324</v>
      </c>
      <c r="F865" s="633" t="s">
        <v>325</v>
      </c>
      <c r="G865" s="633" t="s">
        <v>584</v>
      </c>
      <c r="H865" s="633" t="s">
        <v>354</v>
      </c>
      <c r="J865" s="633" t="s">
        <v>327</v>
      </c>
      <c r="K865" s="633" t="s">
        <v>261</v>
      </c>
      <c r="L865" s="633" t="s">
        <v>309</v>
      </c>
      <c r="M865" s="633" t="s">
        <v>471</v>
      </c>
      <c r="N865" s="633" t="s">
        <v>259</v>
      </c>
      <c r="O865" s="633">
        <v>4</v>
      </c>
      <c r="P865" s="633">
        <v>6</v>
      </c>
      <c r="Q865" s="633">
        <v>17</v>
      </c>
      <c r="T865" s="594">
        <v>41736.707546296297</v>
      </c>
    </row>
    <row r="866" spans="1:20" x14ac:dyDescent="0.25">
      <c r="A866" s="633" t="s">
        <v>308</v>
      </c>
      <c r="B866" s="633">
        <v>13</v>
      </c>
      <c r="C866" s="633" t="s">
        <v>323</v>
      </c>
      <c r="D866" s="633" t="s">
        <v>324</v>
      </c>
      <c r="F866" s="633" t="s">
        <v>325</v>
      </c>
      <c r="G866" s="633" t="s">
        <v>584</v>
      </c>
      <c r="H866" s="633" t="s">
        <v>328</v>
      </c>
      <c r="J866" s="633" t="s">
        <v>327</v>
      </c>
      <c r="K866" s="633" t="s">
        <v>261</v>
      </c>
      <c r="L866" s="633" t="s">
        <v>309</v>
      </c>
      <c r="M866" s="633" t="s">
        <v>471</v>
      </c>
      <c r="N866" s="633" t="s">
        <v>259</v>
      </c>
      <c r="O866" s="633">
        <v>5</v>
      </c>
      <c r="Q866" s="633">
        <v>0</v>
      </c>
      <c r="T866" s="594">
        <v>41736.707546296297</v>
      </c>
    </row>
    <row r="867" spans="1:20" x14ac:dyDescent="0.25">
      <c r="A867" s="633" t="s">
        <v>308</v>
      </c>
      <c r="B867" s="633">
        <v>13</v>
      </c>
      <c r="C867" s="633" t="s">
        <v>323</v>
      </c>
      <c r="D867" s="633" t="s">
        <v>324</v>
      </c>
      <c r="F867" s="633" t="s">
        <v>325</v>
      </c>
      <c r="G867" s="633" t="s">
        <v>584</v>
      </c>
      <c r="H867" s="633" t="s">
        <v>366</v>
      </c>
      <c r="J867" s="633" t="s">
        <v>327</v>
      </c>
      <c r="K867" s="633" t="s">
        <v>261</v>
      </c>
      <c r="L867" s="633" t="s">
        <v>309</v>
      </c>
      <c r="M867" s="633" t="s">
        <v>471</v>
      </c>
      <c r="N867" s="633" t="s">
        <v>259</v>
      </c>
      <c r="P867" s="633">
        <v>1</v>
      </c>
      <c r="Q867" s="633">
        <v>0</v>
      </c>
      <c r="T867" s="594">
        <v>41736.707546296297</v>
      </c>
    </row>
    <row r="868" spans="1:20" x14ac:dyDescent="0.25">
      <c r="A868" s="633" t="s">
        <v>308</v>
      </c>
      <c r="B868" s="633">
        <v>13</v>
      </c>
      <c r="C868" s="633" t="s">
        <v>323</v>
      </c>
      <c r="D868" s="633" t="s">
        <v>324</v>
      </c>
      <c r="F868" s="633" t="s">
        <v>325</v>
      </c>
      <c r="G868" s="633" t="s">
        <v>584</v>
      </c>
      <c r="H868" s="633" t="s">
        <v>373</v>
      </c>
      <c r="J868" s="633" t="s">
        <v>327</v>
      </c>
      <c r="K868" s="633" t="s">
        <v>261</v>
      </c>
      <c r="L868" s="633" t="s">
        <v>309</v>
      </c>
      <c r="M868" s="633" t="s">
        <v>471</v>
      </c>
      <c r="N868" s="633" t="s">
        <v>259</v>
      </c>
      <c r="O868" s="633">
        <v>1</v>
      </c>
      <c r="P868" s="633">
        <v>1</v>
      </c>
      <c r="Q868" s="633">
        <v>0</v>
      </c>
      <c r="T868" s="594">
        <v>41736.707546296297</v>
      </c>
    </row>
    <row r="869" spans="1:20" x14ac:dyDescent="0.25">
      <c r="A869" s="633" t="s">
        <v>308</v>
      </c>
      <c r="B869" s="633">
        <v>13</v>
      </c>
      <c r="C869" s="633" t="s">
        <v>323</v>
      </c>
      <c r="D869" s="633" t="s">
        <v>324</v>
      </c>
      <c r="F869" s="633" t="s">
        <v>325</v>
      </c>
      <c r="G869" s="633" t="s">
        <v>584</v>
      </c>
      <c r="H869" s="633" t="s">
        <v>346</v>
      </c>
      <c r="J869" s="633" t="s">
        <v>327</v>
      </c>
      <c r="K869" s="633" t="s">
        <v>261</v>
      </c>
      <c r="L869" s="633" t="s">
        <v>309</v>
      </c>
      <c r="M869" s="633" t="s">
        <v>471</v>
      </c>
      <c r="N869" s="633" t="s">
        <v>259</v>
      </c>
      <c r="O869" s="633">
        <v>5</v>
      </c>
      <c r="P869" s="633">
        <v>7</v>
      </c>
      <c r="Q869" s="633">
        <v>0</v>
      </c>
      <c r="T869" s="594">
        <v>41736.707546296297</v>
      </c>
    </row>
    <row r="870" spans="1:20" x14ac:dyDescent="0.25">
      <c r="A870" s="633" t="s">
        <v>308</v>
      </c>
      <c r="B870" s="633">
        <v>13</v>
      </c>
      <c r="C870" s="633" t="s">
        <v>323</v>
      </c>
      <c r="D870" s="633" t="s">
        <v>324</v>
      </c>
      <c r="F870" s="633" t="s">
        <v>325</v>
      </c>
      <c r="G870" s="633" t="s">
        <v>584</v>
      </c>
      <c r="H870" s="633" t="s">
        <v>367</v>
      </c>
      <c r="J870" s="633" t="s">
        <v>327</v>
      </c>
      <c r="K870" s="633" t="s">
        <v>261</v>
      </c>
      <c r="L870" s="633" t="s">
        <v>309</v>
      </c>
      <c r="M870" s="633" t="s">
        <v>471</v>
      </c>
      <c r="N870" s="633" t="s">
        <v>259</v>
      </c>
      <c r="P870" s="633">
        <v>7</v>
      </c>
      <c r="Q870" s="633">
        <v>0</v>
      </c>
      <c r="T870" s="594">
        <v>41736.707546296297</v>
      </c>
    </row>
    <row r="871" spans="1:20" x14ac:dyDescent="0.25">
      <c r="A871" s="633" t="s">
        <v>308</v>
      </c>
      <c r="B871" s="633">
        <v>12</v>
      </c>
      <c r="C871" s="633" t="s">
        <v>412</v>
      </c>
      <c r="D871" s="633" t="s">
        <v>413</v>
      </c>
      <c r="F871" s="633" t="s">
        <v>302</v>
      </c>
      <c r="G871" s="633" t="s">
        <v>584</v>
      </c>
      <c r="H871" s="633" t="s">
        <v>414</v>
      </c>
      <c r="P871" s="633">
        <v>140710940.62208599</v>
      </c>
      <c r="Q871" s="633">
        <v>2.8807210176086402</v>
      </c>
      <c r="T871" s="594">
        <v>41736.707534722198</v>
      </c>
    </row>
    <row r="872" spans="1:20" x14ac:dyDescent="0.25">
      <c r="A872" s="633" t="s">
        <v>308</v>
      </c>
      <c r="B872" s="633">
        <v>17</v>
      </c>
      <c r="C872" s="633" t="s">
        <v>433</v>
      </c>
      <c r="G872" s="633" t="s">
        <v>584</v>
      </c>
      <c r="J872" s="633" t="s">
        <v>434</v>
      </c>
      <c r="K872" s="633" t="s">
        <v>302</v>
      </c>
      <c r="Q872" s="590">
        <f>R2</f>
        <v>62557</v>
      </c>
      <c r="T872" s="594">
        <v>41736.707511574103</v>
      </c>
    </row>
    <row r="873" spans="1:20" x14ac:dyDescent="0.25">
      <c r="A873" s="633" t="s">
        <v>308</v>
      </c>
      <c r="B873" s="633">
        <v>17</v>
      </c>
      <c r="C873" s="633" t="s">
        <v>433</v>
      </c>
      <c r="G873" s="633" t="s">
        <v>584</v>
      </c>
      <c r="J873" s="633" t="s">
        <v>434</v>
      </c>
      <c r="K873" s="633" t="s">
        <v>435</v>
      </c>
      <c r="Q873" s="590">
        <v>1000000</v>
      </c>
      <c r="T873" s="594">
        <v>41736.707511574103</v>
      </c>
    </row>
    <row r="874" spans="1:20" x14ac:dyDescent="0.25">
      <c r="A874" s="633" t="s">
        <v>308</v>
      </c>
      <c r="B874" s="633">
        <v>11</v>
      </c>
      <c r="C874" s="633" t="s">
        <v>445</v>
      </c>
      <c r="D874" s="633" t="s">
        <v>446</v>
      </c>
      <c r="F874" s="633" t="s">
        <v>474</v>
      </c>
      <c r="G874" s="633" t="s">
        <v>584</v>
      </c>
      <c r="H874" s="633" t="s">
        <v>447</v>
      </c>
      <c r="I874" s="633" t="s">
        <v>448</v>
      </c>
      <c r="J874" s="633" t="s">
        <v>449</v>
      </c>
      <c r="K874" s="633" t="s">
        <v>256</v>
      </c>
      <c r="Q874" s="570">
        <v>39025680.747569799</v>
      </c>
      <c r="T874" s="594">
        <v>41736.707534722198</v>
      </c>
    </row>
    <row r="875" spans="1:20" x14ac:dyDescent="0.25">
      <c r="A875" s="633" t="s">
        <v>308</v>
      </c>
      <c r="B875" s="633">
        <v>11</v>
      </c>
      <c r="C875" s="633" t="s">
        <v>445</v>
      </c>
      <c r="D875" s="633" t="s">
        <v>446</v>
      </c>
      <c r="F875" s="633" t="s">
        <v>474</v>
      </c>
      <c r="G875" s="633" t="s">
        <v>584</v>
      </c>
      <c r="H875" s="633" t="s">
        <v>447</v>
      </c>
      <c r="I875" s="633" t="s">
        <v>448</v>
      </c>
      <c r="J875" s="633" t="s">
        <v>449</v>
      </c>
      <c r="K875" s="633" t="s">
        <v>258</v>
      </c>
      <c r="Q875" s="570">
        <v>86014087.012971774</v>
      </c>
      <c r="T875" s="594">
        <v>41736.707534722198</v>
      </c>
    </row>
    <row r="876" spans="1:20" x14ac:dyDescent="0.25">
      <c r="A876" s="633" t="s">
        <v>308</v>
      </c>
      <c r="B876" s="633">
        <v>11</v>
      </c>
      <c r="C876" s="633" t="s">
        <v>445</v>
      </c>
      <c r="D876" s="633" t="s">
        <v>446</v>
      </c>
      <c r="F876" s="633" t="s">
        <v>474</v>
      </c>
      <c r="G876" s="633" t="s">
        <v>584</v>
      </c>
      <c r="H876" s="633" t="s">
        <v>447</v>
      </c>
      <c r="I876" s="633" t="s">
        <v>448</v>
      </c>
      <c r="J876" s="633" t="s">
        <v>449</v>
      </c>
      <c r="K876" s="633" t="s">
        <v>255</v>
      </c>
      <c r="Q876" s="570">
        <v>11018456.288415238</v>
      </c>
      <c r="T876" s="594">
        <v>41736.707534722198</v>
      </c>
    </row>
    <row r="877" spans="1:20" x14ac:dyDescent="0.25">
      <c r="A877" s="633" t="s">
        <v>308</v>
      </c>
      <c r="B877" s="633">
        <v>11</v>
      </c>
      <c r="C877" s="633" t="s">
        <v>445</v>
      </c>
      <c r="D877" s="633" t="s">
        <v>446</v>
      </c>
      <c r="F877" s="633" t="s">
        <v>474</v>
      </c>
      <c r="G877" s="633" t="s">
        <v>584</v>
      </c>
      <c r="H877" s="633" t="s">
        <v>450</v>
      </c>
      <c r="I877" s="633" t="s">
        <v>448</v>
      </c>
      <c r="J877" s="633" t="s">
        <v>449</v>
      </c>
      <c r="K877" s="633" t="s">
        <v>256</v>
      </c>
      <c r="Q877" s="570">
        <v>3081620.2763604233</v>
      </c>
      <c r="T877" s="594">
        <v>41736.707534722198</v>
      </c>
    </row>
    <row r="878" spans="1:20" x14ac:dyDescent="0.25">
      <c r="A878" s="633" t="s">
        <v>308</v>
      </c>
      <c r="B878" s="633">
        <v>11</v>
      </c>
      <c r="C878" s="633" t="s">
        <v>445</v>
      </c>
      <c r="D878" s="633" t="s">
        <v>446</v>
      </c>
      <c r="F878" s="633" t="s">
        <v>474</v>
      </c>
      <c r="G878" s="633" t="s">
        <v>584</v>
      </c>
      <c r="H878" s="633" t="s">
        <v>450</v>
      </c>
      <c r="I878" s="633" t="s">
        <v>448</v>
      </c>
      <c r="J878" s="633" t="s">
        <v>449</v>
      </c>
      <c r="K878" s="633" t="s">
        <v>258</v>
      </c>
      <c r="Q878" s="570">
        <v>8988160.8095993064</v>
      </c>
      <c r="T878" s="594">
        <v>41736.707534722198</v>
      </c>
    </row>
    <row r="879" spans="1:20" x14ac:dyDescent="0.25">
      <c r="A879" s="633" t="s">
        <v>308</v>
      </c>
      <c r="B879" s="633">
        <v>11</v>
      </c>
      <c r="C879" s="633" t="s">
        <v>445</v>
      </c>
      <c r="D879" s="633" t="s">
        <v>446</v>
      </c>
      <c r="F879" s="633" t="s">
        <v>474</v>
      </c>
      <c r="G879" s="633" t="s">
        <v>584</v>
      </c>
      <c r="H879" s="633" t="s">
        <v>450</v>
      </c>
      <c r="I879" s="633" t="s">
        <v>448</v>
      </c>
      <c r="J879" s="633" t="s">
        <v>449</v>
      </c>
      <c r="K879" s="633" t="s">
        <v>255</v>
      </c>
      <c r="Q879" s="570">
        <v>921723.85282142926</v>
      </c>
      <c r="T879" s="594">
        <v>41736.707534722198</v>
      </c>
    </row>
    <row r="880" spans="1:20" x14ac:dyDescent="0.25">
      <c r="A880" s="633" t="s">
        <v>308</v>
      </c>
      <c r="B880" s="633">
        <v>11</v>
      </c>
      <c r="C880" s="633" t="s">
        <v>445</v>
      </c>
      <c r="D880" s="633" t="s">
        <v>446</v>
      </c>
      <c r="F880" s="633" t="s">
        <v>474</v>
      </c>
      <c r="G880" s="633" t="s">
        <v>584</v>
      </c>
      <c r="H880" s="633" t="s">
        <v>451</v>
      </c>
      <c r="I880" s="633" t="s">
        <v>307</v>
      </c>
      <c r="J880" s="633" t="s">
        <v>449</v>
      </c>
      <c r="K880" s="633" t="s">
        <v>256</v>
      </c>
      <c r="Q880" s="573">
        <f>$Q$891*Q892</f>
        <v>362023.71441003354</v>
      </c>
      <c r="T880" s="594">
        <v>41736.707534722198</v>
      </c>
    </row>
    <row r="881" spans="1:20" x14ac:dyDescent="0.25">
      <c r="A881" s="633" t="s">
        <v>308</v>
      </c>
      <c r="B881" s="633">
        <v>11</v>
      </c>
      <c r="C881" s="633" t="s">
        <v>445</v>
      </c>
      <c r="D881" s="633" t="s">
        <v>446</v>
      </c>
      <c r="F881" s="633" t="s">
        <v>474</v>
      </c>
      <c r="G881" s="633" t="s">
        <v>584</v>
      </c>
      <c r="H881" s="633" t="s">
        <v>451</v>
      </c>
      <c r="I881" s="633" t="s">
        <v>307</v>
      </c>
      <c r="J881" s="633" t="s">
        <v>449</v>
      </c>
      <c r="K881" s="633" t="s">
        <v>258</v>
      </c>
      <c r="Q881" s="573">
        <f t="shared" ref="Q881:Q882" si="7">$Q$891*Q893</f>
        <v>32174.778946615595</v>
      </c>
      <c r="T881" s="594">
        <v>41736.707534722198</v>
      </c>
    </row>
    <row r="882" spans="1:20" x14ac:dyDescent="0.25">
      <c r="A882" s="633" t="s">
        <v>308</v>
      </c>
      <c r="B882" s="633">
        <v>11</v>
      </c>
      <c r="C882" s="633" t="s">
        <v>445</v>
      </c>
      <c r="D882" s="633" t="s">
        <v>446</v>
      </c>
      <c r="F882" s="633" t="s">
        <v>474</v>
      </c>
      <c r="G882" s="633" t="s">
        <v>584</v>
      </c>
      <c r="H882" s="633" t="s">
        <v>451</v>
      </c>
      <c r="I882" s="633" t="s">
        <v>307</v>
      </c>
      <c r="J882" s="633" t="s">
        <v>449</v>
      </c>
      <c r="K882" s="633" t="s">
        <v>255</v>
      </c>
      <c r="Q882" s="573">
        <f t="shared" si="7"/>
        <v>32456.9885386389</v>
      </c>
      <c r="T882" s="594">
        <v>41736.707534722198</v>
      </c>
    </row>
    <row r="883" spans="1:20" x14ac:dyDescent="0.25">
      <c r="A883" s="633" t="s">
        <v>308</v>
      </c>
      <c r="B883" s="633">
        <v>11</v>
      </c>
      <c r="C883" s="633" t="s">
        <v>445</v>
      </c>
      <c r="D883" s="633" t="s">
        <v>446</v>
      </c>
      <c r="F883" s="633" t="s">
        <v>474</v>
      </c>
      <c r="G883" s="633" t="s">
        <v>584</v>
      </c>
      <c r="H883" s="633" t="s">
        <v>452</v>
      </c>
      <c r="I883" s="633" t="s">
        <v>307</v>
      </c>
      <c r="J883" s="633" t="s">
        <v>449</v>
      </c>
      <c r="K883" s="633" t="s">
        <v>453</v>
      </c>
      <c r="Q883" s="570">
        <v>12991504.938781157</v>
      </c>
      <c r="T883" s="594">
        <v>41736.707534722198</v>
      </c>
    </row>
    <row r="884" spans="1:20" x14ac:dyDescent="0.25">
      <c r="B884" s="633" t="s">
        <v>480</v>
      </c>
      <c r="C884" s="633" t="s">
        <v>476</v>
      </c>
      <c r="D884" s="633" t="s">
        <v>477</v>
      </c>
      <c r="P884" s="482" t="s">
        <v>497</v>
      </c>
      <c r="Q884" s="191">
        <f>Q276/(Q235/60)</f>
        <v>28.676668376906925</v>
      </c>
      <c r="T884" s="551">
        <f ca="1">TODAY()</f>
        <v>43587</v>
      </c>
    </row>
    <row r="885" spans="1:20" x14ac:dyDescent="0.25">
      <c r="B885" s="633" t="s">
        <v>480</v>
      </c>
      <c r="C885" s="633" t="s">
        <v>478</v>
      </c>
      <c r="D885" s="633" t="s">
        <v>479</v>
      </c>
      <c r="Q885" s="763"/>
      <c r="T885" s="551">
        <f t="shared" ref="T885:T886" ca="1" si="8">TODAY()</f>
        <v>43587</v>
      </c>
    </row>
    <row r="886" spans="1:20" x14ac:dyDescent="0.25">
      <c r="B886" s="633" t="s">
        <v>480</v>
      </c>
      <c r="C886" s="633" t="s">
        <v>481</v>
      </c>
      <c r="D886" s="633" t="s">
        <v>477</v>
      </c>
      <c r="P886" s="482" t="s">
        <v>496</v>
      </c>
      <c r="Q886" s="191">
        <f>Q277/Q236*60</f>
        <v>4.6760004701252083</v>
      </c>
      <c r="T886" s="551">
        <f t="shared" ca="1" si="8"/>
        <v>43587</v>
      </c>
    </row>
    <row r="887" spans="1:20" x14ac:dyDescent="0.25">
      <c r="P887" s="482" t="s">
        <v>498</v>
      </c>
      <c r="Q887" s="572">
        <f>SUM(Q880:Q882)/SUM(Q874:Q882)</f>
        <v>2.8543337023378755E-3</v>
      </c>
    </row>
    <row r="888" spans="1:20" x14ac:dyDescent="0.25">
      <c r="O888" s="764" t="s">
        <v>494</v>
      </c>
      <c r="P888" s="633" t="s">
        <v>492</v>
      </c>
      <c r="Q888" s="570">
        <f>Q277*P277</f>
        <v>2861616.0792347062</v>
      </c>
    </row>
    <row r="889" spans="1:20" x14ac:dyDescent="0.25">
      <c r="O889" s="764" t="s">
        <v>495</v>
      </c>
      <c r="P889" s="633" t="s">
        <v>493</v>
      </c>
      <c r="Q889" s="570">
        <f>SUM(Q880:Q882)</f>
        <v>426655.48189528805</v>
      </c>
    </row>
    <row r="890" spans="1:20" x14ac:dyDescent="0.25">
      <c r="O890" s="764"/>
      <c r="P890" s="482" t="s">
        <v>499</v>
      </c>
      <c r="Q890" s="765">
        <f>Q888/Q889</f>
        <v>6.7070885073897131</v>
      </c>
    </row>
    <row r="891" spans="1:20" x14ac:dyDescent="0.25">
      <c r="O891" s="764"/>
      <c r="P891" s="482" t="s">
        <v>500</v>
      </c>
      <c r="Q891" s="766">
        <v>426655.48189528799</v>
      </c>
    </row>
    <row r="892" spans="1:20" x14ac:dyDescent="0.25">
      <c r="O892" s="764"/>
      <c r="P892" s="482" t="s">
        <v>501</v>
      </c>
      <c r="Q892" s="297">
        <v>0.84851532389049034</v>
      </c>
    </row>
    <row r="893" spans="1:20" x14ac:dyDescent="0.25">
      <c r="O893" s="764"/>
      <c r="P893" s="482" t="s">
        <v>502</v>
      </c>
      <c r="Q893" s="297">
        <v>7.5411615019427072E-2</v>
      </c>
    </row>
    <row r="894" spans="1:20" x14ac:dyDescent="0.25">
      <c r="O894" s="764"/>
      <c r="P894" s="482" t="s">
        <v>503</v>
      </c>
      <c r="Q894" s="297">
        <v>7.6073061090082661E-2</v>
      </c>
    </row>
    <row r="895" spans="1:20" x14ac:dyDescent="0.25">
      <c r="O895" s="764"/>
      <c r="Q895" s="297"/>
    </row>
    <row r="896" spans="1:20" x14ac:dyDescent="0.25">
      <c r="O896" s="764"/>
      <c r="Q896" s="766"/>
      <c r="R896" s="575"/>
    </row>
    <row r="897" spans="15:18" x14ac:dyDescent="0.25">
      <c r="O897" s="764"/>
      <c r="Q897" s="297"/>
      <c r="R897" s="575"/>
    </row>
    <row r="898" spans="15:18" x14ac:dyDescent="0.25">
      <c r="P898" s="764"/>
      <c r="R898" s="297"/>
    </row>
    <row r="899" spans="15:18" x14ac:dyDescent="0.25">
      <c r="P899" s="764"/>
      <c r="R899" s="297"/>
    </row>
    <row r="900" spans="15:18" x14ac:dyDescent="0.25">
      <c r="P900" s="764"/>
      <c r="R900" s="297"/>
    </row>
    <row r="901" spans="15:18" x14ac:dyDescent="0.25">
      <c r="P901" s="764"/>
      <c r="R901" s="297"/>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
  <sheetViews>
    <sheetView zoomScaleNormal="100" workbookViewId="0">
      <selection activeCell="B6" sqref="B6"/>
    </sheetView>
  </sheetViews>
  <sheetFormatPr defaultRowHeight="15" x14ac:dyDescent="0.25"/>
  <cols>
    <col min="1" max="1" width="15.85546875" customWidth="1"/>
  </cols>
  <sheetData>
    <row r="1" spans="1:32" s="633" customFormat="1" ht="58.5" customHeight="1" thickBot="1" x14ac:dyDescent="0.3">
      <c r="A1" s="1073" t="s">
        <v>676</v>
      </c>
      <c r="B1" s="1074"/>
      <c r="C1" s="338"/>
    </row>
    <row r="2" spans="1:32" s="633" customFormat="1" ht="64.5" customHeight="1" thickBot="1" x14ac:dyDescent="0.3">
      <c r="A2" s="975"/>
      <c r="B2" s="976" t="s">
        <v>652</v>
      </c>
      <c r="C2" s="976" t="s">
        <v>653</v>
      </c>
      <c r="D2" s="977" t="s">
        <v>654</v>
      </c>
      <c r="E2" s="978" t="s">
        <v>643</v>
      </c>
      <c r="F2" s="978" t="s">
        <v>655</v>
      </c>
      <c r="G2" s="978" t="s">
        <v>656</v>
      </c>
      <c r="H2" s="976" t="s">
        <v>644</v>
      </c>
      <c r="I2" s="977" t="s">
        <v>645</v>
      </c>
      <c r="J2" s="977" t="s">
        <v>646</v>
      </c>
      <c r="K2" s="977" t="s">
        <v>657</v>
      </c>
      <c r="L2" s="979" t="s">
        <v>658</v>
      </c>
      <c r="M2" s="979" t="s">
        <v>659</v>
      </c>
      <c r="N2" s="979" t="s">
        <v>660</v>
      </c>
      <c r="O2" s="976" t="s">
        <v>647</v>
      </c>
      <c r="P2" s="978" t="s">
        <v>661</v>
      </c>
      <c r="Q2" s="977" t="s">
        <v>662</v>
      </c>
      <c r="R2" s="978" t="s">
        <v>663</v>
      </c>
      <c r="S2" s="978" t="s">
        <v>664</v>
      </c>
      <c r="T2" s="977" t="s">
        <v>632</v>
      </c>
      <c r="U2" s="978" t="s">
        <v>648</v>
      </c>
      <c r="V2" s="976" t="s">
        <v>665</v>
      </c>
      <c r="W2" s="977" t="s">
        <v>649</v>
      </c>
      <c r="X2" s="977" t="s">
        <v>666</v>
      </c>
      <c r="Y2" s="978" t="s">
        <v>633</v>
      </c>
      <c r="Z2" s="978" t="s">
        <v>634</v>
      </c>
      <c r="AA2" s="976" t="s">
        <v>635</v>
      </c>
      <c r="AB2" s="978" t="s">
        <v>667</v>
      </c>
      <c r="AC2" s="976" t="s">
        <v>668</v>
      </c>
      <c r="AD2" s="979" t="s">
        <v>669</v>
      </c>
      <c r="AE2" s="976" t="s">
        <v>670</v>
      </c>
      <c r="AF2" s="980" t="s">
        <v>671</v>
      </c>
    </row>
    <row r="3" spans="1:32" s="633" customFormat="1" ht="15.75" hidden="1" thickBot="1" x14ac:dyDescent="0.3">
      <c r="A3" s="981"/>
      <c r="B3" s="982">
        <v>2</v>
      </c>
      <c r="C3" s="982">
        <v>3</v>
      </c>
      <c r="D3" s="982">
        <v>4</v>
      </c>
      <c r="E3" s="982">
        <v>5</v>
      </c>
      <c r="F3" s="982">
        <v>6</v>
      </c>
      <c r="G3" s="982">
        <v>7</v>
      </c>
      <c r="H3" s="982">
        <v>8</v>
      </c>
      <c r="I3" s="982">
        <v>9</v>
      </c>
      <c r="J3" s="982">
        <v>10</v>
      </c>
      <c r="K3" s="982">
        <v>11</v>
      </c>
      <c r="L3" s="982">
        <v>12</v>
      </c>
      <c r="M3" s="982">
        <v>13</v>
      </c>
      <c r="N3" s="982">
        <v>14</v>
      </c>
      <c r="O3" s="982">
        <v>15</v>
      </c>
      <c r="P3" s="982">
        <v>16</v>
      </c>
      <c r="Q3" s="982">
        <v>17</v>
      </c>
      <c r="R3" s="982">
        <v>18</v>
      </c>
      <c r="S3" s="982">
        <v>19</v>
      </c>
      <c r="T3" s="982">
        <v>20</v>
      </c>
      <c r="U3" s="982">
        <v>21</v>
      </c>
      <c r="V3" s="982">
        <v>22</v>
      </c>
      <c r="W3" s="982">
        <v>23</v>
      </c>
      <c r="X3" s="982">
        <v>24</v>
      </c>
      <c r="Y3" s="982">
        <v>25</v>
      </c>
      <c r="Z3" s="982">
        <v>26</v>
      </c>
      <c r="AA3" s="982">
        <v>27</v>
      </c>
      <c r="AB3" s="982">
        <v>28</v>
      </c>
      <c r="AC3" s="982">
        <v>29</v>
      </c>
      <c r="AD3" s="982">
        <v>30</v>
      </c>
      <c r="AE3" s="982">
        <v>31</v>
      </c>
      <c r="AF3" s="982">
        <v>32</v>
      </c>
    </row>
    <row r="4" spans="1:32" x14ac:dyDescent="0.25">
      <c r="A4" s="997" t="s">
        <v>636</v>
      </c>
      <c r="B4" s="998">
        <v>3.5</v>
      </c>
      <c r="C4" s="998">
        <v>3.5</v>
      </c>
      <c r="D4" s="998">
        <v>3.5</v>
      </c>
      <c r="E4" s="999">
        <v>7</v>
      </c>
      <c r="F4" s="998">
        <v>7</v>
      </c>
      <c r="G4" s="998">
        <v>7</v>
      </c>
      <c r="H4" s="999">
        <v>3.8</v>
      </c>
      <c r="I4" s="999">
        <v>5.8</v>
      </c>
      <c r="J4" s="999">
        <v>3.5</v>
      </c>
      <c r="K4" s="999">
        <v>3.5</v>
      </c>
      <c r="L4" s="999">
        <v>4</v>
      </c>
      <c r="M4" s="999">
        <v>4</v>
      </c>
      <c r="N4" s="999">
        <v>4</v>
      </c>
      <c r="O4" s="998">
        <v>3.5</v>
      </c>
      <c r="P4" s="998">
        <v>7</v>
      </c>
      <c r="Q4" s="999">
        <v>4.3</v>
      </c>
      <c r="R4" s="999">
        <v>6.8</v>
      </c>
      <c r="S4" s="999">
        <v>6.8</v>
      </c>
      <c r="T4" s="999">
        <v>5.3</v>
      </c>
      <c r="U4" s="999">
        <v>7</v>
      </c>
      <c r="V4" s="998">
        <v>3</v>
      </c>
      <c r="W4" s="999">
        <v>4.5</v>
      </c>
      <c r="X4" s="999">
        <v>5.5</v>
      </c>
      <c r="Y4" s="998">
        <f>AVERAGE(7)</f>
        <v>7</v>
      </c>
      <c r="Z4" s="998">
        <f>AVERAGE(7)</f>
        <v>7</v>
      </c>
      <c r="AA4" s="998">
        <v>3.5</v>
      </c>
      <c r="AB4" s="999">
        <v>9</v>
      </c>
      <c r="AC4" s="999">
        <v>3</v>
      </c>
      <c r="AD4" s="999">
        <v>4.5</v>
      </c>
      <c r="AE4" s="999">
        <v>5</v>
      </c>
      <c r="AF4" s="1000">
        <v>6</v>
      </c>
    </row>
    <row r="5" spans="1:32" ht="55.5" customHeight="1" x14ac:dyDescent="0.25">
      <c r="A5" s="1001"/>
      <c r="B5" s="949" t="s">
        <v>674</v>
      </c>
      <c r="C5" s="949" t="s">
        <v>674</v>
      </c>
      <c r="D5" s="949" t="s">
        <v>674</v>
      </c>
      <c r="E5" s="950" t="s">
        <v>675</v>
      </c>
      <c r="F5" s="950" t="s">
        <v>675</v>
      </c>
      <c r="G5" s="950" t="s">
        <v>675</v>
      </c>
      <c r="H5" s="949" t="s">
        <v>674</v>
      </c>
      <c r="I5" s="949" t="s">
        <v>674</v>
      </c>
      <c r="J5" s="949" t="s">
        <v>674</v>
      </c>
      <c r="K5" s="949" t="s">
        <v>674</v>
      </c>
      <c r="L5" s="949" t="s">
        <v>674</v>
      </c>
      <c r="M5" s="949" t="s">
        <v>674</v>
      </c>
      <c r="N5" s="949" t="s">
        <v>674</v>
      </c>
      <c r="O5" s="949" t="s">
        <v>674</v>
      </c>
      <c r="P5" s="950" t="s">
        <v>675</v>
      </c>
      <c r="Q5" s="949" t="s">
        <v>674</v>
      </c>
      <c r="R5" s="950" t="s">
        <v>675</v>
      </c>
      <c r="S5" s="950" t="s">
        <v>675</v>
      </c>
      <c r="T5" s="949" t="s">
        <v>674</v>
      </c>
      <c r="U5" s="950" t="s">
        <v>675</v>
      </c>
      <c r="V5" s="949" t="s">
        <v>674</v>
      </c>
      <c r="W5" s="949" t="s">
        <v>674</v>
      </c>
      <c r="X5" s="949" t="s">
        <v>674</v>
      </c>
      <c r="Y5" s="950" t="s">
        <v>675</v>
      </c>
      <c r="Z5" s="950" t="s">
        <v>675</v>
      </c>
      <c r="AA5" s="949" t="s">
        <v>674</v>
      </c>
      <c r="AB5" s="950" t="s">
        <v>675</v>
      </c>
      <c r="AC5" s="949" t="s">
        <v>674</v>
      </c>
      <c r="AD5" s="949" t="s">
        <v>674</v>
      </c>
      <c r="AE5" s="949" t="s">
        <v>674</v>
      </c>
      <c r="AF5" s="1002" t="s">
        <v>675</v>
      </c>
    </row>
    <row r="6" spans="1:32" x14ac:dyDescent="0.25">
      <c r="A6" s="1001" t="s">
        <v>584</v>
      </c>
      <c r="B6" s="337">
        <v>100.68493150684931</v>
      </c>
      <c r="C6" s="337">
        <v>34.520547945205479</v>
      </c>
      <c r="D6" s="337">
        <v>27.61643835616438</v>
      </c>
      <c r="E6" s="337">
        <v>27.61643835616438</v>
      </c>
      <c r="F6" s="337">
        <v>46.027397260273972</v>
      </c>
      <c r="G6" s="337">
        <v>23.013698630136986</v>
      </c>
      <c r="H6" s="337">
        <v>46.027397260273972</v>
      </c>
      <c r="I6" s="337">
        <v>23.013698630136986</v>
      </c>
      <c r="J6" s="337">
        <v>23.013698630136986</v>
      </c>
      <c r="K6" s="337">
        <v>34.520547945205479</v>
      </c>
      <c r="L6" s="337">
        <v>25.315068493150683</v>
      </c>
      <c r="M6" s="337">
        <v>46.027397260273972</v>
      </c>
      <c r="N6" s="337">
        <v>48.328767123287662</v>
      </c>
      <c r="O6" s="337">
        <v>42</v>
      </c>
      <c r="P6" s="337">
        <v>13.80821917808219</v>
      </c>
      <c r="Q6" s="337">
        <v>25.315068493150683</v>
      </c>
      <c r="R6" s="337">
        <v>11.506849315068493</v>
      </c>
      <c r="S6" s="337">
        <v>11.506849315068493</v>
      </c>
      <c r="T6" s="337">
        <v>6.9041095890410951</v>
      </c>
      <c r="U6" s="337">
        <v>6.9041095890410951</v>
      </c>
      <c r="V6" s="337">
        <v>34.520547945205479</v>
      </c>
      <c r="W6" s="337">
        <v>5.7534246575342465</v>
      </c>
      <c r="X6" s="337">
        <v>17.260273972602739</v>
      </c>
      <c r="Y6" s="337">
        <v>23.013698630136986</v>
      </c>
      <c r="Z6" s="337">
        <v>11.506849315068493</v>
      </c>
      <c r="AA6" s="337">
        <v>27.61643835616438</v>
      </c>
      <c r="AB6" s="337">
        <v>17.260273972602739</v>
      </c>
      <c r="AC6" s="337">
        <v>17.260273972602739</v>
      </c>
      <c r="AD6" s="337">
        <v>13.80821917808219</v>
      </c>
      <c r="AE6" s="337">
        <v>13.80821917808219</v>
      </c>
      <c r="AF6" s="1003">
        <v>13.80821917808219</v>
      </c>
    </row>
    <row r="7" spans="1:32" ht="15.75" thickBot="1" x14ac:dyDescent="0.3">
      <c r="A7" s="1004" t="s">
        <v>512</v>
      </c>
      <c r="B7" s="1005">
        <v>161.67123287671234</v>
      </c>
      <c r="C7" s="1005">
        <v>35.671232876712331</v>
      </c>
      <c r="D7" s="1005">
        <v>24.164383561643834</v>
      </c>
      <c r="E7" s="1005">
        <v>24.164383561643831</v>
      </c>
      <c r="F7" s="1005">
        <v>57.534246575342472</v>
      </c>
      <c r="G7" s="1005">
        <v>28.767123287671236</v>
      </c>
      <c r="H7" s="1005">
        <v>9.205479452054794</v>
      </c>
      <c r="I7" s="1005">
        <v>23.013698630136986</v>
      </c>
      <c r="J7" s="1005">
        <v>23.013698630136986</v>
      </c>
      <c r="K7" s="1005">
        <v>43.150684931506852</v>
      </c>
      <c r="L7" s="1005">
        <v>20.712328767123285</v>
      </c>
      <c r="M7" s="1005">
        <v>43.726027397260275</v>
      </c>
      <c r="N7" s="1005">
        <v>16.109589041095891</v>
      </c>
      <c r="O7" s="1005">
        <v>28.767123287671229</v>
      </c>
      <c r="P7" s="1005">
        <v>23.013698630136986</v>
      </c>
      <c r="Q7" s="1005">
        <v>23.013698630136986</v>
      </c>
      <c r="R7" s="1005">
        <v>9.205479452054794</v>
      </c>
      <c r="S7" s="1005">
        <v>11.506849315068493</v>
      </c>
      <c r="T7" s="1005">
        <v>7.4794520547945194</v>
      </c>
      <c r="U7" s="1005">
        <v>6.9041095890410951</v>
      </c>
      <c r="V7" s="1005">
        <v>57.534246575342472</v>
      </c>
      <c r="W7" s="1005">
        <v>10.931506849315069</v>
      </c>
      <c r="X7" s="1005">
        <v>16.972602739726028</v>
      </c>
      <c r="Y7" s="1005">
        <v>34.520547945205479</v>
      </c>
      <c r="Z7" s="1005">
        <v>19.849315068493148</v>
      </c>
      <c r="AA7" s="1005">
        <v>27.61643835616438</v>
      </c>
      <c r="AB7" s="1005">
        <v>7.4794520547945194</v>
      </c>
      <c r="AC7" s="1005">
        <v>11.506849315068493</v>
      </c>
      <c r="AD7" s="1005">
        <v>10.931506849315069</v>
      </c>
      <c r="AE7" s="1005">
        <v>9.205479452054794</v>
      </c>
      <c r="AF7" s="1006">
        <v>15.534246575342465</v>
      </c>
    </row>
    <row r="8" spans="1:32" s="633" customFormat="1" x14ac:dyDescent="0.25">
      <c r="A8" s="983"/>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row>
    <row r="9" spans="1:32" s="633" customFormat="1" ht="15.75" thickBot="1" x14ac:dyDescent="0.3">
      <c r="A9" s="337"/>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row>
    <row r="10" spans="1:32" ht="27.75" customHeight="1" thickBot="1" x14ac:dyDescent="0.3">
      <c r="A10" s="1071" t="s">
        <v>672</v>
      </c>
      <c r="B10" s="1072"/>
    </row>
    <row r="11" spans="1:32" s="633" customFormat="1" ht="62.25" customHeight="1" x14ac:dyDescent="0.25">
      <c r="A11" s="959"/>
      <c r="B11" s="996" t="s">
        <v>652</v>
      </c>
      <c r="C11" s="954" t="s">
        <v>653</v>
      </c>
      <c r="D11" s="955" t="s">
        <v>654</v>
      </c>
      <c r="E11" s="956" t="s">
        <v>643</v>
      </c>
      <c r="F11" s="956" t="s">
        <v>655</v>
      </c>
      <c r="G11" s="956" t="s">
        <v>656</v>
      </c>
      <c r="H11" s="954" t="s">
        <v>644</v>
      </c>
      <c r="I11" s="955" t="s">
        <v>645</v>
      </c>
      <c r="J11" s="955" t="s">
        <v>646</v>
      </c>
      <c r="K11" s="955" t="s">
        <v>657</v>
      </c>
      <c r="L11" s="957" t="s">
        <v>658</v>
      </c>
      <c r="M11" s="957" t="s">
        <v>659</v>
      </c>
      <c r="N11" s="957" t="s">
        <v>660</v>
      </c>
      <c r="O11" s="954" t="s">
        <v>647</v>
      </c>
      <c r="P11" s="956" t="s">
        <v>661</v>
      </c>
      <c r="Q11" s="955" t="s">
        <v>662</v>
      </c>
      <c r="R11" s="956" t="s">
        <v>663</v>
      </c>
      <c r="S11" s="956" t="s">
        <v>664</v>
      </c>
      <c r="T11" s="955" t="s">
        <v>632</v>
      </c>
      <c r="U11" s="956" t="s">
        <v>648</v>
      </c>
      <c r="V11" s="954" t="s">
        <v>665</v>
      </c>
      <c r="W11" s="955" t="s">
        <v>649</v>
      </c>
      <c r="X11" s="955" t="s">
        <v>666</v>
      </c>
      <c r="Y11" s="956" t="s">
        <v>633</v>
      </c>
      <c r="Z11" s="956" t="s">
        <v>634</v>
      </c>
      <c r="AA11" s="954" t="s">
        <v>635</v>
      </c>
      <c r="AB11" s="956" t="s">
        <v>667</v>
      </c>
      <c r="AC11" s="954" t="s">
        <v>668</v>
      </c>
      <c r="AD11" s="957" t="s">
        <v>669</v>
      </c>
      <c r="AE11" s="954" t="s">
        <v>670</v>
      </c>
      <c r="AF11" s="958" t="s">
        <v>671</v>
      </c>
    </row>
    <row r="12" spans="1:32" ht="15.75" hidden="1" x14ac:dyDescent="0.25">
      <c r="A12" s="959"/>
      <c r="B12" s="951">
        <v>2</v>
      </c>
      <c r="C12" s="951">
        <v>3</v>
      </c>
      <c r="D12" s="951">
        <v>4</v>
      </c>
      <c r="E12" s="951">
        <v>5</v>
      </c>
      <c r="F12" s="951">
        <v>6</v>
      </c>
      <c r="G12" s="951">
        <v>7</v>
      </c>
      <c r="H12" s="951">
        <v>8</v>
      </c>
      <c r="I12" s="951">
        <v>9</v>
      </c>
      <c r="J12" s="951">
        <v>10</v>
      </c>
      <c r="K12" s="951">
        <v>11</v>
      </c>
      <c r="L12" s="951">
        <v>12</v>
      </c>
      <c r="M12" s="951">
        <v>13</v>
      </c>
      <c r="N12" s="951">
        <v>14</v>
      </c>
      <c r="O12" s="951">
        <v>15</v>
      </c>
      <c r="P12" s="951">
        <v>16</v>
      </c>
      <c r="Q12" s="951">
        <v>17</v>
      </c>
      <c r="R12" s="951">
        <v>18</v>
      </c>
      <c r="S12" s="951">
        <v>19</v>
      </c>
      <c r="T12" s="951">
        <v>20</v>
      </c>
      <c r="U12" s="951">
        <v>21</v>
      </c>
      <c r="V12" s="951">
        <v>22</v>
      </c>
      <c r="W12" s="951">
        <v>23</v>
      </c>
      <c r="X12" s="951">
        <v>24</v>
      </c>
      <c r="Y12" s="951">
        <v>25</v>
      </c>
      <c r="Z12" s="951">
        <v>26</v>
      </c>
      <c r="AA12" s="951">
        <v>27</v>
      </c>
      <c r="AB12" s="951">
        <v>28</v>
      </c>
      <c r="AC12" s="951">
        <v>29</v>
      </c>
      <c r="AD12" s="951">
        <v>30</v>
      </c>
      <c r="AE12" s="951">
        <v>31</v>
      </c>
      <c r="AF12" s="960">
        <v>32</v>
      </c>
    </row>
    <row r="13" spans="1:32" ht="15.75" customHeight="1" x14ac:dyDescent="0.25">
      <c r="A13" s="970" t="s">
        <v>584</v>
      </c>
      <c r="B13" s="951">
        <f>B17*0.01</f>
        <v>0.77300000000000002</v>
      </c>
      <c r="C13" s="951">
        <f t="shared" ref="C13:AE13" si="0">C17*0.01</f>
        <v>0.68</v>
      </c>
      <c r="D13" s="951">
        <f t="shared" si="0"/>
        <v>0.51900000000000002</v>
      </c>
      <c r="E13" s="951">
        <f t="shared" si="0"/>
        <v>0.105</v>
      </c>
      <c r="F13" s="951">
        <f t="shared" si="0"/>
        <v>0.16</v>
      </c>
      <c r="G13" s="951">
        <f t="shared" si="0"/>
        <v>0.11599999999999999</v>
      </c>
      <c r="H13" s="951">
        <f t="shared" si="0"/>
        <v>8.3000000000000004E-2</v>
      </c>
      <c r="I13" s="951">
        <f t="shared" si="0"/>
        <v>0.126</v>
      </c>
      <c r="J13" s="951">
        <f t="shared" si="0"/>
        <v>0.193</v>
      </c>
      <c r="K13" s="951">
        <f t="shared" si="0"/>
        <v>0.26200000000000001</v>
      </c>
      <c r="L13" s="951">
        <f t="shared" si="0"/>
        <v>0.16600000000000001</v>
      </c>
      <c r="M13" s="951">
        <f t="shared" si="0"/>
        <v>4.5999999999999999E-2</v>
      </c>
      <c r="N13" s="951">
        <f t="shared" si="0"/>
        <v>8.8000000000000009E-2</v>
      </c>
      <c r="O13" s="951">
        <f t="shared" si="0"/>
        <v>2.7999999999999997E-2</v>
      </c>
      <c r="P13" s="951">
        <f t="shared" si="0"/>
        <v>0.04</v>
      </c>
      <c r="Q13" s="951">
        <f t="shared" si="0"/>
        <v>9.4E-2</v>
      </c>
      <c r="R13" s="951">
        <f t="shared" si="0"/>
        <v>3.4000000000000002E-2</v>
      </c>
      <c r="S13" s="951">
        <f t="shared" si="0"/>
        <v>3.2000000000000001E-2</v>
      </c>
      <c r="T13" s="951">
        <f t="shared" si="0"/>
        <v>8.3000000000000004E-2</v>
      </c>
      <c r="U13" s="951">
        <f t="shared" si="0"/>
        <v>0.25900000000000001</v>
      </c>
      <c r="V13" s="951">
        <f t="shared" si="0"/>
        <v>0.35399999999999998</v>
      </c>
      <c r="W13" s="951">
        <f t="shared" si="0"/>
        <v>4.5999999999999999E-2</v>
      </c>
      <c r="X13" s="951">
        <f t="shared" si="0"/>
        <v>7.0999999999999994E-2</v>
      </c>
      <c r="Y13" s="951">
        <f t="shared" si="0"/>
        <v>4.9000000000000002E-2</v>
      </c>
      <c r="Z13" s="951">
        <f t="shared" si="0"/>
        <v>2E-3</v>
      </c>
      <c r="AA13" s="951">
        <f t="shared" si="0"/>
        <v>0.129</v>
      </c>
      <c r="AB13" s="951">
        <f t="shared" si="0"/>
        <v>0.06</v>
      </c>
      <c r="AC13" s="951">
        <f t="shared" si="0"/>
        <v>0.34399999999999997</v>
      </c>
      <c r="AD13" s="951">
        <f t="shared" si="0"/>
        <v>0.13300000000000001</v>
      </c>
      <c r="AE13" s="951">
        <f t="shared" si="0"/>
        <v>0.12300000000000001</v>
      </c>
      <c r="AF13" s="960">
        <f>AF17*0.01</f>
        <v>0.21</v>
      </c>
    </row>
    <row r="14" spans="1:32" ht="15.75" thickBot="1" x14ac:dyDescent="0.3">
      <c r="A14" s="971" t="s">
        <v>512</v>
      </c>
      <c r="B14" s="968">
        <f>AVERAGE(B15:B16)*0.01</f>
        <v>0.84950000000000003</v>
      </c>
      <c r="C14" s="968">
        <f t="shared" ref="C14:AE14" si="1">AVERAGE(C15:C16)*0.01</f>
        <v>0.75450000000000006</v>
      </c>
      <c r="D14" s="968">
        <f t="shared" si="1"/>
        <v>0.55900000000000005</v>
      </c>
      <c r="E14" s="968">
        <f t="shared" si="1"/>
        <v>0.14349999999999999</v>
      </c>
      <c r="F14" s="968">
        <f t="shared" si="1"/>
        <v>0.3</v>
      </c>
      <c r="G14" s="968">
        <f t="shared" si="1"/>
        <v>0.24200000000000002</v>
      </c>
      <c r="H14" s="968">
        <f t="shared" si="1"/>
        <v>2.75E-2</v>
      </c>
      <c r="I14" s="968">
        <f t="shared" si="1"/>
        <v>0.1565</v>
      </c>
      <c r="J14" s="968">
        <f t="shared" si="1"/>
        <v>0.33649999999999997</v>
      </c>
      <c r="K14" s="968">
        <f t="shared" si="1"/>
        <v>0.42399999999999999</v>
      </c>
      <c r="L14" s="968">
        <f t="shared" si="1"/>
        <v>6.1500000000000006E-2</v>
      </c>
      <c r="M14" s="968">
        <f t="shared" si="1"/>
        <v>0.03</v>
      </c>
      <c r="N14" s="968">
        <f t="shared" si="1"/>
        <v>2.6500000000000003E-2</v>
      </c>
      <c r="O14" s="968">
        <f t="shared" si="1"/>
        <v>1.95E-2</v>
      </c>
      <c r="P14" s="968">
        <f t="shared" si="1"/>
        <v>4.3499999999999997E-2</v>
      </c>
      <c r="Q14" s="968">
        <f t="shared" si="1"/>
        <v>0.13750000000000001</v>
      </c>
      <c r="R14" s="968">
        <f t="shared" si="1"/>
        <v>6.699999999999999E-2</v>
      </c>
      <c r="S14" s="968">
        <f t="shared" si="1"/>
        <v>3.7999999999999999E-2</v>
      </c>
      <c r="T14" s="968">
        <f t="shared" si="1"/>
        <v>0.1125</v>
      </c>
      <c r="U14" s="968">
        <f t="shared" si="1"/>
        <v>0.26750000000000002</v>
      </c>
      <c r="V14" s="968">
        <f t="shared" si="1"/>
        <v>0.36700000000000005</v>
      </c>
      <c r="W14" s="968">
        <f t="shared" si="1"/>
        <v>7.3499999999999996E-2</v>
      </c>
      <c r="X14" s="968">
        <f t="shared" si="1"/>
        <v>0.109</v>
      </c>
      <c r="Y14" s="968">
        <f t="shared" si="1"/>
        <v>0.09</v>
      </c>
      <c r="Z14" s="968">
        <f t="shared" si="1"/>
        <v>8.0000000000000002E-3</v>
      </c>
      <c r="AA14" s="968">
        <f t="shared" si="1"/>
        <v>0.14300000000000002</v>
      </c>
      <c r="AB14" s="968">
        <f t="shared" si="1"/>
        <v>4.9500000000000002E-2</v>
      </c>
      <c r="AC14" s="968">
        <f t="shared" si="1"/>
        <v>0.25</v>
      </c>
      <c r="AD14" s="968">
        <f t="shared" si="1"/>
        <v>9.4E-2</v>
      </c>
      <c r="AE14" s="968">
        <f t="shared" si="1"/>
        <v>0.11199999999999999</v>
      </c>
      <c r="AF14" s="969">
        <f>AVERAGE(AF15:AF16)*0.01</f>
        <v>0.26600000000000001</v>
      </c>
    </row>
    <row r="15" spans="1:32" ht="22.5" hidden="1" x14ac:dyDescent="0.25">
      <c r="A15" s="961" t="s">
        <v>642</v>
      </c>
      <c r="B15" s="952">
        <v>85.5</v>
      </c>
      <c r="C15" s="953">
        <v>74.900000000000006</v>
      </c>
      <c r="D15" s="952">
        <v>57.7</v>
      </c>
      <c r="E15" s="952">
        <v>16</v>
      </c>
      <c r="F15" s="952">
        <v>31.3</v>
      </c>
      <c r="G15" s="952">
        <v>25.8</v>
      </c>
      <c r="H15" s="952">
        <v>2.8</v>
      </c>
      <c r="I15" s="953">
        <v>16</v>
      </c>
      <c r="J15" s="952">
        <v>36</v>
      </c>
      <c r="K15" s="952">
        <v>45.4</v>
      </c>
      <c r="L15" s="952">
        <v>4.8</v>
      </c>
      <c r="M15" s="953">
        <v>3.7</v>
      </c>
      <c r="N15" s="952">
        <v>2.2000000000000002</v>
      </c>
      <c r="O15" s="953">
        <v>1.9</v>
      </c>
      <c r="P15" s="953">
        <v>4.4000000000000004</v>
      </c>
      <c r="Q15" s="953">
        <v>14.2</v>
      </c>
      <c r="R15" s="952">
        <v>7.6</v>
      </c>
      <c r="S15" s="953">
        <v>4.2</v>
      </c>
      <c r="T15" s="952">
        <v>12.2</v>
      </c>
      <c r="U15" s="953">
        <v>25.4</v>
      </c>
      <c r="V15" s="953">
        <v>37.4</v>
      </c>
      <c r="W15" s="953">
        <v>7.9</v>
      </c>
      <c r="X15" s="953">
        <v>10.9</v>
      </c>
      <c r="Y15" s="952">
        <v>10.1</v>
      </c>
      <c r="Z15" s="953">
        <v>1</v>
      </c>
      <c r="AA15" s="953">
        <v>13.3</v>
      </c>
      <c r="AB15" s="953">
        <v>4.4000000000000004</v>
      </c>
      <c r="AC15" s="953">
        <v>25.5</v>
      </c>
      <c r="AD15" s="952">
        <v>8</v>
      </c>
      <c r="AE15" s="953">
        <v>12.2</v>
      </c>
      <c r="AF15" s="962">
        <v>27</v>
      </c>
    </row>
    <row r="16" spans="1:32" s="633" customFormat="1" ht="15.75" hidden="1" customHeight="1" x14ac:dyDescent="0.25">
      <c r="A16" s="961" t="s">
        <v>650</v>
      </c>
      <c r="B16" s="953">
        <v>84.4</v>
      </c>
      <c r="C16" s="952">
        <v>76</v>
      </c>
      <c r="D16" s="953">
        <v>54.1</v>
      </c>
      <c r="E16" s="953">
        <v>12.7</v>
      </c>
      <c r="F16" s="952">
        <v>28.7</v>
      </c>
      <c r="G16" s="953">
        <v>22.6</v>
      </c>
      <c r="H16" s="952">
        <v>2.7</v>
      </c>
      <c r="I16" s="952">
        <v>15.3</v>
      </c>
      <c r="J16" s="953">
        <v>31.3</v>
      </c>
      <c r="K16" s="953">
        <v>39.4</v>
      </c>
      <c r="L16" s="952">
        <v>7.5</v>
      </c>
      <c r="M16" s="952">
        <v>2.2999999999999998</v>
      </c>
      <c r="N16" s="952">
        <v>3.1</v>
      </c>
      <c r="O16" s="953">
        <v>2</v>
      </c>
      <c r="P16" s="953">
        <v>4.3</v>
      </c>
      <c r="Q16" s="953">
        <v>13.3</v>
      </c>
      <c r="R16" s="953">
        <v>5.8</v>
      </c>
      <c r="S16" s="953">
        <v>3.4</v>
      </c>
      <c r="T16" s="953">
        <v>10.3</v>
      </c>
      <c r="U16" s="953">
        <v>28.1</v>
      </c>
      <c r="V16" s="953">
        <v>36</v>
      </c>
      <c r="W16" s="953">
        <v>6.8</v>
      </c>
      <c r="X16" s="953">
        <v>10.9</v>
      </c>
      <c r="Y16" s="953">
        <v>7.9</v>
      </c>
      <c r="Z16" s="953">
        <v>0.6</v>
      </c>
      <c r="AA16" s="953">
        <v>15.3</v>
      </c>
      <c r="AB16" s="953">
        <v>5.5</v>
      </c>
      <c r="AC16" s="952">
        <v>24.5</v>
      </c>
      <c r="AD16" s="953">
        <v>10.8</v>
      </c>
      <c r="AE16" s="953">
        <v>10.199999999999999</v>
      </c>
      <c r="AF16" s="962">
        <v>26.2</v>
      </c>
    </row>
    <row r="17" spans="1:32" s="633" customFormat="1" ht="42.75" hidden="1" customHeight="1" thickBot="1" x14ac:dyDescent="0.3">
      <c r="A17" s="963" t="s">
        <v>651</v>
      </c>
      <c r="B17" s="964">
        <v>77.3</v>
      </c>
      <c r="C17" s="964">
        <v>68</v>
      </c>
      <c r="D17" s="965">
        <v>51.9</v>
      </c>
      <c r="E17" s="964">
        <v>10.5</v>
      </c>
      <c r="F17" s="964">
        <v>16</v>
      </c>
      <c r="G17" s="964">
        <v>11.6</v>
      </c>
      <c r="H17" s="964">
        <v>8.3000000000000007</v>
      </c>
      <c r="I17" s="965">
        <v>12.6</v>
      </c>
      <c r="J17" s="964">
        <v>19.3</v>
      </c>
      <c r="K17" s="964">
        <v>26.2</v>
      </c>
      <c r="L17" s="966">
        <v>16.600000000000001</v>
      </c>
      <c r="M17" s="964">
        <v>4.5999999999999996</v>
      </c>
      <c r="N17" s="964">
        <v>8.8000000000000007</v>
      </c>
      <c r="O17" s="965">
        <v>2.8</v>
      </c>
      <c r="P17" s="965">
        <v>4</v>
      </c>
      <c r="Q17" s="964">
        <v>9.4</v>
      </c>
      <c r="R17" s="964">
        <v>3.4</v>
      </c>
      <c r="S17" s="965">
        <v>3.2</v>
      </c>
      <c r="T17" s="964">
        <v>8.3000000000000007</v>
      </c>
      <c r="U17" s="965">
        <v>25.9</v>
      </c>
      <c r="V17" s="965">
        <v>35.4</v>
      </c>
      <c r="W17" s="964">
        <v>4.5999999999999996</v>
      </c>
      <c r="X17" s="964">
        <v>7.1</v>
      </c>
      <c r="Y17" s="964">
        <v>4.9000000000000004</v>
      </c>
      <c r="Z17" s="964">
        <v>0.2</v>
      </c>
      <c r="AA17" s="965">
        <v>12.9</v>
      </c>
      <c r="AB17" s="965">
        <v>6</v>
      </c>
      <c r="AC17" s="964">
        <v>34.4</v>
      </c>
      <c r="AD17" s="964">
        <v>13.3</v>
      </c>
      <c r="AE17" s="965">
        <v>12.3</v>
      </c>
      <c r="AF17" s="967">
        <v>21</v>
      </c>
    </row>
    <row r="18" spans="1:32" s="633" customFormat="1" ht="16.5" customHeight="1" x14ac:dyDescent="0.25">
      <c r="A18"/>
      <c r="B18"/>
      <c r="C18"/>
      <c r="D18"/>
      <c r="E18"/>
      <c r="F18"/>
      <c r="G18"/>
      <c r="H18"/>
      <c r="I18"/>
      <c r="J18"/>
      <c r="K18"/>
      <c r="L18"/>
      <c r="M18"/>
      <c r="N18"/>
      <c r="O18"/>
      <c r="P18"/>
      <c r="Q18"/>
      <c r="R18"/>
      <c r="S18"/>
      <c r="T18"/>
      <c r="U18"/>
      <c r="V18"/>
      <c r="W18"/>
      <c r="X18"/>
      <c r="Y18"/>
      <c r="Z18"/>
      <c r="AA18"/>
      <c r="AB18"/>
      <c r="AC18"/>
      <c r="AD18"/>
      <c r="AE18"/>
      <c r="AF18"/>
    </row>
    <row r="21" spans="1:32" ht="15.75" customHeight="1" x14ac:dyDescent="0.25"/>
    <row r="22" spans="1:32" s="633" customFormat="1" ht="50.25" customHeight="1" x14ac:dyDescent="0.25">
      <c r="A22"/>
      <c r="B22"/>
      <c r="C22"/>
      <c r="D22"/>
      <c r="E22"/>
      <c r="F22"/>
      <c r="G22"/>
      <c r="H22"/>
      <c r="I22"/>
      <c r="J22"/>
      <c r="K22"/>
      <c r="L22"/>
      <c r="M22"/>
      <c r="N22"/>
      <c r="O22"/>
      <c r="P22"/>
      <c r="Q22"/>
      <c r="R22"/>
      <c r="S22"/>
      <c r="T22"/>
      <c r="U22"/>
      <c r="V22"/>
      <c r="W22"/>
      <c r="X22"/>
      <c r="Y22"/>
      <c r="Z22"/>
      <c r="AA22"/>
      <c r="AB22"/>
      <c r="AC22"/>
      <c r="AD22"/>
      <c r="AE22"/>
      <c r="AF22"/>
    </row>
    <row r="23" spans="1:32" ht="14.25" customHeight="1" x14ac:dyDescent="0.25"/>
    <row r="24" spans="1:32" ht="12.75" customHeight="1" x14ac:dyDescent="0.25"/>
    <row r="25" spans="1:32" ht="15.75" customHeight="1" x14ac:dyDescent="0.25"/>
    <row r="26" spans="1:32" ht="15.75" customHeight="1" x14ac:dyDescent="0.25"/>
    <row r="27" spans="1:32" ht="15" customHeight="1" x14ac:dyDescent="0.25"/>
    <row r="28" spans="1:32" hidden="1" x14ac:dyDescent="0.25"/>
    <row r="29" spans="1:32" hidden="1" x14ac:dyDescent="0.25"/>
    <row r="30" spans="1:32" hidden="1" x14ac:dyDescent="0.25"/>
    <row r="42" ht="24" customHeight="1" x14ac:dyDescent="0.25"/>
    <row r="43" ht="65.25" customHeight="1" x14ac:dyDescent="0.25"/>
    <row r="44" ht="15.75" customHeight="1" x14ac:dyDescent="0.25"/>
    <row r="53" ht="65.25" customHeight="1" x14ac:dyDescent="0.25"/>
    <row r="57" ht="21.75" customHeight="1" x14ac:dyDescent="0.25"/>
    <row r="59" ht="65.25" customHeight="1" x14ac:dyDescent="0.25"/>
    <row r="60" ht="65.25" customHeight="1" x14ac:dyDescent="0.25"/>
    <row r="61" ht="16.5" customHeight="1" x14ac:dyDescent="0.25"/>
    <row r="75" ht="16.5" customHeight="1" x14ac:dyDescent="0.25"/>
    <row r="76" ht="21.75" customHeight="1" x14ac:dyDescent="0.25"/>
    <row r="77" ht="15.75" customHeight="1" x14ac:dyDescent="0.25"/>
    <row r="79" ht="16.5" customHeight="1" x14ac:dyDescent="0.25"/>
    <row r="80" ht="16.5" customHeight="1" x14ac:dyDescent="0.25"/>
    <row r="81" ht="65.25" customHeight="1" x14ac:dyDescent="0.25"/>
  </sheetData>
  <mergeCells count="2">
    <mergeCell ref="A10:B10"/>
    <mergeCell ref="A1:B1"/>
  </mergeCells>
  <pageMargins left="0.7" right="0.7" top="0.75" bottom="0.75" header="0.3" footer="0.3"/>
  <pageSetup orientation="portrait" horizontalDpi="4294967292"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topLeftCell="A4" workbookViewId="0">
      <selection activeCell="G11" sqref="G11"/>
    </sheetView>
  </sheetViews>
  <sheetFormatPr defaultRowHeight="15" x14ac:dyDescent="0.25"/>
  <cols>
    <col min="1" max="1" width="9.140625" style="633"/>
    <col min="3" max="3" width="15.28515625" customWidth="1"/>
    <col min="4" max="4" width="10.7109375" customWidth="1"/>
    <col min="7" max="7" width="10.85546875" customWidth="1"/>
    <col min="8" max="8" width="10.7109375" customWidth="1"/>
    <col min="9" max="9" width="21.85546875" customWidth="1"/>
    <col min="10" max="10" width="12.42578125" customWidth="1"/>
    <col min="12" max="12" width="16" customWidth="1"/>
  </cols>
  <sheetData>
    <row r="1" spans="1:19" ht="23.25" x14ac:dyDescent="0.35">
      <c r="A1" s="711"/>
      <c r="B1" s="712" t="s">
        <v>522</v>
      </c>
      <c r="C1" s="711"/>
      <c r="D1" s="711"/>
      <c r="E1" s="711"/>
      <c r="F1" s="711"/>
      <c r="G1" s="711"/>
      <c r="H1" s="711"/>
      <c r="I1" s="711"/>
      <c r="J1" s="713"/>
      <c r="K1" s="1"/>
      <c r="L1" s="1"/>
      <c r="M1" s="1"/>
      <c r="N1" s="1"/>
      <c r="O1" s="1"/>
      <c r="P1" s="1"/>
      <c r="Q1" s="1"/>
      <c r="R1" s="1"/>
      <c r="S1" s="1"/>
    </row>
    <row r="2" spans="1:19" ht="23.25" x14ac:dyDescent="0.35">
      <c r="A2" s="723"/>
      <c r="B2" s="712" t="s">
        <v>523</v>
      </c>
      <c r="C2" s="711"/>
      <c r="D2" s="711"/>
      <c r="E2" s="711"/>
      <c r="F2" s="711"/>
      <c r="G2" s="711"/>
      <c r="H2" s="711"/>
      <c r="I2" s="711"/>
      <c r="J2" s="724"/>
      <c r="K2" s="1"/>
      <c r="L2" s="1"/>
      <c r="M2" s="1"/>
      <c r="N2" s="1"/>
      <c r="O2" s="1"/>
      <c r="P2" s="1"/>
      <c r="Q2" s="1"/>
      <c r="R2" s="1"/>
      <c r="S2" s="1"/>
    </row>
    <row r="3" spans="1:19" ht="15.75" x14ac:dyDescent="0.25">
      <c r="A3" s="694"/>
      <c r="B3" s="1075" t="s">
        <v>624</v>
      </c>
      <c r="C3" s="1076"/>
      <c r="D3" s="1076"/>
      <c r="E3" s="1076"/>
      <c r="F3" s="1076"/>
      <c r="G3" s="1076"/>
      <c r="H3" s="1076"/>
      <c r="I3" s="1077"/>
      <c r="J3" s="715"/>
      <c r="K3" s="1"/>
      <c r="L3" s="1"/>
      <c r="M3" s="1"/>
      <c r="N3" s="1"/>
      <c r="O3" s="1"/>
      <c r="P3" s="1"/>
      <c r="Q3" s="1"/>
      <c r="R3" s="1"/>
      <c r="S3" s="1"/>
    </row>
    <row r="4" spans="1:19" s="633" customFormat="1" ht="15.75" x14ac:dyDescent="0.25">
      <c r="A4" s="694"/>
      <c r="B4" s="714"/>
      <c r="C4" s="694"/>
      <c r="D4" s="694"/>
      <c r="E4" s="694"/>
      <c r="F4" s="694"/>
      <c r="G4" s="694"/>
      <c r="H4" s="694"/>
      <c r="I4" s="694"/>
      <c r="J4" s="715"/>
      <c r="K4" s="1"/>
      <c r="L4" s="1"/>
      <c r="M4" s="1"/>
      <c r="N4" s="1"/>
      <c r="O4" s="1"/>
      <c r="P4" s="1"/>
      <c r="Q4" s="1"/>
      <c r="R4" s="1"/>
      <c r="S4" s="1"/>
    </row>
    <row r="5" spans="1:19" s="633" customFormat="1" ht="18.75" x14ac:dyDescent="0.3">
      <c r="A5" s="694"/>
      <c r="B5" s="1084" t="s">
        <v>628</v>
      </c>
      <c r="C5" s="1084"/>
      <c r="D5" s="736" t="str">
        <f>'Recreation Worksheet'!B3</f>
        <v>Coos</v>
      </c>
      <c r="E5" s="767" t="str">
        <f>VLOOKUP(D5,Counties!$A$2:$F$40,3)</f>
        <v>Rural</v>
      </c>
      <c r="F5" s="694"/>
      <c r="G5" s="1084" t="s">
        <v>591</v>
      </c>
      <c r="H5" s="1084"/>
      <c r="I5" s="735">
        <f>VLOOKUP(D5,Counties!A1:G40,7)</f>
        <v>62557</v>
      </c>
      <c r="J5" s="715"/>
      <c r="K5" s="1"/>
      <c r="L5" s="1"/>
      <c r="M5" s="1"/>
      <c r="N5" s="1"/>
      <c r="O5" s="1"/>
      <c r="P5" s="1"/>
      <c r="Q5" s="1"/>
      <c r="R5" s="1"/>
      <c r="S5" s="1"/>
    </row>
    <row r="6" spans="1:19" ht="18.75" customHeight="1" x14ac:dyDescent="0.3">
      <c r="A6" s="694"/>
      <c r="B6" s="1084" t="s">
        <v>629</v>
      </c>
      <c r="C6" s="1084"/>
      <c r="D6" s="736">
        <v>1</v>
      </c>
      <c r="E6" s="716" t="str">
        <f>IF(ISNUMBER(D6)=TRUE,IF(D6&gt;=1,"","Please enter a valid number in years. Must be at least 1."),"Please enter a valid number in years. Must be at least 1.")</f>
        <v/>
      </c>
      <c r="F6" s="694"/>
      <c r="G6" s="1084" t="s">
        <v>630</v>
      </c>
      <c r="H6" s="1084"/>
      <c r="I6" s="739">
        <f>'Recreation Worksheet'!B7</f>
        <v>5192.2310000000007</v>
      </c>
      <c r="J6" s="715"/>
      <c r="K6" s="1"/>
      <c r="L6" s="1"/>
      <c r="M6" s="1"/>
      <c r="N6" s="1"/>
      <c r="O6" s="1"/>
      <c r="P6" s="1"/>
      <c r="Q6" s="1"/>
      <c r="R6" s="1"/>
      <c r="S6" s="1"/>
    </row>
    <row r="7" spans="1:19" s="633" customFormat="1" ht="47.25" customHeight="1" x14ac:dyDescent="0.25">
      <c r="A7" s="694"/>
      <c r="B7" s="1093" t="s">
        <v>627</v>
      </c>
      <c r="C7" s="1093"/>
      <c r="D7" s="1093"/>
      <c r="E7" s="1093"/>
      <c r="F7" s="1093"/>
      <c r="G7" s="1093"/>
      <c r="H7" s="1093"/>
      <c r="I7" s="1093"/>
      <c r="J7" s="715"/>
      <c r="K7" s="1"/>
      <c r="L7" s="1"/>
      <c r="M7" s="1"/>
      <c r="N7" s="1"/>
      <c r="O7" s="1"/>
      <c r="P7" s="1"/>
      <c r="Q7" s="1"/>
      <c r="R7" s="1"/>
      <c r="S7" s="1"/>
    </row>
    <row r="8" spans="1:19" s="633" customFormat="1" ht="46.5" customHeight="1" x14ac:dyDescent="0.25">
      <c r="A8" s="694"/>
      <c r="B8" s="1093" t="s">
        <v>631</v>
      </c>
      <c r="C8" s="1093"/>
      <c r="D8" s="1093"/>
      <c r="E8" s="1093"/>
      <c r="F8" s="1093"/>
      <c r="G8" s="1093"/>
      <c r="H8" s="1093"/>
      <c r="I8" s="1093"/>
      <c r="J8" s="715"/>
      <c r="K8" s="1"/>
      <c r="L8" s="1"/>
      <c r="M8" s="1"/>
      <c r="N8" s="1"/>
      <c r="O8" s="1"/>
      <c r="P8" s="1"/>
      <c r="Q8" s="1"/>
      <c r="R8" s="1"/>
      <c r="S8" s="1"/>
    </row>
    <row r="9" spans="1:19" s="633" customFormat="1" ht="18" customHeight="1" x14ac:dyDescent="0.25">
      <c r="A9" s="694"/>
      <c r="B9" s="936"/>
      <c r="C9" s="936"/>
      <c r="D9" s="936"/>
      <c r="E9" s="936"/>
      <c r="F9" s="936"/>
      <c r="G9" s="936"/>
      <c r="H9" s="936"/>
      <c r="I9" s="936"/>
      <c r="J9" s="715"/>
      <c r="K9" s="1"/>
      <c r="L9" s="1"/>
      <c r="M9" s="1"/>
      <c r="N9" s="1"/>
      <c r="O9" s="1"/>
      <c r="P9" s="1"/>
      <c r="Q9" s="1"/>
      <c r="R9" s="1"/>
      <c r="S9" s="1"/>
    </row>
    <row r="10" spans="1:19" ht="18.75" x14ac:dyDescent="0.3">
      <c r="A10" s="694"/>
      <c r="B10" s="693" t="s">
        <v>596</v>
      </c>
      <c r="C10" s="694"/>
      <c r="D10" s="694"/>
      <c r="E10" s="694"/>
      <c r="F10" s="694"/>
      <c r="G10" s="693" t="str">
        <f>"Annual physical activity benefit per "&amp;I6&amp;" participants"</f>
        <v>Annual physical activity benefit per 5192.231 participants</v>
      </c>
      <c r="H10" s="693"/>
      <c r="I10" s="694"/>
      <c r="J10" s="715"/>
      <c r="K10" s="1"/>
      <c r="L10" s="1"/>
      <c r="M10" s="1"/>
      <c r="N10" s="1"/>
      <c r="O10" s="1"/>
      <c r="P10" s="1"/>
      <c r="Q10" s="1"/>
      <c r="R10" s="1"/>
      <c r="S10" s="1"/>
    </row>
    <row r="11" spans="1:19" x14ac:dyDescent="0.25">
      <c r="A11" s="694"/>
      <c r="B11" s="686"/>
      <c r="C11" s="687"/>
      <c r="D11" s="688" t="s">
        <v>599</v>
      </c>
      <c r="E11" s="689" t="s">
        <v>600</v>
      </c>
      <c r="F11" s="694"/>
      <c r="G11" s="699" t="s">
        <v>29</v>
      </c>
      <c r="H11" s="701"/>
      <c r="I11" s="697" t="s">
        <v>527</v>
      </c>
      <c r="J11" s="715"/>
      <c r="K11" s="1"/>
      <c r="L11" s="737"/>
      <c r="M11" s="1"/>
      <c r="N11" s="1"/>
      <c r="O11" s="1"/>
      <c r="P11" s="1"/>
      <c r="Q11" s="1"/>
      <c r="R11" s="1"/>
      <c r="S11" s="1"/>
    </row>
    <row r="12" spans="1:19" x14ac:dyDescent="0.25">
      <c r="A12" s="694"/>
      <c r="B12" s="1085" t="s">
        <v>101</v>
      </c>
      <c r="C12" s="690" t="s">
        <v>93</v>
      </c>
      <c r="D12" s="995" t="e">
        <f>#REF!</f>
        <v>#REF!</v>
      </c>
      <c r="E12" s="933" t="e">
        <f>#REF!</f>
        <v>#REF!</v>
      </c>
      <c r="F12" s="694"/>
      <c r="G12" s="696">
        <f>Outputs!G5</f>
        <v>-14.128701760593081</v>
      </c>
      <c r="H12" s="742">
        <f>-'Health summary'!AE42</f>
        <v>-1.3417606593335603E-2</v>
      </c>
      <c r="I12" s="698">
        <f>ABS(SUM(Costs!B38:B39)*'Inputs TO'!D6)</f>
        <v>647700.62233799486</v>
      </c>
      <c r="J12" s="717"/>
      <c r="K12" s="1"/>
      <c r="L12" s="743"/>
      <c r="M12" s="1"/>
      <c r="N12" s="1"/>
      <c r="O12" s="1"/>
      <c r="P12" s="1"/>
      <c r="Q12" s="1"/>
      <c r="R12" s="1"/>
      <c r="S12" s="1"/>
    </row>
    <row r="13" spans="1:19" x14ac:dyDescent="0.25">
      <c r="A13" s="694"/>
      <c r="B13" s="1085"/>
      <c r="C13" s="690" t="s">
        <v>245</v>
      </c>
      <c r="D13" s="995" t="e">
        <f>#REF!</f>
        <v>#REF!</v>
      </c>
      <c r="E13" s="933" t="e">
        <f>#REF!</f>
        <v>#REF!</v>
      </c>
      <c r="F13" s="694"/>
      <c r="G13" s="699" t="s">
        <v>526</v>
      </c>
      <c r="H13" s="700"/>
      <c r="I13" s="694"/>
      <c r="J13" s="715"/>
      <c r="K13" s="1"/>
      <c r="L13" s="1"/>
      <c r="M13" s="1"/>
      <c r="N13" s="1"/>
      <c r="O13" s="1"/>
      <c r="P13" s="1"/>
      <c r="Q13" s="1"/>
      <c r="R13" s="1"/>
      <c r="S13" s="1"/>
    </row>
    <row r="14" spans="1:19" x14ac:dyDescent="0.25">
      <c r="A14" s="694"/>
      <c r="B14" s="1086"/>
      <c r="C14" s="690" t="s">
        <v>219</v>
      </c>
      <c r="D14" s="995" t="e">
        <f>#REF!</f>
        <v>#REF!</v>
      </c>
      <c r="E14" s="933" t="e">
        <f>#REF!</f>
        <v>#REF!</v>
      </c>
      <c r="F14" s="694"/>
      <c r="G14" s="696">
        <f>Outputs!I5</f>
        <v>-1.0346933561825691</v>
      </c>
      <c r="H14" s="742">
        <f>-'Health summary'!AE12</f>
        <v>-1.7100569511893492E-2</v>
      </c>
      <c r="I14" s="694"/>
      <c r="J14" s="718"/>
      <c r="K14" s="1"/>
      <c r="L14" s="737"/>
      <c r="M14" s="1"/>
      <c r="N14" s="1"/>
      <c r="O14" s="1"/>
      <c r="P14" s="1"/>
      <c r="Q14" s="1"/>
      <c r="R14" s="1"/>
      <c r="S14" s="1"/>
    </row>
    <row r="15" spans="1:19" x14ac:dyDescent="0.25">
      <c r="A15" s="694"/>
      <c r="B15" s="732" t="s">
        <v>597</v>
      </c>
      <c r="C15" s="694"/>
      <c r="D15" s="694"/>
      <c r="E15" s="694"/>
      <c r="F15" s="694"/>
      <c r="G15" s="694"/>
      <c r="H15" s="694"/>
      <c r="I15" s="694"/>
      <c r="J15" s="718"/>
      <c r="K15" s="1"/>
      <c r="L15" s="738"/>
      <c r="M15" s="1"/>
      <c r="N15" s="1"/>
      <c r="O15" s="1"/>
      <c r="P15" s="1"/>
      <c r="Q15" s="1"/>
      <c r="R15" s="1"/>
      <c r="S15" s="1"/>
    </row>
    <row r="16" spans="1:19" s="633" customFormat="1" x14ac:dyDescent="0.25">
      <c r="A16" s="694"/>
      <c r="B16" s="1078" t="s">
        <v>625</v>
      </c>
      <c r="C16" s="1079"/>
      <c r="D16" s="1079"/>
      <c r="E16" s="1079"/>
      <c r="F16" s="1079"/>
      <c r="G16" s="1079"/>
      <c r="H16" s="1079"/>
      <c r="I16" s="1080"/>
      <c r="J16" s="718"/>
      <c r="K16" s="1"/>
      <c r="L16" s="738"/>
      <c r="M16" s="1"/>
      <c r="N16" s="1"/>
      <c r="O16" s="1"/>
      <c r="P16" s="1"/>
      <c r="Q16" s="1"/>
      <c r="R16" s="1"/>
      <c r="S16" s="1"/>
    </row>
    <row r="17" spans="1:19" x14ac:dyDescent="0.25">
      <c r="A17" s="694"/>
      <c r="B17" s="1081"/>
      <c r="C17" s="1082"/>
      <c r="D17" s="1082"/>
      <c r="E17" s="1082"/>
      <c r="F17" s="1082"/>
      <c r="G17" s="1082"/>
      <c r="H17" s="1082"/>
      <c r="I17" s="1083"/>
      <c r="J17" s="718"/>
      <c r="K17" s="1"/>
      <c r="L17" s="1"/>
      <c r="M17" s="1"/>
      <c r="N17" s="1"/>
      <c r="O17" s="1"/>
      <c r="P17" s="1"/>
      <c r="Q17" s="1"/>
      <c r="R17" s="1"/>
      <c r="S17" s="1"/>
    </row>
    <row r="18" spans="1:19" x14ac:dyDescent="0.25">
      <c r="A18" s="694"/>
      <c r="B18" s="694"/>
      <c r="C18" s="694"/>
      <c r="D18" s="694"/>
      <c r="E18" s="694"/>
      <c r="F18" s="694"/>
      <c r="G18" s="694"/>
      <c r="H18" s="694"/>
      <c r="I18" s="694"/>
      <c r="J18" s="715"/>
      <c r="K18" s="1"/>
      <c r="L18" s="1"/>
      <c r="M18" s="1"/>
      <c r="N18" s="1"/>
      <c r="O18" s="1"/>
      <c r="P18" s="1"/>
      <c r="Q18" s="1"/>
      <c r="R18" s="1"/>
      <c r="S18" s="1"/>
    </row>
    <row r="19" spans="1:19" ht="15.75" x14ac:dyDescent="0.25">
      <c r="A19" s="694"/>
      <c r="B19" s="719" t="s">
        <v>598</v>
      </c>
      <c r="C19" s="694"/>
      <c r="D19" s="694"/>
      <c r="E19" s="694"/>
      <c r="F19" s="694"/>
      <c r="G19" s="694"/>
      <c r="H19" s="694"/>
      <c r="I19" s="694"/>
      <c r="J19" s="715"/>
      <c r="K19" s="1"/>
      <c r="L19" s="1"/>
      <c r="M19" s="1"/>
      <c r="N19" s="1"/>
      <c r="O19" s="1"/>
      <c r="P19" s="1"/>
      <c r="Q19" s="1"/>
      <c r="R19" s="1"/>
      <c r="S19" s="1"/>
    </row>
    <row r="20" spans="1:19" x14ac:dyDescent="0.25">
      <c r="A20" s="694"/>
      <c r="B20" s="1087" t="s">
        <v>528</v>
      </c>
      <c r="C20" s="1088"/>
      <c r="D20" s="1091" t="s">
        <v>537</v>
      </c>
      <c r="E20" s="1092"/>
      <c r="F20" s="1091" t="s">
        <v>538</v>
      </c>
      <c r="G20" s="1092"/>
      <c r="H20" s="694"/>
      <c r="I20" s="694"/>
      <c r="J20" s="715"/>
      <c r="K20" s="1"/>
      <c r="L20" s="1"/>
      <c r="M20" s="1"/>
      <c r="N20" s="1"/>
      <c r="O20" s="1"/>
      <c r="P20" s="1"/>
      <c r="Q20" s="1"/>
      <c r="R20" s="1"/>
      <c r="S20" s="1"/>
    </row>
    <row r="21" spans="1:19" x14ac:dyDescent="0.25">
      <c r="A21" s="694"/>
      <c r="B21" s="1089"/>
      <c r="C21" s="1090"/>
      <c r="D21" s="692">
        <f>LOOKUP(D5,Counties!A2:A40,Counties!B2:B40)</f>
        <v>9.4</v>
      </c>
      <c r="E21" s="691"/>
      <c r="F21" s="692">
        <f>D21</f>
        <v>9.4</v>
      </c>
      <c r="G21" s="691"/>
      <c r="H21" s="694"/>
      <c r="I21" s="694"/>
      <c r="J21" s="715"/>
      <c r="K21" s="1"/>
      <c r="L21" s="1"/>
      <c r="M21" s="1"/>
      <c r="N21" s="1"/>
      <c r="O21" s="1"/>
      <c r="P21" s="1"/>
      <c r="Q21" s="1"/>
      <c r="R21" s="1"/>
      <c r="S21" s="1"/>
    </row>
    <row r="22" spans="1:19" x14ac:dyDescent="0.25">
      <c r="A22" s="694"/>
      <c r="B22" s="749" t="s">
        <v>604</v>
      </c>
      <c r="C22" s="695"/>
      <c r="D22" s="695"/>
      <c r="E22" s="695"/>
      <c r="F22" s="695"/>
      <c r="G22" s="695"/>
      <c r="H22" s="694"/>
      <c r="I22" s="694"/>
      <c r="J22" s="720"/>
      <c r="K22" s="1"/>
      <c r="L22" s="1"/>
      <c r="M22" s="1"/>
      <c r="N22" s="1"/>
      <c r="O22" s="1"/>
      <c r="P22" s="1"/>
      <c r="Q22" s="1"/>
      <c r="R22" s="1"/>
      <c r="S22" s="1"/>
    </row>
    <row r="23" spans="1:19" x14ac:dyDescent="0.25">
      <c r="A23" s="721"/>
      <c r="B23" s="721"/>
      <c r="C23" s="721"/>
      <c r="D23" s="721"/>
      <c r="E23" s="721"/>
      <c r="F23" s="721"/>
      <c r="G23" s="721"/>
      <c r="H23" s="721"/>
      <c r="I23" s="721"/>
      <c r="J23" s="722"/>
      <c r="K23" s="1"/>
      <c r="L23" s="1"/>
      <c r="M23" s="1"/>
      <c r="N23" s="1"/>
      <c r="O23" s="1"/>
      <c r="P23" s="1"/>
      <c r="Q23" s="1"/>
      <c r="R23" s="1"/>
      <c r="S23" s="1"/>
    </row>
    <row r="24" spans="1:19" x14ac:dyDescent="0.25">
      <c r="A24" s="1"/>
      <c r="B24" s="1"/>
      <c r="C24" s="1"/>
      <c r="D24" s="1"/>
      <c r="E24" s="1"/>
      <c r="F24" s="1"/>
      <c r="G24" s="1"/>
      <c r="H24" s="1"/>
      <c r="I24" s="1"/>
      <c r="J24" s="1"/>
      <c r="K24" s="1"/>
      <c r="L24" s="1"/>
      <c r="M24" s="1"/>
      <c r="N24" s="1"/>
      <c r="O24" s="1"/>
      <c r="P24" s="1"/>
      <c r="Q24" s="1"/>
      <c r="R24" s="1"/>
      <c r="S24" s="1"/>
    </row>
    <row r="25" spans="1:19" x14ac:dyDescent="0.25">
      <c r="A25" s="1"/>
      <c r="B25" s="1"/>
      <c r="C25" s="1"/>
      <c r="D25" s="1"/>
      <c r="E25" s="1"/>
      <c r="F25" s="1"/>
      <c r="G25" s="1"/>
      <c r="H25" s="1"/>
      <c r="I25" s="1"/>
      <c r="J25" s="1"/>
      <c r="K25" s="1"/>
      <c r="L25" s="1"/>
      <c r="M25" s="1"/>
      <c r="N25" s="1"/>
      <c r="O25" s="1"/>
      <c r="P25" s="1"/>
      <c r="Q25" s="1"/>
      <c r="R25" s="1"/>
      <c r="S25" s="1"/>
    </row>
    <row r="26" spans="1:19" x14ac:dyDescent="0.25">
      <c r="A26" s="1"/>
      <c r="B26" s="1"/>
      <c r="C26" s="1"/>
      <c r="D26" s="1"/>
      <c r="E26" s="1"/>
      <c r="F26" s="1"/>
      <c r="G26" s="1"/>
      <c r="H26" s="1"/>
      <c r="I26" s="1"/>
      <c r="J26" s="1"/>
      <c r="K26" s="1"/>
      <c r="L26" s="1"/>
      <c r="M26" s="1"/>
      <c r="N26" s="1"/>
      <c r="O26" s="1"/>
      <c r="P26" s="1"/>
      <c r="Q26" s="1"/>
      <c r="R26" s="1"/>
      <c r="S26" s="1"/>
    </row>
    <row r="27" spans="1:19" x14ac:dyDescent="0.25">
      <c r="A27" s="725"/>
      <c r="B27" s="1"/>
      <c r="C27" s="1"/>
      <c r="D27" s="1"/>
      <c r="E27" s="1"/>
      <c r="F27" s="1"/>
      <c r="G27" s="1"/>
      <c r="H27" s="1"/>
      <c r="I27" s="1"/>
      <c r="J27" s="1"/>
      <c r="K27" s="1"/>
      <c r="L27" s="1"/>
      <c r="M27" s="1"/>
      <c r="N27" s="1"/>
      <c r="O27" s="1"/>
      <c r="P27" s="1"/>
      <c r="Q27" s="1"/>
    </row>
    <row r="28" spans="1:19" x14ac:dyDescent="0.25">
      <c r="A28" s="725"/>
      <c r="B28" s="1"/>
      <c r="C28" s="1"/>
      <c r="D28" s="1"/>
      <c r="E28" s="1"/>
      <c r="F28" s="1"/>
      <c r="G28" s="1"/>
      <c r="H28" s="1"/>
      <c r="I28" s="1"/>
      <c r="J28" s="1"/>
      <c r="K28" s="1"/>
      <c r="L28" s="1"/>
      <c r="M28" s="1"/>
      <c r="N28" s="1"/>
      <c r="O28" s="1"/>
      <c r="P28" s="1"/>
      <c r="Q28" s="1"/>
    </row>
    <row r="29" spans="1:19" x14ac:dyDescent="0.25">
      <c r="A29" s="725"/>
      <c r="B29" s="1"/>
      <c r="C29" s="1"/>
      <c r="D29" s="1"/>
      <c r="E29" s="1"/>
      <c r="F29" s="1"/>
      <c r="G29" s="1"/>
      <c r="H29" s="1"/>
      <c r="I29" s="1"/>
      <c r="J29" s="1"/>
      <c r="K29" s="1"/>
      <c r="L29" s="1"/>
      <c r="M29" s="1"/>
      <c r="N29" s="1"/>
      <c r="O29" s="1"/>
      <c r="P29" s="1"/>
      <c r="Q29" s="1"/>
    </row>
    <row r="30" spans="1:19" x14ac:dyDescent="0.25">
      <c r="A30" s="725"/>
      <c r="B30" s="1"/>
      <c r="C30" s="1"/>
      <c r="D30" s="1"/>
      <c r="E30" s="1"/>
      <c r="F30" s="1"/>
      <c r="G30" s="1"/>
      <c r="H30" s="1"/>
      <c r="I30" s="1"/>
      <c r="J30" s="1"/>
      <c r="K30" s="1"/>
      <c r="L30" s="1"/>
      <c r="M30" s="1"/>
      <c r="N30" s="1"/>
      <c r="O30" s="1"/>
      <c r="P30" s="1"/>
      <c r="Q30" s="1"/>
    </row>
    <row r="31" spans="1:19" x14ac:dyDescent="0.25">
      <c r="A31" s="725"/>
      <c r="B31" s="1"/>
      <c r="C31" s="1"/>
      <c r="D31" s="1"/>
      <c r="E31" s="1"/>
      <c r="F31" s="1"/>
      <c r="G31" s="1"/>
      <c r="H31" s="1"/>
      <c r="I31" s="1"/>
      <c r="J31" s="1"/>
      <c r="K31" s="1"/>
      <c r="L31" s="1"/>
      <c r="M31" s="1"/>
      <c r="N31" s="1"/>
      <c r="O31" s="1"/>
      <c r="P31" s="1"/>
      <c r="Q31" s="1"/>
    </row>
    <row r="32" spans="1:19" x14ac:dyDescent="0.25">
      <c r="A32" s="725"/>
      <c r="B32" s="1"/>
      <c r="C32" s="1"/>
      <c r="D32" s="1"/>
      <c r="E32" s="1"/>
      <c r="F32" s="1"/>
      <c r="G32" s="1"/>
      <c r="H32" s="1"/>
      <c r="I32" s="1"/>
      <c r="J32" s="1"/>
      <c r="K32" s="1"/>
      <c r="L32" s="1"/>
      <c r="M32" s="1"/>
      <c r="N32" s="1"/>
      <c r="O32" s="1"/>
      <c r="P32" s="1"/>
      <c r="Q32" s="1"/>
    </row>
    <row r="33" spans="1:17" x14ac:dyDescent="0.25">
      <c r="A33" s="725"/>
      <c r="B33" s="1"/>
      <c r="C33" s="1"/>
      <c r="D33" s="1"/>
      <c r="E33" s="1"/>
      <c r="F33" s="1"/>
      <c r="G33" s="1"/>
      <c r="H33" s="1"/>
      <c r="I33" s="1"/>
      <c r="J33" s="1"/>
      <c r="K33" s="1"/>
      <c r="L33" s="1"/>
      <c r="M33" s="1"/>
      <c r="N33" s="1"/>
      <c r="O33" s="1"/>
      <c r="P33" s="1"/>
      <c r="Q33" s="1"/>
    </row>
    <row r="34" spans="1:17" x14ac:dyDescent="0.25">
      <c r="A34" s="725"/>
      <c r="B34" s="1"/>
      <c r="C34" s="1"/>
      <c r="D34" s="1"/>
      <c r="E34" s="1"/>
      <c r="F34" s="1"/>
      <c r="G34" s="1"/>
      <c r="H34" s="1"/>
      <c r="I34" s="1"/>
      <c r="J34" s="1"/>
      <c r="K34" s="1"/>
      <c r="L34" s="1"/>
      <c r="M34" s="1"/>
      <c r="N34" s="1"/>
      <c r="O34" s="1"/>
      <c r="P34" s="1"/>
      <c r="Q34" s="1"/>
    </row>
    <row r="35" spans="1:17" x14ac:dyDescent="0.25">
      <c r="A35" s="725"/>
      <c r="B35" s="1"/>
      <c r="C35" s="1"/>
      <c r="D35" s="1"/>
      <c r="E35" s="1"/>
      <c r="F35" s="1"/>
      <c r="G35" s="1"/>
      <c r="H35" s="1"/>
      <c r="I35" s="1"/>
      <c r="J35" s="1"/>
      <c r="K35" s="1"/>
      <c r="L35" s="1"/>
      <c r="M35" s="1"/>
      <c r="N35" s="1"/>
      <c r="O35" s="1"/>
      <c r="P35" s="1"/>
      <c r="Q35" s="1"/>
    </row>
    <row r="41" spans="1:17" x14ac:dyDescent="0.25">
      <c r="A41" s="482" t="s">
        <v>593</v>
      </c>
    </row>
    <row r="42" spans="1:17" x14ac:dyDescent="0.25">
      <c r="A42" s="482" t="s">
        <v>594</v>
      </c>
    </row>
  </sheetData>
  <mergeCells count="12">
    <mergeCell ref="B3:I3"/>
    <mergeCell ref="B16:I17"/>
    <mergeCell ref="B5:C5"/>
    <mergeCell ref="B12:B14"/>
    <mergeCell ref="B20:C21"/>
    <mergeCell ref="D20:E20"/>
    <mergeCell ref="F20:G20"/>
    <mergeCell ref="G5:H5"/>
    <mergeCell ref="B6:C6"/>
    <mergeCell ref="G6:H6"/>
    <mergeCell ref="B7:I7"/>
    <mergeCell ref="B8:I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3"/>
  <sheetViews>
    <sheetView zoomScale="82" zoomScaleNormal="82" workbookViewId="0">
      <pane xSplit="3" ySplit="1" topLeftCell="L2" activePane="bottomRight" state="frozen"/>
      <selection pane="topRight" activeCell="D1" sqref="D1"/>
      <selection pane="bottomLeft" activeCell="A2" sqref="A2"/>
      <selection pane="bottomRight" activeCell="O5" sqref="O5"/>
    </sheetView>
  </sheetViews>
  <sheetFormatPr defaultRowHeight="15" x14ac:dyDescent="0.25"/>
  <cols>
    <col min="1" max="1" width="9.85546875" customWidth="1"/>
    <col min="2" max="2" width="8" customWidth="1"/>
    <col min="3" max="3" width="1" hidden="1" customWidth="1"/>
    <col min="4" max="4" width="8.28515625" customWidth="1"/>
    <col min="5" max="5" width="7.7109375" customWidth="1"/>
    <col min="6" max="6" width="6.7109375" customWidth="1"/>
    <col min="7" max="8" width="8.28515625" customWidth="1"/>
    <col min="9" max="9" width="8.7109375" customWidth="1"/>
    <col min="10" max="10" width="7" customWidth="1"/>
    <col min="11" max="11" width="9.42578125" customWidth="1"/>
    <col min="12" max="12" width="7.28515625" customWidth="1"/>
    <col min="13" max="13" width="8.42578125" customWidth="1"/>
    <col min="14" max="14" width="7" customWidth="1"/>
    <col min="15" max="15" width="8.42578125" customWidth="1"/>
    <col min="16" max="16" width="6.85546875" customWidth="1"/>
    <col min="17" max="30" width="12.5703125" customWidth="1"/>
    <col min="31" max="32" width="12.5703125" style="633" customWidth="1"/>
    <col min="33" max="39" width="12.5703125" customWidth="1"/>
  </cols>
  <sheetData>
    <row r="1" spans="1:39" ht="33.75" customHeight="1" x14ac:dyDescent="0.25">
      <c r="A1" s="122"/>
      <c r="B1" s="123"/>
      <c r="C1" s="1102" t="s">
        <v>73</v>
      </c>
      <c r="D1" s="1103"/>
      <c r="E1" s="1100" t="s">
        <v>71</v>
      </c>
      <c r="F1" s="1101"/>
      <c r="G1" s="1102" t="s">
        <v>186</v>
      </c>
      <c r="H1" s="1103"/>
      <c r="I1" s="1100" t="s">
        <v>188</v>
      </c>
      <c r="J1" s="1101"/>
      <c r="K1" s="1100" t="s">
        <v>30</v>
      </c>
      <c r="L1" s="1101"/>
      <c r="M1" s="1100" t="s">
        <v>32</v>
      </c>
      <c r="N1" s="1101"/>
      <c r="O1" s="1100" t="s">
        <v>33</v>
      </c>
      <c r="P1" s="1101"/>
      <c r="Q1" s="1102" t="s">
        <v>231</v>
      </c>
      <c r="R1" s="1103"/>
      <c r="S1" s="1100" t="s">
        <v>154</v>
      </c>
      <c r="T1" s="1101"/>
      <c r="U1" s="1102" t="s">
        <v>158</v>
      </c>
      <c r="V1" s="1103"/>
      <c r="W1" s="1102" t="s">
        <v>159</v>
      </c>
      <c r="X1" s="1103"/>
      <c r="Y1" s="1102" t="s">
        <v>160</v>
      </c>
      <c r="Z1" s="1103"/>
      <c r="AA1" s="1102" t="s">
        <v>190</v>
      </c>
      <c r="AB1" s="1106"/>
      <c r="AC1" s="1102" t="s">
        <v>72</v>
      </c>
      <c r="AD1" s="1103"/>
      <c r="AE1" s="1094" t="s">
        <v>595</v>
      </c>
      <c r="AF1" s="1095"/>
      <c r="AG1" s="1102" t="s">
        <v>204</v>
      </c>
      <c r="AH1" s="1103"/>
      <c r="AI1" s="1102" t="s">
        <v>70</v>
      </c>
      <c r="AJ1" s="1103"/>
      <c r="AL1" s="633"/>
      <c r="AM1" s="633"/>
    </row>
    <row r="2" spans="1:39" ht="27.75" customHeight="1" thickBot="1" x14ac:dyDescent="0.3">
      <c r="A2" s="124"/>
      <c r="B2" s="125"/>
      <c r="C2" s="120" t="s">
        <v>26</v>
      </c>
      <c r="D2" s="120" t="s">
        <v>27</v>
      </c>
      <c r="E2" s="120" t="s">
        <v>26</v>
      </c>
      <c r="F2" s="120" t="s">
        <v>27</v>
      </c>
      <c r="G2" s="120" t="s">
        <v>26</v>
      </c>
      <c r="H2" s="120" t="s">
        <v>27</v>
      </c>
      <c r="I2" s="120" t="s">
        <v>26</v>
      </c>
      <c r="J2" s="120" t="s">
        <v>27</v>
      </c>
      <c r="K2" s="120" t="s">
        <v>26</v>
      </c>
      <c r="L2" s="120" t="s">
        <v>27</v>
      </c>
      <c r="M2" s="120" t="s">
        <v>26</v>
      </c>
      <c r="N2" s="120" t="s">
        <v>27</v>
      </c>
      <c r="O2" s="120" t="s">
        <v>26</v>
      </c>
      <c r="P2" s="120" t="s">
        <v>27</v>
      </c>
      <c r="Q2" s="120" t="s">
        <v>26</v>
      </c>
      <c r="R2" s="120" t="s">
        <v>27</v>
      </c>
      <c r="S2" s="120" t="s">
        <v>26</v>
      </c>
      <c r="T2" s="120" t="s">
        <v>27</v>
      </c>
      <c r="U2" s="120" t="s">
        <v>26</v>
      </c>
      <c r="V2" s="120" t="s">
        <v>27</v>
      </c>
      <c r="W2" s="120" t="s">
        <v>26</v>
      </c>
      <c r="X2" s="120" t="s">
        <v>27</v>
      </c>
      <c r="Y2" s="120" t="s">
        <v>26</v>
      </c>
      <c r="Z2" s="120" t="s">
        <v>27</v>
      </c>
      <c r="AA2" s="120" t="s">
        <v>26</v>
      </c>
      <c r="AB2" s="289" t="s">
        <v>27</v>
      </c>
      <c r="AC2" s="741" t="s">
        <v>26</v>
      </c>
      <c r="AD2" s="741" t="s">
        <v>27</v>
      </c>
      <c r="AE2" s="740" t="s">
        <v>26</v>
      </c>
      <c r="AF2" s="557" t="s">
        <v>27</v>
      </c>
      <c r="AG2" s="120" t="s">
        <v>26</v>
      </c>
      <c r="AH2" s="120" t="s">
        <v>27</v>
      </c>
      <c r="AI2" s="322" t="s">
        <v>216</v>
      </c>
      <c r="AJ2" s="321" t="s">
        <v>215</v>
      </c>
      <c r="AK2" s="477" t="s">
        <v>217</v>
      </c>
      <c r="AL2" s="321" t="s">
        <v>520</v>
      </c>
      <c r="AM2" s="321" t="s">
        <v>521</v>
      </c>
    </row>
    <row r="3" spans="1:39" ht="20.25" customHeight="1" x14ac:dyDescent="0.25">
      <c r="A3" s="1123" t="s">
        <v>80</v>
      </c>
      <c r="B3" s="233" t="s">
        <v>2</v>
      </c>
      <c r="C3" s="234">
        <f>'Breast cancer'!AP3</f>
        <v>0</v>
      </c>
      <c r="D3" s="235">
        <f>'Breast cancer'!AP11</f>
        <v>0</v>
      </c>
      <c r="E3" s="234">
        <f>'Colon Cancer'!AP3</f>
        <v>0</v>
      </c>
      <c r="F3" s="235">
        <f>'Colon Cancer'!AP11</f>
        <v>0</v>
      </c>
      <c r="G3" s="234">
        <f>Stroke_air!AQ3</f>
        <v>0</v>
      </c>
      <c r="H3" s="235">
        <f>Stroke_air!AQ11</f>
        <v>0</v>
      </c>
      <c r="I3" s="234">
        <f>CVD_air!AQ3</f>
        <v>0</v>
      </c>
      <c r="J3" s="235">
        <f>CVD_air!AQ11</f>
        <v>0</v>
      </c>
      <c r="K3" s="234">
        <f>Depression!AP3</f>
        <v>0</v>
      </c>
      <c r="L3" s="235">
        <f>Depression!AP11</f>
        <v>0</v>
      </c>
      <c r="M3" s="234">
        <f>Dementia!AQ3</f>
        <v>0</v>
      </c>
      <c r="N3" s="235">
        <f>Dementia!AQ11</f>
        <v>0</v>
      </c>
      <c r="O3" s="234">
        <f>Diabetes!AP3</f>
        <v>0</v>
      </c>
      <c r="P3" s="235">
        <f>Diabetes!AP11</f>
        <v>0</v>
      </c>
      <c r="Q3" s="891">
        <f>HHD_air!AQ3</f>
        <v>0</v>
      </c>
      <c r="R3" s="892">
        <f>HHD_air!AQ11</f>
        <v>0</v>
      </c>
      <c r="S3" s="899"/>
      <c r="T3" s="900"/>
      <c r="U3" s="899">
        <f>-'Acute Resp Infect'!H3</f>
        <v>0</v>
      </c>
      <c r="V3" s="900">
        <f>-'Acute Resp Infect'!H11</f>
        <v>0</v>
      </c>
      <c r="W3" s="899"/>
      <c r="X3" s="900"/>
      <c r="Y3" s="899"/>
      <c r="Z3" s="900"/>
      <c r="AA3" s="899" t="e">
        <f>-(1-'Injuries results'!$E$38)*GBDUS!O198</f>
        <v>#REF!</v>
      </c>
      <c r="AB3" s="914" t="e">
        <f>-(1-'Injuries results'!$E$38)*GBDUS!O206</f>
        <v>#REF!</v>
      </c>
      <c r="AC3" s="899" t="e">
        <f>C3+E3+I3+K3+M3++O3+S3+U3+W3+Y3+AA3+G3+Q3</f>
        <v>#REF!</v>
      </c>
      <c r="AD3" s="900" t="e">
        <f>D3+F3+J3+L3+N3++P3+T3+V3+X3+Z3+AB3+H3+R3</f>
        <v>#REF!</v>
      </c>
      <c r="AE3" s="899">
        <f>C3+E3+I3+K3+M3++O3+S3+U3+W3+Y3+G3+Q3</f>
        <v>0</v>
      </c>
      <c r="AF3" s="900">
        <f>D3+F3+J3+L3+N3++P3+T3+V3+X3+Z3+H3+R3</f>
        <v>0</v>
      </c>
      <c r="AG3" s="899">
        <f>'All-cause mort'!AQ3</f>
        <v>0</v>
      </c>
      <c r="AH3" s="900">
        <f>'All-cause mort'!AQ11</f>
        <v>0</v>
      </c>
      <c r="AL3" s="633"/>
      <c r="AM3" s="633"/>
    </row>
    <row r="4" spans="1:39" ht="15.75" customHeight="1" x14ac:dyDescent="0.25">
      <c r="A4" s="1121"/>
      <c r="B4" s="34" t="s">
        <v>3</v>
      </c>
      <c r="C4" s="118">
        <f>'Breast cancer'!AP4</f>
        <v>0</v>
      </c>
      <c r="D4" s="119">
        <f>'Breast cancer'!AP12</f>
        <v>0</v>
      </c>
      <c r="E4" s="118">
        <f>'Colon Cancer'!AP4</f>
        <v>0</v>
      </c>
      <c r="F4" s="119">
        <f>'Colon Cancer'!AP12</f>
        <v>0</v>
      </c>
      <c r="G4" s="118">
        <f>Stroke_air!AQ4</f>
        <v>0</v>
      </c>
      <c r="H4" s="119">
        <f>Stroke_air!AQ12</f>
        <v>0</v>
      </c>
      <c r="I4" s="118">
        <f>CVD_air!AQ4</f>
        <v>0</v>
      </c>
      <c r="J4" s="119">
        <f>CVD_air!AQ12</f>
        <v>0</v>
      </c>
      <c r="K4" s="118">
        <f>Depression!AP4</f>
        <v>0</v>
      </c>
      <c r="L4" s="119">
        <f>Depression!AP12</f>
        <v>0</v>
      </c>
      <c r="M4" s="118">
        <f>Dementia!AQ4</f>
        <v>0</v>
      </c>
      <c r="N4" s="119">
        <f>Dementia!AQ12</f>
        <v>0</v>
      </c>
      <c r="O4" s="118">
        <f>Diabetes!AP4</f>
        <v>0</v>
      </c>
      <c r="P4" s="119">
        <f>Diabetes!AP12</f>
        <v>0</v>
      </c>
      <c r="Q4" s="893">
        <f>HHD_air!AQ4</f>
        <v>0</v>
      </c>
      <c r="R4" s="894">
        <f>HHD_air!AQ12</f>
        <v>0</v>
      </c>
      <c r="S4" s="901"/>
      <c r="T4" s="902"/>
      <c r="U4" s="901"/>
      <c r="V4" s="902"/>
      <c r="W4" s="901"/>
      <c r="X4" s="902"/>
      <c r="Y4" s="901"/>
      <c r="Z4" s="907"/>
      <c r="AA4" s="901" t="e">
        <f>-(1-'Injuries results'!$E$38)*GBDUS!O199</f>
        <v>#REF!</v>
      </c>
      <c r="AB4" s="907" t="e">
        <f>-(1-'Injuries results'!$E$38)*GBDUS!O207</f>
        <v>#REF!</v>
      </c>
      <c r="AC4" s="901" t="e">
        <f t="shared" ref="AC4:AC10" si="0">C4+E4+I4+K4+M4++O4+S4+U4+W4+Y4+AA4+G4+Q4</f>
        <v>#REF!</v>
      </c>
      <c r="AD4" s="902" t="e">
        <f t="shared" ref="AD4:AD10" si="1">D4+F4+J4+L4+N4++P4+T4+V4+X4+Z4+AB4+H4+R4</f>
        <v>#REF!</v>
      </c>
      <c r="AE4" s="901">
        <f t="shared" ref="AE4:AE10" si="2">C4+E4+I4+K4+M4++O4+S4+U4+W4+Y4+G4+Q4</f>
        <v>0</v>
      </c>
      <c r="AF4" s="902">
        <f t="shared" ref="AF4:AF10" si="3">D4+F4+J4+L4+N4++P4+T4+V4+X4+Z4+H4+R4</f>
        <v>0</v>
      </c>
      <c r="AG4" s="901">
        <f>'All-cause mort'!AQ4</f>
        <v>0</v>
      </c>
      <c r="AH4" s="902">
        <f>'All-cause mort'!AQ12</f>
        <v>0</v>
      </c>
      <c r="AL4" s="633"/>
      <c r="AM4" s="633"/>
    </row>
    <row r="5" spans="1:39" ht="12.75" customHeight="1" x14ac:dyDescent="0.25">
      <c r="A5" s="1121"/>
      <c r="B5" s="34" t="s">
        <v>4</v>
      </c>
      <c r="C5" s="118">
        <f>'Breast cancer'!AP5</f>
        <v>0</v>
      </c>
      <c r="D5" s="119">
        <f>'Breast cancer'!AP13</f>
        <v>0</v>
      </c>
      <c r="E5" s="118">
        <f>'Colon Cancer'!AP5</f>
        <v>-8.2432975937309441E-6</v>
      </c>
      <c r="F5" s="119">
        <f>'Colon Cancer'!AP13</f>
        <v>0</v>
      </c>
      <c r="G5" s="118">
        <f>Stroke_air!AQ5</f>
        <v>-1.6885353234211066E-4</v>
      </c>
      <c r="H5" s="119">
        <f>Stroke_air!AQ13</f>
        <v>-5.7283799158644927E-5</v>
      </c>
      <c r="I5" s="118">
        <f>CVD_air!AQ5</f>
        <v>-3.135851314924903E-4</v>
      </c>
      <c r="J5" s="119">
        <f>CVD_air!AQ13</f>
        <v>-8.5925698737967539E-5</v>
      </c>
      <c r="K5" s="118">
        <f>Depression!AP5</f>
        <v>0</v>
      </c>
      <c r="L5" s="119">
        <f>Depression!AP13</f>
        <v>0</v>
      </c>
      <c r="M5" s="118">
        <f>Dementia!AQ5</f>
        <v>0</v>
      </c>
      <c r="N5" s="119">
        <f>Dementia!AQ13</f>
        <v>0</v>
      </c>
      <c r="O5" s="118">
        <f>Diabetes!AP5</f>
        <v>-2.2463959327192698E-4</v>
      </c>
      <c r="P5" s="119">
        <f>Diabetes!AP13</f>
        <v>-2.1327972849002555E-4</v>
      </c>
      <c r="Q5" s="893">
        <f>HHD_air!AQ5</f>
        <v>-2.4121933191730035E-5</v>
      </c>
      <c r="R5" s="894">
        <f>HHD_air!AQ13</f>
        <v>0</v>
      </c>
      <c r="S5" s="901">
        <f>-'Lung Cancer'!H5</f>
        <v>0</v>
      </c>
      <c r="T5" s="902">
        <f>-'Lung Cancer'!H13</f>
        <v>0</v>
      </c>
      <c r="U5" s="901"/>
      <c r="V5" s="902"/>
      <c r="W5" s="901">
        <f>-'Inflammatory HD'!H5</f>
        <v>0</v>
      </c>
      <c r="X5" s="902">
        <f>-'Inflammatory HD'!H13</f>
        <v>0</v>
      </c>
      <c r="Y5" s="901">
        <f>-'Resp diseases'!H5</f>
        <v>0</v>
      </c>
      <c r="Z5" s="907">
        <f>-'Resp diseases'!H13</f>
        <v>0</v>
      </c>
      <c r="AA5" s="901" t="e">
        <f>-(1-'Injuries results'!$E$38)*GBDUS!O200</f>
        <v>#REF!</v>
      </c>
      <c r="AB5" s="907" t="e">
        <f>-(1-'Injuries results'!$E$38)*GBDUS!O208</f>
        <v>#REF!</v>
      </c>
      <c r="AC5" s="901" t="e">
        <f t="shared" si="0"/>
        <v>#REF!</v>
      </c>
      <c r="AD5" s="902" t="e">
        <f t="shared" si="1"/>
        <v>#REF!</v>
      </c>
      <c r="AE5" s="901">
        <f t="shared" si="2"/>
        <v>-7.3944348789198886E-4</v>
      </c>
      <c r="AF5" s="902">
        <f t="shared" si="3"/>
        <v>-3.5648922638663804E-4</v>
      </c>
      <c r="AG5" s="901">
        <f>'All-cause mort'!AQ5</f>
        <v>-4.1604509224627273E-3</v>
      </c>
      <c r="AH5" s="902">
        <f>'All-cause mort'!AQ13</f>
        <v>-2.3824854267843545E-3</v>
      </c>
      <c r="AL5" s="633"/>
      <c r="AM5" s="633"/>
    </row>
    <row r="6" spans="1:39" ht="13.15" customHeight="1" x14ac:dyDescent="0.25">
      <c r="A6" s="1121"/>
      <c r="B6" s="34" t="s">
        <v>5</v>
      </c>
      <c r="C6" s="118">
        <f>'Breast cancer'!AP6</f>
        <v>0</v>
      </c>
      <c r="D6" s="119">
        <f>'Breast cancer'!AP14</f>
        <v>-1.432716293937656E-3</v>
      </c>
      <c r="E6" s="118">
        <f>'Colon Cancer'!AP6</f>
        <v>-1.4096214474680104E-4</v>
      </c>
      <c r="F6" s="119">
        <f>'Colon Cancer'!AP14</f>
        <v>-1.615721493220169E-5</v>
      </c>
      <c r="G6" s="118">
        <f>Stroke_air!AQ6</f>
        <v>-7.3689425244377275E-3</v>
      </c>
      <c r="H6" s="119">
        <f>Stroke_air!AQ14</f>
        <v>-7.1646920087346348E-3</v>
      </c>
      <c r="I6" s="118">
        <f>CVD_air!AQ6</f>
        <v>-2.1162976092034602E-2</v>
      </c>
      <c r="J6" s="119">
        <f>CVD_air!AQ14</f>
        <v>-4.934766914968464E-3</v>
      </c>
      <c r="K6" s="118">
        <f>Depression!AP6</f>
        <v>-3.357839357282553E-6</v>
      </c>
      <c r="L6" s="119">
        <f>Depression!AP14</f>
        <v>0</v>
      </c>
      <c r="M6" s="118">
        <f>Dementia!AQ6</f>
        <v>-8.6957687474149251E-6</v>
      </c>
      <c r="N6" s="119">
        <f>Dementia!AQ14</f>
        <v>-1.8926755431127295E-5</v>
      </c>
      <c r="O6" s="118">
        <f>Diabetes!AP6</f>
        <v>-9.4724630089035311E-3</v>
      </c>
      <c r="P6" s="119">
        <f>Diabetes!AP14</f>
        <v>-5.5549875663452406E-3</v>
      </c>
      <c r="Q6" s="893">
        <f>HHD_air!AQ6</f>
        <v>-1.2614801020770445E-4</v>
      </c>
      <c r="R6" s="894">
        <f>HHD_air!AQ14</f>
        <v>-1.5093580646575961E-4</v>
      </c>
      <c r="S6" s="901">
        <f>-'Lung Cancer'!H6</f>
        <v>0</v>
      </c>
      <c r="T6" s="902">
        <f>-'Lung Cancer'!H14</f>
        <v>0</v>
      </c>
      <c r="U6" s="901"/>
      <c r="V6" s="902"/>
      <c r="W6" s="901">
        <f>-'Inflammatory HD'!H6</f>
        <v>0</v>
      </c>
      <c r="X6" s="902">
        <f>-'Inflammatory HD'!H14</f>
        <v>0</v>
      </c>
      <c r="Y6" s="901">
        <f>-'Resp diseases'!H6</f>
        <v>0</v>
      </c>
      <c r="Z6" s="907">
        <f>-'Resp diseases'!H14</f>
        <v>0</v>
      </c>
      <c r="AA6" s="901" t="e">
        <f>-(1-'Injuries results'!$E$38)*GBDUS!O201</f>
        <v>#REF!</v>
      </c>
      <c r="AB6" s="907" t="e">
        <f>-(1-'Injuries results'!$E$38)*GBDUS!O209</f>
        <v>#REF!</v>
      </c>
      <c r="AC6" s="901" t="e">
        <f t="shared" si="0"/>
        <v>#REF!</v>
      </c>
      <c r="AD6" s="902" t="e">
        <f t="shared" si="1"/>
        <v>#REF!</v>
      </c>
      <c r="AE6" s="901">
        <f t="shared" si="2"/>
        <v>-3.8283545388435064E-2</v>
      </c>
      <c r="AF6" s="902">
        <f t="shared" si="3"/>
        <v>-1.9273182560815085E-2</v>
      </c>
      <c r="AG6" s="901">
        <f>'All-cause mort'!AQ6</f>
        <v>-4.2441752371604191E-3</v>
      </c>
      <c r="AH6" s="902">
        <f>'All-cause mort'!AQ14</f>
        <v>-3.3859046431647527E-3</v>
      </c>
      <c r="AL6" s="633"/>
      <c r="AM6" s="633"/>
    </row>
    <row r="7" spans="1:39" ht="13.15" customHeight="1" x14ac:dyDescent="0.25">
      <c r="A7" s="1121"/>
      <c r="B7" s="34" t="s">
        <v>6</v>
      </c>
      <c r="C7" s="118">
        <f>'Breast cancer'!AP7</f>
        <v>0</v>
      </c>
      <c r="D7" s="119">
        <f>'Breast cancer'!AP15</f>
        <v>-1.4576416976745804E-3</v>
      </c>
      <c r="E7" s="118">
        <f>'Colon Cancer'!AP7</f>
        <v>-2.4774181179938563E-4</v>
      </c>
      <c r="F7" s="119">
        <f>'Colon Cancer'!AP15</f>
        <v>-1.1255534052816802E-4</v>
      </c>
      <c r="G7" s="118">
        <f>Stroke_air!AQ7</f>
        <v>-8.7052343017315036E-3</v>
      </c>
      <c r="H7" s="119">
        <f>Stroke_air!AQ15</f>
        <v>-4.5877695276099455E-3</v>
      </c>
      <c r="I7" s="118">
        <f>CVD_air!AQ7</f>
        <v>-3.5688248373519138E-2</v>
      </c>
      <c r="J7" s="119">
        <f>CVD_air!AQ15</f>
        <v>-7.0620721941861177E-3</v>
      </c>
      <c r="K7" s="118">
        <f>Depression!AP7</f>
        <v>-2.5263891581057008E-5</v>
      </c>
      <c r="L7" s="119">
        <f>Depression!AP15</f>
        <v>-2.7246238655947194E-5</v>
      </c>
      <c r="M7" s="118">
        <f>Dementia!AQ7</f>
        <v>-2.4879016717144686E-4</v>
      </c>
      <c r="N7" s="119">
        <f>Dementia!AQ15</f>
        <v>-3.0244480282169868E-4</v>
      </c>
      <c r="O7" s="118">
        <f>Diabetes!AP7</f>
        <v>-1.2161769740116887E-2</v>
      </c>
      <c r="P7" s="119">
        <f>Diabetes!AP15</f>
        <v>-5.3703569875500103E-3</v>
      </c>
      <c r="Q7" s="893">
        <f>HHD_air!AQ7</f>
        <v>-1.349150703589382E-3</v>
      </c>
      <c r="R7" s="894">
        <f>HHD_air!AQ15</f>
        <v>-2.8351384721185026E-4</v>
      </c>
      <c r="S7" s="901">
        <f>-'Lung Cancer'!H7</f>
        <v>0</v>
      </c>
      <c r="T7" s="902">
        <f>-'Lung Cancer'!H15</f>
        <v>0</v>
      </c>
      <c r="U7" s="901"/>
      <c r="V7" s="902"/>
      <c r="W7" s="901">
        <f>-'Inflammatory HD'!H7</f>
        <v>0</v>
      </c>
      <c r="X7" s="902">
        <f>-'Inflammatory HD'!H15</f>
        <v>0</v>
      </c>
      <c r="Y7" s="901">
        <f>-'Resp diseases'!H7</f>
        <v>0</v>
      </c>
      <c r="Z7" s="907">
        <f>-'Resp diseases'!H15</f>
        <v>0</v>
      </c>
      <c r="AA7" s="901" t="e">
        <f>-(1-'Injuries results'!$E$38)*GBDUS!O202</f>
        <v>#REF!</v>
      </c>
      <c r="AB7" s="907" t="e">
        <f>-(1-'Injuries results'!$E$38)*GBDUS!O210</f>
        <v>#REF!</v>
      </c>
      <c r="AC7" s="901" t="e">
        <f t="shared" si="0"/>
        <v>#REF!</v>
      </c>
      <c r="AD7" s="902" t="e">
        <f t="shared" si="1"/>
        <v>#REF!</v>
      </c>
      <c r="AE7" s="901">
        <f t="shared" si="2"/>
        <v>-5.84261989895088E-2</v>
      </c>
      <c r="AF7" s="902">
        <f t="shared" si="3"/>
        <v>-1.920360063623832E-2</v>
      </c>
      <c r="AG7" s="901">
        <f>'All-cause mort'!AQ7</f>
        <v>-2.2424944494703558E-2</v>
      </c>
      <c r="AH7" s="902">
        <f>'All-cause mort'!AQ15</f>
        <v>-1.5511942644345744E-2</v>
      </c>
      <c r="AL7" s="633"/>
      <c r="AM7" s="633"/>
    </row>
    <row r="8" spans="1:39" ht="13.15" customHeight="1" x14ac:dyDescent="0.25">
      <c r="A8" s="1121"/>
      <c r="B8" s="34" t="s">
        <v>7</v>
      </c>
      <c r="C8" s="118">
        <f>'Breast cancer'!AP8</f>
        <v>0</v>
      </c>
      <c r="D8" s="119">
        <f>'Breast cancer'!AP16</f>
        <v>-3.0101895667159831E-3</v>
      </c>
      <c r="E8" s="118">
        <f>'Colon Cancer'!AP8</f>
        <v>-5.2542919002122532E-4</v>
      </c>
      <c r="F8" s="119">
        <f>'Colon Cancer'!AP16</f>
        <v>-4.0709694238514824E-4</v>
      </c>
      <c r="G8" s="118">
        <f>Stroke_air!AQ8</f>
        <v>-1.373887119861774E-2</v>
      </c>
      <c r="H8" s="119">
        <f>Stroke_air!AQ16</f>
        <v>-7.460393160820325E-3</v>
      </c>
      <c r="I8" s="118">
        <f>CVD_air!AQ8</f>
        <v>-5.1912965653752335E-2</v>
      </c>
      <c r="J8" s="119">
        <f>CVD_air!AQ16</f>
        <v>-1.4803307446846568E-2</v>
      </c>
      <c r="K8" s="118">
        <f>Depression!AP8</f>
        <v>-1.5132941833804147E-5</v>
      </c>
      <c r="L8" s="119">
        <f>Depression!AP16</f>
        <v>-8.9375389490537198E-6</v>
      </c>
      <c r="M8" s="118">
        <f>Dementia!AQ8</f>
        <v>-1.4968785493524907E-3</v>
      </c>
      <c r="N8" s="119">
        <f>Dementia!AQ16</f>
        <v>-1.8914560144173802E-3</v>
      </c>
      <c r="O8" s="118">
        <f>Diabetes!AP8</f>
        <v>-1.8251891160041535E-2</v>
      </c>
      <c r="P8" s="119">
        <f>Diabetes!AP16</f>
        <v>-9.7171989193589499E-3</v>
      </c>
      <c r="Q8" s="893">
        <f>HHD_air!AQ8</f>
        <v>-1.8363316239247297E-3</v>
      </c>
      <c r="R8" s="894">
        <f>HHD_air!AQ16</f>
        <v>-4.0029208866054116E-4</v>
      </c>
      <c r="S8" s="901">
        <f>-'Lung Cancer'!H8</f>
        <v>0</v>
      </c>
      <c r="T8" s="902">
        <f>-'Lung Cancer'!H16</f>
        <v>0</v>
      </c>
      <c r="U8" s="901"/>
      <c r="V8" s="902"/>
      <c r="W8" s="901">
        <f>-'Inflammatory HD'!H8</f>
        <v>0</v>
      </c>
      <c r="X8" s="902">
        <f>-'Inflammatory HD'!H16</f>
        <v>0</v>
      </c>
      <c r="Y8" s="901">
        <f>-'Resp diseases'!H8</f>
        <v>0</v>
      </c>
      <c r="Z8" s="907">
        <f>-'Resp diseases'!H16</f>
        <v>0</v>
      </c>
      <c r="AA8" s="901" t="e">
        <f>-(1-'Injuries results'!$E$38)*GBDUS!O203</f>
        <v>#REF!</v>
      </c>
      <c r="AB8" s="907" t="e">
        <f>-(1-'Injuries results'!$E$38)*GBDUS!O211</f>
        <v>#REF!</v>
      </c>
      <c r="AC8" s="901" t="e">
        <f t="shared" si="0"/>
        <v>#REF!</v>
      </c>
      <c r="AD8" s="902" t="e">
        <f t="shared" si="1"/>
        <v>#REF!</v>
      </c>
      <c r="AE8" s="901">
        <f t="shared" si="2"/>
        <v>-8.7777500317543874E-2</v>
      </c>
      <c r="AF8" s="902">
        <f t="shared" si="3"/>
        <v>-3.7698871678153952E-2</v>
      </c>
      <c r="AG8" s="901">
        <f>'All-cause mort'!AQ8</f>
        <v>-4.1790915191823874E-2</v>
      </c>
      <c r="AH8" s="902">
        <f>'All-cause mort'!AQ16</f>
        <v>-4.3783540340991856E-2</v>
      </c>
      <c r="AL8" s="633"/>
      <c r="AM8" s="633"/>
    </row>
    <row r="9" spans="1:39" ht="13.15" customHeight="1" x14ac:dyDescent="0.25">
      <c r="A9" s="1121"/>
      <c r="B9" s="34" t="s">
        <v>8</v>
      </c>
      <c r="C9" s="118">
        <f>'Breast cancer'!AP9</f>
        <v>0</v>
      </c>
      <c r="D9" s="119">
        <f>'Breast cancer'!AP17</f>
        <v>-4.1598453888865364E-3</v>
      </c>
      <c r="E9" s="118">
        <f>'Colon Cancer'!AP9</f>
        <v>-2.1255132330287099E-3</v>
      </c>
      <c r="F9" s="119">
        <f>'Colon Cancer'!AP17</f>
        <v>-8.4279603380561612E-4</v>
      </c>
      <c r="G9" s="118">
        <f>Stroke_air!AQ9</f>
        <v>-2.7081963488254465E-2</v>
      </c>
      <c r="H9" s="119">
        <f>Stroke_air!AQ17</f>
        <v>-2.0165799066647228E-2</v>
      </c>
      <c r="I9" s="118">
        <f>CVD_air!AQ9</f>
        <v>-7.0217203089362135E-2</v>
      </c>
      <c r="J9" s="119">
        <f>CVD_air!AQ17</f>
        <v>-2.5253360917479498E-2</v>
      </c>
      <c r="K9" s="118">
        <f>Depression!AP9</f>
        <v>-1.5586168400575934E-4</v>
      </c>
      <c r="L9" s="119">
        <f>Depression!AP17</f>
        <v>-1.0888642444672808E-4</v>
      </c>
      <c r="M9" s="118">
        <f>Dementia!AQ9</f>
        <v>-1.3240414991713703E-2</v>
      </c>
      <c r="N9" s="119">
        <f>Dementia!AQ17</f>
        <v>-1.5696379970420768E-2</v>
      </c>
      <c r="O9" s="118">
        <f>Diabetes!AP9</f>
        <v>-2.3195971785782893E-2</v>
      </c>
      <c r="P9" s="119">
        <f>Diabetes!AP17</f>
        <v>-1.1538382985791872E-2</v>
      </c>
      <c r="Q9" s="893">
        <f>HHD_air!AQ9</f>
        <v>-2.3221446841672801E-3</v>
      </c>
      <c r="R9" s="894">
        <f>HHD_air!AQ17</f>
        <v>-1.4791084310168019E-3</v>
      </c>
      <c r="S9" s="901">
        <f>-'Lung Cancer'!H9</f>
        <v>0</v>
      </c>
      <c r="T9" s="902">
        <f>-'Lung Cancer'!H17</f>
        <v>0</v>
      </c>
      <c r="U9" s="901"/>
      <c r="V9" s="902"/>
      <c r="W9" s="901">
        <f>-'Inflammatory HD'!H9</f>
        <v>0</v>
      </c>
      <c r="X9" s="902">
        <f>-'Inflammatory HD'!H17</f>
        <v>0</v>
      </c>
      <c r="Y9" s="901">
        <f>-'Resp diseases'!H9</f>
        <v>0</v>
      </c>
      <c r="Z9" s="907">
        <f>-'Resp diseases'!H17</f>
        <v>0</v>
      </c>
      <c r="AA9" s="901" t="e">
        <f>-(1-'Injuries results'!$E$38)*GBDUS!O204</f>
        <v>#REF!</v>
      </c>
      <c r="AB9" s="907" t="e">
        <f>-(1-'Injuries results'!$E$38)*GBDUS!O212</f>
        <v>#REF!</v>
      </c>
      <c r="AC9" s="901" t="e">
        <f t="shared" si="0"/>
        <v>#REF!</v>
      </c>
      <c r="AD9" s="902" t="e">
        <f t="shared" si="1"/>
        <v>#REF!</v>
      </c>
      <c r="AE9" s="901">
        <f t="shared" si="2"/>
        <v>-0.13833907295631495</v>
      </c>
      <c r="AF9" s="902">
        <f t="shared" si="3"/>
        <v>-7.9244559218495034E-2</v>
      </c>
      <c r="AG9" s="901">
        <f>'All-cause mort'!AQ9</f>
        <v>-0.14562221763226035</v>
      </c>
      <c r="AH9" s="902">
        <f>'All-cause mort'!AQ17</f>
        <v>-0.13604044329517317</v>
      </c>
      <c r="AL9" s="633"/>
      <c r="AM9" s="633"/>
    </row>
    <row r="10" spans="1:39" ht="13.15" customHeight="1" x14ac:dyDescent="0.25">
      <c r="A10" s="1121"/>
      <c r="B10" s="35" t="s">
        <v>9</v>
      </c>
      <c r="C10" s="229">
        <f>'Breast cancer'!AP10</f>
        <v>0</v>
      </c>
      <c r="D10" s="230">
        <f>'Breast cancer'!AP18</f>
        <v>-3.4492313797858526E-3</v>
      </c>
      <c r="E10" s="229">
        <f>'Colon Cancer'!AP10</f>
        <v>-2.4565438997666139E-3</v>
      </c>
      <c r="F10" s="230">
        <f>'Colon Cancer'!AP18</f>
        <v>-9.8909384383120968E-4</v>
      </c>
      <c r="G10" s="229">
        <f>Stroke_air!AQ10</f>
        <v>-6.7874318782497223E-2</v>
      </c>
      <c r="H10" s="230">
        <f>Stroke_air!AQ18</f>
        <v>-4.1974717007224882E-2</v>
      </c>
      <c r="I10" s="229">
        <f>CVD_air!AQ10</f>
        <v>-0.1461937302235034</v>
      </c>
      <c r="J10" s="230">
        <f>CVD_air!AQ18</f>
        <v>-4.7454870106319047E-2</v>
      </c>
      <c r="K10" s="229">
        <f>Depression!AP10</f>
        <v>-2.1482293069985977E-4</v>
      </c>
      <c r="L10" s="230">
        <f>Depression!AP18</f>
        <v>-3.8570739311878871E-4</v>
      </c>
      <c r="M10" s="229">
        <f>Dementia!AQ10</f>
        <v>-7.8812513012504748E-2</v>
      </c>
      <c r="N10" s="230">
        <f>Dementia!AQ18</f>
        <v>-0.1175874923950524</v>
      </c>
      <c r="O10" s="229">
        <f>Diabetes!AP10</f>
        <v>-2.9529919676714839E-2</v>
      </c>
      <c r="P10" s="230">
        <f>Diabetes!AP18</f>
        <v>-1.3272727637127571E-2</v>
      </c>
      <c r="Q10" s="895">
        <f>HHD_air!AQ10</f>
        <v>-2.9563660049889105E-3</v>
      </c>
      <c r="R10" s="896">
        <f>HHD_air!AQ18</f>
        <v>-2.1988374296502203E-3</v>
      </c>
      <c r="S10" s="903">
        <f>-'Lung Cancer'!H10</f>
        <v>0</v>
      </c>
      <c r="T10" s="904">
        <f>-'Lung Cancer'!H18</f>
        <v>0</v>
      </c>
      <c r="U10" s="903"/>
      <c r="V10" s="904"/>
      <c r="W10" s="903">
        <f>-'Inflammatory HD'!H10</f>
        <v>0</v>
      </c>
      <c r="X10" s="904">
        <f>-'Inflammatory HD'!H18</f>
        <v>0</v>
      </c>
      <c r="Y10" s="903">
        <f>-'Resp diseases'!H10</f>
        <v>0</v>
      </c>
      <c r="Z10" s="904">
        <f>-'Resp diseases'!H18</f>
        <v>0</v>
      </c>
      <c r="AA10" s="901" t="e">
        <f>-(1-'Injuries results'!$E$38)*GBDUS!O205</f>
        <v>#REF!</v>
      </c>
      <c r="AB10" s="907" t="e">
        <f>-(1-'Injuries results'!$E$38)*GBDUS!O213</f>
        <v>#REF!</v>
      </c>
      <c r="AC10" s="903" t="e">
        <f t="shared" si="0"/>
        <v>#REF!</v>
      </c>
      <c r="AD10" s="915" t="e">
        <f t="shared" si="1"/>
        <v>#REF!</v>
      </c>
      <c r="AE10" s="903">
        <f t="shared" si="2"/>
        <v>-0.32803821453067561</v>
      </c>
      <c r="AF10" s="915">
        <f t="shared" si="3"/>
        <v>-0.22731267719210996</v>
      </c>
      <c r="AG10" s="903">
        <f>'All-cause mort'!AQ10</f>
        <v>-0.34282302965874489</v>
      </c>
      <c r="AH10" s="904">
        <f>'All-cause mort'!AQ18</f>
        <v>-0.51541674717784858</v>
      </c>
      <c r="AL10" s="633"/>
      <c r="AM10" s="633"/>
    </row>
    <row r="11" spans="1:39" ht="13.15" customHeight="1" x14ac:dyDescent="0.25">
      <c r="A11" s="1121"/>
      <c r="B11" s="1126" t="s">
        <v>74</v>
      </c>
      <c r="C11" s="231">
        <f>SUM(C5:C10)</f>
        <v>0</v>
      </c>
      <c r="D11" s="746">
        <f>SUM(D5:D10)</f>
        <v>-1.3509624327000608E-2</v>
      </c>
      <c r="E11" s="747">
        <f t="shared" ref="E11:R11" si="4">SUM(E5:E10)</f>
        <v>-5.5044335769564665E-3</v>
      </c>
      <c r="F11" s="746">
        <f t="shared" si="4"/>
        <v>-2.367699375482344E-3</v>
      </c>
      <c r="G11" s="746">
        <f>SUM(G3:G10)</f>
        <v>-0.12493818382788077</v>
      </c>
      <c r="H11" s="746">
        <f>SUM(H3:H10)</f>
        <v>-8.1410654570195667E-2</v>
      </c>
      <c r="I11" s="747">
        <f t="shared" si="4"/>
        <v>-0.32548870856366408</v>
      </c>
      <c r="J11" s="746">
        <f t="shared" si="4"/>
        <v>-9.959430327853766E-2</v>
      </c>
      <c r="K11" s="747">
        <f t="shared" si="4"/>
        <v>-4.1443928747776279E-4</v>
      </c>
      <c r="L11" s="746">
        <f t="shared" si="4"/>
        <v>-5.3077759517051776E-4</v>
      </c>
      <c r="M11" s="747">
        <f t="shared" si="4"/>
        <v>-9.3807292489489796E-2</v>
      </c>
      <c r="N11" s="746">
        <f t="shared" si="4"/>
        <v>-0.13549669993814337</v>
      </c>
      <c r="O11" s="747">
        <f t="shared" si="4"/>
        <v>-9.2836654964831608E-2</v>
      </c>
      <c r="P11" s="746">
        <f t="shared" si="4"/>
        <v>-4.5666933824663671E-2</v>
      </c>
      <c r="Q11" s="897">
        <f t="shared" si="4"/>
        <v>-8.6142629600697365E-3</v>
      </c>
      <c r="R11" s="898">
        <f t="shared" si="4"/>
        <v>-4.5126876030051732E-3</v>
      </c>
      <c r="S11" s="905">
        <f>SUM(S5:S10)</f>
        <v>0</v>
      </c>
      <c r="T11" s="906">
        <f>SUM(T5:T10)</f>
        <v>0</v>
      </c>
      <c r="U11" s="905">
        <f>SUM(U3:U10)</f>
        <v>0</v>
      </c>
      <c r="V11" s="906">
        <f>SUM(V3:V10)</f>
        <v>0</v>
      </c>
      <c r="W11" s="905">
        <f>SUM(W5:W10)</f>
        <v>0</v>
      </c>
      <c r="X11" s="906">
        <f>SUM(X5:X10)</f>
        <v>0</v>
      </c>
      <c r="Y11" s="905">
        <f>SUM(Y5:Y10)</f>
        <v>0</v>
      </c>
      <c r="Z11" s="906">
        <f>SUM(Z5:Z10)</f>
        <v>0</v>
      </c>
      <c r="AA11" s="908" t="e">
        <f t="shared" ref="AA11:AH11" si="5">SUM(AA3:AA10)</f>
        <v>#REF!</v>
      </c>
      <c r="AB11" s="916" t="e">
        <f t="shared" si="5"/>
        <v>#REF!</v>
      </c>
      <c r="AC11" s="917" t="e">
        <f t="shared" si="5"/>
        <v>#REF!</v>
      </c>
      <c r="AD11" s="918" t="e">
        <f t="shared" si="5"/>
        <v>#REF!</v>
      </c>
      <c r="AE11" s="918">
        <f t="shared" si="5"/>
        <v>-0.65160397567037032</v>
      </c>
      <c r="AF11" s="919">
        <f t="shared" si="5"/>
        <v>-0.38308938051219898</v>
      </c>
      <c r="AG11" s="908">
        <f t="shared" si="5"/>
        <v>-0.5610657331371558</v>
      </c>
      <c r="AH11" s="909">
        <f t="shared" si="5"/>
        <v>-0.71652106352830847</v>
      </c>
      <c r="AI11" s="925" t="e">
        <f>AA11+AB11</f>
        <v>#REF!</v>
      </c>
      <c r="AJ11" s="925" t="e">
        <f>AC11+AD11</f>
        <v>#REF!</v>
      </c>
      <c r="AK11" s="925" t="e">
        <f>AJ11-AI11</f>
        <v>#REF!</v>
      </c>
      <c r="AL11" s="925">
        <f>S11+T11+U11+V11+Y11+Z11+W11+X11</f>
        <v>0</v>
      </c>
      <c r="AM11" s="925">
        <f>C11+D11+E11+F11+G11+H11+I11+J11+K11+L11+M11+N11+O11+P11+Q11+R11</f>
        <v>-1.0346933561825695</v>
      </c>
    </row>
    <row r="12" spans="1:39" ht="13.15" customHeight="1" x14ac:dyDescent="0.25">
      <c r="A12" s="1124"/>
      <c r="B12" s="1127"/>
      <c r="C12" s="1115">
        <f>0-'Breast cancer'!AP20</f>
        <v>1.4414052428884189E-2</v>
      </c>
      <c r="D12" s="1116"/>
      <c r="E12" s="1115">
        <f>0-'Colon Cancer'!AP20</f>
        <v>1.8760195058066961E-2</v>
      </c>
      <c r="F12" s="1116"/>
      <c r="G12" s="1115">
        <f>0-Stroke_air!AQ20</f>
        <v>5.9555478594897161E-2</v>
      </c>
      <c r="H12" s="1116"/>
      <c r="I12" s="1115">
        <f>0-CVD_air!AQ20</f>
        <v>6.3222692328956318E-2</v>
      </c>
      <c r="J12" s="1116"/>
      <c r="K12" s="1115">
        <f>0-Depression!AP20</f>
        <v>2.6843887805398779E-2</v>
      </c>
      <c r="L12" s="1116"/>
      <c r="M12" s="1115">
        <f>0-Dementia!AQ20</f>
        <v>3.7273374422764516E-2</v>
      </c>
      <c r="N12" s="1116"/>
      <c r="O12" s="1115">
        <f>0-Diabetes!AP20</f>
        <v>6.0779985009968229E-2</v>
      </c>
      <c r="P12" s="1116"/>
      <c r="Q12" s="1109">
        <f>0-HHD_air!AQ20</f>
        <v>6.1585428311077516E-2</v>
      </c>
      <c r="R12" s="1110"/>
      <c r="S12" s="1109">
        <f>'Lung Cancer'!L21</f>
        <v>0</v>
      </c>
      <c r="T12" s="1110"/>
      <c r="U12" s="1104">
        <f>'Acute Resp Infect'!H20</f>
        <v>0</v>
      </c>
      <c r="V12" s="1105"/>
      <c r="W12" s="1104">
        <f>'Inflammatory HD'!L21</f>
        <v>0</v>
      </c>
      <c r="X12" s="1105"/>
      <c r="Y12" s="1104">
        <f>'Resp diseases'!L21</f>
        <v>0</v>
      </c>
      <c r="Z12" s="1105"/>
      <c r="AA12" s="1107" t="e">
        <f>(AA11+AB11)/GBDUS!O214</f>
        <v>#REF!</v>
      </c>
      <c r="AB12" s="1108"/>
      <c r="AC12" s="1096" t="e">
        <f>-(AC11+AD11)/GBDUS!O236</f>
        <v>#REF!</v>
      </c>
      <c r="AD12" s="1097"/>
      <c r="AE12" s="1096">
        <f>-(AE11+AF11)/GBDUS!O236</f>
        <v>1.7100569511893492E-2</v>
      </c>
      <c r="AF12" s="1097"/>
      <c r="AG12" s="1104">
        <f>-(AG11+AH11)/GBDUS!O236</f>
        <v>2.1114914571849414E-2</v>
      </c>
      <c r="AH12" s="1105"/>
      <c r="AJ12" s="239"/>
      <c r="AK12" s="239"/>
      <c r="AL12" s="633"/>
      <c r="AM12" s="633"/>
    </row>
    <row r="13" spans="1:39" ht="13.15" customHeight="1" x14ac:dyDescent="0.25">
      <c r="A13" s="1120" t="s">
        <v>78</v>
      </c>
      <c r="B13" s="121" t="s">
        <v>2</v>
      </c>
      <c r="C13" s="118">
        <f>'Breast cancer'!AQ3</f>
        <v>0</v>
      </c>
      <c r="D13" s="119">
        <f>'Breast cancer'!AQ11</f>
        <v>0</v>
      </c>
      <c r="E13" s="118">
        <f>'Colon Cancer'!AQ3</f>
        <v>0</v>
      </c>
      <c r="F13" s="119">
        <f>'Colon Cancer'!AQ11</f>
        <v>0</v>
      </c>
      <c r="G13" s="288">
        <f>Stroke_air!AR3</f>
        <v>0</v>
      </c>
      <c r="H13" s="288">
        <f>Stroke_air!AR11</f>
        <v>0</v>
      </c>
      <c r="I13" s="118">
        <f>CVD_air!AR3</f>
        <v>0</v>
      </c>
      <c r="J13" s="119">
        <f>CVD_air!AR11</f>
        <v>0</v>
      </c>
      <c r="K13" s="118">
        <f>Depression!AQ3</f>
        <v>0</v>
      </c>
      <c r="L13" s="119">
        <f>Depression!AQ11</f>
        <v>0</v>
      </c>
      <c r="M13" s="118">
        <f>Dementia!AR3</f>
        <v>0</v>
      </c>
      <c r="N13" s="119">
        <f>Dementia!AR11</f>
        <v>0</v>
      </c>
      <c r="O13" s="118">
        <f>Diabetes!AQ3</f>
        <v>0</v>
      </c>
      <c r="P13" s="119">
        <f>Diabetes!AQ11</f>
        <v>0</v>
      </c>
      <c r="Q13" s="907">
        <f>HHD_air!AR3</f>
        <v>0</v>
      </c>
      <c r="R13" s="907">
        <f>HHD_air!AR11</f>
        <v>0</v>
      </c>
      <c r="S13" s="901"/>
      <c r="T13" s="902"/>
      <c r="U13" s="901">
        <f>-'Acute Resp Infect'!I3</f>
        <v>0</v>
      </c>
      <c r="V13" s="902">
        <f>-'Acute Resp Infect'!I11</f>
        <v>0</v>
      </c>
      <c r="W13" s="901"/>
      <c r="X13" s="902"/>
      <c r="Y13" s="901"/>
      <c r="Z13" s="907"/>
      <c r="AA13" s="920" t="e">
        <f>-(1-'Injuries results'!$E$38)*GBDUS!P198</f>
        <v>#REF!</v>
      </c>
      <c r="AB13" s="921" t="e">
        <f>-(1-'Injuries results'!$E$38)*GBDUS!P206</f>
        <v>#REF!</v>
      </c>
      <c r="AC13" s="901" t="e">
        <f>C13+E13+I13+K13+M13++O13+S13+U13+W13+Y13+AA13+G13+Q13</f>
        <v>#REF!</v>
      </c>
      <c r="AD13" s="902" t="e">
        <f>D13+F13+J13+L13+N13++P13+T13+V13+X13+Z13+AB13+H13+R13</f>
        <v>#REF!</v>
      </c>
      <c r="AE13" s="901">
        <f>C13+E13+I13+K13+M13++O13+S13+U13+W13+Y13+G13+Q13</f>
        <v>0</v>
      </c>
      <c r="AF13" s="902">
        <f>D13+F13+J13+L13+N13++P13+T13+V13+X13+Z13+H13+R13</f>
        <v>0</v>
      </c>
      <c r="AG13" s="901">
        <f>'All-cause mort'!AR3</f>
        <v>0</v>
      </c>
      <c r="AH13" s="902">
        <f>'All-cause mort'!AR11</f>
        <v>0</v>
      </c>
      <c r="AJ13" s="239"/>
      <c r="AK13" s="239"/>
      <c r="AL13" s="633"/>
      <c r="AM13" s="633"/>
    </row>
    <row r="14" spans="1:39" ht="13.15" customHeight="1" x14ac:dyDescent="0.25">
      <c r="A14" s="1121"/>
      <c r="B14" s="34" t="s">
        <v>3</v>
      </c>
      <c r="C14" s="118">
        <f>'Breast cancer'!AQ4</f>
        <v>0</v>
      </c>
      <c r="D14" s="119">
        <f>'Breast cancer'!AQ12</f>
        <v>0</v>
      </c>
      <c r="E14" s="118">
        <f>'Colon Cancer'!AQ4</f>
        <v>0</v>
      </c>
      <c r="F14" s="119">
        <f>'Colon Cancer'!AQ12</f>
        <v>0</v>
      </c>
      <c r="G14" s="288">
        <f>Stroke_air!AR4</f>
        <v>0</v>
      </c>
      <c r="H14" s="288">
        <f>Stroke_air!AR12</f>
        <v>0</v>
      </c>
      <c r="I14" s="118">
        <f>CVD_air!AR4</f>
        <v>0</v>
      </c>
      <c r="J14" s="119">
        <f>CVD_air!AR12</f>
        <v>0</v>
      </c>
      <c r="K14" s="118">
        <f>Depression!AQ4</f>
        <v>0</v>
      </c>
      <c r="L14" s="119">
        <f>Depression!AQ12</f>
        <v>0</v>
      </c>
      <c r="M14" s="118">
        <f>Dementia!AR4</f>
        <v>0</v>
      </c>
      <c r="N14" s="119">
        <f>Dementia!AR12</f>
        <v>0</v>
      </c>
      <c r="O14" s="118">
        <f>Diabetes!AQ4</f>
        <v>0</v>
      </c>
      <c r="P14" s="119">
        <f>Diabetes!AQ12</f>
        <v>0</v>
      </c>
      <c r="Q14" s="907">
        <f>HHD_air!AR4</f>
        <v>0</v>
      </c>
      <c r="R14" s="907">
        <f>HHD_air!AR12</f>
        <v>0</v>
      </c>
      <c r="S14" s="901"/>
      <c r="T14" s="902"/>
      <c r="U14" s="901"/>
      <c r="V14" s="902"/>
      <c r="W14" s="901"/>
      <c r="X14" s="902"/>
      <c r="Y14" s="901"/>
      <c r="Z14" s="907"/>
      <c r="AA14" s="901" t="e">
        <f>-(1-'Injuries results'!$E$38)*GBDUS!P199</f>
        <v>#REF!</v>
      </c>
      <c r="AB14" s="907" t="e">
        <f>-(1-'Injuries results'!$E$38)*GBDUS!P207</f>
        <v>#REF!</v>
      </c>
      <c r="AC14" s="901" t="e">
        <f t="shared" ref="AC14:AC20" si="6">C14+E14+I14+K14+M14++O14+S14+U14+W14+Y14+AA14+G14+Q14</f>
        <v>#REF!</v>
      </c>
      <c r="AD14" s="902" t="e">
        <f t="shared" ref="AD14:AD20" si="7">D14+F14+J14+L14+N14++P14+T14+V14+X14+Z14+AB14+H14+R14</f>
        <v>#REF!</v>
      </c>
      <c r="AE14" s="901">
        <f t="shared" ref="AE14:AE20" si="8">C14+E14+I14+K14+M14++O14+S14+U14+W14+Y14+G14+Q14</f>
        <v>0</v>
      </c>
      <c r="AF14" s="902">
        <f t="shared" ref="AF14:AF20" si="9">D14+F14+J14+L14+N14++P14+T14+V14+X14+Z14+H14+R14</f>
        <v>0</v>
      </c>
      <c r="AG14" s="901">
        <f>'All-cause mort'!AR4</f>
        <v>0</v>
      </c>
      <c r="AH14" s="902">
        <f>'All-cause mort'!AR12</f>
        <v>0</v>
      </c>
      <c r="AJ14" s="239"/>
      <c r="AK14" s="239"/>
      <c r="AL14" s="633"/>
      <c r="AM14" s="633"/>
    </row>
    <row r="15" spans="1:39" ht="13.15" customHeight="1" x14ac:dyDescent="0.25">
      <c r="A15" s="1121"/>
      <c r="B15" s="34" t="s">
        <v>4</v>
      </c>
      <c r="C15" s="118">
        <f>'Breast cancer'!AQ5</f>
        <v>0</v>
      </c>
      <c r="D15" s="119">
        <f>'Breast cancer'!AQ13</f>
        <v>0</v>
      </c>
      <c r="E15" s="118">
        <f>'Colon Cancer'!AQ5</f>
        <v>-2.3764119474653208E-4</v>
      </c>
      <c r="F15" s="119">
        <f>'Colon Cancer'!AQ13</f>
        <v>0</v>
      </c>
      <c r="G15" s="288">
        <f>Stroke_air!AR5</f>
        <v>-4.955494921668099E-3</v>
      </c>
      <c r="H15" s="288">
        <f>Stroke_air!AR13</f>
        <v>-1.7244049494282709E-3</v>
      </c>
      <c r="I15" s="118">
        <f>CVD_air!AR5</f>
        <v>-9.21559276976237E-3</v>
      </c>
      <c r="J15" s="119">
        <f>CVD_air!AR13</f>
        <v>-2.5121749299607003E-3</v>
      </c>
      <c r="K15" s="118">
        <f>Depression!AQ5</f>
        <v>0</v>
      </c>
      <c r="L15" s="119">
        <f>Depression!AQ13</f>
        <v>0</v>
      </c>
      <c r="M15" s="118">
        <f>Dementia!AR5</f>
        <v>0</v>
      </c>
      <c r="N15" s="119">
        <f>Dementia!AR13</f>
        <v>0</v>
      </c>
      <c r="O15" s="118">
        <f>Diabetes!AQ5</f>
        <v>-6.6802193177375509E-3</v>
      </c>
      <c r="P15" s="119">
        <f>Diabetes!AQ13</f>
        <v>-6.3741372096854324E-3</v>
      </c>
      <c r="Q15" s="907">
        <f>HHD_air!AR5</f>
        <v>-6.9539707357383382E-4</v>
      </c>
      <c r="R15" s="907">
        <f>HHD_air!AR13</f>
        <v>0</v>
      </c>
      <c r="S15" s="901">
        <f>-'Lung Cancer'!I5</f>
        <v>0</v>
      </c>
      <c r="T15" s="902">
        <f>-'Lung Cancer'!I13</f>
        <v>0</v>
      </c>
      <c r="U15" s="901"/>
      <c r="V15" s="902"/>
      <c r="W15" s="901">
        <f>-'Inflammatory HD'!I5</f>
        <v>0</v>
      </c>
      <c r="X15" s="902">
        <f>-'Inflammatory HD'!I13</f>
        <v>0</v>
      </c>
      <c r="Y15" s="901">
        <f>-'Resp diseases'!I5</f>
        <v>0</v>
      </c>
      <c r="Z15" s="907">
        <f>-'Resp diseases'!I13</f>
        <v>0</v>
      </c>
      <c r="AA15" s="901" t="e">
        <f>-(1-'Injuries results'!$E$38)*GBDUS!P200</f>
        <v>#REF!</v>
      </c>
      <c r="AB15" s="907" t="e">
        <f>-(1-'Injuries results'!$E$38)*GBDUS!P208</f>
        <v>#REF!</v>
      </c>
      <c r="AC15" s="901" t="e">
        <f t="shared" si="6"/>
        <v>#REF!</v>
      </c>
      <c r="AD15" s="902" t="e">
        <f t="shared" si="7"/>
        <v>#REF!</v>
      </c>
      <c r="AE15" s="901">
        <f t="shared" si="8"/>
        <v>-2.178434527748839E-2</v>
      </c>
      <c r="AF15" s="902">
        <f t="shared" si="9"/>
        <v>-1.0610717089074403E-2</v>
      </c>
      <c r="AG15" s="901">
        <f>'All-cause mort'!AR5</f>
        <v>-0.1247679243782529</v>
      </c>
      <c r="AH15" s="902">
        <f>'All-cause mort'!AR13</f>
        <v>-7.2328321473525303E-2</v>
      </c>
      <c r="AJ15" s="239"/>
      <c r="AK15" s="239"/>
      <c r="AL15" s="633"/>
      <c r="AM15" s="633"/>
    </row>
    <row r="16" spans="1:39" ht="13.15" customHeight="1" x14ac:dyDescent="0.25">
      <c r="A16" s="1121"/>
      <c r="B16" s="34" t="s">
        <v>5</v>
      </c>
      <c r="C16" s="118">
        <f>'Breast cancer'!AQ6</f>
        <v>0</v>
      </c>
      <c r="D16" s="119">
        <f>'Breast cancer'!AQ14</f>
        <v>-3.4964764849422347E-2</v>
      </c>
      <c r="E16" s="118">
        <f>'Colon Cancer'!AQ6</f>
        <v>-3.1273041945332272E-3</v>
      </c>
      <c r="F16" s="119">
        <f>'Colon Cancer'!AQ14</f>
        <v>-3.9430641002237681E-4</v>
      </c>
      <c r="G16" s="288">
        <f>Stroke_air!AR6</f>
        <v>-0.17586335838044814</v>
      </c>
      <c r="H16" s="288">
        <f>Stroke_air!AR14</f>
        <v>-0.17261129501687855</v>
      </c>
      <c r="I16" s="118">
        <f>CVD_air!AR6</f>
        <v>-0.49684978511083622</v>
      </c>
      <c r="J16" s="119">
        <f>CVD_air!AR14</f>
        <v>-0.11777797903389958</v>
      </c>
      <c r="K16" s="118">
        <f>Depression!AQ6</f>
        <v>-8.2405360657411292E-5</v>
      </c>
      <c r="L16" s="119">
        <f>Depression!AQ14</f>
        <v>0</v>
      </c>
      <c r="M16" s="118">
        <f>Dementia!AR6</f>
        <v>-2.3245951209698718E-4</v>
      </c>
      <c r="N16" s="119">
        <f>Dementia!AR14</f>
        <v>-4.8709550262559902E-4</v>
      </c>
      <c r="O16" s="118">
        <f>Diabetes!AQ6</f>
        <v>-0.22547889208609562</v>
      </c>
      <c r="P16" s="119">
        <f>Diabetes!AQ14</f>
        <v>-0.13392257993230355</v>
      </c>
      <c r="Q16" s="907">
        <f>HHD_air!AR6</f>
        <v>-3.0889060240036591E-3</v>
      </c>
      <c r="R16" s="907">
        <f>HHD_air!AR14</f>
        <v>-3.6872715267318688E-3</v>
      </c>
      <c r="S16" s="901">
        <f>-'Lung Cancer'!I6</f>
        <v>0</v>
      </c>
      <c r="T16" s="902">
        <f>-'Lung Cancer'!I14</f>
        <v>0</v>
      </c>
      <c r="U16" s="901"/>
      <c r="V16" s="902"/>
      <c r="W16" s="901">
        <f>-'Inflammatory HD'!I6</f>
        <v>0</v>
      </c>
      <c r="X16" s="902">
        <f>-'Inflammatory HD'!I14</f>
        <v>0</v>
      </c>
      <c r="Y16" s="901">
        <f>-'Resp diseases'!I6</f>
        <v>0</v>
      </c>
      <c r="Z16" s="907">
        <f>-'Resp diseases'!I14</f>
        <v>0</v>
      </c>
      <c r="AA16" s="901" t="e">
        <f>-(1-'Injuries results'!$E$38)*GBDUS!P201</f>
        <v>#REF!</v>
      </c>
      <c r="AB16" s="907" t="e">
        <f>-(1-'Injuries results'!$E$38)*GBDUS!P209</f>
        <v>#REF!</v>
      </c>
      <c r="AC16" s="901" t="e">
        <f t="shared" si="6"/>
        <v>#REF!</v>
      </c>
      <c r="AD16" s="902" t="e">
        <f t="shared" si="7"/>
        <v>#REF!</v>
      </c>
      <c r="AE16" s="901">
        <f t="shared" si="8"/>
        <v>-0.90472311066867117</v>
      </c>
      <c r="AF16" s="902">
        <f t="shared" si="9"/>
        <v>-0.46384529227188387</v>
      </c>
      <c r="AG16" s="901">
        <f>'All-cause mort'!AR6</f>
        <v>-0.10202704355585812</v>
      </c>
      <c r="AH16" s="902">
        <f>'All-cause mort'!AR14</f>
        <v>-8.2776758039669218E-2</v>
      </c>
      <c r="AJ16" s="239"/>
      <c r="AK16" s="239"/>
      <c r="AL16" s="633"/>
      <c r="AM16" s="633"/>
    </row>
    <row r="17" spans="1:39" ht="13.15" customHeight="1" x14ac:dyDescent="0.25">
      <c r="A17" s="1121"/>
      <c r="B17" s="34" t="s">
        <v>6</v>
      </c>
      <c r="C17" s="118">
        <f>'Breast cancer'!AQ7</f>
        <v>0</v>
      </c>
      <c r="D17" s="119">
        <f>'Breast cancer'!AQ15</f>
        <v>-2.5556450426786115E-2</v>
      </c>
      <c r="E17" s="118">
        <f>'Colon Cancer'!AQ7</f>
        <v>-4.1312899433701283E-3</v>
      </c>
      <c r="F17" s="119">
        <f>'Colon Cancer'!AQ15</f>
        <v>-2.0205957341223671E-3</v>
      </c>
      <c r="G17" s="288">
        <f>Stroke_air!AR7</f>
        <v>-0.14495473863900332</v>
      </c>
      <c r="H17" s="288">
        <f>Stroke_air!AR15</f>
        <v>-8.042899812237761E-2</v>
      </c>
      <c r="I17" s="118">
        <f>CVD_air!AR7</f>
        <v>-0.59181399250134081</v>
      </c>
      <c r="J17" s="119">
        <f>CVD_air!AR15</f>
        <v>-0.12377004009728232</v>
      </c>
      <c r="K17" s="118">
        <f>Depression!AQ7</f>
        <v>-3.767692233692865E-4</v>
      </c>
      <c r="L17" s="119">
        <f>Depression!AQ15</f>
        <v>-4.7318189569867455E-4</v>
      </c>
      <c r="M17" s="118">
        <f>Dementia!AR7</f>
        <v>-4.0142078400293019E-3</v>
      </c>
      <c r="N17" s="119">
        <f>Dementia!AR15</f>
        <v>-5.1697726739970834E-3</v>
      </c>
      <c r="O17" s="118">
        <f>Diabetes!AQ7</f>
        <v>-0.20360190946999096</v>
      </c>
      <c r="P17" s="119">
        <f>Diabetes!AQ15</f>
        <v>-9.5378501717869602E-2</v>
      </c>
      <c r="Q17" s="907">
        <f>HHD_air!AR7</f>
        <v>-2.2859976751413026E-2</v>
      </c>
      <c r="R17" s="907">
        <f>HHD_air!AR15</f>
        <v>-5.0637187828364415E-3</v>
      </c>
      <c r="S17" s="901">
        <f>-'Lung Cancer'!I7</f>
        <v>0</v>
      </c>
      <c r="T17" s="902">
        <f>-'Lung Cancer'!I15</f>
        <v>0</v>
      </c>
      <c r="U17" s="901"/>
      <c r="V17" s="902"/>
      <c r="W17" s="901">
        <f>-'Inflammatory HD'!I7</f>
        <v>0</v>
      </c>
      <c r="X17" s="902">
        <f>-'Inflammatory HD'!I15</f>
        <v>0</v>
      </c>
      <c r="Y17" s="901">
        <f>-'Resp diseases'!I7</f>
        <v>0</v>
      </c>
      <c r="Z17" s="907">
        <f>-'Resp diseases'!I15</f>
        <v>0</v>
      </c>
      <c r="AA17" s="901" t="e">
        <f>-(1-'Injuries results'!$E$38)*GBDUS!P202</f>
        <v>#REF!</v>
      </c>
      <c r="AB17" s="907" t="e">
        <f>-(1-'Injuries results'!$E$38)*GBDUS!P210</f>
        <v>#REF!</v>
      </c>
      <c r="AC17" s="901" t="e">
        <f t="shared" si="6"/>
        <v>#REF!</v>
      </c>
      <c r="AD17" s="902" t="e">
        <f t="shared" si="7"/>
        <v>#REF!</v>
      </c>
      <c r="AE17" s="901">
        <f t="shared" si="8"/>
        <v>-0.97175288436851681</v>
      </c>
      <c r="AF17" s="902">
        <f t="shared" si="9"/>
        <v>-0.33786125945097017</v>
      </c>
      <c r="AG17" s="901">
        <f>'All-cause mort'!AR7</f>
        <v>-0.37429844883096308</v>
      </c>
      <c r="AH17" s="902">
        <f>'All-cause mort'!AR15</f>
        <v>-0.27459367377151267</v>
      </c>
      <c r="AJ17" s="239"/>
      <c r="AK17" s="239"/>
      <c r="AL17" s="633"/>
      <c r="AM17" s="633"/>
    </row>
    <row r="18" spans="1:39" ht="13.15" customHeight="1" x14ac:dyDescent="0.25">
      <c r="A18" s="1121"/>
      <c r="B18" s="34" t="s">
        <v>7</v>
      </c>
      <c r="C18" s="118">
        <f>'Breast cancer'!AQ8</f>
        <v>0</v>
      </c>
      <c r="D18" s="119">
        <f>'Breast cancer'!AQ16</f>
        <v>-3.7460836300074241E-2</v>
      </c>
      <c r="E18" s="118">
        <f>'Colon Cancer'!AQ8</f>
        <v>-5.7440754304553254E-3</v>
      </c>
      <c r="F18" s="119">
        <f>'Colon Cancer'!AQ16</f>
        <v>-5.0545233954767121E-3</v>
      </c>
      <c r="G18" s="288">
        <f>Stroke_air!AR8</f>
        <v>-0.1524679825426169</v>
      </c>
      <c r="H18" s="288">
        <f>Stroke_air!AR16</f>
        <v>-9.1530552073854132E-2</v>
      </c>
      <c r="I18" s="118">
        <f>CVD_air!AR8</f>
        <v>-0.57967649336249427</v>
      </c>
      <c r="J18" s="119">
        <f>CVD_air!AR16</f>
        <v>-0.18183391000428839</v>
      </c>
      <c r="K18" s="118">
        <f>Depression!AQ8</f>
        <v>-1.6994680674975188E-4</v>
      </c>
      <c r="L18" s="119">
        <f>Depression!AQ16</f>
        <v>-1.2192003164440452E-4</v>
      </c>
      <c r="M18" s="118">
        <f>Dementia!AR8</f>
        <v>-1.6302730227284623E-2</v>
      </c>
      <c r="N18" s="119">
        <f>Dementia!AR16</f>
        <v>-2.3128088293253579E-2</v>
      </c>
      <c r="O18" s="118">
        <f>Diabetes!AQ8</f>
        <v>-0.20493129744334071</v>
      </c>
      <c r="P18" s="119">
        <f>Diabetes!AQ16</f>
        <v>-0.12053829549760864</v>
      </c>
      <c r="Q18" s="907">
        <f>HHD_air!AR8</f>
        <v>-2.049213933412368E-2</v>
      </c>
      <c r="R18" s="907">
        <f>HHD_air!AR16</f>
        <v>-4.7854605623147747E-3</v>
      </c>
      <c r="S18" s="901">
        <f>-'Lung Cancer'!I8</f>
        <v>0</v>
      </c>
      <c r="T18" s="902">
        <f>-'Lung Cancer'!I16</f>
        <v>0</v>
      </c>
      <c r="U18" s="901"/>
      <c r="V18" s="902"/>
      <c r="W18" s="901">
        <f>-'Inflammatory HD'!I8</f>
        <v>0</v>
      </c>
      <c r="X18" s="902">
        <f>-'Inflammatory HD'!I16</f>
        <v>0</v>
      </c>
      <c r="Y18" s="901">
        <f>-'Resp diseases'!I8</f>
        <v>0</v>
      </c>
      <c r="Z18" s="907">
        <f>-'Resp diseases'!I16</f>
        <v>0</v>
      </c>
      <c r="AA18" s="901" t="e">
        <f>-(1-'Injuries results'!$E$38)*GBDUS!P203</f>
        <v>#REF!</v>
      </c>
      <c r="AB18" s="907" t="e">
        <f>-(1-'Injuries results'!$E$38)*GBDUS!P211</f>
        <v>#REF!</v>
      </c>
      <c r="AC18" s="901" t="e">
        <f t="shared" si="6"/>
        <v>#REF!</v>
      </c>
      <c r="AD18" s="902" t="e">
        <f t="shared" si="7"/>
        <v>#REF!</v>
      </c>
      <c r="AE18" s="901">
        <f t="shared" si="8"/>
        <v>-0.97978466514706508</v>
      </c>
      <c r="AF18" s="902">
        <f t="shared" si="9"/>
        <v>-0.4644535861585149</v>
      </c>
      <c r="AG18" s="901">
        <f>'All-cause mort'!AR8</f>
        <v>-0.46845752189997647</v>
      </c>
      <c r="AH18" s="902">
        <f>'All-cause mort'!AR16</f>
        <v>-0.54250615952367376</v>
      </c>
      <c r="AJ18" s="239"/>
      <c r="AK18" s="239"/>
      <c r="AL18" s="633"/>
      <c r="AM18" s="633"/>
    </row>
    <row r="19" spans="1:39" ht="13.15" customHeight="1" x14ac:dyDescent="0.25">
      <c r="A19" s="1121"/>
      <c r="B19" s="34" t="s">
        <v>8</v>
      </c>
      <c r="C19" s="118">
        <f>'Breast cancer'!AQ9</f>
        <v>0</v>
      </c>
      <c r="D19" s="119">
        <f>'Breast cancer'!AQ17</f>
        <v>-3.3425388217023289E-2</v>
      </c>
      <c r="E19" s="118">
        <f>'Colon Cancer'!AQ9</f>
        <v>-1.4338305829948064E-2</v>
      </c>
      <c r="F19" s="119">
        <f>'Colon Cancer'!AQ17</f>
        <v>-6.5147315256457172E-3</v>
      </c>
      <c r="G19" s="288">
        <f>Stroke_air!AR9</f>
        <v>-0.18227220579691916</v>
      </c>
      <c r="H19" s="288">
        <f>Stroke_air!AR17</f>
        <v>-0.15544859241125453</v>
      </c>
      <c r="I19" s="118">
        <f>CVD_air!AR9</f>
        <v>-0.47700020123501163</v>
      </c>
      <c r="J19" s="119">
        <f>CVD_air!AR17</f>
        <v>-0.19459097613316678</v>
      </c>
      <c r="K19" s="118">
        <f>Depression!AQ9</f>
        <v>-1.085185252417754E-3</v>
      </c>
      <c r="L19" s="119">
        <f>Depression!AQ17</f>
        <v>-8.0776191166067376E-4</v>
      </c>
      <c r="M19" s="118">
        <f>Dementia!AR9</f>
        <v>-8.5451340950657928E-2</v>
      </c>
      <c r="N19" s="119">
        <f>Dementia!AR17</f>
        <v>-0.11614717794096452</v>
      </c>
      <c r="O19" s="118">
        <f>Diabetes!AQ9</f>
        <v>-0.15887960637651072</v>
      </c>
      <c r="P19" s="119">
        <f>Diabetes!AQ17</f>
        <v>-8.8915374508763356E-2</v>
      </c>
      <c r="Q19" s="907">
        <f>HHD_air!AR9</f>
        <v>-1.4771603383652833E-2</v>
      </c>
      <c r="R19" s="907">
        <f>HHD_air!AR17</f>
        <v>-1.1294016197661474E-2</v>
      </c>
      <c r="S19" s="901">
        <f>-'Lung Cancer'!I9</f>
        <v>0</v>
      </c>
      <c r="T19" s="902">
        <f>-'Lung Cancer'!I17</f>
        <v>0</v>
      </c>
      <c r="U19" s="901"/>
      <c r="V19" s="902"/>
      <c r="W19" s="901">
        <f>-'Inflammatory HD'!I9</f>
        <v>0</v>
      </c>
      <c r="X19" s="902">
        <f>-'Inflammatory HD'!I17</f>
        <v>0</v>
      </c>
      <c r="Y19" s="901">
        <f>-'Resp diseases'!I9</f>
        <v>0</v>
      </c>
      <c r="Z19" s="907">
        <f>-'Resp diseases'!I17</f>
        <v>0</v>
      </c>
      <c r="AA19" s="901" t="e">
        <f>-(1-'Injuries results'!$E$38)*GBDUS!P204</f>
        <v>#REF!</v>
      </c>
      <c r="AB19" s="907" t="e">
        <f>-(1-'Injuries results'!$E$38)*GBDUS!P212</f>
        <v>#REF!</v>
      </c>
      <c r="AC19" s="901" t="e">
        <f t="shared" si="6"/>
        <v>#REF!</v>
      </c>
      <c r="AD19" s="902" t="e">
        <f t="shared" si="7"/>
        <v>#REF!</v>
      </c>
      <c r="AE19" s="901">
        <f t="shared" si="8"/>
        <v>-0.93379844882511809</v>
      </c>
      <c r="AF19" s="902">
        <f t="shared" si="9"/>
        <v>-0.60714401884614033</v>
      </c>
      <c r="AG19" s="901">
        <f>'All-cause mort'!AR9</f>
        <v>-0.98929389519332034</v>
      </c>
      <c r="AH19" s="902">
        <f>'All-cause mort'!AR17</f>
        <v>-1.0536545552257994</v>
      </c>
      <c r="AJ19" s="239"/>
      <c r="AK19" s="239"/>
      <c r="AL19" s="633"/>
      <c r="AM19" s="633"/>
    </row>
    <row r="20" spans="1:39" ht="13.15" customHeight="1" x14ac:dyDescent="0.25">
      <c r="A20" s="1121"/>
      <c r="B20" s="35" t="s">
        <v>9</v>
      </c>
      <c r="C20" s="118">
        <f>'Breast cancer'!AQ10</f>
        <v>0</v>
      </c>
      <c r="D20" s="119">
        <f>'Breast cancer'!AQ18</f>
        <v>-1.2118112180396504E-2</v>
      </c>
      <c r="E20" s="118">
        <f>'Colon Cancer'!AQ10</f>
        <v>-7.862607811590136E-3</v>
      </c>
      <c r="F20" s="119">
        <f>'Colon Cancer'!AQ18</f>
        <v>-3.6106492045999625E-3</v>
      </c>
      <c r="G20" s="288">
        <f>Stroke_air!AR10</f>
        <v>-0.21120117213937395</v>
      </c>
      <c r="H20" s="288">
        <f>Stroke_air!AR18</f>
        <v>-0.13587883604303208</v>
      </c>
      <c r="I20" s="118">
        <f>CVD_air!AR10</f>
        <v>-0.45361965972179075</v>
      </c>
      <c r="J20" s="119">
        <f>CVD_air!AR18</f>
        <v>-0.15394113076306692</v>
      </c>
      <c r="K20" s="118">
        <f>Depression!AQ10</f>
        <v>-7.0101630227645175E-4</v>
      </c>
      <c r="L20" s="119">
        <f>Depression!AQ18</f>
        <v>-1.1904935839439756E-3</v>
      </c>
      <c r="M20" s="118">
        <f>Dementia!AR10</f>
        <v>-0.23509884245575874</v>
      </c>
      <c r="N20" s="119">
        <f>Dementia!AR18</f>
        <v>-0.36830990982511636</v>
      </c>
      <c r="O20" s="118">
        <f>Diabetes!AQ10</f>
        <v>-9.5781756117068517E-2</v>
      </c>
      <c r="P20" s="119">
        <f>Diabetes!AQ18</f>
        <v>-4.4753867758742405E-2</v>
      </c>
      <c r="Q20" s="907">
        <f>HHD_air!AR10</f>
        <v>-8.8822494259489272E-3</v>
      </c>
      <c r="R20" s="907">
        <f>HHD_air!AR18</f>
        <v>-6.837765804806592E-3</v>
      </c>
      <c r="S20" s="901">
        <f>-'Lung Cancer'!I10</f>
        <v>0</v>
      </c>
      <c r="T20" s="902">
        <f>-'Lung Cancer'!I18</f>
        <v>0</v>
      </c>
      <c r="U20" s="901"/>
      <c r="V20" s="902"/>
      <c r="W20" s="901">
        <f>-'Inflammatory HD'!I10</f>
        <v>0</v>
      </c>
      <c r="X20" s="902">
        <f>-'Inflammatory HD'!I18</f>
        <v>0</v>
      </c>
      <c r="Y20" s="901">
        <f>-'Resp diseases'!I10</f>
        <v>0</v>
      </c>
      <c r="Z20" s="907">
        <f>-'Resp diseases'!I18</f>
        <v>0</v>
      </c>
      <c r="AA20" s="903" t="e">
        <f>-(1-'Injuries results'!$E$38)*GBDUS!P205</f>
        <v>#REF!</v>
      </c>
      <c r="AB20" s="907" t="e">
        <f>-(1-'Injuries results'!$E$38)*GBDUS!P213</f>
        <v>#REF!</v>
      </c>
      <c r="AC20" s="903" t="e">
        <f t="shared" si="6"/>
        <v>#REF!</v>
      </c>
      <c r="AD20" s="902" t="e">
        <f t="shared" si="7"/>
        <v>#REF!</v>
      </c>
      <c r="AE20" s="903">
        <f t="shared" si="8"/>
        <v>-1.0131473039738073</v>
      </c>
      <c r="AF20" s="915">
        <f t="shared" si="9"/>
        <v>-0.72664076516370468</v>
      </c>
      <c r="AG20" s="901">
        <f>'All-cause mort'!AR10</f>
        <v>-1.0704504208712553</v>
      </c>
      <c r="AH20" s="902">
        <f>'All-cause mort'!AR18</f>
        <v>-1.6909714651413887</v>
      </c>
      <c r="AJ20" s="239"/>
      <c r="AK20" s="239"/>
      <c r="AL20" s="633"/>
      <c r="AM20" s="633"/>
    </row>
    <row r="21" spans="1:39" ht="13.15" customHeight="1" x14ac:dyDescent="0.25">
      <c r="A21" s="1121"/>
      <c r="B21" s="1128" t="s">
        <v>74</v>
      </c>
      <c r="C21" s="232">
        <f>SUM(C15:C20)</f>
        <v>0</v>
      </c>
      <c r="D21" s="126">
        <f>SUM(D15:D20)</f>
        <v>-0.14352555197370248</v>
      </c>
      <c r="E21" s="334">
        <f t="shared" ref="E21:R21" si="10">SUM(E15:E20)</f>
        <v>-3.5441224404643409E-2</v>
      </c>
      <c r="F21" s="335">
        <f t="shared" si="10"/>
        <v>-1.7594806269867137E-2</v>
      </c>
      <c r="G21" s="126">
        <f>SUM(G13:G20)</f>
        <v>-0.8717149524200295</v>
      </c>
      <c r="H21" s="126">
        <f>SUM(H13:H20)</f>
        <v>-0.63762267861682509</v>
      </c>
      <c r="I21" s="232">
        <f t="shared" si="10"/>
        <v>-2.608175724701236</v>
      </c>
      <c r="J21" s="126">
        <f t="shared" si="10"/>
        <v>-0.77442621096166464</v>
      </c>
      <c r="K21" s="232">
        <f t="shared" si="10"/>
        <v>-2.4153229454706555E-3</v>
      </c>
      <c r="L21" s="126">
        <f t="shared" si="10"/>
        <v>-2.5933574229477282E-3</v>
      </c>
      <c r="M21" s="232">
        <f t="shared" si="10"/>
        <v>-0.3410995809858276</v>
      </c>
      <c r="N21" s="126">
        <f t="shared" si="10"/>
        <v>-0.5132420442359571</v>
      </c>
      <c r="O21" s="232">
        <f t="shared" si="10"/>
        <v>-0.89535368081074418</v>
      </c>
      <c r="P21" s="126">
        <f t="shared" si="10"/>
        <v>-0.48988275662497299</v>
      </c>
      <c r="Q21" s="908">
        <f t="shared" si="10"/>
        <v>-7.0790271992715967E-2</v>
      </c>
      <c r="R21" s="909">
        <f t="shared" si="10"/>
        <v>-3.1668232874351152E-2</v>
      </c>
      <c r="S21" s="908">
        <f>SUM(S15:S20)</f>
        <v>0</v>
      </c>
      <c r="T21" s="909">
        <f>SUM(T15:T20)</f>
        <v>0</v>
      </c>
      <c r="U21" s="908">
        <f>SUM(U13:U20)</f>
        <v>0</v>
      </c>
      <c r="V21" s="909">
        <f>SUM(V13:V20)</f>
        <v>0</v>
      </c>
      <c r="W21" s="908">
        <f>SUM(W15:W20)</f>
        <v>0</v>
      </c>
      <c r="X21" s="909">
        <f>SUM(X15:X20)</f>
        <v>0</v>
      </c>
      <c r="Y21" s="908">
        <f>SUM(Y15:Y20)</f>
        <v>0</v>
      </c>
      <c r="Z21" s="909">
        <f>SUM(Z15:Z20)</f>
        <v>0</v>
      </c>
      <c r="AA21" s="905" t="e">
        <f t="shared" ref="AA21:AH21" si="11">SUM(AA13:AA20)</f>
        <v>#REF!</v>
      </c>
      <c r="AB21" s="916" t="e">
        <f t="shared" si="11"/>
        <v>#REF!</v>
      </c>
      <c r="AC21" s="917" t="e">
        <f t="shared" si="11"/>
        <v>#REF!</v>
      </c>
      <c r="AD21" s="922" t="e">
        <f t="shared" si="11"/>
        <v>#REF!</v>
      </c>
      <c r="AE21" s="918">
        <f t="shared" si="11"/>
        <v>-4.8249907582606664</v>
      </c>
      <c r="AF21" s="919">
        <f t="shared" si="11"/>
        <v>-2.6105556389802884</v>
      </c>
      <c r="AG21" s="908">
        <f t="shared" si="11"/>
        <v>-3.1292952547296262</v>
      </c>
      <c r="AH21" s="909">
        <f t="shared" si="11"/>
        <v>-3.7168309331755691</v>
      </c>
      <c r="AI21" s="925" t="e">
        <f>AA21+AB21</f>
        <v>#REF!</v>
      </c>
      <c r="AJ21" s="925" t="e">
        <f>AC21+AD21</f>
        <v>#REF!</v>
      </c>
      <c r="AK21" s="925" t="e">
        <f>AJ21-AI21</f>
        <v>#REF!</v>
      </c>
      <c r="AL21" s="925">
        <f>S21+T21+U21+V21+Y21+Z21+W21+X21</f>
        <v>0</v>
      </c>
      <c r="AM21" s="925">
        <f>C21+D21+E21+F21+G21+H21+I21+J21+K21+L21+M21+N21+O21+P21+Q21+R21</f>
        <v>-7.4355463972409535</v>
      </c>
    </row>
    <row r="22" spans="1:39" ht="13.15" customHeight="1" thickBot="1" x14ac:dyDescent="0.3">
      <c r="A22" s="1122"/>
      <c r="B22" s="1127"/>
      <c r="C22" s="1115">
        <f>0-'Breast cancer'!AQ20</f>
        <v>1.2826699278568188E-2</v>
      </c>
      <c r="D22" s="1116"/>
      <c r="E22" s="1115">
        <f>0-'Colon Cancer'!AQ20</f>
        <v>1.6438760833716988E-2</v>
      </c>
      <c r="F22" s="1116"/>
      <c r="G22" s="1115">
        <f>0-Stroke_air!AR20</f>
        <v>6.7904291694799709E-2</v>
      </c>
      <c r="H22" s="1116"/>
      <c r="I22" s="1115">
        <f>0-CVD_air!AR20</f>
        <v>7.0985093593111948E-2</v>
      </c>
      <c r="J22" s="1116"/>
      <c r="K22" s="1115">
        <f>0-Depression!AQ20</f>
        <v>2.3420157221437324E-2</v>
      </c>
      <c r="L22" s="1116"/>
      <c r="M22" s="1115">
        <f>0-Dementia!AR20</f>
        <v>3.5782400005820135E-2</v>
      </c>
      <c r="N22" s="1116"/>
      <c r="O22" s="1115">
        <f>0-Diabetes!AQ20</f>
        <v>6.80872769781731E-2</v>
      </c>
      <c r="P22" s="1116"/>
      <c r="Q22" s="1113">
        <f>0-HHD_air!AR20</f>
        <v>6.9153623977227921E-2</v>
      </c>
      <c r="R22" s="1114"/>
      <c r="S22" s="1113">
        <f>'Lung Cancer'!M21</f>
        <v>0</v>
      </c>
      <c r="T22" s="1114"/>
      <c r="U22" s="1104">
        <f>'Acute Resp Infect'!I20</f>
        <v>0</v>
      </c>
      <c r="V22" s="1105"/>
      <c r="W22" s="1104">
        <f>'Inflammatory HD'!M21</f>
        <v>0</v>
      </c>
      <c r="X22" s="1105"/>
      <c r="Y22" s="1104">
        <f>'Resp diseases'!M21</f>
        <v>0</v>
      </c>
      <c r="Z22" s="1105"/>
      <c r="AA22" s="1107" t="e">
        <f>(AA21+AB21)/GBDUS!P214</f>
        <v>#REF!</v>
      </c>
      <c r="AB22" s="1108"/>
      <c r="AC22" s="1096" t="e">
        <f>-(AC21+AD21)/GBDUS!P236</f>
        <v>#REF!</v>
      </c>
      <c r="AD22" s="1097"/>
      <c r="AE22" s="1096">
        <f>-(AE21+AF21)/GBDUS!P236</f>
        <v>1.6692136075773391E-2</v>
      </c>
      <c r="AF22" s="1097"/>
      <c r="AG22" s="1104">
        <f>-(AG21+AH21)/GBDUS!P236</f>
        <v>1.5368940467217429E-2</v>
      </c>
      <c r="AH22" s="1105"/>
      <c r="AI22" s="239"/>
      <c r="AJ22" s="239"/>
      <c r="AK22" s="239"/>
      <c r="AL22" s="633"/>
      <c r="AM22" s="633"/>
    </row>
    <row r="23" spans="1:39" ht="13.15" customHeight="1" x14ac:dyDescent="0.25">
      <c r="A23" s="1123" t="s">
        <v>79</v>
      </c>
      <c r="B23" s="121" t="s">
        <v>2</v>
      </c>
      <c r="C23" s="118">
        <f>'Breast cancer'!AR3</f>
        <v>0</v>
      </c>
      <c r="D23" s="119">
        <f>'Breast cancer'!AR11</f>
        <v>0</v>
      </c>
      <c r="E23" s="118">
        <f>'Colon Cancer'!AR3</f>
        <v>0</v>
      </c>
      <c r="F23" s="119">
        <f>'Colon Cancer'!AR11</f>
        <v>0</v>
      </c>
      <c r="G23" s="288">
        <f>Stroke_air!AS3</f>
        <v>0</v>
      </c>
      <c r="H23" s="288">
        <f>Stroke_air!AS11</f>
        <v>0</v>
      </c>
      <c r="I23" s="118">
        <f>CVD_air!AS3</f>
        <v>0</v>
      </c>
      <c r="J23" s="119">
        <f>CVD_air!AS11</f>
        <v>0</v>
      </c>
      <c r="K23" s="118">
        <f>Depression!AR3</f>
        <v>0</v>
      </c>
      <c r="L23" s="119">
        <f>Depression!AR11</f>
        <v>0</v>
      </c>
      <c r="M23" s="118">
        <f>Dementia!AS3</f>
        <v>0</v>
      </c>
      <c r="N23" s="119">
        <f>Dementia!AS11</f>
        <v>0</v>
      </c>
      <c r="O23" s="118">
        <f>Diabetes!AR3</f>
        <v>0</v>
      </c>
      <c r="P23" s="119">
        <f>Diabetes!AR11</f>
        <v>0</v>
      </c>
      <c r="Q23" s="907">
        <f>HHD_air!AS3</f>
        <v>0</v>
      </c>
      <c r="R23" s="907">
        <f>HHD_air!AS11</f>
        <v>0</v>
      </c>
      <c r="S23" s="901">
        <f>-'Lung Cancer'!J3</f>
        <v>0</v>
      </c>
      <c r="T23" s="902">
        <f>-'Lung Cancer'!J11</f>
        <v>0</v>
      </c>
      <c r="U23" s="901">
        <f>-'Acute Resp Infect'!J3</f>
        <v>0</v>
      </c>
      <c r="V23" s="902">
        <f>-'Acute Resp Infect'!K3</f>
        <v>0</v>
      </c>
      <c r="W23" s="901"/>
      <c r="X23" s="902"/>
      <c r="Y23" s="901"/>
      <c r="Z23" s="907"/>
      <c r="AA23" s="920" t="e">
        <f>-(1-'Injuries results'!$H$38)*GBDUS!Q198</f>
        <v>#REF!</v>
      </c>
      <c r="AB23" s="921" t="e">
        <f>-(1-'Injuries results'!$H$38)*GBDUS!Q206</f>
        <v>#REF!</v>
      </c>
      <c r="AC23" s="901" t="e">
        <f>C23+E23+I23+K23+M23++O23+S23+U23+W23+Y23+AA23+G23+Q23</f>
        <v>#REF!</v>
      </c>
      <c r="AD23" s="902" t="e">
        <f>D23+F23+J23+L23+N23++P23+T23+V23+X23+Z23+AB23+H23+R23</f>
        <v>#REF!</v>
      </c>
      <c r="AE23" s="901">
        <f>C23+E23+I23+K23+M23++O23+S23+U23+W23+Y23+G23+Q23</f>
        <v>0</v>
      </c>
      <c r="AF23" s="902">
        <f>D23+F23+J23+L23+N23++P23+T23+V23+X23+Z23+H23+R23</f>
        <v>0</v>
      </c>
      <c r="AG23" s="901">
        <f>'All-cause mort'!AS3</f>
        <v>0</v>
      </c>
      <c r="AH23" s="902">
        <f>'All-cause mort'!AS13</f>
        <v>0</v>
      </c>
      <c r="AI23" s="239"/>
      <c r="AJ23" s="239"/>
      <c r="AK23" s="239"/>
      <c r="AL23" s="633"/>
      <c r="AM23" s="633"/>
    </row>
    <row r="24" spans="1:39" ht="13.15" customHeight="1" x14ac:dyDescent="0.25">
      <c r="A24" s="1121"/>
      <c r="B24" s="34" t="s">
        <v>3</v>
      </c>
      <c r="C24" s="118">
        <f>'Breast cancer'!AR4</f>
        <v>0</v>
      </c>
      <c r="D24" s="119">
        <f>'Breast cancer'!AR12</f>
        <v>0</v>
      </c>
      <c r="E24" s="118">
        <f>'Colon Cancer'!AR4</f>
        <v>0</v>
      </c>
      <c r="F24" s="119">
        <f>'Colon Cancer'!AR12</f>
        <v>0</v>
      </c>
      <c r="G24" s="288">
        <f>Stroke_air!AS4</f>
        <v>0</v>
      </c>
      <c r="H24" s="288">
        <f>Stroke_air!AS12</f>
        <v>0</v>
      </c>
      <c r="I24" s="118">
        <f>CVD_air!AS4</f>
        <v>0</v>
      </c>
      <c r="J24" s="119">
        <f>CVD_air!AS12</f>
        <v>0</v>
      </c>
      <c r="K24" s="118">
        <f>Depression!AR4</f>
        <v>0</v>
      </c>
      <c r="L24" s="119">
        <f>Depression!AR12</f>
        <v>0</v>
      </c>
      <c r="M24" s="118">
        <f>Dementia!AS4</f>
        <v>0</v>
      </c>
      <c r="N24" s="119">
        <f>Dementia!AS12</f>
        <v>0</v>
      </c>
      <c r="O24" s="118">
        <f>Diabetes!AR4</f>
        <v>0</v>
      </c>
      <c r="P24" s="119">
        <f>Diabetes!AR12</f>
        <v>0</v>
      </c>
      <c r="Q24" s="907">
        <f>HHD_air!AS4</f>
        <v>0</v>
      </c>
      <c r="R24" s="907">
        <f>HHD_air!AS12</f>
        <v>0</v>
      </c>
      <c r="S24" s="901">
        <f>-'Lung Cancer'!J4</f>
        <v>0</v>
      </c>
      <c r="T24" s="902">
        <f>-'Lung Cancer'!J12</f>
        <v>0</v>
      </c>
      <c r="U24" s="901"/>
      <c r="V24" s="902"/>
      <c r="W24" s="901"/>
      <c r="X24" s="902"/>
      <c r="Y24" s="901"/>
      <c r="Z24" s="907"/>
      <c r="AA24" s="901" t="e">
        <f>-(1-'Injuries results'!$H$38)*GBDUS!Q199</f>
        <v>#REF!</v>
      </c>
      <c r="AB24" s="907" t="e">
        <f>-(1-'Injuries results'!$H$38)*GBDUS!Q207</f>
        <v>#REF!</v>
      </c>
      <c r="AC24" s="901" t="e">
        <f t="shared" ref="AC24:AC30" si="12">C24+E24+I24+K24+M24++O24+S24+U24+W24+Y24+AA24+G24+Q24</f>
        <v>#REF!</v>
      </c>
      <c r="AD24" s="902" t="e">
        <f t="shared" ref="AD24:AD30" si="13">D24+F24+J24+L24+N24++P24+T24+V24+X24+Z24+AB24+H24+R24</f>
        <v>#REF!</v>
      </c>
      <c r="AE24" s="901">
        <f t="shared" ref="AE24:AE30" si="14">C24+E24+I24+K24+M24++O24+S24+U24+W24+Y24+G24+Q24</f>
        <v>0</v>
      </c>
      <c r="AF24" s="902">
        <f t="shared" ref="AF24:AF30" si="15">D24+F24+J24+L24+N24++P24+T24+V24+X24+Z24+H24+R24</f>
        <v>0</v>
      </c>
      <c r="AG24" s="901">
        <f>'All-cause mort'!AS4</f>
        <v>0</v>
      </c>
      <c r="AH24" s="902">
        <f>'All-cause mort'!AS14</f>
        <v>0</v>
      </c>
      <c r="AI24" s="239"/>
      <c r="AJ24" s="239"/>
      <c r="AK24" s="239"/>
      <c r="AL24" s="633"/>
      <c r="AM24" s="633"/>
    </row>
    <row r="25" spans="1:39" ht="13.15" customHeight="1" x14ac:dyDescent="0.25">
      <c r="A25" s="1121"/>
      <c r="B25" s="34" t="s">
        <v>4</v>
      </c>
      <c r="C25" s="118">
        <f>'Breast cancer'!AR5</f>
        <v>0</v>
      </c>
      <c r="D25" s="119">
        <f>'Breast cancer'!AR13</f>
        <v>-8.1125934190488889E-5</v>
      </c>
      <c r="E25" s="118">
        <f>'Colon Cancer'!AR5</f>
        <v>-5.4852613984384638E-6</v>
      </c>
      <c r="F25" s="119">
        <f>'Colon Cancer'!AR13</f>
        <v>-3.9857827518787796E-6</v>
      </c>
      <c r="G25" s="288">
        <f>Stroke_air!AS5</f>
        <v>-1.3350282668198477E-2</v>
      </c>
      <c r="H25" s="288">
        <f>Stroke_air!AS13</f>
        <v>-1.1444146506699247E-2</v>
      </c>
      <c r="I25" s="118">
        <f>CVD_air!AS5</f>
        <v>-7.5078937404150763E-3</v>
      </c>
      <c r="J25" s="119">
        <f>CVD_air!AS13</f>
        <v>-5.9567461369450497E-3</v>
      </c>
      <c r="K25" s="118">
        <f>Depression!AR5</f>
        <v>-3.9205823637688764E-2</v>
      </c>
      <c r="L25" s="119">
        <f>Depression!AR13</f>
        <v>-9.0455511570755931E-2</v>
      </c>
      <c r="M25" s="118">
        <f>Dementia!AS5</f>
        <v>0</v>
      </c>
      <c r="N25" s="119">
        <f>Dementia!AS13</f>
        <v>0</v>
      </c>
      <c r="O25" s="118">
        <f>Diabetes!AR5</f>
        <v>-2.2040650394027757E-2</v>
      </c>
      <c r="P25" s="119">
        <f>Diabetes!AR13</f>
        <v>-2.4104190397190244E-2</v>
      </c>
      <c r="Q25" s="907">
        <f>HHD_air!AS5</f>
        <v>-2.0713543815898739E-4</v>
      </c>
      <c r="R25" s="907">
        <f>HHD_air!AS13</f>
        <v>-2.018116556134865E-4</v>
      </c>
      <c r="S25" s="901">
        <f>-'Lung Cancer'!J5</f>
        <v>0</v>
      </c>
      <c r="T25" s="902">
        <f>-'Lung Cancer'!J13</f>
        <v>0</v>
      </c>
      <c r="U25" s="901"/>
      <c r="V25" s="902"/>
      <c r="W25" s="901">
        <f>-'Inflammatory HD'!J5</f>
        <v>0</v>
      </c>
      <c r="X25" s="902">
        <f>-'Inflammatory HD'!J13</f>
        <v>0</v>
      </c>
      <c r="Y25" s="901">
        <f>-'Resp diseases'!J5</f>
        <v>0</v>
      </c>
      <c r="Z25" s="907">
        <f>-'Resp diseases'!J13</f>
        <v>0</v>
      </c>
      <c r="AA25" s="901" t="e">
        <f>-(1-'Injuries results'!$H$38)*GBDUS!Q200</f>
        <v>#REF!</v>
      </c>
      <c r="AB25" s="907" t="e">
        <f>-(1-'Injuries results'!$H$38)*GBDUS!Q208</f>
        <v>#REF!</v>
      </c>
      <c r="AC25" s="901" t="e">
        <f t="shared" si="12"/>
        <v>#REF!</v>
      </c>
      <c r="AD25" s="902" t="e">
        <f t="shared" si="13"/>
        <v>#REF!</v>
      </c>
      <c r="AE25" s="901">
        <f t="shared" si="14"/>
        <v>-8.2317271139887502E-2</v>
      </c>
      <c r="AF25" s="902">
        <f t="shared" si="15"/>
        <v>-0.13224751798414633</v>
      </c>
      <c r="AG25" s="901">
        <f>'All-cause mort'!AS5</f>
        <v>0</v>
      </c>
      <c r="AH25" s="902">
        <f>'All-cause mort'!AS15</f>
        <v>0</v>
      </c>
      <c r="AI25" s="239"/>
      <c r="AJ25" s="239"/>
      <c r="AK25" s="239"/>
      <c r="AL25" s="633"/>
      <c r="AM25" s="633"/>
    </row>
    <row r="26" spans="1:39" ht="13.15" customHeight="1" x14ac:dyDescent="0.25">
      <c r="A26" s="1121"/>
      <c r="B26" s="34" t="s">
        <v>5</v>
      </c>
      <c r="C26" s="118">
        <f>'Breast cancer'!AR6</f>
        <v>0</v>
      </c>
      <c r="D26" s="119">
        <f>'Breast cancer'!AR14</f>
        <v>-6.1330942231443142E-3</v>
      </c>
      <c r="E26" s="118">
        <f>'Colon Cancer'!AR6</f>
        <v>-4.1323247796093768E-4</v>
      </c>
      <c r="F26" s="119">
        <f>'Colon Cancer'!AR14</f>
        <v>-2.4286032942145964E-5</v>
      </c>
      <c r="G26" s="288">
        <f>Stroke_air!AS6</f>
        <v>-0.1023691582253726</v>
      </c>
      <c r="H26" s="288">
        <f>Stroke_air!AS14</f>
        <v>-0.45306761126846429</v>
      </c>
      <c r="I26" s="118">
        <f>CVD_air!AS6</f>
        <v>-0.10023491250250199</v>
      </c>
      <c r="J26" s="119">
        <f>CVD_air!AS14</f>
        <v>-0.15988728673199731</v>
      </c>
      <c r="K26" s="118">
        <f>Depression!AR6</f>
        <v>-5.2387628993958102E-2</v>
      </c>
      <c r="L26" s="119">
        <f>Depression!AR14</f>
        <v>-0.1230155011058125</v>
      </c>
      <c r="M26" s="118">
        <f>Dementia!AS6</f>
        <v>-7.0536429091927195E-5</v>
      </c>
      <c r="N26" s="119">
        <f>Dementia!AS14</f>
        <v>-1.1662183913511656E-4</v>
      </c>
      <c r="O26" s="118">
        <f>Diabetes!AR6</f>
        <v>-0.53289237258054434</v>
      </c>
      <c r="P26" s="119">
        <f>Diabetes!AR14</f>
        <v>-0.41140445732726738</v>
      </c>
      <c r="Q26" s="907">
        <f>HHD_air!AS6</f>
        <v>-6.2371149201159953E-4</v>
      </c>
      <c r="R26" s="907">
        <f>HHD_air!AS14</f>
        <v>-6.739580475847958E-4</v>
      </c>
      <c r="S26" s="901">
        <f>-'Lung Cancer'!J6</f>
        <v>0</v>
      </c>
      <c r="T26" s="902">
        <f>-'Lung Cancer'!J14</f>
        <v>0</v>
      </c>
      <c r="U26" s="901"/>
      <c r="V26" s="902"/>
      <c r="W26" s="901">
        <f>-'Inflammatory HD'!J6</f>
        <v>0</v>
      </c>
      <c r="X26" s="902">
        <f>-'Inflammatory HD'!J14</f>
        <v>0</v>
      </c>
      <c r="Y26" s="901">
        <f>-'Resp diseases'!J6</f>
        <v>0</v>
      </c>
      <c r="Z26" s="907">
        <f>-'Resp diseases'!J14</f>
        <v>0</v>
      </c>
      <c r="AA26" s="901" t="e">
        <f>-(1-'Injuries results'!$H$38)*GBDUS!Q201</f>
        <v>#REF!</v>
      </c>
      <c r="AB26" s="907" t="e">
        <f>-(1-'Injuries results'!$H$38)*GBDUS!Q209</f>
        <v>#REF!</v>
      </c>
      <c r="AC26" s="901" t="e">
        <f t="shared" si="12"/>
        <v>#REF!</v>
      </c>
      <c r="AD26" s="902" t="e">
        <f t="shared" si="13"/>
        <v>#REF!</v>
      </c>
      <c r="AE26" s="901">
        <f t="shared" si="14"/>
        <v>-0.7889915527014415</v>
      </c>
      <c r="AF26" s="902">
        <f t="shared" si="15"/>
        <v>-1.1543228165763479</v>
      </c>
      <c r="AG26" s="901">
        <f>'All-cause mort'!AS6</f>
        <v>0</v>
      </c>
      <c r="AH26" s="902">
        <f>'All-cause mort'!AS16</f>
        <v>0</v>
      </c>
      <c r="AI26" s="239"/>
      <c r="AJ26" s="239"/>
      <c r="AK26" s="239"/>
      <c r="AL26" s="633"/>
      <c r="AM26" s="633"/>
    </row>
    <row r="27" spans="1:39" ht="13.15" customHeight="1" x14ac:dyDescent="0.25">
      <c r="A27" s="1121"/>
      <c r="B27" s="34" t="s">
        <v>6</v>
      </c>
      <c r="C27" s="118">
        <f>'Breast cancer'!AR7</f>
        <v>0</v>
      </c>
      <c r="D27" s="119">
        <f>'Breast cancer'!AR15</f>
        <v>-5.7738111256323971E-3</v>
      </c>
      <c r="E27" s="118">
        <f>'Colon Cancer'!AR7</f>
        <v>-3.7739346751759946E-4</v>
      </c>
      <c r="F27" s="119">
        <f>'Colon Cancer'!AR15</f>
        <v>-1.9324335308291713E-4</v>
      </c>
      <c r="G27" s="288">
        <f>Stroke_air!AS7</f>
        <v>-8.8411407143590165E-2</v>
      </c>
      <c r="H27" s="288">
        <f>Stroke_air!AS15</f>
        <v>-5.3191814288026468E-2</v>
      </c>
      <c r="I27" s="118">
        <f>CVD_air!AS7</f>
        <v>-8.9685767507844794E-2</v>
      </c>
      <c r="J27" s="119">
        <f>CVD_air!AS15</f>
        <v>-3.7596525639578951E-2</v>
      </c>
      <c r="K27" s="118">
        <f>Depression!AR7</f>
        <v>-7.6846946907130009E-2</v>
      </c>
      <c r="L27" s="119">
        <f>Depression!AR15</f>
        <v>-0.14521955315287594</v>
      </c>
      <c r="M27" s="118">
        <f>Dementia!AS7</f>
        <v>-8.0077296824401234E-3</v>
      </c>
      <c r="N27" s="119">
        <f>Dementia!AS15</f>
        <v>-1.1756715452244174E-2</v>
      </c>
      <c r="O27" s="118">
        <f>Diabetes!AR7</f>
        <v>-0.34676854279647862</v>
      </c>
      <c r="P27" s="119">
        <f>Diabetes!AR15</f>
        <v>-0.20423993425829667</v>
      </c>
      <c r="Q27" s="907">
        <f>HHD_air!AS7</f>
        <v>-3.0257002559333146E-3</v>
      </c>
      <c r="R27" s="907">
        <f>HHD_air!AS15</f>
        <v>-2.7331680139701759E-3</v>
      </c>
      <c r="S27" s="901">
        <f>-'Lung Cancer'!J7</f>
        <v>0</v>
      </c>
      <c r="T27" s="902">
        <f>-'Lung Cancer'!J15</f>
        <v>0</v>
      </c>
      <c r="U27" s="901"/>
      <c r="V27" s="902"/>
      <c r="W27" s="901">
        <f>-'Inflammatory HD'!J7</f>
        <v>0</v>
      </c>
      <c r="X27" s="902">
        <f>-'Inflammatory HD'!J15</f>
        <v>0</v>
      </c>
      <c r="Y27" s="901">
        <f>-'Resp diseases'!J7</f>
        <v>0</v>
      </c>
      <c r="Z27" s="907">
        <f>-'Resp diseases'!J15</f>
        <v>0</v>
      </c>
      <c r="AA27" s="901" t="e">
        <f>-(1-'Injuries results'!$H$38)*GBDUS!Q202</f>
        <v>#REF!</v>
      </c>
      <c r="AB27" s="907" t="e">
        <f>-(1-'Injuries results'!$H$38)*GBDUS!Q210</f>
        <v>#REF!</v>
      </c>
      <c r="AC27" s="901" t="e">
        <f t="shared" si="12"/>
        <v>#REF!</v>
      </c>
      <c r="AD27" s="902" t="e">
        <f t="shared" si="13"/>
        <v>#REF!</v>
      </c>
      <c r="AE27" s="901">
        <f t="shared" si="14"/>
        <v>-0.61312348776093462</v>
      </c>
      <c r="AF27" s="902">
        <f t="shared" si="15"/>
        <v>-0.46070476528370763</v>
      </c>
      <c r="AG27" s="901">
        <f>'All-cause mort'!AS7</f>
        <v>0</v>
      </c>
      <c r="AH27" s="902">
        <f>'All-cause mort'!AS17</f>
        <v>0</v>
      </c>
      <c r="AI27" s="239"/>
      <c r="AJ27" s="239"/>
      <c r="AK27" s="239"/>
      <c r="AL27" s="633"/>
      <c r="AM27" s="633"/>
    </row>
    <row r="28" spans="1:39" ht="13.15" customHeight="1" x14ac:dyDescent="0.25">
      <c r="A28" s="1121"/>
      <c r="B28" s="34" t="s">
        <v>7</v>
      </c>
      <c r="C28" s="118">
        <f>'Breast cancer'!AR8</f>
        <v>0</v>
      </c>
      <c r="D28" s="119">
        <f>'Breast cancer'!AR16</f>
        <v>-1.2546855198230955E-2</v>
      </c>
      <c r="E28" s="118">
        <f>'Colon Cancer'!AR8</f>
        <v>-6.8613626668167192E-4</v>
      </c>
      <c r="F28" s="119">
        <f>'Colon Cancer'!AR16</f>
        <v>-5.7041955371719966E-4</v>
      </c>
      <c r="G28" s="288">
        <f>Stroke_air!AS8</f>
        <v>-0.12042106643320966</v>
      </c>
      <c r="H28" s="288">
        <f>Stroke_air!AS16</f>
        <v>-7.0052115182599684E-2</v>
      </c>
      <c r="I28" s="118">
        <f>CVD_air!AS8</f>
        <v>-0.10236325756140363</v>
      </c>
      <c r="J28" s="119">
        <f>CVD_air!AS16</f>
        <v>-4.5730206840509408E-2</v>
      </c>
      <c r="K28" s="118">
        <f>Depression!AR8</f>
        <v>-4.8198339566383752E-2</v>
      </c>
      <c r="L28" s="119">
        <f>Depression!AR16</f>
        <v>-0.10437278868106636</v>
      </c>
      <c r="M28" s="118">
        <f>Dementia!AS8</f>
        <v>-2.4996429750636484E-2</v>
      </c>
      <c r="N28" s="119">
        <f>Dementia!AS16</f>
        <v>-4.4831767478610729E-2</v>
      </c>
      <c r="O28" s="118">
        <f>Diabetes!AR8</f>
        <v>-0.26975264802572196</v>
      </c>
      <c r="P28" s="119">
        <f>Diabetes!AR16</f>
        <v>-0.18093289601442952</v>
      </c>
      <c r="Q28" s="907">
        <f>HHD_air!AS8</f>
        <v>-9.5745203149650302E-4</v>
      </c>
      <c r="R28" s="907">
        <f>HHD_air!AS16</f>
        <v>-3.4661661580440723E-3</v>
      </c>
      <c r="S28" s="901">
        <f>-'Lung Cancer'!J8</f>
        <v>0</v>
      </c>
      <c r="T28" s="902">
        <f>-'Lung Cancer'!J16</f>
        <v>0</v>
      </c>
      <c r="U28" s="901"/>
      <c r="V28" s="902"/>
      <c r="W28" s="901">
        <f>-'Inflammatory HD'!J8</f>
        <v>0</v>
      </c>
      <c r="X28" s="902">
        <f>-'Inflammatory HD'!J16</f>
        <v>0</v>
      </c>
      <c r="Y28" s="901">
        <f>-'Resp diseases'!J8</f>
        <v>0</v>
      </c>
      <c r="Z28" s="907">
        <f>-'Resp diseases'!J16</f>
        <v>0</v>
      </c>
      <c r="AA28" s="901" t="e">
        <f>-(1-'Injuries results'!$H$38)*GBDUS!Q203</f>
        <v>#REF!</v>
      </c>
      <c r="AB28" s="907" t="e">
        <f>-(1-'Injuries results'!$H$38)*GBDUS!Q211</f>
        <v>#REF!</v>
      </c>
      <c r="AC28" s="901" t="e">
        <f t="shared" si="12"/>
        <v>#REF!</v>
      </c>
      <c r="AD28" s="902" t="e">
        <f t="shared" si="13"/>
        <v>#REF!</v>
      </c>
      <c r="AE28" s="901">
        <f t="shared" si="14"/>
        <v>-0.56737532963553372</v>
      </c>
      <c r="AF28" s="902">
        <f t="shared" si="15"/>
        <v>-0.46250321510720793</v>
      </c>
      <c r="AG28" s="901">
        <f>'All-cause mort'!AS8</f>
        <v>0</v>
      </c>
      <c r="AH28" s="902">
        <f>'All-cause mort'!AS18</f>
        <v>0</v>
      </c>
      <c r="AI28" s="239"/>
      <c r="AJ28" s="239"/>
      <c r="AK28" s="239"/>
      <c r="AL28" s="633"/>
      <c r="AM28" s="633"/>
    </row>
    <row r="29" spans="1:39" ht="13.15" customHeight="1" x14ac:dyDescent="0.25">
      <c r="A29" s="1121"/>
      <c r="B29" s="34" t="s">
        <v>8</v>
      </c>
      <c r="C29" s="118">
        <f>'Breast cancer'!AR9</f>
        <v>0</v>
      </c>
      <c r="D29" s="119">
        <f>'Breast cancer'!AR17</f>
        <v>-1.7301506808819339E-2</v>
      </c>
      <c r="E29" s="118">
        <f>'Colon Cancer'!AR9</f>
        <v>-2.3949411643556899E-3</v>
      </c>
      <c r="F29" s="119">
        <f>'Colon Cancer'!AR17</f>
        <v>-1.0017691346809639E-3</v>
      </c>
      <c r="G29" s="288">
        <f>Stroke_air!AS9</f>
        <v>-0.15095381192121454</v>
      </c>
      <c r="H29" s="288">
        <f>Stroke_air!AS17</f>
        <v>-0.11048421449935014</v>
      </c>
      <c r="I29" s="118">
        <f>CVD_air!AS9</f>
        <v>-9.1408566603767644E-2</v>
      </c>
      <c r="J29" s="119">
        <f>CVD_air!AS17</f>
        <v>-3.8745503100032774E-2</v>
      </c>
      <c r="K29" s="118">
        <f>Depression!AR9</f>
        <v>-4.5198231936885158E-2</v>
      </c>
      <c r="L29" s="119">
        <f>Depression!AR17</f>
        <v>-8.3057591395652053E-2</v>
      </c>
      <c r="M29" s="118">
        <f>Dementia!AS9</f>
        <v>-9.8083253827583206E-2</v>
      </c>
      <c r="N29" s="119">
        <f>Dementia!AS17</f>
        <v>-0.14042783701307193</v>
      </c>
      <c r="O29" s="118">
        <f>Diabetes!AR9</f>
        <v>-0.19909039177503696</v>
      </c>
      <c r="P29" s="119">
        <f>Diabetes!AR17</f>
        <v>-0.11932652045538639</v>
      </c>
      <c r="Q29" s="907">
        <f>HHD_air!AS9</f>
        <v>-4.414648265179625E-3</v>
      </c>
      <c r="R29" s="907">
        <f>HHD_air!AS17</f>
        <v>-4.3937295543128828E-3</v>
      </c>
      <c r="S29" s="901">
        <f>-'Lung Cancer'!J9</f>
        <v>0</v>
      </c>
      <c r="T29" s="902">
        <f>-'Lung Cancer'!J17</f>
        <v>0</v>
      </c>
      <c r="U29" s="901"/>
      <c r="V29" s="902"/>
      <c r="W29" s="901">
        <f>-'Inflammatory HD'!J9</f>
        <v>0</v>
      </c>
      <c r="X29" s="902">
        <f>-'Inflammatory HD'!J17</f>
        <v>0</v>
      </c>
      <c r="Y29" s="901">
        <f>-'Resp diseases'!J9</f>
        <v>0</v>
      </c>
      <c r="Z29" s="907">
        <f>-'Resp diseases'!J17</f>
        <v>0</v>
      </c>
      <c r="AA29" s="901" t="e">
        <f>-(1-'Injuries results'!$H$38)*GBDUS!Q204</f>
        <v>#REF!</v>
      </c>
      <c r="AB29" s="907" t="e">
        <f>-(1-'Injuries results'!$H$38)*GBDUS!Q212</f>
        <v>#REF!</v>
      </c>
      <c r="AC29" s="901" t="e">
        <f t="shared" si="12"/>
        <v>#REF!</v>
      </c>
      <c r="AD29" s="902" t="e">
        <f t="shared" si="13"/>
        <v>#REF!</v>
      </c>
      <c r="AE29" s="901">
        <f t="shared" si="14"/>
        <v>-0.59154384549402295</v>
      </c>
      <c r="AF29" s="902">
        <f t="shared" si="15"/>
        <v>-0.5147386719613064</v>
      </c>
      <c r="AG29" s="901">
        <f>'All-cause mort'!AS9</f>
        <v>0</v>
      </c>
      <c r="AH29" s="902">
        <f>'All-cause mort'!AS19</f>
        <v>0</v>
      </c>
      <c r="AI29" s="239"/>
      <c r="AJ29" s="239"/>
      <c r="AK29" s="239"/>
      <c r="AL29" s="633"/>
      <c r="AM29" s="633"/>
    </row>
    <row r="30" spans="1:39" ht="13.15" customHeight="1" x14ac:dyDescent="0.25">
      <c r="A30" s="1121"/>
      <c r="B30" s="35" t="s">
        <v>9</v>
      </c>
      <c r="C30" s="118">
        <f>'Breast cancer'!AR10</f>
        <v>0</v>
      </c>
      <c r="D30" s="119">
        <f>'Breast cancer'!AR18</f>
        <v>-1.0770004652710302E-2</v>
      </c>
      <c r="E30" s="118">
        <f>'Colon Cancer'!AR10</f>
        <v>-2.0330009785088296E-3</v>
      </c>
      <c r="F30" s="119">
        <f>'Colon Cancer'!AR18</f>
        <v>-8.1128087131197152E-4</v>
      </c>
      <c r="G30" s="288">
        <f>Stroke_air!AS10</f>
        <v>-0.12981650304201386</v>
      </c>
      <c r="H30" s="288">
        <f>Stroke_air!AS18</f>
        <v>-5.4711937717557668E-2</v>
      </c>
      <c r="I30" s="118">
        <f>CVD_air!AS10</f>
        <v>-7.7598964479714844E-2</v>
      </c>
      <c r="J30" s="119">
        <f>CVD_air!AS18</f>
        <v>-2.0049957005850633E-2</v>
      </c>
      <c r="K30" s="118">
        <f>Depression!AR10</f>
        <v>-3.0021478828355208E-2</v>
      </c>
      <c r="L30" s="119">
        <f>Depression!AR18</f>
        <v>-5.6239586592769841E-2</v>
      </c>
      <c r="M30" s="118">
        <f>Dementia!AS10</f>
        <v>-0.3484191114015962</v>
      </c>
      <c r="N30" s="119">
        <f>Dementia!AS18</f>
        <v>-0.42779501869114323</v>
      </c>
      <c r="O30" s="118">
        <f>Diabetes!AR10</f>
        <v>-0.11266629436826969</v>
      </c>
      <c r="P30" s="119">
        <f>Diabetes!AR18</f>
        <v>-5.289243804080429E-2</v>
      </c>
      <c r="Q30" s="907">
        <f>HHD_air!AS10</f>
        <v>-8.8980078832490541E-4</v>
      </c>
      <c r="R30" s="907">
        <f>HHD_air!AS18</f>
        <v>-5.7151224865891435E-4</v>
      </c>
      <c r="S30" s="901">
        <f>-'Lung Cancer'!J10</f>
        <v>0</v>
      </c>
      <c r="T30" s="902">
        <f>-'Lung Cancer'!J18</f>
        <v>0</v>
      </c>
      <c r="U30" s="901"/>
      <c r="V30" s="902"/>
      <c r="W30" s="901">
        <f>-'Inflammatory HD'!J10</f>
        <v>0</v>
      </c>
      <c r="X30" s="902">
        <f>-'Inflammatory HD'!J18</f>
        <v>0</v>
      </c>
      <c r="Y30" s="901">
        <f>-'Resp diseases'!J10</f>
        <v>0</v>
      </c>
      <c r="Z30" s="907">
        <f>-'Resp diseases'!J18</f>
        <v>0</v>
      </c>
      <c r="AA30" s="903" t="e">
        <f>-(1-'Injuries results'!$H$38)*GBDUS!Q205</f>
        <v>#REF!</v>
      </c>
      <c r="AB30" s="923" t="e">
        <f>-(1-'Injuries results'!$H$38)*GBDUS!Q213</f>
        <v>#REF!</v>
      </c>
      <c r="AC30" s="903" t="e">
        <f t="shared" si="12"/>
        <v>#REF!</v>
      </c>
      <c r="AD30" s="915" t="e">
        <f t="shared" si="13"/>
        <v>#REF!</v>
      </c>
      <c r="AE30" s="903">
        <f t="shared" si="14"/>
        <v>-0.70144515388678352</v>
      </c>
      <c r="AF30" s="915">
        <f t="shared" si="15"/>
        <v>-0.62384173582080693</v>
      </c>
      <c r="AG30" s="901">
        <f>'All-cause mort'!AS10</f>
        <v>0</v>
      </c>
      <c r="AH30" s="902">
        <f>'All-cause mort'!AS20</f>
        <v>0</v>
      </c>
      <c r="AI30" s="239"/>
      <c r="AJ30" s="239"/>
      <c r="AK30" s="239"/>
      <c r="AL30" s="633"/>
      <c r="AM30" s="633"/>
    </row>
    <row r="31" spans="1:39" ht="13.15" customHeight="1" x14ac:dyDescent="0.25">
      <c r="A31" s="1121"/>
      <c r="B31" s="1128" t="s">
        <v>74</v>
      </c>
      <c r="C31" s="232">
        <f>SUM(C25:C30)</f>
        <v>0</v>
      </c>
      <c r="D31" s="126">
        <f>SUM(D25:D30)</f>
        <v>-5.2606397942727798E-2</v>
      </c>
      <c r="E31" s="232">
        <f t="shared" ref="E31:R31" si="16">SUM(E25:E30)</f>
        <v>-5.9101896164231674E-3</v>
      </c>
      <c r="F31" s="126">
        <f t="shared" si="16"/>
        <v>-2.6049847284870769E-3</v>
      </c>
      <c r="G31" s="126">
        <f>SUM(G23:G30)</f>
        <v>-0.60532222943359937</v>
      </c>
      <c r="H31" s="126">
        <f>SUM(H23:H30)</f>
        <v>-0.75295183946269739</v>
      </c>
      <c r="I31" s="232">
        <f t="shared" si="16"/>
        <v>-0.4687993623956479</v>
      </c>
      <c r="J31" s="126">
        <f t="shared" si="16"/>
        <v>-0.30796622545491414</v>
      </c>
      <c r="K31" s="232">
        <f t="shared" si="16"/>
        <v>-0.29185844987040099</v>
      </c>
      <c r="L31" s="126">
        <f t="shared" si="16"/>
        <v>-0.60236053249893262</v>
      </c>
      <c r="M31" s="232">
        <f t="shared" si="16"/>
        <v>-0.47957706109134796</v>
      </c>
      <c r="N31" s="126">
        <f t="shared" si="16"/>
        <v>-0.62492796047420518</v>
      </c>
      <c r="O31" s="232">
        <f t="shared" si="16"/>
        <v>-1.4832108999400795</v>
      </c>
      <c r="P31" s="126">
        <f t="shared" si="16"/>
        <v>-0.99290043649337445</v>
      </c>
      <c r="Q31" s="908">
        <f t="shared" si="16"/>
        <v>-1.0118448271104934E-2</v>
      </c>
      <c r="R31" s="909">
        <f t="shared" si="16"/>
        <v>-1.2040345678184327E-2</v>
      </c>
      <c r="S31" s="908">
        <f>SUM(S25:S30)</f>
        <v>0</v>
      </c>
      <c r="T31" s="909">
        <f>SUM(T25:T30)</f>
        <v>0</v>
      </c>
      <c r="U31" s="908">
        <f>SUM(U23:U30)</f>
        <v>0</v>
      </c>
      <c r="V31" s="908">
        <f>SUM(V23:V30)</f>
        <v>0</v>
      </c>
      <c r="W31" s="908">
        <f>SUM(W25:W30)</f>
        <v>0</v>
      </c>
      <c r="X31" s="909">
        <f>SUM(X25:X30)</f>
        <v>0</v>
      </c>
      <c r="Y31" s="908">
        <f>SUM(Y25:Y30)</f>
        <v>0</v>
      </c>
      <c r="Z31" s="909">
        <f>SUM(Z25:Z30)</f>
        <v>0</v>
      </c>
      <c r="AA31" s="905" t="e">
        <f t="shared" ref="AA31:AH31" si="17">SUM(AA23:AA30)</f>
        <v>#REF!</v>
      </c>
      <c r="AB31" s="919" t="e">
        <f t="shared" si="17"/>
        <v>#REF!</v>
      </c>
      <c r="AC31" s="917" t="e">
        <f t="shared" si="17"/>
        <v>#REF!</v>
      </c>
      <c r="AD31" s="918" t="e">
        <f t="shared" si="17"/>
        <v>#REF!</v>
      </c>
      <c r="AE31" s="918">
        <f t="shared" si="17"/>
        <v>-3.3447966406186036</v>
      </c>
      <c r="AF31" s="919">
        <f t="shared" si="17"/>
        <v>-3.3483587227335234</v>
      </c>
      <c r="AG31" s="908">
        <f t="shared" si="17"/>
        <v>0</v>
      </c>
      <c r="AH31" s="909">
        <f t="shared" si="17"/>
        <v>0</v>
      </c>
      <c r="AI31" s="925" t="e">
        <f>AA31+AB31</f>
        <v>#REF!</v>
      </c>
      <c r="AJ31" s="925" t="e">
        <f>AC31+AD31</f>
        <v>#REF!</v>
      </c>
      <c r="AK31" s="925" t="e">
        <f>AJ31-AI31</f>
        <v>#REF!</v>
      </c>
      <c r="AL31" s="925">
        <f>S31+T31+U31+V31+Y31+Z31+W31+X31</f>
        <v>0</v>
      </c>
      <c r="AM31" s="925">
        <f>C31+D31+E31+F31+G31+H31+I31+J31+K31+L31+M31+N31+O31+P31+Q31+R31</f>
        <v>-6.693155363352127</v>
      </c>
    </row>
    <row r="32" spans="1:39" ht="13.15" customHeight="1" thickBot="1" x14ac:dyDescent="0.3">
      <c r="A32" s="1122"/>
      <c r="B32" s="1127"/>
      <c r="C32" s="1115">
        <f>0-'Breast cancer'!AR20</f>
        <v>1.4253264215406923E-2</v>
      </c>
      <c r="D32" s="1116"/>
      <c r="E32" s="1115">
        <f>0-'Colon Cancer'!AR20</f>
        <v>1.7744391569415163E-2</v>
      </c>
      <c r="F32" s="1116"/>
      <c r="G32" s="1115">
        <f>0-Stroke_air!AS20</f>
        <v>7.3181930988048427E-2</v>
      </c>
      <c r="H32" s="1116"/>
      <c r="I32" s="1115">
        <f>0-CVD_air!AS20</f>
        <v>7.4121326118377309E-2</v>
      </c>
      <c r="J32" s="1116"/>
      <c r="K32" s="1115">
        <f>0-Depression!AR20</f>
        <v>1.7300414190128791E-2</v>
      </c>
      <c r="L32" s="1116"/>
      <c r="M32" s="1115">
        <f>0-Dementia!AS20</f>
        <v>3.5004078748302699E-2</v>
      </c>
      <c r="N32" s="1116"/>
      <c r="O32" s="1115">
        <f>0-Diabetes!AR20</f>
        <v>7.0952482714382994E-2</v>
      </c>
      <c r="P32" s="1116"/>
      <c r="Q32" s="1113">
        <f>0-HHD_air!AS20</f>
        <v>6.8905505163248226E-2</v>
      </c>
      <c r="R32" s="1114"/>
      <c r="S32" s="1113">
        <f>'Lung Cancer'!N21</f>
        <v>0</v>
      </c>
      <c r="T32" s="1114"/>
      <c r="U32" s="1104">
        <f>'Acute Resp Infect'!J20</f>
        <v>0</v>
      </c>
      <c r="V32" s="1105"/>
      <c r="W32" s="1104">
        <f>'Inflammatory HD'!N21</f>
        <v>0</v>
      </c>
      <c r="X32" s="1105"/>
      <c r="Y32" s="1104">
        <f>'Resp diseases'!N21</f>
        <v>0</v>
      </c>
      <c r="Z32" s="1105"/>
      <c r="AA32" s="1104" t="e">
        <f>(AA31+AB31)/GBDUS!Q214</f>
        <v>#REF!</v>
      </c>
      <c r="AB32" s="1117"/>
      <c r="AC32" s="1096" t="e">
        <f>-(AC31+AD31)/GBDUS!Q236</f>
        <v>#REF!</v>
      </c>
      <c r="AD32" s="1097"/>
      <c r="AE32" s="1096">
        <f>-(AE31+AF31)/GBDUS!Q236</f>
        <v>1.101672165469692E-2</v>
      </c>
      <c r="AF32" s="1097"/>
      <c r="AG32" s="1104">
        <v>0</v>
      </c>
      <c r="AH32" s="1105"/>
      <c r="AI32" s="239"/>
      <c r="AJ32" s="239"/>
      <c r="AK32" s="239"/>
      <c r="AL32" s="633"/>
      <c r="AM32" s="633"/>
    </row>
    <row r="33" spans="1:39" ht="13.15" customHeight="1" x14ac:dyDescent="0.25">
      <c r="A33" s="1123" t="s">
        <v>29</v>
      </c>
      <c r="B33" s="121" t="s">
        <v>2</v>
      </c>
      <c r="C33" s="118">
        <f t="shared" ref="C33:E34" si="18">C13++C23</f>
        <v>0</v>
      </c>
      <c r="D33" s="119">
        <f t="shared" si="18"/>
        <v>0</v>
      </c>
      <c r="E33" s="118">
        <f t="shared" si="18"/>
        <v>0</v>
      </c>
      <c r="F33" s="119">
        <f t="shared" ref="F33:H34" si="19">F13+F23</f>
        <v>0</v>
      </c>
      <c r="G33" s="288">
        <f>G13+G23</f>
        <v>0</v>
      </c>
      <c r="H33" s="288">
        <f>H13+H23</f>
        <v>0</v>
      </c>
      <c r="I33" s="118">
        <f t="shared" ref="I33:N33" si="20">I13++I23</f>
        <v>0</v>
      </c>
      <c r="J33" s="119">
        <f t="shared" si="20"/>
        <v>0</v>
      </c>
      <c r="K33" s="118">
        <f t="shared" si="20"/>
        <v>0</v>
      </c>
      <c r="L33" s="119">
        <f t="shared" si="20"/>
        <v>0</v>
      </c>
      <c r="M33" s="118">
        <f t="shared" si="20"/>
        <v>0</v>
      </c>
      <c r="N33" s="119">
        <f t="shared" si="20"/>
        <v>0</v>
      </c>
      <c r="O33" s="118">
        <f t="shared" ref="O33:R34" si="21">O13+O23</f>
        <v>0</v>
      </c>
      <c r="P33" s="119">
        <f t="shared" si="21"/>
        <v>0</v>
      </c>
      <c r="Q33" s="910">
        <f t="shared" si="21"/>
        <v>0</v>
      </c>
      <c r="R33" s="911">
        <f t="shared" si="21"/>
        <v>0</v>
      </c>
      <c r="S33" s="910">
        <f>S13++S23</f>
        <v>0</v>
      </c>
      <c r="T33" s="911">
        <f>T13++T23</f>
        <v>0</v>
      </c>
      <c r="U33" s="901">
        <f>U13++U23</f>
        <v>0</v>
      </c>
      <c r="V33" s="902">
        <f>V13+V23</f>
        <v>0</v>
      </c>
      <c r="W33" s="901">
        <f t="shared" ref="W33:Z40" si="22">W13++W23</f>
        <v>0</v>
      </c>
      <c r="X33" s="902">
        <f t="shared" si="22"/>
        <v>0</v>
      </c>
      <c r="Y33" s="901">
        <f t="shared" si="22"/>
        <v>0</v>
      </c>
      <c r="Z33" s="902">
        <f t="shared" si="22"/>
        <v>0</v>
      </c>
      <c r="AA33" s="901" t="e">
        <f t="shared" ref="AA33:AB40" si="23">AA13+AA23</f>
        <v>#REF!</v>
      </c>
      <c r="AB33" s="907" t="e">
        <f t="shared" si="23"/>
        <v>#REF!</v>
      </c>
      <c r="AC33" s="901" t="e">
        <f>C33+E33+I33+K33+M33++O33+S33+U33+W33+Y33+AA33+G33+Q33</f>
        <v>#REF!</v>
      </c>
      <c r="AD33" s="902" t="e">
        <f>D33+F33+J33+L33+N33++P33+T33+V33+X33+Z33+AB33+H33+R33</f>
        <v>#REF!</v>
      </c>
      <c r="AE33" s="901">
        <f>C33+E33+I33+K33+M33++O33+S33+U33+W33+Y33+G33+Q33</f>
        <v>0</v>
      </c>
      <c r="AF33" s="902">
        <f>D33+F33+J33+L33+N33++P33+T33+V33+X33+Z33+H33+R33</f>
        <v>0</v>
      </c>
      <c r="AG33" s="901">
        <f t="shared" ref="AG33:AH40" si="24">AG13+AG23</f>
        <v>0</v>
      </c>
      <c r="AH33" s="902">
        <f t="shared" si="24"/>
        <v>0</v>
      </c>
      <c r="AI33" s="559"/>
      <c r="AJ33" s="239"/>
      <c r="AK33" s="239"/>
      <c r="AL33" s="633"/>
      <c r="AM33" s="633"/>
    </row>
    <row r="34" spans="1:39" ht="13.15" customHeight="1" x14ac:dyDescent="0.25">
      <c r="A34" s="1121"/>
      <c r="B34" s="34" t="s">
        <v>3</v>
      </c>
      <c r="C34" s="118">
        <f t="shared" si="18"/>
        <v>0</v>
      </c>
      <c r="D34" s="119">
        <f t="shared" si="18"/>
        <v>0</v>
      </c>
      <c r="E34" s="118">
        <f t="shared" si="18"/>
        <v>0</v>
      </c>
      <c r="F34" s="119">
        <f t="shared" si="19"/>
        <v>0</v>
      </c>
      <c r="G34" s="288">
        <f t="shared" si="19"/>
        <v>0</v>
      </c>
      <c r="H34" s="288">
        <f t="shared" si="19"/>
        <v>0</v>
      </c>
      <c r="I34" s="118">
        <f t="shared" ref="I34:N34" si="25">I14++I24</f>
        <v>0</v>
      </c>
      <c r="J34" s="119">
        <f t="shared" si="25"/>
        <v>0</v>
      </c>
      <c r="K34" s="118">
        <f t="shared" si="25"/>
        <v>0</v>
      </c>
      <c r="L34" s="119">
        <f t="shared" si="25"/>
        <v>0</v>
      </c>
      <c r="M34" s="118">
        <f t="shared" si="25"/>
        <v>0</v>
      </c>
      <c r="N34" s="119">
        <f t="shared" si="25"/>
        <v>0</v>
      </c>
      <c r="O34" s="118">
        <f>O14+O24</f>
        <v>0</v>
      </c>
      <c r="P34" s="119">
        <f>P14+P24</f>
        <v>0</v>
      </c>
      <c r="Q34" s="910">
        <f t="shared" si="21"/>
        <v>0</v>
      </c>
      <c r="R34" s="911">
        <f t="shared" si="21"/>
        <v>0</v>
      </c>
      <c r="S34" s="910">
        <f>S14++S24</f>
        <v>0</v>
      </c>
      <c r="T34" s="911">
        <f>T14++T24</f>
        <v>0</v>
      </c>
      <c r="U34" s="901"/>
      <c r="V34" s="902"/>
      <c r="W34" s="901">
        <f t="shared" si="22"/>
        <v>0</v>
      </c>
      <c r="X34" s="902">
        <f t="shared" si="22"/>
        <v>0</v>
      </c>
      <c r="Y34" s="901">
        <f t="shared" si="22"/>
        <v>0</v>
      </c>
      <c r="Z34" s="902">
        <f t="shared" si="22"/>
        <v>0</v>
      </c>
      <c r="AA34" s="901" t="e">
        <f t="shared" si="23"/>
        <v>#REF!</v>
      </c>
      <c r="AB34" s="907" t="e">
        <f t="shared" si="23"/>
        <v>#REF!</v>
      </c>
      <c r="AC34" s="901" t="e">
        <f t="shared" ref="AC34:AC40" si="26">C34+E34+I34+K34+M34++O34+S34+U34+W34+Y34+AA34+G34+Q34</f>
        <v>#REF!</v>
      </c>
      <c r="AD34" s="902" t="e">
        <f t="shared" ref="AD34:AD40" si="27">D34+F34+J34+L34+N34++P34+T34+V34+X34+Z34+AB34+H34+R34</f>
        <v>#REF!</v>
      </c>
      <c r="AE34" s="901">
        <f t="shared" ref="AE34:AE40" si="28">C34+E34+I34+K34+M34++O34+S34+U34+W34+Y34+G34+Q34</f>
        <v>0</v>
      </c>
      <c r="AF34" s="902">
        <f t="shared" ref="AF34:AF40" si="29">D34+F34+J34+L34+N34++P34+T34+V34+X34+Z34+H34+R34</f>
        <v>0</v>
      </c>
      <c r="AG34" s="901">
        <f t="shared" si="24"/>
        <v>0</v>
      </c>
      <c r="AH34" s="902">
        <f t="shared" si="24"/>
        <v>0</v>
      </c>
      <c r="AI34" s="558"/>
      <c r="AK34" s="239"/>
      <c r="AL34" s="633"/>
      <c r="AM34" s="633"/>
    </row>
    <row r="35" spans="1:39" ht="13.15" customHeight="1" x14ac:dyDescent="0.25">
      <c r="A35" s="1121"/>
      <c r="B35" s="34" t="s">
        <v>4</v>
      </c>
      <c r="C35" s="118">
        <f t="shared" ref="C35:C40" si="30">C15++C25</f>
        <v>0</v>
      </c>
      <c r="D35" s="119">
        <f t="shared" ref="D35:N35" si="31">D15++D25</f>
        <v>-8.1125934190488889E-5</v>
      </c>
      <c r="E35" s="118">
        <f t="shared" si="31"/>
        <v>-2.4312645614497054E-4</v>
      </c>
      <c r="F35" s="119">
        <f t="shared" ref="F35:H40" si="32">F15+F25</f>
        <v>-3.9857827518787796E-6</v>
      </c>
      <c r="G35" s="288">
        <f t="shared" si="32"/>
        <v>-1.8305777589866574E-2</v>
      </c>
      <c r="H35" s="288">
        <f t="shared" si="32"/>
        <v>-1.3168551456127518E-2</v>
      </c>
      <c r="I35" s="118">
        <f t="shared" si="31"/>
        <v>-1.6723486510177445E-2</v>
      </c>
      <c r="J35" s="119">
        <f t="shared" si="31"/>
        <v>-8.4689210669057491E-3</v>
      </c>
      <c r="K35" s="118">
        <f t="shared" si="31"/>
        <v>-3.9205823637688764E-2</v>
      </c>
      <c r="L35" s="119">
        <f t="shared" si="31"/>
        <v>-9.0455511570755931E-2</v>
      </c>
      <c r="M35" s="118">
        <f t="shared" si="31"/>
        <v>0</v>
      </c>
      <c r="N35" s="119">
        <f t="shared" si="31"/>
        <v>0</v>
      </c>
      <c r="O35" s="118">
        <f>O15+O25</f>
        <v>-2.8720869711765309E-2</v>
      </c>
      <c r="P35" s="119">
        <f>P15+P25</f>
        <v>-3.0478327606875674E-2</v>
      </c>
      <c r="Q35" s="910">
        <f>Q15+Q25</f>
        <v>-9.0253251173282121E-4</v>
      </c>
      <c r="R35" s="911">
        <f>R15+R25</f>
        <v>-2.018116556134865E-4</v>
      </c>
      <c r="S35" s="910">
        <f t="shared" ref="S35:T40" si="33">S15++S25</f>
        <v>0</v>
      </c>
      <c r="T35" s="911">
        <f t="shared" si="33"/>
        <v>0</v>
      </c>
      <c r="U35" s="901"/>
      <c r="V35" s="902"/>
      <c r="W35" s="901">
        <f t="shared" si="22"/>
        <v>0</v>
      </c>
      <c r="X35" s="902">
        <f t="shared" si="22"/>
        <v>0</v>
      </c>
      <c r="Y35" s="901">
        <f t="shared" si="22"/>
        <v>0</v>
      </c>
      <c r="Z35" s="902">
        <f t="shared" si="22"/>
        <v>0</v>
      </c>
      <c r="AA35" s="901" t="e">
        <f t="shared" si="23"/>
        <v>#REF!</v>
      </c>
      <c r="AB35" s="907" t="e">
        <f t="shared" si="23"/>
        <v>#REF!</v>
      </c>
      <c r="AC35" s="901" t="e">
        <f t="shared" si="26"/>
        <v>#REF!</v>
      </c>
      <c r="AD35" s="902" t="e">
        <f>D35+F35+J35+L35+N35++P35+T35+V35+X35+Z35+AB35+H35+R35</f>
        <v>#REF!</v>
      </c>
      <c r="AE35" s="901">
        <f t="shared" si="28"/>
        <v>-0.10410161641737588</v>
      </c>
      <c r="AF35" s="902">
        <f t="shared" si="29"/>
        <v>-0.14285823507322071</v>
      </c>
      <c r="AG35" s="901">
        <f t="shared" si="24"/>
        <v>-0.1247679243782529</v>
      </c>
      <c r="AH35" s="902">
        <f t="shared" si="24"/>
        <v>-7.2328321473525303E-2</v>
      </c>
      <c r="AI35" s="558"/>
      <c r="AK35" s="239"/>
      <c r="AL35" s="633"/>
      <c r="AM35" s="633"/>
    </row>
    <row r="36" spans="1:39" ht="13.15" customHeight="1" x14ac:dyDescent="0.25">
      <c r="A36" s="1121"/>
      <c r="B36" s="34" t="s">
        <v>5</v>
      </c>
      <c r="C36" s="118">
        <f t="shared" si="30"/>
        <v>0</v>
      </c>
      <c r="D36" s="119">
        <f t="shared" ref="D36:E40" si="34">D16++D26</f>
        <v>-4.1097859072566661E-2</v>
      </c>
      <c r="E36" s="118">
        <f t="shared" si="34"/>
        <v>-3.5405366724941649E-3</v>
      </c>
      <c r="F36" s="119">
        <f t="shared" si="32"/>
        <v>-4.1859244296452278E-4</v>
      </c>
      <c r="G36" s="288">
        <f t="shared" si="32"/>
        <v>-0.27823251660582071</v>
      </c>
      <c r="H36" s="288">
        <f t="shared" si="32"/>
        <v>-0.62567890628534284</v>
      </c>
      <c r="I36" s="118">
        <f t="shared" ref="I36:N39" si="35">I16++I26</f>
        <v>-0.59708469761333816</v>
      </c>
      <c r="J36" s="119">
        <f t="shared" si="35"/>
        <v>-0.2776652657658969</v>
      </c>
      <c r="K36" s="118">
        <f t="shared" si="35"/>
        <v>-5.2470034354615516E-2</v>
      </c>
      <c r="L36" s="119">
        <f t="shared" si="35"/>
        <v>-0.1230155011058125</v>
      </c>
      <c r="M36" s="118">
        <f t="shared" si="35"/>
        <v>-3.0299594118891437E-4</v>
      </c>
      <c r="N36" s="119">
        <f t="shared" si="35"/>
        <v>-6.0371734176071557E-4</v>
      </c>
      <c r="O36" s="118">
        <f t="shared" ref="O36:R40" si="36">O16+O26</f>
        <v>-0.75837126466663995</v>
      </c>
      <c r="P36" s="119">
        <f t="shared" si="36"/>
        <v>-0.54532703725957088</v>
      </c>
      <c r="Q36" s="910">
        <f t="shared" si="36"/>
        <v>-3.7126175160152588E-3</v>
      </c>
      <c r="R36" s="911">
        <f t="shared" si="36"/>
        <v>-4.3612295743166649E-3</v>
      </c>
      <c r="S36" s="910">
        <f t="shared" si="33"/>
        <v>0</v>
      </c>
      <c r="T36" s="911">
        <f t="shared" si="33"/>
        <v>0</v>
      </c>
      <c r="U36" s="901"/>
      <c r="V36" s="902"/>
      <c r="W36" s="901">
        <f t="shared" si="22"/>
        <v>0</v>
      </c>
      <c r="X36" s="902">
        <f t="shared" si="22"/>
        <v>0</v>
      </c>
      <c r="Y36" s="901">
        <f t="shared" si="22"/>
        <v>0</v>
      </c>
      <c r="Z36" s="902">
        <f t="shared" si="22"/>
        <v>0</v>
      </c>
      <c r="AA36" s="901" t="e">
        <f t="shared" si="23"/>
        <v>#REF!</v>
      </c>
      <c r="AB36" s="907" t="e">
        <f t="shared" si="23"/>
        <v>#REF!</v>
      </c>
      <c r="AC36" s="901" t="e">
        <f t="shared" si="26"/>
        <v>#REF!</v>
      </c>
      <c r="AD36" s="902" t="e">
        <f t="shared" si="27"/>
        <v>#REF!</v>
      </c>
      <c r="AE36" s="901">
        <f t="shared" si="28"/>
        <v>-1.6937146633701128</v>
      </c>
      <c r="AF36" s="902">
        <f t="shared" si="29"/>
        <v>-1.6181681088482316</v>
      </c>
      <c r="AG36" s="901">
        <f t="shared" si="24"/>
        <v>-0.10202704355585812</v>
      </c>
      <c r="AH36" s="902">
        <f t="shared" si="24"/>
        <v>-8.2776758039669218E-2</v>
      </c>
      <c r="AI36" s="558"/>
      <c r="AK36" s="239"/>
      <c r="AL36" s="633"/>
      <c r="AM36" s="633"/>
    </row>
    <row r="37" spans="1:39" ht="13.15" customHeight="1" x14ac:dyDescent="0.25">
      <c r="A37" s="1121"/>
      <c r="B37" s="34" t="s">
        <v>6</v>
      </c>
      <c r="C37" s="118">
        <f t="shared" si="30"/>
        <v>0</v>
      </c>
      <c r="D37" s="119">
        <f t="shared" si="34"/>
        <v>-3.1330261552418512E-2</v>
      </c>
      <c r="E37" s="118">
        <f t="shared" si="34"/>
        <v>-4.5086834108877278E-3</v>
      </c>
      <c r="F37" s="119">
        <f t="shared" si="32"/>
        <v>-2.2138390872052842E-3</v>
      </c>
      <c r="G37" s="288">
        <f t="shared" si="32"/>
        <v>-0.23336614578259349</v>
      </c>
      <c r="H37" s="288">
        <f t="shared" si="32"/>
        <v>-0.13362081241040408</v>
      </c>
      <c r="I37" s="118">
        <f t="shared" si="35"/>
        <v>-0.68149976000918566</v>
      </c>
      <c r="J37" s="119">
        <f t="shared" si="35"/>
        <v>-0.16136656573686126</v>
      </c>
      <c r="K37" s="118">
        <f t="shared" si="35"/>
        <v>-7.722371613049929E-2</v>
      </c>
      <c r="L37" s="119">
        <f t="shared" si="35"/>
        <v>-0.14569273504857461</v>
      </c>
      <c r="M37" s="118">
        <f t="shared" si="35"/>
        <v>-1.2021937522469425E-2</v>
      </c>
      <c r="N37" s="119">
        <f t="shared" si="35"/>
        <v>-1.6926488126241257E-2</v>
      </c>
      <c r="O37" s="118">
        <f t="shared" ref="O37:P40" si="37">O17+O27</f>
        <v>-0.55037045226646963</v>
      </c>
      <c r="P37" s="119">
        <f t="shared" si="37"/>
        <v>-0.29961843597616628</v>
      </c>
      <c r="Q37" s="910">
        <f t="shared" si="36"/>
        <v>-2.5885677007346342E-2</v>
      </c>
      <c r="R37" s="911">
        <f t="shared" si="36"/>
        <v>-7.7968867968066175E-3</v>
      </c>
      <c r="S37" s="910">
        <f t="shared" si="33"/>
        <v>0</v>
      </c>
      <c r="T37" s="911">
        <f t="shared" si="33"/>
        <v>0</v>
      </c>
      <c r="U37" s="901"/>
      <c r="V37" s="902"/>
      <c r="W37" s="901">
        <f t="shared" si="22"/>
        <v>0</v>
      </c>
      <c r="X37" s="902">
        <f t="shared" si="22"/>
        <v>0</v>
      </c>
      <c r="Y37" s="901">
        <f t="shared" si="22"/>
        <v>0</v>
      </c>
      <c r="Z37" s="902">
        <f t="shared" si="22"/>
        <v>0</v>
      </c>
      <c r="AA37" s="901" t="e">
        <f t="shared" si="23"/>
        <v>#REF!</v>
      </c>
      <c r="AB37" s="907" t="e">
        <f t="shared" si="23"/>
        <v>#REF!</v>
      </c>
      <c r="AC37" s="901" t="e">
        <f t="shared" si="26"/>
        <v>#REF!</v>
      </c>
      <c r="AD37" s="902" t="e">
        <f t="shared" si="27"/>
        <v>#REF!</v>
      </c>
      <c r="AE37" s="901">
        <f t="shared" si="28"/>
        <v>-1.5848763721294514</v>
      </c>
      <c r="AF37" s="902">
        <f t="shared" si="29"/>
        <v>-0.79856602473467775</v>
      </c>
      <c r="AG37" s="901">
        <f t="shared" si="24"/>
        <v>-0.37429844883096308</v>
      </c>
      <c r="AH37" s="902">
        <f t="shared" si="24"/>
        <v>-0.27459367377151267</v>
      </c>
      <c r="AI37" s="558"/>
      <c r="AK37" s="239"/>
      <c r="AL37" s="633"/>
      <c r="AM37" s="633"/>
    </row>
    <row r="38" spans="1:39" ht="13.15" customHeight="1" x14ac:dyDescent="0.25">
      <c r="A38" s="1121"/>
      <c r="B38" s="34" t="s">
        <v>7</v>
      </c>
      <c r="C38" s="118">
        <f t="shared" si="30"/>
        <v>0</v>
      </c>
      <c r="D38" s="119">
        <f t="shared" si="34"/>
        <v>-5.0007691498305196E-2</v>
      </c>
      <c r="E38" s="118">
        <f t="shared" si="34"/>
        <v>-6.4302116971369973E-3</v>
      </c>
      <c r="F38" s="119">
        <f t="shared" si="32"/>
        <v>-5.6249429491939118E-3</v>
      </c>
      <c r="G38" s="288">
        <f t="shared" si="32"/>
        <v>-0.27288904897582655</v>
      </c>
      <c r="H38" s="288">
        <f t="shared" si="32"/>
        <v>-0.16158266725645382</v>
      </c>
      <c r="I38" s="118">
        <f t="shared" si="35"/>
        <v>-0.6820397509238979</v>
      </c>
      <c r="J38" s="119">
        <f t="shared" si="35"/>
        <v>-0.2275641168447978</v>
      </c>
      <c r="K38" s="118">
        <f t="shared" si="35"/>
        <v>-4.8368286373133507E-2</v>
      </c>
      <c r="L38" s="119">
        <f t="shared" si="35"/>
        <v>-0.10449470871271077</v>
      </c>
      <c r="M38" s="118">
        <f t="shared" si="35"/>
        <v>-4.1299159977921107E-2</v>
      </c>
      <c r="N38" s="119">
        <f t="shared" si="35"/>
        <v>-6.7959855771864308E-2</v>
      </c>
      <c r="O38" s="118">
        <f t="shared" si="37"/>
        <v>-0.47468394546906267</v>
      </c>
      <c r="P38" s="119">
        <f t="shared" si="37"/>
        <v>-0.30147119151203816</v>
      </c>
      <c r="Q38" s="910">
        <f t="shared" si="36"/>
        <v>-2.1449591365620184E-2</v>
      </c>
      <c r="R38" s="911">
        <f t="shared" si="36"/>
        <v>-8.251626720358847E-3</v>
      </c>
      <c r="S38" s="910">
        <f t="shared" si="33"/>
        <v>0</v>
      </c>
      <c r="T38" s="911">
        <f t="shared" si="33"/>
        <v>0</v>
      </c>
      <c r="U38" s="901"/>
      <c r="V38" s="902"/>
      <c r="W38" s="901">
        <f t="shared" si="22"/>
        <v>0</v>
      </c>
      <c r="X38" s="902">
        <f t="shared" si="22"/>
        <v>0</v>
      </c>
      <c r="Y38" s="901">
        <f t="shared" si="22"/>
        <v>0</v>
      </c>
      <c r="Z38" s="902">
        <f t="shared" si="22"/>
        <v>0</v>
      </c>
      <c r="AA38" s="901" t="e">
        <f t="shared" si="23"/>
        <v>#REF!</v>
      </c>
      <c r="AB38" s="907" t="e">
        <f t="shared" si="23"/>
        <v>#REF!</v>
      </c>
      <c r="AC38" s="901" t="e">
        <f t="shared" si="26"/>
        <v>#REF!</v>
      </c>
      <c r="AD38" s="902" t="e">
        <f t="shared" si="27"/>
        <v>#REF!</v>
      </c>
      <c r="AE38" s="901">
        <f t="shared" si="28"/>
        <v>-1.5471599947825987</v>
      </c>
      <c r="AF38" s="902">
        <f t="shared" si="29"/>
        <v>-0.92695680126572289</v>
      </c>
      <c r="AG38" s="901">
        <f t="shared" si="24"/>
        <v>-0.46845752189997647</v>
      </c>
      <c r="AH38" s="902">
        <f t="shared" si="24"/>
        <v>-0.54250615952367376</v>
      </c>
      <c r="AI38" s="558"/>
      <c r="AK38" s="239"/>
      <c r="AL38" s="633"/>
      <c r="AM38" s="633"/>
    </row>
    <row r="39" spans="1:39" ht="13.15" customHeight="1" x14ac:dyDescent="0.25">
      <c r="A39" s="1121"/>
      <c r="B39" s="34" t="s">
        <v>8</v>
      </c>
      <c r="C39" s="118">
        <f t="shared" si="30"/>
        <v>0</v>
      </c>
      <c r="D39" s="119">
        <f t="shared" si="34"/>
        <v>-5.0726895025842628E-2</v>
      </c>
      <c r="E39" s="118">
        <f t="shared" si="34"/>
        <v>-1.6733246994303754E-2</v>
      </c>
      <c r="F39" s="119">
        <f t="shared" si="32"/>
        <v>-7.5165006603266811E-3</v>
      </c>
      <c r="G39" s="288">
        <f t="shared" si="32"/>
        <v>-0.3332260177181337</v>
      </c>
      <c r="H39" s="288">
        <f t="shared" si="32"/>
        <v>-0.26593280691060467</v>
      </c>
      <c r="I39" s="118">
        <f t="shared" si="35"/>
        <v>-0.56840876783877925</v>
      </c>
      <c r="J39" s="119">
        <f t="shared" si="35"/>
        <v>-0.23333647923319956</v>
      </c>
      <c r="K39" s="118">
        <f t="shared" si="35"/>
        <v>-4.6283417189302914E-2</v>
      </c>
      <c r="L39" s="119">
        <f t="shared" si="35"/>
        <v>-8.3865353307312721E-2</v>
      </c>
      <c r="M39" s="118">
        <f t="shared" si="35"/>
        <v>-0.18353459477824113</v>
      </c>
      <c r="N39" s="119">
        <f t="shared" si="35"/>
        <v>-0.25657501495403645</v>
      </c>
      <c r="O39" s="118">
        <f t="shared" si="37"/>
        <v>-0.35796999815154767</v>
      </c>
      <c r="P39" s="119">
        <f t="shared" si="37"/>
        <v>-0.20824189496414974</v>
      </c>
      <c r="Q39" s="910">
        <f t="shared" si="36"/>
        <v>-1.9186251648832458E-2</v>
      </c>
      <c r="R39" s="911">
        <f t="shared" si="36"/>
        <v>-1.5687745751974357E-2</v>
      </c>
      <c r="S39" s="910">
        <f t="shared" si="33"/>
        <v>0</v>
      </c>
      <c r="T39" s="911">
        <f t="shared" si="33"/>
        <v>0</v>
      </c>
      <c r="U39" s="901"/>
      <c r="V39" s="902"/>
      <c r="W39" s="901">
        <f t="shared" si="22"/>
        <v>0</v>
      </c>
      <c r="X39" s="902">
        <f t="shared" si="22"/>
        <v>0</v>
      </c>
      <c r="Y39" s="901">
        <f t="shared" si="22"/>
        <v>0</v>
      </c>
      <c r="Z39" s="902">
        <f t="shared" si="22"/>
        <v>0</v>
      </c>
      <c r="AA39" s="901" t="e">
        <f t="shared" si="23"/>
        <v>#REF!</v>
      </c>
      <c r="AB39" s="907" t="e">
        <f t="shared" si="23"/>
        <v>#REF!</v>
      </c>
      <c r="AC39" s="901" t="e">
        <f t="shared" si="26"/>
        <v>#REF!</v>
      </c>
      <c r="AD39" s="902" t="e">
        <f t="shared" si="27"/>
        <v>#REF!</v>
      </c>
      <c r="AE39" s="901">
        <f t="shared" si="28"/>
        <v>-1.5253422943191408</v>
      </c>
      <c r="AF39" s="902">
        <f t="shared" si="29"/>
        <v>-1.1218826908074468</v>
      </c>
      <c r="AG39" s="901">
        <f t="shared" si="24"/>
        <v>-0.98929389519332034</v>
      </c>
      <c r="AH39" s="902">
        <f t="shared" si="24"/>
        <v>-1.0536545552257994</v>
      </c>
      <c r="AI39" s="558"/>
      <c r="AK39" s="239"/>
      <c r="AL39" s="633"/>
      <c r="AM39" s="633"/>
    </row>
    <row r="40" spans="1:39" ht="13.15" customHeight="1" x14ac:dyDescent="0.25">
      <c r="A40" s="1121"/>
      <c r="B40" s="35" t="s">
        <v>9</v>
      </c>
      <c r="C40" s="118">
        <f t="shared" si="30"/>
        <v>0</v>
      </c>
      <c r="D40" s="119">
        <f t="shared" si="34"/>
        <v>-2.2888116833106806E-2</v>
      </c>
      <c r="E40" s="118">
        <f t="shared" si="34"/>
        <v>-9.8956087900989656E-3</v>
      </c>
      <c r="F40" s="119">
        <f t="shared" si="32"/>
        <v>-4.421930075911934E-3</v>
      </c>
      <c r="G40" s="288">
        <f t="shared" si="32"/>
        <v>-0.34101767518138781</v>
      </c>
      <c r="H40" s="288">
        <f t="shared" si="32"/>
        <v>-0.19059077376058975</v>
      </c>
      <c r="I40" s="118">
        <f>I20++I30</f>
        <v>-0.53121862420150556</v>
      </c>
      <c r="J40" s="119">
        <f>J20++J30</f>
        <v>-0.17399108776891756</v>
      </c>
      <c r="K40" s="118">
        <f>K20++K30</f>
        <v>-3.0722495130631661E-2</v>
      </c>
      <c r="L40" s="119">
        <f>L20++L30</f>
        <v>-5.7430080176713819E-2</v>
      </c>
      <c r="M40" s="118">
        <f>M20+M30</f>
        <v>-0.58351795385735494</v>
      </c>
      <c r="N40" s="119">
        <f>N20++N30</f>
        <v>-0.79610492851625958</v>
      </c>
      <c r="O40" s="118">
        <f t="shared" si="37"/>
        <v>-0.20844805048533821</v>
      </c>
      <c r="P40" s="119">
        <f t="shared" si="37"/>
        <v>-9.7646305799546695E-2</v>
      </c>
      <c r="Q40" s="910">
        <f t="shared" si="36"/>
        <v>-9.7720502142738322E-3</v>
      </c>
      <c r="R40" s="911">
        <f t="shared" si="36"/>
        <v>-7.4092780534655064E-3</v>
      </c>
      <c r="S40" s="910">
        <f t="shared" si="33"/>
        <v>0</v>
      </c>
      <c r="T40" s="911">
        <f t="shared" si="33"/>
        <v>0</v>
      </c>
      <c r="U40" s="901"/>
      <c r="V40" s="902"/>
      <c r="W40" s="901">
        <f t="shared" si="22"/>
        <v>0</v>
      </c>
      <c r="X40" s="902">
        <f t="shared" si="22"/>
        <v>0</v>
      </c>
      <c r="Y40" s="901">
        <f t="shared" si="22"/>
        <v>0</v>
      </c>
      <c r="Z40" s="902">
        <f t="shared" si="22"/>
        <v>0</v>
      </c>
      <c r="AA40" s="901" t="e">
        <f t="shared" si="23"/>
        <v>#REF!</v>
      </c>
      <c r="AB40" s="907" t="e">
        <f t="shared" si="23"/>
        <v>#REF!</v>
      </c>
      <c r="AC40" s="903" t="e">
        <f t="shared" si="26"/>
        <v>#REF!</v>
      </c>
      <c r="AD40" s="902" t="e">
        <f t="shared" si="27"/>
        <v>#REF!</v>
      </c>
      <c r="AE40" s="903">
        <f t="shared" si="28"/>
        <v>-1.7145924578605909</v>
      </c>
      <c r="AF40" s="915">
        <f t="shared" si="29"/>
        <v>-1.3504825009845116</v>
      </c>
      <c r="AG40" s="903">
        <f t="shared" si="24"/>
        <v>-1.0704504208712553</v>
      </c>
      <c r="AH40" s="904">
        <f t="shared" si="24"/>
        <v>-1.6909714651413887</v>
      </c>
      <c r="AI40" s="558"/>
      <c r="AK40" s="239"/>
      <c r="AL40" s="633"/>
      <c r="AM40" s="633"/>
    </row>
    <row r="41" spans="1:39" ht="13.15" customHeight="1" x14ac:dyDescent="0.25">
      <c r="A41" s="1121"/>
      <c r="B41" s="1128" t="s">
        <v>74</v>
      </c>
      <c r="C41" s="232">
        <f>SUM(C35:C40)</f>
        <v>0</v>
      </c>
      <c r="D41" s="126">
        <f>SUM(D35:D40)</f>
        <v>-0.19613194991643029</v>
      </c>
      <c r="E41" s="232">
        <f t="shared" ref="E41:R41" si="38">SUM(E35:E40)</f>
        <v>-4.1351414021066582E-2</v>
      </c>
      <c r="F41" s="126">
        <f t="shared" si="38"/>
        <v>-2.0199790998354214E-2</v>
      </c>
      <c r="G41" s="126">
        <f>SUM(G35:G40)</f>
        <v>-1.4770371818536288</v>
      </c>
      <c r="H41" s="126">
        <f>SUM(H35:H40)</f>
        <v>-1.3905745180795224</v>
      </c>
      <c r="I41" s="232">
        <f t="shared" si="38"/>
        <v>-3.0769750870968835</v>
      </c>
      <c r="J41" s="126">
        <f t="shared" si="38"/>
        <v>-1.0823924364165789</v>
      </c>
      <c r="K41" s="232">
        <f t="shared" si="38"/>
        <v>-0.29427377281587164</v>
      </c>
      <c r="L41" s="126">
        <f t="shared" si="38"/>
        <v>-0.60495388992188037</v>
      </c>
      <c r="M41" s="232">
        <f t="shared" si="38"/>
        <v>-0.8206766420771755</v>
      </c>
      <c r="N41" s="126">
        <f t="shared" si="38"/>
        <v>-1.1381700047101624</v>
      </c>
      <c r="O41" s="232">
        <f t="shared" si="38"/>
        <v>-2.3785645807508238</v>
      </c>
      <c r="P41" s="126">
        <f t="shared" si="38"/>
        <v>-1.4827831931183473</v>
      </c>
      <c r="Q41" s="912">
        <f t="shared" si="38"/>
        <v>-8.0908720263820899E-2</v>
      </c>
      <c r="R41" s="913">
        <f t="shared" si="38"/>
        <v>-4.3708578552535481E-2</v>
      </c>
      <c r="S41" s="912">
        <f>SUM(S35:S40)</f>
        <v>0</v>
      </c>
      <c r="T41" s="913">
        <f>SUM(T35:T40)</f>
        <v>0</v>
      </c>
      <c r="U41" s="909">
        <f>SUM(U33:U40)</f>
        <v>0</v>
      </c>
      <c r="V41" s="909">
        <f>SUM(V33:V40)</f>
        <v>0</v>
      </c>
      <c r="W41" s="908">
        <f>SUM(W35:W40)</f>
        <v>0</v>
      </c>
      <c r="X41" s="909">
        <f>SUM(X35:X40)</f>
        <v>0</v>
      </c>
      <c r="Y41" s="908">
        <f>SUM(Y35:Y40)</f>
        <v>0</v>
      </c>
      <c r="Z41" s="909">
        <f>SUM(Z35:Z40)</f>
        <v>0</v>
      </c>
      <c r="AA41" s="908" t="e">
        <f t="shared" ref="AA41:AH41" si="39">SUM(AA33:AA40)</f>
        <v>#REF!</v>
      </c>
      <c r="AB41" s="916" t="e">
        <f t="shared" si="39"/>
        <v>#REF!</v>
      </c>
      <c r="AC41" s="917" t="e">
        <f>SUM(AC33:AC40)</f>
        <v>#REF!</v>
      </c>
      <c r="AD41" s="922" t="e">
        <f t="shared" si="39"/>
        <v>#REF!</v>
      </c>
      <c r="AE41" s="918">
        <f t="shared" si="39"/>
        <v>-8.1697873988792704</v>
      </c>
      <c r="AF41" s="919">
        <f t="shared" si="39"/>
        <v>-5.9589143617138109</v>
      </c>
      <c r="AG41" s="908">
        <f t="shared" si="39"/>
        <v>-3.1292952547296262</v>
      </c>
      <c r="AH41" s="909">
        <f t="shared" si="39"/>
        <v>-3.7168309331755691</v>
      </c>
      <c r="AI41" s="925" t="e">
        <f>AA41+AB41</f>
        <v>#REF!</v>
      </c>
      <c r="AJ41" s="925" t="e">
        <f>AD41+AC41</f>
        <v>#REF!</v>
      </c>
      <c r="AK41" s="925" t="e">
        <f>AJ41-AI41</f>
        <v>#REF!</v>
      </c>
      <c r="AL41" s="925">
        <f>S41+T41+U41+V41+Y41+Z41+W41+X41</f>
        <v>0</v>
      </c>
      <c r="AM41" s="925">
        <f>C41+D41+E41+F41+G41+H41+I41+J41+K41+L41+M41+N41+O41+P41+Q41+R41</f>
        <v>-14.128701760593083</v>
      </c>
    </row>
    <row r="42" spans="1:39" ht="13.15" customHeight="1" thickBot="1" x14ac:dyDescent="0.3">
      <c r="A42" s="1122"/>
      <c r="B42" s="1129"/>
      <c r="C42" s="1118">
        <f>0-'Breast cancer'!AS20</f>
        <v>5.6793278556041056E-2</v>
      </c>
      <c r="D42" s="1119"/>
      <c r="E42" s="1118">
        <f>0-'Colon Cancer'!AS20</f>
        <v>1.6607816123732796E-2</v>
      </c>
      <c r="F42" s="1119"/>
      <c r="G42" s="1118">
        <f>0-Stroke_air!AT20</f>
        <v>7.030585706552471E-2</v>
      </c>
      <c r="H42" s="1119"/>
      <c r="I42" s="1118">
        <f>0-CVD_air!AT20</f>
        <v>7.155047336439746E-2</v>
      </c>
      <c r="J42" s="1119"/>
      <c r="K42" s="1118">
        <f>0-Depression!AS20</f>
        <v>1.7325630764858942E-2</v>
      </c>
      <c r="L42" s="1119"/>
      <c r="M42" s="1118">
        <f>0-Dementia!AT20</f>
        <v>3.5339336591901888E-2</v>
      </c>
      <c r="N42" s="1119"/>
      <c r="O42" s="1118">
        <f>0-Diabetes!AS20</f>
        <v>6.9897281888980672E-2</v>
      </c>
      <c r="P42" s="1119"/>
      <c r="Q42" s="1130">
        <f>0-HHD_air!AT20</f>
        <v>6.9109374257728298E-2</v>
      </c>
      <c r="R42" s="1131"/>
      <c r="S42" s="1130">
        <f>'Lung Cancer'!O21</f>
        <v>0</v>
      </c>
      <c r="T42" s="1131"/>
      <c r="U42" s="1111">
        <f>'Acute Resp Infect'!K20</f>
        <v>0</v>
      </c>
      <c r="V42" s="1112"/>
      <c r="W42" s="1111">
        <f>'Inflammatory HD'!O21</f>
        <v>0</v>
      </c>
      <c r="X42" s="1112"/>
      <c r="Y42" s="1111">
        <f>'Resp diseases'!O21</f>
        <v>0</v>
      </c>
      <c r="Z42" s="1112"/>
      <c r="AA42" s="1111" t="e">
        <f>(AA41+AB41)/GBDUS!R214</f>
        <v>#REF!</v>
      </c>
      <c r="AB42" s="1125"/>
      <c r="AC42" s="1096" t="e">
        <f>-(AC41+AD41)/GBDUS!R236</f>
        <v>#REF!</v>
      </c>
      <c r="AD42" s="1097"/>
      <c r="AE42" s="1096">
        <f>-(AE41+AF41)/GBDUS!R236</f>
        <v>1.3417606593335603E-2</v>
      </c>
      <c r="AF42" s="1097"/>
      <c r="AG42" s="1104">
        <f>-(AG41+AH41)/GBDUS!R236</f>
        <v>6.5015618160934509E-3</v>
      </c>
      <c r="AH42" s="1105"/>
      <c r="AI42" s="1098"/>
      <c r="AJ42" s="1099"/>
    </row>
    <row r="43" spans="1:39" x14ac:dyDescent="0.25">
      <c r="B43" s="638" t="s">
        <v>80</v>
      </c>
      <c r="D43" s="239">
        <f>D11</f>
        <v>-1.3509624327000608E-2</v>
      </c>
      <c r="E43" s="239">
        <f>SUM(E11:F11)</f>
        <v>-7.8721329524388105E-3</v>
      </c>
      <c r="G43" s="239">
        <f>SUM(G11:H11)</f>
        <v>-0.20634883839807644</v>
      </c>
      <c r="I43" s="239">
        <f>SUM(I11:J11)</f>
        <v>-0.42508301184220176</v>
      </c>
      <c r="K43" s="239">
        <f>SUM(K11:L11)</f>
        <v>-9.4521688264828055E-4</v>
      </c>
      <c r="M43" s="239">
        <f>SUM(M11:N11)</f>
        <v>-0.22930399242763316</v>
      </c>
      <c r="O43" s="239">
        <f>SUM(O11:P11)</f>
        <v>-0.13850358878949529</v>
      </c>
      <c r="Q43" s="924">
        <f>SUM(Q11:R11)</f>
        <v>-1.312695056307491E-2</v>
      </c>
      <c r="R43" s="924"/>
      <c r="S43" s="924">
        <f>SUM(S11:T11)</f>
        <v>0</v>
      </c>
      <c r="T43" s="924"/>
      <c r="U43" s="924">
        <f>SUM(U11:V11)</f>
        <v>0</v>
      </c>
      <c r="V43" s="924"/>
      <c r="W43" s="924">
        <f>SUM(W11:X11)</f>
        <v>0</v>
      </c>
      <c r="X43" s="924"/>
      <c r="Y43" s="924">
        <f>SUM(Y11:Z11)</f>
        <v>0</v>
      </c>
      <c r="Z43" s="924"/>
      <c r="AA43" s="924" t="e">
        <f>SUM(AA11:AB11)</f>
        <v>#REF!</v>
      </c>
      <c r="AB43" s="924"/>
      <c r="AC43" s="924" t="e">
        <f>SUM(AC11:AD11)</f>
        <v>#REF!</v>
      </c>
      <c r="AD43" s="924"/>
      <c r="AE43" s="924">
        <f>SUM(AE11:AF11)</f>
        <v>-1.0346933561825693</v>
      </c>
      <c r="AF43" s="924"/>
      <c r="AG43" s="924">
        <f>SUM(AG11:AH11)</f>
        <v>-1.2775867966654642</v>
      </c>
    </row>
    <row r="44" spans="1:39" s="633" customFormat="1" x14ac:dyDescent="0.25">
      <c r="B44" s="638" t="s">
        <v>78</v>
      </c>
      <c r="D44" s="239">
        <f>D21</f>
        <v>-0.14352555197370248</v>
      </c>
      <c r="E44" s="239">
        <f>SUM(E21:F21)</f>
        <v>-5.3036030674510543E-2</v>
      </c>
      <c r="F44" s="239"/>
      <c r="G44" s="239">
        <f>SUM(G21:H21)</f>
        <v>-1.5093376310368547</v>
      </c>
      <c r="H44" s="239"/>
      <c r="I44" s="239">
        <f>SUM(I21:J21)</f>
        <v>-3.3826019356629007</v>
      </c>
      <c r="J44" s="239"/>
      <c r="K44" s="239">
        <f>SUM(K21:L21)</f>
        <v>-5.0086803684183841E-3</v>
      </c>
      <c r="L44" s="239"/>
      <c r="M44" s="239">
        <f>SUM(M21:N21)</f>
        <v>-0.8543416252217847</v>
      </c>
      <c r="N44" s="239"/>
      <c r="O44" s="239">
        <f>SUM(O21:P21)</f>
        <v>-1.3852364374357171</v>
      </c>
      <c r="P44" s="239"/>
      <c r="Q44" s="924">
        <f>SUM(Q21:R21)</f>
        <v>-0.10245850486706712</v>
      </c>
      <c r="R44" s="924"/>
      <c r="S44" s="924">
        <f>SUM(S21:T21)</f>
        <v>0</v>
      </c>
      <c r="T44" s="924"/>
      <c r="U44" s="924">
        <f>SUM(U21:V21)</f>
        <v>0</v>
      </c>
      <c r="V44" s="924"/>
      <c r="W44" s="924">
        <f>SUM(W21:X21)</f>
        <v>0</v>
      </c>
      <c r="X44" s="924"/>
      <c r="Y44" s="924">
        <f>SUM(Y21:Z21)</f>
        <v>0</v>
      </c>
      <c r="Z44" s="924"/>
      <c r="AA44" s="924" t="e">
        <f>SUM(AA21:AB21)</f>
        <v>#REF!</v>
      </c>
      <c r="AB44" s="924"/>
      <c r="AC44" s="924" t="e">
        <f>SUM(AC21:AD21)</f>
        <v>#REF!</v>
      </c>
      <c r="AD44" s="924"/>
      <c r="AE44" s="924">
        <f>SUM(AE21:AF21)</f>
        <v>-7.4355463972409552</v>
      </c>
      <c r="AF44" s="924"/>
      <c r="AG44" s="924">
        <f>SUM(AG21:AH21)</f>
        <v>-6.8461261879051953</v>
      </c>
      <c r="AI44" s="239"/>
    </row>
    <row r="45" spans="1:39" x14ac:dyDescent="0.25">
      <c r="B45" s="638" t="s">
        <v>79</v>
      </c>
      <c r="D45" s="239">
        <f>D31</f>
        <v>-5.2606397942727798E-2</v>
      </c>
      <c r="E45" s="239">
        <f>SUM(E31:F31)</f>
        <v>-8.5151743449102448E-3</v>
      </c>
      <c r="G45" s="239">
        <f>SUM(G31:H31)</f>
        <v>-1.3582740688962969</v>
      </c>
      <c r="I45" s="239">
        <f>SUM(I31:J31)</f>
        <v>-0.77676558785056204</v>
      </c>
      <c r="K45" s="239">
        <f>SUM(K31:L31)</f>
        <v>-0.89421898236933361</v>
      </c>
      <c r="M45" s="239">
        <f>SUM(M31:N31)</f>
        <v>-1.1045050215655532</v>
      </c>
      <c r="O45" s="239">
        <f>SUM(O31:P31)</f>
        <v>-2.4761113364334539</v>
      </c>
      <c r="Q45" s="924">
        <f>SUM(Q31:R31)</f>
        <v>-2.2158793949289261E-2</v>
      </c>
      <c r="R45" s="924"/>
      <c r="S45" s="924">
        <f>SUM(S31:T31)</f>
        <v>0</v>
      </c>
      <c r="T45" s="924"/>
      <c r="U45" s="924">
        <f>SUM(U31:V31)</f>
        <v>0</v>
      </c>
      <c r="V45" s="924"/>
      <c r="W45" s="924">
        <f>SUM(W31:X31)</f>
        <v>0</v>
      </c>
      <c r="X45" s="924"/>
      <c r="Y45" s="924">
        <f>SUM(Y31:Z31)</f>
        <v>0</v>
      </c>
      <c r="Z45" s="924"/>
      <c r="AA45" s="924" t="e">
        <f>SUM(AA31:AB31)</f>
        <v>#REF!</v>
      </c>
      <c r="AB45" s="924"/>
      <c r="AC45" s="924" t="e">
        <f>SUM(AC31:AD31)</f>
        <v>#REF!</v>
      </c>
      <c r="AD45" s="924"/>
      <c r="AE45" s="924">
        <f>SUM(AE31:AF31)</f>
        <v>-6.693155363352127</v>
      </c>
      <c r="AF45" s="924"/>
      <c r="AG45" s="924">
        <f>SUM(AG31:AH31)</f>
        <v>0</v>
      </c>
    </row>
    <row r="46" spans="1:39" x14ac:dyDescent="0.25">
      <c r="B46" s="638" t="s">
        <v>575</v>
      </c>
      <c r="D46" s="239">
        <f>D41</f>
        <v>-0.19613194991643029</v>
      </c>
      <c r="E46" s="239">
        <f>SUM(E41:F41)</f>
        <v>-6.1551205019420796E-2</v>
      </c>
      <c r="F46" s="239"/>
      <c r="G46" s="239">
        <f>SUM(G41:H41)</f>
        <v>-2.8676116999331511</v>
      </c>
      <c r="H46" s="239"/>
      <c r="I46" s="239">
        <f>SUM(I41:J41)</f>
        <v>-4.1593675235134624</v>
      </c>
      <c r="J46" s="239"/>
      <c r="K46" s="239">
        <f>SUM(K41:L41)</f>
        <v>-0.89922766273775201</v>
      </c>
      <c r="L46" s="239"/>
      <c r="M46" s="239">
        <f>SUM(M41:N41)</f>
        <v>-1.9588466467873378</v>
      </c>
      <c r="N46" s="239"/>
      <c r="O46" s="239">
        <f>SUM(O41:P41)</f>
        <v>-3.8613477738691708</v>
      </c>
      <c r="P46" s="239"/>
      <c r="Q46" s="924">
        <f>SUM(Q41:R41)</f>
        <v>-0.12461729881635639</v>
      </c>
      <c r="R46" s="924"/>
      <c r="S46" s="924">
        <f>SUM(S41:T41)</f>
        <v>0</v>
      </c>
      <c r="T46" s="924"/>
      <c r="U46" s="924">
        <f>SUM(U41:V41)</f>
        <v>0</v>
      </c>
      <c r="V46" s="924"/>
      <c r="W46" s="924">
        <f>SUM(W41:X41)</f>
        <v>0</v>
      </c>
      <c r="X46" s="924"/>
      <c r="Y46" s="924">
        <f>SUM(Y41:Z41)</f>
        <v>0</v>
      </c>
      <c r="Z46" s="924"/>
      <c r="AA46" s="924" t="e">
        <f>SUM(AA41:AB41)</f>
        <v>#REF!</v>
      </c>
      <c r="AB46" s="924"/>
      <c r="AC46" s="924" t="e">
        <f>SUM(AC41:AD41)</f>
        <v>#REF!</v>
      </c>
      <c r="AD46" s="924"/>
      <c r="AE46" s="924">
        <f>SUM(AE41:AF41)</f>
        <v>-14.128701760593081</v>
      </c>
      <c r="AF46" s="924"/>
      <c r="AG46" s="924">
        <f>SUM(AG41:AH41)</f>
        <v>-6.8461261879051953</v>
      </c>
      <c r="AI46" s="239"/>
    </row>
    <row r="47" spans="1:39" x14ac:dyDescent="0.25">
      <c r="W47" s="239"/>
      <c r="AC47" s="239"/>
    </row>
    <row r="48" spans="1:39" x14ac:dyDescent="0.25">
      <c r="Q48" s="239"/>
      <c r="R48" s="239"/>
      <c r="Z48" s="239"/>
      <c r="AA48" s="239"/>
      <c r="AB48" s="239"/>
    </row>
    <row r="49" spans="5:29" x14ac:dyDescent="0.25">
      <c r="H49" s="133"/>
    </row>
    <row r="50" spans="5:29" x14ac:dyDescent="0.25">
      <c r="E50" s="239"/>
      <c r="F50" s="482" t="s">
        <v>78</v>
      </c>
      <c r="G50" s="482" t="s">
        <v>79</v>
      </c>
      <c r="H50" s="482" t="s">
        <v>577</v>
      </c>
      <c r="I50" s="482" t="s">
        <v>80</v>
      </c>
      <c r="AC50" s="239"/>
    </row>
    <row r="51" spans="5:29" x14ac:dyDescent="0.25">
      <c r="E51" s="482" t="s">
        <v>305</v>
      </c>
      <c r="F51" s="239">
        <f>SUM(D44,E44,G44,I44,K44,M44,O44,Q44,)</f>
        <v>-7.4355463972409552</v>
      </c>
      <c r="G51" s="239">
        <f>SUM(D45,E45,G45,I45,K45,M45,O45,Q45)</f>
        <v>-6.6931553633521279</v>
      </c>
      <c r="H51" s="239">
        <f>SUM(D46,E46,G46,I46,K46,M46,O46,Q46)</f>
        <v>-14.128701760593081</v>
      </c>
      <c r="I51" s="239">
        <f>SUM(D43,E43,G43,I43,K43,M43,O43,Q43)</f>
        <v>-1.0346933561825691</v>
      </c>
      <c r="X51" s="133"/>
    </row>
    <row r="52" spans="5:29" x14ac:dyDescent="0.25">
      <c r="E52" s="482" t="s">
        <v>578</v>
      </c>
      <c r="F52" s="239">
        <f>SUM(S44,U44,W44,Y4)</f>
        <v>0</v>
      </c>
      <c r="G52" s="239">
        <f>SUM(S45,U45,W45,Y45)</f>
        <v>0</v>
      </c>
      <c r="H52" s="239">
        <f>SUM(S46,U46,W46,Y46)</f>
        <v>0</v>
      </c>
      <c r="I52" s="239">
        <f>SUM(S43,U43,W43,Y43)</f>
        <v>0</v>
      </c>
      <c r="X52" s="133"/>
    </row>
    <row r="53" spans="5:29" x14ac:dyDescent="0.25">
      <c r="E53" s="482" t="s">
        <v>579</v>
      </c>
      <c r="F53" s="239" t="e">
        <f>AA44</f>
        <v>#REF!</v>
      </c>
      <c r="G53" s="239" t="e">
        <f>AA45</f>
        <v>#REF!</v>
      </c>
      <c r="H53" s="239" t="e">
        <f>AA46</f>
        <v>#REF!</v>
      </c>
      <c r="I53" s="239" t="e">
        <f>AA43</f>
        <v>#REF!</v>
      </c>
      <c r="Q53" s="239"/>
      <c r="R53" s="239"/>
      <c r="X53" s="133"/>
      <c r="Z53" s="239"/>
      <c r="AA53" s="239"/>
      <c r="AB53" s="239"/>
    </row>
  </sheetData>
  <mergeCells count="90">
    <mergeCell ref="Q1:R1"/>
    <mergeCell ref="Q12:R12"/>
    <mergeCell ref="Q22:R22"/>
    <mergeCell ref="Q32:R32"/>
    <mergeCell ref="Q42:R42"/>
    <mergeCell ref="AI1:AJ1"/>
    <mergeCell ref="AG1:AH1"/>
    <mergeCell ref="AG12:AH12"/>
    <mergeCell ref="AG22:AH22"/>
    <mergeCell ref="AG32:AH32"/>
    <mergeCell ref="A3:A12"/>
    <mergeCell ref="AA42:AB42"/>
    <mergeCell ref="W32:X32"/>
    <mergeCell ref="M42:N42"/>
    <mergeCell ref="C32:D32"/>
    <mergeCell ref="B11:B12"/>
    <mergeCell ref="B21:B22"/>
    <mergeCell ref="B31:B32"/>
    <mergeCell ref="B41:B42"/>
    <mergeCell ref="C12:D12"/>
    <mergeCell ref="E12:F12"/>
    <mergeCell ref="O42:P42"/>
    <mergeCell ref="G42:H42"/>
    <mergeCell ref="I42:J42"/>
    <mergeCell ref="S42:T42"/>
    <mergeCell ref="K42:L42"/>
    <mergeCell ref="AG42:AH42"/>
    <mergeCell ref="A13:A22"/>
    <mergeCell ref="A23:A32"/>
    <mergeCell ref="A33:A42"/>
    <mergeCell ref="M1:N1"/>
    <mergeCell ref="I22:J22"/>
    <mergeCell ref="G12:H12"/>
    <mergeCell ref="G22:H22"/>
    <mergeCell ref="G32:H32"/>
    <mergeCell ref="I12:J12"/>
    <mergeCell ref="K12:L12"/>
    <mergeCell ref="K22:L22"/>
    <mergeCell ref="M22:N22"/>
    <mergeCell ref="M12:N12"/>
    <mergeCell ref="AC42:AD42"/>
    <mergeCell ref="AC32:AD32"/>
    <mergeCell ref="C42:D42"/>
    <mergeCell ref="E42:F42"/>
    <mergeCell ref="E32:F32"/>
    <mergeCell ref="O1:P1"/>
    <mergeCell ref="O12:P12"/>
    <mergeCell ref="O32:P32"/>
    <mergeCell ref="O22:P22"/>
    <mergeCell ref="C1:D1"/>
    <mergeCell ref="E1:F1"/>
    <mergeCell ref="I1:J1"/>
    <mergeCell ref="K1:L1"/>
    <mergeCell ref="G1:H1"/>
    <mergeCell ref="AA22:AB22"/>
    <mergeCell ref="AA32:AB32"/>
    <mergeCell ref="Y22:Z22"/>
    <mergeCell ref="Y32:Z32"/>
    <mergeCell ref="Y42:Z42"/>
    <mergeCell ref="S22:T22"/>
    <mergeCell ref="U22:V22"/>
    <mergeCell ref="W22:X22"/>
    <mergeCell ref="S32:T32"/>
    <mergeCell ref="C22:D22"/>
    <mergeCell ref="E22:F22"/>
    <mergeCell ref="U32:V32"/>
    <mergeCell ref="I32:J32"/>
    <mergeCell ref="K32:L32"/>
    <mergeCell ref="M32:N32"/>
    <mergeCell ref="AI42:AJ42"/>
    <mergeCell ref="S1:T1"/>
    <mergeCell ref="U1:V1"/>
    <mergeCell ref="W1:X1"/>
    <mergeCell ref="W12:X12"/>
    <mergeCell ref="AC12:AD12"/>
    <mergeCell ref="Y1:Z1"/>
    <mergeCell ref="Y12:Z12"/>
    <mergeCell ref="AA1:AB1"/>
    <mergeCell ref="AA12:AB12"/>
    <mergeCell ref="AC1:AD1"/>
    <mergeCell ref="S12:T12"/>
    <mergeCell ref="U12:V12"/>
    <mergeCell ref="AC22:AD22"/>
    <mergeCell ref="U42:V42"/>
    <mergeCell ref="W42:X42"/>
    <mergeCell ref="AE1:AF1"/>
    <mergeCell ref="AE12:AF12"/>
    <mergeCell ref="AE22:AF22"/>
    <mergeCell ref="AE32:AF32"/>
    <mergeCell ref="AE42:AF4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673"/>
  <sheetViews>
    <sheetView topLeftCell="A424" workbookViewId="0">
      <selection activeCell="F50" sqref="F50"/>
    </sheetView>
  </sheetViews>
  <sheetFormatPr defaultRowHeight="15" x14ac:dyDescent="0.25"/>
  <sheetData>
    <row r="1" spans="1:6" x14ac:dyDescent="0.25">
      <c r="A1" s="633" t="s">
        <v>524</v>
      </c>
      <c r="B1" s="633" t="s">
        <v>126</v>
      </c>
      <c r="C1" s="633" t="s">
        <v>47</v>
      </c>
      <c r="D1" s="482" t="s">
        <v>614</v>
      </c>
      <c r="E1" s="482" t="s">
        <v>611</v>
      </c>
      <c r="F1" t="s">
        <v>1</v>
      </c>
    </row>
    <row r="2" spans="1:6" x14ac:dyDescent="0.25">
      <c r="A2" s="640" t="s">
        <v>539</v>
      </c>
      <c r="B2" s="640" t="s">
        <v>249</v>
      </c>
      <c r="C2" s="633" t="s">
        <v>26</v>
      </c>
      <c r="D2" s="633">
        <v>434</v>
      </c>
      <c r="E2" s="482" t="s">
        <v>584</v>
      </c>
      <c r="F2" s="297">
        <f>D2/SUM(D$2:D$17)</f>
        <v>2.6914728682170541E-2</v>
      </c>
    </row>
    <row r="3" spans="1:6" x14ac:dyDescent="0.25">
      <c r="A3" s="640" t="s">
        <v>539</v>
      </c>
      <c r="B3" s="640" t="s">
        <v>244</v>
      </c>
      <c r="C3" s="633" t="s">
        <v>26</v>
      </c>
      <c r="D3" s="633">
        <v>880</v>
      </c>
      <c r="E3" s="482" t="s">
        <v>584</v>
      </c>
      <c r="F3" s="297">
        <f t="shared" ref="F3:F17" si="0">D3/SUM(D$2:D$17)</f>
        <v>5.4573643410852711E-2</v>
      </c>
    </row>
    <row r="4" spans="1:6" x14ac:dyDescent="0.25">
      <c r="A4" s="640" t="s">
        <v>539</v>
      </c>
      <c r="B4" s="640" t="s">
        <v>4</v>
      </c>
      <c r="C4" s="633" t="s">
        <v>26</v>
      </c>
      <c r="D4" s="633">
        <v>1340</v>
      </c>
      <c r="E4" s="482" t="s">
        <v>584</v>
      </c>
      <c r="F4" s="297">
        <f t="shared" si="0"/>
        <v>8.3100775193798451E-2</v>
      </c>
    </row>
    <row r="5" spans="1:6" x14ac:dyDescent="0.25">
      <c r="A5" s="640" t="s">
        <v>539</v>
      </c>
      <c r="B5" s="640" t="s">
        <v>5</v>
      </c>
      <c r="C5" s="633" t="s">
        <v>26</v>
      </c>
      <c r="D5" s="633">
        <v>1286</v>
      </c>
      <c r="E5" s="482" t="s">
        <v>584</v>
      </c>
      <c r="F5" s="297">
        <f t="shared" si="0"/>
        <v>7.9751937984496118E-2</v>
      </c>
    </row>
    <row r="6" spans="1:6" x14ac:dyDescent="0.25">
      <c r="A6" s="640" t="s">
        <v>539</v>
      </c>
      <c r="B6" s="640" t="s">
        <v>6</v>
      </c>
      <c r="C6" s="633" t="s">
        <v>26</v>
      </c>
      <c r="D6" s="633">
        <v>1665</v>
      </c>
      <c r="E6" s="482" t="s">
        <v>584</v>
      </c>
      <c r="F6" s="297">
        <f t="shared" si="0"/>
        <v>0.10325581395348837</v>
      </c>
    </row>
    <row r="7" spans="1:6" x14ac:dyDescent="0.25">
      <c r="A7" s="640" t="s">
        <v>539</v>
      </c>
      <c r="B7" s="640" t="s">
        <v>7</v>
      </c>
      <c r="C7" s="633" t="s">
        <v>26</v>
      </c>
      <c r="D7" s="633">
        <v>1280</v>
      </c>
      <c r="E7" s="482" t="s">
        <v>584</v>
      </c>
      <c r="F7" s="297">
        <f t="shared" si="0"/>
        <v>7.9379844961240315E-2</v>
      </c>
    </row>
    <row r="8" spans="1:6" x14ac:dyDescent="0.25">
      <c r="A8" s="640" t="s">
        <v>539</v>
      </c>
      <c r="B8" s="640" t="s">
        <v>8</v>
      </c>
      <c r="C8" s="633" t="s">
        <v>26</v>
      </c>
      <c r="D8" s="633">
        <v>848</v>
      </c>
      <c r="E8" s="482" t="s">
        <v>584</v>
      </c>
      <c r="F8" s="297">
        <f t="shared" si="0"/>
        <v>5.2589147286821708E-2</v>
      </c>
    </row>
    <row r="9" spans="1:6" x14ac:dyDescent="0.25">
      <c r="A9" s="640" t="s">
        <v>539</v>
      </c>
      <c r="B9" s="640" t="s">
        <v>9</v>
      </c>
      <c r="C9" s="633" t="s">
        <v>26</v>
      </c>
      <c r="D9" s="633">
        <v>443</v>
      </c>
      <c r="E9" s="482" t="s">
        <v>584</v>
      </c>
      <c r="F9" s="297">
        <f t="shared" si="0"/>
        <v>2.7472868217054264E-2</v>
      </c>
    </row>
    <row r="10" spans="1:6" x14ac:dyDescent="0.25">
      <c r="A10" s="640" t="s">
        <v>539</v>
      </c>
      <c r="B10" s="640" t="s">
        <v>249</v>
      </c>
      <c r="C10" s="633" t="s">
        <v>27</v>
      </c>
      <c r="D10" s="633">
        <v>420</v>
      </c>
      <c r="E10" s="482" t="s">
        <v>584</v>
      </c>
      <c r="F10" s="297">
        <f t="shared" si="0"/>
        <v>2.6046511627906978E-2</v>
      </c>
    </row>
    <row r="11" spans="1:6" x14ac:dyDescent="0.25">
      <c r="A11" s="640" t="s">
        <v>539</v>
      </c>
      <c r="B11" s="640" t="s">
        <v>244</v>
      </c>
      <c r="C11" s="633" t="s">
        <v>27</v>
      </c>
      <c r="D11" s="633">
        <v>848</v>
      </c>
      <c r="E11" s="482" t="s">
        <v>584</v>
      </c>
      <c r="F11" s="297">
        <f t="shared" si="0"/>
        <v>5.2589147286821708E-2</v>
      </c>
    </row>
    <row r="12" spans="1:6" x14ac:dyDescent="0.25">
      <c r="A12" s="640" t="s">
        <v>539</v>
      </c>
      <c r="B12" s="640" t="s">
        <v>4</v>
      </c>
      <c r="C12" s="633" t="s">
        <v>27</v>
      </c>
      <c r="D12" s="633">
        <v>1146</v>
      </c>
      <c r="E12" s="482" t="s">
        <v>584</v>
      </c>
      <c r="F12" s="297">
        <f t="shared" si="0"/>
        <v>7.1069767441860471E-2</v>
      </c>
    </row>
    <row r="13" spans="1:6" x14ac:dyDescent="0.25">
      <c r="A13" s="640" t="s">
        <v>539</v>
      </c>
      <c r="B13" s="640" t="s">
        <v>5</v>
      </c>
      <c r="C13" s="633" t="s">
        <v>27</v>
      </c>
      <c r="D13" s="633">
        <v>1115</v>
      </c>
      <c r="E13" s="482" t="s">
        <v>584</v>
      </c>
      <c r="F13" s="297">
        <f t="shared" si="0"/>
        <v>6.9147286821705428E-2</v>
      </c>
    </row>
    <row r="14" spans="1:6" x14ac:dyDescent="0.25">
      <c r="A14" s="640" t="s">
        <v>539</v>
      </c>
      <c r="B14" s="640" t="s">
        <v>6</v>
      </c>
      <c r="C14" s="633" t="s">
        <v>27</v>
      </c>
      <c r="D14" s="633">
        <v>1722</v>
      </c>
      <c r="E14" s="482" t="s">
        <v>584</v>
      </c>
      <c r="F14" s="297">
        <f t="shared" si="0"/>
        <v>0.10679069767441861</v>
      </c>
    </row>
    <row r="15" spans="1:6" x14ac:dyDescent="0.25">
      <c r="A15" s="640" t="s">
        <v>539</v>
      </c>
      <c r="B15" s="640" t="s">
        <v>7</v>
      </c>
      <c r="C15" s="633" t="s">
        <v>27</v>
      </c>
      <c r="D15" s="633">
        <v>1320</v>
      </c>
      <c r="E15" s="482" t="s">
        <v>584</v>
      </c>
      <c r="F15" s="297">
        <f t="shared" si="0"/>
        <v>8.1860465116279063E-2</v>
      </c>
    </row>
    <row r="16" spans="1:6" x14ac:dyDescent="0.25">
      <c r="A16" s="640" t="s">
        <v>539</v>
      </c>
      <c r="B16" s="640" t="s">
        <v>8</v>
      </c>
      <c r="C16" s="633" t="s">
        <v>27</v>
      </c>
      <c r="D16" s="633">
        <v>859</v>
      </c>
      <c r="E16" s="482" t="s">
        <v>584</v>
      </c>
      <c r="F16" s="297">
        <f t="shared" si="0"/>
        <v>5.3271317829457362E-2</v>
      </c>
    </row>
    <row r="17" spans="1:6" x14ac:dyDescent="0.25">
      <c r="A17" s="640" t="s">
        <v>539</v>
      </c>
      <c r="B17" s="640" t="s">
        <v>9</v>
      </c>
      <c r="C17" s="633" t="s">
        <v>27</v>
      </c>
      <c r="D17" s="633">
        <v>519</v>
      </c>
      <c r="E17" s="482" t="s">
        <v>584</v>
      </c>
      <c r="F17" s="297">
        <f t="shared" si="0"/>
        <v>3.218604651162791E-2</v>
      </c>
    </row>
    <row r="18" spans="1:6" x14ac:dyDescent="0.25">
      <c r="A18" s="640" t="s">
        <v>540</v>
      </c>
      <c r="B18" s="640" t="s">
        <v>249</v>
      </c>
      <c r="C18" s="633" t="s">
        <v>26</v>
      </c>
      <c r="D18" s="633">
        <v>1858</v>
      </c>
      <c r="E18" s="482" t="s">
        <v>512</v>
      </c>
      <c r="F18" s="948">
        <f>D18/SUM(D$18:D$33)</f>
        <v>2.1598623639914442E-2</v>
      </c>
    </row>
    <row r="19" spans="1:6" x14ac:dyDescent="0.25">
      <c r="A19" s="640" t="s">
        <v>540</v>
      </c>
      <c r="B19" s="640" t="s">
        <v>244</v>
      </c>
      <c r="C19" s="633" t="s">
        <v>26</v>
      </c>
      <c r="D19" s="633">
        <v>4157</v>
      </c>
      <c r="E19" s="482" t="s">
        <v>512</v>
      </c>
      <c r="F19" s="948">
        <f t="shared" ref="F19:F33" si="1">D19/SUM(D$18:D$33)</f>
        <v>4.832372361201525E-2</v>
      </c>
    </row>
    <row r="20" spans="1:6" x14ac:dyDescent="0.25">
      <c r="A20" s="640" t="s">
        <v>540</v>
      </c>
      <c r="B20" s="640" t="s">
        <v>4</v>
      </c>
      <c r="C20" s="633" t="s">
        <v>26</v>
      </c>
      <c r="D20" s="633">
        <v>15044</v>
      </c>
      <c r="E20" s="482" t="s">
        <v>512</v>
      </c>
      <c r="F20" s="948">
        <f t="shared" si="1"/>
        <v>0.17488142843857529</v>
      </c>
    </row>
    <row r="21" spans="1:6" x14ac:dyDescent="0.25">
      <c r="A21" s="640" t="s">
        <v>540</v>
      </c>
      <c r="B21" s="640" t="s">
        <v>5</v>
      </c>
      <c r="C21" s="633" t="s">
        <v>26</v>
      </c>
      <c r="D21" s="633">
        <v>6776</v>
      </c>
      <c r="E21" s="482" t="s">
        <v>512</v>
      </c>
      <c r="F21" s="948">
        <f t="shared" si="1"/>
        <v>7.8768715707244488E-2</v>
      </c>
    </row>
    <row r="22" spans="1:6" x14ac:dyDescent="0.25">
      <c r="A22" s="640" t="s">
        <v>540</v>
      </c>
      <c r="B22" s="640" t="s">
        <v>6</v>
      </c>
      <c r="C22" s="633" t="s">
        <v>26</v>
      </c>
      <c r="D22" s="633">
        <v>7203</v>
      </c>
      <c r="E22" s="482" t="s">
        <v>512</v>
      </c>
      <c r="F22" s="948">
        <f t="shared" si="1"/>
        <v>8.3732446759043982E-2</v>
      </c>
    </row>
    <row r="23" spans="1:6" x14ac:dyDescent="0.25">
      <c r="A23" s="640" t="s">
        <v>540</v>
      </c>
      <c r="B23" s="640" t="s">
        <v>7</v>
      </c>
      <c r="C23" s="633" t="s">
        <v>26</v>
      </c>
      <c r="D23" s="633">
        <v>4734</v>
      </c>
      <c r="E23" s="482" t="s">
        <v>512</v>
      </c>
      <c r="F23" s="948">
        <f t="shared" si="1"/>
        <v>5.5031154096531198E-2</v>
      </c>
    </row>
    <row r="24" spans="1:6" x14ac:dyDescent="0.25">
      <c r="A24" s="640" t="s">
        <v>540</v>
      </c>
      <c r="B24" s="640" t="s">
        <v>8</v>
      </c>
      <c r="C24" s="633" t="s">
        <v>26</v>
      </c>
      <c r="D24" s="633">
        <v>2119</v>
      </c>
      <c r="E24" s="482" t="s">
        <v>512</v>
      </c>
      <c r="F24" s="948">
        <f t="shared" si="1"/>
        <v>2.4632660652841067E-2</v>
      </c>
    </row>
    <row r="25" spans="1:6" x14ac:dyDescent="0.25">
      <c r="A25" s="640" t="s">
        <v>540</v>
      </c>
      <c r="B25" s="640" t="s">
        <v>9</v>
      </c>
      <c r="C25" s="633" t="s">
        <v>26</v>
      </c>
      <c r="D25" s="633">
        <v>1252</v>
      </c>
      <c r="E25" s="482" t="s">
        <v>512</v>
      </c>
      <c r="F25" s="948">
        <f t="shared" si="1"/>
        <v>1.4554077931739979E-2</v>
      </c>
    </row>
    <row r="26" spans="1:6" x14ac:dyDescent="0.25">
      <c r="A26" s="640" t="s">
        <v>540</v>
      </c>
      <c r="B26" s="640" t="s">
        <v>249</v>
      </c>
      <c r="C26" s="633" t="s">
        <v>27</v>
      </c>
      <c r="D26" s="633">
        <v>1748</v>
      </c>
      <c r="E26" s="482" t="s">
        <v>512</v>
      </c>
      <c r="F26" s="948">
        <f t="shared" si="1"/>
        <v>2.0319910722589044E-2</v>
      </c>
    </row>
    <row r="27" spans="1:6" x14ac:dyDescent="0.25">
      <c r="A27" s="640" t="s">
        <v>540</v>
      </c>
      <c r="B27" s="640" t="s">
        <v>244</v>
      </c>
      <c r="C27" s="633" t="s">
        <v>27</v>
      </c>
      <c r="D27" s="633">
        <v>4123</v>
      </c>
      <c r="E27" s="482" t="s">
        <v>512</v>
      </c>
      <c r="F27" s="948">
        <f t="shared" si="1"/>
        <v>4.7928485073932853E-2</v>
      </c>
    </row>
    <row r="28" spans="1:6" x14ac:dyDescent="0.25">
      <c r="A28" s="640" t="s">
        <v>540</v>
      </c>
      <c r="B28" s="640" t="s">
        <v>4</v>
      </c>
      <c r="C28" s="633" t="s">
        <v>27</v>
      </c>
      <c r="D28" s="633">
        <v>13232</v>
      </c>
      <c r="E28" s="482" t="s">
        <v>512</v>
      </c>
      <c r="F28" s="948">
        <f t="shared" si="1"/>
        <v>0.15381753929136055</v>
      </c>
    </row>
    <row r="29" spans="1:6" x14ac:dyDescent="0.25">
      <c r="A29" s="640" t="s">
        <v>540</v>
      </c>
      <c r="B29" s="640" t="s">
        <v>5</v>
      </c>
      <c r="C29" s="633" t="s">
        <v>27</v>
      </c>
      <c r="D29" s="633">
        <v>6723</v>
      </c>
      <c r="E29" s="482" t="s">
        <v>512</v>
      </c>
      <c r="F29" s="948">
        <f t="shared" si="1"/>
        <v>7.8152608574351343E-2</v>
      </c>
    </row>
    <row r="30" spans="1:6" x14ac:dyDescent="0.25">
      <c r="A30" s="640" t="s">
        <v>540</v>
      </c>
      <c r="B30" s="640" t="s">
        <v>6</v>
      </c>
      <c r="C30" s="633" t="s">
        <v>27</v>
      </c>
      <c r="D30" s="633">
        <v>7907</v>
      </c>
      <c r="E30" s="482" t="s">
        <v>512</v>
      </c>
      <c r="F30" s="948">
        <f t="shared" si="1"/>
        <v>9.1916209429926538E-2</v>
      </c>
    </row>
    <row r="31" spans="1:6" x14ac:dyDescent="0.25">
      <c r="A31" s="640" t="s">
        <v>540</v>
      </c>
      <c r="B31" s="640" t="s">
        <v>7</v>
      </c>
      <c r="C31" s="633" t="s">
        <v>27</v>
      </c>
      <c r="D31" s="633">
        <v>4765</v>
      </c>
      <c r="E31" s="482" t="s">
        <v>512</v>
      </c>
      <c r="F31" s="948">
        <f t="shared" si="1"/>
        <v>5.5391518645959266E-2</v>
      </c>
    </row>
    <row r="32" spans="1:6" x14ac:dyDescent="0.25">
      <c r="A32" s="640" t="s">
        <v>540</v>
      </c>
      <c r="B32" s="640" t="s">
        <v>8</v>
      </c>
      <c r="C32" s="633" t="s">
        <v>27</v>
      </c>
      <c r="D32" s="633">
        <v>2436</v>
      </c>
      <c r="E32" s="482" t="s">
        <v>512</v>
      </c>
      <c r="F32" s="948">
        <f t="shared" si="1"/>
        <v>2.8317678787315167E-2</v>
      </c>
    </row>
    <row r="33" spans="1:6" x14ac:dyDescent="0.25">
      <c r="A33" s="640" t="s">
        <v>540</v>
      </c>
      <c r="B33" s="640" t="s">
        <v>9</v>
      </c>
      <c r="C33" s="633" t="s">
        <v>27</v>
      </c>
      <c r="D33" s="633">
        <v>1947</v>
      </c>
      <c r="E33" s="482" t="s">
        <v>512</v>
      </c>
      <c r="F33" s="948">
        <f t="shared" si="1"/>
        <v>2.2633218636659538E-2</v>
      </c>
    </row>
    <row r="34" spans="1:6" x14ac:dyDescent="0.25">
      <c r="A34" s="640" t="s">
        <v>541</v>
      </c>
      <c r="B34" s="640" t="s">
        <v>249</v>
      </c>
      <c r="C34" s="633" t="s">
        <v>26</v>
      </c>
      <c r="D34" s="633">
        <v>10738</v>
      </c>
      <c r="E34" s="482" t="s">
        <v>512</v>
      </c>
      <c r="F34" s="948">
        <f>D34/SUM(D$34:D$49)</f>
        <v>2.7667342590135296E-2</v>
      </c>
    </row>
    <row r="35" spans="1:6" x14ac:dyDescent="0.25">
      <c r="A35" s="640" t="s">
        <v>541</v>
      </c>
      <c r="B35" s="640" t="s">
        <v>244</v>
      </c>
      <c r="C35" s="633" t="s">
        <v>26</v>
      </c>
      <c r="D35" s="633">
        <v>25376</v>
      </c>
      <c r="E35" s="482" t="s">
        <v>512</v>
      </c>
      <c r="F35" s="948">
        <f t="shared" ref="F35:F49" si="2">D35/SUM(D$34:D$49)</f>
        <v>6.5383356823176877E-2</v>
      </c>
    </row>
    <row r="36" spans="1:6" x14ac:dyDescent="0.25">
      <c r="A36" s="640" t="s">
        <v>541</v>
      </c>
      <c r="B36" s="640" t="s">
        <v>4</v>
      </c>
      <c r="C36" s="633" t="s">
        <v>26</v>
      </c>
      <c r="D36" s="633">
        <v>35883</v>
      </c>
      <c r="E36" s="482" t="s">
        <v>512</v>
      </c>
      <c r="F36" s="948">
        <f t="shared" si="2"/>
        <v>9.2455508862155408E-2</v>
      </c>
    </row>
    <row r="37" spans="1:6" x14ac:dyDescent="0.25">
      <c r="A37" s="640" t="s">
        <v>541</v>
      </c>
      <c r="B37" s="640" t="s">
        <v>5</v>
      </c>
      <c r="C37" s="633" t="s">
        <v>26</v>
      </c>
      <c r="D37" s="633">
        <v>36012</v>
      </c>
      <c r="E37" s="482" t="s">
        <v>512</v>
      </c>
      <c r="F37" s="948">
        <f t="shared" si="2"/>
        <v>9.2787888001113081E-2</v>
      </c>
    </row>
    <row r="38" spans="1:6" x14ac:dyDescent="0.25">
      <c r="A38" s="640" t="s">
        <v>541</v>
      </c>
      <c r="B38" s="640" t="s">
        <v>6</v>
      </c>
      <c r="C38" s="633" t="s">
        <v>26</v>
      </c>
      <c r="D38" s="633">
        <v>42780</v>
      </c>
      <c r="E38" s="482" t="s">
        <v>512</v>
      </c>
      <c r="F38" s="948">
        <f t="shared" si="2"/>
        <v>0.11022619817526429</v>
      </c>
    </row>
    <row r="39" spans="1:6" x14ac:dyDescent="0.25">
      <c r="A39" s="640" t="s">
        <v>541</v>
      </c>
      <c r="B39" s="640" t="s">
        <v>7</v>
      </c>
      <c r="C39" s="633" t="s">
        <v>26</v>
      </c>
      <c r="D39" s="633">
        <v>23558</v>
      </c>
      <c r="E39" s="482" t="s">
        <v>512</v>
      </c>
      <c r="F39" s="948">
        <f t="shared" si="2"/>
        <v>6.0699129888099022E-2</v>
      </c>
    </row>
    <row r="40" spans="1:6" x14ac:dyDescent="0.25">
      <c r="A40" s="640" t="s">
        <v>541</v>
      </c>
      <c r="B40" s="640" t="s">
        <v>8</v>
      </c>
      <c r="C40" s="633" t="s">
        <v>26</v>
      </c>
      <c r="D40" s="633">
        <v>10964</v>
      </c>
      <c r="E40" s="482" t="s">
        <v>512</v>
      </c>
      <c r="F40" s="948">
        <f t="shared" si="2"/>
        <v>2.8249650228929352E-2</v>
      </c>
    </row>
    <row r="41" spans="1:6" x14ac:dyDescent="0.25">
      <c r="A41" s="640" t="s">
        <v>541</v>
      </c>
      <c r="B41" s="640" t="s">
        <v>9</v>
      </c>
      <c r="C41" s="633" t="s">
        <v>26</v>
      </c>
      <c r="D41" s="633">
        <v>5651</v>
      </c>
      <c r="E41" s="482" t="s">
        <v>512</v>
      </c>
      <c r="F41" s="948">
        <f t="shared" si="2"/>
        <v>1.4560267552323949E-2</v>
      </c>
    </row>
    <row r="42" spans="1:6" x14ac:dyDescent="0.25">
      <c r="A42" s="640" t="s">
        <v>541</v>
      </c>
      <c r="B42" s="640" t="s">
        <v>249</v>
      </c>
      <c r="C42" s="633" t="s">
        <v>27</v>
      </c>
      <c r="D42" s="633">
        <v>10090</v>
      </c>
      <c r="E42" s="482" t="s">
        <v>512</v>
      </c>
      <c r="F42" s="948">
        <f t="shared" si="2"/>
        <v>2.5997717147929329E-2</v>
      </c>
    </row>
    <row r="43" spans="1:6" x14ac:dyDescent="0.25">
      <c r="A43" s="640" t="s">
        <v>541</v>
      </c>
      <c r="B43" s="640" t="s">
        <v>244</v>
      </c>
      <c r="C43" s="633" t="s">
        <v>27</v>
      </c>
      <c r="D43" s="633">
        <v>24243</v>
      </c>
      <c r="E43" s="482" t="s">
        <v>512</v>
      </c>
      <c r="F43" s="948">
        <f t="shared" si="2"/>
        <v>6.2464088881788976E-2</v>
      </c>
    </row>
    <row r="44" spans="1:6" x14ac:dyDescent="0.25">
      <c r="A44" s="640" t="s">
        <v>541</v>
      </c>
      <c r="B44" s="640" t="s">
        <v>4</v>
      </c>
      <c r="C44" s="633" t="s">
        <v>27</v>
      </c>
      <c r="D44" s="633">
        <v>33841</v>
      </c>
      <c r="E44" s="482" t="s">
        <v>512</v>
      </c>
      <c r="F44" s="948">
        <f t="shared" si="2"/>
        <v>8.719412745322859E-2</v>
      </c>
    </row>
    <row r="45" spans="1:6" x14ac:dyDescent="0.25">
      <c r="A45" s="640" t="s">
        <v>541</v>
      </c>
      <c r="B45" s="640" t="s">
        <v>5</v>
      </c>
      <c r="C45" s="633" t="s">
        <v>27</v>
      </c>
      <c r="D45" s="633">
        <v>36803</v>
      </c>
      <c r="E45" s="482" t="s">
        <v>512</v>
      </c>
      <c r="F45" s="948">
        <f t="shared" si="2"/>
        <v>9.4825964736892282E-2</v>
      </c>
    </row>
    <row r="46" spans="1:6" x14ac:dyDescent="0.25">
      <c r="A46" s="640" t="s">
        <v>541</v>
      </c>
      <c r="B46" s="640" t="s">
        <v>6</v>
      </c>
      <c r="C46" s="633" t="s">
        <v>27</v>
      </c>
      <c r="D46" s="633">
        <v>44551</v>
      </c>
      <c r="E46" s="482" t="s">
        <v>512</v>
      </c>
      <c r="F46" s="948">
        <f t="shared" si="2"/>
        <v>0.11478932573413277</v>
      </c>
    </row>
    <row r="47" spans="1:6" x14ac:dyDescent="0.25">
      <c r="A47" s="640" t="s">
        <v>541</v>
      </c>
      <c r="B47" s="640" t="s">
        <v>7</v>
      </c>
      <c r="C47" s="633" t="s">
        <v>27</v>
      </c>
      <c r="D47" s="633">
        <v>25378</v>
      </c>
      <c r="E47" s="482" t="s">
        <v>512</v>
      </c>
      <c r="F47" s="948">
        <f t="shared" si="2"/>
        <v>6.5388509988121957E-2</v>
      </c>
    </row>
    <row r="48" spans="1:6" x14ac:dyDescent="0.25">
      <c r="A48" s="640" t="s">
        <v>541</v>
      </c>
      <c r="B48" s="640" t="s">
        <v>8</v>
      </c>
      <c r="C48" s="633" t="s">
        <v>27</v>
      </c>
      <c r="D48" s="633">
        <v>12667</v>
      </c>
      <c r="E48" s="482" t="s">
        <v>512</v>
      </c>
      <c r="F48" s="948">
        <f t="shared" si="2"/>
        <v>3.2637570179665093E-2</v>
      </c>
    </row>
    <row r="49" spans="1:6" x14ac:dyDescent="0.25">
      <c r="A49" s="640" t="s">
        <v>541</v>
      </c>
      <c r="B49" s="640" t="s">
        <v>9</v>
      </c>
      <c r="C49" s="633" t="s">
        <v>27</v>
      </c>
      <c r="D49" s="633">
        <v>9576</v>
      </c>
      <c r="E49" s="482" t="s">
        <v>512</v>
      </c>
      <c r="F49" s="948">
        <f t="shared" si="2"/>
        <v>2.4673353757043732E-2</v>
      </c>
    </row>
    <row r="50" spans="1:6" x14ac:dyDescent="0.25">
      <c r="A50" s="640" t="s">
        <v>542</v>
      </c>
      <c r="B50" s="640" t="s">
        <v>249</v>
      </c>
      <c r="C50" s="633" t="s">
        <v>26</v>
      </c>
      <c r="D50" s="633">
        <v>981</v>
      </c>
      <c r="E50" s="482" t="s">
        <v>584</v>
      </c>
      <c r="F50" s="948"/>
    </row>
    <row r="51" spans="1:6" x14ac:dyDescent="0.25">
      <c r="A51" s="640" t="s">
        <v>542</v>
      </c>
      <c r="B51" s="640" t="s">
        <v>244</v>
      </c>
      <c r="C51" s="633" t="s">
        <v>26</v>
      </c>
      <c r="D51" s="633">
        <v>1996</v>
      </c>
      <c r="E51" s="482" t="s">
        <v>584</v>
      </c>
    </row>
    <row r="52" spans="1:6" x14ac:dyDescent="0.25">
      <c r="A52" s="640" t="s">
        <v>542</v>
      </c>
      <c r="B52" s="640" t="s">
        <v>4</v>
      </c>
      <c r="C52" s="633" t="s">
        <v>26</v>
      </c>
      <c r="D52" s="633">
        <v>3464</v>
      </c>
      <c r="E52" s="482" t="s">
        <v>584</v>
      </c>
    </row>
    <row r="53" spans="1:6" x14ac:dyDescent="0.25">
      <c r="A53" s="640" t="s">
        <v>542</v>
      </c>
      <c r="B53" s="640" t="s">
        <v>5</v>
      </c>
      <c r="C53" s="633" t="s">
        <v>26</v>
      </c>
      <c r="D53" s="633">
        <v>3182</v>
      </c>
      <c r="E53" s="482" t="s">
        <v>584</v>
      </c>
    </row>
    <row r="54" spans="1:6" x14ac:dyDescent="0.25">
      <c r="A54" s="640" t="s">
        <v>542</v>
      </c>
      <c r="B54" s="640" t="s">
        <v>6</v>
      </c>
      <c r="C54" s="633" t="s">
        <v>26</v>
      </c>
      <c r="D54" s="633">
        <v>3885</v>
      </c>
      <c r="E54" s="482" t="s">
        <v>584</v>
      </c>
    </row>
    <row r="55" spans="1:6" x14ac:dyDescent="0.25">
      <c r="A55" s="640" t="s">
        <v>542</v>
      </c>
      <c r="B55" s="640" t="s">
        <v>7</v>
      </c>
      <c r="C55" s="633" t="s">
        <v>26</v>
      </c>
      <c r="D55" s="633">
        <v>2837</v>
      </c>
      <c r="E55" s="482" t="s">
        <v>584</v>
      </c>
    </row>
    <row r="56" spans="1:6" x14ac:dyDescent="0.25">
      <c r="A56" s="640" t="s">
        <v>542</v>
      </c>
      <c r="B56" s="640" t="s">
        <v>8</v>
      </c>
      <c r="C56" s="633" t="s">
        <v>26</v>
      </c>
      <c r="D56" s="633">
        <v>1379</v>
      </c>
      <c r="E56" s="482" t="s">
        <v>584</v>
      </c>
    </row>
    <row r="57" spans="1:6" x14ac:dyDescent="0.25">
      <c r="A57" s="640" t="s">
        <v>542</v>
      </c>
      <c r="B57" s="640" t="s">
        <v>9</v>
      </c>
      <c r="C57" s="633" t="s">
        <v>26</v>
      </c>
      <c r="D57" s="633">
        <v>584</v>
      </c>
      <c r="E57" s="482" t="s">
        <v>584</v>
      </c>
    </row>
    <row r="58" spans="1:6" x14ac:dyDescent="0.25">
      <c r="A58" s="640" t="s">
        <v>542</v>
      </c>
      <c r="B58" s="640" t="s">
        <v>249</v>
      </c>
      <c r="C58" s="633" t="s">
        <v>27</v>
      </c>
      <c r="D58" s="633">
        <v>1033</v>
      </c>
      <c r="E58" s="482" t="s">
        <v>584</v>
      </c>
    </row>
    <row r="59" spans="1:6" x14ac:dyDescent="0.25">
      <c r="A59" s="640" t="s">
        <v>542</v>
      </c>
      <c r="B59" s="640" t="s">
        <v>244</v>
      </c>
      <c r="C59" s="633" t="s">
        <v>27</v>
      </c>
      <c r="D59" s="633">
        <v>2028</v>
      </c>
      <c r="E59" s="482" t="s">
        <v>584</v>
      </c>
    </row>
    <row r="60" spans="1:6" x14ac:dyDescent="0.25">
      <c r="A60" s="640" t="s">
        <v>542</v>
      </c>
      <c r="B60" s="640" t="s">
        <v>4</v>
      </c>
      <c r="C60" s="633" t="s">
        <v>27</v>
      </c>
      <c r="D60" s="633">
        <v>3208</v>
      </c>
      <c r="E60" s="482" t="s">
        <v>584</v>
      </c>
    </row>
    <row r="61" spans="1:6" x14ac:dyDescent="0.25">
      <c r="A61" s="640" t="s">
        <v>542</v>
      </c>
      <c r="B61" s="640" t="s">
        <v>5</v>
      </c>
      <c r="C61" s="633" t="s">
        <v>27</v>
      </c>
      <c r="D61" s="633">
        <v>3090</v>
      </c>
      <c r="E61" s="482" t="s">
        <v>584</v>
      </c>
    </row>
    <row r="62" spans="1:6" x14ac:dyDescent="0.25">
      <c r="A62" s="640" t="s">
        <v>542</v>
      </c>
      <c r="B62" s="640" t="s">
        <v>6</v>
      </c>
      <c r="C62" s="633" t="s">
        <v>27</v>
      </c>
      <c r="D62" s="633">
        <v>4086</v>
      </c>
      <c r="E62" s="482" t="s">
        <v>584</v>
      </c>
    </row>
    <row r="63" spans="1:6" x14ac:dyDescent="0.25">
      <c r="A63" s="640" t="s">
        <v>542</v>
      </c>
      <c r="B63" s="640" t="s">
        <v>7</v>
      </c>
      <c r="C63" s="633" t="s">
        <v>27</v>
      </c>
      <c r="D63" s="633">
        <v>2907</v>
      </c>
      <c r="E63" s="482" t="s">
        <v>584</v>
      </c>
    </row>
    <row r="64" spans="1:6" x14ac:dyDescent="0.25">
      <c r="A64" s="640" t="s">
        <v>542</v>
      </c>
      <c r="B64" s="640" t="s">
        <v>8</v>
      </c>
      <c r="C64" s="633" t="s">
        <v>27</v>
      </c>
      <c r="D64" s="633">
        <v>1428</v>
      </c>
      <c r="E64" s="482" t="s">
        <v>584</v>
      </c>
    </row>
    <row r="65" spans="1:5" x14ac:dyDescent="0.25">
      <c r="A65" s="640" t="s">
        <v>542</v>
      </c>
      <c r="B65" s="640" t="s">
        <v>9</v>
      </c>
      <c r="C65" s="633" t="s">
        <v>27</v>
      </c>
      <c r="D65" s="633">
        <v>1003</v>
      </c>
      <c r="E65" s="482" t="s">
        <v>584</v>
      </c>
    </row>
    <row r="66" spans="1:5" x14ac:dyDescent="0.25">
      <c r="A66" s="640" t="s">
        <v>543</v>
      </c>
      <c r="B66" s="640" t="s">
        <v>249</v>
      </c>
      <c r="C66" s="633" t="s">
        <v>26</v>
      </c>
      <c r="D66" s="633">
        <v>1315</v>
      </c>
      <c r="E66" s="482" t="s">
        <v>512</v>
      </c>
    </row>
    <row r="67" spans="1:5" x14ac:dyDescent="0.25">
      <c r="A67" s="640" t="s">
        <v>543</v>
      </c>
      <c r="B67" s="640" t="s">
        <v>244</v>
      </c>
      <c r="C67" s="633" t="s">
        <v>26</v>
      </c>
      <c r="D67" s="633">
        <v>3343</v>
      </c>
      <c r="E67" s="482" t="s">
        <v>512</v>
      </c>
    </row>
    <row r="68" spans="1:5" x14ac:dyDescent="0.25">
      <c r="A68" s="640" t="s">
        <v>543</v>
      </c>
      <c r="B68" s="640" t="s">
        <v>4</v>
      </c>
      <c r="C68" s="633" t="s">
        <v>26</v>
      </c>
      <c r="D68" s="633">
        <v>4165</v>
      </c>
      <c r="E68" s="482" t="s">
        <v>512</v>
      </c>
    </row>
    <row r="69" spans="1:5" x14ac:dyDescent="0.25">
      <c r="A69" s="640" t="s">
        <v>543</v>
      </c>
      <c r="B69" s="640" t="s">
        <v>5</v>
      </c>
      <c r="C69" s="633" t="s">
        <v>26</v>
      </c>
      <c r="D69" s="633">
        <v>4389</v>
      </c>
      <c r="E69" s="482" t="s">
        <v>512</v>
      </c>
    </row>
    <row r="70" spans="1:5" x14ac:dyDescent="0.25">
      <c r="A70" s="640" t="s">
        <v>543</v>
      </c>
      <c r="B70" s="640" t="s">
        <v>6</v>
      </c>
      <c r="C70" s="633" t="s">
        <v>26</v>
      </c>
      <c r="D70" s="633">
        <v>5627</v>
      </c>
      <c r="E70" s="482" t="s">
        <v>512</v>
      </c>
    </row>
    <row r="71" spans="1:5" x14ac:dyDescent="0.25">
      <c r="A71" s="640" t="s">
        <v>543</v>
      </c>
      <c r="B71" s="640" t="s">
        <v>7</v>
      </c>
      <c r="C71" s="633" t="s">
        <v>26</v>
      </c>
      <c r="D71" s="633">
        <v>3288</v>
      </c>
      <c r="E71" s="482" t="s">
        <v>512</v>
      </c>
    </row>
    <row r="72" spans="1:5" x14ac:dyDescent="0.25">
      <c r="A72" s="640" t="s">
        <v>543</v>
      </c>
      <c r="B72" s="640" t="s">
        <v>8</v>
      </c>
      <c r="C72" s="633" t="s">
        <v>26</v>
      </c>
      <c r="D72" s="633">
        <v>1740</v>
      </c>
      <c r="E72" s="482" t="s">
        <v>512</v>
      </c>
    </row>
    <row r="73" spans="1:5" x14ac:dyDescent="0.25">
      <c r="A73" s="640" t="s">
        <v>543</v>
      </c>
      <c r="B73" s="640" t="s">
        <v>9</v>
      </c>
      <c r="C73" s="633" t="s">
        <v>26</v>
      </c>
      <c r="D73" s="633">
        <v>671</v>
      </c>
      <c r="E73" s="482" t="s">
        <v>512</v>
      </c>
    </row>
    <row r="74" spans="1:5" x14ac:dyDescent="0.25">
      <c r="A74" s="640" t="s">
        <v>543</v>
      </c>
      <c r="B74" s="640" t="s">
        <v>249</v>
      </c>
      <c r="C74" s="633" t="s">
        <v>27</v>
      </c>
      <c r="D74" s="633">
        <v>1285</v>
      </c>
      <c r="E74" s="482" t="s">
        <v>512</v>
      </c>
    </row>
    <row r="75" spans="1:5" x14ac:dyDescent="0.25">
      <c r="A75" s="640" t="s">
        <v>543</v>
      </c>
      <c r="B75" s="640" t="s">
        <v>244</v>
      </c>
      <c r="C75" s="633" t="s">
        <v>27</v>
      </c>
      <c r="D75" s="633">
        <v>3112</v>
      </c>
      <c r="E75" s="482" t="s">
        <v>512</v>
      </c>
    </row>
    <row r="76" spans="1:5" x14ac:dyDescent="0.25">
      <c r="A76" s="640" t="s">
        <v>543</v>
      </c>
      <c r="B76" s="640" t="s">
        <v>4</v>
      </c>
      <c r="C76" s="633" t="s">
        <v>27</v>
      </c>
      <c r="D76" s="633">
        <v>4030</v>
      </c>
      <c r="E76" s="482" t="s">
        <v>512</v>
      </c>
    </row>
    <row r="77" spans="1:5" x14ac:dyDescent="0.25">
      <c r="A77" s="640" t="s">
        <v>543</v>
      </c>
      <c r="B77" s="640" t="s">
        <v>5</v>
      </c>
      <c r="C77" s="633" t="s">
        <v>27</v>
      </c>
      <c r="D77" s="633">
        <v>4602</v>
      </c>
      <c r="E77" s="482" t="s">
        <v>512</v>
      </c>
    </row>
    <row r="78" spans="1:5" x14ac:dyDescent="0.25">
      <c r="A78" s="640" t="s">
        <v>543</v>
      </c>
      <c r="B78" s="640" t="s">
        <v>6</v>
      </c>
      <c r="C78" s="633" t="s">
        <v>27</v>
      </c>
      <c r="D78" s="633">
        <v>5595</v>
      </c>
      <c r="E78" s="482" t="s">
        <v>512</v>
      </c>
    </row>
    <row r="79" spans="1:5" x14ac:dyDescent="0.25">
      <c r="A79" s="640" t="s">
        <v>543</v>
      </c>
      <c r="B79" s="640" t="s">
        <v>7</v>
      </c>
      <c r="C79" s="633" t="s">
        <v>27</v>
      </c>
      <c r="D79" s="633">
        <v>3360</v>
      </c>
      <c r="E79" s="482" t="s">
        <v>512</v>
      </c>
    </row>
    <row r="80" spans="1:5" x14ac:dyDescent="0.25">
      <c r="A80" s="640" t="s">
        <v>543</v>
      </c>
      <c r="B80" s="640" t="s">
        <v>8</v>
      </c>
      <c r="C80" s="633" t="s">
        <v>27</v>
      </c>
      <c r="D80" s="633">
        <v>1666</v>
      </c>
      <c r="E80" s="482" t="s">
        <v>512</v>
      </c>
    </row>
    <row r="81" spans="1:5" x14ac:dyDescent="0.25">
      <c r="A81" s="640" t="s">
        <v>543</v>
      </c>
      <c r="B81" s="640" t="s">
        <v>9</v>
      </c>
      <c r="C81" s="633" t="s">
        <v>27</v>
      </c>
      <c r="D81" s="633">
        <v>1068</v>
      </c>
      <c r="E81" s="482" t="s">
        <v>512</v>
      </c>
    </row>
    <row r="82" spans="1:5" x14ac:dyDescent="0.25">
      <c r="A82" s="640" t="s">
        <v>544</v>
      </c>
      <c r="B82" s="640" t="s">
        <v>249</v>
      </c>
      <c r="C82" s="633" t="s">
        <v>26</v>
      </c>
      <c r="D82" s="633">
        <v>1573</v>
      </c>
      <c r="E82" s="482" t="s">
        <v>584</v>
      </c>
    </row>
    <row r="83" spans="1:5" x14ac:dyDescent="0.25">
      <c r="A83" s="640" t="s">
        <v>544</v>
      </c>
      <c r="B83" s="640" t="s">
        <v>244</v>
      </c>
      <c r="C83" s="633" t="s">
        <v>26</v>
      </c>
      <c r="D83" s="633">
        <v>3310</v>
      </c>
      <c r="E83" s="482" t="s">
        <v>584</v>
      </c>
    </row>
    <row r="84" spans="1:5" x14ac:dyDescent="0.25">
      <c r="A84" s="640" t="s">
        <v>544</v>
      </c>
      <c r="B84" s="640" t="s">
        <v>4</v>
      </c>
      <c r="C84" s="633" t="s">
        <v>26</v>
      </c>
      <c r="D84" s="633">
        <v>5037</v>
      </c>
      <c r="E84" s="482" t="s">
        <v>584</v>
      </c>
    </row>
    <row r="85" spans="1:5" x14ac:dyDescent="0.25">
      <c r="A85" s="640" t="s">
        <v>544</v>
      </c>
      <c r="B85" s="640" t="s">
        <v>5</v>
      </c>
      <c r="C85" s="633" t="s">
        <v>26</v>
      </c>
      <c r="D85" s="633">
        <v>4880</v>
      </c>
      <c r="E85" s="482" t="s">
        <v>584</v>
      </c>
    </row>
    <row r="86" spans="1:5" x14ac:dyDescent="0.25">
      <c r="A86" s="640" t="s">
        <v>544</v>
      </c>
      <c r="B86" s="640" t="s">
        <v>6</v>
      </c>
      <c r="C86" s="633" t="s">
        <v>26</v>
      </c>
      <c r="D86" s="633">
        <v>6544</v>
      </c>
      <c r="E86" s="482" t="s">
        <v>584</v>
      </c>
    </row>
    <row r="87" spans="1:5" x14ac:dyDescent="0.25">
      <c r="A87" s="640" t="s">
        <v>544</v>
      </c>
      <c r="B87" s="640" t="s">
        <v>7</v>
      </c>
      <c r="C87" s="633" t="s">
        <v>26</v>
      </c>
      <c r="D87" s="633">
        <v>4809</v>
      </c>
      <c r="E87" s="482" t="s">
        <v>584</v>
      </c>
    </row>
    <row r="88" spans="1:5" x14ac:dyDescent="0.25">
      <c r="A88" s="640" t="s">
        <v>544</v>
      </c>
      <c r="B88" s="640" t="s">
        <v>8</v>
      </c>
      <c r="C88" s="633" t="s">
        <v>26</v>
      </c>
      <c r="D88" s="633">
        <v>3105</v>
      </c>
      <c r="E88" s="482" t="s">
        <v>584</v>
      </c>
    </row>
    <row r="89" spans="1:5" x14ac:dyDescent="0.25">
      <c r="A89" s="640" t="s">
        <v>544</v>
      </c>
      <c r="B89" s="640" t="s">
        <v>9</v>
      </c>
      <c r="C89" s="633" t="s">
        <v>26</v>
      </c>
      <c r="D89" s="633">
        <v>1578</v>
      </c>
      <c r="E89" s="482" t="s">
        <v>584</v>
      </c>
    </row>
    <row r="90" spans="1:5" x14ac:dyDescent="0.25">
      <c r="A90" s="640" t="s">
        <v>544</v>
      </c>
      <c r="B90" s="640" t="s">
        <v>249</v>
      </c>
      <c r="C90" s="633" t="s">
        <v>27</v>
      </c>
      <c r="D90" s="633">
        <v>1522</v>
      </c>
      <c r="E90" s="482" t="s">
        <v>584</v>
      </c>
    </row>
    <row r="91" spans="1:5" x14ac:dyDescent="0.25">
      <c r="A91" s="640" t="s">
        <v>544</v>
      </c>
      <c r="B91" s="640" t="s">
        <v>244</v>
      </c>
      <c r="C91" s="633" t="s">
        <v>27</v>
      </c>
      <c r="D91" s="633">
        <v>3222</v>
      </c>
      <c r="E91" s="482" t="s">
        <v>584</v>
      </c>
    </row>
    <row r="92" spans="1:5" x14ac:dyDescent="0.25">
      <c r="A92" s="640" t="s">
        <v>544</v>
      </c>
      <c r="B92" s="640" t="s">
        <v>4</v>
      </c>
      <c r="C92" s="633" t="s">
        <v>27</v>
      </c>
      <c r="D92" s="633">
        <v>4917</v>
      </c>
      <c r="E92" s="482" t="s">
        <v>584</v>
      </c>
    </row>
    <row r="93" spans="1:5" x14ac:dyDescent="0.25">
      <c r="A93" s="640" t="s">
        <v>544</v>
      </c>
      <c r="B93" s="640" t="s">
        <v>5</v>
      </c>
      <c r="C93" s="633" t="s">
        <v>27</v>
      </c>
      <c r="D93" s="633">
        <v>4741</v>
      </c>
      <c r="E93" s="482" t="s">
        <v>584</v>
      </c>
    </row>
    <row r="94" spans="1:5" x14ac:dyDescent="0.25">
      <c r="A94" s="640" t="s">
        <v>544</v>
      </c>
      <c r="B94" s="640" t="s">
        <v>6</v>
      </c>
      <c r="C94" s="633" t="s">
        <v>27</v>
      </c>
      <c r="D94" s="633">
        <v>7000</v>
      </c>
      <c r="E94" s="482" t="s">
        <v>584</v>
      </c>
    </row>
    <row r="95" spans="1:5" x14ac:dyDescent="0.25">
      <c r="A95" s="640" t="s">
        <v>544</v>
      </c>
      <c r="B95" s="640" t="s">
        <v>7</v>
      </c>
      <c r="C95" s="633" t="s">
        <v>27</v>
      </c>
      <c r="D95" s="633">
        <v>5090</v>
      </c>
      <c r="E95" s="482" t="s">
        <v>584</v>
      </c>
    </row>
    <row r="96" spans="1:5" x14ac:dyDescent="0.25">
      <c r="A96" s="640" t="s">
        <v>544</v>
      </c>
      <c r="B96" s="640" t="s">
        <v>8</v>
      </c>
      <c r="C96" s="633" t="s">
        <v>27</v>
      </c>
      <c r="D96" s="633">
        <v>3280</v>
      </c>
      <c r="E96" s="482" t="s">
        <v>584</v>
      </c>
    </row>
    <row r="97" spans="1:5" x14ac:dyDescent="0.25">
      <c r="A97" s="640" t="s">
        <v>544</v>
      </c>
      <c r="B97" s="640" t="s">
        <v>9</v>
      </c>
      <c r="C97" s="633" t="s">
        <v>27</v>
      </c>
      <c r="D97" s="633">
        <v>1949</v>
      </c>
      <c r="E97" s="482" t="s">
        <v>584</v>
      </c>
    </row>
    <row r="98" spans="1:5" x14ac:dyDescent="0.25">
      <c r="A98" s="640" t="s">
        <v>545</v>
      </c>
      <c r="B98" s="640" t="s">
        <v>249</v>
      </c>
      <c r="C98" s="633" t="s">
        <v>26</v>
      </c>
      <c r="D98" s="633">
        <v>442</v>
      </c>
      <c r="E98" s="482" t="s">
        <v>584</v>
      </c>
    </row>
    <row r="99" spans="1:5" x14ac:dyDescent="0.25">
      <c r="A99" s="640" t="s">
        <v>545</v>
      </c>
      <c r="B99" s="640" t="s">
        <v>244</v>
      </c>
      <c r="C99" s="633" t="s">
        <v>26</v>
      </c>
      <c r="D99" s="633">
        <v>1215</v>
      </c>
      <c r="E99" s="482" t="s">
        <v>584</v>
      </c>
    </row>
    <row r="100" spans="1:5" x14ac:dyDescent="0.25">
      <c r="A100" s="640" t="s">
        <v>545</v>
      </c>
      <c r="B100" s="640" t="s">
        <v>4</v>
      </c>
      <c r="C100" s="633" t="s">
        <v>26</v>
      </c>
      <c r="D100" s="633">
        <v>1573</v>
      </c>
      <c r="E100" s="482" t="s">
        <v>584</v>
      </c>
    </row>
    <row r="101" spans="1:5" x14ac:dyDescent="0.25">
      <c r="A101" s="640" t="s">
        <v>545</v>
      </c>
      <c r="B101" s="640" t="s">
        <v>5</v>
      </c>
      <c r="C101" s="633" t="s">
        <v>26</v>
      </c>
      <c r="D101" s="633">
        <v>1593</v>
      </c>
      <c r="E101" s="482" t="s">
        <v>584</v>
      </c>
    </row>
    <row r="102" spans="1:5" x14ac:dyDescent="0.25">
      <c r="A102" s="640" t="s">
        <v>545</v>
      </c>
      <c r="B102" s="640" t="s">
        <v>6</v>
      </c>
      <c r="C102" s="633" t="s">
        <v>26</v>
      </c>
      <c r="D102" s="633">
        <v>2152</v>
      </c>
      <c r="E102" s="482" t="s">
        <v>584</v>
      </c>
    </row>
    <row r="103" spans="1:5" x14ac:dyDescent="0.25">
      <c r="A103" s="640" t="s">
        <v>545</v>
      </c>
      <c r="B103" s="640" t="s">
        <v>7</v>
      </c>
      <c r="C103" s="633" t="s">
        <v>26</v>
      </c>
      <c r="D103" s="633">
        <v>1713</v>
      </c>
      <c r="E103" s="482" t="s">
        <v>584</v>
      </c>
    </row>
    <row r="104" spans="1:5" x14ac:dyDescent="0.25">
      <c r="A104" s="640" t="s">
        <v>545</v>
      </c>
      <c r="B104" s="640" t="s">
        <v>8</v>
      </c>
      <c r="C104" s="633" t="s">
        <v>26</v>
      </c>
      <c r="D104" s="633">
        <v>1145</v>
      </c>
      <c r="E104" s="482" t="s">
        <v>584</v>
      </c>
    </row>
    <row r="105" spans="1:5" x14ac:dyDescent="0.25">
      <c r="A105" s="640" t="s">
        <v>545</v>
      </c>
      <c r="B105" s="640" t="s">
        <v>9</v>
      </c>
      <c r="C105" s="633" t="s">
        <v>26</v>
      </c>
      <c r="D105" s="633">
        <v>447</v>
      </c>
      <c r="E105" s="482" t="s">
        <v>584</v>
      </c>
    </row>
    <row r="106" spans="1:5" x14ac:dyDescent="0.25">
      <c r="A106" s="640" t="s">
        <v>545</v>
      </c>
      <c r="B106" s="640" t="s">
        <v>249</v>
      </c>
      <c r="C106" s="633" t="s">
        <v>27</v>
      </c>
      <c r="D106" s="633">
        <v>473</v>
      </c>
      <c r="E106" s="482" t="s">
        <v>584</v>
      </c>
    </row>
    <row r="107" spans="1:5" x14ac:dyDescent="0.25">
      <c r="A107" s="640" t="s">
        <v>545</v>
      </c>
      <c r="B107" s="640" t="s">
        <v>244</v>
      </c>
      <c r="C107" s="633" t="s">
        <v>27</v>
      </c>
      <c r="D107" s="633">
        <v>1121</v>
      </c>
      <c r="E107" s="482" t="s">
        <v>584</v>
      </c>
    </row>
    <row r="108" spans="1:5" x14ac:dyDescent="0.25">
      <c r="A108" s="640" t="s">
        <v>545</v>
      </c>
      <c r="B108" s="640" t="s">
        <v>4</v>
      </c>
      <c r="C108" s="633" t="s">
        <v>27</v>
      </c>
      <c r="D108" s="633">
        <v>1495</v>
      </c>
      <c r="E108" s="482" t="s">
        <v>584</v>
      </c>
    </row>
    <row r="109" spans="1:5" x14ac:dyDescent="0.25">
      <c r="A109" s="640" t="s">
        <v>545</v>
      </c>
      <c r="B109" s="640" t="s">
        <v>5</v>
      </c>
      <c r="C109" s="633" t="s">
        <v>27</v>
      </c>
      <c r="D109" s="633">
        <v>1675</v>
      </c>
      <c r="E109" s="482" t="s">
        <v>584</v>
      </c>
    </row>
    <row r="110" spans="1:5" x14ac:dyDescent="0.25">
      <c r="A110" s="640" t="s">
        <v>545</v>
      </c>
      <c r="B110" s="640" t="s">
        <v>6</v>
      </c>
      <c r="C110" s="633" t="s">
        <v>27</v>
      </c>
      <c r="D110" s="633">
        <v>2305</v>
      </c>
      <c r="E110" s="482" t="s">
        <v>584</v>
      </c>
    </row>
    <row r="111" spans="1:5" x14ac:dyDescent="0.25">
      <c r="A111" s="640" t="s">
        <v>545</v>
      </c>
      <c r="B111" s="640" t="s">
        <v>7</v>
      </c>
      <c r="C111" s="633" t="s">
        <v>27</v>
      </c>
      <c r="D111" s="633">
        <v>1857</v>
      </c>
      <c r="E111" s="482" t="s">
        <v>584</v>
      </c>
    </row>
    <row r="112" spans="1:5" x14ac:dyDescent="0.25">
      <c r="A112" s="640" t="s">
        <v>545</v>
      </c>
      <c r="B112" s="640" t="s">
        <v>8</v>
      </c>
      <c r="C112" s="633" t="s">
        <v>27</v>
      </c>
      <c r="D112" s="633">
        <v>986</v>
      </c>
      <c r="E112" s="482" t="s">
        <v>584</v>
      </c>
    </row>
    <row r="113" spans="1:5" x14ac:dyDescent="0.25">
      <c r="A113" s="640" t="s">
        <v>545</v>
      </c>
      <c r="B113" s="640" t="s">
        <v>9</v>
      </c>
      <c r="C113" s="633" t="s">
        <v>27</v>
      </c>
      <c r="D113" s="633">
        <v>590</v>
      </c>
      <c r="E113" s="482" t="s">
        <v>584</v>
      </c>
    </row>
    <row r="114" spans="1:5" x14ac:dyDescent="0.25">
      <c r="A114" s="640" t="s">
        <v>546</v>
      </c>
      <c r="B114" s="640" t="s">
        <v>249</v>
      </c>
      <c r="C114" s="633" t="s">
        <v>26</v>
      </c>
      <c r="D114" s="633">
        <v>469</v>
      </c>
      <c r="E114" s="482" t="s">
        <v>584</v>
      </c>
    </row>
    <row r="115" spans="1:5" x14ac:dyDescent="0.25">
      <c r="A115" s="640" t="s">
        <v>546</v>
      </c>
      <c r="B115" s="640" t="s">
        <v>244</v>
      </c>
      <c r="C115" s="633" t="s">
        <v>26</v>
      </c>
      <c r="D115" s="633">
        <v>992</v>
      </c>
      <c r="E115" s="482" t="s">
        <v>584</v>
      </c>
    </row>
    <row r="116" spans="1:5" x14ac:dyDescent="0.25">
      <c r="A116" s="640" t="s">
        <v>546</v>
      </c>
      <c r="B116" s="640" t="s">
        <v>4</v>
      </c>
      <c r="C116" s="633" t="s">
        <v>26</v>
      </c>
      <c r="D116" s="633">
        <v>1488</v>
      </c>
      <c r="E116" s="482" t="s">
        <v>584</v>
      </c>
    </row>
    <row r="117" spans="1:5" x14ac:dyDescent="0.25">
      <c r="A117" s="640" t="s">
        <v>546</v>
      </c>
      <c r="B117" s="640" t="s">
        <v>5</v>
      </c>
      <c r="C117" s="633" t="s">
        <v>26</v>
      </c>
      <c r="D117" s="633">
        <v>1417</v>
      </c>
      <c r="E117" s="482" t="s">
        <v>584</v>
      </c>
    </row>
    <row r="118" spans="1:5" x14ac:dyDescent="0.25">
      <c r="A118" s="640" t="s">
        <v>546</v>
      </c>
      <c r="B118" s="640" t="s">
        <v>6</v>
      </c>
      <c r="C118" s="633" t="s">
        <v>26</v>
      </c>
      <c r="D118" s="633">
        <v>2299</v>
      </c>
      <c r="E118" s="482" t="s">
        <v>584</v>
      </c>
    </row>
    <row r="119" spans="1:5" x14ac:dyDescent="0.25">
      <c r="A119" s="640" t="s">
        <v>546</v>
      </c>
      <c r="B119" s="640" t="s">
        <v>7</v>
      </c>
      <c r="C119" s="633" t="s">
        <v>26</v>
      </c>
      <c r="D119" s="633">
        <v>2137</v>
      </c>
      <c r="E119" s="482" t="s">
        <v>584</v>
      </c>
    </row>
    <row r="120" spans="1:5" x14ac:dyDescent="0.25">
      <c r="A120" s="640" t="s">
        <v>546</v>
      </c>
      <c r="B120" s="640" t="s">
        <v>8</v>
      </c>
      <c r="C120" s="633" t="s">
        <v>26</v>
      </c>
      <c r="D120" s="633">
        <v>1441</v>
      </c>
      <c r="E120" s="482" t="s">
        <v>584</v>
      </c>
    </row>
    <row r="121" spans="1:5" x14ac:dyDescent="0.25">
      <c r="A121" s="640" t="s">
        <v>546</v>
      </c>
      <c r="B121" s="640" t="s">
        <v>9</v>
      </c>
      <c r="C121" s="633" t="s">
        <v>26</v>
      </c>
      <c r="D121" s="633">
        <v>729</v>
      </c>
      <c r="E121" s="482" t="s">
        <v>584</v>
      </c>
    </row>
    <row r="122" spans="1:5" x14ac:dyDescent="0.25">
      <c r="A122" s="640" t="s">
        <v>546</v>
      </c>
      <c r="B122" s="640" t="s">
        <v>249</v>
      </c>
      <c r="C122" s="633" t="s">
        <v>27</v>
      </c>
      <c r="D122" s="633">
        <v>460</v>
      </c>
      <c r="E122" s="482" t="s">
        <v>584</v>
      </c>
    </row>
    <row r="123" spans="1:5" x14ac:dyDescent="0.25">
      <c r="A123" s="640" t="s">
        <v>546</v>
      </c>
      <c r="B123" s="640" t="s">
        <v>244</v>
      </c>
      <c r="C123" s="633" t="s">
        <v>27</v>
      </c>
      <c r="D123" s="633">
        <v>884</v>
      </c>
      <c r="E123" s="482" t="s">
        <v>584</v>
      </c>
    </row>
    <row r="124" spans="1:5" x14ac:dyDescent="0.25">
      <c r="A124" s="640" t="s">
        <v>546</v>
      </c>
      <c r="B124" s="640" t="s">
        <v>4</v>
      </c>
      <c r="C124" s="633" t="s">
        <v>27</v>
      </c>
      <c r="D124" s="633">
        <v>1331</v>
      </c>
      <c r="E124" s="482" t="s">
        <v>584</v>
      </c>
    </row>
    <row r="125" spans="1:5" x14ac:dyDescent="0.25">
      <c r="A125" s="640" t="s">
        <v>546</v>
      </c>
      <c r="B125" s="640" t="s">
        <v>5</v>
      </c>
      <c r="C125" s="633" t="s">
        <v>27</v>
      </c>
      <c r="D125" s="633">
        <v>1411</v>
      </c>
      <c r="E125" s="482" t="s">
        <v>584</v>
      </c>
    </row>
    <row r="126" spans="1:5" x14ac:dyDescent="0.25">
      <c r="A126" s="640" t="s">
        <v>546</v>
      </c>
      <c r="B126" s="640" t="s">
        <v>6</v>
      </c>
      <c r="C126" s="633" t="s">
        <v>27</v>
      </c>
      <c r="D126" s="633">
        <v>2510</v>
      </c>
      <c r="E126" s="482" t="s">
        <v>584</v>
      </c>
    </row>
    <row r="127" spans="1:5" x14ac:dyDescent="0.25">
      <c r="A127" s="640" t="s">
        <v>546</v>
      </c>
      <c r="B127" s="640" t="s">
        <v>7</v>
      </c>
      <c r="C127" s="633" t="s">
        <v>27</v>
      </c>
      <c r="D127" s="633">
        <v>2264</v>
      </c>
      <c r="E127" s="482" t="s">
        <v>584</v>
      </c>
    </row>
    <row r="128" spans="1:5" x14ac:dyDescent="0.25">
      <c r="A128" s="640" t="s">
        <v>546</v>
      </c>
      <c r="B128" s="640" t="s">
        <v>8</v>
      </c>
      <c r="C128" s="633" t="s">
        <v>27</v>
      </c>
      <c r="D128" s="633">
        <v>1511</v>
      </c>
      <c r="E128" s="482" t="s">
        <v>584</v>
      </c>
    </row>
    <row r="129" spans="1:5" x14ac:dyDescent="0.25">
      <c r="A129" s="640" t="s">
        <v>546</v>
      </c>
      <c r="B129" s="640" t="s">
        <v>9</v>
      </c>
      <c r="C129" s="633" t="s">
        <v>27</v>
      </c>
      <c r="D129" s="633">
        <v>911</v>
      </c>
      <c r="E129" s="482" t="s">
        <v>584</v>
      </c>
    </row>
    <row r="130" spans="1:5" x14ac:dyDescent="0.25">
      <c r="A130" s="640" t="s">
        <v>547</v>
      </c>
      <c r="B130" s="640" t="s">
        <v>249</v>
      </c>
      <c r="C130" s="633" t="s">
        <v>26</v>
      </c>
      <c r="D130" s="633">
        <v>4640</v>
      </c>
      <c r="E130" s="482" t="s">
        <v>512</v>
      </c>
    </row>
    <row r="131" spans="1:5" x14ac:dyDescent="0.25">
      <c r="A131" s="640" t="s">
        <v>547</v>
      </c>
      <c r="B131" s="640" t="s">
        <v>244</v>
      </c>
      <c r="C131" s="633" t="s">
        <v>26</v>
      </c>
      <c r="D131" s="633">
        <v>10613</v>
      </c>
      <c r="E131" s="482" t="s">
        <v>512</v>
      </c>
    </row>
    <row r="132" spans="1:5" x14ac:dyDescent="0.25">
      <c r="A132" s="640" t="s">
        <v>547</v>
      </c>
      <c r="B132" s="640" t="s">
        <v>4</v>
      </c>
      <c r="C132" s="633" t="s">
        <v>26</v>
      </c>
      <c r="D132" s="633">
        <v>13973</v>
      </c>
      <c r="E132" s="482" t="s">
        <v>512</v>
      </c>
    </row>
    <row r="133" spans="1:5" x14ac:dyDescent="0.25">
      <c r="A133" s="640" t="s">
        <v>547</v>
      </c>
      <c r="B133" s="640" t="s">
        <v>5</v>
      </c>
      <c r="C133" s="633" t="s">
        <v>26</v>
      </c>
      <c r="D133" s="633">
        <v>16149</v>
      </c>
      <c r="E133" s="482" t="s">
        <v>512</v>
      </c>
    </row>
    <row r="134" spans="1:5" x14ac:dyDescent="0.25">
      <c r="A134" s="640" t="s">
        <v>547</v>
      </c>
      <c r="B134" s="640" t="s">
        <v>6</v>
      </c>
      <c r="C134" s="633" t="s">
        <v>26</v>
      </c>
      <c r="D134" s="633">
        <v>16441</v>
      </c>
      <c r="E134" s="482" t="s">
        <v>512</v>
      </c>
    </row>
    <row r="135" spans="1:5" x14ac:dyDescent="0.25">
      <c r="A135" s="640" t="s">
        <v>547</v>
      </c>
      <c r="B135" s="640" t="s">
        <v>7</v>
      </c>
      <c r="C135" s="633" t="s">
        <v>26</v>
      </c>
      <c r="D135" s="633">
        <v>11140</v>
      </c>
      <c r="E135" s="482" t="s">
        <v>512</v>
      </c>
    </row>
    <row r="136" spans="1:5" x14ac:dyDescent="0.25">
      <c r="A136" s="640" t="s">
        <v>547</v>
      </c>
      <c r="B136" s="640" t="s">
        <v>8</v>
      </c>
      <c r="C136" s="633" t="s">
        <v>26</v>
      </c>
      <c r="D136" s="633">
        <v>5975</v>
      </c>
      <c r="E136" s="482" t="s">
        <v>512</v>
      </c>
    </row>
    <row r="137" spans="1:5" x14ac:dyDescent="0.25">
      <c r="A137" s="640" t="s">
        <v>547</v>
      </c>
      <c r="B137" s="640" t="s">
        <v>9</v>
      </c>
      <c r="C137" s="633" t="s">
        <v>26</v>
      </c>
      <c r="D137" s="633">
        <v>2663</v>
      </c>
      <c r="E137" s="482" t="s">
        <v>512</v>
      </c>
    </row>
    <row r="138" spans="1:5" x14ac:dyDescent="0.25">
      <c r="A138" s="640" t="s">
        <v>547</v>
      </c>
      <c r="B138" s="640" t="s">
        <v>249</v>
      </c>
      <c r="C138" s="633" t="s">
        <v>27</v>
      </c>
      <c r="D138" s="633">
        <v>4400</v>
      </c>
      <c r="E138" s="482" t="s">
        <v>512</v>
      </c>
    </row>
    <row r="139" spans="1:5" x14ac:dyDescent="0.25">
      <c r="A139" s="640" t="s">
        <v>547</v>
      </c>
      <c r="B139" s="640" t="s">
        <v>244</v>
      </c>
      <c r="C139" s="633" t="s">
        <v>27</v>
      </c>
      <c r="D139" s="633">
        <v>10206</v>
      </c>
      <c r="E139" s="482" t="s">
        <v>512</v>
      </c>
    </row>
    <row r="140" spans="1:5" x14ac:dyDescent="0.25">
      <c r="A140" s="640" t="s">
        <v>547</v>
      </c>
      <c r="B140" s="640" t="s">
        <v>4</v>
      </c>
      <c r="C140" s="633" t="s">
        <v>27</v>
      </c>
      <c r="D140" s="633">
        <v>13747</v>
      </c>
      <c r="E140" s="482" t="s">
        <v>512</v>
      </c>
    </row>
    <row r="141" spans="1:5" x14ac:dyDescent="0.25">
      <c r="A141" s="640" t="s">
        <v>547</v>
      </c>
      <c r="B141" s="640" t="s">
        <v>5</v>
      </c>
      <c r="C141" s="633" t="s">
        <v>27</v>
      </c>
      <c r="D141" s="633">
        <v>16308</v>
      </c>
      <c r="E141" s="482" t="s">
        <v>512</v>
      </c>
    </row>
    <row r="142" spans="1:5" x14ac:dyDescent="0.25">
      <c r="A142" s="640" t="s">
        <v>547</v>
      </c>
      <c r="B142" s="640" t="s">
        <v>6</v>
      </c>
      <c r="C142" s="633" t="s">
        <v>27</v>
      </c>
      <c r="D142" s="633">
        <v>18010</v>
      </c>
      <c r="E142" s="482" t="s">
        <v>512</v>
      </c>
    </row>
    <row r="143" spans="1:5" x14ac:dyDescent="0.25">
      <c r="A143" s="640" t="s">
        <v>547</v>
      </c>
      <c r="B143" s="640" t="s">
        <v>7</v>
      </c>
      <c r="C143" s="633" t="s">
        <v>27</v>
      </c>
      <c r="D143" s="633">
        <v>11791</v>
      </c>
      <c r="E143" s="482" t="s">
        <v>512</v>
      </c>
    </row>
    <row r="144" spans="1:5" x14ac:dyDescent="0.25">
      <c r="A144" s="640" t="s">
        <v>547</v>
      </c>
      <c r="B144" s="640" t="s">
        <v>8</v>
      </c>
      <c r="C144" s="633" t="s">
        <v>27</v>
      </c>
      <c r="D144" s="633">
        <v>6022</v>
      </c>
      <c r="E144" s="482" t="s">
        <v>512</v>
      </c>
    </row>
    <row r="145" spans="1:5" x14ac:dyDescent="0.25">
      <c r="A145" s="640" t="s">
        <v>547</v>
      </c>
      <c r="B145" s="640" t="s">
        <v>9</v>
      </c>
      <c r="C145" s="633" t="s">
        <v>27</v>
      </c>
      <c r="D145" s="633">
        <v>3852</v>
      </c>
      <c r="E145" s="482" t="s">
        <v>512</v>
      </c>
    </row>
    <row r="146" spans="1:5" x14ac:dyDescent="0.25">
      <c r="A146" s="640" t="s">
        <v>548</v>
      </c>
      <c r="B146" s="640" t="s">
        <v>249</v>
      </c>
      <c r="C146" s="633" t="s">
        <v>26</v>
      </c>
      <c r="D146" s="633">
        <v>2816</v>
      </c>
      <c r="E146" s="482" t="s">
        <v>584</v>
      </c>
    </row>
    <row r="147" spans="1:5" x14ac:dyDescent="0.25">
      <c r="A147" s="640" t="s">
        <v>548</v>
      </c>
      <c r="B147" s="640" t="s">
        <v>244</v>
      </c>
      <c r="C147" s="633" t="s">
        <v>26</v>
      </c>
      <c r="D147" s="633">
        <v>5880</v>
      </c>
      <c r="E147" s="482" t="s">
        <v>584</v>
      </c>
    </row>
    <row r="148" spans="1:5" x14ac:dyDescent="0.25">
      <c r="A148" s="640" t="s">
        <v>548</v>
      </c>
      <c r="B148" s="640" t="s">
        <v>4</v>
      </c>
      <c r="C148" s="633" t="s">
        <v>26</v>
      </c>
      <c r="D148" s="633">
        <v>8960</v>
      </c>
      <c r="E148" s="482" t="s">
        <v>584</v>
      </c>
    </row>
    <row r="149" spans="1:5" x14ac:dyDescent="0.25">
      <c r="A149" s="640" t="s">
        <v>548</v>
      </c>
      <c r="B149" s="640" t="s">
        <v>5</v>
      </c>
      <c r="C149" s="633" t="s">
        <v>26</v>
      </c>
      <c r="D149" s="633">
        <v>8184</v>
      </c>
      <c r="E149" s="482" t="s">
        <v>584</v>
      </c>
    </row>
    <row r="150" spans="1:5" x14ac:dyDescent="0.25">
      <c r="A150" s="640" t="s">
        <v>548</v>
      </c>
      <c r="B150" s="640" t="s">
        <v>6</v>
      </c>
      <c r="C150" s="633" t="s">
        <v>26</v>
      </c>
      <c r="D150" s="633">
        <v>10986</v>
      </c>
      <c r="E150" s="482" t="s">
        <v>584</v>
      </c>
    </row>
    <row r="151" spans="1:5" x14ac:dyDescent="0.25">
      <c r="A151" s="640" t="s">
        <v>548</v>
      </c>
      <c r="B151" s="640" t="s">
        <v>7</v>
      </c>
      <c r="C151" s="633" t="s">
        <v>26</v>
      </c>
      <c r="D151" s="633">
        <v>7978</v>
      </c>
      <c r="E151" s="482" t="s">
        <v>584</v>
      </c>
    </row>
    <row r="152" spans="1:5" x14ac:dyDescent="0.25">
      <c r="A152" s="640" t="s">
        <v>548</v>
      </c>
      <c r="B152" s="640" t="s">
        <v>8</v>
      </c>
      <c r="C152" s="633" t="s">
        <v>26</v>
      </c>
      <c r="D152" s="633">
        <v>5135</v>
      </c>
      <c r="E152" s="482" t="s">
        <v>584</v>
      </c>
    </row>
    <row r="153" spans="1:5" x14ac:dyDescent="0.25">
      <c r="A153" s="640" t="s">
        <v>548</v>
      </c>
      <c r="B153" s="640" t="s">
        <v>9</v>
      </c>
      <c r="C153" s="633" t="s">
        <v>26</v>
      </c>
      <c r="D153" s="633">
        <v>2715</v>
      </c>
      <c r="E153" s="482" t="s">
        <v>584</v>
      </c>
    </row>
    <row r="154" spans="1:5" x14ac:dyDescent="0.25">
      <c r="A154" s="640" t="s">
        <v>548</v>
      </c>
      <c r="B154" s="640" t="s">
        <v>249</v>
      </c>
      <c r="C154" s="633" t="s">
        <v>27</v>
      </c>
      <c r="D154" s="633">
        <v>2656</v>
      </c>
      <c r="E154" s="482" t="s">
        <v>584</v>
      </c>
    </row>
    <row r="155" spans="1:5" x14ac:dyDescent="0.25">
      <c r="A155" s="640" t="s">
        <v>548</v>
      </c>
      <c r="B155" s="640" t="s">
        <v>244</v>
      </c>
      <c r="C155" s="633" t="s">
        <v>27</v>
      </c>
      <c r="D155" s="633">
        <v>5725</v>
      </c>
      <c r="E155" s="482" t="s">
        <v>584</v>
      </c>
    </row>
    <row r="156" spans="1:5" x14ac:dyDescent="0.25">
      <c r="A156" s="640" t="s">
        <v>548</v>
      </c>
      <c r="B156" s="640" t="s">
        <v>4</v>
      </c>
      <c r="C156" s="633" t="s">
        <v>27</v>
      </c>
      <c r="D156" s="633">
        <v>8419</v>
      </c>
      <c r="E156" s="482" t="s">
        <v>584</v>
      </c>
    </row>
    <row r="157" spans="1:5" x14ac:dyDescent="0.25">
      <c r="A157" s="640" t="s">
        <v>548</v>
      </c>
      <c r="B157" s="640" t="s">
        <v>5</v>
      </c>
      <c r="C157" s="633" t="s">
        <v>27</v>
      </c>
      <c r="D157" s="633">
        <v>8280</v>
      </c>
      <c r="E157" s="482" t="s">
        <v>584</v>
      </c>
    </row>
    <row r="158" spans="1:5" x14ac:dyDescent="0.25">
      <c r="A158" s="640" t="s">
        <v>548</v>
      </c>
      <c r="B158" s="640" t="s">
        <v>6</v>
      </c>
      <c r="C158" s="633" t="s">
        <v>27</v>
      </c>
      <c r="D158" s="633">
        <v>11659</v>
      </c>
      <c r="E158" s="482" t="s">
        <v>584</v>
      </c>
    </row>
    <row r="159" spans="1:5" x14ac:dyDescent="0.25">
      <c r="A159" s="640" t="s">
        <v>548</v>
      </c>
      <c r="B159" s="640" t="s">
        <v>7</v>
      </c>
      <c r="C159" s="633" t="s">
        <v>27</v>
      </c>
      <c r="D159" s="633">
        <v>8398</v>
      </c>
      <c r="E159" s="482" t="s">
        <v>584</v>
      </c>
    </row>
    <row r="160" spans="1:5" x14ac:dyDescent="0.25">
      <c r="A160" s="640" t="s">
        <v>548</v>
      </c>
      <c r="B160" s="640" t="s">
        <v>8</v>
      </c>
      <c r="C160" s="633" t="s">
        <v>27</v>
      </c>
      <c r="D160" s="633">
        <v>5366</v>
      </c>
      <c r="E160" s="482" t="s">
        <v>584</v>
      </c>
    </row>
    <row r="161" spans="1:5" x14ac:dyDescent="0.25">
      <c r="A161" s="640" t="s">
        <v>548</v>
      </c>
      <c r="B161" s="640" t="s">
        <v>9</v>
      </c>
      <c r="C161" s="633" t="s">
        <v>27</v>
      </c>
      <c r="D161" s="633">
        <v>3730</v>
      </c>
      <c r="E161" s="482" t="s">
        <v>584</v>
      </c>
    </row>
    <row r="162" spans="1:5" x14ac:dyDescent="0.25">
      <c r="A162" s="640" t="s">
        <v>549</v>
      </c>
      <c r="B162" s="640" t="s">
        <v>249</v>
      </c>
      <c r="C162" s="633" t="s">
        <v>26</v>
      </c>
      <c r="D162" s="633">
        <v>50</v>
      </c>
      <c r="E162" s="482" t="s">
        <v>584</v>
      </c>
    </row>
    <row r="163" spans="1:5" x14ac:dyDescent="0.25">
      <c r="A163" s="640" t="s">
        <v>549</v>
      </c>
      <c r="B163" s="640" t="s">
        <v>244</v>
      </c>
      <c r="C163" s="633" t="s">
        <v>26</v>
      </c>
      <c r="D163" s="633">
        <v>104</v>
      </c>
      <c r="E163" s="482" t="s">
        <v>584</v>
      </c>
    </row>
    <row r="164" spans="1:5" x14ac:dyDescent="0.25">
      <c r="A164" s="640" t="s">
        <v>549</v>
      </c>
      <c r="B164" s="640" t="s">
        <v>4</v>
      </c>
      <c r="C164" s="633" t="s">
        <v>26</v>
      </c>
      <c r="D164" s="633">
        <v>153</v>
      </c>
      <c r="E164" s="482" t="s">
        <v>584</v>
      </c>
    </row>
    <row r="165" spans="1:5" x14ac:dyDescent="0.25">
      <c r="A165" s="640" t="s">
        <v>549</v>
      </c>
      <c r="B165" s="640" t="s">
        <v>5</v>
      </c>
      <c r="C165" s="633" t="s">
        <v>26</v>
      </c>
      <c r="D165" s="633">
        <v>141</v>
      </c>
      <c r="E165" s="482" t="s">
        <v>584</v>
      </c>
    </row>
    <row r="166" spans="1:5" x14ac:dyDescent="0.25">
      <c r="A166" s="640" t="s">
        <v>549</v>
      </c>
      <c r="B166" s="640" t="s">
        <v>6</v>
      </c>
      <c r="C166" s="633" t="s">
        <v>26</v>
      </c>
      <c r="D166" s="633">
        <v>247</v>
      </c>
      <c r="E166" s="482" t="s">
        <v>584</v>
      </c>
    </row>
    <row r="167" spans="1:5" x14ac:dyDescent="0.25">
      <c r="A167" s="640" t="s">
        <v>549</v>
      </c>
      <c r="B167" s="640" t="s">
        <v>7</v>
      </c>
      <c r="C167" s="633" t="s">
        <v>26</v>
      </c>
      <c r="D167" s="633">
        <v>153</v>
      </c>
      <c r="E167" s="482" t="s">
        <v>584</v>
      </c>
    </row>
    <row r="168" spans="1:5" x14ac:dyDescent="0.25">
      <c r="A168" s="640" t="s">
        <v>549</v>
      </c>
      <c r="B168" s="640" t="s">
        <v>8</v>
      </c>
      <c r="C168" s="633" t="s">
        <v>26</v>
      </c>
      <c r="D168" s="633">
        <v>85</v>
      </c>
      <c r="E168" s="482" t="s">
        <v>584</v>
      </c>
    </row>
    <row r="169" spans="1:5" x14ac:dyDescent="0.25">
      <c r="A169" s="640" t="s">
        <v>549</v>
      </c>
      <c r="B169" s="640" t="s">
        <v>9</v>
      </c>
      <c r="C169" s="633" t="s">
        <v>26</v>
      </c>
      <c r="D169" s="633">
        <v>54</v>
      </c>
      <c r="E169" s="482" t="s">
        <v>584</v>
      </c>
    </row>
    <row r="170" spans="1:5" x14ac:dyDescent="0.25">
      <c r="A170" s="640" t="s">
        <v>549</v>
      </c>
      <c r="B170" s="640" t="s">
        <v>249</v>
      </c>
      <c r="C170" s="633" t="s">
        <v>27</v>
      </c>
      <c r="D170" s="633">
        <v>65</v>
      </c>
      <c r="E170" s="482" t="s">
        <v>584</v>
      </c>
    </row>
    <row r="171" spans="1:5" x14ac:dyDescent="0.25">
      <c r="A171" s="640" t="s">
        <v>549</v>
      </c>
      <c r="B171" s="640" t="s">
        <v>244</v>
      </c>
      <c r="C171" s="633" t="s">
        <v>27</v>
      </c>
      <c r="D171" s="633">
        <v>97</v>
      </c>
      <c r="E171" s="482" t="s">
        <v>584</v>
      </c>
    </row>
    <row r="172" spans="1:5" x14ac:dyDescent="0.25">
      <c r="A172" s="640" t="s">
        <v>549</v>
      </c>
      <c r="B172" s="640" t="s">
        <v>4</v>
      </c>
      <c r="C172" s="633" t="s">
        <v>27</v>
      </c>
      <c r="D172" s="633">
        <v>103</v>
      </c>
      <c r="E172" s="482" t="s">
        <v>584</v>
      </c>
    </row>
    <row r="173" spans="1:5" x14ac:dyDescent="0.25">
      <c r="A173" s="640" t="s">
        <v>549</v>
      </c>
      <c r="B173" s="640" t="s">
        <v>5</v>
      </c>
      <c r="C173" s="633" t="s">
        <v>27</v>
      </c>
      <c r="D173" s="633">
        <v>145</v>
      </c>
      <c r="E173" s="482" t="s">
        <v>584</v>
      </c>
    </row>
    <row r="174" spans="1:5" x14ac:dyDescent="0.25">
      <c r="A174" s="640" t="s">
        <v>549</v>
      </c>
      <c r="B174" s="640" t="s">
        <v>6</v>
      </c>
      <c r="C174" s="633" t="s">
        <v>27</v>
      </c>
      <c r="D174" s="633">
        <v>220</v>
      </c>
      <c r="E174" s="482" t="s">
        <v>584</v>
      </c>
    </row>
    <row r="175" spans="1:5" x14ac:dyDescent="0.25">
      <c r="A175" s="640" t="s">
        <v>549</v>
      </c>
      <c r="B175" s="640" t="s">
        <v>7</v>
      </c>
      <c r="C175" s="633" t="s">
        <v>27</v>
      </c>
      <c r="D175" s="633">
        <v>138</v>
      </c>
      <c r="E175" s="482" t="s">
        <v>584</v>
      </c>
    </row>
    <row r="176" spans="1:5" x14ac:dyDescent="0.25">
      <c r="A176" s="640" t="s">
        <v>549</v>
      </c>
      <c r="B176" s="640" t="s">
        <v>8</v>
      </c>
      <c r="C176" s="633" t="s">
        <v>27</v>
      </c>
      <c r="D176" s="633">
        <v>103</v>
      </c>
      <c r="E176" s="482" t="s">
        <v>584</v>
      </c>
    </row>
    <row r="177" spans="1:5" x14ac:dyDescent="0.25">
      <c r="A177" s="640" t="s">
        <v>549</v>
      </c>
      <c r="B177" s="640" t="s">
        <v>9</v>
      </c>
      <c r="C177" s="633" t="s">
        <v>27</v>
      </c>
      <c r="D177" s="633">
        <v>83</v>
      </c>
      <c r="E177" s="482" t="s">
        <v>584</v>
      </c>
    </row>
    <row r="178" spans="1:5" x14ac:dyDescent="0.25">
      <c r="A178" s="640" t="s">
        <v>550</v>
      </c>
      <c r="B178" s="640" t="s">
        <v>249</v>
      </c>
      <c r="C178" s="633" t="s">
        <v>26</v>
      </c>
      <c r="D178" s="633">
        <v>163</v>
      </c>
      <c r="E178" s="482" t="s">
        <v>584</v>
      </c>
    </row>
    <row r="179" spans="1:5" x14ac:dyDescent="0.25">
      <c r="A179" s="640" t="s">
        <v>550</v>
      </c>
      <c r="B179" s="640" t="s">
        <v>244</v>
      </c>
      <c r="C179" s="633" t="s">
        <v>26</v>
      </c>
      <c r="D179" s="633">
        <v>373</v>
      </c>
      <c r="E179" s="482" t="s">
        <v>584</v>
      </c>
    </row>
    <row r="180" spans="1:5" x14ac:dyDescent="0.25">
      <c r="A180" s="640" t="s">
        <v>550</v>
      </c>
      <c r="B180" s="640" t="s">
        <v>4</v>
      </c>
      <c r="C180" s="633" t="s">
        <v>26</v>
      </c>
      <c r="D180" s="633">
        <v>528</v>
      </c>
      <c r="E180" s="482" t="s">
        <v>584</v>
      </c>
    </row>
    <row r="181" spans="1:5" x14ac:dyDescent="0.25">
      <c r="A181" s="640" t="s">
        <v>550</v>
      </c>
      <c r="B181" s="640" t="s">
        <v>5</v>
      </c>
      <c r="C181" s="633" t="s">
        <v>26</v>
      </c>
      <c r="D181" s="633">
        <v>483</v>
      </c>
      <c r="E181" s="482" t="s">
        <v>584</v>
      </c>
    </row>
    <row r="182" spans="1:5" x14ac:dyDescent="0.25">
      <c r="A182" s="640" t="s">
        <v>550</v>
      </c>
      <c r="B182" s="640" t="s">
        <v>6</v>
      </c>
      <c r="C182" s="633" t="s">
        <v>26</v>
      </c>
      <c r="D182" s="633">
        <v>748</v>
      </c>
      <c r="E182" s="482" t="s">
        <v>584</v>
      </c>
    </row>
    <row r="183" spans="1:5" x14ac:dyDescent="0.25">
      <c r="A183" s="640" t="s">
        <v>550</v>
      </c>
      <c r="B183" s="640" t="s">
        <v>7</v>
      </c>
      <c r="C183" s="633" t="s">
        <v>26</v>
      </c>
      <c r="D183" s="633">
        <v>667</v>
      </c>
      <c r="E183" s="482" t="s">
        <v>584</v>
      </c>
    </row>
    <row r="184" spans="1:5" x14ac:dyDescent="0.25">
      <c r="A184" s="640" t="s">
        <v>550</v>
      </c>
      <c r="B184" s="640" t="s">
        <v>8</v>
      </c>
      <c r="C184" s="633" t="s">
        <v>26</v>
      </c>
      <c r="D184" s="633">
        <v>439</v>
      </c>
      <c r="E184" s="482" t="s">
        <v>584</v>
      </c>
    </row>
    <row r="185" spans="1:5" x14ac:dyDescent="0.25">
      <c r="A185" s="640" t="s">
        <v>550</v>
      </c>
      <c r="B185" s="640" t="s">
        <v>9</v>
      </c>
      <c r="C185" s="633" t="s">
        <v>26</v>
      </c>
      <c r="D185" s="633">
        <v>220</v>
      </c>
      <c r="E185" s="482" t="s">
        <v>584</v>
      </c>
    </row>
    <row r="186" spans="1:5" x14ac:dyDescent="0.25">
      <c r="A186" s="640" t="s">
        <v>550</v>
      </c>
      <c r="B186" s="640" t="s">
        <v>249</v>
      </c>
      <c r="C186" s="633" t="s">
        <v>27</v>
      </c>
      <c r="D186" s="633">
        <v>176</v>
      </c>
      <c r="E186" s="482" t="s">
        <v>584</v>
      </c>
    </row>
    <row r="187" spans="1:5" x14ac:dyDescent="0.25">
      <c r="A187" s="640" t="s">
        <v>550</v>
      </c>
      <c r="B187" s="640" t="s">
        <v>244</v>
      </c>
      <c r="C187" s="633" t="s">
        <v>27</v>
      </c>
      <c r="D187" s="633">
        <v>379</v>
      </c>
      <c r="E187" s="482" t="s">
        <v>584</v>
      </c>
    </row>
    <row r="188" spans="1:5" x14ac:dyDescent="0.25">
      <c r="A188" s="640" t="s">
        <v>550</v>
      </c>
      <c r="B188" s="640" t="s">
        <v>4</v>
      </c>
      <c r="C188" s="633" t="s">
        <v>27</v>
      </c>
      <c r="D188" s="633">
        <v>482</v>
      </c>
      <c r="E188" s="482" t="s">
        <v>584</v>
      </c>
    </row>
    <row r="189" spans="1:5" x14ac:dyDescent="0.25">
      <c r="A189" s="640" t="s">
        <v>550</v>
      </c>
      <c r="B189" s="640" t="s">
        <v>5</v>
      </c>
      <c r="C189" s="633" t="s">
        <v>27</v>
      </c>
      <c r="D189" s="633">
        <v>496</v>
      </c>
      <c r="E189" s="482" t="s">
        <v>584</v>
      </c>
    </row>
    <row r="190" spans="1:5" x14ac:dyDescent="0.25">
      <c r="A190" s="640" t="s">
        <v>550</v>
      </c>
      <c r="B190" s="640" t="s">
        <v>6</v>
      </c>
      <c r="C190" s="633" t="s">
        <v>27</v>
      </c>
      <c r="D190" s="633">
        <v>813</v>
      </c>
      <c r="E190" s="482" t="s">
        <v>584</v>
      </c>
    </row>
    <row r="191" spans="1:5" x14ac:dyDescent="0.25">
      <c r="A191" s="640" t="s">
        <v>550</v>
      </c>
      <c r="B191" s="640" t="s">
        <v>7</v>
      </c>
      <c r="C191" s="633" t="s">
        <v>27</v>
      </c>
      <c r="D191" s="633">
        <v>642</v>
      </c>
      <c r="E191" s="482" t="s">
        <v>584</v>
      </c>
    </row>
    <row r="192" spans="1:5" x14ac:dyDescent="0.25">
      <c r="A192" s="640" t="s">
        <v>550</v>
      </c>
      <c r="B192" s="640" t="s">
        <v>8</v>
      </c>
      <c r="C192" s="633" t="s">
        <v>27</v>
      </c>
      <c r="D192" s="633">
        <v>412</v>
      </c>
      <c r="E192" s="482" t="s">
        <v>584</v>
      </c>
    </row>
    <row r="193" spans="1:5" x14ac:dyDescent="0.25">
      <c r="A193" s="640" t="s">
        <v>550</v>
      </c>
      <c r="B193" s="640" t="s">
        <v>9</v>
      </c>
      <c r="C193" s="633" t="s">
        <v>27</v>
      </c>
      <c r="D193" s="633">
        <v>250</v>
      </c>
      <c r="E193" s="482" t="s">
        <v>584</v>
      </c>
    </row>
    <row r="194" spans="1:5" x14ac:dyDescent="0.25">
      <c r="A194" s="640" t="s">
        <v>551</v>
      </c>
      <c r="B194" s="640" t="s">
        <v>249</v>
      </c>
      <c r="C194" s="633" t="s">
        <v>26</v>
      </c>
      <c r="D194" s="633">
        <v>209</v>
      </c>
      <c r="E194" s="482" t="s">
        <v>584</v>
      </c>
    </row>
    <row r="195" spans="1:5" x14ac:dyDescent="0.25">
      <c r="A195" s="640" t="s">
        <v>551</v>
      </c>
      <c r="B195" s="640" t="s">
        <v>244</v>
      </c>
      <c r="C195" s="633" t="s">
        <v>26</v>
      </c>
      <c r="D195" s="633">
        <v>439</v>
      </c>
      <c r="E195" s="482" t="s">
        <v>584</v>
      </c>
    </row>
    <row r="196" spans="1:5" x14ac:dyDescent="0.25">
      <c r="A196" s="640" t="s">
        <v>551</v>
      </c>
      <c r="B196" s="640" t="s">
        <v>4</v>
      </c>
      <c r="C196" s="633" t="s">
        <v>26</v>
      </c>
      <c r="D196" s="633">
        <v>614</v>
      </c>
      <c r="E196" s="482" t="s">
        <v>584</v>
      </c>
    </row>
    <row r="197" spans="1:5" x14ac:dyDescent="0.25">
      <c r="A197" s="640" t="s">
        <v>551</v>
      </c>
      <c r="B197" s="640" t="s">
        <v>5</v>
      </c>
      <c r="C197" s="633" t="s">
        <v>26</v>
      </c>
      <c r="D197" s="633">
        <v>559</v>
      </c>
      <c r="E197" s="482" t="s">
        <v>584</v>
      </c>
    </row>
    <row r="198" spans="1:5" x14ac:dyDescent="0.25">
      <c r="A198" s="640" t="s">
        <v>551</v>
      </c>
      <c r="B198" s="640" t="s">
        <v>6</v>
      </c>
      <c r="C198" s="633" t="s">
        <v>26</v>
      </c>
      <c r="D198" s="633">
        <v>760</v>
      </c>
      <c r="E198" s="482" t="s">
        <v>584</v>
      </c>
    </row>
    <row r="199" spans="1:5" x14ac:dyDescent="0.25">
      <c r="A199" s="640" t="s">
        <v>551</v>
      </c>
      <c r="B199" s="640" t="s">
        <v>7</v>
      </c>
      <c r="C199" s="633" t="s">
        <v>26</v>
      </c>
      <c r="D199" s="633">
        <v>545</v>
      </c>
      <c r="E199" s="482" t="s">
        <v>584</v>
      </c>
    </row>
    <row r="200" spans="1:5" x14ac:dyDescent="0.25">
      <c r="A200" s="640" t="s">
        <v>551</v>
      </c>
      <c r="B200" s="640" t="s">
        <v>8</v>
      </c>
      <c r="C200" s="633" t="s">
        <v>26</v>
      </c>
      <c r="D200" s="633">
        <v>368</v>
      </c>
      <c r="E200" s="482" t="s">
        <v>584</v>
      </c>
    </row>
    <row r="201" spans="1:5" x14ac:dyDescent="0.25">
      <c r="A201" s="640" t="s">
        <v>551</v>
      </c>
      <c r="B201" s="640" t="s">
        <v>9</v>
      </c>
      <c r="C201" s="633" t="s">
        <v>26</v>
      </c>
      <c r="D201" s="633">
        <v>139</v>
      </c>
      <c r="E201" s="482" t="s">
        <v>584</v>
      </c>
    </row>
    <row r="202" spans="1:5" x14ac:dyDescent="0.25">
      <c r="A202" s="640" t="s">
        <v>551</v>
      </c>
      <c r="B202" s="640" t="s">
        <v>249</v>
      </c>
      <c r="C202" s="633" t="s">
        <v>27</v>
      </c>
      <c r="D202" s="633">
        <v>168</v>
      </c>
      <c r="E202" s="482" t="s">
        <v>584</v>
      </c>
    </row>
    <row r="203" spans="1:5" x14ac:dyDescent="0.25">
      <c r="A203" s="640" t="s">
        <v>551</v>
      </c>
      <c r="B203" s="640" t="s">
        <v>244</v>
      </c>
      <c r="C203" s="633" t="s">
        <v>27</v>
      </c>
      <c r="D203" s="633">
        <v>393</v>
      </c>
      <c r="E203" s="482" t="s">
        <v>584</v>
      </c>
    </row>
    <row r="204" spans="1:5" x14ac:dyDescent="0.25">
      <c r="A204" s="640" t="s">
        <v>551</v>
      </c>
      <c r="B204" s="640" t="s">
        <v>4</v>
      </c>
      <c r="C204" s="633" t="s">
        <v>27</v>
      </c>
      <c r="D204" s="633">
        <v>540</v>
      </c>
      <c r="E204" s="482" t="s">
        <v>584</v>
      </c>
    </row>
    <row r="205" spans="1:5" x14ac:dyDescent="0.25">
      <c r="A205" s="640" t="s">
        <v>551</v>
      </c>
      <c r="B205" s="640" t="s">
        <v>5</v>
      </c>
      <c r="C205" s="633" t="s">
        <v>27</v>
      </c>
      <c r="D205" s="633">
        <v>551</v>
      </c>
      <c r="E205" s="482" t="s">
        <v>584</v>
      </c>
    </row>
    <row r="206" spans="1:5" x14ac:dyDescent="0.25">
      <c r="A206" s="640" t="s">
        <v>551</v>
      </c>
      <c r="B206" s="640" t="s">
        <v>6</v>
      </c>
      <c r="C206" s="633" t="s">
        <v>27</v>
      </c>
      <c r="D206" s="633">
        <v>784</v>
      </c>
      <c r="E206" s="482" t="s">
        <v>584</v>
      </c>
    </row>
    <row r="207" spans="1:5" x14ac:dyDescent="0.25">
      <c r="A207" s="640" t="s">
        <v>551</v>
      </c>
      <c r="B207" s="640" t="s">
        <v>7</v>
      </c>
      <c r="C207" s="633" t="s">
        <v>27</v>
      </c>
      <c r="D207" s="633">
        <v>553</v>
      </c>
      <c r="E207" s="482" t="s">
        <v>584</v>
      </c>
    </row>
    <row r="208" spans="1:5" x14ac:dyDescent="0.25">
      <c r="A208" s="640" t="s">
        <v>551</v>
      </c>
      <c r="B208" s="640" t="s">
        <v>8</v>
      </c>
      <c r="C208" s="633" t="s">
        <v>27</v>
      </c>
      <c r="D208" s="633">
        <v>329</v>
      </c>
      <c r="E208" s="482" t="s">
        <v>584</v>
      </c>
    </row>
    <row r="209" spans="1:5" x14ac:dyDescent="0.25">
      <c r="A209" s="640" t="s">
        <v>551</v>
      </c>
      <c r="B209" s="640" t="s">
        <v>9</v>
      </c>
      <c r="C209" s="633" t="s">
        <v>27</v>
      </c>
      <c r="D209" s="633">
        <v>216</v>
      </c>
      <c r="E209" s="482" t="s">
        <v>584</v>
      </c>
    </row>
    <row r="210" spans="1:5" x14ac:dyDescent="0.25">
      <c r="A210" s="640" t="s">
        <v>552</v>
      </c>
      <c r="B210" s="640" t="s">
        <v>249</v>
      </c>
      <c r="C210" s="633" t="s">
        <v>26</v>
      </c>
      <c r="D210" s="633">
        <v>744</v>
      </c>
      <c r="E210" s="482" t="s">
        <v>584</v>
      </c>
    </row>
    <row r="211" spans="1:5" x14ac:dyDescent="0.25">
      <c r="A211" s="640" t="s">
        <v>552</v>
      </c>
      <c r="B211" s="640" t="s">
        <v>244</v>
      </c>
      <c r="C211" s="633" t="s">
        <v>26</v>
      </c>
      <c r="D211" s="633">
        <v>1687</v>
      </c>
      <c r="E211" s="482" t="s">
        <v>584</v>
      </c>
    </row>
    <row r="212" spans="1:5" x14ac:dyDescent="0.25">
      <c r="A212" s="640" t="s">
        <v>552</v>
      </c>
      <c r="B212" s="640" t="s">
        <v>4</v>
      </c>
      <c r="C212" s="633" t="s">
        <v>26</v>
      </c>
      <c r="D212" s="633">
        <v>2157</v>
      </c>
      <c r="E212" s="482" t="s">
        <v>584</v>
      </c>
    </row>
    <row r="213" spans="1:5" x14ac:dyDescent="0.25">
      <c r="A213" s="640" t="s">
        <v>552</v>
      </c>
      <c r="B213" s="640" t="s">
        <v>5</v>
      </c>
      <c r="C213" s="633" t="s">
        <v>26</v>
      </c>
      <c r="D213" s="633">
        <v>2201</v>
      </c>
      <c r="E213" s="482" t="s">
        <v>584</v>
      </c>
    </row>
    <row r="214" spans="1:5" x14ac:dyDescent="0.25">
      <c r="A214" s="640" t="s">
        <v>552</v>
      </c>
      <c r="B214" s="640" t="s">
        <v>6</v>
      </c>
      <c r="C214" s="633" t="s">
        <v>26</v>
      </c>
      <c r="D214" s="633">
        <v>2475</v>
      </c>
      <c r="E214" s="482" t="s">
        <v>584</v>
      </c>
    </row>
    <row r="215" spans="1:5" x14ac:dyDescent="0.25">
      <c r="A215" s="640" t="s">
        <v>552</v>
      </c>
      <c r="B215" s="640" t="s">
        <v>7</v>
      </c>
      <c r="C215" s="633" t="s">
        <v>26</v>
      </c>
      <c r="D215" s="633">
        <v>1194</v>
      </c>
      <c r="E215" s="482" t="s">
        <v>584</v>
      </c>
    </row>
    <row r="216" spans="1:5" x14ac:dyDescent="0.25">
      <c r="A216" s="640" t="s">
        <v>552</v>
      </c>
      <c r="B216" s="640" t="s">
        <v>8</v>
      </c>
      <c r="C216" s="633" t="s">
        <v>26</v>
      </c>
      <c r="D216" s="633">
        <v>584</v>
      </c>
      <c r="E216" s="482" t="s">
        <v>584</v>
      </c>
    </row>
    <row r="217" spans="1:5" x14ac:dyDescent="0.25">
      <c r="A217" s="640" t="s">
        <v>552</v>
      </c>
      <c r="B217" s="640" t="s">
        <v>9</v>
      </c>
      <c r="C217" s="633" t="s">
        <v>26</v>
      </c>
      <c r="D217" s="633">
        <v>326</v>
      </c>
      <c r="E217" s="482" t="s">
        <v>584</v>
      </c>
    </row>
    <row r="218" spans="1:5" x14ac:dyDescent="0.25">
      <c r="A218" s="640" t="s">
        <v>552</v>
      </c>
      <c r="B218" s="640" t="s">
        <v>249</v>
      </c>
      <c r="C218" s="633" t="s">
        <v>27</v>
      </c>
      <c r="D218" s="633">
        <v>721</v>
      </c>
      <c r="E218" s="482" t="s">
        <v>584</v>
      </c>
    </row>
    <row r="219" spans="1:5" x14ac:dyDescent="0.25">
      <c r="A219" s="640" t="s">
        <v>552</v>
      </c>
      <c r="B219" s="640" t="s">
        <v>244</v>
      </c>
      <c r="C219" s="633" t="s">
        <v>27</v>
      </c>
      <c r="D219" s="633">
        <v>1582</v>
      </c>
      <c r="E219" s="482" t="s">
        <v>584</v>
      </c>
    </row>
    <row r="220" spans="1:5" x14ac:dyDescent="0.25">
      <c r="A220" s="640" t="s">
        <v>552</v>
      </c>
      <c r="B220" s="640" t="s">
        <v>4</v>
      </c>
      <c r="C220" s="633" t="s">
        <v>27</v>
      </c>
      <c r="D220" s="633">
        <v>1990</v>
      </c>
      <c r="E220" s="482" t="s">
        <v>584</v>
      </c>
    </row>
    <row r="221" spans="1:5" x14ac:dyDescent="0.25">
      <c r="A221" s="640" t="s">
        <v>552</v>
      </c>
      <c r="B221" s="640" t="s">
        <v>5</v>
      </c>
      <c r="C221" s="633" t="s">
        <v>27</v>
      </c>
      <c r="D221" s="633">
        <v>2225</v>
      </c>
      <c r="E221" s="482" t="s">
        <v>584</v>
      </c>
    </row>
    <row r="222" spans="1:5" x14ac:dyDescent="0.25">
      <c r="A222" s="640" t="s">
        <v>552</v>
      </c>
      <c r="B222" s="640" t="s">
        <v>6</v>
      </c>
      <c r="C222" s="633" t="s">
        <v>27</v>
      </c>
      <c r="D222" s="633">
        <v>2482</v>
      </c>
      <c r="E222" s="482" t="s">
        <v>584</v>
      </c>
    </row>
    <row r="223" spans="1:5" x14ac:dyDescent="0.25">
      <c r="A223" s="640" t="s">
        <v>552</v>
      </c>
      <c r="B223" s="640" t="s">
        <v>7</v>
      </c>
      <c r="C223" s="633" t="s">
        <v>27</v>
      </c>
      <c r="D223" s="633">
        <v>1126</v>
      </c>
      <c r="E223" s="482" t="s">
        <v>584</v>
      </c>
    </row>
    <row r="224" spans="1:5" x14ac:dyDescent="0.25">
      <c r="A224" s="640" t="s">
        <v>552</v>
      </c>
      <c r="B224" s="640" t="s">
        <v>8</v>
      </c>
      <c r="C224" s="633" t="s">
        <v>27</v>
      </c>
      <c r="D224" s="633">
        <v>602</v>
      </c>
      <c r="E224" s="482" t="s">
        <v>584</v>
      </c>
    </row>
    <row r="225" spans="1:5" x14ac:dyDescent="0.25">
      <c r="A225" s="640" t="s">
        <v>552</v>
      </c>
      <c r="B225" s="640" t="s">
        <v>9</v>
      </c>
      <c r="C225" s="633" t="s">
        <v>27</v>
      </c>
      <c r="D225" s="633">
        <v>606</v>
      </c>
      <c r="E225" s="482" t="s">
        <v>584</v>
      </c>
    </row>
    <row r="226" spans="1:5" x14ac:dyDescent="0.25">
      <c r="A226" s="640" t="s">
        <v>553</v>
      </c>
      <c r="B226" s="640" t="s">
        <v>249</v>
      </c>
      <c r="C226" s="633" t="s">
        <v>26</v>
      </c>
      <c r="D226" s="633">
        <v>6037</v>
      </c>
      <c r="E226" s="482" t="s">
        <v>512</v>
      </c>
    </row>
    <row r="227" spans="1:5" x14ac:dyDescent="0.25">
      <c r="A227" s="640" t="s">
        <v>553</v>
      </c>
      <c r="B227" s="640" t="s">
        <v>244</v>
      </c>
      <c r="C227" s="633" t="s">
        <v>26</v>
      </c>
      <c r="D227" s="633">
        <v>12435</v>
      </c>
      <c r="E227" s="482" t="s">
        <v>512</v>
      </c>
    </row>
    <row r="228" spans="1:5" x14ac:dyDescent="0.25">
      <c r="A228" s="640" t="s">
        <v>553</v>
      </c>
      <c r="B228" s="640" t="s">
        <v>4</v>
      </c>
      <c r="C228" s="633" t="s">
        <v>26</v>
      </c>
      <c r="D228" s="633">
        <v>18634</v>
      </c>
      <c r="E228" s="482" t="s">
        <v>512</v>
      </c>
    </row>
    <row r="229" spans="1:5" x14ac:dyDescent="0.25">
      <c r="A229" s="640" t="s">
        <v>553</v>
      </c>
      <c r="B229" s="640" t="s">
        <v>5</v>
      </c>
      <c r="C229" s="633" t="s">
        <v>26</v>
      </c>
      <c r="D229" s="633">
        <v>17862</v>
      </c>
      <c r="E229" s="482" t="s">
        <v>512</v>
      </c>
    </row>
    <row r="230" spans="1:5" x14ac:dyDescent="0.25">
      <c r="A230" s="640" t="s">
        <v>553</v>
      </c>
      <c r="B230" s="640" t="s">
        <v>6</v>
      </c>
      <c r="C230" s="633" t="s">
        <v>26</v>
      </c>
      <c r="D230" s="633">
        <v>20399</v>
      </c>
      <c r="E230" s="482" t="s">
        <v>512</v>
      </c>
    </row>
    <row r="231" spans="1:5" x14ac:dyDescent="0.25">
      <c r="A231" s="640" t="s">
        <v>553</v>
      </c>
      <c r="B231" s="640" t="s">
        <v>7</v>
      </c>
      <c r="C231" s="633" t="s">
        <v>26</v>
      </c>
      <c r="D231" s="633">
        <v>13840</v>
      </c>
      <c r="E231" s="482" t="s">
        <v>512</v>
      </c>
    </row>
    <row r="232" spans="1:5" x14ac:dyDescent="0.25">
      <c r="A232" s="640" t="s">
        <v>553</v>
      </c>
      <c r="B232" s="640" t="s">
        <v>8</v>
      </c>
      <c r="C232" s="633" t="s">
        <v>26</v>
      </c>
      <c r="D232" s="633">
        <v>7736</v>
      </c>
      <c r="E232" s="482" t="s">
        <v>512</v>
      </c>
    </row>
    <row r="233" spans="1:5" x14ac:dyDescent="0.25">
      <c r="A233" s="640" t="s">
        <v>553</v>
      </c>
      <c r="B233" s="640" t="s">
        <v>9</v>
      </c>
      <c r="C233" s="633" t="s">
        <v>26</v>
      </c>
      <c r="D233" s="633">
        <v>4373</v>
      </c>
      <c r="E233" s="482" t="s">
        <v>512</v>
      </c>
    </row>
    <row r="234" spans="1:5" x14ac:dyDescent="0.25">
      <c r="A234" s="640" t="s">
        <v>553</v>
      </c>
      <c r="B234" s="640" t="s">
        <v>249</v>
      </c>
      <c r="C234" s="633" t="s">
        <v>27</v>
      </c>
      <c r="D234" s="633">
        <v>5841</v>
      </c>
      <c r="E234" s="482" t="s">
        <v>512</v>
      </c>
    </row>
    <row r="235" spans="1:5" x14ac:dyDescent="0.25">
      <c r="A235" s="640" t="s">
        <v>553</v>
      </c>
      <c r="B235" s="640" t="s">
        <v>244</v>
      </c>
      <c r="C235" s="633" t="s">
        <v>27</v>
      </c>
      <c r="D235" s="633">
        <v>12063</v>
      </c>
      <c r="E235" s="482" t="s">
        <v>512</v>
      </c>
    </row>
    <row r="236" spans="1:5" x14ac:dyDescent="0.25">
      <c r="A236" s="640" t="s">
        <v>553</v>
      </c>
      <c r="B236" s="640" t="s">
        <v>4</v>
      </c>
      <c r="C236" s="633" t="s">
        <v>27</v>
      </c>
      <c r="D236" s="633">
        <v>18705</v>
      </c>
      <c r="E236" s="482" t="s">
        <v>512</v>
      </c>
    </row>
    <row r="237" spans="1:5" x14ac:dyDescent="0.25">
      <c r="A237" s="640" t="s">
        <v>553</v>
      </c>
      <c r="B237" s="640" t="s">
        <v>5</v>
      </c>
      <c r="C237" s="633" t="s">
        <v>27</v>
      </c>
      <c r="D237" s="633">
        <v>17922</v>
      </c>
      <c r="E237" s="482" t="s">
        <v>512</v>
      </c>
    </row>
    <row r="238" spans="1:5" x14ac:dyDescent="0.25">
      <c r="A238" s="640" t="s">
        <v>553</v>
      </c>
      <c r="B238" s="640" t="s">
        <v>6</v>
      </c>
      <c r="C238" s="633" t="s">
        <v>27</v>
      </c>
      <c r="D238" s="633">
        <v>21929</v>
      </c>
      <c r="E238" s="482" t="s">
        <v>512</v>
      </c>
    </row>
    <row r="239" spans="1:5" x14ac:dyDescent="0.25">
      <c r="A239" s="640" t="s">
        <v>553</v>
      </c>
      <c r="B239" s="640" t="s">
        <v>7</v>
      </c>
      <c r="C239" s="633" t="s">
        <v>27</v>
      </c>
      <c r="D239" s="633">
        <v>15046</v>
      </c>
      <c r="E239" s="482" t="s">
        <v>512</v>
      </c>
    </row>
    <row r="240" spans="1:5" x14ac:dyDescent="0.25">
      <c r="A240" s="640" t="s">
        <v>553</v>
      </c>
      <c r="B240" s="640" t="s">
        <v>8</v>
      </c>
      <c r="C240" s="633" t="s">
        <v>27</v>
      </c>
      <c r="D240" s="633">
        <v>8641</v>
      </c>
      <c r="E240" s="482" t="s">
        <v>512</v>
      </c>
    </row>
    <row r="241" spans="1:5" x14ac:dyDescent="0.25">
      <c r="A241" s="640" t="s">
        <v>553</v>
      </c>
      <c r="B241" s="640" t="s">
        <v>9</v>
      </c>
      <c r="C241" s="633" t="s">
        <v>27</v>
      </c>
      <c r="D241" s="633">
        <v>6535</v>
      </c>
      <c r="E241" s="482" t="s">
        <v>512</v>
      </c>
    </row>
    <row r="242" spans="1:5" x14ac:dyDescent="0.25">
      <c r="A242" s="640" t="s">
        <v>554</v>
      </c>
      <c r="B242" s="640" t="s">
        <v>249</v>
      </c>
      <c r="C242" s="633" t="s">
        <v>26</v>
      </c>
      <c r="D242" s="633">
        <v>804</v>
      </c>
      <c r="E242" s="482" t="s">
        <v>584</v>
      </c>
    </row>
    <row r="243" spans="1:5" x14ac:dyDescent="0.25">
      <c r="A243" s="640" t="s">
        <v>554</v>
      </c>
      <c r="B243" s="640" t="s">
        <v>244</v>
      </c>
      <c r="C243" s="633" t="s">
        <v>26</v>
      </c>
      <c r="D243" s="633">
        <v>1460</v>
      </c>
      <c r="E243" s="482" t="s">
        <v>584</v>
      </c>
    </row>
    <row r="244" spans="1:5" x14ac:dyDescent="0.25">
      <c r="A244" s="640" t="s">
        <v>554</v>
      </c>
      <c r="B244" s="640" t="s">
        <v>4</v>
      </c>
      <c r="C244" s="633" t="s">
        <v>26</v>
      </c>
      <c r="D244" s="633">
        <v>2127</v>
      </c>
      <c r="E244" s="482" t="s">
        <v>584</v>
      </c>
    </row>
    <row r="245" spans="1:5" x14ac:dyDescent="0.25">
      <c r="A245" s="640" t="s">
        <v>554</v>
      </c>
      <c r="B245" s="640" t="s">
        <v>5</v>
      </c>
      <c r="C245" s="633" t="s">
        <v>26</v>
      </c>
      <c r="D245" s="633">
        <v>1987</v>
      </c>
      <c r="E245" s="482" t="s">
        <v>584</v>
      </c>
    </row>
    <row r="246" spans="1:5" x14ac:dyDescent="0.25">
      <c r="A246" s="640" t="s">
        <v>554</v>
      </c>
      <c r="B246" s="640" t="s">
        <v>6</v>
      </c>
      <c r="C246" s="633" t="s">
        <v>26</v>
      </c>
      <c r="D246" s="633">
        <v>2276</v>
      </c>
      <c r="E246" s="482" t="s">
        <v>584</v>
      </c>
    </row>
    <row r="247" spans="1:5" x14ac:dyDescent="0.25">
      <c r="A247" s="640" t="s">
        <v>554</v>
      </c>
      <c r="B247" s="640" t="s">
        <v>7</v>
      </c>
      <c r="C247" s="633" t="s">
        <v>26</v>
      </c>
      <c r="D247" s="633">
        <v>1449</v>
      </c>
      <c r="E247" s="482" t="s">
        <v>584</v>
      </c>
    </row>
    <row r="248" spans="1:5" x14ac:dyDescent="0.25">
      <c r="A248" s="640" t="s">
        <v>554</v>
      </c>
      <c r="B248" s="640" t="s">
        <v>8</v>
      </c>
      <c r="C248" s="633" t="s">
        <v>26</v>
      </c>
      <c r="D248" s="633">
        <v>880</v>
      </c>
      <c r="E248" s="482" t="s">
        <v>584</v>
      </c>
    </row>
    <row r="249" spans="1:5" x14ac:dyDescent="0.25">
      <c r="A249" s="640" t="s">
        <v>554</v>
      </c>
      <c r="B249" s="640" t="s">
        <v>9</v>
      </c>
      <c r="C249" s="633" t="s">
        <v>26</v>
      </c>
      <c r="D249" s="633">
        <v>315</v>
      </c>
      <c r="E249" s="482" t="s">
        <v>584</v>
      </c>
    </row>
    <row r="250" spans="1:5" x14ac:dyDescent="0.25">
      <c r="A250" s="640" t="s">
        <v>554</v>
      </c>
      <c r="B250" s="640" t="s">
        <v>249</v>
      </c>
      <c r="C250" s="633" t="s">
        <v>27</v>
      </c>
      <c r="D250" s="633">
        <v>717</v>
      </c>
      <c r="E250" s="482" t="s">
        <v>584</v>
      </c>
    </row>
    <row r="251" spans="1:5" x14ac:dyDescent="0.25">
      <c r="A251" s="640" t="s">
        <v>554</v>
      </c>
      <c r="B251" s="640" t="s">
        <v>244</v>
      </c>
      <c r="C251" s="633" t="s">
        <v>27</v>
      </c>
      <c r="D251" s="633">
        <v>1459</v>
      </c>
      <c r="E251" s="482" t="s">
        <v>584</v>
      </c>
    </row>
    <row r="252" spans="1:5" x14ac:dyDescent="0.25">
      <c r="A252" s="640" t="s">
        <v>554</v>
      </c>
      <c r="B252" s="640" t="s">
        <v>4</v>
      </c>
      <c r="C252" s="633" t="s">
        <v>27</v>
      </c>
      <c r="D252" s="633">
        <v>1816</v>
      </c>
      <c r="E252" s="482" t="s">
        <v>584</v>
      </c>
    </row>
    <row r="253" spans="1:5" x14ac:dyDescent="0.25">
      <c r="A253" s="640" t="s">
        <v>554</v>
      </c>
      <c r="B253" s="640" t="s">
        <v>5</v>
      </c>
      <c r="C253" s="633" t="s">
        <v>27</v>
      </c>
      <c r="D253" s="633">
        <v>1745</v>
      </c>
      <c r="E253" s="482" t="s">
        <v>584</v>
      </c>
    </row>
    <row r="254" spans="1:5" x14ac:dyDescent="0.25">
      <c r="A254" s="640" t="s">
        <v>554</v>
      </c>
      <c r="B254" s="640" t="s">
        <v>6</v>
      </c>
      <c r="C254" s="633" t="s">
        <v>27</v>
      </c>
      <c r="D254" s="633">
        <v>2143</v>
      </c>
      <c r="E254" s="482" t="s">
        <v>584</v>
      </c>
    </row>
    <row r="255" spans="1:5" x14ac:dyDescent="0.25">
      <c r="A255" s="640" t="s">
        <v>554</v>
      </c>
      <c r="B255" s="640" t="s">
        <v>7</v>
      </c>
      <c r="C255" s="633" t="s">
        <v>27</v>
      </c>
      <c r="D255" s="633">
        <v>1431</v>
      </c>
      <c r="E255" s="482" t="s">
        <v>584</v>
      </c>
    </row>
    <row r="256" spans="1:5" x14ac:dyDescent="0.25">
      <c r="A256" s="640" t="s">
        <v>554</v>
      </c>
      <c r="B256" s="640" t="s">
        <v>8</v>
      </c>
      <c r="C256" s="633" t="s">
        <v>27</v>
      </c>
      <c r="D256" s="633">
        <v>870</v>
      </c>
      <c r="E256" s="482" t="s">
        <v>584</v>
      </c>
    </row>
    <row r="257" spans="1:5" x14ac:dyDescent="0.25">
      <c r="A257" s="640" t="s">
        <v>554</v>
      </c>
      <c r="B257" s="640" t="s">
        <v>9</v>
      </c>
      <c r="C257" s="633" t="s">
        <v>27</v>
      </c>
      <c r="D257" s="633">
        <v>389</v>
      </c>
      <c r="E257" s="482" t="s">
        <v>584</v>
      </c>
    </row>
    <row r="258" spans="1:5" x14ac:dyDescent="0.25">
      <c r="A258" s="640" t="s">
        <v>555</v>
      </c>
      <c r="B258" s="640" t="s">
        <v>249</v>
      </c>
      <c r="C258" s="633" t="s">
        <v>26</v>
      </c>
      <c r="D258" s="633">
        <v>2160</v>
      </c>
      <c r="E258" s="482" t="s">
        <v>584</v>
      </c>
    </row>
    <row r="259" spans="1:5" x14ac:dyDescent="0.25">
      <c r="A259" s="640" t="s">
        <v>555</v>
      </c>
      <c r="B259" s="640" t="s">
        <v>244</v>
      </c>
      <c r="C259" s="633" t="s">
        <v>26</v>
      </c>
      <c r="D259" s="633">
        <v>4736</v>
      </c>
      <c r="E259" s="482" t="s">
        <v>584</v>
      </c>
    </row>
    <row r="260" spans="1:5" x14ac:dyDescent="0.25">
      <c r="A260" s="640" t="s">
        <v>555</v>
      </c>
      <c r="B260" s="640" t="s">
        <v>4</v>
      </c>
      <c r="C260" s="633" t="s">
        <v>26</v>
      </c>
      <c r="D260" s="633">
        <v>6721</v>
      </c>
      <c r="E260" s="482" t="s">
        <v>584</v>
      </c>
    </row>
    <row r="261" spans="1:5" x14ac:dyDescent="0.25">
      <c r="A261" s="640" t="s">
        <v>555</v>
      </c>
      <c r="B261" s="640" t="s">
        <v>5</v>
      </c>
      <c r="C261" s="633" t="s">
        <v>26</v>
      </c>
      <c r="D261" s="633">
        <v>6209</v>
      </c>
      <c r="E261" s="482" t="s">
        <v>584</v>
      </c>
    </row>
    <row r="262" spans="1:5" x14ac:dyDescent="0.25">
      <c r="A262" s="640" t="s">
        <v>555</v>
      </c>
      <c r="B262" s="640" t="s">
        <v>6</v>
      </c>
      <c r="C262" s="633" t="s">
        <v>26</v>
      </c>
      <c r="D262" s="633">
        <v>8257</v>
      </c>
      <c r="E262" s="482" t="s">
        <v>584</v>
      </c>
    </row>
    <row r="263" spans="1:5" x14ac:dyDescent="0.25">
      <c r="A263" s="640" t="s">
        <v>555</v>
      </c>
      <c r="B263" s="640" t="s">
        <v>7</v>
      </c>
      <c r="C263" s="633" t="s">
        <v>26</v>
      </c>
      <c r="D263" s="633">
        <v>6385</v>
      </c>
      <c r="E263" s="482" t="s">
        <v>584</v>
      </c>
    </row>
    <row r="264" spans="1:5" x14ac:dyDescent="0.25">
      <c r="A264" s="640" t="s">
        <v>555</v>
      </c>
      <c r="B264" s="640" t="s">
        <v>8</v>
      </c>
      <c r="C264" s="633" t="s">
        <v>26</v>
      </c>
      <c r="D264" s="633">
        <v>4086</v>
      </c>
      <c r="E264" s="482" t="s">
        <v>584</v>
      </c>
    </row>
    <row r="265" spans="1:5" x14ac:dyDescent="0.25">
      <c r="A265" s="640" t="s">
        <v>555</v>
      </c>
      <c r="B265" s="640" t="s">
        <v>9</v>
      </c>
      <c r="C265" s="633" t="s">
        <v>26</v>
      </c>
      <c r="D265" s="633">
        <v>2111</v>
      </c>
      <c r="E265" s="482" t="s">
        <v>584</v>
      </c>
    </row>
    <row r="266" spans="1:5" x14ac:dyDescent="0.25">
      <c r="A266" s="640" t="s">
        <v>555</v>
      </c>
      <c r="B266" s="640" t="s">
        <v>249</v>
      </c>
      <c r="C266" s="633" t="s">
        <v>27</v>
      </c>
      <c r="D266" s="633">
        <v>1954</v>
      </c>
      <c r="E266" s="482" t="s">
        <v>584</v>
      </c>
    </row>
    <row r="267" spans="1:5" x14ac:dyDescent="0.25">
      <c r="A267" s="640" t="s">
        <v>555</v>
      </c>
      <c r="B267" s="640" t="s">
        <v>244</v>
      </c>
      <c r="C267" s="633" t="s">
        <v>27</v>
      </c>
      <c r="D267" s="633">
        <v>4490</v>
      </c>
      <c r="E267" s="482" t="s">
        <v>584</v>
      </c>
    </row>
    <row r="268" spans="1:5" x14ac:dyDescent="0.25">
      <c r="A268" s="640" t="s">
        <v>555</v>
      </c>
      <c r="B268" s="640" t="s">
        <v>4</v>
      </c>
      <c r="C268" s="633" t="s">
        <v>27</v>
      </c>
      <c r="D268" s="633">
        <v>6225</v>
      </c>
      <c r="E268" s="482" t="s">
        <v>584</v>
      </c>
    </row>
    <row r="269" spans="1:5" x14ac:dyDescent="0.25">
      <c r="A269" s="640" t="s">
        <v>555</v>
      </c>
      <c r="B269" s="640" t="s">
        <v>5</v>
      </c>
      <c r="C269" s="633" t="s">
        <v>27</v>
      </c>
      <c r="D269" s="633">
        <v>6361</v>
      </c>
      <c r="E269" s="482" t="s">
        <v>584</v>
      </c>
    </row>
    <row r="270" spans="1:5" x14ac:dyDescent="0.25">
      <c r="A270" s="640" t="s">
        <v>555</v>
      </c>
      <c r="B270" s="640" t="s">
        <v>6</v>
      </c>
      <c r="C270" s="633" t="s">
        <v>27</v>
      </c>
      <c r="D270" s="633">
        <v>9034</v>
      </c>
      <c r="E270" s="482" t="s">
        <v>584</v>
      </c>
    </row>
    <row r="271" spans="1:5" x14ac:dyDescent="0.25">
      <c r="A271" s="640" t="s">
        <v>555</v>
      </c>
      <c r="B271" s="640" t="s">
        <v>7</v>
      </c>
      <c r="C271" s="633" t="s">
        <v>27</v>
      </c>
      <c r="D271" s="633">
        <v>7115</v>
      </c>
      <c r="E271" s="482" t="s">
        <v>584</v>
      </c>
    </row>
    <row r="272" spans="1:5" x14ac:dyDescent="0.25">
      <c r="A272" s="640" t="s">
        <v>555</v>
      </c>
      <c r="B272" s="640" t="s">
        <v>8</v>
      </c>
      <c r="C272" s="633" t="s">
        <v>27</v>
      </c>
      <c r="D272" s="633">
        <v>4402</v>
      </c>
      <c r="E272" s="482" t="s">
        <v>584</v>
      </c>
    </row>
    <row r="273" spans="1:5" x14ac:dyDescent="0.25">
      <c r="A273" s="640" t="s">
        <v>555</v>
      </c>
      <c r="B273" s="640" t="s">
        <v>9</v>
      </c>
      <c r="C273" s="633" t="s">
        <v>27</v>
      </c>
      <c r="D273" s="633">
        <v>3017</v>
      </c>
      <c r="E273" s="482" t="s">
        <v>584</v>
      </c>
    </row>
    <row r="274" spans="1:5" x14ac:dyDescent="0.25">
      <c r="A274" s="640" t="s">
        <v>581</v>
      </c>
      <c r="B274" s="640" t="s">
        <v>249</v>
      </c>
      <c r="C274" s="633" t="s">
        <v>26</v>
      </c>
      <c r="D274" s="633">
        <v>1987</v>
      </c>
      <c r="E274" s="482" t="s">
        <v>584</v>
      </c>
    </row>
    <row r="275" spans="1:5" x14ac:dyDescent="0.25">
      <c r="A275" s="640" t="s">
        <v>581</v>
      </c>
      <c r="B275" s="640" t="s">
        <v>244</v>
      </c>
      <c r="C275" s="633" t="s">
        <v>26</v>
      </c>
      <c r="D275" s="633">
        <v>4044</v>
      </c>
      <c r="E275" s="482" t="s">
        <v>584</v>
      </c>
    </row>
    <row r="276" spans="1:5" x14ac:dyDescent="0.25">
      <c r="A276" s="640" t="s">
        <v>581</v>
      </c>
      <c r="B276" s="640" t="s">
        <v>4</v>
      </c>
      <c r="C276" s="633" t="s">
        <v>26</v>
      </c>
      <c r="D276" s="633">
        <v>6426</v>
      </c>
      <c r="E276" s="482" t="s">
        <v>584</v>
      </c>
    </row>
    <row r="277" spans="1:5" x14ac:dyDescent="0.25">
      <c r="A277" s="640" t="s">
        <v>581</v>
      </c>
      <c r="B277" s="640" t="s">
        <v>5</v>
      </c>
      <c r="C277" s="633" t="s">
        <v>26</v>
      </c>
      <c r="D277" s="633">
        <v>5430</v>
      </c>
      <c r="E277" s="482" t="s">
        <v>584</v>
      </c>
    </row>
    <row r="278" spans="1:5" x14ac:dyDescent="0.25">
      <c r="A278" s="640" t="s">
        <v>581</v>
      </c>
      <c r="B278" s="640" t="s">
        <v>6</v>
      </c>
      <c r="C278" s="633" t="s">
        <v>26</v>
      </c>
      <c r="D278" s="633">
        <v>6559</v>
      </c>
      <c r="E278" s="482" t="s">
        <v>584</v>
      </c>
    </row>
    <row r="279" spans="1:5" x14ac:dyDescent="0.25">
      <c r="A279" s="640" t="s">
        <v>581</v>
      </c>
      <c r="B279" s="640" t="s">
        <v>7</v>
      </c>
      <c r="C279" s="633" t="s">
        <v>26</v>
      </c>
      <c r="D279" s="633">
        <v>4609</v>
      </c>
      <c r="E279" s="482" t="s">
        <v>584</v>
      </c>
    </row>
    <row r="280" spans="1:5" x14ac:dyDescent="0.25">
      <c r="A280" s="640" t="s">
        <v>581</v>
      </c>
      <c r="B280" s="640" t="s">
        <v>8</v>
      </c>
      <c r="C280" s="633" t="s">
        <v>26</v>
      </c>
      <c r="D280" s="633">
        <v>2590</v>
      </c>
      <c r="E280" s="482" t="s">
        <v>584</v>
      </c>
    </row>
    <row r="281" spans="1:5" x14ac:dyDescent="0.25">
      <c r="A281" s="640" t="s">
        <v>581</v>
      </c>
      <c r="B281" s="640" t="s">
        <v>9</v>
      </c>
      <c r="C281" s="633" t="s">
        <v>26</v>
      </c>
      <c r="D281" s="633">
        <v>1214</v>
      </c>
      <c r="E281" s="482" t="s">
        <v>584</v>
      </c>
    </row>
    <row r="282" spans="1:5" x14ac:dyDescent="0.25">
      <c r="A282" s="640" t="s">
        <v>581</v>
      </c>
      <c r="B282" s="640" t="s">
        <v>249</v>
      </c>
      <c r="C282" s="633" t="s">
        <v>27</v>
      </c>
      <c r="D282" s="633">
        <v>1982</v>
      </c>
      <c r="E282" s="482" t="s">
        <v>584</v>
      </c>
    </row>
    <row r="283" spans="1:5" x14ac:dyDescent="0.25">
      <c r="A283" s="640" t="s">
        <v>581</v>
      </c>
      <c r="B283" s="640" t="s">
        <v>244</v>
      </c>
      <c r="C283" s="633" t="s">
        <v>27</v>
      </c>
      <c r="D283" s="633">
        <v>3807</v>
      </c>
      <c r="E283" s="482" t="s">
        <v>584</v>
      </c>
    </row>
    <row r="284" spans="1:5" x14ac:dyDescent="0.25">
      <c r="A284" s="640" t="s">
        <v>581</v>
      </c>
      <c r="B284" s="640" t="s">
        <v>4</v>
      </c>
      <c r="C284" s="633" t="s">
        <v>27</v>
      </c>
      <c r="D284" s="633">
        <v>6010</v>
      </c>
      <c r="E284" s="482" t="s">
        <v>584</v>
      </c>
    </row>
    <row r="285" spans="1:5" x14ac:dyDescent="0.25">
      <c r="A285" s="640" t="s">
        <v>581</v>
      </c>
      <c r="B285" s="640" t="s">
        <v>5</v>
      </c>
      <c r="C285" s="633" t="s">
        <v>27</v>
      </c>
      <c r="D285" s="633">
        <v>5339</v>
      </c>
      <c r="E285" s="482" t="s">
        <v>584</v>
      </c>
    </row>
    <row r="286" spans="1:5" x14ac:dyDescent="0.25">
      <c r="A286" s="640" t="s">
        <v>581</v>
      </c>
      <c r="B286" s="640" t="s">
        <v>6</v>
      </c>
      <c r="C286" s="633" t="s">
        <v>27</v>
      </c>
      <c r="D286" s="633">
        <v>6893</v>
      </c>
      <c r="E286" s="482" t="s">
        <v>584</v>
      </c>
    </row>
    <row r="287" spans="1:5" x14ac:dyDescent="0.25">
      <c r="A287" s="640" t="s">
        <v>581</v>
      </c>
      <c r="B287" s="640" t="s">
        <v>7</v>
      </c>
      <c r="C287" s="633" t="s">
        <v>27</v>
      </c>
      <c r="D287" s="633">
        <v>4606</v>
      </c>
      <c r="E287" s="482" t="s">
        <v>584</v>
      </c>
    </row>
    <row r="288" spans="1:5" x14ac:dyDescent="0.25">
      <c r="A288" s="640" t="s">
        <v>581</v>
      </c>
      <c r="B288" s="640" t="s">
        <v>8</v>
      </c>
      <c r="C288" s="633" t="s">
        <v>27</v>
      </c>
      <c r="D288" s="633">
        <v>2697</v>
      </c>
      <c r="E288" s="482" t="s">
        <v>584</v>
      </c>
    </row>
    <row r="289" spans="1:5" x14ac:dyDescent="0.25">
      <c r="A289" s="640" t="s">
        <v>581</v>
      </c>
      <c r="B289" s="640" t="s">
        <v>9</v>
      </c>
      <c r="C289" s="633" t="s">
        <v>27</v>
      </c>
      <c r="D289" s="633">
        <v>1694</v>
      </c>
      <c r="E289" s="482" t="s">
        <v>584</v>
      </c>
    </row>
    <row r="290" spans="1:5" x14ac:dyDescent="0.25">
      <c r="A290" s="640" t="s">
        <v>556</v>
      </c>
      <c r="B290" s="640" t="s">
        <v>249</v>
      </c>
      <c r="C290" s="633" t="s">
        <v>26</v>
      </c>
      <c r="D290" s="633">
        <v>171</v>
      </c>
      <c r="E290" s="482" t="s">
        <v>584</v>
      </c>
    </row>
    <row r="291" spans="1:5" x14ac:dyDescent="0.25">
      <c r="A291" s="640" t="s">
        <v>556</v>
      </c>
      <c r="B291" s="640" t="s">
        <v>244</v>
      </c>
      <c r="C291" s="633" t="s">
        <v>26</v>
      </c>
      <c r="D291" s="633">
        <v>403</v>
      </c>
      <c r="E291" s="482" t="s">
        <v>584</v>
      </c>
    </row>
    <row r="292" spans="1:5" x14ac:dyDescent="0.25">
      <c r="A292" s="640" t="s">
        <v>556</v>
      </c>
      <c r="B292" s="640" t="s">
        <v>4</v>
      </c>
      <c r="C292" s="633" t="s">
        <v>26</v>
      </c>
      <c r="D292" s="633">
        <v>649</v>
      </c>
      <c r="E292" s="482" t="s">
        <v>584</v>
      </c>
    </row>
    <row r="293" spans="1:5" x14ac:dyDescent="0.25">
      <c r="A293" s="640" t="s">
        <v>556</v>
      </c>
      <c r="B293" s="640" t="s">
        <v>5</v>
      </c>
      <c r="C293" s="633" t="s">
        <v>26</v>
      </c>
      <c r="D293" s="633">
        <v>727</v>
      </c>
      <c r="E293" s="482" t="s">
        <v>584</v>
      </c>
    </row>
    <row r="294" spans="1:5" x14ac:dyDescent="0.25">
      <c r="A294" s="640" t="s">
        <v>556</v>
      </c>
      <c r="B294" s="640" t="s">
        <v>6</v>
      </c>
      <c r="C294" s="633" t="s">
        <v>26</v>
      </c>
      <c r="D294" s="633">
        <v>934</v>
      </c>
      <c r="E294" s="482" t="s">
        <v>584</v>
      </c>
    </row>
    <row r="295" spans="1:5" x14ac:dyDescent="0.25">
      <c r="A295" s="640" t="s">
        <v>556</v>
      </c>
      <c r="B295" s="640" t="s">
        <v>7</v>
      </c>
      <c r="C295" s="633" t="s">
        <v>26</v>
      </c>
      <c r="D295" s="633">
        <v>663</v>
      </c>
      <c r="E295" s="482" t="s">
        <v>584</v>
      </c>
    </row>
    <row r="296" spans="1:5" x14ac:dyDescent="0.25">
      <c r="A296" s="640" t="s">
        <v>556</v>
      </c>
      <c r="B296" s="640" t="s">
        <v>8</v>
      </c>
      <c r="C296" s="633" t="s">
        <v>26</v>
      </c>
      <c r="D296" s="633">
        <v>430</v>
      </c>
      <c r="E296" s="482" t="s">
        <v>584</v>
      </c>
    </row>
    <row r="297" spans="1:5" x14ac:dyDescent="0.25">
      <c r="A297" s="640" t="s">
        <v>556</v>
      </c>
      <c r="B297" s="640" t="s">
        <v>9</v>
      </c>
      <c r="C297" s="633" t="s">
        <v>26</v>
      </c>
      <c r="D297" s="633">
        <v>193</v>
      </c>
      <c r="E297" s="482" t="s">
        <v>584</v>
      </c>
    </row>
    <row r="298" spans="1:5" x14ac:dyDescent="0.25">
      <c r="A298" s="640" t="s">
        <v>556</v>
      </c>
      <c r="B298" s="640" t="s">
        <v>249</v>
      </c>
      <c r="C298" s="633" t="s">
        <v>27</v>
      </c>
      <c r="D298" s="633">
        <v>164</v>
      </c>
      <c r="E298" s="482" t="s">
        <v>584</v>
      </c>
    </row>
    <row r="299" spans="1:5" x14ac:dyDescent="0.25">
      <c r="A299" s="640" t="s">
        <v>556</v>
      </c>
      <c r="B299" s="640" t="s">
        <v>244</v>
      </c>
      <c r="C299" s="633" t="s">
        <v>27</v>
      </c>
      <c r="D299" s="633">
        <v>412</v>
      </c>
      <c r="E299" s="482" t="s">
        <v>584</v>
      </c>
    </row>
    <row r="300" spans="1:5" x14ac:dyDescent="0.25">
      <c r="A300" s="640" t="s">
        <v>556</v>
      </c>
      <c r="B300" s="640" t="s">
        <v>4</v>
      </c>
      <c r="C300" s="633" t="s">
        <v>27</v>
      </c>
      <c r="D300" s="633">
        <v>519</v>
      </c>
      <c r="E300" s="482" t="s">
        <v>584</v>
      </c>
    </row>
    <row r="301" spans="1:5" x14ac:dyDescent="0.25">
      <c r="A301" s="640" t="s">
        <v>556</v>
      </c>
      <c r="B301" s="640" t="s">
        <v>5</v>
      </c>
      <c r="C301" s="633" t="s">
        <v>27</v>
      </c>
      <c r="D301" s="633">
        <v>565</v>
      </c>
      <c r="E301" s="482" t="s">
        <v>584</v>
      </c>
    </row>
    <row r="302" spans="1:5" x14ac:dyDescent="0.25">
      <c r="A302" s="640" t="s">
        <v>556</v>
      </c>
      <c r="B302" s="640" t="s">
        <v>6</v>
      </c>
      <c r="C302" s="633" t="s">
        <v>27</v>
      </c>
      <c r="D302" s="633">
        <v>849</v>
      </c>
      <c r="E302" s="482" t="s">
        <v>584</v>
      </c>
    </row>
    <row r="303" spans="1:5" x14ac:dyDescent="0.25">
      <c r="A303" s="640" t="s">
        <v>556</v>
      </c>
      <c r="B303" s="640" t="s">
        <v>7</v>
      </c>
      <c r="C303" s="633" t="s">
        <v>27</v>
      </c>
      <c r="D303" s="633">
        <v>573</v>
      </c>
      <c r="E303" s="482" t="s">
        <v>584</v>
      </c>
    </row>
    <row r="304" spans="1:5" x14ac:dyDescent="0.25">
      <c r="A304" s="640" t="s">
        <v>556</v>
      </c>
      <c r="B304" s="640" t="s">
        <v>8</v>
      </c>
      <c r="C304" s="633" t="s">
        <v>27</v>
      </c>
      <c r="D304" s="633">
        <v>355</v>
      </c>
      <c r="E304" s="482" t="s">
        <v>584</v>
      </c>
    </row>
    <row r="305" spans="1:5" x14ac:dyDescent="0.25">
      <c r="A305" s="640" t="s">
        <v>556</v>
      </c>
      <c r="B305" s="640" t="s">
        <v>9</v>
      </c>
      <c r="C305" s="633" t="s">
        <v>27</v>
      </c>
      <c r="D305" s="633">
        <v>223</v>
      </c>
      <c r="E305" s="482" t="s">
        <v>584</v>
      </c>
    </row>
    <row r="306" spans="1:5" x14ac:dyDescent="0.25">
      <c r="A306" s="640" t="s">
        <v>525</v>
      </c>
      <c r="B306" s="640" t="s">
        <v>249</v>
      </c>
      <c r="C306" s="633" t="s">
        <v>26</v>
      </c>
      <c r="D306" s="633">
        <v>9028</v>
      </c>
      <c r="E306" s="482" t="s">
        <v>512</v>
      </c>
    </row>
    <row r="307" spans="1:5" x14ac:dyDescent="0.25">
      <c r="A307" s="640" t="s">
        <v>525</v>
      </c>
      <c r="B307" s="640" t="s">
        <v>244</v>
      </c>
      <c r="C307" s="633" t="s">
        <v>26</v>
      </c>
      <c r="D307" s="633">
        <v>19606</v>
      </c>
      <c r="E307" s="482" t="s">
        <v>512</v>
      </c>
    </row>
    <row r="308" spans="1:5" x14ac:dyDescent="0.25">
      <c r="A308" s="640" t="s">
        <v>525</v>
      </c>
      <c r="B308" s="640" t="s">
        <v>4</v>
      </c>
      <c r="C308" s="633" t="s">
        <v>26</v>
      </c>
      <c r="D308" s="633">
        <v>41261</v>
      </c>
      <c r="E308" s="482" t="s">
        <v>512</v>
      </c>
    </row>
    <row r="309" spans="1:5" x14ac:dyDescent="0.25">
      <c r="A309" s="640" t="s">
        <v>525</v>
      </c>
      <c r="B309" s="640" t="s">
        <v>5</v>
      </c>
      <c r="C309" s="633" t="s">
        <v>26</v>
      </c>
      <c r="D309" s="633">
        <v>31890</v>
      </c>
      <c r="E309" s="482" t="s">
        <v>512</v>
      </c>
    </row>
    <row r="310" spans="1:5" x14ac:dyDescent="0.25">
      <c r="A310" s="640" t="s">
        <v>525</v>
      </c>
      <c r="B310" s="640" t="s">
        <v>6</v>
      </c>
      <c r="C310" s="633" t="s">
        <v>26</v>
      </c>
      <c r="D310" s="633">
        <v>33462</v>
      </c>
      <c r="E310" s="482" t="s">
        <v>512</v>
      </c>
    </row>
    <row r="311" spans="1:5" x14ac:dyDescent="0.25">
      <c r="A311" s="640" t="s">
        <v>525</v>
      </c>
      <c r="B311" s="640" t="s">
        <v>7</v>
      </c>
      <c r="C311" s="633" t="s">
        <v>26</v>
      </c>
      <c r="D311" s="633">
        <v>22135</v>
      </c>
      <c r="E311" s="482" t="s">
        <v>512</v>
      </c>
    </row>
    <row r="312" spans="1:5" x14ac:dyDescent="0.25">
      <c r="A312" s="640" t="s">
        <v>525</v>
      </c>
      <c r="B312" s="640" t="s">
        <v>8</v>
      </c>
      <c r="C312" s="633" t="s">
        <v>26</v>
      </c>
      <c r="D312" s="633">
        <v>11067</v>
      </c>
      <c r="E312" s="482" t="s">
        <v>512</v>
      </c>
    </row>
    <row r="313" spans="1:5" x14ac:dyDescent="0.25">
      <c r="A313" s="640" t="s">
        <v>525</v>
      </c>
      <c r="B313" s="640" t="s">
        <v>9</v>
      </c>
      <c r="C313" s="633" t="s">
        <v>26</v>
      </c>
      <c r="D313" s="633">
        <v>6184</v>
      </c>
      <c r="E313" s="482" t="s">
        <v>512</v>
      </c>
    </row>
    <row r="314" spans="1:5" x14ac:dyDescent="0.25">
      <c r="A314" s="640" t="s">
        <v>525</v>
      </c>
      <c r="B314" s="640" t="s">
        <v>249</v>
      </c>
      <c r="C314" s="633" t="s">
        <v>27</v>
      </c>
      <c r="D314" s="633">
        <v>8570</v>
      </c>
      <c r="E314" s="482" t="s">
        <v>512</v>
      </c>
    </row>
    <row r="315" spans="1:5" x14ac:dyDescent="0.25">
      <c r="A315" s="640" t="s">
        <v>525</v>
      </c>
      <c r="B315" s="640" t="s">
        <v>244</v>
      </c>
      <c r="C315" s="633" t="s">
        <v>27</v>
      </c>
      <c r="D315" s="633">
        <v>18749</v>
      </c>
      <c r="E315" s="482" t="s">
        <v>512</v>
      </c>
    </row>
    <row r="316" spans="1:5" x14ac:dyDescent="0.25">
      <c r="A316" s="640" t="s">
        <v>525</v>
      </c>
      <c r="B316" s="640" t="s">
        <v>4</v>
      </c>
      <c r="C316" s="633" t="s">
        <v>27</v>
      </c>
      <c r="D316" s="633">
        <v>39905</v>
      </c>
      <c r="E316" s="482" t="s">
        <v>512</v>
      </c>
    </row>
    <row r="317" spans="1:5" x14ac:dyDescent="0.25">
      <c r="A317" s="640" t="s">
        <v>525</v>
      </c>
      <c r="B317" s="640" t="s">
        <v>5</v>
      </c>
      <c r="C317" s="633" t="s">
        <v>27</v>
      </c>
      <c r="D317" s="633">
        <v>31600</v>
      </c>
      <c r="E317" s="482" t="s">
        <v>512</v>
      </c>
    </row>
    <row r="318" spans="1:5" x14ac:dyDescent="0.25">
      <c r="A318" s="640" t="s">
        <v>525</v>
      </c>
      <c r="B318" s="640" t="s">
        <v>6</v>
      </c>
      <c r="C318" s="633" t="s">
        <v>27</v>
      </c>
      <c r="D318" s="633">
        <v>36230</v>
      </c>
      <c r="E318" s="482" t="s">
        <v>512</v>
      </c>
    </row>
    <row r="319" spans="1:5" x14ac:dyDescent="0.25">
      <c r="A319" s="640" t="s">
        <v>525</v>
      </c>
      <c r="B319" s="640" t="s">
        <v>7</v>
      </c>
      <c r="C319" s="633" t="s">
        <v>27</v>
      </c>
      <c r="D319" s="633">
        <v>23803</v>
      </c>
      <c r="E319" s="482" t="s">
        <v>512</v>
      </c>
    </row>
    <row r="320" spans="1:5" x14ac:dyDescent="0.25">
      <c r="A320" s="640" t="s">
        <v>525</v>
      </c>
      <c r="B320" s="640" t="s">
        <v>8</v>
      </c>
      <c r="C320" s="633" t="s">
        <v>27</v>
      </c>
      <c r="D320" s="633">
        <v>12708</v>
      </c>
      <c r="E320" s="482" t="s">
        <v>512</v>
      </c>
    </row>
    <row r="321" spans="1:5" x14ac:dyDescent="0.25">
      <c r="A321" s="640" t="s">
        <v>525</v>
      </c>
      <c r="B321" s="640" t="s">
        <v>9</v>
      </c>
      <c r="C321" s="633" t="s">
        <v>27</v>
      </c>
      <c r="D321" s="633">
        <v>9452</v>
      </c>
      <c r="E321" s="482" t="s">
        <v>512</v>
      </c>
    </row>
    <row r="322" spans="1:5" x14ac:dyDescent="0.25">
      <c r="A322" s="640" t="s">
        <v>557</v>
      </c>
      <c r="B322" s="640" t="s">
        <v>249</v>
      </c>
      <c r="C322" s="633" t="s">
        <v>26</v>
      </c>
      <c r="D322" s="633">
        <v>1206</v>
      </c>
      <c r="E322" s="482" t="s">
        <v>584</v>
      </c>
    </row>
    <row r="323" spans="1:5" x14ac:dyDescent="0.25">
      <c r="A323" s="640" t="s">
        <v>557</v>
      </c>
      <c r="B323" s="640" t="s">
        <v>244</v>
      </c>
      <c r="C323" s="633" t="s">
        <v>26</v>
      </c>
      <c r="D323" s="633">
        <v>2191</v>
      </c>
      <c r="E323" s="482" t="s">
        <v>584</v>
      </c>
    </row>
    <row r="324" spans="1:5" x14ac:dyDescent="0.25">
      <c r="A324" s="640" t="s">
        <v>557</v>
      </c>
      <c r="B324" s="640" t="s">
        <v>4</v>
      </c>
      <c r="C324" s="633" t="s">
        <v>26</v>
      </c>
      <c r="D324" s="633">
        <v>3470</v>
      </c>
      <c r="E324" s="482" t="s">
        <v>584</v>
      </c>
    </row>
    <row r="325" spans="1:5" x14ac:dyDescent="0.25">
      <c r="A325" s="640" t="s">
        <v>557</v>
      </c>
      <c r="B325" s="640" t="s">
        <v>5</v>
      </c>
      <c r="C325" s="633" t="s">
        <v>26</v>
      </c>
      <c r="D325" s="633">
        <v>3590</v>
      </c>
      <c r="E325" s="482" t="s">
        <v>584</v>
      </c>
    </row>
    <row r="326" spans="1:5" x14ac:dyDescent="0.25">
      <c r="A326" s="640" t="s">
        <v>557</v>
      </c>
      <c r="B326" s="640" t="s">
        <v>6</v>
      </c>
      <c r="C326" s="633" t="s">
        <v>26</v>
      </c>
      <c r="D326" s="633">
        <v>4751</v>
      </c>
      <c r="E326" s="482" t="s">
        <v>584</v>
      </c>
    </row>
    <row r="327" spans="1:5" x14ac:dyDescent="0.25">
      <c r="A327" s="640" t="s">
        <v>557</v>
      </c>
      <c r="B327" s="640" t="s">
        <v>7</v>
      </c>
      <c r="C327" s="633" t="s">
        <v>26</v>
      </c>
      <c r="D327" s="633">
        <v>4068</v>
      </c>
      <c r="E327" s="482" t="s">
        <v>584</v>
      </c>
    </row>
    <row r="328" spans="1:5" x14ac:dyDescent="0.25">
      <c r="A328" s="640" t="s">
        <v>557</v>
      </c>
      <c r="B328" s="640" t="s">
        <v>8</v>
      </c>
      <c r="C328" s="633" t="s">
        <v>26</v>
      </c>
      <c r="D328" s="633">
        <v>2282</v>
      </c>
      <c r="E328" s="482" t="s">
        <v>584</v>
      </c>
    </row>
    <row r="329" spans="1:5" x14ac:dyDescent="0.25">
      <c r="A329" s="640" t="s">
        <v>557</v>
      </c>
      <c r="B329" s="640" t="s">
        <v>9</v>
      </c>
      <c r="C329" s="633" t="s">
        <v>26</v>
      </c>
      <c r="D329" s="633">
        <v>964</v>
      </c>
      <c r="E329" s="482" t="s">
        <v>584</v>
      </c>
    </row>
    <row r="330" spans="1:5" x14ac:dyDescent="0.25">
      <c r="A330" s="640" t="s">
        <v>557</v>
      </c>
      <c r="B330" s="640" t="s">
        <v>249</v>
      </c>
      <c r="C330" s="633" t="s">
        <v>27</v>
      </c>
      <c r="D330" s="633">
        <v>1039</v>
      </c>
      <c r="E330" s="482" t="s">
        <v>584</v>
      </c>
    </row>
    <row r="331" spans="1:5" x14ac:dyDescent="0.25">
      <c r="A331" s="640" t="s">
        <v>557</v>
      </c>
      <c r="B331" s="640" t="s">
        <v>244</v>
      </c>
      <c r="C331" s="633" t="s">
        <v>27</v>
      </c>
      <c r="D331" s="633">
        <v>2162</v>
      </c>
      <c r="E331" s="482" t="s">
        <v>584</v>
      </c>
    </row>
    <row r="332" spans="1:5" x14ac:dyDescent="0.25">
      <c r="A332" s="640" t="s">
        <v>557</v>
      </c>
      <c r="B332" s="640" t="s">
        <v>4</v>
      </c>
      <c r="C332" s="633" t="s">
        <v>27</v>
      </c>
      <c r="D332" s="633">
        <v>3100</v>
      </c>
      <c r="E332" s="482" t="s">
        <v>584</v>
      </c>
    </row>
    <row r="333" spans="1:5" x14ac:dyDescent="0.25">
      <c r="A333" s="640" t="s">
        <v>557</v>
      </c>
      <c r="B333" s="640" t="s">
        <v>5</v>
      </c>
      <c r="C333" s="633" t="s">
        <v>27</v>
      </c>
      <c r="D333" s="633">
        <v>3576</v>
      </c>
      <c r="E333" s="482" t="s">
        <v>584</v>
      </c>
    </row>
    <row r="334" spans="1:5" x14ac:dyDescent="0.25">
      <c r="A334" s="640" t="s">
        <v>557</v>
      </c>
      <c r="B334" s="640" t="s">
        <v>6</v>
      </c>
      <c r="C334" s="633" t="s">
        <v>27</v>
      </c>
      <c r="D334" s="633">
        <v>5463</v>
      </c>
      <c r="E334" s="482" t="s">
        <v>584</v>
      </c>
    </row>
    <row r="335" spans="1:5" x14ac:dyDescent="0.25">
      <c r="A335" s="640" t="s">
        <v>557</v>
      </c>
      <c r="B335" s="640" t="s">
        <v>7</v>
      </c>
      <c r="C335" s="633" t="s">
        <v>27</v>
      </c>
      <c r="D335" s="633">
        <v>4607</v>
      </c>
      <c r="E335" s="482" t="s">
        <v>584</v>
      </c>
    </row>
    <row r="336" spans="1:5" x14ac:dyDescent="0.25">
      <c r="A336" s="640" t="s">
        <v>557</v>
      </c>
      <c r="B336" s="640" t="s">
        <v>8</v>
      </c>
      <c r="C336" s="633" t="s">
        <v>27</v>
      </c>
      <c r="D336" s="633">
        <v>2448</v>
      </c>
      <c r="E336" s="482" t="s">
        <v>584</v>
      </c>
    </row>
    <row r="337" spans="1:5" x14ac:dyDescent="0.25">
      <c r="A337" s="640" t="s">
        <v>557</v>
      </c>
      <c r="B337" s="640" t="s">
        <v>9</v>
      </c>
      <c r="C337" s="633" t="s">
        <v>27</v>
      </c>
      <c r="D337" s="633">
        <v>1374</v>
      </c>
      <c r="E337" s="482" t="s">
        <v>584</v>
      </c>
    </row>
    <row r="338" spans="1:5" x14ac:dyDescent="0.25">
      <c r="A338" s="640" t="s">
        <v>558</v>
      </c>
      <c r="B338" s="640" t="s">
        <v>249</v>
      </c>
      <c r="C338" s="633" t="s">
        <v>26</v>
      </c>
      <c r="D338" s="633">
        <v>3866</v>
      </c>
      <c r="E338" s="482" t="s">
        <v>584</v>
      </c>
    </row>
    <row r="339" spans="1:5" x14ac:dyDescent="0.25">
      <c r="A339" s="640" t="s">
        <v>558</v>
      </c>
      <c r="B339" s="640" t="s">
        <v>244</v>
      </c>
      <c r="C339" s="633" t="s">
        <v>26</v>
      </c>
      <c r="D339" s="633">
        <v>8044</v>
      </c>
      <c r="E339" s="482" t="s">
        <v>584</v>
      </c>
    </row>
    <row r="340" spans="1:5" x14ac:dyDescent="0.25">
      <c r="A340" s="640" t="s">
        <v>558</v>
      </c>
      <c r="B340" s="640" t="s">
        <v>4</v>
      </c>
      <c r="C340" s="633" t="s">
        <v>26</v>
      </c>
      <c r="D340" s="633">
        <v>11050</v>
      </c>
      <c r="E340" s="482" t="s">
        <v>584</v>
      </c>
    </row>
    <row r="341" spans="1:5" x14ac:dyDescent="0.25">
      <c r="A341" s="640" t="s">
        <v>558</v>
      </c>
      <c r="B341" s="640" t="s">
        <v>5</v>
      </c>
      <c r="C341" s="633" t="s">
        <v>26</v>
      </c>
      <c r="D341" s="633">
        <v>10770</v>
      </c>
      <c r="E341" s="482" t="s">
        <v>584</v>
      </c>
    </row>
    <row r="342" spans="1:5" x14ac:dyDescent="0.25">
      <c r="A342" s="640" t="s">
        <v>558</v>
      </c>
      <c r="B342" s="640" t="s">
        <v>6</v>
      </c>
      <c r="C342" s="633" t="s">
        <v>26</v>
      </c>
      <c r="D342" s="633">
        <v>11726</v>
      </c>
      <c r="E342" s="482" t="s">
        <v>584</v>
      </c>
    </row>
    <row r="343" spans="1:5" x14ac:dyDescent="0.25">
      <c r="A343" s="640" t="s">
        <v>558</v>
      </c>
      <c r="B343" s="640" t="s">
        <v>7</v>
      </c>
      <c r="C343" s="633" t="s">
        <v>26</v>
      </c>
      <c r="D343" s="633">
        <v>7196</v>
      </c>
      <c r="E343" s="482" t="s">
        <v>584</v>
      </c>
    </row>
    <row r="344" spans="1:5" x14ac:dyDescent="0.25">
      <c r="A344" s="640" t="s">
        <v>558</v>
      </c>
      <c r="B344" s="640" t="s">
        <v>8</v>
      </c>
      <c r="C344" s="633" t="s">
        <v>26</v>
      </c>
      <c r="D344" s="633">
        <v>3896</v>
      </c>
      <c r="E344" s="482" t="s">
        <v>584</v>
      </c>
    </row>
    <row r="345" spans="1:5" x14ac:dyDescent="0.25">
      <c r="A345" s="640" t="s">
        <v>558</v>
      </c>
      <c r="B345" s="640" t="s">
        <v>9</v>
      </c>
      <c r="C345" s="633" t="s">
        <v>26</v>
      </c>
      <c r="D345" s="633">
        <v>2034</v>
      </c>
      <c r="E345" s="482" t="s">
        <v>584</v>
      </c>
    </row>
    <row r="346" spans="1:5" x14ac:dyDescent="0.25">
      <c r="A346" s="640" t="s">
        <v>558</v>
      </c>
      <c r="B346" s="640" t="s">
        <v>249</v>
      </c>
      <c r="C346" s="633" t="s">
        <v>27</v>
      </c>
      <c r="D346" s="633">
        <v>3526</v>
      </c>
      <c r="E346" s="482" t="s">
        <v>584</v>
      </c>
    </row>
    <row r="347" spans="1:5" x14ac:dyDescent="0.25">
      <c r="A347" s="640" t="s">
        <v>558</v>
      </c>
      <c r="B347" s="640" t="s">
        <v>244</v>
      </c>
      <c r="C347" s="633" t="s">
        <v>27</v>
      </c>
      <c r="D347" s="633">
        <v>7572</v>
      </c>
      <c r="E347" s="482" t="s">
        <v>584</v>
      </c>
    </row>
    <row r="348" spans="1:5" x14ac:dyDescent="0.25">
      <c r="A348" s="640" t="s">
        <v>558</v>
      </c>
      <c r="B348" s="640" t="s">
        <v>4</v>
      </c>
      <c r="C348" s="633" t="s">
        <v>27</v>
      </c>
      <c r="D348" s="633">
        <v>11064</v>
      </c>
      <c r="E348" s="482" t="s">
        <v>584</v>
      </c>
    </row>
    <row r="349" spans="1:5" x14ac:dyDescent="0.25">
      <c r="A349" s="640" t="s">
        <v>558</v>
      </c>
      <c r="B349" s="640" t="s">
        <v>5</v>
      </c>
      <c r="C349" s="633" t="s">
        <v>27</v>
      </c>
      <c r="D349" s="633">
        <v>10855</v>
      </c>
      <c r="E349" s="482" t="s">
        <v>584</v>
      </c>
    </row>
    <row r="350" spans="1:5" x14ac:dyDescent="0.25">
      <c r="A350" s="640" t="s">
        <v>558</v>
      </c>
      <c r="B350" s="640" t="s">
        <v>6</v>
      </c>
      <c r="C350" s="633" t="s">
        <v>27</v>
      </c>
      <c r="D350" s="633">
        <v>12182</v>
      </c>
      <c r="E350" s="482" t="s">
        <v>584</v>
      </c>
    </row>
    <row r="351" spans="1:5" x14ac:dyDescent="0.25">
      <c r="A351" s="640" t="s">
        <v>558</v>
      </c>
      <c r="B351" s="640" t="s">
        <v>7</v>
      </c>
      <c r="C351" s="633" t="s">
        <v>27</v>
      </c>
      <c r="D351" s="633">
        <v>7329</v>
      </c>
      <c r="E351" s="482" t="s">
        <v>584</v>
      </c>
    </row>
    <row r="352" spans="1:5" x14ac:dyDescent="0.25">
      <c r="A352" s="640" t="s">
        <v>558</v>
      </c>
      <c r="B352" s="640" t="s">
        <v>8</v>
      </c>
      <c r="C352" s="633" t="s">
        <v>27</v>
      </c>
      <c r="D352" s="633">
        <v>4468</v>
      </c>
      <c r="E352" s="482" t="s">
        <v>584</v>
      </c>
    </row>
    <row r="353" spans="1:5" x14ac:dyDescent="0.25">
      <c r="A353" s="640" t="s">
        <v>558</v>
      </c>
      <c r="B353" s="640" t="s">
        <v>9</v>
      </c>
      <c r="C353" s="633" t="s">
        <v>27</v>
      </c>
      <c r="D353" s="633">
        <v>2967</v>
      </c>
      <c r="E353" s="482" t="s">
        <v>584</v>
      </c>
    </row>
    <row r="354" spans="1:5" x14ac:dyDescent="0.25">
      <c r="A354" s="640" t="s">
        <v>559</v>
      </c>
      <c r="B354" s="640" t="s">
        <v>249</v>
      </c>
      <c r="C354" s="633" t="s">
        <v>26</v>
      </c>
      <c r="D354" s="633">
        <v>1142</v>
      </c>
      <c r="E354" s="482" t="s">
        <v>584</v>
      </c>
    </row>
    <row r="355" spans="1:5" x14ac:dyDescent="0.25">
      <c r="A355" s="640" t="s">
        <v>559</v>
      </c>
      <c r="B355" s="640" t="s">
        <v>244</v>
      </c>
      <c r="C355" s="633" t="s">
        <v>26</v>
      </c>
      <c r="D355" s="633">
        <v>2195</v>
      </c>
      <c r="E355" s="482" t="s">
        <v>584</v>
      </c>
    </row>
    <row r="356" spans="1:5" x14ac:dyDescent="0.25">
      <c r="A356" s="640" t="s">
        <v>559</v>
      </c>
      <c r="B356" s="640" t="s">
        <v>4</v>
      </c>
      <c r="C356" s="633" t="s">
        <v>26</v>
      </c>
      <c r="D356" s="633">
        <v>3624</v>
      </c>
      <c r="E356" s="482" t="s">
        <v>584</v>
      </c>
    </row>
    <row r="357" spans="1:5" x14ac:dyDescent="0.25">
      <c r="A357" s="640" t="s">
        <v>559</v>
      </c>
      <c r="B357" s="640" t="s">
        <v>5</v>
      </c>
      <c r="C357" s="633" t="s">
        <v>26</v>
      </c>
      <c r="D357" s="633">
        <v>3431</v>
      </c>
      <c r="E357" s="482" t="s">
        <v>584</v>
      </c>
    </row>
    <row r="358" spans="1:5" x14ac:dyDescent="0.25">
      <c r="A358" s="640" t="s">
        <v>559</v>
      </c>
      <c r="B358" s="640" t="s">
        <v>6</v>
      </c>
      <c r="C358" s="633" t="s">
        <v>26</v>
      </c>
      <c r="D358" s="633">
        <v>3133</v>
      </c>
      <c r="E358" s="482" t="s">
        <v>584</v>
      </c>
    </row>
    <row r="359" spans="1:5" x14ac:dyDescent="0.25">
      <c r="A359" s="640" t="s">
        <v>559</v>
      </c>
      <c r="B359" s="640" t="s">
        <v>7</v>
      </c>
      <c r="C359" s="633" t="s">
        <v>26</v>
      </c>
      <c r="D359" s="633">
        <v>1615</v>
      </c>
      <c r="E359" s="482" t="s">
        <v>584</v>
      </c>
    </row>
    <row r="360" spans="1:5" x14ac:dyDescent="0.25">
      <c r="A360" s="640" t="s">
        <v>559</v>
      </c>
      <c r="B360" s="640" t="s">
        <v>8</v>
      </c>
      <c r="C360" s="633" t="s">
        <v>26</v>
      </c>
      <c r="D360" s="633">
        <v>984</v>
      </c>
      <c r="E360" s="482" t="s">
        <v>584</v>
      </c>
    </row>
    <row r="361" spans="1:5" x14ac:dyDescent="0.25">
      <c r="A361" s="640" t="s">
        <v>559</v>
      </c>
      <c r="B361" s="640" t="s">
        <v>9</v>
      </c>
      <c r="C361" s="633" t="s">
        <v>26</v>
      </c>
      <c r="D361" s="633">
        <v>560</v>
      </c>
      <c r="E361" s="482" t="s">
        <v>584</v>
      </c>
    </row>
    <row r="362" spans="1:5" x14ac:dyDescent="0.25">
      <c r="A362" s="640" t="s">
        <v>559</v>
      </c>
      <c r="B362" s="640" t="s">
        <v>249</v>
      </c>
      <c r="C362" s="633" t="s">
        <v>27</v>
      </c>
      <c r="D362" s="633">
        <v>1060</v>
      </c>
      <c r="E362" s="482" t="s">
        <v>584</v>
      </c>
    </row>
    <row r="363" spans="1:5" x14ac:dyDescent="0.25">
      <c r="A363" s="640" t="s">
        <v>559</v>
      </c>
      <c r="B363" s="640" t="s">
        <v>244</v>
      </c>
      <c r="C363" s="633" t="s">
        <v>27</v>
      </c>
      <c r="D363" s="633">
        <v>2109</v>
      </c>
      <c r="E363" s="482" t="s">
        <v>584</v>
      </c>
    </row>
    <row r="364" spans="1:5" x14ac:dyDescent="0.25">
      <c r="A364" s="640" t="s">
        <v>559</v>
      </c>
      <c r="B364" s="640" t="s">
        <v>4</v>
      </c>
      <c r="C364" s="633" t="s">
        <v>27</v>
      </c>
      <c r="D364" s="633">
        <v>2647</v>
      </c>
      <c r="E364" s="482" t="s">
        <v>584</v>
      </c>
    </row>
    <row r="365" spans="1:5" x14ac:dyDescent="0.25">
      <c r="A365" s="640" t="s">
        <v>559</v>
      </c>
      <c r="B365" s="640" t="s">
        <v>5</v>
      </c>
      <c r="C365" s="633" t="s">
        <v>27</v>
      </c>
      <c r="D365" s="633">
        <v>2308</v>
      </c>
      <c r="E365" s="482" t="s">
        <v>584</v>
      </c>
    </row>
    <row r="366" spans="1:5" x14ac:dyDescent="0.25">
      <c r="A366" s="640" t="s">
        <v>559</v>
      </c>
      <c r="B366" s="640" t="s">
        <v>6</v>
      </c>
      <c r="C366" s="633" t="s">
        <v>27</v>
      </c>
      <c r="D366" s="633">
        <v>2482</v>
      </c>
      <c r="E366" s="482" t="s">
        <v>584</v>
      </c>
    </row>
    <row r="367" spans="1:5" x14ac:dyDescent="0.25">
      <c r="A367" s="640" t="s">
        <v>559</v>
      </c>
      <c r="B367" s="640" t="s">
        <v>7</v>
      </c>
      <c r="C367" s="633" t="s">
        <v>27</v>
      </c>
      <c r="D367" s="633">
        <v>1550</v>
      </c>
      <c r="E367" s="482" t="s">
        <v>584</v>
      </c>
    </row>
    <row r="368" spans="1:5" x14ac:dyDescent="0.25">
      <c r="A368" s="640" t="s">
        <v>559</v>
      </c>
      <c r="B368" s="640" t="s">
        <v>8</v>
      </c>
      <c r="C368" s="633" t="s">
        <v>27</v>
      </c>
      <c r="D368" s="633">
        <v>1032</v>
      </c>
      <c r="E368" s="482" t="s">
        <v>584</v>
      </c>
    </row>
    <row r="369" spans="1:5" x14ac:dyDescent="0.25">
      <c r="A369" s="640" t="s">
        <v>559</v>
      </c>
      <c r="B369" s="640" t="s">
        <v>9</v>
      </c>
      <c r="C369" s="633" t="s">
        <v>27</v>
      </c>
      <c r="D369" s="633">
        <v>751</v>
      </c>
      <c r="E369" s="482" t="s">
        <v>584</v>
      </c>
    </row>
    <row r="370" spans="1:5" x14ac:dyDescent="0.25">
      <c r="A370" s="640" t="s">
        <v>560</v>
      </c>
      <c r="B370" s="640" t="s">
        <v>249</v>
      </c>
      <c r="C370" s="633" t="s">
        <v>26</v>
      </c>
      <c r="D370" s="633">
        <v>11599</v>
      </c>
      <c r="E370" s="482" t="s">
        <v>512</v>
      </c>
    </row>
    <row r="371" spans="1:5" x14ac:dyDescent="0.25">
      <c r="A371" s="640" t="s">
        <v>560</v>
      </c>
      <c r="B371" s="640" t="s">
        <v>244</v>
      </c>
      <c r="C371" s="633" t="s">
        <v>26</v>
      </c>
      <c r="D371" s="633">
        <v>23756</v>
      </c>
      <c r="E371" s="482" t="s">
        <v>512</v>
      </c>
    </row>
    <row r="372" spans="1:5" x14ac:dyDescent="0.25">
      <c r="A372" s="640" t="s">
        <v>560</v>
      </c>
      <c r="B372" s="640" t="s">
        <v>4</v>
      </c>
      <c r="C372" s="633" t="s">
        <v>26</v>
      </c>
      <c r="D372" s="633">
        <v>34256</v>
      </c>
      <c r="E372" s="482" t="s">
        <v>512</v>
      </c>
    </row>
    <row r="373" spans="1:5" x14ac:dyDescent="0.25">
      <c r="A373" s="640" t="s">
        <v>560</v>
      </c>
      <c r="B373" s="640" t="s">
        <v>5</v>
      </c>
      <c r="C373" s="633" t="s">
        <v>26</v>
      </c>
      <c r="D373" s="633">
        <v>31997</v>
      </c>
      <c r="E373" s="482" t="s">
        <v>512</v>
      </c>
    </row>
    <row r="374" spans="1:5" x14ac:dyDescent="0.25">
      <c r="A374" s="640" t="s">
        <v>560</v>
      </c>
      <c r="B374" s="640" t="s">
        <v>6</v>
      </c>
      <c r="C374" s="633" t="s">
        <v>26</v>
      </c>
      <c r="D374" s="633">
        <v>30148</v>
      </c>
      <c r="E374" s="482" t="s">
        <v>512</v>
      </c>
    </row>
    <row r="375" spans="1:5" x14ac:dyDescent="0.25">
      <c r="A375" s="640" t="s">
        <v>560</v>
      </c>
      <c r="B375" s="640" t="s">
        <v>7</v>
      </c>
      <c r="C375" s="633" t="s">
        <v>26</v>
      </c>
      <c r="D375" s="633">
        <v>15839</v>
      </c>
      <c r="E375" s="482" t="s">
        <v>512</v>
      </c>
    </row>
    <row r="376" spans="1:5" x14ac:dyDescent="0.25">
      <c r="A376" s="640" t="s">
        <v>560</v>
      </c>
      <c r="B376" s="640" t="s">
        <v>8</v>
      </c>
      <c r="C376" s="633" t="s">
        <v>26</v>
      </c>
      <c r="D376" s="633">
        <v>8213</v>
      </c>
      <c r="E376" s="482" t="s">
        <v>512</v>
      </c>
    </row>
    <row r="377" spans="1:5" x14ac:dyDescent="0.25">
      <c r="A377" s="640" t="s">
        <v>560</v>
      </c>
      <c r="B377" s="640" t="s">
        <v>9</v>
      </c>
      <c r="C377" s="633" t="s">
        <v>26</v>
      </c>
      <c r="D377" s="633">
        <v>4585</v>
      </c>
      <c r="E377" s="482" t="s">
        <v>512</v>
      </c>
    </row>
    <row r="378" spans="1:5" x14ac:dyDescent="0.25">
      <c r="A378" s="640" t="s">
        <v>560</v>
      </c>
      <c r="B378" s="640" t="s">
        <v>249</v>
      </c>
      <c r="C378" s="633" t="s">
        <v>27</v>
      </c>
      <c r="D378" s="633">
        <v>10810</v>
      </c>
      <c r="E378" s="482" t="s">
        <v>512</v>
      </c>
    </row>
    <row r="379" spans="1:5" x14ac:dyDescent="0.25">
      <c r="A379" s="640" t="s">
        <v>560</v>
      </c>
      <c r="B379" s="640" t="s">
        <v>244</v>
      </c>
      <c r="C379" s="633" t="s">
        <v>27</v>
      </c>
      <c r="D379" s="633">
        <v>22681</v>
      </c>
      <c r="E379" s="482" t="s">
        <v>512</v>
      </c>
    </row>
    <row r="380" spans="1:5" x14ac:dyDescent="0.25">
      <c r="A380" s="640" t="s">
        <v>560</v>
      </c>
      <c r="B380" s="640" t="s">
        <v>4</v>
      </c>
      <c r="C380" s="633" t="s">
        <v>27</v>
      </c>
      <c r="D380" s="633">
        <v>32409</v>
      </c>
      <c r="E380" s="482" t="s">
        <v>512</v>
      </c>
    </row>
    <row r="381" spans="1:5" x14ac:dyDescent="0.25">
      <c r="A381" s="640" t="s">
        <v>560</v>
      </c>
      <c r="B381" s="640" t="s">
        <v>5</v>
      </c>
      <c r="C381" s="633" t="s">
        <v>27</v>
      </c>
      <c r="D381" s="633">
        <v>30306</v>
      </c>
      <c r="E381" s="482" t="s">
        <v>512</v>
      </c>
    </row>
    <row r="382" spans="1:5" x14ac:dyDescent="0.25">
      <c r="A382" s="640" t="s">
        <v>560</v>
      </c>
      <c r="B382" s="640" t="s">
        <v>6</v>
      </c>
      <c r="C382" s="633" t="s">
        <v>27</v>
      </c>
      <c r="D382" s="633">
        <v>30516</v>
      </c>
      <c r="E382" s="482" t="s">
        <v>512</v>
      </c>
    </row>
    <row r="383" spans="1:5" x14ac:dyDescent="0.25">
      <c r="A383" s="640" t="s">
        <v>560</v>
      </c>
      <c r="B383" s="640" t="s">
        <v>7</v>
      </c>
      <c r="C383" s="633" t="s">
        <v>27</v>
      </c>
      <c r="D383" s="633">
        <v>17456</v>
      </c>
      <c r="E383" s="482" t="s">
        <v>512</v>
      </c>
    </row>
    <row r="384" spans="1:5" x14ac:dyDescent="0.25">
      <c r="A384" s="640" t="s">
        <v>560</v>
      </c>
      <c r="B384" s="640" t="s">
        <v>8</v>
      </c>
      <c r="C384" s="633" t="s">
        <v>27</v>
      </c>
      <c r="D384" s="633">
        <v>9821</v>
      </c>
      <c r="E384" s="482" t="s">
        <v>512</v>
      </c>
    </row>
    <row r="385" spans="1:5" x14ac:dyDescent="0.25">
      <c r="A385" s="640" t="s">
        <v>560</v>
      </c>
      <c r="B385" s="640" t="s">
        <v>9</v>
      </c>
      <c r="C385" s="633" t="s">
        <v>27</v>
      </c>
      <c r="D385" s="633">
        <v>7522</v>
      </c>
      <c r="E385" s="482" t="s">
        <v>512</v>
      </c>
    </row>
    <row r="386" spans="1:5" x14ac:dyDescent="0.25">
      <c r="A386" s="640" t="s">
        <v>561</v>
      </c>
      <c r="B386" s="640" t="s">
        <v>249</v>
      </c>
      <c r="C386" s="633" t="s">
        <v>26</v>
      </c>
      <c r="D386" s="633">
        <v>406</v>
      </c>
      <c r="E386" s="482" t="s">
        <v>584</v>
      </c>
    </row>
    <row r="387" spans="1:5" x14ac:dyDescent="0.25">
      <c r="A387" s="640" t="s">
        <v>561</v>
      </c>
      <c r="B387" s="640" t="s">
        <v>244</v>
      </c>
      <c r="C387" s="633" t="s">
        <v>26</v>
      </c>
      <c r="D387" s="633">
        <v>934</v>
      </c>
      <c r="E387" s="482" t="s">
        <v>584</v>
      </c>
    </row>
    <row r="388" spans="1:5" x14ac:dyDescent="0.25">
      <c r="A388" s="640" t="s">
        <v>561</v>
      </c>
      <c r="B388" s="640" t="s">
        <v>4</v>
      </c>
      <c r="C388" s="633" t="s">
        <v>26</v>
      </c>
      <c r="D388" s="633">
        <v>1097</v>
      </c>
      <c r="E388" s="482" t="s">
        <v>584</v>
      </c>
    </row>
    <row r="389" spans="1:5" x14ac:dyDescent="0.25">
      <c r="A389" s="640" t="s">
        <v>561</v>
      </c>
      <c r="B389" s="640" t="s">
        <v>5</v>
      </c>
      <c r="C389" s="633" t="s">
        <v>26</v>
      </c>
      <c r="D389" s="633">
        <v>1001</v>
      </c>
      <c r="E389" s="482" t="s">
        <v>584</v>
      </c>
    </row>
    <row r="390" spans="1:5" x14ac:dyDescent="0.25">
      <c r="A390" s="640" t="s">
        <v>561</v>
      </c>
      <c r="B390" s="640" t="s">
        <v>6</v>
      </c>
      <c r="C390" s="633" t="s">
        <v>26</v>
      </c>
      <c r="D390" s="633">
        <v>1169</v>
      </c>
      <c r="E390" s="482" t="s">
        <v>584</v>
      </c>
    </row>
    <row r="391" spans="1:5" x14ac:dyDescent="0.25">
      <c r="A391" s="640" t="s">
        <v>561</v>
      </c>
      <c r="B391" s="640" t="s">
        <v>7</v>
      </c>
      <c r="C391" s="633" t="s">
        <v>26</v>
      </c>
      <c r="D391" s="633">
        <v>634</v>
      </c>
      <c r="E391" s="482" t="s">
        <v>584</v>
      </c>
    </row>
    <row r="392" spans="1:5" x14ac:dyDescent="0.25">
      <c r="A392" s="640" t="s">
        <v>561</v>
      </c>
      <c r="B392" s="640" t="s">
        <v>8</v>
      </c>
      <c r="C392" s="633" t="s">
        <v>26</v>
      </c>
      <c r="D392" s="633">
        <v>351</v>
      </c>
      <c r="E392" s="482" t="s">
        <v>584</v>
      </c>
    </row>
    <row r="393" spans="1:5" x14ac:dyDescent="0.25">
      <c r="A393" s="640" t="s">
        <v>561</v>
      </c>
      <c r="B393" s="640" t="s">
        <v>9</v>
      </c>
      <c r="C393" s="633" t="s">
        <v>26</v>
      </c>
      <c r="D393" s="633">
        <v>186</v>
      </c>
      <c r="E393" s="482" t="s">
        <v>584</v>
      </c>
    </row>
    <row r="394" spans="1:5" x14ac:dyDescent="0.25">
      <c r="A394" s="640" t="s">
        <v>561</v>
      </c>
      <c r="B394" s="640" t="s">
        <v>249</v>
      </c>
      <c r="C394" s="633" t="s">
        <v>27</v>
      </c>
      <c r="D394" s="633">
        <v>381</v>
      </c>
      <c r="E394" s="482" t="s">
        <v>584</v>
      </c>
    </row>
    <row r="395" spans="1:5" x14ac:dyDescent="0.25">
      <c r="A395" s="640" t="s">
        <v>561</v>
      </c>
      <c r="B395" s="640" t="s">
        <v>244</v>
      </c>
      <c r="C395" s="633" t="s">
        <v>27</v>
      </c>
      <c r="D395" s="633">
        <v>878</v>
      </c>
      <c r="E395" s="482" t="s">
        <v>584</v>
      </c>
    </row>
    <row r="396" spans="1:5" x14ac:dyDescent="0.25">
      <c r="A396" s="640" t="s">
        <v>561</v>
      </c>
      <c r="B396" s="640" t="s">
        <v>4</v>
      </c>
      <c r="C396" s="633" t="s">
        <v>27</v>
      </c>
      <c r="D396" s="633">
        <v>994</v>
      </c>
      <c r="E396" s="482" t="s">
        <v>584</v>
      </c>
    </row>
    <row r="397" spans="1:5" x14ac:dyDescent="0.25">
      <c r="A397" s="640" t="s">
        <v>561</v>
      </c>
      <c r="B397" s="640" t="s">
        <v>5</v>
      </c>
      <c r="C397" s="633" t="s">
        <v>27</v>
      </c>
      <c r="D397" s="633">
        <v>983</v>
      </c>
      <c r="E397" s="482" t="s">
        <v>584</v>
      </c>
    </row>
    <row r="398" spans="1:5" x14ac:dyDescent="0.25">
      <c r="A398" s="640" t="s">
        <v>561</v>
      </c>
      <c r="B398" s="640" t="s">
        <v>6</v>
      </c>
      <c r="C398" s="633" t="s">
        <v>27</v>
      </c>
      <c r="D398" s="633">
        <v>1089</v>
      </c>
      <c r="E398" s="482" t="s">
        <v>584</v>
      </c>
    </row>
    <row r="399" spans="1:5" x14ac:dyDescent="0.25">
      <c r="A399" s="640" t="s">
        <v>561</v>
      </c>
      <c r="B399" s="640" t="s">
        <v>7</v>
      </c>
      <c r="C399" s="633" t="s">
        <v>27</v>
      </c>
      <c r="D399" s="633">
        <v>624</v>
      </c>
      <c r="E399" s="482" t="s">
        <v>584</v>
      </c>
    </row>
    <row r="400" spans="1:5" x14ac:dyDescent="0.25">
      <c r="A400" s="640" t="s">
        <v>561</v>
      </c>
      <c r="B400" s="640" t="s">
        <v>8</v>
      </c>
      <c r="C400" s="633" t="s">
        <v>27</v>
      </c>
      <c r="D400" s="633">
        <v>363</v>
      </c>
      <c r="E400" s="482" t="s">
        <v>584</v>
      </c>
    </row>
    <row r="401" spans="1:5" x14ac:dyDescent="0.25">
      <c r="A401" s="640" t="s">
        <v>561</v>
      </c>
      <c r="B401" s="640" t="s">
        <v>9</v>
      </c>
      <c r="C401" s="633" t="s">
        <v>27</v>
      </c>
      <c r="D401" s="633">
        <v>153</v>
      </c>
      <c r="E401" s="482" t="s">
        <v>584</v>
      </c>
    </row>
    <row r="402" spans="1:5" x14ac:dyDescent="0.25">
      <c r="A402" s="640" t="s">
        <v>562</v>
      </c>
      <c r="B402" s="640" t="s">
        <v>249</v>
      </c>
      <c r="C402" s="633" t="s">
        <v>26</v>
      </c>
      <c r="D402" s="633">
        <v>23681</v>
      </c>
      <c r="E402" s="482" t="s">
        <v>512</v>
      </c>
    </row>
    <row r="403" spans="1:5" x14ac:dyDescent="0.25">
      <c r="A403" s="640" t="s">
        <v>562</v>
      </c>
      <c r="B403" s="640" t="s">
        <v>244</v>
      </c>
      <c r="C403" s="633" t="s">
        <v>26</v>
      </c>
      <c r="D403" s="633">
        <v>42551</v>
      </c>
      <c r="E403" s="482" t="s">
        <v>512</v>
      </c>
    </row>
    <row r="404" spans="1:5" x14ac:dyDescent="0.25">
      <c r="A404" s="640" t="s">
        <v>562</v>
      </c>
      <c r="B404" s="640" t="s">
        <v>4</v>
      </c>
      <c r="C404" s="633" t="s">
        <v>26</v>
      </c>
      <c r="D404" s="633">
        <v>78584</v>
      </c>
      <c r="E404" s="482" t="s">
        <v>512</v>
      </c>
    </row>
    <row r="405" spans="1:5" x14ac:dyDescent="0.25">
      <c r="A405" s="640" t="s">
        <v>562</v>
      </c>
      <c r="B405" s="640" t="s">
        <v>5</v>
      </c>
      <c r="C405" s="633" t="s">
        <v>26</v>
      </c>
      <c r="D405" s="633">
        <v>99057</v>
      </c>
      <c r="E405" s="482" t="s">
        <v>512</v>
      </c>
    </row>
    <row r="406" spans="1:5" x14ac:dyDescent="0.25">
      <c r="A406" s="640" t="s">
        <v>562</v>
      </c>
      <c r="B406" s="640" t="s">
        <v>6</v>
      </c>
      <c r="C406" s="633" t="s">
        <v>26</v>
      </c>
      <c r="D406" s="633">
        <v>74700</v>
      </c>
      <c r="E406" s="482" t="s">
        <v>512</v>
      </c>
    </row>
    <row r="407" spans="1:5" x14ac:dyDescent="0.25">
      <c r="A407" s="640" t="s">
        <v>562</v>
      </c>
      <c r="B407" s="640" t="s">
        <v>7</v>
      </c>
      <c r="C407" s="633" t="s">
        <v>26</v>
      </c>
      <c r="D407" s="633">
        <v>37220</v>
      </c>
      <c r="E407" s="482" t="s">
        <v>512</v>
      </c>
    </row>
    <row r="408" spans="1:5" x14ac:dyDescent="0.25">
      <c r="A408" s="640" t="s">
        <v>562</v>
      </c>
      <c r="B408" s="640" t="s">
        <v>8</v>
      </c>
      <c r="C408" s="633" t="s">
        <v>26</v>
      </c>
      <c r="D408" s="633">
        <v>14702</v>
      </c>
      <c r="E408" s="482" t="s">
        <v>512</v>
      </c>
    </row>
    <row r="409" spans="1:5" x14ac:dyDescent="0.25">
      <c r="A409" s="640" t="s">
        <v>562</v>
      </c>
      <c r="B409" s="640" t="s">
        <v>9</v>
      </c>
      <c r="C409" s="633" t="s">
        <v>26</v>
      </c>
      <c r="D409" s="633">
        <v>8167</v>
      </c>
      <c r="E409" s="482" t="s">
        <v>512</v>
      </c>
    </row>
    <row r="410" spans="1:5" x14ac:dyDescent="0.25">
      <c r="A410" s="640" t="s">
        <v>562</v>
      </c>
      <c r="B410" s="640" t="s">
        <v>249</v>
      </c>
      <c r="C410" s="633" t="s">
        <v>27</v>
      </c>
      <c r="D410" s="633">
        <v>22413</v>
      </c>
      <c r="E410" s="482" t="s">
        <v>512</v>
      </c>
    </row>
    <row r="411" spans="1:5" x14ac:dyDescent="0.25">
      <c r="A411" s="640" t="s">
        <v>562</v>
      </c>
      <c r="B411" s="640" t="s">
        <v>244</v>
      </c>
      <c r="C411" s="633" t="s">
        <v>27</v>
      </c>
      <c r="D411" s="633">
        <v>40896</v>
      </c>
      <c r="E411" s="482" t="s">
        <v>512</v>
      </c>
    </row>
    <row r="412" spans="1:5" x14ac:dyDescent="0.25">
      <c r="A412" s="640" t="s">
        <v>562</v>
      </c>
      <c r="B412" s="640" t="s">
        <v>4</v>
      </c>
      <c r="C412" s="633" t="s">
        <v>27</v>
      </c>
      <c r="D412" s="633">
        <v>80992</v>
      </c>
      <c r="E412" s="482" t="s">
        <v>512</v>
      </c>
    </row>
    <row r="413" spans="1:5" x14ac:dyDescent="0.25">
      <c r="A413" s="640" t="s">
        <v>562</v>
      </c>
      <c r="B413" s="640" t="s">
        <v>5</v>
      </c>
      <c r="C413" s="633" t="s">
        <v>27</v>
      </c>
      <c r="D413" s="633">
        <v>96240</v>
      </c>
      <c r="E413" s="482" t="s">
        <v>512</v>
      </c>
    </row>
    <row r="414" spans="1:5" x14ac:dyDescent="0.25">
      <c r="A414" s="640" t="s">
        <v>562</v>
      </c>
      <c r="B414" s="640" t="s">
        <v>6</v>
      </c>
      <c r="C414" s="633" t="s">
        <v>27</v>
      </c>
      <c r="D414" s="633">
        <v>74060</v>
      </c>
      <c r="E414" s="482" t="s">
        <v>512</v>
      </c>
    </row>
    <row r="415" spans="1:5" x14ac:dyDescent="0.25">
      <c r="A415" s="640" t="s">
        <v>562</v>
      </c>
      <c r="B415" s="640" t="s">
        <v>7</v>
      </c>
      <c r="C415" s="633" t="s">
        <v>27</v>
      </c>
      <c r="D415" s="633">
        <v>39729</v>
      </c>
      <c r="E415" s="482" t="s">
        <v>512</v>
      </c>
    </row>
    <row r="416" spans="1:5" x14ac:dyDescent="0.25">
      <c r="A416" s="640" t="s">
        <v>562</v>
      </c>
      <c r="B416" s="640" t="s">
        <v>8</v>
      </c>
      <c r="C416" s="633" t="s">
        <v>27</v>
      </c>
      <c r="D416" s="633">
        <v>18377</v>
      </c>
      <c r="E416" s="482" t="s">
        <v>512</v>
      </c>
    </row>
    <row r="417" spans="1:5" x14ac:dyDescent="0.25">
      <c r="A417" s="640" t="s">
        <v>562</v>
      </c>
      <c r="B417" s="640" t="s">
        <v>9</v>
      </c>
      <c r="C417" s="633" t="s">
        <v>27</v>
      </c>
      <c r="D417" s="633">
        <v>15220</v>
      </c>
      <c r="E417" s="482" t="s">
        <v>512</v>
      </c>
    </row>
    <row r="418" spans="1:5" s="633" customFormat="1" x14ac:dyDescent="0.25">
      <c r="A418" s="640" t="s">
        <v>592</v>
      </c>
      <c r="B418" s="640" t="s">
        <v>249</v>
      </c>
      <c r="C418" s="633" t="s">
        <v>26</v>
      </c>
      <c r="D418" s="633">
        <v>118236</v>
      </c>
    </row>
    <row r="419" spans="1:5" s="633" customFormat="1" x14ac:dyDescent="0.25">
      <c r="A419" s="640" t="s">
        <v>592</v>
      </c>
      <c r="B419" s="640" t="s">
        <v>244</v>
      </c>
      <c r="C419" s="633" t="s">
        <v>26</v>
      </c>
      <c r="D419" s="633">
        <v>245027</v>
      </c>
    </row>
    <row r="420" spans="1:5" s="633" customFormat="1" x14ac:dyDescent="0.25">
      <c r="A420" s="640" t="s">
        <v>592</v>
      </c>
      <c r="B420" s="640" t="s">
        <v>4</v>
      </c>
      <c r="C420" s="633" t="s">
        <v>26</v>
      </c>
      <c r="D420" s="633">
        <v>392835</v>
      </c>
    </row>
    <row r="421" spans="1:5" s="633" customFormat="1" x14ac:dyDescent="0.25">
      <c r="A421" s="640" t="s">
        <v>592</v>
      </c>
      <c r="B421" s="640" t="s">
        <v>5</v>
      </c>
      <c r="C421" s="633" t="s">
        <v>26</v>
      </c>
      <c r="D421" s="633">
        <v>396611</v>
      </c>
    </row>
    <row r="422" spans="1:5" s="633" customFormat="1" x14ac:dyDescent="0.25">
      <c r="A422" s="640" t="s">
        <v>592</v>
      </c>
      <c r="B422" s="640" t="s">
        <v>6</v>
      </c>
      <c r="C422" s="633" t="s">
        <v>26</v>
      </c>
      <c r="D422" s="633">
        <v>389139</v>
      </c>
    </row>
    <row r="423" spans="1:5" s="633" customFormat="1" x14ac:dyDescent="0.25">
      <c r="A423" s="640" t="s">
        <v>592</v>
      </c>
      <c r="B423" s="640" t="s">
        <v>7</v>
      </c>
      <c r="C423" s="633" t="s">
        <v>26</v>
      </c>
      <c r="D423" s="633">
        <v>225851</v>
      </c>
    </row>
    <row r="424" spans="1:5" s="633" customFormat="1" x14ac:dyDescent="0.25">
      <c r="A424" s="640" t="s">
        <v>592</v>
      </c>
      <c r="B424" s="640" t="s">
        <v>8</v>
      </c>
      <c r="C424" s="633" t="s">
        <v>26</v>
      </c>
      <c r="D424" s="633">
        <v>114170</v>
      </c>
    </row>
    <row r="425" spans="1:5" s="633" customFormat="1" x14ac:dyDescent="0.25">
      <c r="A425" s="640" t="s">
        <v>592</v>
      </c>
      <c r="B425" s="640" t="s">
        <v>9</v>
      </c>
      <c r="C425" s="633" t="s">
        <v>26</v>
      </c>
      <c r="D425" s="633">
        <v>60404</v>
      </c>
    </row>
    <row r="426" spans="1:5" s="633" customFormat="1" x14ac:dyDescent="0.25">
      <c r="A426" s="640" t="s">
        <v>592</v>
      </c>
      <c r="B426" s="640" t="s">
        <v>249</v>
      </c>
      <c r="C426" s="633" t="s">
        <v>27</v>
      </c>
      <c r="D426" s="633">
        <v>112199</v>
      </c>
    </row>
    <row r="427" spans="1:5" s="633" customFormat="1" x14ac:dyDescent="0.25">
      <c r="A427" s="640" t="s">
        <v>592</v>
      </c>
      <c r="B427" s="640" t="s">
        <v>244</v>
      </c>
      <c r="C427" s="633" t="s">
        <v>27</v>
      </c>
      <c r="D427" s="633">
        <v>234979</v>
      </c>
    </row>
    <row r="428" spans="1:5" s="633" customFormat="1" x14ac:dyDescent="0.25">
      <c r="A428" s="640" t="s">
        <v>592</v>
      </c>
      <c r="B428" s="640" t="s">
        <v>4</v>
      </c>
      <c r="C428" s="633" t="s">
        <v>27</v>
      </c>
      <c r="D428" s="633">
        <v>380748</v>
      </c>
    </row>
    <row r="429" spans="1:5" s="633" customFormat="1" x14ac:dyDescent="0.25">
      <c r="A429" s="640" t="s">
        <v>592</v>
      </c>
      <c r="B429" s="640" t="s">
        <v>5</v>
      </c>
      <c r="C429" s="633" t="s">
        <v>27</v>
      </c>
      <c r="D429" s="633">
        <v>389157</v>
      </c>
    </row>
    <row r="430" spans="1:5" s="633" customFormat="1" x14ac:dyDescent="0.25">
      <c r="A430" s="640" t="s">
        <v>592</v>
      </c>
      <c r="B430" s="640" t="s">
        <v>6</v>
      </c>
      <c r="C430" s="633" t="s">
        <v>27</v>
      </c>
      <c r="D430" s="633">
        <v>402321</v>
      </c>
    </row>
    <row r="431" spans="1:5" s="633" customFormat="1" x14ac:dyDescent="0.25">
      <c r="A431" s="640" t="s">
        <v>592</v>
      </c>
      <c r="B431" s="640" t="s">
        <v>7</v>
      </c>
      <c r="C431" s="633" t="s">
        <v>27</v>
      </c>
      <c r="D431" s="633">
        <v>241911</v>
      </c>
    </row>
    <row r="432" spans="1:5" s="633" customFormat="1" x14ac:dyDescent="0.25">
      <c r="A432" s="640" t="s">
        <v>592</v>
      </c>
      <c r="B432" s="640" t="s">
        <v>8</v>
      </c>
      <c r="C432" s="633" t="s">
        <v>27</v>
      </c>
      <c r="D432" s="633">
        <v>129189</v>
      </c>
    </row>
    <row r="433" spans="1:5" s="633" customFormat="1" x14ac:dyDescent="0.25">
      <c r="A433" s="640" t="s">
        <v>592</v>
      </c>
      <c r="B433" s="640" t="s">
        <v>9</v>
      </c>
      <c r="C433" s="633" t="s">
        <v>27</v>
      </c>
      <c r="D433" s="633">
        <v>95253</v>
      </c>
    </row>
    <row r="434" spans="1:5" x14ac:dyDescent="0.25">
      <c r="A434" s="640" t="s">
        <v>563</v>
      </c>
      <c r="B434" s="640" t="s">
        <v>249</v>
      </c>
      <c r="C434" s="633" t="s">
        <v>26</v>
      </c>
      <c r="D434" s="633">
        <v>2194</v>
      </c>
      <c r="E434" s="482" t="s">
        <v>512</v>
      </c>
    </row>
    <row r="435" spans="1:5" x14ac:dyDescent="0.25">
      <c r="A435" s="640" t="s">
        <v>563</v>
      </c>
      <c r="B435" s="640" t="s">
        <v>244</v>
      </c>
      <c r="C435" s="633" t="s">
        <v>26</v>
      </c>
      <c r="D435" s="633">
        <v>5201</v>
      </c>
      <c r="E435" s="482" t="s">
        <v>512</v>
      </c>
    </row>
    <row r="436" spans="1:5" x14ac:dyDescent="0.25">
      <c r="A436" s="640" t="s">
        <v>563</v>
      </c>
      <c r="B436" s="640" t="s">
        <v>4</v>
      </c>
      <c r="C436" s="633" t="s">
        <v>26</v>
      </c>
      <c r="D436" s="633">
        <v>8466</v>
      </c>
      <c r="E436" s="482" t="s">
        <v>512</v>
      </c>
    </row>
    <row r="437" spans="1:5" x14ac:dyDescent="0.25">
      <c r="A437" s="640" t="s">
        <v>563</v>
      </c>
      <c r="B437" s="640" t="s">
        <v>5</v>
      </c>
      <c r="C437" s="633" t="s">
        <v>26</v>
      </c>
      <c r="D437" s="633">
        <v>6344</v>
      </c>
      <c r="E437" s="482" t="s">
        <v>512</v>
      </c>
    </row>
    <row r="438" spans="1:5" x14ac:dyDescent="0.25">
      <c r="A438" s="640" t="s">
        <v>563</v>
      </c>
      <c r="B438" s="640" t="s">
        <v>6</v>
      </c>
      <c r="C438" s="633" t="s">
        <v>26</v>
      </c>
      <c r="D438" s="633">
        <v>6780</v>
      </c>
      <c r="E438" s="482" t="s">
        <v>512</v>
      </c>
    </row>
    <row r="439" spans="1:5" x14ac:dyDescent="0.25">
      <c r="A439" s="640" t="s">
        <v>563</v>
      </c>
      <c r="B439" s="640" t="s">
        <v>7</v>
      </c>
      <c r="C439" s="633" t="s">
        <v>26</v>
      </c>
      <c r="D439" s="633">
        <v>4299</v>
      </c>
      <c r="E439" s="482" t="s">
        <v>512</v>
      </c>
    </row>
    <row r="440" spans="1:5" x14ac:dyDescent="0.25">
      <c r="A440" s="640" t="s">
        <v>563</v>
      </c>
      <c r="B440" s="640" t="s">
        <v>8</v>
      </c>
      <c r="C440" s="633" t="s">
        <v>26</v>
      </c>
      <c r="D440" s="633">
        <v>2364</v>
      </c>
      <c r="E440" s="482" t="s">
        <v>512</v>
      </c>
    </row>
    <row r="441" spans="1:5" x14ac:dyDescent="0.25">
      <c r="A441" s="640" t="s">
        <v>563</v>
      </c>
      <c r="B441" s="640" t="s">
        <v>9</v>
      </c>
      <c r="C441" s="633" t="s">
        <v>26</v>
      </c>
      <c r="D441" s="633">
        <v>1376</v>
      </c>
      <c r="E441" s="482" t="s">
        <v>512</v>
      </c>
    </row>
    <row r="442" spans="1:5" x14ac:dyDescent="0.25">
      <c r="A442" s="640" t="s">
        <v>563</v>
      </c>
      <c r="B442" s="640" t="s">
        <v>249</v>
      </c>
      <c r="C442" s="633" t="s">
        <v>27</v>
      </c>
      <c r="D442" s="633">
        <v>2344</v>
      </c>
      <c r="E442" s="482" t="s">
        <v>512</v>
      </c>
    </row>
    <row r="443" spans="1:5" x14ac:dyDescent="0.25">
      <c r="A443" s="640" t="s">
        <v>563</v>
      </c>
      <c r="B443" s="640" t="s">
        <v>244</v>
      </c>
      <c r="C443" s="633" t="s">
        <v>27</v>
      </c>
      <c r="D443" s="633">
        <v>5039</v>
      </c>
      <c r="E443" s="482" t="s">
        <v>512</v>
      </c>
    </row>
    <row r="444" spans="1:5" x14ac:dyDescent="0.25">
      <c r="A444" s="640" t="s">
        <v>563</v>
      </c>
      <c r="B444" s="640" t="s">
        <v>4</v>
      </c>
      <c r="C444" s="633" t="s">
        <v>27</v>
      </c>
      <c r="D444" s="633">
        <v>8847</v>
      </c>
      <c r="E444" s="482" t="s">
        <v>512</v>
      </c>
    </row>
    <row r="445" spans="1:5" x14ac:dyDescent="0.25">
      <c r="A445" s="640" t="s">
        <v>563</v>
      </c>
      <c r="B445" s="640" t="s">
        <v>5</v>
      </c>
      <c r="C445" s="633" t="s">
        <v>27</v>
      </c>
      <c r="D445" s="633">
        <v>6676</v>
      </c>
      <c r="E445" s="482" t="s">
        <v>512</v>
      </c>
    </row>
    <row r="446" spans="1:5" x14ac:dyDescent="0.25">
      <c r="A446" s="640" t="s">
        <v>563</v>
      </c>
      <c r="B446" s="640" t="s">
        <v>6</v>
      </c>
      <c r="C446" s="633" t="s">
        <v>27</v>
      </c>
      <c r="D446" s="633">
        <v>7376</v>
      </c>
      <c r="E446" s="482" t="s">
        <v>512</v>
      </c>
    </row>
    <row r="447" spans="1:5" x14ac:dyDescent="0.25">
      <c r="A447" s="640" t="s">
        <v>563</v>
      </c>
      <c r="B447" s="640" t="s">
        <v>7</v>
      </c>
      <c r="C447" s="633" t="s">
        <v>27</v>
      </c>
      <c r="D447" s="633">
        <v>4684</v>
      </c>
      <c r="E447" s="482" t="s">
        <v>512</v>
      </c>
    </row>
    <row r="448" spans="1:5" x14ac:dyDescent="0.25">
      <c r="A448" s="640" t="s">
        <v>563</v>
      </c>
      <c r="B448" s="640" t="s">
        <v>8</v>
      </c>
      <c r="C448" s="633" t="s">
        <v>27</v>
      </c>
      <c r="D448" s="633">
        <v>2731</v>
      </c>
      <c r="E448" s="482" t="s">
        <v>512</v>
      </c>
    </row>
    <row r="449" spans="1:5" x14ac:dyDescent="0.25">
      <c r="A449" s="640" t="s">
        <v>563</v>
      </c>
      <c r="B449" s="640" t="s">
        <v>9</v>
      </c>
      <c r="C449" s="633" t="s">
        <v>27</v>
      </c>
      <c r="D449" s="633">
        <v>1973</v>
      </c>
      <c r="E449" s="482" t="s">
        <v>512</v>
      </c>
    </row>
    <row r="450" spans="1:5" x14ac:dyDescent="0.25">
      <c r="A450" s="640" t="s">
        <v>564</v>
      </c>
      <c r="B450" s="640" t="s">
        <v>249</v>
      </c>
      <c r="C450" s="633" t="s">
        <v>26</v>
      </c>
      <c r="D450" s="633">
        <v>25</v>
      </c>
      <c r="E450" s="482" t="s">
        <v>584</v>
      </c>
    </row>
    <row r="451" spans="1:5" x14ac:dyDescent="0.25">
      <c r="A451" s="640" t="s">
        <v>564</v>
      </c>
      <c r="B451" s="640" t="s">
        <v>244</v>
      </c>
      <c r="C451" s="633" t="s">
        <v>26</v>
      </c>
      <c r="D451" s="633">
        <v>100</v>
      </c>
      <c r="E451" s="482" t="s">
        <v>584</v>
      </c>
    </row>
    <row r="452" spans="1:5" x14ac:dyDescent="0.25">
      <c r="A452" s="640" t="s">
        <v>564</v>
      </c>
      <c r="B452" s="640" t="s">
        <v>4</v>
      </c>
      <c r="C452" s="633" t="s">
        <v>26</v>
      </c>
      <c r="D452" s="633">
        <v>120</v>
      </c>
      <c r="E452" s="482" t="s">
        <v>584</v>
      </c>
    </row>
    <row r="453" spans="1:5" x14ac:dyDescent="0.25">
      <c r="A453" s="640" t="s">
        <v>564</v>
      </c>
      <c r="B453" s="640" t="s">
        <v>5</v>
      </c>
      <c r="C453" s="633" t="s">
        <v>26</v>
      </c>
      <c r="D453" s="633">
        <v>136</v>
      </c>
      <c r="E453" s="482" t="s">
        <v>584</v>
      </c>
    </row>
    <row r="454" spans="1:5" x14ac:dyDescent="0.25">
      <c r="A454" s="640" t="s">
        <v>564</v>
      </c>
      <c r="B454" s="640" t="s">
        <v>6</v>
      </c>
      <c r="C454" s="633" t="s">
        <v>26</v>
      </c>
      <c r="D454" s="633">
        <v>197</v>
      </c>
      <c r="E454" s="482" t="s">
        <v>584</v>
      </c>
    </row>
    <row r="455" spans="1:5" x14ac:dyDescent="0.25">
      <c r="A455" s="640" t="s">
        <v>564</v>
      </c>
      <c r="B455" s="640" t="s">
        <v>7</v>
      </c>
      <c r="C455" s="633" t="s">
        <v>26</v>
      </c>
      <c r="D455" s="633">
        <v>133</v>
      </c>
      <c r="E455" s="482" t="s">
        <v>584</v>
      </c>
    </row>
    <row r="456" spans="1:5" x14ac:dyDescent="0.25">
      <c r="A456" s="640" t="s">
        <v>564</v>
      </c>
      <c r="B456" s="640" t="s">
        <v>8</v>
      </c>
      <c r="C456" s="633" t="s">
        <v>26</v>
      </c>
      <c r="D456" s="633">
        <v>84</v>
      </c>
      <c r="E456" s="482" t="s">
        <v>584</v>
      </c>
    </row>
    <row r="457" spans="1:5" x14ac:dyDescent="0.25">
      <c r="A457" s="640" t="s">
        <v>564</v>
      </c>
      <c r="B457" s="640" t="s">
        <v>9</v>
      </c>
      <c r="C457" s="633" t="s">
        <v>26</v>
      </c>
      <c r="D457" s="633">
        <v>60</v>
      </c>
      <c r="E457" s="482" t="s">
        <v>584</v>
      </c>
    </row>
    <row r="458" spans="1:5" x14ac:dyDescent="0.25">
      <c r="A458" s="640" t="s">
        <v>564</v>
      </c>
      <c r="B458" s="640" t="s">
        <v>249</v>
      </c>
      <c r="C458" s="633" t="s">
        <v>27</v>
      </c>
      <c r="D458" s="633">
        <v>39</v>
      </c>
      <c r="E458" s="482" t="s">
        <v>584</v>
      </c>
    </row>
    <row r="459" spans="1:5" x14ac:dyDescent="0.25">
      <c r="A459" s="640" t="s">
        <v>564</v>
      </c>
      <c r="B459" s="640" t="s">
        <v>244</v>
      </c>
      <c r="C459" s="633" t="s">
        <v>27</v>
      </c>
      <c r="D459" s="633">
        <v>99</v>
      </c>
      <c r="E459" s="482" t="s">
        <v>584</v>
      </c>
    </row>
    <row r="460" spans="1:5" x14ac:dyDescent="0.25">
      <c r="A460" s="640" t="s">
        <v>564</v>
      </c>
      <c r="B460" s="640" t="s">
        <v>4</v>
      </c>
      <c r="C460" s="633" t="s">
        <v>27</v>
      </c>
      <c r="D460" s="633">
        <v>134</v>
      </c>
      <c r="E460" s="482" t="s">
        <v>584</v>
      </c>
    </row>
    <row r="461" spans="1:5" x14ac:dyDescent="0.25">
      <c r="A461" s="640" t="s">
        <v>564</v>
      </c>
      <c r="B461" s="640" t="s">
        <v>5</v>
      </c>
      <c r="C461" s="633" t="s">
        <v>27</v>
      </c>
      <c r="D461" s="633">
        <v>110</v>
      </c>
      <c r="E461" s="482" t="s">
        <v>584</v>
      </c>
    </row>
    <row r="462" spans="1:5" x14ac:dyDescent="0.25">
      <c r="A462" s="640" t="s">
        <v>564</v>
      </c>
      <c r="B462" s="640" t="s">
        <v>6</v>
      </c>
      <c r="C462" s="633" t="s">
        <v>27</v>
      </c>
      <c r="D462" s="633">
        <v>207</v>
      </c>
      <c r="E462" s="482" t="s">
        <v>584</v>
      </c>
    </row>
    <row r="463" spans="1:5" x14ac:dyDescent="0.25">
      <c r="A463" s="640" t="s">
        <v>564</v>
      </c>
      <c r="B463" s="640" t="s">
        <v>7</v>
      </c>
      <c r="C463" s="633" t="s">
        <v>27</v>
      </c>
      <c r="D463" s="633">
        <v>119</v>
      </c>
      <c r="E463" s="482" t="s">
        <v>584</v>
      </c>
    </row>
    <row r="464" spans="1:5" x14ac:dyDescent="0.25">
      <c r="A464" s="640" t="s">
        <v>564</v>
      </c>
      <c r="B464" s="640" t="s">
        <v>8</v>
      </c>
      <c r="C464" s="633" t="s">
        <v>27</v>
      </c>
      <c r="D464" s="633">
        <v>90</v>
      </c>
      <c r="E464" s="482" t="s">
        <v>584</v>
      </c>
    </row>
    <row r="465" spans="1:5" x14ac:dyDescent="0.25">
      <c r="A465" s="640" t="s">
        <v>564</v>
      </c>
      <c r="B465" s="640" t="s">
        <v>9</v>
      </c>
      <c r="C465" s="633" t="s">
        <v>27</v>
      </c>
      <c r="D465" s="633">
        <v>58</v>
      </c>
      <c r="E465" s="482" t="s">
        <v>584</v>
      </c>
    </row>
    <row r="466" spans="1:5" x14ac:dyDescent="0.25">
      <c r="A466" s="640" t="s">
        <v>565</v>
      </c>
      <c r="B466" s="640" t="s">
        <v>249</v>
      </c>
      <c r="C466" s="633" t="s">
        <v>26</v>
      </c>
      <c r="D466" s="633">
        <v>744</v>
      </c>
      <c r="E466" s="482" t="s">
        <v>584</v>
      </c>
    </row>
    <row r="467" spans="1:5" x14ac:dyDescent="0.25">
      <c r="A467" s="640" t="s">
        <v>565</v>
      </c>
      <c r="B467" s="640" t="s">
        <v>244</v>
      </c>
      <c r="C467" s="633" t="s">
        <v>26</v>
      </c>
      <c r="D467" s="633">
        <v>1344</v>
      </c>
      <c r="E467" s="482" t="s">
        <v>584</v>
      </c>
    </row>
    <row r="468" spans="1:5" x14ac:dyDescent="0.25">
      <c r="A468" s="640" t="s">
        <v>565</v>
      </c>
      <c r="B468" s="640" t="s">
        <v>4</v>
      </c>
      <c r="C468" s="633" t="s">
        <v>26</v>
      </c>
      <c r="D468" s="633">
        <v>2078</v>
      </c>
      <c r="E468" s="482" t="s">
        <v>584</v>
      </c>
    </row>
    <row r="469" spans="1:5" x14ac:dyDescent="0.25">
      <c r="A469" s="640" t="s">
        <v>565</v>
      </c>
      <c r="B469" s="640" t="s">
        <v>5</v>
      </c>
      <c r="C469" s="633" t="s">
        <v>26</v>
      </c>
      <c r="D469" s="633">
        <v>1991</v>
      </c>
      <c r="E469" s="482" t="s">
        <v>584</v>
      </c>
    </row>
    <row r="470" spans="1:5" x14ac:dyDescent="0.25">
      <c r="A470" s="640" t="s">
        <v>565</v>
      </c>
      <c r="B470" s="640" t="s">
        <v>6</v>
      </c>
      <c r="C470" s="633" t="s">
        <v>26</v>
      </c>
      <c r="D470" s="633">
        <v>2686</v>
      </c>
      <c r="E470" s="482" t="s">
        <v>584</v>
      </c>
    </row>
    <row r="471" spans="1:5" x14ac:dyDescent="0.25">
      <c r="A471" s="640" t="s">
        <v>565</v>
      </c>
      <c r="B471" s="640" t="s">
        <v>7</v>
      </c>
      <c r="C471" s="633" t="s">
        <v>26</v>
      </c>
      <c r="D471" s="633">
        <v>2073</v>
      </c>
      <c r="E471" s="482" t="s">
        <v>584</v>
      </c>
    </row>
    <row r="472" spans="1:5" x14ac:dyDescent="0.25">
      <c r="A472" s="640" t="s">
        <v>565</v>
      </c>
      <c r="B472" s="640" t="s">
        <v>8</v>
      </c>
      <c r="C472" s="633" t="s">
        <v>26</v>
      </c>
      <c r="D472" s="633">
        <v>1235</v>
      </c>
      <c r="E472" s="482" t="s">
        <v>584</v>
      </c>
    </row>
    <row r="473" spans="1:5" x14ac:dyDescent="0.25">
      <c r="A473" s="640" t="s">
        <v>565</v>
      </c>
      <c r="B473" s="640" t="s">
        <v>9</v>
      </c>
      <c r="C473" s="633" t="s">
        <v>26</v>
      </c>
      <c r="D473" s="633">
        <v>564</v>
      </c>
      <c r="E473" s="482" t="s">
        <v>584</v>
      </c>
    </row>
    <row r="474" spans="1:5" x14ac:dyDescent="0.25">
      <c r="A474" s="640" t="s">
        <v>565</v>
      </c>
      <c r="B474" s="640" t="s">
        <v>249</v>
      </c>
      <c r="C474" s="633" t="s">
        <v>27</v>
      </c>
      <c r="D474" s="633">
        <v>654</v>
      </c>
      <c r="E474" s="482" t="s">
        <v>584</v>
      </c>
    </row>
    <row r="475" spans="1:5" x14ac:dyDescent="0.25">
      <c r="A475" s="640" t="s">
        <v>565</v>
      </c>
      <c r="B475" s="640" t="s">
        <v>244</v>
      </c>
      <c r="C475" s="633" t="s">
        <v>27</v>
      </c>
      <c r="D475" s="633">
        <v>1286</v>
      </c>
      <c r="E475" s="482" t="s">
        <v>584</v>
      </c>
    </row>
    <row r="476" spans="1:5" x14ac:dyDescent="0.25">
      <c r="A476" s="640" t="s">
        <v>565</v>
      </c>
      <c r="B476" s="640" t="s">
        <v>4</v>
      </c>
      <c r="C476" s="633" t="s">
        <v>27</v>
      </c>
      <c r="D476" s="633">
        <v>1776</v>
      </c>
      <c r="E476" s="482" t="s">
        <v>584</v>
      </c>
    </row>
    <row r="477" spans="1:5" x14ac:dyDescent="0.25">
      <c r="A477" s="640" t="s">
        <v>565</v>
      </c>
      <c r="B477" s="640" t="s">
        <v>5</v>
      </c>
      <c r="C477" s="633" t="s">
        <v>27</v>
      </c>
      <c r="D477" s="633">
        <v>1921</v>
      </c>
      <c r="E477" s="482" t="s">
        <v>584</v>
      </c>
    </row>
    <row r="478" spans="1:5" x14ac:dyDescent="0.25">
      <c r="A478" s="640" t="s">
        <v>565</v>
      </c>
      <c r="B478" s="640" t="s">
        <v>6</v>
      </c>
      <c r="C478" s="633" t="s">
        <v>27</v>
      </c>
      <c r="D478" s="633">
        <v>2787</v>
      </c>
      <c r="E478" s="482" t="s">
        <v>584</v>
      </c>
    </row>
    <row r="479" spans="1:5" x14ac:dyDescent="0.25">
      <c r="A479" s="640" t="s">
        <v>565</v>
      </c>
      <c r="B479" s="640" t="s">
        <v>7</v>
      </c>
      <c r="C479" s="633" t="s">
        <v>27</v>
      </c>
      <c r="D479" s="633">
        <v>2240</v>
      </c>
      <c r="E479" s="482" t="s">
        <v>584</v>
      </c>
    </row>
    <row r="480" spans="1:5" x14ac:dyDescent="0.25">
      <c r="A480" s="640" t="s">
        <v>565</v>
      </c>
      <c r="B480" s="640" t="s">
        <v>8</v>
      </c>
      <c r="C480" s="633" t="s">
        <v>27</v>
      </c>
      <c r="D480" s="633">
        <v>1216</v>
      </c>
      <c r="E480" s="482" t="s">
        <v>584</v>
      </c>
    </row>
    <row r="481" spans="1:5" x14ac:dyDescent="0.25">
      <c r="A481" s="640" t="s">
        <v>565</v>
      </c>
      <c r="B481" s="640" t="s">
        <v>9</v>
      </c>
      <c r="C481" s="633" t="s">
        <v>27</v>
      </c>
      <c r="D481" s="633">
        <v>765</v>
      </c>
      <c r="E481" s="482" t="s">
        <v>584</v>
      </c>
    </row>
    <row r="482" spans="1:5" x14ac:dyDescent="0.25">
      <c r="A482" s="640" t="s">
        <v>566</v>
      </c>
      <c r="B482" s="640" t="s">
        <v>249</v>
      </c>
      <c r="C482" s="633" t="s">
        <v>26</v>
      </c>
      <c r="D482" s="633">
        <v>2890</v>
      </c>
      <c r="E482" s="482" t="s">
        <v>584</v>
      </c>
    </row>
    <row r="483" spans="1:5" x14ac:dyDescent="0.25">
      <c r="A483" s="640" t="s">
        <v>566</v>
      </c>
      <c r="B483" s="640" t="s">
        <v>244</v>
      </c>
      <c r="C483" s="633" t="s">
        <v>26</v>
      </c>
      <c r="D483" s="633">
        <v>5649</v>
      </c>
      <c r="E483" s="482" t="s">
        <v>584</v>
      </c>
    </row>
    <row r="484" spans="1:5" x14ac:dyDescent="0.25">
      <c r="A484" s="640" t="s">
        <v>566</v>
      </c>
      <c r="B484" s="640" t="s">
        <v>4</v>
      </c>
      <c r="C484" s="633" t="s">
        <v>26</v>
      </c>
      <c r="D484" s="633">
        <v>8709</v>
      </c>
      <c r="E484" s="482" t="s">
        <v>584</v>
      </c>
    </row>
    <row r="485" spans="1:5" x14ac:dyDescent="0.25">
      <c r="A485" s="640" t="s">
        <v>566</v>
      </c>
      <c r="B485" s="640" t="s">
        <v>5</v>
      </c>
      <c r="C485" s="633" t="s">
        <v>26</v>
      </c>
      <c r="D485" s="633">
        <v>8031</v>
      </c>
      <c r="E485" s="482" t="s">
        <v>584</v>
      </c>
    </row>
    <row r="486" spans="1:5" x14ac:dyDescent="0.25">
      <c r="A486" s="640" t="s">
        <v>566</v>
      </c>
      <c r="B486" s="640" t="s">
        <v>6</v>
      </c>
      <c r="C486" s="633" t="s">
        <v>26</v>
      </c>
      <c r="D486" s="633">
        <v>7675</v>
      </c>
      <c r="E486" s="482" t="s">
        <v>584</v>
      </c>
    </row>
    <row r="487" spans="1:5" x14ac:dyDescent="0.25">
      <c r="A487" s="640" t="s">
        <v>566</v>
      </c>
      <c r="B487" s="640" t="s">
        <v>7</v>
      </c>
      <c r="C487" s="633" t="s">
        <v>26</v>
      </c>
      <c r="D487" s="633">
        <v>3996</v>
      </c>
      <c r="E487" s="482" t="s">
        <v>584</v>
      </c>
    </row>
    <row r="488" spans="1:5" x14ac:dyDescent="0.25">
      <c r="A488" s="640" t="s">
        <v>566</v>
      </c>
      <c r="B488" s="640" t="s">
        <v>8</v>
      </c>
      <c r="C488" s="633" t="s">
        <v>26</v>
      </c>
      <c r="D488" s="633">
        <v>2092</v>
      </c>
      <c r="E488" s="482" t="s">
        <v>584</v>
      </c>
    </row>
    <row r="489" spans="1:5" x14ac:dyDescent="0.25">
      <c r="A489" s="640" t="s">
        <v>566</v>
      </c>
      <c r="B489" s="640" t="s">
        <v>9</v>
      </c>
      <c r="C489" s="633" t="s">
        <v>26</v>
      </c>
      <c r="D489" s="633">
        <v>1100</v>
      </c>
      <c r="E489" s="482" t="s">
        <v>584</v>
      </c>
    </row>
    <row r="490" spans="1:5" x14ac:dyDescent="0.25">
      <c r="A490" s="640" t="s">
        <v>566</v>
      </c>
      <c r="B490" s="640" t="s">
        <v>249</v>
      </c>
      <c r="C490" s="633" t="s">
        <v>27</v>
      </c>
      <c r="D490" s="633">
        <v>2661</v>
      </c>
      <c r="E490" s="482" t="s">
        <v>584</v>
      </c>
    </row>
    <row r="491" spans="1:5" x14ac:dyDescent="0.25">
      <c r="A491" s="640" t="s">
        <v>566</v>
      </c>
      <c r="B491" s="640" t="s">
        <v>244</v>
      </c>
      <c r="C491" s="633" t="s">
        <v>27</v>
      </c>
      <c r="D491" s="633">
        <v>5526</v>
      </c>
      <c r="E491" s="482" t="s">
        <v>584</v>
      </c>
    </row>
    <row r="492" spans="1:5" x14ac:dyDescent="0.25">
      <c r="A492" s="640" t="s">
        <v>566</v>
      </c>
      <c r="B492" s="640" t="s">
        <v>4</v>
      </c>
      <c r="C492" s="633" t="s">
        <v>27</v>
      </c>
      <c r="D492" s="633">
        <v>7015</v>
      </c>
      <c r="E492" s="482" t="s">
        <v>584</v>
      </c>
    </row>
    <row r="493" spans="1:5" x14ac:dyDescent="0.25">
      <c r="A493" s="640" t="s">
        <v>566</v>
      </c>
      <c r="B493" s="640" t="s">
        <v>5</v>
      </c>
      <c r="C493" s="633" t="s">
        <v>27</v>
      </c>
      <c r="D493" s="633">
        <v>6746</v>
      </c>
      <c r="E493" s="482" t="s">
        <v>584</v>
      </c>
    </row>
    <row r="494" spans="1:5" x14ac:dyDescent="0.25">
      <c r="A494" s="640" t="s">
        <v>566</v>
      </c>
      <c r="B494" s="640" t="s">
        <v>6</v>
      </c>
      <c r="C494" s="633" t="s">
        <v>27</v>
      </c>
      <c r="D494" s="633">
        <v>7046</v>
      </c>
      <c r="E494" s="482" t="s">
        <v>584</v>
      </c>
    </row>
    <row r="495" spans="1:5" x14ac:dyDescent="0.25">
      <c r="A495" s="640" t="s">
        <v>566</v>
      </c>
      <c r="B495" s="640" t="s">
        <v>7</v>
      </c>
      <c r="C495" s="633" t="s">
        <v>27</v>
      </c>
      <c r="D495" s="633">
        <v>3912</v>
      </c>
      <c r="E495" s="482" t="s">
        <v>584</v>
      </c>
    </row>
    <row r="496" spans="1:5" x14ac:dyDescent="0.25">
      <c r="A496" s="640" t="s">
        <v>566</v>
      </c>
      <c r="B496" s="640" t="s">
        <v>8</v>
      </c>
      <c r="C496" s="633" t="s">
        <v>27</v>
      </c>
      <c r="D496" s="633">
        <v>2205</v>
      </c>
      <c r="E496" s="482" t="s">
        <v>584</v>
      </c>
    </row>
    <row r="497" spans="1:5" x14ac:dyDescent="0.25">
      <c r="A497" s="640" t="s">
        <v>566</v>
      </c>
      <c r="B497" s="640" t="s">
        <v>9</v>
      </c>
      <c r="C497" s="633" t="s">
        <v>27</v>
      </c>
      <c r="D497" s="633">
        <v>1592</v>
      </c>
      <c r="E497" s="482" t="s">
        <v>584</v>
      </c>
    </row>
    <row r="498" spans="1:5" x14ac:dyDescent="0.25">
      <c r="A498" s="640" t="s">
        <v>567</v>
      </c>
      <c r="B498" s="640" t="s">
        <v>249</v>
      </c>
      <c r="C498" s="633" t="s">
        <v>26</v>
      </c>
      <c r="D498" s="633">
        <v>768</v>
      </c>
      <c r="E498" s="482" t="s">
        <v>584</v>
      </c>
    </row>
    <row r="499" spans="1:5" x14ac:dyDescent="0.25">
      <c r="A499" s="640" t="s">
        <v>567</v>
      </c>
      <c r="B499" s="640" t="s">
        <v>244</v>
      </c>
      <c r="C499" s="633" t="s">
        <v>26</v>
      </c>
      <c r="D499" s="633">
        <v>1618</v>
      </c>
      <c r="E499" s="482" t="s">
        <v>584</v>
      </c>
    </row>
    <row r="500" spans="1:5" x14ac:dyDescent="0.25">
      <c r="A500" s="640" t="s">
        <v>567</v>
      </c>
      <c r="B500" s="640" t="s">
        <v>4</v>
      </c>
      <c r="C500" s="633" t="s">
        <v>26</v>
      </c>
      <c r="D500" s="633">
        <v>2695</v>
      </c>
      <c r="E500" s="482" t="s">
        <v>584</v>
      </c>
    </row>
    <row r="501" spans="1:5" x14ac:dyDescent="0.25">
      <c r="A501" s="640" t="s">
        <v>567</v>
      </c>
      <c r="B501" s="640" t="s">
        <v>5</v>
      </c>
      <c r="C501" s="633" t="s">
        <v>26</v>
      </c>
      <c r="D501" s="633">
        <v>2041</v>
      </c>
      <c r="E501" s="482" t="s">
        <v>584</v>
      </c>
    </row>
    <row r="502" spans="1:5" x14ac:dyDescent="0.25">
      <c r="A502" s="640" t="s">
        <v>567</v>
      </c>
      <c r="B502" s="640" t="s">
        <v>6</v>
      </c>
      <c r="C502" s="633" t="s">
        <v>26</v>
      </c>
      <c r="D502" s="633">
        <v>2361</v>
      </c>
      <c r="E502" s="482" t="s">
        <v>584</v>
      </c>
    </row>
    <row r="503" spans="1:5" x14ac:dyDescent="0.25">
      <c r="A503" s="640" t="s">
        <v>567</v>
      </c>
      <c r="B503" s="640" t="s">
        <v>7</v>
      </c>
      <c r="C503" s="633" t="s">
        <v>26</v>
      </c>
      <c r="D503" s="633">
        <v>1663</v>
      </c>
      <c r="E503" s="482" t="s">
        <v>584</v>
      </c>
    </row>
    <row r="504" spans="1:5" x14ac:dyDescent="0.25">
      <c r="A504" s="640" t="s">
        <v>567</v>
      </c>
      <c r="B504" s="640" t="s">
        <v>8</v>
      </c>
      <c r="C504" s="633" t="s">
        <v>26</v>
      </c>
      <c r="D504" s="633">
        <v>916</v>
      </c>
      <c r="E504" s="482" t="s">
        <v>584</v>
      </c>
    </row>
    <row r="505" spans="1:5" x14ac:dyDescent="0.25">
      <c r="A505" s="640" t="s">
        <v>567</v>
      </c>
      <c r="B505" s="640" t="s">
        <v>9</v>
      </c>
      <c r="C505" s="633" t="s">
        <v>26</v>
      </c>
      <c r="D505" s="633">
        <v>467</v>
      </c>
      <c r="E505" s="482" t="s">
        <v>584</v>
      </c>
    </row>
    <row r="506" spans="1:5" x14ac:dyDescent="0.25">
      <c r="A506" s="640" t="s">
        <v>567</v>
      </c>
      <c r="B506" s="640" t="s">
        <v>249</v>
      </c>
      <c r="C506" s="633" t="s">
        <v>27</v>
      </c>
      <c r="D506" s="633">
        <v>801</v>
      </c>
      <c r="E506" s="482" t="s">
        <v>584</v>
      </c>
    </row>
    <row r="507" spans="1:5" x14ac:dyDescent="0.25">
      <c r="A507" s="640" t="s">
        <v>567</v>
      </c>
      <c r="B507" s="640" t="s">
        <v>244</v>
      </c>
      <c r="C507" s="633" t="s">
        <v>27</v>
      </c>
      <c r="D507" s="633">
        <v>1527</v>
      </c>
      <c r="E507" s="482" t="s">
        <v>584</v>
      </c>
    </row>
    <row r="508" spans="1:5" x14ac:dyDescent="0.25">
      <c r="A508" s="640" t="s">
        <v>567</v>
      </c>
      <c r="B508" s="640" t="s">
        <v>4</v>
      </c>
      <c r="C508" s="633" t="s">
        <v>27</v>
      </c>
      <c r="D508" s="633">
        <v>2746</v>
      </c>
      <c r="E508" s="482" t="s">
        <v>584</v>
      </c>
    </row>
    <row r="509" spans="1:5" x14ac:dyDescent="0.25">
      <c r="A509" s="640" t="s">
        <v>567</v>
      </c>
      <c r="B509" s="640" t="s">
        <v>5</v>
      </c>
      <c r="C509" s="633" t="s">
        <v>27</v>
      </c>
      <c r="D509" s="633">
        <v>2005</v>
      </c>
      <c r="E509" s="482" t="s">
        <v>584</v>
      </c>
    </row>
    <row r="510" spans="1:5" x14ac:dyDescent="0.25">
      <c r="A510" s="640" t="s">
        <v>567</v>
      </c>
      <c r="B510" s="640" t="s">
        <v>6</v>
      </c>
      <c r="C510" s="633" t="s">
        <v>27</v>
      </c>
      <c r="D510" s="633">
        <v>2540</v>
      </c>
      <c r="E510" s="482" t="s">
        <v>584</v>
      </c>
    </row>
    <row r="511" spans="1:5" x14ac:dyDescent="0.25">
      <c r="A511" s="640" t="s">
        <v>567</v>
      </c>
      <c r="B511" s="640" t="s">
        <v>7</v>
      </c>
      <c r="C511" s="633" t="s">
        <v>27</v>
      </c>
      <c r="D511" s="633">
        <v>1616</v>
      </c>
      <c r="E511" s="482" t="s">
        <v>584</v>
      </c>
    </row>
    <row r="512" spans="1:5" x14ac:dyDescent="0.25">
      <c r="A512" s="640" t="s">
        <v>567</v>
      </c>
      <c r="B512" s="640" t="s">
        <v>8</v>
      </c>
      <c r="C512" s="633" t="s">
        <v>27</v>
      </c>
      <c r="D512" s="633">
        <v>959</v>
      </c>
      <c r="E512" s="482" t="s">
        <v>584</v>
      </c>
    </row>
    <row r="513" spans="1:5" x14ac:dyDescent="0.25">
      <c r="A513" s="640" t="s">
        <v>567</v>
      </c>
      <c r="B513" s="640" t="s">
        <v>9</v>
      </c>
      <c r="C513" s="633" t="s">
        <v>27</v>
      </c>
      <c r="D513" s="633">
        <v>816</v>
      </c>
      <c r="E513" s="482" t="s">
        <v>584</v>
      </c>
    </row>
    <row r="514" spans="1:5" x14ac:dyDescent="0.25">
      <c r="A514" s="640" t="s">
        <v>568</v>
      </c>
      <c r="B514" s="640" t="s">
        <v>249</v>
      </c>
      <c r="C514" s="633" t="s">
        <v>26</v>
      </c>
      <c r="D514" s="633">
        <v>180</v>
      </c>
      <c r="E514" s="482" t="s">
        <v>584</v>
      </c>
    </row>
    <row r="515" spans="1:5" x14ac:dyDescent="0.25">
      <c r="A515" s="640" t="s">
        <v>568</v>
      </c>
      <c r="B515" s="640" t="s">
        <v>244</v>
      </c>
      <c r="C515" s="633" t="s">
        <v>26</v>
      </c>
      <c r="D515" s="633">
        <v>349</v>
      </c>
      <c r="E515" s="482" t="s">
        <v>584</v>
      </c>
    </row>
    <row r="516" spans="1:5" x14ac:dyDescent="0.25">
      <c r="A516" s="640" t="s">
        <v>568</v>
      </c>
      <c r="B516" s="640" t="s">
        <v>4</v>
      </c>
      <c r="C516" s="633" t="s">
        <v>26</v>
      </c>
      <c r="D516" s="633">
        <v>385</v>
      </c>
      <c r="E516" s="482" t="s">
        <v>584</v>
      </c>
    </row>
    <row r="517" spans="1:5" x14ac:dyDescent="0.25">
      <c r="A517" s="640" t="s">
        <v>568</v>
      </c>
      <c r="B517" s="640" t="s">
        <v>5</v>
      </c>
      <c r="C517" s="633" t="s">
        <v>26</v>
      </c>
      <c r="D517" s="633">
        <v>474</v>
      </c>
      <c r="E517" s="482" t="s">
        <v>584</v>
      </c>
    </row>
    <row r="518" spans="1:5" x14ac:dyDescent="0.25">
      <c r="A518" s="640" t="s">
        <v>568</v>
      </c>
      <c r="B518" s="640" t="s">
        <v>6</v>
      </c>
      <c r="C518" s="633" t="s">
        <v>26</v>
      </c>
      <c r="D518" s="633">
        <v>704</v>
      </c>
      <c r="E518" s="482" t="s">
        <v>584</v>
      </c>
    </row>
    <row r="519" spans="1:5" x14ac:dyDescent="0.25">
      <c r="A519" s="640" t="s">
        <v>568</v>
      </c>
      <c r="B519" s="640" t="s">
        <v>7</v>
      </c>
      <c r="C519" s="633" t="s">
        <v>26</v>
      </c>
      <c r="D519" s="633">
        <v>622</v>
      </c>
      <c r="E519" s="482" t="s">
        <v>584</v>
      </c>
    </row>
    <row r="520" spans="1:5" x14ac:dyDescent="0.25">
      <c r="A520" s="640" t="s">
        <v>568</v>
      </c>
      <c r="B520" s="640" t="s">
        <v>8</v>
      </c>
      <c r="C520" s="633" t="s">
        <v>26</v>
      </c>
      <c r="D520" s="633">
        <v>386</v>
      </c>
      <c r="E520" s="482" t="s">
        <v>584</v>
      </c>
    </row>
    <row r="521" spans="1:5" x14ac:dyDescent="0.25">
      <c r="A521" s="640" t="s">
        <v>568</v>
      </c>
      <c r="B521" s="640" t="s">
        <v>9</v>
      </c>
      <c r="C521" s="633" t="s">
        <v>26</v>
      </c>
      <c r="D521" s="633">
        <v>202</v>
      </c>
      <c r="E521" s="482" t="s">
        <v>584</v>
      </c>
    </row>
    <row r="522" spans="1:5" x14ac:dyDescent="0.25">
      <c r="A522" s="640" t="s">
        <v>568</v>
      </c>
      <c r="B522" s="640" t="s">
        <v>249</v>
      </c>
      <c r="C522" s="633" t="s">
        <v>27</v>
      </c>
      <c r="D522" s="633">
        <v>163</v>
      </c>
      <c r="E522" s="482" t="s">
        <v>584</v>
      </c>
    </row>
    <row r="523" spans="1:5" x14ac:dyDescent="0.25">
      <c r="A523" s="640" t="s">
        <v>568</v>
      </c>
      <c r="B523" s="640" t="s">
        <v>244</v>
      </c>
      <c r="C523" s="633" t="s">
        <v>27</v>
      </c>
      <c r="D523" s="633">
        <v>364</v>
      </c>
      <c r="E523" s="482" t="s">
        <v>584</v>
      </c>
    </row>
    <row r="524" spans="1:5" x14ac:dyDescent="0.25">
      <c r="A524" s="640" t="s">
        <v>568</v>
      </c>
      <c r="B524" s="640" t="s">
        <v>4</v>
      </c>
      <c r="C524" s="633" t="s">
        <v>27</v>
      </c>
      <c r="D524" s="633">
        <v>446</v>
      </c>
      <c r="E524" s="482" t="s">
        <v>584</v>
      </c>
    </row>
    <row r="525" spans="1:5" x14ac:dyDescent="0.25">
      <c r="A525" s="640" t="s">
        <v>568</v>
      </c>
      <c r="B525" s="640" t="s">
        <v>5</v>
      </c>
      <c r="C525" s="633" t="s">
        <v>27</v>
      </c>
      <c r="D525" s="633">
        <v>477</v>
      </c>
      <c r="E525" s="482" t="s">
        <v>584</v>
      </c>
    </row>
    <row r="526" spans="1:5" x14ac:dyDescent="0.25">
      <c r="A526" s="640" t="s">
        <v>568</v>
      </c>
      <c r="B526" s="640" t="s">
        <v>6</v>
      </c>
      <c r="C526" s="633" t="s">
        <v>27</v>
      </c>
      <c r="D526" s="633">
        <v>819</v>
      </c>
      <c r="E526" s="482" t="s">
        <v>584</v>
      </c>
    </row>
    <row r="527" spans="1:5" x14ac:dyDescent="0.25">
      <c r="A527" s="640" t="s">
        <v>568</v>
      </c>
      <c r="B527" s="640" t="s">
        <v>7</v>
      </c>
      <c r="C527" s="633" t="s">
        <v>27</v>
      </c>
      <c r="D527" s="633">
        <v>614</v>
      </c>
      <c r="E527" s="482" t="s">
        <v>584</v>
      </c>
    </row>
    <row r="528" spans="1:5" x14ac:dyDescent="0.25">
      <c r="A528" s="640" t="s">
        <v>568</v>
      </c>
      <c r="B528" s="640" t="s">
        <v>8</v>
      </c>
      <c r="C528" s="633" t="s">
        <v>27</v>
      </c>
      <c r="D528" s="633">
        <v>350</v>
      </c>
      <c r="E528" s="482" t="s">
        <v>584</v>
      </c>
    </row>
    <row r="529" spans="1:5" x14ac:dyDescent="0.25">
      <c r="A529" s="640" t="s">
        <v>568</v>
      </c>
      <c r="B529" s="640" t="s">
        <v>9</v>
      </c>
      <c r="C529" s="633" t="s">
        <v>27</v>
      </c>
      <c r="D529" s="633">
        <v>265</v>
      </c>
      <c r="E529" s="482" t="s">
        <v>584</v>
      </c>
    </row>
    <row r="530" spans="1:5" x14ac:dyDescent="0.25">
      <c r="A530" s="640" t="s">
        <v>569</v>
      </c>
      <c r="B530" s="640" t="s">
        <v>249</v>
      </c>
      <c r="C530" s="633" t="s">
        <v>26</v>
      </c>
      <c r="D530" s="633">
        <v>780</v>
      </c>
      <c r="E530" s="482" t="s">
        <v>584</v>
      </c>
    </row>
    <row r="531" spans="1:5" x14ac:dyDescent="0.25">
      <c r="A531" s="640" t="s">
        <v>569</v>
      </c>
      <c r="B531" s="640" t="s">
        <v>244</v>
      </c>
      <c r="C531" s="633" t="s">
        <v>26</v>
      </c>
      <c r="D531" s="633">
        <v>1606</v>
      </c>
      <c r="E531" s="482" t="s">
        <v>584</v>
      </c>
    </row>
    <row r="532" spans="1:5" x14ac:dyDescent="0.25">
      <c r="A532" s="640" t="s">
        <v>569</v>
      </c>
      <c r="B532" s="640" t="s">
        <v>4</v>
      </c>
      <c r="C532" s="633" t="s">
        <v>26</v>
      </c>
      <c r="D532" s="633">
        <v>2383</v>
      </c>
      <c r="E532" s="482" t="s">
        <v>584</v>
      </c>
    </row>
    <row r="533" spans="1:5" x14ac:dyDescent="0.25">
      <c r="A533" s="640" t="s">
        <v>569</v>
      </c>
      <c r="B533" s="640" t="s">
        <v>5</v>
      </c>
      <c r="C533" s="633" t="s">
        <v>26</v>
      </c>
      <c r="D533" s="633">
        <v>2138</v>
      </c>
      <c r="E533" s="482" t="s">
        <v>584</v>
      </c>
    </row>
    <row r="534" spans="1:5" x14ac:dyDescent="0.25">
      <c r="A534" s="640" t="s">
        <v>569</v>
      </c>
      <c r="B534" s="640" t="s">
        <v>6</v>
      </c>
      <c r="C534" s="633" t="s">
        <v>26</v>
      </c>
      <c r="D534" s="633">
        <v>2444</v>
      </c>
      <c r="E534" s="482" t="s">
        <v>584</v>
      </c>
    </row>
    <row r="535" spans="1:5" x14ac:dyDescent="0.25">
      <c r="A535" s="640" t="s">
        <v>569</v>
      </c>
      <c r="B535" s="640" t="s">
        <v>7</v>
      </c>
      <c r="C535" s="633" t="s">
        <v>26</v>
      </c>
      <c r="D535" s="633">
        <v>1808</v>
      </c>
      <c r="E535" s="482" t="s">
        <v>584</v>
      </c>
    </row>
    <row r="536" spans="1:5" x14ac:dyDescent="0.25">
      <c r="A536" s="640" t="s">
        <v>569</v>
      </c>
      <c r="B536" s="640" t="s">
        <v>8</v>
      </c>
      <c r="C536" s="633" t="s">
        <v>26</v>
      </c>
      <c r="D536" s="633">
        <v>953</v>
      </c>
      <c r="E536" s="482" t="s">
        <v>584</v>
      </c>
    </row>
    <row r="537" spans="1:5" x14ac:dyDescent="0.25">
      <c r="A537" s="640" t="s">
        <v>569</v>
      </c>
      <c r="B537" s="640" t="s">
        <v>9</v>
      </c>
      <c r="C537" s="633" t="s">
        <v>26</v>
      </c>
      <c r="D537" s="633">
        <v>510</v>
      </c>
      <c r="E537" s="482" t="s">
        <v>584</v>
      </c>
    </row>
    <row r="538" spans="1:5" x14ac:dyDescent="0.25">
      <c r="A538" s="640" t="s">
        <v>569</v>
      </c>
      <c r="B538" s="640" t="s">
        <v>249</v>
      </c>
      <c r="C538" s="633" t="s">
        <v>27</v>
      </c>
      <c r="D538" s="633">
        <v>759</v>
      </c>
      <c r="E538" s="482" t="s">
        <v>584</v>
      </c>
    </row>
    <row r="539" spans="1:5" x14ac:dyDescent="0.25">
      <c r="A539" s="640" t="s">
        <v>569</v>
      </c>
      <c r="B539" s="640" t="s">
        <v>244</v>
      </c>
      <c r="C539" s="633" t="s">
        <v>27</v>
      </c>
      <c r="D539" s="633">
        <v>1561</v>
      </c>
      <c r="E539" s="482" t="s">
        <v>584</v>
      </c>
    </row>
    <row r="540" spans="1:5" x14ac:dyDescent="0.25">
      <c r="A540" s="640" t="s">
        <v>569</v>
      </c>
      <c r="B540" s="640" t="s">
        <v>4</v>
      </c>
      <c r="C540" s="633" t="s">
        <v>27</v>
      </c>
      <c r="D540" s="633">
        <v>2253</v>
      </c>
      <c r="E540" s="482" t="s">
        <v>584</v>
      </c>
    </row>
    <row r="541" spans="1:5" x14ac:dyDescent="0.25">
      <c r="A541" s="640" t="s">
        <v>569</v>
      </c>
      <c r="B541" s="640" t="s">
        <v>5</v>
      </c>
      <c r="C541" s="633" t="s">
        <v>27</v>
      </c>
      <c r="D541" s="633">
        <v>2167</v>
      </c>
      <c r="E541" s="482" t="s">
        <v>584</v>
      </c>
    </row>
    <row r="542" spans="1:5" x14ac:dyDescent="0.25">
      <c r="A542" s="640" t="s">
        <v>569</v>
      </c>
      <c r="B542" s="640" t="s">
        <v>6</v>
      </c>
      <c r="C542" s="633" t="s">
        <v>27</v>
      </c>
      <c r="D542" s="633">
        <v>2585</v>
      </c>
      <c r="E542" s="482" t="s">
        <v>584</v>
      </c>
    </row>
    <row r="543" spans="1:5" x14ac:dyDescent="0.25">
      <c r="A543" s="640" t="s">
        <v>569</v>
      </c>
      <c r="B543" s="640" t="s">
        <v>7</v>
      </c>
      <c r="C543" s="633" t="s">
        <v>27</v>
      </c>
      <c r="D543" s="633">
        <v>1686</v>
      </c>
      <c r="E543" s="482" t="s">
        <v>584</v>
      </c>
    </row>
    <row r="544" spans="1:5" x14ac:dyDescent="0.25">
      <c r="A544" s="640" t="s">
        <v>569</v>
      </c>
      <c r="B544" s="640" t="s">
        <v>8</v>
      </c>
      <c r="C544" s="633" t="s">
        <v>27</v>
      </c>
      <c r="D544" s="633">
        <v>985</v>
      </c>
      <c r="E544" s="482" t="s">
        <v>584</v>
      </c>
    </row>
    <row r="545" spans="1:5" x14ac:dyDescent="0.25">
      <c r="A545" s="640" t="s">
        <v>569</v>
      </c>
      <c r="B545" s="640" t="s">
        <v>9</v>
      </c>
      <c r="C545" s="633" t="s">
        <v>27</v>
      </c>
      <c r="D545" s="633">
        <v>846</v>
      </c>
      <c r="E545" s="482" t="s">
        <v>584</v>
      </c>
    </row>
    <row r="546" spans="1:5" x14ac:dyDescent="0.25">
      <c r="A546" s="640" t="s">
        <v>570</v>
      </c>
      <c r="B546" s="640" t="s">
        <v>249</v>
      </c>
      <c r="C546" s="633" t="s">
        <v>26</v>
      </c>
      <c r="D546" s="633">
        <v>19087</v>
      </c>
      <c r="E546" s="482" t="s">
        <v>512</v>
      </c>
    </row>
    <row r="547" spans="1:5" x14ac:dyDescent="0.25">
      <c r="A547" s="640" t="s">
        <v>570</v>
      </c>
      <c r="B547" s="640" t="s">
        <v>244</v>
      </c>
      <c r="C547" s="633" t="s">
        <v>26</v>
      </c>
      <c r="D547" s="633">
        <v>39367</v>
      </c>
      <c r="E547" s="482" t="s">
        <v>512</v>
      </c>
    </row>
    <row r="548" spans="1:5" x14ac:dyDescent="0.25">
      <c r="A548" s="640" t="s">
        <v>570</v>
      </c>
      <c r="B548" s="640" t="s">
        <v>4</v>
      </c>
      <c r="C548" s="633" t="s">
        <v>26</v>
      </c>
      <c r="D548" s="633">
        <v>55036</v>
      </c>
      <c r="E548" s="482" t="s">
        <v>512</v>
      </c>
    </row>
    <row r="549" spans="1:5" x14ac:dyDescent="0.25">
      <c r="A549" s="640" t="s">
        <v>570</v>
      </c>
      <c r="B549" s="640" t="s">
        <v>5</v>
      </c>
      <c r="C549" s="633" t="s">
        <v>26</v>
      </c>
      <c r="D549" s="633">
        <v>64244</v>
      </c>
      <c r="E549" s="482" t="s">
        <v>512</v>
      </c>
    </row>
    <row r="550" spans="1:5" x14ac:dyDescent="0.25">
      <c r="A550" s="640" t="s">
        <v>570</v>
      </c>
      <c r="B550" s="640" t="s">
        <v>6</v>
      </c>
      <c r="C550" s="633" t="s">
        <v>26</v>
      </c>
      <c r="D550" s="633">
        <v>54813</v>
      </c>
      <c r="E550" s="482" t="s">
        <v>512</v>
      </c>
    </row>
    <row r="551" spans="1:5" x14ac:dyDescent="0.25">
      <c r="A551" s="640" t="s">
        <v>570</v>
      </c>
      <c r="B551" s="640" t="s">
        <v>7</v>
      </c>
      <c r="C551" s="633" t="s">
        <v>26</v>
      </c>
      <c r="D551" s="633">
        <v>24114</v>
      </c>
      <c r="E551" s="482" t="s">
        <v>512</v>
      </c>
    </row>
    <row r="552" spans="1:5" x14ac:dyDescent="0.25">
      <c r="A552" s="640" t="s">
        <v>570</v>
      </c>
      <c r="B552" s="640" t="s">
        <v>8</v>
      </c>
      <c r="C552" s="633" t="s">
        <v>26</v>
      </c>
      <c r="D552" s="633">
        <v>10725</v>
      </c>
      <c r="E552" s="482" t="s">
        <v>512</v>
      </c>
    </row>
    <row r="553" spans="1:5" x14ac:dyDescent="0.25">
      <c r="A553" s="640" t="s">
        <v>570</v>
      </c>
      <c r="B553" s="640" t="s">
        <v>9</v>
      </c>
      <c r="C553" s="633" t="s">
        <v>26</v>
      </c>
      <c r="D553" s="633">
        <v>6057</v>
      </c>
      <c r="E553" s="482" t="s">
        <v>512</v>
      </c>
    </row>
    <row r="554" spans="1:5" x14ac:dyDescent="0.25">
      <c r="A554" s="640" t="s">
        <v>570</v>
      </c>
      <c r="B554" s="640" t="s">
        <v>249</v>
      </c>
      <c r="C554" s="633" t="s">
        <v>27</v>
      </c>
      <c r="D554" s="633">
        <v>18197</v>
      </c>
      <c r="E554" s="482" t="s">
        <v>512</v>
      </c>
    </row>
    <row r="555" spans="1:5" x14ac:dyDescent="0.25">
      <c r="A555" s="640" t="s">
        <v>570</v>
      </c>
      <c r="B555" s="640" t="s">
        <v>244</v>
      </c>
      <c r="C555" s="633" t="s">
        <v>27</v>
      </c>
      <c r="D555" s="633">
        <v>37624</v>
      </c>
      <c r="E555" s="482" t="s">
        <v>512</v>
      </c>
    </row>
    <row r="556" spans="1:5" x14ac:dyDescent="0.25">
      <c r="A556" s="640" t="s">
        <v>570</v>
      </c>
      <c r="B556" s="640" t="s">
        <v>4</v>
      </c>
      <c r="C556" s="633" t="s">
        <v>27</v>
      </c>
      <c r="D556" s="633">
        <v>54235</v>
      </c>
      <c r="E556" s="482" t="s">
        <v>512</v>
      </c>
    </row>
    <row r="557" spans="1:5" x14ac:dyDescent="0.25">
      <c r="A557" s="640" t="s">
        <v>570</v>
      </c>
      <c r="B557" s="640" t="s">
        <v>5</v>
      </c>
      <c r="C557" s="633" t="s">
        <v>27</v>
      </c>
      <c r="D557" s="633">
        <v>63902</v>
      </c>
      <c r="E557" s="482" t="s">
        <v>512</v>
      </c>
    </row>
    <row r="558" spans="1:5" x14ac:dyDescent="0.25">
      <c r="A558" s="640" t="s">
        <v>570</v>
      </c>
      <c r="B558" s="640" t="s">
        <v>6</v>
      </c>
      <c r="C558" s="633" t="s">
        <v>27</v>
      </c>
      <c r="D558" s="633">
        <v>56370</v>
      </c>
      <c r="E558" s="482" t="s">
        <v>512</v>
      </c>
    </row>
    <row r="559" spans="1:5" x14ac:dyDescent="0.25">
      <c r="A559" s="640" t="s">
        <v>570</v>
      </c>
      <c r="B559" s="640" t="s">
        <v>7</v>
      </c>
      <c r="C559" s="633" t="s">
        <v>27</v>
      </c>
      <c r="D559" s="633">
        <v>27753</v>
      </c>
      <c r="E559" s="482" t="s">
        <v>512</v>
      </c>
    </row>
    <row r="560" spans="1:5" x14ac:dyDescent="0.25">
      <c r="A560" s="640" t="s">
        <v>570</v>
      </c>
      <c r="B560" s="640" t="s">
        <v>8</v>
      </c>
      <c r="C560" s="633" t="s">
        <v>27</v>
      </c>
      <c r="D560" s="633">
        <v>13534</v>
      </c>
      <c r="E560" s="482" t="s">
        <v>512</v>
      </c>
    </row>
    <row r="561" spans="1:5" x14ac:dyDescent="0.25">
      <c r="A561" s="640" t="s">
        <v>570</v>
      </c>
      <c r="B561" s="640" t="s">
        <v>9</v>
      </c>
      <c r="C561" s="633" t="s">
        <v>27</v>
      </c>
      <c r="D561" s="633">
        <v>10603</v>
      </c>
      <c r="E561" s="482" t="s">
        <v>512</v>
      </c>
    </row>
    <row r="562" spans="1:5" x14ac:dyDescent="0.25">
      <c r="A562" s="640" t="s">
        <v>571</v>
      </c>
      <c r="B562" s="640" t="s">
        <v>249</v>
      </c>
      <c r="C562" s="633" t="s">
        <v>26</v>
      </c>
      <c r="D562" s="633">
        <v>38</v>
      </c>
      <c r="E562" s="482" t="s">
        <v>584</v>
      </c>
    </row>
    <row r="563" spans="1:5" x14ac:dyDescent="0.25">
      <c r="A563" s="640" t="s">
        <v>571</v>
      </c>
      <c r="B563" s="640" t="s">
        <v>244</v>
      </c>
      <c r="C563" s="633" t="s">
        <v>26</v>
      </c>
      <c r="D563" s="633">
        <v>65</v>
      </c>
      <c r="E563" s="482" t="s">
        <v>584</v>
      </c>
    </row>
    <row r="564" spans="1:5" x14ac:dyDescent="0.25">
      <c r="A564" s="640" t="s">
        <v>571</v>
      </c>
      <c r="B564" s="640" t="s">
        <v>4</v>
      </c>
      <c r="C564" s="633" t="s">
        <v>26</v>
      </c>
      <c r="D564" s="633">
        <v>98</v>
      </c>
      <c r="E564" s="482" t="s">
        <v>584</v>
      </c>
    </row>
    <row r="565" spans="1:5" x14ac:dyDescent="0.25">
      <c r="A565" s="640" t="s">
        <v>571</v>
      </c>
      <c r="B565" s="640" t="s">
        <v>5</v>
      </c>
      <c r="C565" s="633" t="s">
        <v>26</v>
      </c>
      <c r="D565" s="633">
        <v>91</v>
      </c>
      <c r="E565" s="482" t="s">
        <v>584</v>
      </c>
    </row>
    <row r="566" spans="1:5" x14ac:dyDescent="0.25">
      <c r="A566" s="640" t="s">
        <v>571</v>
      </c>
      <c r="B566" s="640" t="s">
        <v>6</v>
      </c>
      <c r="C566" s="633" t="s">
        <v>26</v>
      </c>
      <c r="D566" s="633">
        <v>132</v>
      </c>
      <c r="E566" s="482" t="s">
        <v>584</v>
      </c>
    </row>
    <row r="567" spans="1:5" x14ac:dyDescent="0.25">
      <c r="A567" s="640" t="s">
        <v>571</v>
      </c>
      <c r="B567" s="640" t="s">
        <v>7</v>
      </c>
      <c r="C567" s="633" t="s">
        <v>26</v>
      </c>
      <c r="D567" s="633">
        <v>125</v>
      </c>
      <c r="E567" s="482" t="s">
        <v>584</v>
      </c>
    </row>
    <row r="568" spans="1:5" x14ac:dyDescent="0.25">
      <c r="A568" s="640" t="s">
        <v>571</v>
      </c>
      <c r="B568" s="640" t="s">
        <v>8</v>
      </c>
      <c r="C568" s="633" t="s">
        <v>26</v>
      </c>
      <c r="D568" s="633">
        <v>104</v>
      </c>
      <c r="E568" s="482" t="s">
        <v>584</v>
      </c>
    </row>
    <row r="569" spans="1:5" x14ac:dyDescent="0.25">
      <c r="A569" s="640" t="s">
        <v>571</v>
      </c>
      <c r="B569" s="640" t="s">
        <v>9</v>
      </c>
      <c r="C569" s="633" t="s">
        <v>26</v>
      </c>
      <c r="D569" s="633">
        <v>49</v>
      </c>
      <c r="E569" s="482" t="s">
        <v>584</v>
      </c>
    </row>
    <row r="570" spans="1:5" x14ac:dyDescent="0.25">
      <c r="A570" s="640" t="s">
        <v>571</v>
      </c>
      <c r="B570" s="640" t="s">
        <v>249</v>
      </c>
      <c r="C570" s="633" t="s">
        <v>27</v>
      </c>
      <c r="D570" s="633">
        <v>23</v>
      </c>
      <c r="E570" s="482" t="s">
        <v>584</v>
      </c>
    </row>
    <row r="571" spans="1:5" x14ac:dyDescent="0.25">
      <c r="A571" s="640" t="s">
        <v>571</v>
      </c>
      <c r="B571" s="640" t="s">
        <v>244</v>
      </c>
      <c r="C571" s="633" t="s">
        <v>27</v>
      </c>
      <c r="D571" s="633">
        <v>58</v>
      </c>
      <c r="E571" s="482" t="s">
        <v>584</v>
      </c>
    </row>
    <row r="572" spans="1:5" x14ac:dyDescent="0.25">
      <c r="A572" s="640" t="s">
        <v>571</v>
      </c>
      <c r="B572" s="640" t="s">
        <v>4</v>
      </c>
      <c r="C572" s="633" t="s">
        <v>27</v>
      </c>
      <c r="D572" s="633">
        <v>84</v>
      </c>
      <c r="E572" s="482" t="s">
        <v>584</v>
      </c>
    </row>
    <row r="573" spans="1:5" x14ac:dyDescent="0.25">
      <c r="A573" s="640" t="s">
        <v>571</v>
      </c>
      <c r="B573" s="640" t="s">
        <v>5</v>
      </c>
      <c r="C573" s="633" t="s">
        <v>27</v>
      </c>
      <c r="D573" s="633">
        <v>80</v>
      </c>
      <c r="E573" s="482" t="s">
        <v>584</v>
      </c>
    </row>
    <row r="574" spans="1:5" x14ac:dyDescent="0.25">
      <c r="A574" s="640" t="s">
        <v>571</v>
      </c>
      <c r="B574" s="640" t="s">
        <v>6</v>
      </c>
      <c r="C574" s="633" t="s">
        <v>27</v>
      </c>
      <c r="D574" s="633">
        <v>153</v>
      </c>
      <c r="E574" s="482" t="s">
        <v>584</v>
      </c>
    </row>
    <row r="575" spans="1:5" x14ac:dyDescent="0.25">
      <c r="A575" s="640" t="s">
        <v>571</v>
      </c>
      <c r="B575" s="640" t="s">
        <v>7</v>
      </c>
      <c r="C575" s="633" t="s">
        <v>27</v>
      </c>
      <c r="D575" s="633">
        <v>131</v>
      </c>
      <c r="E575" s="482" t="s">
        <v>584</v>
      </c>
    </row>
    <row r="576" spans="1:5" x14ac:dyDescent="0.25">
      <c r="A576" s="640" t="s">
        <v>571</v>
      </c>
      <c r="B576" s="640" t="s">
        <v>8</v>
      </c>
      <c r="C576" s="633" t="s">
        <v>27</v>
      </c>
      <c r="D576" s="633">
        <v>101</v>
      </c>
      <c r="E576" s="482" t="s">
        <v>584</v>
      </c>
    </row>
    <row r="577" spans="1:5" x14ac:dyDescent="0.25">
      <c r="A577" s="640" t="s">
        <v>571</v>
      </c>
      <c r="B577" s="640" t="s">
        <v>9</v>
      </c>
      <c r="C577" s="633" t="s">
        <v>27</v>
      </c>
      <c r="D577" s="633">
        <v>58</v>
      </c>
      <c r="E577" s="482" t="s">
        <v>584</v>
      </c>
    </row>
    <row r="578" spans="1:5" x14ac:dyDescent="0.25">
      <c r="A578" s="640" t="s">
        <v>572</v>
      </c>
      <c r="B578" s="640" t="s">
        <v>249</v>
      </c>
      <c r="C578" s="633" t="s">
        <v>26</v>
      </c>
      <c r="D578" s="633">
        <v>3011</v>
      </c>
      <c r="E578" s="482" t="s">
        <v>512</v>
      </c>
    </row>
    <row r="579" spans="1:5" x14ac:dyDescent="0.25">
      <c r="A579" s="640" t="s">
        <v>572</v>
      </c>
      <c r="B579" s="640" t="s">
        <v>244</v>
      </c>
      <c r="C579" s="633" t="s">
        <v>26</v>
      </c>
      <c r="D579" s="633">
        <v>7008</v>
      </c>
      <c r="E579" s="482" t="s">
        <v>512</v>
      </c>
    </row>
    <row r="580" spans="1:5" x14ac:dyDescent="0.25">
      <c r="A580" s="640" t="s">
        <v>572</v>
      </c>
      <c r="B580" s="640" t="s">
        <v>4</v>
      </c>
      <c r="C580" s="633" t="s">
        <v>26</v>
      </c>
      <c r="D580" s="633">
        <v>10587</v>
      </c>
      <c r="E580" s="482" t="s">
        <v>512</v>
      </c>
    </row>
    <row r="581" spans="1:5" x14ac:dyDescent="0.25">
      <c r="A581" s="640" t="s">
        <v>572</v>
      </c>
      <c r="B581" s="640" t="s">
        <v>5</v>
      </c>
      <c r="C581" s="633" t="s">
        <v>26</v>
      </c>
      <c r="D581" s="633">
        <v>9918</v>
      </c>
      <c r="E581" s="482" t="s">
        <v>512</v>
      </c>
    </row>
    <row r="582" spans="1:5" x14ac:dyDescent="0.25">
      <c r="A582" s="640" t="s">
        <v>572</v>
      </c>
      <c r="B582" s="640" t="s">
        <v>6</v>
      </c>
      <c r="C582" s="633" t="s">
        <v>26</v>
      </c>
      <c r="D582" s="633">
        <v>10021</v>
      </c>
      <c r="E582" s="482" t="s">
        <v>512</v>
      </c>
    </row>
    <row r="583" spans="1:5" x14ac:dyDescent="0.25">
      <c r="A583" s="640" t="s">
        <v>572</v>
      </c>
      <c r="B583" s="640" t="s">
        <v>7</v>
      </c>
      <c r="C583" s="633" t="s">
        <v>26</v>
      </c>
      <c r="D583" s="633">
        <v>5332</v>
      </c>
      <c r="E583" s="482" t="s">
        <v>512</v>
      </c>
    </row>
    <row r="584" spans="1:5" x14ac:dyDescent="0.25">
      <c r="A584" s="640" t="s">
        <v>572</v>
      </c>
      <c r="B584" s="640" t="s">
        <v>8</v>
      </c>
      <c r="C584" s="633" t="s">
        <v>26</v>
      </c>
      <c r="D584" s="633">
        <v>2767</v>
      </c>
      <c r="E584" s="482" t="s">
        <v>512</v>
      </c>
    </row>
    <row r="585" spans="1:5" x14ac:dyDescent="0.25">
      <c r="A585" s="640" t="s">
        <v>572</v>
      </c>
      <c r="B585" s="640" t="s">
        <v>9</v>
      </c>
      <c r="C585" s="633" t="s">
        <v>26</v>
      </c>
      <c r="D585" s="633">
        <v>1661</v>
      </c>
      <c r="E585" s="482" t="s">
        <v>512</v>
      </c>
    </row>
    <row r="586" spans="1:5" x14ac:dyDescent="0.25">
      <c r="A586" s="640" t="s">
        <v>572</v>
      </c>
      <c r="B586" s="640" t="s">
        <v>249</v>
      </c>
      <c r="C586" s="633" t="s">
        <v>27</v>
      </c>
      <c r="D586" s="633">
        <v>2884</v>
      </c>
      <c r="E586" s="482" t="s">
        <v>512</v>
      </c>
    </row>
    <row r="587" spans="1:5" x14ac:dyDescent="0.25">
      <c r="A587" s="640" t="s">
        <v>572</v>
      </c>
      <c r="B587" s="640" t="s">
        <v>244</v>
      </c>
      <c r="C587" s="633" t="s">
        <v>27</v>
      </c>
      <c r="D587" s="633">
        <v>6654</v>
      </c>
      <c r="E587" s="482" t="s">
        <v>512</v>
      </c>
    </row>
    <row r="588" spans="1:5" x14ac:dyDescent="0.25">
      <c r="A588" s="640" t="s">
        <v>572</v>
      </c>
      <c r="B588" s="640" t="s">
        <v>4</v>
      </c>
      <c r="C588" s="633" t="s">
        <v>27</v>
      </c>
      <c r="D588" s="633">
        <v>10345</v>
      </c>
      <c r="E588" s="482" t="s">
        <v>512</v>
      </c>
    </row>
    <row r="589" spans="1:5" x14ac:dyDescent="0.25">
      <c r="A589" s="640" t="s">
        <v>572</v>
      </c>
      <c r="B589" s="640" t="s">
        <v>5</v>
      </c>
      <c r="C589" s="633" t="s">
        <v>27</v>
      </c>
      <c r="D589" s="633">
        <v>9108</v>
      </c>
      <c r="E589" s="482" t="s">
        <v>512</v>
      </c>
    </row>
    <row r="590" spans="1:5" x14ac:dyDescent="0.25">
      <c r="A590" s="640" t="s">
        <v>572</v>
      </c>
      <c r="B590" s="640" t="s">
        <v>6</v>
      </c>
      <c r="C590" s="633" t="s">
        <v>27</v>
      </c>
      <c r="D590" s="633">
        <v>9924</v>
      </c>
      <c r="E590" s="482" t="s">
        <v>512</v>
      </c>
    </row>
    <row r="591" spans="1:5" x14ac:dyDescent="0.25">
      <c r="A591" s="640" t="s">
        <v>572</v>
      </c>
      <c r="B591" s="640" t="s">
        <v>7</v>
      </c>
      <c r="C591" s="633" t="s">
        <v>27</v>
      </c>
      <c r="D591" s="633">
        <v>5698</v>
      </c>
      <c r="E591" s="482" t="s">
        <v>512</v>
      </c>
    </row>
    <row r="592" spans="1:5" x14ac:dyDescent="0.25">
      <c r="A592" s="640" t="s">
        <v>572</v>
      </c>
      <c r="B592" s="640" t="s">
        <v>8</v>
      </c>
      <c r="C592" s="633" t="s">
        <v>27</v>
      </c>
      <c r="D592" s="633">
        <v>3169</v>
      </c>
      <c r="E592" s="482" t="s">
        <v>512</v>
      </c>
    </row>
    <row r="593" spans="1:5" x14ac:dyDescent="0.25">
      <c r="A593" s="640" t="s">
        <v>572</v>
      </c>
      <c r="B593" s="640" t="s">
        <v>9</v>
      </c>
      <c r="C593" s="633" t="s">
        <v>27</v>
      </c>
      <c r="D593" s="633">
        <v>2680</v>
      </c>
      <c r="E593" s="482" t="s">
        <v>512</v>
      </c>
    </row>
    <row r="594" spans="1:5" x14ac:dyDescent="0.25">
      <c r="A594" s="640" t="s">
        <v>574</v>
      </c>
      <c r="B594" s="640" t="s">
        <v>249</v>
      </c>
      <c r="C594" s="633" t="s">
        <v>26</v>
      </c>
      <c r="D594" s="633">
        <v>12754.389674824732</v>
      </c>
      <c r="E594" s="633"/>
    </row>
    <row r="595" spans="1:5" x14ac:dyDescent="0.25">
      <c r="A595" s="640" t="s">
        <v>574</v>
      </c>
      <c r="B595" s="640" t="s">
        <v>244</v>
      </c>
      <c r="C595" s="633" t="s">
        <v>26</v>
      </c>
      <c r="D595" s="633">
        <v>25164.172990128085</v>
      </c>
      <c r="E595" s="633"/>
    </row>
    <row r="596" spans="1:5" x14ac:dyDescent="0.25">
      <c r="A596" s="640" t="s">
        <v>574</v>
      </c>
      <c r="B596" s="640" t="s">
        <v>4</v>
      </c>
      <c r="C596" s="633" t="s">
        <v>26</v>
      </c>
      <c r="D596" s="633">
        <v>43197.378986280964</v>
      </c>
      <c r="E596" s="633"/>
    </row>
    <row r="597" spans="1:5" x14ac:dyDescent="0.25">
      <c r="A597" s="640" t="s">
        <v>574</v>
      </c>
      <c r="B597" s="640" t="s">
        <v>5</v>
      </c>
      <c r="C597" s="633" t="s">
        <v>26</v>
      </c>
      <c r="D597" s="633">
        <v>44442.324168951804</v>
      </c>
      <c r="E597" s="633"/>
    </row>
    <row r="598" spans="1:5" x14ac:dyDescent="0.25">
      <c r="A598" s="640" t="s">
        <v>574</v>
      </c>
      <c r="B598" s="640" t="s">
        <v>6</v>
      </c>
      <c r="C598" s="633" t="s">
        <v>26</v>
      </c>
      <c r="D598" s="633">
        <v>40279.139959166023</v>
      </c>
      <c r="E598" s="633"/>
    </row>
    <row r="599" spans="1:5" x14ac:dyDescent="0.25">
      <c r="A599" s="640" t="s">
        <v>574</v>
      </c>
      <c r="B599" s="640" t="s">
        <v>7</v>
      </c>
      <c r="C599" s="633" t="s">
        <v>26</v>
      </c>
      <c r="D599" s="633">
        <v>18043.840614471479</v>
      </c>
      <c r="E599" s="633"/>
    </row>
    <row r="600" spans="1:5" x14ac:dyDescent="0.25">
      <c r="A600" s="640" t="s">
        <v>574</v>
      </c>
      <c r="B600" s="640" t="s">
        <v>8</v>
      </c>
      <c r="C600" s="633" t="s">
        <v>26</v>
      </c>
      <c r="D600" s="633">
        <v>8148.9146995694791</v>
      </c>
      <c r="E600" s="633"/>
    </row>
    <row r="601" spans="1:5" x14ac:dyDescent="0.25">
      <c r="A601" s="640" t="s">
        <v>574</v>
      </c>
      <c r="B601" s="640" t="s">
        <v>9</v>
      </c>
      <c r="C601" s="633" t="s">
        <v>26</v>
      </c>
      <c r="D601" s="633">
        <v>5035.3207602995972</v>
      </c>
      <c r="E601" s="633"/>
    </row>
    <row r="602" spans="1:5" x14ac:dyDescent="0.25">
      <c r="A602" s="640" t="s">
        <v>574</v>
      </c>
      <c r="B602" s="640" t="s">
        <v>249</v>
      </c>
      <c r="C602" s="633" t="s">
        <v>27</v>
      </c>
      <c r="D602" s="633">
        <v>12148.616682198553</v>
      </c>
      <c r="E602" s="633"/>
    </row>
    <row r="603" spans="1:5" x14ac:dyDescent="0.25">
      <c r="A603" s="640" t="s">
        <v>574</v>
      </c>
      <c r="B603" s="640" t="s">
        <v>244</v>
      </c>
      <c r="C603" s="633" t="s">
        <v>27</v>
      </c>
      <c r="D603" s="633">
        <v>23885.854267715513</v>
      </c>
      <c r="E603" s="633"/>
    </row>
    <row r="604" spans="1:5" x14ac:dyDescent="0.25">
      <c r="A604" s="640" t="s">
        <v>574</v>
      </c>
      <c r="B604" s="640" t="s">
        <v>4</v>
      </c>
      <c r="C604" s="633" t="s">
        <v>27</v>
      </c>
      <c r="D604" s="633">
        <v>42945.869976531707</v>
      </c>
      <c r="E604" s="633"/>
    </row>
    <row r="605" spans="1:5" x14ac:dyDescent="0.25">
      <c r="A605" s="640" t="s">
        <v>574</v>
      </c>
      <c r="B605" s="640" t="s">
        <v>5</v>
      </c>
      <c r="C605" s="633" t="s">
        <v>27</v>
      </c>
      <c r="D605" s="633">
        <v>42861.061901050503</v>
      </c>
      <c r="E605" s="633"/>
    </row>
    <row r="606" spans="1:5" x14ac:dyDescent="0.25">
      <c r="A606" s="640" t="s">
        <v>574</v>
      </c>
      <c r="B606" s="640" t="s">
        <v>6</v>
      </c>
      <c r="C606" s="633" t="s">
        <v>27</v>
      </c>
      <c r="D606" s="633">
        <v>42184.227346080988</v>
      </c>
      <c r="E606" s="633"/>
    </row>
    <row r="607" spans="1:5" x14ac:dyDescent="0.25">
      <c r="A607" s="640" t="s">
        <v>574</v>
      </c>
      <c r="B607" s="640" t="s">
        <v>7</v>
      </c>
      <c r="C607" s="633" t="s">
        <v>27</v>
      </c>
      <c r="D607" s="633">
        <v>19679.42386052692</v>
      </c>
      <c r="E607" s="633"/>
    </row>
    <row r="608" spans="1:5" x14ac:dyDescent="0.25">
      <c r="A608" s="640" t="s">
        <v>574</v>
      </c>
      <c r="B608" s="640" t="s">
        <v>8</v>
      </c>
      <c r="C608" s="633" t="s">
        <v>27</v>
      </c>
      <c r="D608" s="633">
        <v>10125.234412248104</v>
      </c>
      <c r="E608" s="633"/>
    </row>
    <row r="609" spans="1:5" x14ac:dyDescent="0.25">
      <c r="A609" s="640" t="s">
        <v>574</v>
      </c>
      <c r="B609" s="640" t="s">
        <v>9</v>
      </c>
      <c r="C609" s="633" t="s">
        <v>27</v>
      </c>
      <c r="D609" s="633">
        <v>9104.2296999555529</v>
      </c>
      <c r="E609" s="633"/>
    </row>
    <row r="610" spans="1:5" x14ac:dyDescent="0.25">
      <c r="A610" s="640" t="s">
        <v>573</v>
      </c>
      <c r="B610" s="640" t="s">
        <v>249</v>
      </c>
      <c r="C610" s="633" t="s">
        <v>26</v>
      </c>
      <c r="D610" s="633">
        <v>2683.8844684780584</v>
      </c>
      <c r="E610" s="633"/>
    </row>
    <row r="611" spans="1:5" x14ac:dyDescent="0.25">
      <c r="A611" s="640" t="s">
        <v>573</v>
      </c>
      <c r="B611" s="640" t="s">
        <v>244</v>
      </c>
      <c r="C611" s="633" t="s">
        <v>26</v>
      </c>
      <c r="D611" s="633">
        <v>5742.7015282989742</v>
      </c>
      <c r="E611" s="633"/>
    </row>
    <row r="612" spans="1:5" x14ac:dyDescent="0.25">
      <c r="A612" s="640" t="s">
        <v>573</v>
      </c>
      <c r="B612" s="640" t="s">
        <v>4</v>
      </c>
      <c r="C612" s="633" t="s">
        <v>26</v>
      </c>
      <c r="D612" s="633">
        <v>11666.220449725739</v>
      </c>
      <c r="E612" s="633"/>
    </row>
    <row r="613" spans="1:5" x14ac:dyDescent="0.25">
      <c r="A613" s="640" t="s">
        <v>573</v>
      </c>
      <c r="B613" s="640" t="s">
        <v>5</v>
      </c>
      <c r="C613" s="633" t="s">
        <v>26</v>
      </c>
      <c r="D613" s="633">
        <v>8631.5292305520943</v>
      </c>
      <c r="E613" s="633"/>
    </row>
    <row r="614" spans="1:5" x14ac:dyDescent="0.25">
      <c r="A614" s="640" t="s">
        <v>573</v>
      </c>
      <c r="B614" s="640" t="s">
        <v>6</v>
      </c>
      <c r="C614" s="633" t="s">
        <v>26</v>
      </c>
      <c r="D614" s="633">
        <v>10213.92858838469</v>
      </c>
      <c r="E614" s="633"/>
    </row>
    <row r="615" spans="1:5" x14ac:dyDescent="0.25">
      <c r="A615" s="640" t="s">
        <v>573</v>
      </c>
      <c r="B615" s="640" t="s">
        <v>7</v>
      </c>
      <c r="C615" s="633" t="s">
        <v>26</v>
      </c>
      <c r="D615" s="633">
        <v>5800.8081298455545</v>
      </c>
      <c r="E615" s="633"/>
    </row>
    <row r="616" spans="1:5" x14ac:dyDescent="0.25">
      <c r="A616" s="640" t="s">
        <v>573</v>
      </c>
      <c r="B616" s="640" t="s">
        <v>8</v>
      </c>
      <c r="C616" s="633" t="s">
        <v>26</v>
      </c>
      <c r="D616" s="633">
        <v>3123.8912327032212</v>
      </c>
      <c r="E616" s="633"/>
    </row>
    <row r="617" spans="1:5" x14ac:dyDescent="0.25">
      <c r="A617" s="640" t="s">
        <v>573</v>
      </c>
      <c r="B617" s="640" t="s">
        <v>9</v>
      </c>
      <c r="C617" s="633" t="s">
        <v>26</v>
      </c>
      <c r="D617" s="633">
        <v>1770.1572733536711</v>
      </c>
      <c r="E617" s="633"/>
    </row>
    <row r="618" spans="1:5" x14ac:dyDescent="0.25">
      <c r="A618" s="640" t="s">
        <v>573</v>
      </c>
      <c r="B618" s="640" t="s">
        <v>249</v>
      </c>
      <c r="C618" s="633" t="s">
        <v>27</v>
      </c>
      <c r="D618" s="633">
        <v>2553.4239918934823</v>
      </c>
      <c r="E618" s="633"/>
    </row>
    <row r="619" spans="1:5" x14ac:dyDescent="0.25">
      <c r="A619" s="640" t="s">
        <v>573</v>
      </c>
      <c r="B619" s="640" t="s">
        <v>244</v>
      </c>
      <c r="C619" s="633" t="s">
        <v>27</v>
      </c>
      <c r="D619" s="633">
        <v>5561.0472126202749</v>
      </c>
      <c r="E619" s="633"/>
    </row>
    <row r="620" spans="1:5" x14ac:dyDescent="0.25">
      <c r="A620" s="640" t="s">
        <v>573</v>
      </c>
      <c r="B620" s="640" t="s">
        <v>4</v>
      </c>
      <c r="C620" s="633" t="s">
        <v>27</v>
      </c>
      <c r="D620" s="633">
        <v>10673.776806769089</v>
      </c>
      <c r="E620" s="633"/>
    </row>
    <row r="621" spans="1:5" x14ac:dyDescent="0.25">
      <c r="A621" s="640" t="s">
        <v>573</v>
      </c>
      <c r="B621" s="640" t="s">
        <v>5</v>
      </c>
      <c r="C621" s="633" t="s">
        <v>27</v>
      </c>
      <c r="D621" s="633">
        <v>8732.2593824182331</v>
      </c>
      <c r="E621" s="633"/>
    </row>
    <row r="622" spans="1:5" x14ac:dyDescent="0.25">
      <c r="A622" s="640" t="s">
        <v>573</v>
      </c>
      <c r="B622" s="640" t="s">
        <v>6</v>
      </c>
      <c r="C622" s="633" t="s">
        <v>27</v>
      </c>
      <c r="D622" s="633">
        <v>11059.589749169319</v>
      </c>
      <c r="E622" s="633"/>
    </row>
    <row r="623" spans="1:5" x14ac:dyDescent="0.25">
      <c r="A623" s="640" t="s">
        <v>573</v>
      </c>
      <c r="B623" s="640" t="s">
        <v>7</v>
      </c>
      <c r="C623" s="633" t="s">
        <v>27</v>
      </c>
      <c r="D623" s="633">
        <v>5857.3129824516564</v>
      </c>
      <c r="E623" s="633"/>
    </row>
    <row r="624" spans="1:5" x14ac:dyDescent="0.25">
      <c r="A624" s="640" t="s">
        <v>573</v>
      </c>
      <c r="B624" s="640" t="s">
        <v>8</v>
      </c>
      <c r="C624" s="633" t="s">
        <v>27</v>
      </c>
      <c r="D624" s="633">
        <v>3355.1520449963841</v>
      </c>
      <c r="E624" s="633"/>
    </row>
    <row r="625" spans="1:5" x14ac:dyDescent="0.25">
      <c r="A625" s="640" t="s">
        <v>573</v>
      </c>
      <c r="B625" s="640" t="s">
        <v>9</v>
      </c>
      <c r="C625" s="633" t="s">
        <v>27</v>
      </c>
      <c r="D625" s="633">
        <v>2574.31692833957</v>
      </c>
      <c r="E625" s="633"/>
    </row>
    <row r="626" spans="1:5" x14ac:dyDescent="0.25">
      <c r="A626" s="640" t="s">
        <v>585</v>
      </c>
      <c r="B626" s="640" t="s">
        <v>249</v>
      </c>
      <c r="C626" s="633" t="s">
        <v>26</v>
      </c>
      <c r="D626" s="633">
        <v>1013.3559780921779</v>
      </c>
      <c r="E626" s="633"/>
    </row>
    <row r="627" spans="1:5" x14ac:dyDescent="0.25">
      <c r="A627" s="640" t="s">
        <v>585</v>
      </c>
      <c r="B627" s="640" t="s">
        <v>244</v>
      </c>
      <c r="C627" s="633" t="s">
        <v>26</v>
      </c>
      <c r="D627" s="633">
        <v>2188.9245414739062</v>
      </c>
      <c r="E627" s="633"/>
    </row>
    <row r="628" spans="1:5" x14ac:dyDescent="0.25">
      <c r="A628" s="640" t="s">
        <v>585</v>
      </c>
      <c r="B628" s="640" t="s">
        <v>4</v>
      </c>
      <c r="C628" s="633" t="s">
        <v>26</v>
      </c>
      <c r="D628" s="633">
        <v>3042.834057401476</v>
      </c>
      <c r="E628" s="633"/>
    </row>
    <row r="629" spans="1:5" x14ac:dyDescent="0.25">
      <c r="A629" s="640" t="s">
        <v>585</v>
      </c>
      <c r="B629" s="640" t="s">
        <v>5</v>
      </c>
      <c r="C629" s="633" t="s">
        <v>26</v>
      </c>
      <c r="D629" s="633">
        <v>2930.5834084883004</v>
      </c>
      <c r="E629" s="633"/>
    </row>
    <row r="630" spans="1:5" x14ac:dyDescent="0.25">
      <c r="A630" s="640" t="s">
        <v>585</v>
      </c>
      <c r="B630" s="640" t="s">
        <v>6</v>
      </c>
      <c r="C630" s="633" t="s">
        <v>26</v>
      </c>
      <c r="D630" s="633">
        <v>4552.7370488915094</v>
      </c>
      <c r="E630" s="633"/>
    </row>
    <row r="631" spans="1:5" x14ac:dyDescent="0.25">
      <c r="A631" s="640" t="s">
        <v>585</v>
      </c>
      <c r="B631" s="640" t="s">
        <v>7</v>
      </c>
      <c r="C631" s="633" t="s">
        <v>26</v>
      </c>
      <c r="D631" s="633">
        <v>3124.0235224054477</v>
      </c>
      <c r="E631" s="633"/>
    </row>
    <row r="632" spans="1:5" x14ac:dyDescent="0.25">
      <c r="A632" s="640" t="s">
        <v>585</v>
      </c>
      <c r="B632" s="640" t="s">
        <v>8</v>
      </c>
      <c r="C632" s="633" t="s">
        <v>26</v>
      </c>
      <c r="D632" s="633">
        <v>2020.5550549904845</v>
      </c>
      <c r="E632" s="633"/>
    </row>
    <row r="633" spans="1:5" x14ac:dyDescent="0.25">
      <c r="A633" s="640" t="s">
        <v>585</v>
      </c>
      <c r="B633" s="640" t="s">
        <v>9</v>
      </c>
      <c r="C633" s="633" t="s">
        <v>26</v>
      </c>
      <c r="D633" s="633">
        <v>1048.0776836399723</v>
      </c>
      <c r="E633" s="633"/>
    </row>
    <row r="634" spans="1:5" x14ac:dyDescent="0.25">
      <c r="A634" s="640" t="s">
        <v>585</v>
      </c>
      <c r="B634" s="640" t="s">
        <v>249</v>
      </c>
      <c r="C634" s="633" t="s">
        <v>27</v>
      </c>
      <c r="D634" s="633">
        <v>992.61737902610992</v>
      </c>
      <c r="E634" s="633"/>
    </row>
    <row r="635" spans="1:5" x14ac:dyDescent="0.25">
      <c r="A635" s="640" t="s">
        <v>585</v>
      </c>
      <c r="B635" s="640" t="s">
        <v>244</v>
      </c>
      <c r="C635" s="633" t="s">
        <v>27</v>
      </c>
      <c r="D635" s="633">
        <v>2050.6807083176504</v>
      </c>
      <c r="E635" s="633"/>
    </row>
    <row r="636" spans="1:5" x14ac:dyDescent="0.25">
      <c r="A636" s="640" t="s">
        <v>585</v>
      </c>
      <c r="B636" s="640" t="s">
        <v>4</v>
      </c>
      <c r="C636" s="633" t="s">
        <v>27</v>
      </c>
      <c r="D636" s="633">
        <v>2794.9589994553503</v>
      </c>
      <c r="E636" s="633"/>
    </row>
    <row r="637" spans="1:5" x14ac:dyDescent="0.25">
      <c r="A637" s="640" t="s">
        <v>585</v>
      </c>
      <c r="B637" s="640" t="s">
        <v>5</v>
      </c>
      <c r="C637" s="633" t="s">
        <v>27</v>
      </c>
      <c r="D637" s="633">
        <v>2983.8496939792331</v>
      </c>
      <c r="E637" s="633"/>
    </row>
    <row r="638" spans="1:5" x14ac:dyDescent="0.25">
      <c r="A638" s="640" t="s">
        <v>585</v>
      </c>
      <c r="B638" s="640" t="s">
        <v>6</v>
      </c>
      <c r="C638" s="633" t="s">
        <v>27</v>
      </c>
      <c r="D638" s="633">
        <v>4754.5189964776109</v>
      </c>
      <c r="E638" s="633"/>
    </row>
    <row r="639" spans="1:5" x14ac:dyDescent="0.25">
      <c r="A639" s="640" t="s">
        <v>585</v>
      </c>
      <c r="B639" s="640" t="s">
        <v>7</v>
      </c>
      <c r="C639" s="633" t="s">
        <v>27</v>
      </c>
      <c r="D639" s="633">
        <v>3212.5986009708377</v>
      </c>
      <c r="E639" s="633"/>
    </row>
    <row r="640" spans="1:5" x14ac:dyDescent="0.25">
      <c r="A640" s="640" t="s">
        <v>585</v>
      </c>
      <c r="B640" s="640" t="s">
        <v>8</v>
      </c>
      <c r="C640" s="633" t="s">
        <v>27</v>
      </c>
      <c r="D640" s="633">
        <v>1962.1908159688255</v>
      </c>
      <c r="E640" s="633"/>
    </row>
    <row r="641" spans="1:5" x14ac:dyDescent="0.25">
      <c r="A641" s="640" t="s">
        <v>585</v>
      </c>
      <c r="B641" s="640" t="s">
        <v>9</v>
      </c>
      <c r="C641" s="633" t="s">
        <v>27</v>
      </c>
      <c r="D641" s="633">
        <v>1327.4935104211036</v>
      </c>
      <c r="E641" s="633"/>
    </row>
    <row r="642" spans="1:5" x14ac:dyDescent="0.25">
      <c r="A642" s="640" t="s">
        <v>512</v>
      </c>
      <c r="B642" s="640" t="s">
        <v>249</v>
      </c>
      <c r="C642" s="633" t="s">
        <v>26</v>
      </c>
      <c r="D642" s="633">
        <f>D18+D34+D66+D130+D226+D306+D370+D402+D434+D546+D578</f>
        <v>93188</v>
      </c>
    </row>
    <row r="643" spans="1:5" x14ac:dyDescent="0.25">
      <c r="A643" s="640" t="s">
        <v>512</v>
      </c>
      <c r="B643" s="640" t="s">
        <v>244</v>
      </c>
      <c r="C643" s="633" t="s">
        <v>26</v>
      </c>
      <c r="D643" s="633">
        <f t="shared" ref="D643:D657" si="3">D19+D35+D67+D131+D227+D307+D371+D403+D435+D547+D579</f>
        <v>193413</v>
      </c>
    </row>
    <row r="644" spans="1:5" x14ac:dyDescent="0.25">
      <c r="A644" s="640" t="s">
        <v>512</v>
      </c>
      <c r="B644" s="640" t="s">
        <v>4</v>
      </c>
      <c r="C644" s="633" t="s">
        <v>26</v>
      </c>
      <c r="D644" s="633">
        <f t="shared" si="3"/>
        <v>315889</v>
      </c>
    </row>
    <row r="645" spans="1:5" x14ac:dyDescent="0.25">
      <c r="A645" s="640" t="s">
        <v>512</v>
      </c>
      <c r="B645" s="640" t="s">
        <v>5</v>
      </c>
      <c r="C645" s="633" t="s">
        <v>26</v>
      </c>
      <c r="D645" s="633">
        <f t="shared" si="3"/>
        <v>324638</v>
      </c>
    </row>
    <row r="646" spans="1:5" x14ac:dyDescent="0.25">
      <c r="A646" s="640" t="s">
        <v>512</v>
      </c>
      <c r="B646" s="640" t="s">
        <v>6</v>
      </c>
      <c r="C646" s="633" t="s">
        <v>26</v>
      </c>
      <c r="D646" s="633">
        <f t="shared" si="3"/>
        <v>302374</v>
      </c>
    </row>
    <row r="647" spans="1:5" x14ac:dyDescent="0.25">
      <c r="A647" s="640" t="s">
        <v>512</v>
      </c>
      <c r="B647" s="640" t="s">
        <v>7</v>
      </c>
      <c r="C647" s="633" t="s">
        <v>26</v>
      </c>
      <c r="D647" s="633">
        <f t="shared" si="3"/>
        <v>165499</v>
      </c>
    </row>
    <row r="648" spans="1:5" x14ac:dyDescent="0.25">
      <c r="A648" s="640" t="s">
        <v>512</v>
      </c>
      <c r="B648" s="640" t="s">
        <v>8</v>
      </c>
      <c r="C648" s="633" t="s">
        <v>26</v>
      </c>
      <c r="D648" s="633">
        <f t="shared" si="3"/>
        <v>78372</v>
      </c>
    </row>
    <row r="649" spans="1:5" x14ac:dyDescent="0.25">
      <c r="A649" s="640" t="s">
        <v>512</v>
      </c>
      <c r="B649" s="640" t="s">
        <v>9</v>
      </c>
      <c r="C649" s="633" t="s">
        <v>26</v>
      </c>
      <c r="D649" s="633">
        <f t="shared" si="3"/>
        <v>42640</v>
      </c>
    </row>
    <row r="650" spans="1:5" x14ac:dyDescent="0.25">
      <c r="A650" s="640" t="s">
        <v>512</v>
      </c>
      <c r="B650" s="640" t="s">
        <v>249</v>
      </c>
      <c r="C650" s="633" t="s">
        <v>27</v>
      </c>
      <c r="D650" s="633">
        <f t="shared" si="3"/>
        <v>88582</v>
      </c>
    </row>
    <row r="651" spans="1:5" x14ac:dyDescent="0.25">
      <c r="A651" s="640" t="s">
        <v>512</v>
      </c>
      <c r="B651" s="640" t="s">
        <v>244</v>
      </c>
      <c r="C651" s="633" t="s">
        <v>27</v>
      </c>
      <c r="D651" s="633">
        <f t="shared" si="3"/>
        <v>185390</v>
      </c>
    </row>
    <row r="652" spans="1:5" x14ac:dyDescent="0.25">
      <c r="A652" s="640" t="s">
        <v>512</v>
      </c>
      <c r="B652" s="640" t="s">
        <v>4</v>
      </c>
      <c r="C652" s="633" t="s">
        <v>27</v>
      </c>
      <c r="D652" s="633">
        <f t="shared" si="3"/>
        <v>310288</v>
      </c>
    </row>
    <row r="653" spans="1:5" x14ac:dyDescent="0.25">
      <c r="A653" s="640" t="s">
        <v>512</v>
      </c>
      <c r="B653" s="640" t="s">
        <v>5</v>
      </c>
      <c r="C653" s="633" t="s">
        <v>27</v>
      </c>
      <c r="D653" s="633">
        <f t="shared" si="3"/>
        <v>320190</v>
      </c>
    </row>
    <row r="654" spans="1:5" x14ac:dyDescent="0.25">
      <c r="A654" s="640" t="s">
        <v>512</v>
      </c>
      <c r="B654" s="640" t="s">
        <v>6</v>
      </c>
      <c r="C654" s="633" t="s">
        <v>27</v>
      </c>
      <c r="D654" s="633">
        <f t="shared" si="3"/>
        <v>312468</v>
      </c>
    </row>
    <row r="655" spans="1:5" x14ac:dyDescent="0.25">
      <c r="A655" s="640" t="s">
        <v>512</v>
      </c>
      <c r="B655" s="640" t="s">
        <v>7</v>
      </c>
      <c r="C655" s="633" t="s">
        <v>27</v>
      </c>
      <c r="D655" s="633">
        <f t="shared" si="3"/>
        <v>179463</v>
      </c>
    </row>
    <row r="656" spans="1:5" x14ac:dyDescent="0.25">
      <c r="A656" s="640" t="s">
        <v>512</v>
      </c>
      <c r="B656" s="640" t="s">
        <v>8</v>
      </c>
      <c r="C656" s="633" t="s">
        <v>27</v>
      </c>
      <c r="D656" s="633">
        <f t="shared" si="3"/>
        <v>91772</v>
      </c>
    </row>
    <row r="657" spans="1:4" x14ac:dyDescent="0.25">
      <c r="A657" s="640" t="s">
        <v>512</v>
      </c>
      <c r="B657" s="640" t="s">
        <v>9</v>
      </c>
      <c r="C657" s="633" t="s">
        <v>27</v>
      </c>
      <c r="D657" s="633">
        <f t="shared" si="3"/>
        <v>70428</v>
      </c>
    </row>
    <row r="658" spans="1:4" x14ac:dyDescent="0.25">
      <c r="A658" s="640" t="s">
        <v>584</v>
      </c>
      <c r="B658" s="640" t="s">
        <v>249</v>
      </c>
      <c r="C658" s="633" t="s">
        <v>26</v>
      </c>
      <c r="D658" s="633">
        <f>D2+D50+D82+D98+D114+D146+D162+D178+D194+D210+D242+D258+D274+D290+D322+D338+D354+D386+D450+D466+D482+D498+D514+D530+D562</f>
        <v>25048</v>
      </c>
    </row>
    <row r="659" spans="1:4" x14ac:dyDescent="0.25">
      <c r="A659" s="640" t="s">
        <v>584</v>
      </c>
      <c r="B659" s="640" t="s">
        <v>244</v>
      </c>
      <c r="C659" s="633" t="s">
        <v>26</v>
      </c>
      <c r="D659" s="633">
        <f t="shared" ref="D659:D673" si="4">D3+D51+D83+D99+D115+D147+D163+D179+D195+D211+D243+D259+D275+D291+D323+D339+D355+D387+D451+D467+D483+D499+D515+D531+D563</f>
        <v>51614</v>
      </c>
    </row>
    <row r="660" spans="1:4" x14ac:dyDescent="0.25">
      <c r="A660" s="640" t="s">
        <v>584</v>
      </c>
      <c r="B660" s="640" t="s">
        <v>4</v>
      </c>
      <c r="C660" s="633" t="s">
        <v>26</v>
      </c>
      <c r="D660" s="633">
        <f t="shared" si="4"/>
        <v>76946</v>
      </c>
    </row>
    <row r="661" spans="1:4" x14ac:dyDescent="0.25">
      <c r="A661" s="640" t="s">
        <v>584</v>
      </c>
      <c r="B661" s="640" t="s">
        <v>5</v>
      </c>
      <c r="C661" s="633" t="s">
        <v>26</v>
      </c>
      <c r="D661" s="633">
        <f t="shared" si="4"/>
        <v>71973</v>
      </c>
    </row>
    <row r="662" spans="1:4" x14ac:dyDescent="0.25">
      <c r="A662" s="640" t="s">
        <v>584</v>
      </c>
      <c r="B662" s="640" t="s">
        <v>6</v>
      </c>
      <c r="C662" s="633" t="s">
        <v>26</v>
      </c>
      <c r="D662" s="633">
        <f t="shared" si="4"/>
        <v>86765</v>
      </c>
    </row>
    <row r="663" spans="1:4" x14ac:dyDescent="0.25">
      <c r="A663" s="640" t="s">
        <v>584</v>
      </c>
      <c r="B663" s="640" t="s">
        <v>7</v>
      </c>
      <c r="C663" s="633" t="s">
        <v>26</v>
      </c>
      <c r="D663" s="633">
        <f t="shared" si="4"/>
        <v>60352</v>
      </c>
    </row>
    <row r="664" spans="1:4" x14ac:dyDescent="0.25">
      <c r="A664" s="640" t="s">
        <v>584</v>
      </c>
      <c r="B664" s="640" t="s">
        <v>8</v>
      </c>
      <c r="C664" s="633" t="s">
        <v>26</v>
      </c>
      <c r="D664" s="633">
        <f t="shared" si="4"/>
        <v>35798</v>
      </c>
    </row>
    <row r="665" spans="1:4" x14ac:dyDescent="0.25">
      <c r="A665" s="640" t="s">
        <v>584</v>
      </c>
      <c r="B665" s="640" t="s">
        <v>9</v>
      </c>
      <c r="C665" s="633" t="s">
        <v>26</v>
      </c>
      <c r="D665" s="633">
        <f t="shared" si="4"/>
        <v>17764</v>
      </c>
    </row>
    <row r="666" spans="1:4" x14ac:dyDescent="0.25">
      <c r="A666" s="640" t="s">
        <v>584</v>
      </c>
      <c r="B666" s="640" t="s">
        <v>249</v>
      </c>
      <c r="C666" s="633" t="s">
        <v>27</v>
      </c>
      <c r="D666" s="633">
        <f t="shared" si="4"/>
        <v>23617</v>
      </c>
    </row>
    <row r="667" spans="1:4" x14ac:dyDescent="0.25">
      <c r="A667" s="640" t="s">
        <v>584</v>
      </c>
      <c r="B667" s="640" t="s">
        <v>244</v>
      </c>
      <c r="C667" s="633" t="s">
        <v>27</v>
      </c>
      <c r="D667" s="633">
        <f t="shared" si="4"/>
        <v>49589</v>
      </c>
    </row>
    <row r="668" spans="1:4" x14ac:dyDescent="0.25">
      <c r="A668" s="640" t="s">
        <v>584</v>
      </c>
      <c r="B668" s="640" t="s">
        <v>4</v>
      </c>
      <c r="C668" s="633" t="s">
        <v>27</v>
      </c>
      <c r="D668" s="633">
        <f t="shared" si="4"/>
        <v>70460</v>
      </c>
    </row>
    <row r="669" spans="1:4" x14ac:dyDescent="0.25">
      <c r="A669" s="640" t="s">
        <v>584</v>
      </c>
      <c r="B669" s="640" t="s">
        <v>5</v>
      </c>
      <c r="C669" s="633" t="s">
        <v>27</v>
      </c>
      <c r="D669" s="633">
        <f t="shared" si="4"/>
        <v>68967</v>
      </c>
    </row>
    <row r="670" spans="1:4" x14ac:dyDescent="0.25">
      <c r="A670" s="640" t="s">
        <v>584</v>
      </c>
      <c r="B670" s="640" t="s">
        <v>6</v>
      </c>
      <c r="C670" s="633" t="s">
        <v>27</v>
      </c>
      <c r="D670" s="633">
        <f t="shared" si="4"/>
        <v>89853</v>
      </c>
    </row>
    <row r="671" spans="1:4" x14ac:dyDescent="0.25">
      <c r="A671" s="640" t="s">
        <v>584</v>
      </c>
      <c r="B671" s="640" t="s">
        <v>7</v>
      </c>
      <c r="C671" s="633" t="s">
        <v>27</v>
      </c>
      <c r="D671" s="633">
        <f t="shared" si="4"/>
        <v>62448</v>
      </c>
    </row>
    <row r="672" spans="1:4" x14ac:dyDescent="0.25">
      <c r="A672" s="640" t="s">
        <v>584</v>
      </c>
      <c r="B672" s="640" t="s">
        <v>8</v>
      </c>
      <c r="C672" s="633" t="s">
        <v>27</v>
      </c>
      <c r="D672" s="633">
        <f t="shared" si="4"/>
        <v>37417</v>
      </c>
    </row>
    <row r="673" spans="1:4" x14ac:dyDescent="0.25">
      <c r="A673" s="640" t="s">
        <v>584</v>
      </c>
      <c r="B673" s="640" t="s">
        <v>9</v>
      </c>
      <c r="C673" s="633" t="s">
        <v>27</v>
      </c>
      <c r="D673" s="633">
        <f t="shared" si="4"/>
        <v>24825</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3"/>
  <sheetViews>
    <sheetView workbookViewId="0">
      <selection activeCell="A8" sqref="A8"/>
    </sheetView>
  </sheetViews>
  <sheetFormatPr defaultRowHeight="15" x14ac:dyDescent="0.25"/>
  <cols>
    <col min="1" max="1" width="13.85546875" customWidth="1"/>
    <col min="2" max="2" width="11" customWidth="1"/>
    <col min="3" max="3" width="11.28515625" customWidth="1"/>
    <col min="7" max="7" width="10.28515625" customWidth="1"/>
  </cols>
  <sheetData>
    <row r="1" spans="1:7" s="633" customFormat="1" x14ac:dyDescent="0.25">
      <c r="A1" s="482" t="s">
        <v>524</v>
      </c>
      <c r="B1" s="482" t="s">
        <v>582</v>
      </c>
      <c r="C1" s="482" t="s">
        <v>583</v>
      </c>
      <c r="D1" s="482" t="s">
        <v>586</v>
      </c>
      <c r="E1" s="482" t="s">
        <v>588</v>
      </c>
      <c r="F1" s="482" t="s">
        <v>587</v>
      </c>
      <c r="G1" s="482" t="s">
        <v>232</v>
      </c>
    </row>
    <row r="2" spans="1:7" x14ac:dyDescent="0.25">
      <c r="A2" s="633" t="s">
        <v>539</v>
      </c>
      <c r="B2" s="633">
        <v>7.1</v>
      </c>
      <c r="C2" s="482" t="s">
        <v>584</v>
      </c>
      <c r="D2" s="673">
        <v>0.37</v>
      </c>
      <c r="E2" s="674">
        <v>84.839999999999989</v>
      </c>
      <c r="F2" s="674">
        <v>0.77</v>
      </c>
      <c r="G2" s="327">
        <f>SUM('County Pops'!D2:D17)</f>
        <v>16125</v>
      </c>
    </row>
    <row r="3" spans="1:7" x14ac:dyDescent="0.25">
      <c r="A3" s="633" t="s">
        <v>540</v>
      </c>
      <c r="B3" s="633">
        <v>9.1999999999999993</v>
      </c>
      <c r="C3" s="482" t="s">
        <v>512</v>
      </c>
      <c r="D3" s="675">
        <v>2.2400000000000002</v>
      </c>
      <c r="E3" s="675">
        <v>99.61</v>
      </c>
      <c r="F3" s="675">
        <v>1.05</v>
      </c>
      <c r="G3" s="327">
        <f>SUM('County Pops'!D18:D33)</f>
        <v>86024</v>
      </c>
    </row>
    <row r="4" spans="1:7" x14ac:dyDescent="0.25">
      <c r="A4" s="633" t="s">
        <v>541</v>
      </c>
      <c r="B4" s="633">
        <v>10.199999999999999</v>
      </c>
      <c r="C4" s="482" t="s">
        <v>512</v>
      </c>
      <c r="D4" s="676">
        <v>0.56000000000000005</v>
      </c>
      <c r="E4" s="676">
        <v>112</v>
      </c>
      <c r="F4" s="676">
        <v>0.70000000000000007</v>
      </c>
      <c r="G4" s="327">
        <f>SUM('County Pops'!D34:D49)</f>
        <v>388111</v>
      </c>
    </row>
    <row r="5" spans="1:7" x14ac:dyDescent="0.25">
      <c r="A5" s="633" t="s">
        <v>542</v>
      </c>
      <c r="B5" s="633">
        <v>6.6</v>
      </c>
      <c r="C5" s="482" t="s">
        <v>584</v>
      </c>
      <c r="D5" s="673">
        <v>0.37</v>
      </c>
      <c r="E5" s="676">
        <v>98.07</v>
      </c>
      <c r="F5" s="676">
        <v>0.42</v>
      </c>
      <c r="G5" s="327">
        <f>SUM('County Pops'!D50:D65)</f>
        <v>37091</v>
      </c>
    </row>
    <row r="6" spans="1:7" x14ac:dyDescent="0.25">
      <c r="A6" s="633" t="s">
        <v>543</v>
      </c>
      <c r="B6" s="633">
        <v>8.1999999999999993</v>
      </c>
      <c r="C6" s="482" t="s">
        <v>512</v>
      </c>
      <c r="D6" s="672">
        <v>1.04</v>
      </c>
      <c r="E6" s="672">
        <v>107.58</v>
      </c>
      <c r="F6" s="672">
        <v>0.99</v>
      </c>
      <c r="G6" s="327">
        <f>SUM('County Pops'!D66:D81)</f>
        <v>49256</v>
      </c>
    </row>
    <row r="7" spans="1:7" x14ac:dyDescent="0.25">
      <c r="A7" s="633" t="s">
        <v>544</v>
      </c>
      <c r="B7" s="633">
        <v>9.4</v>
      </c>
      <c r="C7" s="482" t="s">
        <v>584</v>
      </c>
      <c r="D7" s="673">
        <v>0.37</v>
      </c>
      <c r="E7" s="677">
        <v>138.11000000000001</v>
      </c>
      <c r="F7" s="677">
        <v>0.56000000000000005</v>
      </c>
      <c r="G7" s="327">
        <f>SUM('County Pops'!D82:D97)</f>
        <v>62557</v>
      </c>
    </row>
    <row r="8" spans="1:7" x14ac:dyDescent="0.25">
      <c r="A8" s="633" t="s">
        <v>545</v>
      </c>
      <c r="B8" s="633">
        <v>7.3</v>
      </c>
      <c r="C8" s="482" t="s">
        <v>584</v>
      </c>
      <c r="D8" s="673">
        <v>0.37</v>
      </c>
      <c r="E8" s="677">
        <v>165.06</v>
      </c>
      <c r="F8" s="677">
        <v>0.35000000000000003</v>
      </c>
      <c r="G8" s="327">
        <f>SUM('County Pops'!D98:D113)</f>
        <v>20782</v>
      </c>
    </row>
    <row r="9" spans="1:7" x14ac:dyDescent="0.25">
      <c r="A9" s="633" t="s">
        <v>546</v>
      </c>
      <c r="B9" s="633">
        <v>9.4</v>
      </c>
      <c r="C9" s="482" t="s">
        <v>584</v>
      </c>
      <c r="D9" s="673">
        <v>0.37</v>
      </c>
      <c r="E9" s="677">
        <v>221.97</v>
      </c>
      <c r="F9" s="677">
        <v>0.28000000000000003</v>
      </c>
      <c r="G9" s="327">
        <f>SUM('County Pops'!D114:D129)</f>
        <v>22254</v>
      </c>
    </row>
    <row r="10" spans="1:7" x14ac:dyDescent="0.25">
      <c r="A10" s="633" t="s">
        <v>547</v>
      </c>
      <c r="B10" s="633">
        <v>8.1999999999999993</v>
      </c>
      <c r="C10" s="482" t="s">
        <v>512</v>
      </c>
      <c r="D10" s="677">
        <v>1.26</v>
      </c>
      <c r="E10" s="677">
        <v>100.94</v>
      </c>
      <c r="F10" s="677">
        <v>0.84</v>
      </c>
      <c r="G10" s="327">
        <f>SUM('County Pops'!D130:D145)</f>
        <v>165930</v>
      </c>
    </row>
    <row r="11" spans="1:7" x14ac:dyDescent="0.25">
      <c r="A11" s="633" t="s">
        <v>548</v>
      </c>
      <c r="B11" s="633">
        <v>12</v>
      </c>
      <c r="C11" s="482" t="s">
        <v>584</v>
      </c>
      <c r="D11" s="677">
        <v>0.28000000000000003</v>
      </c>
      <c r="E11" s="677">
        <v>137.34</v>
      </c>
      <c r="F11" s="677">
        <v>1.05</v>
      </c>
      <c r="G11" s="327">
        <f>SUM('County Pops'!D146:D161)</f>
        <v>106887</v>
      </c>
    </row>
    <row r="12" spans="1:7" x14ac:dyDescent="0.25">
      <c r="A12" s="633" t="s">
        <v>549</v>
      </c>
      <c r="B12" s="633">
        <v>6.9</v>
      </c>
      <c r="C12" s="482" t="s">
        <v>584</v>
      </c>
      <c r="D12" s="673">
        <v>0.37</v>
      </c>
      <c r="E12" s="672">
        <v>126.81</v>
      </c>
      <c r="F12" s="672">
        <v>0.74</v>
      </c>
      <c r="G12" s="327">
        <f>SUM('County Pops'!D162:D177)</f>
        <v>1941</v>
      </c>
    </row>
    <row r="13" spans="1:7" x14ac:dyDescent="0.25">
      <c r="A13" s="633" t="s">
        <v>550</v>
      </c>
      <c r="B13" s="633">
        <v>6.2</v>
      </c>
      <c r="C13" s="482" t="s">
        <v>584</v>
      </c>
      <c r="D13" s="673">
        <v>0.37</v>
      </c>
      <c r="E13" s="678">
        <v>93.8</v>
      </c>
      <c r="F13" s="672">
        <v>0.74</v>
      </c>
      <c r="G13" s="327">
        <f>SUM('County Pops'!D178:D193)</f>
        <v>7271</v>
      </c>
    </row>
    <row r="14" spans="1:7" x14ac:dyDescent="0.25">
      <c r="A14" s="633" t="s">
        <v>551</v>
      </c>
      <c r="B14" s="633">
        <v>7.2</v>
      </c>
      <c r="C14" s="482" t="s">
        <v>584</v>
      </c>
      <c r="D14" s="673">
        <v>0.37</v>
      </c>
      <c r="E14" s="678">
        <v>79.45</v>
      </c>
      <c r="F14" s="672">
        <v>0.74</v>
      </c>
      <c r="G14" s="327">
        <f>SUM('County Pops'!D194:D209)</f>
        <v>7167</v>
      </c>
    </row>
    <row r="15" spans="1:7" x14ac:dyDescent="0.25">
      <c r="A15" s="633" t="s">
        <v>552</v>
      </c>
      <c r="B15" s="633">
        <v>6.9</v>
      </c>
      <c r="C15" s="482" t="s">
        <v>584</v>
      </c>
      <c r="D15" s="673">
        <v>0.37</v>
      </c>
      <c r="E15" s="672">
        <v>126.81</v>
      </c>
      <c r="F15" s="672">
        <v>0.74</v>
      </c>
      <c r="G15" s="327">
        <f>SUM('County Pops'!D210:D225)</f>
        <v>22702</v>
      </c>
    </row>
    <row r="16" spans="1:7" x14ac:dyDescent="0.25">
      <c r="A16" s="633" t="s">
        <v>553</v>
      </c>
      <c r="B16" s="633">
        <v>10.1</v>
      </c>
      <c r="C16" s="482" t="s">
        <v>512</v>
      </c>
      <c r="D16" s="679">
        <v>0.98000000000000009</v>
      </c>
      <c r="E16" s="679">
        <v>96.53</v>
      </c>
      <c r="F16" s="679">
        <v>0.56000000000000005</v>
      </c>
      <c r="G16" s="327">
        <f>SUM('County Pops'!D226:D241)</f>
        <v>207998</v>
      </c>
    </row>
    <row r="17" spans="1:7" x14ac:dyDescent="0.25">
      <c r="A17" s="633" t="s">
        <v>554</v>
      </c>
      <c r="B17" s="633">
        <v>7.4</v>
      </c>
      <c r="C17" s="482" t="s">
        <v>584</v>
      </c>
      <c r="D17" s="673">
        <v>0.37</v>
      </c>
      <c r="E17" s="679">
        <v>145.74</v>
      </c>
      <c r="F17" s="679">
        <v>0.63</v>
      </c>
      <c r="G17" s="327">
        <f>SUM('County Pops'!D242:D257)</f>
        <v>21868</v>
      </c>
    </row>
    <row r="18" spans="1:7" x14ac:dyDescent="0.25">
      <c r="A18" s="633" t="s">
        <v>555</v>
      </c>
      <c r="B18" s="633">
        <v>10.3</v>
      </c>
      <c r="C18" s="482" t="s">
        <v>584</v>
      </c>
      <c r="D18" s="673">
        <v>0.37</v>
      </c>
      <c r="E18" s="679">
        <v>122.08000000000001</v>
      </c>
      <c r="F18" s="679">
        <v>0.21</v>
      </c>
      <c r="G18" s="327">
        <f>SUM('County Pops'!D258:D273)</f>
        <v>83263</v>
      </c>
    </row>
    <row r="19" spans="1:7" x14ac:dyDescent="0.25">
      <c r="A19" s="482" t="s">
        <v>581</v>
      </c>
      <c r="B19" s="633">
        <v>10.9</v>
      </c>
      <c r="C19" s="482" t="s">
        <v>584</v>
      </c>
      <c r="D19" s="679">
        <v>0.70000000000000007</v>
      </c>
      <c r="E19" s="679">
        <v>109.2</v>
      </c>
      <c r="F19" s="679">
        <v>1.1900000000000002</v>
      </c>
      <c r="G19" s="327">
        <f>SUM('County Pops'!D274:D289)</f>
        <v>65887</v>
      </c>
    </row>
    <row r="20" spans="1:7" x14ac:dyDescent="0.25">
      <c r="A20" s="633" t="s">
        <v>556</v>
      </c>
      <c r="B20" s="633">
        <v>8.5</v>
      </c>
      <c r="C20" s="482" t="s">
        <v>584</v>
      </c>
      <c r="D20" s="673">
        <v>0.37</v>
      </c>
      <c r="E20" s="679">
        <v>242.76</v>
      </c>
      <c r="F20" s="679">
        <v>0.42</v>
      </c>
      <c r="G20" s="327">
        <f>SUM('County Pops'!D290:D305)</f>
        <v>7830</v>
      </c>
    </row>
    <row r="21" spans="1:7" x14ac:dyDescent="0.25">
      <c r="A21" s="633" t="s">
        <v>525</v>
      </c>
      <c r="B21" s="633">
        <v>10.5</v>
      </c>
      <c r="C21" s="482" t="s">
        <v>512</v>
      </c>
      <c r="D21" s="679">
        <v>1.61</v>
      </c>
      <c r="E21" s="679">
        <v>100.31</v>
      </c>
      <c r="F21" s="679">
        <v>0.98000000000000009</v>
      </c>
      <c r="G21" s="327">
        <f>SUM('County Pops'!D306:D321)</f>
        <v>355650</v>
      </c>
    </row>
    <row r="22" spans="1:7" x14ac:dyDescent="0.25">
      <c r="A22" s="633" t="s">
        <v>574</v>
      </c>
      <c r="B22" s="633">
        <v>9.9</v>
      </c>
      <c r="C22" s="482" t="s">
        <v>512</v>
      </c>
      <c r="D22" s="672">
        <v>1.04</v>
      </c>
      <c r="E22" s="672">
        <v>107.58</v>
      </c>
      <c r="F22" s="672">
        <v>0.99</v>
      </c>
      <c r="G22" s="327">
        <v>400000</v>
      </c>
    </row>
    <row r="23" spans="1:7" x14ac:dyDescent="0.25">
      <c r="A23" s="633" t="s">
        <v>557</v>
      </c>
      <c r="B23" s="633">
        <v>7.4</v>
      </c>
      <c r="C23" s="482" t="s">
        <v>584</v>
      </c>
      <c r="D23" s="673">
        <v>0.37</v>
      </c>
      <c r="E23" s="680">
        <v>105.83999999999999</v>
      </c>
      <c r="F23" s="680">
        <v>2.31</v>
      </c>
      <c r="G23" s="327">
        <f>SUM('County Pops'!D322:D337)</f>
        <v>46291</v>
      </c>
    </row>
    <row r="24" spans="1:7" x14ac:dyDescent="0.25">
      <c r="A24" s="633" t="s">
        <v>558</v>
      </c>
      <c r="B24" s="633">
        <v>9.5</v>
      </c>
      <c r="C24" s="482" t="s">
        <v>584</v>
      </c>
      <c r="D24" s="680">
        <v>0.14000000000000001</v>
      </c>
      <c r="E24" s="680">
        <v>144.48000000000002</v>
      </c>
      <c r="F24" s="680">
        <v>0.91</v>
      </c>
      <c r="G24" s="327">
        <f>SUM('County Pops'!D338:D353)</f>
        <v>118545</v>
      </c>
    </row>
    <row r="25" spans="1:7" x14ac:dyDescent="0.25">
      <c r="A25" s="633" t="s">
        <v>559</v>
      </c>
      <c r="B25" s="633">
        <v>8.6</v>
      </c>
      <c r="C25" s="482" t="s">
        <v>584</v>
      </c>
      <c r="D25" s="673">
        <v>0.37</v>
      </c>
      <c r="E25" s="680">
        <v>62.790000000000006</v>
      </c>
      <c r="F25" s="680">
        <v>0.63</v>
      </c>
      <c r="G25" s="327">
        <f>SUM('County Pops'!D354:D369)</f>
        <v>30623</v>
      </c>
    </row>
    <row r="26" spans="1:7" x14ac:dyDescent="0.25">
      <c r="A26" s="633" t="s">
        <v>560</v>
      </c>
      <c r="B26" s="633">
        <v>9.9</v>
      </c>
      <c r="C26" s="482" t="s">
        <v>512</v>
      </c>
      <c r="D26" s="934">
        <v>0.35</v>
      </c>
      <c r="E26" s="934">
        <v>88.2</v>
      </c>
      <c r="F26" s="934">
        <v>1.75</v>
      </c>
      <c r="G26" s="327">
        <f>SUM('County Pops'!D370:D385)</f>
        <v>321914</v>
      </c>
    </row>
    <row r="27" spans="1:7" x14ac:dyDescent="0.25">
      <c r="A27" s="633" t="s">
        <v>573</v>
      </c>
      <c r="B27" s="633">
        <v>9.8000000000000007</v>
      </c>
      <c r="C27" s="482" t="s">
        <v>512</v>
      </c>
      <c r="D27" s="672">
        <v>1.04</v>
      </c>
      <c r="E27" s="672">
        <v>107.58</v>
      </c>
      <c r="F27" s="672">
        <v>0.99</v>
      </c>
      <c r="G27" s="327">
        <v>100000</v>
      </c>
    </row>
    <row r="28" spans="1:7" x14ac:dyDescent="0.25">
      <c r="A28" s="633" t="s">
        <v>561</v>
      </c>
      <c r="B28" s="633">
        <v>7.9</v>
      </c>
      <c r="C28" s="482" t="s">
        <v>584</v>
      </c>
      <c r="D28" s="673">
        <v>0.37</v>
      </c>
      <c r="E28" s="681">
        <v>168.56</v>
      </c>
      <c r="F28" s="672">
        <v>0.74</v>
      </c>
      <c r="G28" s="327">
        <f>SUM('County Pops'!D386:D401)</f>
        <v>11243</v>
      </c>
    </row>
    <row r="29" spans="1:7" x14ac:dyDescent="0.25">
      <c r="A29" s="633" t="s">
        <v>562</v>
      </c>
      <c r="B29" s="633">
        <v>9.6999999999999993</v>
      </c>
      <c r="C29" s="482" t="s">
        <v>512</v>
      </c>
      <c r="D29" s="681">
        <v>2.31</v>
      </c>
      <c r="E29" s="681">
        <v>78.75</v>
      </c>
      <c r="F29" s="681">
        <v>1.54</v>
      </c>
      <c r="G29" s="327">
        <f>SUM('County Pops'!D402:D417)</f>
        <v>766589</v>
      </c>
    </row>
    <row r="30" spans="1:7" x14ac:dyDescent="0.25">
      <c r="A30" s="633" t="s">
        <v>563</v>
      </c>
      <c r="B30" s="633">
        <v>9.1999999999999993</v>
      </c>
      <c r="C30" s="482" t="s">
        <v>512</v>
      </c>
      <c r="D30" s="681">
        <v>0.21</v>
      </c>
      <c r="E30" s="681">
        <v>177.66</v>
      </c>
      <c r="F30" s="681">
        <v>0.70000000000000007</v>
      </c>
      <c r="G30" s="327">
        <f>SUM('County Pops'!D434:D449)</f>
        <v>76694</v>
      </c>
    </row>
    <row r="31" spans="1:7" x14ac:dyDescent="0.25">
      <c r="A31" s="633" t="s">
        <v>564</v>
      </c>
      <c r="B31" s="633">
        <v>6.8</v>
      </c>
      <c r="C31" s="482" t="s">
        <v>584</v>
      </c>
      <c r="D31" s="673">
        <v>0.37</v>
      </c>
      <c r="E31" s="672">
        <v>126.81</v>
      </c>
      <c r="F31" s="672">
        <v>0.74</v>
      </c>
      <c r="G31" s="327">
        <f>SUM('County Pops'!D450:D465)</f>
        <v>1711</v>
      </c>
    </row>
    <row r="32" spans="1:7" x14ac:dyDescent="0.25">
      <c r="A32" s="633" t="s">
        <v>585</v>
      </c>
      <c r="B32" s="633">
        <v>7.9</v>
      </c>
      <c r="C32" s="482" t="s">
        <v>584</v>
      </c>
      <c r="D32" s="673">
        <v>0.37</v>
      </c>
      <c r="E32" s="672">
        <v>126.81</v>
      </c>
      <c r="F32" s="672">
        <v>0.74</v>
      </c>
      <c r="G32" s="327">
        <v>40000</v>
      </c>
    </row>
    <row r="33" spans="1:7" x14ac:dyDescent="0.25">
      <c r="A33" s="633" t="s">
        <v>565</v>
      </c>
      <c r="B33" s="633">
        <v>6.9</v>
      </c>
      <c r="C33" s="482" t="s">
        <v>584</v>
      </c>
      <c r="D33" s="673">
        <v>0.37</v>
      </c>
      <c r="E33" s="682">
        <v>136.99</v>
      </c>
      <c r="F33" s="682">
        <v>0.63</v>
      </c>
      <c r="G33" s="327">
        <f>SUM('County Pops'!D466:D481)</f>
        <v>25360</v>
      </c>
    </row>
    <row r="34" spans="1:7" x14ac:dyDescent="0.25">
      <c r="A34" s="633" t="s">
        <v>566</v>
      </c>
      <c r="B34" s="633">
        <v>8.4</v>
      </c>
      <c r="C34" s="482" t="s">
        <v>584</v>
      </c>
      <c r="D34" s="673">
        <v>0.37</v>
      </c>
      <c r="E34" s="682">
        <v>93.660000000000011</v>
      </c>
      <c r="F34" s="682">
        <v>0.70000000000000007</v>
      </c>
      <c r="G34" s="327">
        <f>SUM('County Pops'!D482:D497)</f>
        <v>76845</v>
      </c>
    </row>
    <row r="35" spans="1:7" x14ac:dyDescent="0.25">
      <c r="A35" s="633" t="s">
        <v>567</v>
      </c>
      <c r="B35" s="633">
        <v>7</v>
      </c>
      <c r="C35" s="482" t="s">
        <v>584</v>
      </c>
      <c r="D35" s="673">
        <v>0.37</v>
      </c>
      <c r="E35" s="682">
        <v>66.709999999999994</v>
      </c>
      <c r="F35" s="682">
        <v>1.1900000000000002</v>
      </c>
      <c r="G35" s="327">
        <f>SUM('County Pops'!D498:D513)</f>
        <v>25539</v>
      </c>
    </row>
    <row r="36" spans="1:7" x14ac:dyDescent="0.25">
      <c r="A36" s="633" t="s">
        <v>568</v>
      </c>
      <c r="B36" s="633">
        <v>6.7</v>
      </c>
      <c r="C36" s="482" t="s">
        <v>584</v>
      </c>
      <c r="D36" s="673">
        <v>0.37</v>
      </c>
      <c r="E36" s="682">
        <v>121.10000000000001</v>
      </c>
      <c r="F36" s="682">
        <v>0.42</v>
      </c>
      <c r="G36" s="327">
        <f>SUM('County Pops'!D514:D529)</f>
        <v>6800</v>
      </c>
    </row>
    <row r="37" spans="1:7" x14ac:dyDescent="0.25">
      <c r="A37" s="633" t="s">
        <v>569</v>
      </c>
      <c r="B37" s="633">
        <v>7.2</v>
      </c>
      <c r="C37" s="482" t="s">
        <v>584</v>
      </c>
      <c r="D37" s="673">
        <v>0.37</v>
      </c>
      <c r="E37" s="682">
        <v>124.46000000000001</v>
      </c>
      <c r="F37" s="682">
        <v>0.63</v>
      </c>
      <c r="G37" s="327">
        <f>SUM('County Pops'!D530:D545)</f>
        <v>25464</v>
      </c>
    </row>
    <row r="38" spans="1:7" x14ac:dyDescent="0.25">
      <c r="A38" s="633" t="s">
        <v>570</v>
      </c>
      <c r="B38">
        <v>9.6</v>
      </c>
      <c r="C38" s="482" t="s">
        <v>512</v>
      </c>
      <c r="D38" s="682">
        <v>0.49000000000000005</v>
      </c>
      <c r="E38" s="682">
        <v>90.649999999999991</v>
      </c>
      <c r="F38" s="682">
        <v>0.63</v>
      </c>
      <c r="G38" s="327">
        <f>SUM('County Pops'!D546:D561)</f>
        <v>555661</v>
      </c>
    </row>
    <row r="39" spans="1:7" x14ac:dyDescent="0.25">
      <c r="A39" s="633" t="s">
        <v>571</v>
      </c>
      <c r="B39">
        <v>6</v>
      </c>
      <c r="C39" s="482" t="s">
        <v>584</v>
      </c>
      <c r="D39" s="673">
        <v>0.37</v>
      </c>
      <c r="E39" s="672">
        <v>126.81</v>
      </c>
      <c r="F39" s="672">
        <v>0.74</v>
      </c>
      <c r="G39" s="327">
        <f>SUM('County Pops'!D562:D577)</f>
        <v>1390</v>
      </c>
    </row>
    <row r="40" spans="1:7" x14ac:dyDescent="0.25">
      <c r="A40" s="633" t="s">
        <v>572</v>
      </c>
      <c r="B40">
        <v>9.1</v>
      </c>
      <c r="C40" s="482" t="s">
        <v>512</v>
      </c>
      <c r="D40" s="683">
        <v>0.35000000000000003</v>
      </c>
      <c r="E40" s="683">
        <v>131.17999999999998</v>
      </c>
      <c r="F40" s="683">
        <v>1.1200000000000001</v>
      </c>
      <c r="G40" s="327">
        <f>SUM('County Pops'!D578:D593)</f>
        <v>100767</v>
      </c>
    </row>
    <row r="41" spans="1:7" x14ac:dyDescent="0.25">
      <c r="G41" s="633"/>
    </row>
    <row r="42" spans="1:7" x14ac:dyDescent="0.25">
      <c r="C42" s="482"/>
      <c r="G42" s="633"/>
    </row>
    <row r="43" spans="1:7" x14ac:dyDescent="0.25">
      <c r="C43" s="482"/>
      <c r="G43" s="633"/>
    </row>
  </sheetData>
  <sortState ref="A2:C40">
    <sortCondition ref="A2:A40"/>
  </sortState>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Cover sheet</vt:lpstr>
      <vt:lpstr>Instructions OR version</vt:lpstr>
      <vt:lpstr>Recreation Worksheet</vt:lpstr>
      <vt:lpstr>Outputs</vt:lpstr>
      <vt:lpstr>Recreation Calibration</vt:lpstr>
      <vt:lpstr>Inputs TO</vt:lpstr>
      <vt:lpstr>Health summary</vt:lpstr>
      <vt:lpstr>County Pops</vt:lpstr>
      <vt:lpstr>Counties</vt:lpstr>
      <vt:lpstr>user page</vt:lpstr>
      <vt:lpstr>user page 2</vt:lpstr>
      <vt:lpstr>Visions person</vt:lpstr>
      <vt:lpstr>Baseline</vt:lpstr>
      <vt:lpstr>Scenario</vt:lpstr>
      <vt:lpstr>Phy activity RRs</vt:lpstr>
      <vt:lpstr>Non travel METs</vt:lpstr>
      <vt:lpstr>t Total</vt:lpstr>
      <vt:lpstr>GBDUS</vt:lpstr>
      <vt:lpstr>US2010d</vt:lpstr>
      <vt:lpstr>All-cause mort</vt:lpstr>
      <vt:lpstr>Acute Resp Infect</vt:lpstr>
      <vt:lpstr>Breast cancer</vt:lpstr>
      <vt:lpstr>CVD_air</vt:lpstr>
      <vt:lpstr>Colon Cancer</vt:lpstr>
      <vt:lpstr>Dementia</vt:lpstr>
      <vt:lpstr>Depression</vt:lpstr>
      <vt:lpstr>Diabetes</vt:lpstr>
      <vt:lpstr>HHD_air</vt:lpstr>
      <vt:lpstr>Dist by road type</vt:lpstr>
      <vt:lpstr>Baseline injuries</vt:lpstr>
      <vt:lpstr>Scenario Injury Multiplier</vt:lpstr>
      <vt:lpstr>Scenario Injuries</vt:lpstr>
      <vt:lpstr>Injuries results</vt:lpstr>
      <vt:lpstr>Inflammatory HD</vt:lpstr>
      <vt:lpstr>Lung Cancer</vt:lpstr>
      <vt:lpstr>Resp diseases</vt:lpstr>
      <vt:lpstr>Stroke_air</vt:lpstr>
      <vt:lpstr>air pollution</vt:lpstr>
      <vt:lpstr>Costs</vt:lpstr>
      <vt:lpstr>Calibration Data</vt:lpstr>
      <vt:lpstr>RuralCalibration</vt:lpstr>
      <vt:lpstr>Suggested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jamesw</dc:creator>
  <cp:lastModifiedBy>Rosenberger, Randall</cp:lastModifiedBy>
  <cp:lastPrinted>2014-07-21T16:56:59Z</cp:lastPrinted>
  <dcterms:created xsi:type="dcterms:W3CDTF">1996-10-14T23:33:28Z</dcterms:created>
  <dcterms:modified xsi:type="dcterms:W3CDTF">2019-05-02T19:11:12Z</dcterms:modified>
</cp:coreProperties>
</file>